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28"/>
  <workbookPr/>
  <mc:AlternateContent xmlns:mc="http://schemas.openxmlformats.org/markup-compatibility/2006">
    <mc:Choice Requires="x15">
      <x15ac:absPath xmlns:x15ac="http://schemas.microsoft.com/office/spreadsheetml/2010/11/ac" url="/Users/ptellez/Downloads/"/>
    </mc:Choice>
  </mc:AlternateContent>
  <xr:revisionPtr revIDLastSave="0" documentId="13_ncr:1_{370AE82E-8539-1A4C-AD05-F04467369E26}" xr6:coauthVersionLast="47" xr6:coauthVersionMax="47" xr10:uidLastSave="{00000000-0000-0000-0000-000000000000}"/>
  <bookViews>
    <workbookView xWindow="0" yWindow="500" windowWidth="31560" windowHeight="28300" xr2:uid="{00000000-000D-0000-FFFF-FFFF00000000}"/>
  </bookViews>
  <sheets>
    <sheet name="HOW TO USE THIS DOCUMENT" sheetId="2" r:id="rId1"/>
    <sheet name="Table of Contents Multi-languag" sheetId="3" r:id="rId2"/>
    <sheet name="Spanish" sheetId="4" state="hidden" r:id="rId3"/>
    <sheet name="Mandarin" sheetId="5" state="hidden" r:id="rId4"/>
    <sheet name="Japanese" sheetId="6" state="hidden" r:id="rId5"/>
    <sheet name="Portuguese" sheetId="7" state="hidden" r:id="rId6"/>
    <sheet name="English" sheetId="8" state="hidden" r:id="rId7"/>
    <sheet name="German" sheetId="9" state="hidden" r:id="rId8"/>
    <sheet name="French" sheetId="10" state="hidden" r:id="rId9"/>
    <sheet name="Accountability and Results-Orie" sheetId="11" r:id="rId10"/>
    <sheet name="Adaptability" sheetId="12" r:id="rId11"/>
    <sheet name="Building and Managing Effective" sheetId="13" r:id="rId12"/>
    <sheet name="Building Trust and Collaboratin" sheetId="14" r:id="rId13"/>
    <sheet name="Communication and Interpersonal" sheetId="15" r:id="rId14"/>
    <sheet name="Conflict Management and Conflic" sheetId="16" r:id="rId15"/>
    <sheet name="Content Marketing, Digital Mark" sheetId="17" r:id="rId16"/>
    <sheet name="Creative Thinking and Innovatio" sheetId="18" r:id="rId17"/>
    <sheet name="Critical Thinking, Decision Mak" sheetId="19" r:id="rId18"/>
    <sheet name="Customer Focus" sheetId="20" r:id="rId19"/>
    <sheet name="Data Analysis" sheetId="21" r:id="rId20"/>
    <sheet name="Financial and Accounting Knowle" sheetId="22" r:id="rId21"/>
    <sheet name="Human Resources Knowledge and H" sheetId="23" r:id="rId22"/>
    <sheet name="Leading Change" sheetId="24" r:id="rId23"/>
    <sheet name="Leading Others Effectively and " sheetId="25" r:id="rId24"/>
    <sheet name="Managing Others Effectively" sheetId="26" r:id="rId25"/>
    <sheet name="Operational Excellence and Proc" sheetId="27" r:id="rId26"/>
    <sheet name="Presentation Skills" sheetId="28" r:id="rId27"/>
    <sheet name="Project Management" sheetId="29" r:id="rId28"/>
    <sheet name="Sales Knowledge and Sales Skill" sheetId="30" r:id="rId29"/>
    <sheet name="Strategic Planning and Strategi" sheetId="31" r:id="rId30"/>
    <sheet name="Talent Development" sheetId="32" r:id="rId31"/>
    <sheet name="Talent Management" sheetId="33" r:id="rId32"/>
    <sheet name="Values Diversity, Inclusion, an" sheetId="34" r:id="rId33"/>
    <sheet name="Writing Skills and Writing Prof" sheetId="35" r:id="rId34"/>
    <sheet name="Self-care, Well-being, Mindfuln" sheetId="36" r:id="rId35"/>
  </sheets>
  <definedNames>
    <definedName name="_xlnm._FilterDatabase" localSheetId="8" hidden="1">French!$A$1:$I$794</definedName>
    <definedName name="_xlnm._FilterDatabase" localSheetId="7" hidden="1">German!$A$1:$I$971</definedName>
    <definedName name="_xlnm._FilterDatabase" localSheetId="4" hidden="1">Japanese!$A$1:$I$307</definedName>
    <definedName name="_xlnm._FilterDatabase" localSheetId="3" hidden="1">Mandarin!$A$1:$H$575</definedName>
    <definedName name="_xlnm._FilterDatabase" localSheetId="5" hidden="1">Portuguese!$A$1:$I$666</definedName>
    <definedName name="_xlnm._FilterDatabase" localSheetId="2" hidden="1">Spanish!$A$1:$H$864</definedName>
    <definedName name="Z_D0839D6B_E9D3_479A_BF66_345DE0E2B05F_.wvu.FilterData" localSheetId="2" hidden="1">Spanish!$A$1:$H$864</definedName>
  </definedNames>
  <calcPr calcId="191029"/>
  <customWorkbookViews>
    <customWorkbookView name="Filter 1" guid="{D0839D6B-E9D3-479A-BF66-345DE0E2B05F}"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33" i="36" l="1"/>
  <c r="C133" i="36"/>
  <c r="B133" i="36"/>
  <c r="D132" i="36"/>
  <c r="C132" i="36"/>
  <c r="B132" i="36"/>
  <c r="D131" i="36"/>
  <c r="C131" i="36"/>
  <c r="B131" i="36"/>
  <c r="D130" i="36"/>
  <c r="C130" i="36"/>
  <c r="B130" i="36"/>
  <c r="D129" i="36"/>
  <c r="C129" i="36"/>
  <c r="B129" i="36"/>
  <c r="D128" i="36"/>
  <c r="C128" i="36"/>
  <c r="B128" i="36"/>
  <c r="D127" i="36"/>
  <c r="C127" i="36"/>
  <c r="B127" i="36"/>
  <c r="D126" i="36"/>
  <c r="C126" i="36"/>
  <c r="B126" i="36"/>
  <c r="D125" i="36"/>
  <c r="C125" i="36"/>
  <c r="B125" i="36"/>
  <c r="D124" i="36"/>
  <c r="C124" i="36"/>
  <c r="B124" i="36"/>
  <c r="D123" i="36"/>
  <c r="C123" i="36"/>
  <c r="B123" i="36"/>
  <c r="D122" i="36"/>
  <c r="C122" i="36"/>
  <c r="B122" i="36"/>
  <c r="D121" i="36"/>
  <c r="C121" i="36"/>
  <c r="B121" i="36"/>
  <c r="D120" i="36"/>
  <c r="C120" i="36"/>
  <c r="B120" i="36"/>
  <c r="D119" i="36"/>
  <c r="C119" i="36"/>
  <c r="B119" i="36"/>
  <c r="D118" i="36"/>
  <c r="C118" i="36"/>
  <c r="B118" i="36"/>
  <c r="D117" i="36"/>
  <c r="C117" i="36"/>
  <c r="B117" i="36"/>
  <c r="D116" i="36"/>
  <c r="C116" i="36"/>
  <c r="B116" i="36"/>
  <c r="D115" i="36"/>
  <c r="C115" i="36"/>
  <c r="B115" i="36"/>
  <c r="D114" i="36"/>
  <c r="C114" i="36"/>
  <c r="B114" i="36"/>
  <c r="D113" i="36"/>
  <c r="C113" i="36"/>
  <c r="B113" i="36"/>
  <c r="D112" i="36"/>
  <c r="C112" i="36"/>
  <c r="B112" i="36"/>
  <c r="D111" i="36"/>
  <c r="C111" i="36"/>
  <c r="B111" i="36"/>
  <c r="D110" i="36"/>
  <c r="C110" i="36"/>
  <c r="B110" i="36"/>
  <c r="D109" i="36"/>
  <c r="C109" i="36"/>
  <c r="B109" i="36"/>
  <c r="D108" i="36"/>
  <c r="C108" i="36"/>
  <c r="B108" i="36"/>
  <c r="D107" i="36"/>
  <c r="C107" i="36"/>
  <c r="B107" i="36"/>
  <c r="D106" i="36"/>
  <c r="C106" i="36"/>
  <c r="B106" i="36"/>
  <c r="D105" i="36"/>
  <c r="C105" i="36"/>
  <c r="B105" i="36"/>
  <c r="D104" i="36"/>
  <c r="C104" i="36"/>
  <c r="B104" i="36"/>
  <c r="D103" i="36"/>
  <c r="C103" i="36"/>
  <c r="B103" i="36"/>
  <c r="D102" i="36"/>
  <c r="C102" i="36"/>
  <c r="B102" i="36"/>
  <c r="D101" i="36"/>
  <c r="C101" i="36"/>
  <c r="B101" i="36"/>
  <c r="D100" i="36"/>
  <c r="C100" i="36"/>
  <c r="B100" i="36"/>
  <c r="D99" i="36"/>
  <c r="C99" i="36"/>
  <c r="B99" i="36"/>
  <c r="D98" i="36"/>
  <c r="C98" i="36"/>
  <c r="B98" i="36"/>
  <c r="D97" i="36"/>
  <c r="C97" i="36"/>
  <c r="B97" i="36"/>
  <c r="D96" i="36"/>
  <c r="C96" i="36"/>
  <c r="B96" i="36"/>
  <c r="D95" i="36"/>
  <c r="C95" i="36"/>
  <c r="B95" i="36"/>
  <c r="D94" i="36"/>
  <c r="C94" i="36"/>
  <c r="B94" i="36"/>
  <c r="D93" i="36"/>
  <c r="C93" i="36"/>
  <c r="B93" i="36"/>
  <c r="D92" i="36"/>
  <c r="C92" i="36"/>
  <c r="B92" i="36"/>
  <c r="D91" i="36"/>
  <c r="C91" i="36"/>
  <c r="B91" i="36"/>
  <c r="D90" i="36"/>
  <c r="C90" i="36"/>
  <c r="B90" i="36"/>
  <c r="D89" i="36"/>
  <c r="C89" i="36"/>
  <c r="B89" i="36"/>
  <c r="D88" i="36"/>
  <c r="C88" i="36"/>
  <c r="B88" i="36"/>
  <c r="D87" i="36"/>
  <c r="C87" i="36"/>
  <c r="B87" i="36"/>
  <c r="D86" i="36"/>
  <c r="C86" i="36"/>
  <c r="B86" i="36"/>
  <c r="D85" i="36"/>
  <c r="C85" i="36"/>
  <c r="B85" i="36"/>
  <c r="D84" i="36"/>
  <c r="C84" i="36"/>
  <c r="B84" i="36"/>
  <c r="D83" i="36"/>
  <c r="C83" i="36"/>
  <c r="B83" i="36"/>
  <c r="D82" i="36"/>
  <c r="C82" i="36"/>
  <c r="B82" i="36"/>
  <c r="D81" i="36"/>
  <c r="C81" i="36"/>
  <c r="B81" i="36"/>
  <c r="D80" i="36"/>
  <c r="C80" i="36"/>
  <c r="B80" i="36"/>
  <c r="D79" i="36"/>
  <c r="C79" i="36"/>
  <c r="B79" i="36"/>
  <c r="D78" i="36"/>
  <c r="C78" i="36"/>
  <c r="B78" i="36"/>
  <c r="D77" i="36"/>
  <c r="C77" i="36"/>
  <c r="B77" i="36"/>
  <c r="D76" i="36"/>
  <c r="C76" i="36"/>
  <c r="B76" i="36"/>
  <c r="D75" i="36"/>
  <c r="C75" i="36"/>
  <c r="B75" i="36"/>
  <c r="D74" i="36"/>
  <c r="C74" i="36"/>
  <c r="B74" i="36"/>
  <c r="D73" i="36"/>
  <c r="C73" i="36"/>
  <c r="B73" i="36"/>
  <c r="D72" i="36"/>
  <c r="C72" i="36"/>
  <c r="B72" i="36"/>
  <c r="D71" i="36"/>
  <c r="C71" i="36"/>
  <c r="B71" i="36"/>
  <c r="D70" i="36"/>
  <c r="C70" i="36"/>
  <c r="B70" i="36"/>
  <c r="D69" i="36"/>
  <c r="C69" i="36"/>
  <c r="B69" i="36"/>
  <c r="D68" i="36"/>
  <c r="C68" i="36"/>
  <c r="B68" i="36"/>
  <c r="D67" i="36"/>
  <c r="C67" i="36"/>
  <c r="B67" i="36"/>
  <c r="D66" i="36"/>
  <c r="C66" i="36"/>
  <c r="B66" i="36"/>
  <c r="D65" i="36"/>
  <c r="C65" i="36"/>
  <c r="B65" i="36"/>
  <c r="D64" i="36"/>
  <c r="C64" i="36"/>
  <c r="B64" i="36"/>
  <c r="D63" i="36"/>
  <c r="C63" i="36"/>
  <c r="B63" i="36"/>
  <c r="D62" i="36"/>
  <c r="C62" i="36"/>
  <c r="B62" i="36"/>
  <c r="D61" i="36"/>
  <c r="C61" i="36"/>
  <c r="B61" i="36"/>
  <c r="D60" i="36"/>
  <c r="C60" i="36"/>
  <c r="B60" i="36"/>
  <c r="D59" i="36"/>
  <c r="C59" i="36"/>
  <c r="B59" i="36"/>
  <c r="D58" i="36"/>
  <c r="C58" i="36"/>
  <c r="B58" i="36"/>
  <c r="D57" i="36"/>
  <c r="C57" i="36"/>
  <c r="B57" i="36"/>
  <c r="D56" i="36"/>
  <c r="C56" i="36"/>
  <c r="B56" i="36"/>
  <c r="D55" i="36"/>
  <c r="C55" i="36"/>
  <c r="B55" i="36"/>
  <c r="D54" i="36"/>
  <c r="C54" i="36"/>
  <c r="B54" i="36"/>
  <c r="D53" i="36"/>
  <c r="C53" i="36"/>
  <c r="B53" i="36"/>
  <c r="D52" i="36"/>
  <c r="C52" i="36"/>
  <c r="B52" i="36"/>
  <c r="D51" i="36"/>
  <c r="C51" i="36"/>
  <c r="B51" i="36"/>
  <c r="D50" i="36"/>
  <c r="C50" i="36"/>
  <c r="B50" i="36"/>
  <c r="D49" i="36"/>
  <c r="C49" i="36"/>
  <c r="B49" i="36"/>
  <c r="D48" i="36"/>
  <c r="C48" i="36"/>
  <c r="B48" i="36"/>
  <c r="D47" i="36"/>
  <c r="C47" i="36"/>
  <c r="B47" i="36"/>
  <c r="D46" i="36"/>
  <c r="C46" i="36"/>
  <c r="B46" i="36"/>
  <c r="D45" i="36"/>
  <c r="C45" i="36"/>
  <c r="B45" i="36"/>
  <c r="D44" i="36"/>
  <c r="C44" i="36"/>
  <c r="B44" i="36"/>
  <c r="D43" i="36"/>
  <c r="C43" i="36"/>
  <c r="B43" i="36"/>
  <c r="D42" i="36"/>
  <c r="C42" i="36"/>
  <c r="B42" i="36"/>
  <c r="D41" i="36"/>
  <c r="C41" i="36"/>
  <c r="B41" i="36"/>
  <c r="D40" i="36"/>
  <c r="C40" i="36"/>
  <c r="B40" i="36"/>
  <c r="D39" i="36"/>
  <c r="C39" i="36"/>
  <c r="B39" i="36"/>
  <c r="D38" i="36"/>
  <c r="C38" i="36"/>
  <c r="B38" i="36"/>
  <c r="D37" i="36"/>
  <c r="C37" i="36"/>
  <c r="B37" i="36"/>
  <c r="D36" i="36"/>
  <c r="C36" i="36"/>
  <c r="B36" i="36"/>
  <c r="D35" i="36"/>
  <c r="C35" i="36"/>
  <c r="B35" i="36"/>
  <c r="D34" i="36"/>
  <c r="C34" i="36"/>
  <c r="B34" i="36"/>
  <c r="D33" i="36"/>
  <c r="C33" i="36"/>
  <c r="B33" i="36"/>
  <c r="D32" i="36"/>
  <c r="C32" i="36"/>
  <c r="B32" i="36"/>
  <c r="D31" i="36"/>
  <c r="C31" i="36"/>
  <c r="B31" i="36"/>
  <c r="D30" i="36"/>
  <c r="C30" i="36"/>
  <c r="B30" i="36"/>
  <c r="D29" i="36"/>
  <c r="C29" i="36"/>
  <c r="B29" i="36"/>
  <c r="D28" i="36"/>
  <c r="C28" i="36"/>
  <c r="B28" i="36"/>
  <c r="D27" i="36"/>
  <c r="C27" i="36"/>
  <c r="B27" i="36"/>
  <c r="N26" i="36"/>
  <c r="M26" i="36"/>
  <c r="L26" i="36"/>
  <c r="D26" i="36"/>
  <c r="C26" i="36"/>
  <c r="B26" i="36"/>
  <c r="S25" i="36"/>
  <c r="R25" i="36"/>
  <c r="Q25" i="36"/>
  <c r="N25" i="36"/>
  <c r="M25" i="36"/>
  <c r="L25" i="36"/>
  <c r="D25" i="36"/>
  <c r="C25" i="36"/>
  <c r="B25" i="36"/>
  <c r="S24" i="36"/>
  <c r="R24" i="36"/>
  <c r="Q24" i="36"/>
  <c r="N24" i="36"/>
  <c r="M24" i="36"/>
  <c r="L24" i="36"/>
  <c r="D24" i="36"/>
  <c r="C24" i="36"/>
  <c r="B24" i="36"/>
  <c r="S23" i="36"/>
  <c r="R23" i="36"/>
  <c r="Q23" i="36"/>
  <c r="N23" i="36"/>
  <c r="M23" i="36"/>
  <c r="L23" i="36"/>
  <c r="D23" i="36"/>
  <c r="C23" i="36"/>
  <c r="B23" i="36"/>
  <c r="S22" i="36"/>
  <c r="R22" i="36"/>
  <c r="Q22" i="36"/>
  <c r="N22" i="36"/>
  <c r="M22" i="36"/>
  <c r="L22" i="36"/>
  <c r="D22" i="36"/>
  <c r="C22" i="36"/>
  <c r="B22" i="36"/>
  <c r="S21" i="36"/>
  <c r="R21" i="36"/>
  <c r="Q21" i="36"/>
  <c r="N21" i="36"/>
  <c r="M21" i="36"/>
  <c r="L21" i="36"/>
  <c r="D21" i="36"/>
  <c r="C21" i="36"/>
  <c r="B21" i="36"/>
  <c r="S20" i="36"/>
  <c r="R20" i="36"/>
  <c r="Q20" i="36"/>
  <c r="N20" i="36"/>
  <c r="M20" i="36"/>
  <c r="L20" i="36"/>
  <c r="D20" i="36"/>
  <c r="C20" i="36"/>
  <c r="B20" i="36"/>
  <c r="S19" i="36"/>
  <c r="R19" i="36"/>
  <c r="Q19" i="36"/>
  <c r="N19" i="36"/>
  <c r="M19" i="36"/>
  <c r="L19" i="36"/>
  <c r="D19" i="36"/>
  <c r="C19" i="36"/>
  <c r="B19" i="36"/>
  <c r="S18" i="36"/>
  <c r="R18" i="36"/>
  <c r="Q18" i="36"/>
  <c r="N18" i="36"/>
  <c r="M18" i="36"/>
  <c r="L18" i="36"/>
  <c r="D18" i="36"/>
  <c r="C18" i="36"/>
  <c r="B18" i="36"/>
  <c r="S17" i="36"/>
  <c r="R17" i="36"/>
  <c r="Q17" i="36"/>
  <c r="N17" i="36"/>
  <c r="M17" i="36"/>
  <c r="L17" i="36"/>
  <c r="D17" i="36"/>
  <c r="C17" i="36"/>
  <c r="B17" i="36"/>
  <c r="S16" i="36"/>
  <c r="R16" i="36"/>
  <c r="Q16" i="36"/>
  <c r="N16" i="36"/>
  <c r="M16" i="36"/>
  <c r="L16" i="36"/>
  <c r="I16" i="36"/>
  <c r="H16" i="36"/>
  <c r="G16" i="36"/>
  <c r="D16" i="36"/>
  <c r="C16" i="36"/>
  <c r="B16" i="36"/>
  <c r="S15" i="36"/>
  <c r="R15" i="36"/>
  <c r="Q15" i="36"/>
  <c r="N15" i="36"/>
  <c r="M15" i="36"/>
  <c r="L15" i="36"/>
  <c r="I15" i="36"/>
  <c r="H15" i="36"/>
  <c r="G15" i="36"/>
  <c r="D15" i="36"/>
  <c r="C15" i="36"/>
  <c r="B15" i="36"/>
  <c r="S14" i="36"/>
  <c r="R14" i="36"/>
  <c r="Q14" i="36"/>
  <c r="N14" i="36"/>
  <c r="M14" i="36"/>
  <c r="L14" i="36"/>
  <c r="I14" i="36"/>
  <c r="H14" i="36"/>
  <c r="G14" i="36"/>
  <c r="D14" i="36"/>
  <c r="C14" i="36"/>
  <c r="B14" i="36"/>
  <c r="S13" i="36"/>
  <c r="R13" i="36"/>
  <c r="Q13" i="36"/>
  <c r="N13" i="36"/>
  <c r="M13" i="36"/>
  <c r="L13" i="36"/>
  <c r="I13" i="36"/>
  <c r="H13" i="36"/>
  <c r="G13" i="36"/>
  <c r="D13" i="36"/>
  <c r="C13" i="36"/>
  <c r="B13" i="36"/>
  <c r="X12" i="36"/>
  <c r="W12" i="36"/>
  <c r="V12" i="36"/>
  <c r="S12" i="36"/>
  <c r="R12" i="36"/>
  <c r="Q12" i="36"/>
  <c r="N12" i="36"/>
  <c r="M12" i="36"/>
  <c r="L12" i="36"/>
  <c r="I12" i="36"/>
  <c r="H12" i="36"/>
  <c r="G12" i="36"/>
  <c r="D12" i="36"/>
  <c r="C12" i="36"/>
  <c r="B12" i="36"/>
  <c r="X11" i="36"/>
  <c r="W11" i="36"/>
  <c r="V11" i="36"/>
  <c r="S11" i="36"/>
  <c r="R11" i="36"/>
  <c r="Q11" i="36"/>
  <c r="N11" i="36"/>
  <c r="M11" i="36"/>
  <c r="L11" i="36"/>
  <c r="I11" i="36"/>
  <c r="H11" i="36"/>
  <c r="G11" i="36"/>
  <c r="D11" i="36"/>
  <c r="C11" i="36"/>
  <c r="B11" i="36"/>
  <c r="AC10" i="36"/>
  <c r="AB10" i="36"/>
  <c r="AA10" i="36"/>
  <c r="X10" i="36"/>
  <c r="W10" i="36"/>
  <c r="V10" i="36"/>
  <c r="S10" i="36"/>
  <c r="R10" i="36"/>
  <c r="Q10" i="36"/>
  <c r="N10" i="36"/>
  <c r="M10" i="36"/>
  <c r="L10" i="36"/>
  <c r="I10" i="36"/>
  <c r="H10" i="36"/>
  <c r="G10" i="36"/>
  <c r="D10" i="36"/>
  <c r="C10" i="36"/>
  <c r="B10" i="36"/>
  <c r="AC9" i="36"/>
  <c r="AB9" i="36"/>
  <c r="AA9" i="36"/>
  <c r="X9" i="36"/>
  <c r="W9" i="36"/>
  <c r="V9" i="36"/>
  <c r="S9" i="36"/>
  <c r="R9" i="36"/>
  <c r="Q9" i="36"/>
  <c r="N9" i="36"/>
  <c r="M9" i="36"/>
  <c r="L9" i="36"/>
  <c r="I9" i="36"/>
  <c r="H9" i="36"/>
  <c r="G9" i="36"/>
  <c r="E9" i="36"/>
  <c r="D9" i="36"/>
  <c r="C9" i="36"/>
  <c r="B9" i="36"/>
  <c r="AC8" i="36"/>
  <c r="AB8" i="36"/>
  <c r="AA8" i="36"/>
  <c r="X8" i="36"/>
  <c r="W8" i="36"/>
  <c r="V8" i="36"/>
  <c r="S8" i="36"/>
  <c r="R8" i="36"/>
  <c r="Q8" i="36"/>
  <c r="N8" i="36"/>
  <c r="M8" i="36"/>
  <c r="L8" i="36"/>
  <c r="I8" i="36"/>
  <c r="H8" i="36"/>
  <c r="G8" i="36"/>
  <c r="E8" i="36"/>
  <c r="D8" i="36"/>
  <c r="C8" i="36"/>
  <c r="B8" i="36"/>
  <c r="AH7" i="36"/>
  <c r="AG7" i="36"/>
  <c r="AF7" i="36"/>
  <c r="AC7" i="36"/>
  <c r="AB7" i="36"/>
  <c r="AA7" i="36"/>
  <c r="X7" i="36"/>
  <c r="W7" i="36"/>
  <c r="V7" i="36"/>
  <c r="S7" i="36"/>
  <c r="R7" i="36"/>
  <c r="Q7" i="36"/>
  <c r="N7" i="36"/>
  <c r="M7" i="36"/>
  <c r="L7" i="36"/>
  <c r="I7" i="36"/>
  <c r="H7" i="36"/>
  <c r="G7" i="36"/>
  <c r="E7" i="36"/>
  <c r="D7" i="36"/>
  <c r="C7" i="36"/>
  <c r="B7" i="36"/>
  <c r="AH6" i="36"/>
  <c r="AG6" i="36"/>
  <c r="AF6" i="36"/>
  <c r="AC6" i="36"/>
  <c r="AB6" i="36"/>
  <c r="AA6" i="36"/>
  <c r="X6" i="36"/>
  <c r="W6" i="36"/>
  <c r="V6" i="36"/>
  <c r="S6" i="36"/>
  <c r="R6" i="36"/>
  <c r="Q6" i="36"/>
  <c r="N6" i="36"/>
  <c r="M6" i="36"/>
  <c r="L6" i="36"/>
  <c r="I6" i="36"/>
  <c r="H6" i="36"/>
  <c r="G6" i="36"/>
  <c r="E6" i="36"/>
  <c r="D6" i="36"/>
  <c r="C6" i="36"/>
  <c r="B6" i="36"/>
  <c r="AH5" i="36"/>
  <c r="AG5" i="36"/>
  <c r="AF5" i="36"/>
  <c r="AC5" i="36"/>
  <c r="AB5" i="36"/>
  <c r="AA5" i="36"/>
  <c r="X5" i="36"/>
  <c r="W5" i="36"/>
  <c r="V5" i="36"/>
  <c r="S5" i="36"/>
  <c r="R5" i="36"/>
  <c r="Q5" i="36"/>
  <c r="N5" i="36"/>
  <c r="M5" i="36"/>
  <c r="L5" i="36"/>
  <c r="I5" i="36"/>
  <c r="H5" i="36"/>
  <c r="G5" i="36"/>
  <c r="E5" i="36"/>
  <c r="D5" i="36"/>
  <c r="C5" i="36"/>
  <c r="B5" i="36"/>
  <c r="AI4" i="36"/>
  <c r="AH4" i="36"/>
  <c r="AG4" i="36"/>
  <c r="AF4" i="36"/>
  <c r="AC4" i="36"/>
  <c r="AB4" i="36"/>
  <c r="AA4" i="36"/>
  <c r="Y4" i="36"/>
  <c r="X4" i="36"/>
  <c r="W4" i="36"/>
  <c r="V4" i="36"/>
  <c r="T4" i="36"/>
  <c r="S4" i="36"/>
  <c r="R4" i="36"/>
  <c r="Q4" i="36"/>
  <c r="N4" i="36"/>
  <c r="M4" i="36"/>
  <c r="L4" i="36"/>
  <c r="J4" i="36"/>
  <c r="I4" i="36"/>
  <c r="H4" i="36"/>
  <c r="G4" i="36"/>
  <c r="E4" i="36"/>
  <c r="D4" i="36"/>
  <c r="C4" i="36"/>
  <c r="B4" i="36"/>
  <c r="AI3" i="36"/>
  <c r="AH3" i="36"/>
  <c r="AG3" i="36"/>
  <c r="AF3" i="36"/>
  <c r="AD3" i="36"/>
  <c r="AC3" i="36"/>
  <c r="AB3" i="36"/>
  <c r="AA3" i="36"/>
  <c r="Y3" i="36"/>
  <c r="X3" i="36"/>
  <c r="W3" i="36"/>
  <c r="V3" i="36"/>
  <c r="T3" i="36"/>
  <c r="S3" i="36"/>
  <c r="R3" i="36"/>
  <c r="Q3" i="36"/>
  <c r="O3" i="36"/>
  <c r="N3" i="36"/>
  <c r="M3" i="36"/>
  <c r="L3" i="36"/>
  <c r="J3" i="36"/>
  <c r="I3" i="36"/>
  <c r="H3" i="36"/>
  <c r="G3" i="36"/>
  <c r="E3" i="36"/>
  <c r="D3" i="36"/>
  <c r="C3" i="36"/>
  <c r="B3" i="36"/>
  <c r="AF1" i="36"/>
  <c r="AA1" i="36"/>
  <c r="V1" i="36"/>
  <c r="Q1" i="36"/>
  <c r="L1" i="36"/>
  <c r="G1" i="36"/>
  <c r="D35" i="35"/>
  <c r="C35" i="35"/>
  <c r="B35" i="35"/>
  <c r="D34" i="35"/>
  <c r="C34" i="35"/>
  <c r="B34" i="35"/>
  <c r="D33" i="35"/>
  <c r="C33" i="35"/>
  <c r="B33" i="35"/>
  <c r="D32" i="35"/>
  <c r="C32" i="35"/>
  <c r="B32" i="35"/>
  <c r="D31" i="35"/>
  <c r="C31" i="35"/>
  <c r="B31" i="35"/>
  <c r="D30" i="35"/>
  <c r="C30" i="35"/>
  <c r="B30" i="35"/>
  <c r="D29" i="35"/>
  <c r="C29" i="35"/>
  <c r="B29" i="35"/>
  <c r="D28" i="35"/>
  <c r="C28" i="35"/>
  <c r="B28" i="35"/>
  <c r="D27" i="35"/>
  <c r="C27" i="35"/>
  <c r="B27" i="35"/>
  <c r="D26" i="35"/>
  <c r="C26" i="35"/>
  <c r="B26" i="35"/>
  <c r="D25" i="35"/>
  <c r="C25" i="35"/>
  <c r="B25" i="35"/>
  <c r="D24" i="35"/>
  <c r="C24" i="35"/>
  <c r="B24" i="35"/>
  <c r="D23" i="35"/>
  <c r="C23" i="35"/>
  <c r="B23" i="35"/>
  <c r="D22" i="35"/>
  <c r="C22" i="35"/>
  <c r="B22" i="35"/>
  <c r="D21" i="35"/>
  <c r="C21" i="35"/>
  <c r="B21" i="35"/>
  <c r="D20" i="35"/>
  <c r="C20" i="35"/>
  <c r="B20" i="35"/>
  <c r="S19" i="35"/>
  <c r="R19" i="35"/>
  <c r="Q19" i="35"/>
  <c r="D19" i="35"/>
  <c r="C19" i="35"/>
  <c r="B19" i="35"/>
  <c r="S18" i="35"/>
  <c r="R18" i="35"/>
  <c r="Q18" i="35"/>
  <c r="D18" i="35"/>
  <c r="C18" i="35"/>
  <c r="B18" i="35"/>
  <c r="S17" i="35"/>
  <c r="R17" i="35"/>
  <c r="Q17" i="35"/>
  <c r="N17" i="35"/>
  <c r="M17" i="35"/>
  <c r="L17" i="35"/>
  <c r="D17" i="35"/>
  <c r="C17" i="35"/>
  <c r="B17" i="35"/>
  <c r="S16" i="35"/>
  <c r="R16" i="35"/>
  <c r="Q16" i="35"/>
  <c r="N16" i="35"/>
  <c r="M16" i="35"/>
  <c r="L16" i="35"/>
  <c r="I16" i="35"/>
  <c r="H16" i="35"/>
  <c r="G16" i="35"/>
  <c r="D16" i="35"/>
  <c r="C16" i="35"/>
  <c r="B16" i="35"/>
  <c r="S15" i="35"/>
  <c r="R15" i="35"/>
  <c r="Q15" i="35"/>
  <c r="N15" i="35"/>
  <c r="M15" i="35"/>
  <c r="L15" i="35"/>
  <c r="I15" i="35"/>
  <c r="H15" i="35"/>
  <c r="G15" i="35"/>
  <c r="D15" i="35"/>
  <c r="C15" i="35"/>
  <c r="B15" i="35"/>
  <c r="S14" i="35"/>
  <c r="R14" i="35"/>
  <c r="Q14" i="35"/>
  <c r="N14" i="35"/>
  <c r="M14" i="35"/>
  <c r="L14" i="35"/>
  <c r="I14" i="35"/>
  <c r="H14" i="35"/>
  <c r="G14" i="35"/>
  <c r="D14" i="35"/>
  <c r="C14" i="35"/>
  <c r="B14" i="35"/>
  <c r="S13" i="35"/>
  <c r="R13" i="35"/>
  <c r="Q13" i="35"/>
  <c r="N13" i="35"/>
  <c r="M13" i="35"/>
  <c r="L13" i="35"/>
  <c r="I13" i="35"/>
  <c r="H13" i="35"/>
  <c r="G13" i="35"/>
  <c r="D13" i="35"/>
  <c r="C13" i="35"/>
  <c r="B13" i="35"/>
  <c r="S12" i="35"/>
  <c r="R12" i="35"/>
  <c r="Q12" i="35"/>
  <c r="N12" i="35"/>
  <c r="M12" i="35"/>
  <c r="L12" i="35"/>
  <c r="I12" i="35"/>
  <c r="H12" i="35"/>
  <c r="G12" i="35"/>
  <c r="D12" i="35"/>
  <c r="C12" i="35"/>
  <c r="B12" i="35"/>
  <c r="S11" i="35"/>
  <c r="R11" i="35"/>
  <c r="Q11" i="35"/>
  <c r="N11" i="35"/>
  <c r="M11" i="35"/>
  <c r="L11" i="35"/>
  <c r="I11" i="35"/>
  <c r="H11" i="35"/>
  <c r="G11" i="35"/>
  <c r="D11" i="35"/>
  <c r="C11" i="35"/>
  <c r="B11" i="35"/>
  <c r="S10" i="35"/>
  <c r="R10" i="35"/>
  <c r="Q10" i="35"/>
  <c r="N10" i="35"/>
  <c r="M10" i="35"/>
  <c r="L10" i="35"/>
  <c r="I10" i="35"/>
  <c r="H10" i="35"/>
  <c r="G10" i="35"/>
  <c r="D10" i="35"/>
  <c r="C10" i="35"/>
  <c r="B10" i="35"/>
  <c r="S9" i="35"/>
  <c r="R9" i="35"/>
  <c r="Q9" i="35"/>
  <c r="N9" i="35"/>
  <c r="M9" i="35"/>
  <c r="L9" i="35"/>
  <c r="I9" i="35"/>
  <c r="H9" i="35"/>
  <c r="G9" i="35"/>
  <c r="D9" i="35"/>
  <c r="C9" i="35"/>
  <c r="B9" i="35"/>
  <c r="S8" i="35"/>
  <c r="R8" i="35"/>
  <c r="Q8" i="35"/>
  <c r="O8" i="35"/>
  <c r="N8" i="35"/>
  <c r="M8" i="35"/>
  <c r="L8" i="35"/>
  <c r="I8" i="35"/>
  <c r="H8" i="35"/>
  <c r="G8" i="35"/>
  <c r="D8" i="35"/>
  <c r="C8" i="35"/>
  <c r="B8" i="35"/>
  <c r="AC7" i="35"/>
  <c r="AB7" i="35"/>
  <c r="AA7" i="35"/>
  <c r="S7" i="35"/>
  <c r="R7" i="35"/>
  <c r="Q7" i="35"/>
  <c r="O7" i="35"/>
  <c r="N7" i="35"/>
  <c r="M7" i="35"/>
  <c r="L7" i="35"/>
  <c r="I7" i="35"/>
  <c r="H7" i="35"/>
  <c r="G7" i="35"/>
  <c r="D7" i="35"/>
  <c r="C7" i="35"/>
  <c r="B7" i="35"/>
  <c r="AD6" i="35"/>
  <c r="AC6" i="35"/>
  <c r="AB6" i="35"/>
  <c r="AA6" i="35"/>
  <c r="S6" i="35"/>
  <c r="R6" i="35"/>
  <c r="Q6" i="35"/>
  <c r="O6" i="35"/>
  <c r="N6" i="35"/>
  <c r="M6" i="35"/>
  <c r="L6" i="35"/>
  <c r="I6" i="35"/>
  <c r="H6" i="35"/>
  <c r="G6" i="35"/>
  <c r="D6" i="35"/>
  <c r="C6" i="35"/>
  <c r="B6" i="35"/>
  <c r="AC5" i="35"/>
  <c r="AB5" i="35"/>
  <c r="AA5" i="35"/>
  <c r="X5" i="35"/>
  <c r="W5" i="35"/>
  <c r="V5" i="35"/>
  <c r="S5" i="35"/>
  <c r="R5" i="35"/>
  <c r="Q5" i="35"/>
  <c r="O5" i="35"/>
  <c r="N5" i="35"/>
  <c r="M5" i="35"/>
  <c r="L5" i="35"/>
  <c r="I5" i="35"/>
  <c r="H5" i="35"/>
  <c r="G5" i="35"/>
  <c r="E5" i="35"/>
  <c r="D5" i="35"/>
  <c r="C5" i="35"/>
  <c r="B5" i="35"/>
  <c r="AI4" i="35"/>
  <c r="AH4" i="35"/>
  <c r="AG4" i="35"/>
  <c r="AF4" i="35"/>
  <c r="AC4" i="35"/>
  <c r="AB4" i="35"/>
  <c r="AA4" i="35"/>
  <c r="Y4" i="35"/>
  <c r="X4" i="35"/>
  <c r="W4" i="35"/>
  <c r="V4" i="35"/>
  <c r="T4" i="35"/>
  <c r="S4" i="35"/>
  <c r="R4" i="35"/>
  <c r="Q4" i="35"/>
  <c r="O4" i="35"/>
  <c r="N4" i="35"/>
  <c r="M4" i="35"/>
  <c r="L4" i="35"/>
  <c r="J4" i="35"/>
  <c r="I4" i="35"/>
  <c r="H4" i="35"/>
  <c r="G4" i="35"/>
  <c r="E4" i="35"/>
  <c r="D4" i="35"/>
  <c r="C4" i="35"/>
  <c r="B4" i="35"/>
  <c r="AI3" i="35"/>
  <c r="AH3" i="35"/>
  <c r="AG3" i="35"/>
  <c r="AF3" i="35"/>
  <c r="AD3" i="35"/>
  <c r="AC3" i="35"/>
  <c r="AB3" i="35"/>
  <c r="AA3" i="35"/>
  <c r="Y3" i="35"/>
  <c r="X3" i="35"/>
  <c r="W3" i="35"/>
  <c r="V3" i="35"/>
  <c r="T3" i="35"/>
  <c r="S3" i="35"/>
  <c r="R3" i="35"/>
  <c r="Q3" i="35"/>
  <c r="O3" i="35"/>
  <c r="N3" i="35"/>
  <c r="M3" i="35"/>
  <c r="L3" i="35"/>
  <c r="J3" i="35"/>
  <c r="I3" i="35"/>
  <c r="H3" i="35"/>
  <c r="G3" i="35"/>
  <c r="E3" i="35"/>
  <c r="D3" i="35"/>
  <c r="C3" i="35"/>
  <c r="B3" i="35"/>
  <c r="AF1" i="35"/>
  <c r="AA1" i="35"/>
  <c r="V1" i="35"/>
  <c r="Q1" i="35"/>
  <c r="L1" i="35"/>
  <c r="G1" i="35"/>
  <c r="D120" i="34"/>
  <c r="C120" i="34"/>
  <c r="B120" i="34"/>
  <c r="D119" i="34"/>
  <c r="C119" i="34"/>
  <c r="B119" i="34"/>
  <c r="D118" i="34"/>
  <c r="C118" i="34"/>
  <c r="B118" i="34"/>
  <c r="D117" i="34"/>
  <c r="C117" i="34"/>
  <c r="B117" i="34"/>
  <c r="D116" i="34"/>
  <c r="C116" i="34"/>
  <c r="B116" i="34"/>
  <c r="D115" i="34"/>
  <c r="C115" i="34"/>
  <c r="B115" i="34"/>
  <c r="D114" i="34"/>
  <c r="C114" i="34"/>
  <c r="B114" i="34"/>
  <c r="D113" i="34"/>
  <c r="C113" i="34"/>
  <c r="B113" i="34"/>
  <c r="D112" i="34"/>
  <c r="C112" i="34"/>
  <c r="B112" i="34"/>
  <c r="D111" i="34"/>
  <c r="C111" i="34"/>
  <c r="B111" i="34"/>
  <c r="D110" i="34"/>
  <c r="C110" i="34"/>
  <c r="B110" i="34"/>
  <c r="D109" i="34"/>
  <c r="C109" i="34"/>
  <c r="B109" i="34"/>
  <c r="D108" i="34"/>
  <c r="C108" i="34"/>
  <c r="B108" i="34"/>
  <c r="D107" i="34"/>
  <c r="C107" i="34"/>
  <c r="B107" i="34"/>
  <c r="D106" i="34"/>
  <c r="C106" i="34"/>
  <c r="B106" i="34"/>
  <c r="D105" i="34"/>
  <c r="C105" i="34"/>
  <c r="B105" i="34"/>
  <c r="D104" i="34"/>
  <c r="C104" i="34"/>
  <c r="B104" i="34"/>
  <c r="D103" i="34"/>
  <c r="C103" i="34"/>
  <c r="B103" i="34"/>
  <c r="D102" i="34"/>
  <c r="C102" i="34"/>
  <c r="B102" i="34"/>
  <c r="D101" i="34"/>
  <c r="C101" i="34"/>
  <c r="B101" i="34"/>
  <c r="D100" i="34"/>
  <c r="C100" i="34"/>
  <c r="B100" i="34"/>
  <c r="D99" i="34"/>
  <c r="C99" i="34"/>
  <c r="B99" i="34"/>
  <c r="D98" i="34"/>
  <c r="C98" i="34"/>
  <c r="B98" i="34"/>
  <c r="D97" i="34"/>
  <c r="C97" i="34"/>
  <c r="B97" i="34"/>
  <c r="D96" i="34"/>
  <c r="C96" i="34"/>
  <c r="B96" i="34"/>
  <c r="D95" i="34"/>
  <c r="C95" i="34"/>
  <c r="B95" i="34"/>
  <c r="D94" i="34"/>
  <c r="C94" i="34"/>
  <c r="B94" i="34"/>
  <c r="D93" i="34"/>
  <c r="C93" i="34"/>
  <c r="B93" i="34"/>
  <c r="D92" i="34"/>
  <c r="C92" i="34"/>
  <c r="B92" i="34"/>
  <c r="D91" i="34"/>
  <c r="C91" i="34"/>
  <c r="B91" i="34"/>
  <c r="D90" i="34"/>
  <c r="C90" i="34"/>
  <c r="B90" i="34"/>
  <c r="D89" i="34"/>
  <c r="C89" i="34"/>
  <c r="B89" i="34"/>
  <c r="D88" i="34"/>
  <c r="C88" i="34"/>
  <c r="B88" i="34"/>
  <c r="D87" i="34"/>
  <c r="C87" i="34"/>
  <c r="B87" i="34"/>
  <c r="D86" i="34"/>
  <c r="C86" i="34"/>
  <c r="B86" i="34"/>
  <c r="D85" i="34"/>
  <c r="C85" i="34"/>
  <c r="B85" i="34"/>
  <c r="D84" i="34"/>
  <c r="C84" i="34"/>
  <c r="B84" i="34"/>
  <c r="D83" i="34"/>
  <c r="C83" i="34"/>
  <c r="B83" i="34"/>
  <c r="D82" i="34"/>
  <c r="C82" i="34"/>
  <c r="B82" i="34"/>
  <c r="D81" i="34"/>
  <c r="C81" i="34"/>
  <c r="B81" i="34"/>
  <c r="D80" i="34"/>
  <c r="C80" i="34"/>
  <c r="B80" i="34"/>
  <c r="D79" i="34"/>
  <c r="C79" i="34"/>
  <c r="B79" i="34"/>
  <c r="D78" i="34"/>
  <c r="C78" i="34"/>
  <c r="B78" i="34"/>
  <c r="D77" i="34"/>
  <c r="C77" i="34"/>
  <c r="B77" i="34"/>
  <c r="D76" i="34"/>
  <c r="C76" i="34"/>
  <c r="B76" i="34"/>
  <c r="D75" i="34"/>
  <c r="C75" i="34"/>
  <c r="B75" i="34"/>
  <c r="D74" i="34"/>
  <c r="C74" i="34"/>
  <c r="B74" i="34"/>
  <c r="D73" i="34"/>
  <c r="C73" i="34"/>
  <c r="B73" i="34"/>
  <c r="D72" i="34"/>
  <c r="C72" i="34"/>
  <c r="B72" i="34"/>
  <c r="D71" i="34"/>
  <c r="C71" i="34"/>
  <c r="B71" i="34"/>
  <c r="D70" i="34"/>
  <c r="C70" i="34"/>
  <c r="B70" i="34"/>
  <c r="D69" i="34"/>
  <c r="C69" i="34"/>
  <c r="B69" i="34"/>
  <c r="D68" i="34"/>
  <c r="C68" i="34"/>
  <c r="B68" i="34"/>
  <c r="D67" i="34"/>
  <c r="C67" i="34"/>
  <c r="B67" i="34"/>
  <c r="D66" i="34"/>
  <c r="C66" i="34"/>
  <c r="B66" i="34"/>
  <c r="D65" i="34"/>
  <c r="C65" i="34"/>
  <c r="B65" i="34"/>
  <c r="D64" i="34"/>
  <c r="C64" i="34"/>
  <c r="B64" i="34"/>
  <c r="D63" i="34"/>
  <c r="C63" i="34"/>
  <c r="B63" i="34"/>
  <c r="D62" i="34"/>
  <c r="C62" i="34"/>
  <c r="B62" i="34"/>
  <c r="D61" i="34"/>
  <c r="C61" i="34"/>
  <c r="B61" i="34"/>
  <c r="D60" i="34"/>
  <c r="C60" i="34"/>
  <c r="B60" i="34"/>
  <c r="D59" i="34"/>
  <c r="C59" i="34"/>
  <c r="B59" i="34"/>
  <c r="D58" i="34"/>
  <c r="C58" i="34"/>
  <c r="B58" i="34"/>
  <c r="D57" i="34"/>
  <c r="C57" i="34"/>
  <c r="B57" i="34"/>
  <c r="D56" i="34"/>
  <c r="C56" i="34"/>
  <c r="B56" i="34"/>
  <c r="D55" i="34"/>
  <c r="C55" i="34"/>
  <c r="B55" i="34"/>
  <c r="D54" i="34"/>
  <c r="C54" i="34"/>
  <c r="B54" i="34"/>
  <c r="D53" i="34"/>
  <c r="C53" i="34"/>
  <c r="B53" i="34"/>
  <c r="D52" i="34"/>
  <c r="C52" i="34"/>
  <c r="B52" i="34"/>
  <c r="D51" i="34"/>
  <c r="C51" i="34"/>
  <c r="B51" i="34"/>
  <c r="D50" i="34"/>
  <c r="C50" i="34"/>
  <c r="B50" i="34"/>
  <c r="D49" i="34"/>
  <c r="C49" i="34"/>
  <c r="B49" i="34"/>
  <c r="D48" i="34"/>
  <c r="C48" i="34"/>
  <c r="B48" i="34"/>
  <c r="D47" i="34"/>
  <c r="C47" i="34"/>
  <c r="B47" i="34"/>
  <c r="D46" i="34"/>
  <c r="C46" i="34"/>
  <c r="B46" i="34"/>
  <c r="D45" i="34"/>
  <c r="C45" i="34"/>
  <c r="B45" i="34"/>
  <c r="D44" i="34"/>
  <c r="C44" i="34"/>
  <c r="B44" i="34"/>
  <c r="D43" i="34"/>
  <c r="C43" i="34"/>
  <c r="B43" i="34"/>
  <c r="D42" i="34"/>
  <c r="C42" i="34"/>
  <c r="B42" i="34"/>
  <c r="D41" i="34"/>
  <c r="C41" i="34"/>
  <c r="B41" i="34"/>
  <c r="D40" i="34"/>
  <c r="C40" i="34"/>
  <c r="B40" i="34"/>
  <c r="D39" i="34"/>
  <c r="C39" i="34"/>
  <c r="B39" i="34"/>
  <c r="D38" i="34"/>
  <c r="C38" i="34"/>
  <c r="B38" i="34"/>
  <c r="D37" i="34"/>
  <c r="C37" i="34"/>
  <c r="B37" i="34"/>
  <c r="D36" i="34"/>
  <c r="C36" i="34"/>
  <c r="B36" i="34"/>
  <c r="AC35" i="34"/>
  <c r="AB35" i="34"/>
  <c r="AA35" i="34"/>
  <c r="N35" i="34"/>
  <c r="M35" i="34"/>
  <c r="L35" i="34"/>
  <c r="D35" i="34"/>
  <c r="C35" i="34"/>
  <c r="B35" i="34"/>
  <c r="AC34" i="34"/>
  <c r="AB34" i="34"/>
  <c r="AA34" i="34"/>
  <c r="N34" i="34"/>
  <c r="M34" i="34"/>
  <c r="L34" i="34"/>
  <c r="I34" i="34"/>
  <c r="H34" i="34"/>
  <c r="G34" i="34"/>
  <c r="D34" i="34"/>
  <c r="C34" i="34"/>
  <c r="B34" i="34"/>
  <c r="AC33" i="34"/>
  <c r="AB33" i="34"/>
  <c r="AA33" i="34"/>
  <c r="N33" i="34"/>
  <c r="M33" i="34"/>
  <c r="L33" i="34"/>
  <c r="I33" i="34"/>
  <c r="H33" i="34"/>
  <c r="G33" i="34"/>
  <c r="D33" i="34"/>
  <c r="C33" i="34"/>
  <c r="B33" i="34"/>
  <c r="AC32" i="34"/>
  <c r="AB32" i="34"/>
  <c r="AA32" i="34"/>
  <c r="N32" i="34"/>
  <c r="M32" i="34"/>
  <c r="L32" i="34"/>
  <c r="I32" i="34"/>
  <c r="H32" i="34"/>
  <c r="G32" i="34"/>
  <c r="D32" i="34"/>
  <c r="C32" i="34"/>
  <c r="B32" i="34"/>
  <c r="AC31" i="34"/>
  <c r="AB31" i="34"/>
  <c r="AA31" i="34"/>
  <c r="N31" i="34"/>
  <c r="M31" i="34"/>
  <c r="L31" i="34"/>
  <c r="I31" i="34"/>
  <c r="H31" i="34"/>
  <c r="G31" i="34"/>
  <c r="D31" i="34"/>
  <c r="C31" i="34"/>
  <c r="B31" i="34"/>
  <c r="AC30" i="34"/>
  <c r="AB30" i="34"/>
  <c r="AA30" i="34"/>
  <c r="N30" i="34"/>
  <c r="M30" i="34"/>
  <c r="L30" i="34"/>
  <c r="I30" i="34"/>
  <c r="H30" i="34"/>
  <c r="G30" i="34"/>
  <c r="D30" i="34"/>
  <c r="C30" i="34"/>
  <c r="B30" i="34"/>
  <c r="AC29" i="34"/>
  <c r="AB29" i="34"/>
  <c r="AA29" i="34"/>
  <c r="N29" i="34"/>
  <c r="M29" i="34"/>
  <c r="L29" i="34"/>
  <c r="I29" i="34"/>
  <c r="H29" i="34"/>
  <c r="G29" i="34"/>
  <c r="D29" i="34"/>
  <c r="C29" i="34"/>
  <c r="B29" i="34"/>
  <c r="AC28" i="34"/>
  <c r="AB28" i="34"/>
  <c r="AA28" i="34"/>
  <c r="N28" i="34"/>
  <c r="M28" i="34"/>
  <c r="L28" i="34"/>
  <c r="I28" i="34"/>
  <c r="H28" i="34"/>
  <c r="G28" i="34"/>
  <c r="D28" i="34"/>
  <c r="C28" i="34"/>
  <c r="B28" i="34"/>
  <c r="AC27" i="34"/>
  <c r="AB27" i="34"/>
  <c r="AA27" i="34"/>
  <c r="N27" i="34"/>
  <c r="M27" i="34"/>
  <c r="L27" i="34"/>
  <c r="I27" i="34"/>
  <c r="H27" i="34"/>
  <c r="G27" i="34"/>
  <c r="D27" i="34"/>
  <c r="C27" i="34"/>
  <c r="B27" i="34"/>
  <c r="AC26" i="34"/>
  <c r="AB26" i="34"/>
  <c r="AA26" i="34"/>
  <c r="N26" i="34"/>
  <c r="M26" i="34"/>
  <c r="L26" i="34"/>
  <c r="I26" i="34"/>
  <c r="H26" i="34"/>
  <c r="G26" i="34"/>
  <c r="D26" i="34"/>
  <c r="C26" i="34"/>
  <c r="B26" i="34"/>
  <c r="AC25" i="34"/>
  <c r="AB25" i="34"/>
  <c r="AA25" i="34"/>
  <c r="N25" i="34"/>
  <c r="M25" i="34"/>
  <c r="L25" i="34"/>
  <c r="I25" i="34"/>
  <c r="H25" i="34"/>
  <c r="G25" i="34"/>
  <c r="D25" i="34"/>
  <c r="C25" i="34"/>
  <c r="B25" i="34"/>
  <c r="AC24" i="34"/>
  <c r="AB24" i="34"/>
  <c r="AA24" i="34"/>
  <c r="X24" i="34"/>
  <c r="W24" i="34"/>
  <c r="V24" i="34"/>
  <c r="S24" i="34"/>
  <c r="R24" i="34"/>
  <c r="Q24" i="34"/>
  <c r="N24" i="34"/>
  <c r="M24" i="34"/>
  <c r="L24" i="34"/>
  <c r="I24" i="34"/>
  <c r="H24" i="34"/>
  <c r="G24" i="34"/>
  <c r="D24" i="34"/>
  <c r="C24" i="34"/>
  <c r="B24" i="34"/>
  <c r="AC23" i="34"/>
  <c r="AB23" i="34"/>
  <c r="AA23" i="34"/>
  <c r="X23" i="34"/>
  <c r="W23" i="34"/>
  <c r="V23" i="34"/>
  <c r="S23" i="34"/>
  <c r="R23" i="34"/>
  <c r="Q23" i="34"/>
  <c r="N23" i="34"/>
  <c r="M23" i="34"/>
  <c r="L23" i="34"/>
  <c r="I23" i="34"/>
  <c r="H23" i="34"/>
  <c r="G23" i="34"/>
  <c r="D23" i="34"/>
  <c r="C23" i="34"/>
  <c r="B23" i="34"/>
  <c r="AC22" i="34"/>
  <c r="AB22" i="34"/>
  <c r="AA22" i="34"/>
  <c r="X22" i="34"/>
  <c r="W22" i="34"/>
  <c r="V22" i="34"/>
  <c r="S22" i="34"/>
  <c r="R22" i="34"/>
  <c r="Q22" i="34"/>
  <c r="N22" i="34"/>
  <c r="M22" i="34"/>
  <c r="L22" i="34"/>
  <c r="I22" i="34"/>
  <c r="H22" i="34"/>
  <c r="G22" i="34"/>
  <c r="D22" i="34"/>
  <c r="C22" i="34"/>
  <c r="B22" i="34"/>
  <c r="AC21" i="34"/>
  <c r="AB21" i="34"/>
  <c r="AA21" i="34"/>
  <c r="X21" i="34"/>
  <c r="W21" i="34"/>
  <c r="V21" i="34"/>
  <c r="S21" i="34"/>
  <c r="R21" i="34"/>
  <c r="Q21" i="34"/>
  <c r="N21" i="34"/>
  <c r="M21" i="34"/>
  <c r="L21" i="34"/>
  <c r="I21" i="34"/>
  <c r="H21" i="34"/>
  <c r="G21" i="34"/>
  <c r="D21" i="34"/>
  <c r="C21" i="34"/>
  <c r="B21" i="34"/>
  <c r="AC20" i="34"/>
  <c r="AB20" i="34"/>
  <c r="AA20" i="34"/>
  <c r="X20" i="34"/>
  <c r="W20" i="34"/>
  <c r="V20" i="34"/>
  <c r="S20" i="34"/>
  <c r="R20" i="34"/>
  <c r="Q20" i="34"/>
  <c r="N20" i="34"/>
  <c r="M20" i="34"/>
  <c r="L20" i="34"/>
  <c r="I20" i="34"/>
  <c r="H20" i="34"/>
  <c r="G20" i="34"/>
  <c r="D20" i="34"/>
  <c r="C20" i="34"/>
  <c r="B20" i="34"/>
  <c r="AC19" i="34"/>
  <c r="AB19" i="34"/>
  <c r="AA19" i="34"/>
  <c r="X19" i="34"/>
  <c r="W19" i="34"/>
  <c r="V19" i="34"/>
  <c r="S19" i="34"/>
  <c r="R19" i="34"/>
  <c r="Q19" i="34"/>
  <c r="N19" i="34"/>
  <c r="M19" i="34"/>
  <c r="L19" i="34"/>
  <c r="I19" i="34"/>
  <c r="H19" i="34"/>
  <c r="G19" i="34"/>
  <c r="D19" i="34"/>
  <c r="C19" i="34"/>
  <c r="B19" i="34"/>
  <c r="AH18" i="34"/>
  <c r="AG18" i="34"/>
  <c r="AF18" i="34"/>
  <c r="AC18" i="34"/>
  <c r="AB18" i="34"/>
  <c r="AA18" i="34"/>
  <c r="X18" i="34"/>
  <c r="W18" i="34"/>
  <c r="V18" i="34"/>
  <c r="S18" i="34"/>
  <c r="R18" i="34"/>
  <c r="Q18" i="34"/>
  <c r="N18" i="34"/>
  <c r="M18" i="34"/>
  <c r="L18" i="34"/>
  <c r="I18" i="34"/>
  <c r="H18" i="34"/>
  <c r="G18" i="34"/>
  <c r="D18" i="34"/>
  <c r="C18" i="34"/>
  <c r="B18" i="34"/>
  <c r="AH17" i="34"/>
  <c r="AG17" i="34"/>
  <c r="AF17" i="34"/>
  <c r="AC17" i="34"/>
  <c r="AB17" i="34"/>
  <c r="AA17" i="34"/>
  <c r="X17" i="34"/>
  <c r="W17" i="34"/>
  <c r="V17" i="34"/>
  <c r="S17" i="34"/>
  <c r="R17" i="34"/>
  <c r="Q17" i="34"/>
  <c r="N17" i="34"/>
  <c r="M17" i="34"/>
  <c r="L17" i="34"/>
  <c r="I17" i="34"/>
  <c r="H17" i="34"/>
  <c r="G17" i="34"/>
  <c r="D17" i="34"/>
  <c r="C17" i="34"/>
  <c r="B17" i="34"/>
  <c r="AH16" i="34"/>
  <c r="AG16" i="34"/>
  <c r="AF16" i="34"/>
  <c r="AC16" i="34"/>
  <c r="AB16" i="34"/>
  <c r="AA16" i="34"/>
  <c r="X16" i="34"/>
  <c r="W16" i="34"/>
  <c r="V16" i="34"/>
  <c r="S16" i="34"/>
  <c r="R16" i="34"/>
  <c r="Q16" i="34"/>
  <c r="N16" i="34"/>
  <c r="M16" i="34"/>
  <c r="L16" i="34"/>
  <c r="I16" i="34"/>
  <c r="H16" i="34"/>
  <c r="G16" i="34"/>
  <c r="D16" i="34"/>
  <c r="C16" i="34"/>
  <c r="B16" i="34"/>
  <c r="AH15" i="34"/>
  <c r="AG15" i="34"/>
  <c r="AF15" i="34"/>
  <c r="AC15" i="34"/>
  <c r="AB15" i="34"/>
  <c r="AA15" i="34"/>
  <c r="X15" i="34"/>
  <c r="W15" i="34"/>
  <c r="V15" i="34"/>
  <c r="S15" i="34"/>
  <c r="R15" i="34"/>
  <c r="Q15" i="34"/>
  <c r="N15" i="34"/>
  <c r="M15" i="34"/>
  <c r="L15" i="34"/>
  <c r="I15" i="34"/>
  <c r="H15" i="34"/>
  <c r="G15" i="34"/>
  <c r="E15" i="34"/>
  <c r="D15" i="34"/>
  <c r="C15" i="34"/>
  <c r="B15" i="34"/>
  <c r="AH14" i="34"/>
  <c r="AG14" i="34"/>
  <c r="AF14" i="34"/>
  <c r="AC14" i="34"/>
  <c r="AB14" i="34"/>
  <c r="AA14" i="34"/>
  <c r="X14" i="34"/>
  <c r="W14" i="34"/>
  <c r="V14" i="34"/>
  <c r="S14" i="34"/>
  <c r="R14" i="34"/>
  <c r="Q14" i="34"/>
  <c r="N14" i="34"/>
  <c r="M14" i="34"/>
  <c r="L14" i="34"/>
  <c r="I14" i="34"/>
  <c r="H14" i="34"/>
  <c r="G14" i="34"/>
  <c r="E14" i="34"/>
  <c r="D14" i="34"/>
  <c r="C14" i="34"/>
  <c r="B14" i="34"/>
  <c r="AH13" i="34"/>
  <c r="AG13" i="34"/>
  <c r="AF13" i="34"/>
  <c r="AC13" i="34"/>
  <c r="AB13" i="34"/>
  <c r="AA13" i="34"/>
  <c r="X13" i="34"/>
  <c r="W13" i="34"/>
  <c r="V13" i="34"/>
  <c r="S13" i="34"/>
  <c r="R13" i="34"/>
  <c r="Q13" i="34"/>
  <c r="N13" i="34"/>
  <c r="M13" i="34"/>
  <c r="L13" i="34"/>
  <c r="I13" i="34"/>
  <c r="H13" i="34"/>
  <c r="G13" i="34"/>
  <c r="E13" i="34"/>
  <c r="D13" i="34"/>
  <c r="C13" i="34"/>
  <c r="B13" i="34"/>
  <c r="AH12" i="34"/>
  <c r="AG12" i="34"/>
  <c r="AF12" i="34"/>
  <c r="AC12" i="34"/>
  <c r="AB12" i="34"/>
  <c r="AA12" i="34"/>
  <c r="X12" i="34"/>
  <c r="W12" i="34"/>
  <c r="V12" i="34"/>
  <c r="S12" i="34"/>
  <c r="R12" i="34"/>
  <c r="Q12" i="34"/>
  <c r="N12" i="34"/>
  <c r="M12" i="34"/>
  <c r="L12" i="34"/>
  <c r="I12" i="34"/>
  <c r="H12" i="34"/>
  <c r="G12" i="34"/>
  <c r="E12" i="34"/>
  <c r="D12" i="34"/>
  <c r="C12" i="34"/>
  <c r="B12" i="34"/>
  <c r="AH11" i="34"/>
  <c r="AG11" i="34"/>
  <c r="AF11" i="34"/>
  <c r="AC11" i="34"/>
  <c r="AB11" i="34"/>
  <c r="AA11" i="34"/>
  <c r="X11" i="34"/>
  <c r="W11" i="34"/>
  <c r="V11" i="34"/>
  <c r="S11" i="34"/>
  <c r="R11" i="34"/>
  <c r="Q11" i="34"/>
  <c r="N11" i="34"/>
  <c r="M11" i="34"/>
  <c r="L11" i="34"/>
  <c r="I11" i="34"/>
  <c r="H11" i="34"/>
  <c r="G11" i="34"/>
  <c r="E11" i="34"/>
  <c r="D11" i="34"/>
  <c r="C11" i="34"/>
  <c r="B11" i="34"/>
  <c r="AH10" i="34"/>
  <c r="AG10" i="34"/>
  <c r="AF10" i="34"/>
  <c r="AC10" i="34"/>
  <c r="AB10" i="34"/>
  <c r="AA10" i="34"/>
  <c r="X10" i="34"/>
  <c r="W10" i="34"/>
  <c r="V10" i="34"/>
  <c r="S10" i="34"/>
  <c r="R10" i="34"/>
  <c r="Q10" i="34"/>
  <c r="N10" i="34"/>
  <c r="M10" i="34"/>
  <c r="L10" i="34"/>
  <c r="I10" i="34"/>
  <c r="H10" i="34"/>
  <c r="G10" i="34"/>
  <c r="E10" i="34"/>
  <c r="D10" i="34"/>
  <c r="C10" i="34"/>
  <c r="B10" i="34"/>
  <c r="AH9" i="34"/>
  <c r="AG9" i="34"/>
  <c r="AF9" i="34"/>
  <c r="AC9" i="34"/>
  <c r="AB9" i="34"/>
  <c r="AA9" i="34"/>
  <c r="X9" i="34"/>
  <c r="W9" i="34"/>
  <c r="V9" i="34"/>
  <c r="S9" i="34"/>
  <c r="R9" i="34"/>
  <c r="Q9" i="34"/>
  <c r="N9" i="34"/>
  <c r="M9" i="34"/>
  <c r="L9" i="34"/>
  <c r="I9" i="34"/>
  <c r="H9" i="34"/>
  <c r="G9" i="34"/>
  <c r="E9" i="34"/>
  <c r="D9" i="34"/>
  <c r="C9" i="34"/>
  <c r="B9" i="34"/>
  <c r="AH8" i="34"/>
  <c r="AG8" i="34"/>
  <c r="AF8" i="34"/>
  <c r="AC8" i="34"/>
  <c r="AB8" i="34"/>
  <c r="AA8" i="34"/>
  <c r="X8" i="34"/>
  <c r="W8" i="34"/>
  <c r="V8" i="34"/>
  <c r="S8" i="34"/>
  <c r="R8" i="34"/>
  <c r="Q8" i="34"/>
  <c r="N8" i="34"/>
  <c r="M8" i="34"/>
  <c r="L8" i="34"/>
  <c r="I8" i="34"/>
  <c r="H8" i="34"/>
  <c r="G8" i="34"/>
  <c r="E8" i="34"/>
  <c r="D8" i="34"/>
  <c r="C8" i="34"/>
  <c r="B8" i="34"/>
  <c r="AH7" i="34"/>
  <c r="AG7" i="34"/>
  <c r="AF7" i="34"/>
  <c r="AC7" i="34"/>
  <c r="AB7" i="34"/>
  <c r="AA7" i="34"/>
  <c r="X7" i="34"/>
  <c r="W7" i="34"/>
  <c r="V7" i="34"/>
  <c r="S7" i="34"/>
  <c r="R7" i="34"/>
  <c r="Q7" i="34"/>
  <c r="N7" i="34"/>
  <c r="M7" i="34"/>
  <c r="L7" i="34"/>
  <c r="I7" i="34"/>
  <c r="H7" i="34"/>
  <c r="G7" i="34"/>
  <c r="E7" i="34"/>
  <c r="D7" i="34"/>
  <c r="C7" i="34"/>
  <c r="B7" i="34"/>
  <c r="AH6" i="34"/>
  <c r="AG6" i="34"/>
  <c r="AF6" i="34"/>
  <c r="AC6" i="34"/>
  <c r="AB6" i="34"/>
  <c r="AA6" i="34"/>
  <c r="X6" i="34"/>
  <c r="W6" i="34"/>
  <c r="V6" i="34"/>
  <c r="T6" i="34"/>
  <c r="S6" i="34"/>
  <c r="R6" i="34"/>
  <c r="Q6" i="34"/>
  <c r="N6" i="34"/>
  <c r="M6" i="34"/>
  <c r="L6" i="34"/>
  <c r="I6" i="34"/>
  <c r="H6" i="34"/>
  <c r="G6" i="34"/>
  <c r="E6" i="34"/>
  <c r="D6" i="34"/>
  <c r="C6" i="34"/>
  <c r="B6" i="34"/>
  <c r="AH5" i="34"/>
  <c r="AG5" i="34"/>
  <c r="AF5" i="34"/>
  <c r="AD5" i="34"/>
  <c r="AC5" i="34"/>
  <c r="AB5" i="34"/>
  <c r="AA5" i="34"/>
  <c r="X5" i="34"/>
  <c r="W5" i="34"/>
  <c r="V5" i="34"/>
  <c r="T5" i="34"/>
  <c r="S5" i="34"/>
  <c r="R5" i="34"/>
  <c r="Q5" i="34"/>
  <c r="O5" i="34"/>
  <c r="N5" i="34"/>
  <c r="M5" i="34"/>
  <c r="L5" i="34"/>
  <c r="J5" i="34"/>
  <c r="I5" i="34"/>
  <c r="H5" i="34"/>
  <c r="G5" i="34"/>
  <c r="E5" i="34"/>
  <c r="D5" i="34"/>
  <c r="C5" i="34"/>
  <c r="B5" i="34"/>
  <c r="AI4" i="34"/>
  <c r="AH4" i="34"/>
  <c r="AG4" i="34"/>
  <c r="AF4" i="34"/>
  <c r="AD4" i="34"/>
  <c r="AC4" i="34"/>
  <c r="AB4" i="34"/>
  <c r="AA4" i="34"/>
  <c r="Y4" i="34"/>
  <c r="X4" i="34"/>
  <c r="W4" i="34"/>
  <c r="V4" i="34"/>
  <c r="T4" i="34"/>
  <c r="S4" i="34"/>
  <c r="R4" i="34"/>
  <c r="Q4" i="34"/>
  <c r="O4" i="34"/>
  <c r="N4" i="34"/>
  <c r="M4" i="34"/>
  <c r="L4" i="34"/>
  <c r="J4" i="34"/>
  <c r="I4" i="34"/>
  <c r="H4" i="34"/>
  <c r="G4" i="34"/>
  <c r="E4" i="34"/>
  <c r="D4" i="34"/>
  <c r="C4" i="34"/>
  <c r="B4" i="34"/>
  <c r="AI3" i="34"/>
  <c r="AH3" i="34"/>
  <c r="AG3" i="34"/>
  <c r="AF3" i="34"/>
  <c r="AD3" i="34"/>
  <c r="AC3" i="34"/>
  <c r="AB3" i="34"/>
  <c r="AA3" i="34"/>
  <c r="Y3" i="34"/>
  <c r="X3" i="34"/>
  <c r="W3" i="34"/>
  <c r="V3" i="34"/>
  <c r="T3" i="34"/>
  <c r="S3" i="34"/>
  <c r="R3" i="34"/>
  <c r="Q3" i="34"/>
  <c r="O3" i="34"/>
  <c r="N3" i="34"/>
  <c r="M3" i="34"/>
  <c r="L3" i="34"/>
  <c r="J3" i="34"/>
  <c r="I3" i="34"/>
  <c r="H3" i="34"/>
  <c r="G3" i="34"/>
  <c r="E3" i="34"/>
  <c r="D3" i="34"/>
  <c r="C3" i="34"/>
  <c r="B3" i="34"/>
  <c r="AF1" i="34"/>
  <c r="AA1" i="34"/>
  <c r="V1" i="34"/>
  <c r="Q1" i="34"/>
  <c r="L1" i="34"/>
  <c r="G1" i="34"/>
  <c r="D50" i="33"/>
  <c r="C50" i="33"/>
  <c r="B50" i="33"/>
  <c r="D49" i="33"/>
  <c r="C49" i="33"/>
  <c r="B49" i="33"/>
  <c r="D48" i="33"/>
  <c r="C48" i="33"/>
  <c r="B48" i="33"/>
  <c r="D47" i="33"/>
  <c r="C47" i="33"/>
  <c r="B47" i="33"/>
  <c r="D46" i="33"/>
  <c r="C46" i="33"/>
  <c r="B46" i="33"/>
  <c r="D45" i="33"/>
  <c r="C45" i="33"/>
  <c r="B45" i="33"/>
  <c r="D44" i="33"/>
  <c r="C44" i="33"/>
  <c r="B44" i="33"/>
  <c r="D43" i="33"/>
  <c r="C43" i="33"/>
  <c r="B43" i="33"/>
  <c r="D42" i="33"/>
  <c r="C42" i="33"/>
  <c r="B42" i="33"/>
  <c r="D41" i="33"/>
  <c r="C41" i="33"/>
  <c r="B41" i="33"/>
  <c r="D40" i="33"/>
  <c r="C40" i="33"/>
  <c r="B40" i="33"/>
  <c r="D39" i="33"/>
  <c r="C39" i="33"/>
  <c r="B39" i="33"/>
  <c r="D38" i="33"/>
  <c r="C38" i="33"/>
  <c r="B38" i="33"/>
  <c r="D37" i="33"/>
  <c r="C37" i="33"/>
  <c r="B37" i="33"/>
  <c r="D36" i="33"/>
  <c r="C36" i="33"/>
  <c r="B36" i="33"/>
  <c r="D35" i="33"/>
  <c r="C35" i="33"/>
  <c r="B35" i="33"/>
  <c r="I34" i="33"/>
  <c r="H34" i="33"/>
  <c r="G34" i="33"/>
  <c r="D34" i="33"/>
  <c r="C34" i="33"/>
  <c r="B34" i="33"/>
  <c r="I33" i="33"/>
  <c r="H33" i="33"/>
  <c r="G33" i="33"/>
  <c r="D33" i="33"/>
  <c r="C33" i="33"/>
  <c r="B33" i="33"/>
  <c r="I32" i="33"/>
  <c r="H32" i="33"/>
  <c r="G32" i="33"/>
  <c r="D32" i="33"/>
  <c r="C32" i="33"/>
  <c r="B32" i="33"/>
  <c r="I31" i="33"/>
  <c r="H31" i="33"/>
  <c r="G31" i="33"/>
  <c r="D31" i="33"/>
  <c r="C31" i="33"/>
  <c r="B31" i="33"/>
  <c r="I30" i="33"/>
  <c r="H30" i="33"/>
  <c r="G30" i="33"/>
  <c r="D30" i="33"/>
  <c r="C30" i="33"/>
  <c r="B30" i="33"/>
  <c r="I29" i="33"/>
  <c r="H29" i="33"/>
  <c r="G29" i="33"/>
  <c r="D29" i="33"/>
  <c r="C29" i="33"/>
  <c r="B29" i="33"/>
  <c r="AC28" i="33"/>
  <c r="AB28" i="33"/>
  <c r="AA28" i="33"/>
  <c r="I28" i="33"/>
  <c r="H28" i="33"/>
  <c r="G28" i="33"/>
  <c r="D28" i="33"/>
  <c r="C28" i="33"/>
  <c r="B28" i="33"/>
  <c r="AC27" i="33"/>
  <c r="AB27" i="33"/>
  <c r="AA27" i="33"/>
  <c r="I27" i="33"/>
  <c r="H27" i="33"/>
  <c r="G27" i="33"/>
  <c r="D27" i="33"/>
  <c r="C27" i="33"/>
  <c r="B27" i="33"/>
  <c r="AH26" i="33"/>
  <c r="AG26" i="33"/>
  <c r="AF26" i="33"/>
  <c r="AC26" i="33"/>
  <c r="AB26" i="33"/>
  <c r="AA26" i="33"/>
  <c r="N26" i="33"/>
  <c r="M26" i="33"/>
  <c r="L26" i="33"/>
  <c r="I26" i="33"/>
  <c r="H26" i="33"/>
  <c r="G26" i="33"/>
  <c r="D26" i="33"/>
  <c r="C26" i="33"/>
  <c r="B26" i="33"/>
  <c r="AH25" i="33"/>
  <c r="AG25" i="33"/>
  <c r="AF25" i="33"/>
  <c r="AC25" i="33"/>
  <c r="AB25" i="33"/>
  <c r="AA25" i="33"/>
  <c r="N25" i="33"/>
  <c r="M25" i="33"/>
  <c r="L25" i="33"/>
  <c r="I25" i="33"/>
  <c r="H25" i="33"/>
  <c r="G25" i="33"/>
  <c r="D25" i="33"/>
  <c r="C25" i="33"/>
  <c r="B25" i="33"/>
  <c r="AH24" i="33"/>
  <c r="AG24" i="33"/>
  <c r="AF24" i="33"/>
  <c r="AC24" i="33"/>
  <c r="AB24" i="33"/>
  <c r="AA24" i="33"/>
  <c r="N24" i="33"/>
  <c r="M24" i="33"/>
  <c r="L24" i="33"/>
  <c r="I24" i="33"/>
  <c r="H24" i="33"/>
  <c r="G24" i="33"/>
  <c r="D24" i="33"/>
  <c r="C24" i="33"/>
  <c r="B24" i="33"/>
  <c r="AH23" i="33"/>
  <c r="AG23" i="33"/>
  <c r="AF23" i="33"/>
  <c r="AC23" i="33"/>
  <c r="AB23" i="33"/>
  <c r="AA23" i="33"/>
  <c r="N23" i="33"/>
  <c r="M23" i="33"/>
  <c r="L23" i="33"/>
  <c r="I23" i="33"/>
  <c r="H23" i="33"/>
  <c r="G23" i="33"/>
  <c r="D23" i="33"/>
  <c r="C23" i="33"/>
  <c r="B23" i="33"/>
  <c r="AH22" i="33"/>
  <c r="AG22" i="33"/>
  <c r="AF22" i="33"/>
  <c r="AC22" i="33"/>
  <c r="AB22" i="33"/>
  <c r="AA22" i="33"/>
  <c r="S22" i="33"/>
  <c r="R22" i="33"/>
  <c r="Q22" i="33"/>
  <c r="N22" i="33"/>
  <c r="M22" i="33"/>
  <c r="L22" i="33"/>
  <c r="I22" i="33"/>
  <c r="H22" i="33"/>
  <c r="G22" i="33"/>
  <c r="D22" i="33"/>
  <c r="C22" i="33"/>
  <c r="B22" i="33"/>
  <c r="AH21" i="33"/>
  <c r="AG21" i="33"/>
  <c r="AF21" i="33"/>
  <c r="AC21" i="33"/>
  <c r="AB21" i="33"/>
  <c r="AA21" i="33"/>
  <c r="S21" i="33"/>
  <c r="R21" i="33"/>
  <c r="Q21" i="33"/>
  <c r="N21" i="33"/>
  <c r="M21" i="33"/>
  <c r="L21" i="33"/>
  <c r="I21" i="33"/>
  <c r="H21" i="33"/>
  <c r="G21" i="33"/>
  <c r="D21" i="33"/>
  <c r="C21" i="33"/>
  <c r="B21" i="33"/>
  <c r="AH20" i="33"/>
  <c r="AG20" i="33"/>
  <c r="AF20" i="33"/>
  <c r="AC20" i="33"/>
  <c r="AB20" i="33"/>
  <c r="AA20" i="33"/>
  <c r="S20" i="33"/>
  <c r="R20" i="33"/>
  <c r="Q20" i="33"/>
  <c r="N20" i="33"/>
  <c r="M20" i="33"/>
  <c r="L20" i="33"/>
  <c r="I20" i="33"/>
  <c r="H20" i="33"/>
  <c r="G20" i="33"/>
  <c r="D20" i="33"/>
  <c r="C20" i="33"/>
  <c r="B20" i="33"/>
  <c r="AH19" i="33"/>
  <c r="AG19" i="33"/>
  <c r="AF19" i="33"/>
  <c r="AC19" i="33"/>
  <c r="AB19" i="33"/>
  <c r="AA19" i="33"/>
  <c r="S19" i="33"/>
  <c r="R19" i="33"/>
  <c r="Q19" i="33"/>
  <c r="N19" i="33"/>
  <c r="M19" i="33"/>
  <c r="L19" i="33"/>
  <c r="I19" i="33"/>
  <c r="H19" i="33"/>
  <c r="G19" i="33"/>
  <c r="D19" i="33"/>
  <c r="C19" i="33"/>
  <c r="B19" i="33"/>
  <c r="AH18" i="33"/>
  <c r="AG18" i="33"/>
  <c r="AF18" i="33"/>
  <c r="AC18" i="33"/>
  <c r="AB18" i="33"/>
  <c r="AA18" i="33"/>
  <c r="S18" i="33"/>
  <c r="R18" i="33"/>
  <c r="Q18" i="33"/>
  <c r="N18" i="33"/>
  <c r="M18" i="33"/>
  <c r="L18" i="33"/>
  <c r="I18" i="33"/>
  <c r="H18" i="33"/>
  <c r="G18" i="33"/>
  <c r="D18" i="33"/>
  <c r="C18" i="33"/>
  <c r="B18" i="33"/>
  <c r="AH17" i="33"/>
  <c r="AG17" i="33"/>
  <c r="AF17" i="33"/>
  <c r="AC17" i="33"/>
  <c r="AB17" i="33"/>
  <c r="AA17" i="33"/>
  <c r="S17" i="33"/>
  <c r="R17" i="33"/>
  <c r="Q17" i="33"/>
  <c r="N17" i="33"/>
  <c r="M17" i="33"/>
  <c r="L17" i="33"/>
  <c r="I17" i="33"/>
  <c r="H17" i="33"/>
  <c r="G17" i="33"/>
  <c r="D17" i="33"/>
  <c r="C17" i="33"/>
  <c r="B17" i="33"/>
  <c r="AH16" i="33"/>
  <c r="AG16" i="33"/>
  <c r="AF16" i="33"/>
  <c r="AC16" i="33"/>
  <c r="AB16" i="33"/>
  <c r="AA16" i="33"/>
  <c r="S16" i="33"/>
  <c r="R16" i="33"/>
  <c r="Q16" i="33"/>
  <c r="N16" i="33"/>
  <c r="M16" i="33"/>
  <c r="L16" i="33"/>
  <c r="I16" i="33"/>
  <c r="H16" i="33"/>
  <c r="G16" i="33"/>
  <c r="D16" i="33"/>
  <c r="C16" i="33"/>
  <c r="B16" i="33"/>
  <c r="AH15" i="33"/>
  <c r="AG15" i="33"/>
  <c r="AF15" i="33"/>
  <c r="AC15" i="33"/>
  <c r="AB15" i="33"/>
  <c r="AA15" i="33"/>
  <c r="S15" i="33"/>
  <c r="R15" i="33"/>
  <c r="Q15" i="33"/>
  <c r="N15" i="33"/>
  <c r="M15" i="33"/>
  <c r="L15" i="33"/>
  <c r="I15" i="33"/>
  <c r="H15" i="33"/>
  <c r="G15" i="33"/>
  <c r="D15" i="33"/>
  <c r="C15" i="33"/>
  <c r="B15" i="33"/>
  <c r="AH14" i="33"/>
  <c r="AG14" i="33"/>
  <c r="AF14" i="33"/>
  <c r="AC14" i="33"/>
  <c r="AB14" i="33"/>
  <c r="AA14" i="33"/>
  <c r="S14" i="33"/>
  <c r="R14" i="33"/>
  <c r="Q14" i="33"/>
  <c r="N14" i="33"/>
  <c r="M14" i="33"/>
  <c r="L14" i="33"/>
  <c r="I14" i="33"/>
  <c r="H14" i="33"/>
  <c r="G14" i="33"/>
  <c r="D14" i="33"/>
  <c r="C14" i="33"/>
  <c r="B14" i="33"/>
  <c r="AH13" i="33"/>
  <c r="AG13" i="33"/>
  <c r="AF13" i="33"/>
  <c r="AC13" i="33"/>
  <c r="AB13" i="33"/>
  <c r="AA13" i="33"/>
  <c r="S13" i="33"/>
  <c r="R13" i="33"/>
  <c r="Q13" i="33"/>
  <c r="N13" i="33"/>
  <c r="M13" i="33"/>
  <c r="L13" i="33"/>
  <c r="I13" i="33"/>
  <c r="H13" i="33"/>
  <c r="G13" i="33"/>
  <c r="D13" i="33"/>
  <c r="C13" i="33"/>
  <c r="B13" i="33"/>
  <c r="AH12" i="33"/>
  <c r="AG12" i="33"/>
  <c r="AF12" i="33"/>
  <c r="AC12" i="33"/>
  <c r="AB12" i="33"/>
  <c r="AA12" i="33"/>
  <c r="X12" i="33"/>
  <c r="W12" i="33"/>
  <c r="V12" i="33"/>
  <c r="S12" i="33"/>
  <c r="R12" i="33"/>
  <c r="Q12" i="33"/>
  <c r="N12" i="33"/>
  <c r="M12" i="33"/>
  <c r="L12" i="33"/>
  <c r="I12" i="33"/>
  <c r="H12" i="33"/>
  <c r="G12" i="33"/>
  <c r="D12" i="33"/>
  <c r="C12" i="33"/>
  <c r="B12" i="33"/>
  <c r="AH11" i="33"/>
  <c r="AG11" i="33"/>
  <c r="AF11" i="33"/>
  <c r="AC11" i="33"/>
  <c r="AB11" i="33"/>
  <c r="AA11" i="33"/>
  <c r="X11" i="33"/>
  <c r="W11" i="33"/>
  <c r="V11" i="33"/>
  <c r="S11" i="33"/>
  <c r="R11" i="33"/>
  <c r="Q11" i="33"/>
  <c r="N11" i="33"/>
  <c r="M11" i="33"/>
  <c r="L11" i="33"/>
  <c r="I11" i="33"/>
  <c r="H11" i="33"/>
  <c r="G11" i="33"/>
  <c r="D11" i="33"/>
  <c r="C11" i="33"/>
  <c r="B11" i="33"/>
  <c r="AH10" i="33"/>
  <c r="AG10" i="33"/>
  <c r="AF10" i="33"/>
  <c r="AC10" i="33"/>
  <c r="AB10" i="33"/>
  <c r="AA10" i="33"/>
  <c r="X10" i="33"/>
  <c r="W10" i="33"/>
  <c r="V10" i="33"/>
  <c r="S10" i="33"/>
  <c r="R10" i="33"/>
  <c r="Q10" i="33"/>
  <c r="N10" i="33"/>
  <c r="M10" i="33"/>
  <c r="L10" i="33"/>
  <c r="I10" i="33"/>
  <c r="H10" i="33"/>
  <c r="G10" i="33"/>
  <c r="E10" i="33"/>
  <c r="D10" i="33"/>
  <c r="C10" i="33"/>
  <c r="B10" i="33"/>
  <c r="AH9" i="33"/>
  <c r="AG9" i="33"/>
  <c r="AF9" i="33"/>
  <c r="AC9" i="33"/>
  <c r="AB9" i="33"/>
  <c r="AA9" i="33"/>
  <c r="X9" i="33"/>
  <c r="W9" i="33"/>
  <c r="V9" i="33"/>
  <c r="S9" i="33"/>
  <c r="R9" i="33"/>
  <c r="Q9" i="33"/>
  <c r="N9" i="33"/>
  <c r="M9" i="33"/>
  <c r="L9" i="33"/>
  <c r="I9" i="33"/>
  <c r="H9" i="33"/>
  <c r="G9" i="33"/>
  <c r="E9" i="33"/>
  <c r="D9" i="33"/>
  <c r="C9" i="33"/>
  <c r="B9" i="33"/>
  <c r="AH8" i="33"/>
  <c r="AG8" i="33"/>
  <c r="AF8" i="33"/>
  <c r="AC8" i="33"/>
  <c r="AB8" i="33"/>
  <c r="AA8" i="33"/>
  <c r="X8" i="33"/>
  <c r="W8" i="33"/>
  <c r="V8" i="33"/>
  <c r="S8" i="33"/>
  <c r="R8" i="33"/>
  <c r="Q8" i="33"/>
  <c r="N8" i="33"/>
  <c r="M8" i="33"/>
  <c r="L8" i="33"/>
  <c r="I8" i="33"/>
  <c r="H8" i="33"/>
  <c r="G8" i="33"/>
  <c r="E8" i="33"/>
  <c r="D8" i="33"/>
  <c r="C8" i="33"/>
  <c r="B8" i="33"/>
  <c r="AH7" i="33"/>
  <c r="AG7" i="33"/>
  <c r="AF7" i="33"/>
  <c r="AD7" i="33"/>
  <c r="AC7" i="33"/>
  <c r="AB7" i="33"/>
  <c r="AA7" i="33"/>
  <c r="X7" i="33"/>
  <c r="W7" i="33"/>
  <c r="V7" i="33"/>
  <c r="S7" i="33"/>
  <c r="R7" i="33"/>
  <c r="Q7" i="33"/>
  <c r="N7" i="33"/>
  <c r="M7" i="33"/>
  <c r="L7" i="33"/>
  <c r="I7" i="33"/>
  <c r="H7" i="33"/>
  <c r="G7" i="33"/>
  <c r="E7" i="33"/>
  <c r="D7" i="33"/>
  <c r="C7" i="33"/>
  <c r="B7" i="33"/>
  <c r="AI6" i="33"/>
  <c r="AH6" i="33"/>
  <c r="AG6" i="33"/>
  <c r="AF6" i="33"/>
  <c r="AD6" i="33"/>
  <c r="AC6" i="33"/>
  <c r="AB6" i="33"/>
  <c r="AA6" i="33"/>
  <c r="X6" i="33"/>
  <c r="W6" i="33"/>
  <c r="V6" i="33"/>
  <c r="S6" i="33"/>
  <c r="R6" i="33"/>
  <c r="Q6" i="33"/>
  <c r="O6" i="33"/>
  <c r="N6" i="33"/>
  <c r="M6" i="33"/>
  <c r="L6" i="33"/>
  <c r="I6" i="33"/>
  <c r="H6" i="33"/>
  <c r="G6" i="33"/>
  <c r="E6" i="33"/>
  <c r="D6" i="33"/>
  <c r="C6" i="33"/>
  <c r="B6" i="33"/>
  <c r="AI5" i="33"/>
  <c r="AH5" i="33"/>
  <c r="AG5" i="33"/>
  <c r="AF5" i="33"/>
  <c r="AD5" i="33"/>
  <c r="AC5" i="33"/>
  <c r="AB5" i="33"/>
  <c r="AA5" i="33"/>
  <c r="X5" i="33"/>
  <c r="W5" i="33"/>
  <c r="V5" i="33"/>
  <c r="T5" i="33"/>
  <c r="S5" i="33"/>
  <c r="R5" i="33"/>
  <c r="Q5" i="33"/>
  <c r="O5" i="33"/>
  <c r="N5" i="33"/>
  <c r="M5" i="33"/>
  <c r="L5" i="33"/>
  <c r="J5" i="33"/>
  <c r="I5" i="33"/>
  <c r="H5" i="33"/>
  <c r="G5" i="33"/>
  <c r="E5" i="33"/>
  <c r="D5" i="33"/>
  <c r="C5" i="33"/>
  <c r="B5" i="33"/>
  <c r="AI4" i="33"/>
  <c r="AH4" i="33"/>
  <c r="AG4" i="33"/>
  <c r="AF4" i="33"/>
  <c r="AD4" i="33"/>
  <c r="AC4" i="33"/>
  <c r="AB4" i="33"/>
  <c r="AA4" i="33"/>
  <c r="X4" i="33"/>
  <c r="W4" i="33"/>
  <c r="V4" i="33"/>
  <c r="T4" i="33"/>
  <c r="S4" i="33"/>
  <c r="R4" i="33"/>
  <c r="Q4" i="33"/>
  <c r="O4" i="33"/>
  <c r="N4" i="33"/>
  <c r="M4" i="33"/>
  <c r="L4" i="33"/>
  <c r="J4" i="33"/>
  <c r="I4" i="33"/>
  <c r="H4" i="33"/>
  <c r="G4" i="33"/>
  <c r="E4" i="33"/>
  <c r="D4" i="33"/>
  <c r="C4" i="33"/>
  <c r="B4" i="33"/>
  <c r="AI3" i="33"/>
  <c r="AH3" i="33"/>
  <c r="AG3" i="33"/>
  <c r="AF3" i="33"/>
  <c r="AD3" i="33"/>
  <c r="AC3" i="33"/>
  <c r="AB3" i="33"/>
  <c r="AA3" i="33"/>
  <c r="Y3" i="33"/>
  <c r="X3" i="33"/>
  <c r="W3" i="33"/>
  <c r="V3" i="33"/>
  <c r="T3" i="33"/>
  <c r="S3" i="33"/>
  <c r="R3" i="33"/>
  <c r="Q3" i="33"/>
  <c r="O3" i="33"/>
  <c r="N3" i="33"/>
  <c r="M3" i="33"/>
  <c r="L3" i="33"/>
  <c r="J3" i="33"/>
  <c r="I3" i="33"/>
  <c r="H3" i="33"/>
  <c r="G3" i="33"/>
  <c r="E3" i="33"/>
  <c r="D3" i="33"/>
  <c r="C3" i="33"/>
  <c r="B3" i="33"/>
  <c r="AF1" i="33"/>
  <c r="AA1" i="33"/>
  <c r="V1" i="33"/>
  <c r="Q1" i="33"/>
  <c r="L1" i="33"/>
  <c r="G1" i="33"/>
  <c r="D74" i="32"/>
  <c r="C74" i="32"/>
  <c r="B74" i="32"/>
  <c r="D73" i="32"/>
  <c r="C73" i="32"/>
  <c r="B73" i="32"/>
  <c r="D72" i="32"/>
  <c r="C72" i="32"/>
  <c r="B72" i="32"/>
  <c r="D71" i="32"/>
  <c r="C71" i="32"/>
  <c r="B71" i="32"/>
  <c r="D70" i="32"/>
  <c r="C70" i="32"/>
  <c r="B70" i="32"/>
  <c r="D69" i="32"/>
  <c r="C69" i="32"/>
  <c r="B69" i="32"/>
  <c r="D68" i="32"/>
  <c r="C68" i="32"/>
  <c r="B68" i="32"/>
  <c r="D67" i="32"/>
  <c r="C67" i="32"/>
  <c r="B67" i="32"/>
  <c r="D66" i="32"/>
  <c r="C66" i="32"/>
  <c r="B66" i="32"/>
  <c r="D65" i="32"/>
  <c r="C65" i="32"/>
  <c r="B65" i="32"/>
  <c r="D64" i="32"/>
  <c r="C64" i="32"/>
  <c r="B64" i="32"/>
  <c r="D63" i="32"/>
  <c r="C63" i="32"/>
  <c r="B63" i="32"/>
  <c r="D62" i="32"/>
  <c r="C62" i="32"/>
  <c r="B62" i="32"/>
  <c r="D61" i="32"/>
  <c r="C61" i="32"/>
  <c r="B61" i="32"/>
  <c r="D60" i="32"/>
  <c r="C60" i="32"/>
  <c r="B60" i="32"/>
  <c r="D59" i="32"/>
  <c r="C59" i="32"/>
  <c r="B59" i="32"/>
  <c r="D58" i="32"/>
  <c r="C58" i="32"/>
  <c r="B58" i="32"/>
  <c r="D57" i="32"/>
  <c r="C57" i="32"/>
  <c r="B57" i="32"/>
  <c r="D56" i="32"/>
  <c r="C56" i="32"/>
  <c r="B56" i="32"/>
  <c r="D55" i="32"/>
  <c r="C55" i="32"/>
  <c r="B55" i="32"/>
  <c r="D54" i="32"/>
  <c r="C54" i="32"/>
  <c r="B54" i="32"/>
  <c r="D53" i="32"/>
  <c r="C53" i="32"/>
  <c r="B53" i="32"/>
  <c r="D52" i="32"/>
  <c r="C52" i="32"/>
  <c r="B52" i="32"/>
  <c r="D51" i="32"/>
  <c r="C51" i="32"/>
  <c r="B51" i="32"/>
  <c r="D50" i="32"/>
  <c r="C50" i="32"/>
  <c r="B50" i="32"/>
  <c r="D49" i="32"/>
  <c r="C49" i="32"/>
  <c r="B49" i="32"/>
  <c r="D48" i="32"/>
  <c r="C48" i="32"/>
  <c r="B48" i="32"/>
  <c r="D47" i="32"/>
  <c r="C47" i="32"/>
  <c r="B47" i="32"/>
  <c r="D46" i="32"/>
  <c r="C46" i="32"/>
  <c r="B46" i="32"/>
  <c r="D45" i="32"/>
  <c r="C45" i="32"/>
  <c r="B45" i="32"/>
  <c r="D44" i="32"/>
  <c r="C44" i="32"/>
  <c r="B44" i="32"/>
  <c r="D43" i="32"/>
  <c r="C43" i="32"/>
  <c r="B43" i="32"/>
  <c r="D42" i="32"/>
  <c r="C42" i="32"/>
  <c r="B42" i="32"/>
  <c r="D41" i="32"/>
  <c r="C41" i="32"/>
  <c r="B41" i="32"/>
  <c r="D40" i="32"/>
  <c r="C40" i="32"/>
  <c r="B40" i="32"/>
  <c r="D39" i="32"/>
  <c r="C39" i="32"/>
  <c r="B39" i="32"/>
  <c r="D38" i="32"/>
  <c r="C38" i="32"/>
  <c r="B38" i="32"/>
  <c r="S37" i="32"/>
  <c r="R37" i="32"/>
  <c r="Q37" i="32"/>
  <c r="D37" i="32"/>
  <c r="C37" i="32"/>
  <c r="B37" i="32"/>
  <c r="S36" i="32"/>
  <c r="R36" i="32"/>
  <c r="Q36" i="32"/>
  <c r="D36" i="32"/>
  <c r="C36" i="32"/>
  <c r="B36" i="32"/>
  <c r="S35" i="32"/>
  <c r="R35" i="32"/>
  <c r="Q35" i="32"/>
  <c r="D35" i="32"/>
  <c r="C35" i="32"/>
  <c r="B35" i="32"/>
  <c r="S34" i="32"/>
  <c r="R34" i="32"/>
  <c r="Q34" i="32"/>
  <c r="D34" i="32"/>
  <c r="C34" i="32"/>
  <c r="B34" i="32"/>
  <c r="S33" i="32"/>
  <c r="R33" i="32"/>
  <c r="Q33" i="32"/>
  <c r="D33" i="32"/>
  <c r="C33" i="32"/>
  <c r="B33" i="32"/>
  <c r="S32" i="32"/>
  <c r="R32" i="32"/>
  <c r="Q32" i="32"/>
  <c r="D32" i="32"/>
  <c r="C32" i="32"/>
  <c r="B32" i="32"/>
  <c r="S31" i="32"/>
  <c r="R31" i="32"/>
  <c r="Q31" i="32"/>
  <c r="D31" i="32"/>
  <c r="C31" i="32"/>
  <c r="B31" i="32"/>
  <c r="S30" i="32"/>
  <c r="R30" i="32"/>
  <c r="Q30" i="32"/>
  <c r="D30" i="32"/>
  <c r="C30" i="32"/>
  <c r="B30" i="32"/>
  <c r="S29" i="32"/>
  <c r="R29" i="32"/>
  <c r="Q29" i="32"/>
  <c r="D29" i="32"/>
  <c r="C29" i="32"/>
  <c r="B29" i="32"/>
  <c r="S28" i="32"/>
  <c r="R28" i="32"/>
  <c r="Q28" i="32"/>
  <c r="D28" i="32"/>
  <c r="C28" i="32"/>
  <c r="B28" i="32"/>
  <c r="AC27" i="32"/>
  <c r="AB27" i="32"/>
  <c r="AA27" i="32"/>
  <c r="S27" i="32"/>
  <c r="R27" i="32"/>
  <c r="Q27" i="32"/>
  <c r="I27" i="32"/>
  <c r="H27" i="32"/>
  <c r="G27" i="32"/>
  <c r="D27" i="32"/>
  <c r="C27" i="32"/>
  <c r="B27" i="32"/>
  <c r="AC26" i="32"/>
  <c r="AB26" i="32"/>
  <c r="AA26" i="32"/>
  <c r="S26" i="32"/>
  <c r="R26" i="32"/>
  <c r="Q26" i="32"/>
  <c r="I26" i="32"/>
  <c r="H26" i="32"/>
  <c r="G26" i="32"/>
  <c r="D26" i="32"/>
  <c r="C26" i="32"/>
  <c r="B26" i="32"/>
  <c r="AC25" i="32"/>
  <c r="AB25" i="32"/>
  <c r="AA25" i="32"/>
  <c r="S25" i="32"/>
  <c r="R25" i="32"/>
  <c r="Q25" i="32"/>
  <c r="I25" i="32"/>
  <c r="H25" i="32"/>
  <c r="G25" i="32"/>
  <c r="D25" i="32"/>
  <c r="C25" i="32"/>
  <c r="B25" i="32"/>
  <c r="AC24" i="32"/>
  <c r="AB24" i="32"/>
  <c r="AA24" i="32"/>
  <c r="S24" i="32"/>
  <c r="R24" i="32"/>
  <c r="Q24" i="32"/>
  <c r="I24" i="32"/>
  <c r="H24" i="32"/>
  <c r="G24" i="32"/>
  <c r="D24" i="32"/>
  <c r="C24" i="32"/>
  <c r="B24" i="32"/>
  <c r="AH23" i="32"/>
  <c r="AG23" i="32"/>
  <c r="AF23" i="32"/>
  <c r="AC23" i="32"/>
  <c r="AB23" i="32"/>
  <c r="AA23" i="32"/>
  <c r="S23" i="32"/>
  <c r="R23" i="32"/>
  <c r="Q23" i="32"/>
  <c r="N23" i="32"/>
  <c r="M23" i="32"/>
  <c r="L23" i="32"/>
  <c r="I23" i="32"/>
  <c r="H23" i="32"/>
  <c r="G23" i="32"/>
  <c r="D23" i="32"/>
  <c r="C23" i="32"/>
  <c r="B23" i="32"/>
  <c r="AH22" i="32"/>
  <c r="AG22" i="32"/>
  <c r="AF22" i="32"/>
  <c r="AC22" i="32"/>
  <c r="AB22" i="32"/>
  <c r="AA22" i="32"/>
  <c r="S22" i="32"/>
  <c r="R22" i="32"/>
  <c r="Q22" i="32"/>
  <c r="N22" i="32"/>
  <c r="M22" i="32"/>
  <c r="L22" i="32"/>
  <c r="I22" i="32"/>
  <c r="H22" i="32"/>
  <c r="G22" i="32"/>
  <c r="D22" i="32"/>
  <c r="C22" i="32"/>
  <c r="B22" i="32"/>
  <c r="AH21" i="32"/>
  <c r="AG21" i="32"/>
  <c r="AF21" i="32"/>
  <c r="AC21" i="32"/>
  <c r="AB21" i="32"/>
  <c r="AA21" i="32"/>
  <c r="S21" i="32"/>
  <c r="R21" i="32"/>
  <c r="Q21" i="32"/>
  <c r="N21" i="32"/>
  <c r="M21" i="32"/>
  <c r="L21" i="32"/>
  <c r="I21" i="32"/>
  <c r="H21" i="32"/>
  <c r="G21" i="32"/>
  <c r="D21" i="32"/>
  <c r="C21" i="32"/>
  <c r="B21" i="32"/>
  <c r="AH20" i="32"/>
  <c r="AG20" i="32"/>
  <c r="AF20" i="32"/>
  <c r="AC20" i="32"/>
  <c r="AB20" i="32"/>
  <c r="AA20" i="32"/>
  <c r="S20" i="32"/>
  <c r="R20" i="32"/>
  <c r="Q20" i="32"/>
  <c r="N20" i="32"/>
  <c r="M20" i="32"/>
  <c r="L20" i="32"/>
  <c r="I20" i="32"/>
  <c r="H20" i="32"/>
  <c r="G20" i="32"/>
  <c r="D20" i="32"/>
  <c r="C20" i="32"/>
  <c r="B20" i="32"/>
  <c r="AH19" i="32"/>
  <c r="AG19" i="32"/>
  <c r="AF19" i="32"/>
  <c r="AC19" i="32"/>
  <c r="AB19" i="32"/>
  <c r="AA19" i="32"/>
  <c r="S19" i="32"/>
  <c r="R19" i="32"/>
  <c r="Q19" i="32"/>
  <c r="N19" i="32"/>
  <c r="M19" i="32"/>
  <c r="L19" i="32"/>
  <c r="I19" i="32"/>
  <c r="H19" i="32"/>
  <c r="G19" i="32"/>
  <c r="D19" i="32"/>
  <c r="C19" i="32"/>
  <c r="B19" i="32"/>
  <c r="AH18" i="32"/>
  <c r="AG18" i="32"/>
  <c r="AF18" i="32"/>
  <c r="AC18" i="32"/>
  <c r="AB18" i="32"/>
  <c r="AA18" i="32"/>
  <c r="S18" i="32"/>
  <c r="R18" i="32"/>
  <c r="Q18" i="32"/>
  <c r="N18" i="32"/>
  <c r="M18" i="32"/>
  <c r="L18" i="32"/>
  <c r="I18" i="32"/>
  <c r="H18" i="32"/>
  <c r="G18" i="32"/>
  <c r="D18" i="32"/>
  <c r="C18" i="32"/>
  <c r="B18" i="32"/>
  <c r="AH17" i="32"/>
  <c r="AG17" i="32"/>
  <c r="AF17" i="32"/>
  <c r="AC17" i="32"/>
  <c r="AB17" i="32"/>
  <c r="AA17" i="32"/>
  <c r="S17" i="32"/>
  <c r="R17" i="32"/>
  <c r="Q17" i="32"/>
  <c r="N17" i="32"/>
  <c r="M17" i="32"/>
  <c r="L17" i="32"/>
  <c r="I17" i="32"/>
  <c r="H17" i="32"/>
  <c r="G17" i="32"/>
  <c r="D17" i="32"/>
  <c r="C17" i="32"/>
  <c r="B17" i="32"/>
  <c r="AH16" i="32"/>
  <c r="AG16" i="32"/>
  <c r="AF16" i="32"/>
  <c r="AC16" i="32"/>
  <c r="AB16" i="32"/>
  <c r="AA16" i="32"/>
  <c r="S16" i="32"/>
  <c r="R16" i="32"/>
  <c r="Q16" i="32"/>
  <c r="N16" i="32"/>
  <c r="M16" i="32"/>
  <c r="L16" i="32"/>
  <c r="I16" i="32"/>
  <c r="H16" i="32"/>
  <c r="G16" i="32"/>
  <c r="D16" i="32"/>
  <c r="C16" i="32"/>
  <c r="B16" i="32"/>
  <c r="AH15" i="32"/>
  <c r="AG15" i="32"/>
  <c r="AF15" i="32"/>
  <c r="AC15" i="32"/>
  <c r="AB15" i="32"/>
  <c r="AA15" i="32"/>
  <c r="S15" i="32"/>
  <c r="R15" i="32"/>
  <c r="Q15" i="32"/>
  <c r="N15" i="32"/>
  <c r="M15" i="32"/>
  <c r="L15" i="32"/>
  <c r="I15" i="32"/>
  <c r="H15" i="32"/>
  <c r="G15" i="32"/>
  <c r="D15" i="32"/>
  <c r="C15" i="32"/>
  <c r="B15" i="32"/>
  <c r="AH14" i="32"/>
  <c r="AG14" i="32"/>
  <c r="AF14" i="32"/>
  <c r="AC14" i="32"/>
  <c r="AB14" i="32"/>
  <c r="AA14" i="32"/>
  <c r="S14" i="32"/>
  <c r="R14" i="32"/>
  <c r="Q14" i="32"/>
  <c r="N14" i="32"/>
  <c r="M14" i="32"/>
  <c r="L14" i="32"/>
  <c r="I14" i="32"/>
  <c r="H14" i="32"/>
  <c r="G14" i="32"/>
  <c r="D14" i="32"/>
  <c r="C14" i="32"/>
  <c r="B14" i="32"/>
  <c r="AH13" i="32"/>
  <c r="AG13" i="32"/>
  <c r="AF13" i="32"/>
  <c r="AC13" i="32"/>
  <c r="AB13" i="32"/>
  <c r="AA13" i="32"/>
  <c r="S13" i="32"/>
  <c r="R13" i="32"/>
  <c r="Q13" i="32"/>
  <c r="N13" i="32"/>
  <c r="M13" i="32"/>
  <c r="L13" i="32"/>
  <c r="I13" i="32"/>
  <c r="H13" i="32"/>
  <c r="G13" i="32"/>
  <c r="D13" i="32"/>
  <c r="C13" i="32"/>
  <c r="B13" i="32"/>
  <c r="AH12" i="32"/>
  <c r="AG12" i="32"/>
  <c r="AF12" i="32"/>
  <c r="AC12" i="32"/>
  <c r="AB12" i="32"/>
  <c r="AA12" i="32"/>
  <c r="S12" i="32"/>
  <c r="R12" i="32"/>
  <c r="Q12" i="32"/>
  <c r="N12" i="32"/>
  <c r="M12" i="32"/>
  <c r="L12" i="32"/>
  <c r="I12" i="32"/>
  <c r="H12" i="32"/>
  <c r="G12" i="32"/>
  <c r="D12" i="32"/>
  <c r="C12" i="32"/>
  <c r="B12" i="32"/>
  <c r="AH11" i="32"/>
  <c r="AG11" i="32"/>
  <c r="AF11" i="32"/>
  <c r="AC11" i="32"/>
  <c r="AB11" i="32"/>
  <c r="AA11" i="32"/>
  <c r="S11" i="32"/>
  <c r="R11" i="32"/>
  <c r="Q11" i="32"/>
  <c r="N11" i="32"/>
  <c r="M11" i="32"/>
  <c r="L11" i="32"/>
  <c r="I11" i="32"/>
  <c r="H11" i="32"/>
  <c r="G11" i="32"/>
  <c r="E11" i="32"/>
  <c r="D11" i="32"/>
  <c r="C11" i="32"/>
  <c r="B11" i="32"/>
  <c r="AH10" i="32"/>
  <c r="AG10" i="32"/>
  <c r="AF10" i="32"/>
  <c r="AC10" i="32"/>
  <c r="AB10" i="32"/>
  <c r="AA10" i="32"/>
  <c r="X10" i="32"/>
  <c r="W10" i="32"/>
  <c r="V10" i="32"/>
  <c r="S10" i="32"/>
  <c r="R10" i="32"/>
  <c r="Q10" i="32"/>
  <c r="N10" i="32"/>
  <c r="M10" i="32"/>
  <c r="L10" i="32"/>
  <c r="I10" i="32"/>
  <c r="H10" i="32"/>
  <c r="G10" i="32"/>
  <c r="E10" i="32"/>
  <c r="D10" i="32"/>
  <c r="C10" i="32"/>
  <c r="B10" i="32"/>
  <c r="AH9" i="32"/>
  <c r="AG9" i="32"/>
  <c r="AF9" i="32"/>
  <c r="AC9" i="32"/>
  <c r="AB9" i="32"/>
  <c r="AA9" i="32"/>
  <c r="X9" i="32"/>
  <c r="W9" i="32"/>
  <c r="V9" i="32"/>
  <c r="S9" i="32"/>
  <c r="R9" i="32"/>
  <c r="Q9" i="32"/>
  <c r="N9" i="32"/>
  <c r="M9" i="32"/>
  <c r="L9" i="32"/>
  <c r="I9" i="32"/>
  <c r="H9" i="32"/>
  <c r="G9" i="32"/>
  <c r="E9" i="32"/>
  <c r="D9" i="32"/>
  <c r="C9" i="32"/>
  <c r="B9" i="32"/>
  <c r="AH8" i="32"/>
  <c r="AG8" i="32"/>
  <c r="AF8" i="32"/>
  <c r="AC8" i="32"/>
  <c r="AB8" i="32"/>
  <c r="AA8" i="32"/>
  <c r="X8" i="32"/>
  <c r="W8" i="32"/>
  <c r="V8" i="32"/>
  <c r="S8" i="32"/>
  <c r="R8" i="32"/>
  <c r="Q8" i="32"/>
  <c r="N8" i="32"/>
  <c r="M8" i="32"/>
  <c r="L8" i="32"/>
  <c r="I8" i="32"/>
  <c r="H8" i="32"/>
  <c r="G8" i="32"/>
  <c r="E8" i="32"/>
  <c r="D8" i="32"/>
  <c r="C8" i="32"/>
  <c r="B8" i="32"/>
  <c r="AI7" i="32"/>
  <c r="AH7" i="32"/>
  <c r="AG7" i="32"/>
  <c r="AF7" i="32"/>
  <c r="AC7" i="32"/>
  <c r="AB7" i="32"/>
  <c r="AA7" i="32"/>
  <c r="X7" i="32"/>
  <c r="W7" i="32"/>
  <c r="V7" i="32"/>
  <c r="S7" i="32"/>
  <c r="R7" i="32"/>
  <c r="Q7" i="32"/>
  <c r="N7" i="32"/>
  <c r="M7" i="32"/>
  <c r="L7" i="32"/>
  <c r="I7" i="32"/>
  <c r="H7" i="32"/>
  <c r="G7" i="32"/>
  <c r="E7" i="32"/>
  <c r="D7" i="32"/>
  <c r="C7" i="32"/>
  <c r="B7" i="32"/>
  <c r="AI6" i="32"/>
  <c r="AH6" i="32"/>
  <c r="AG6" i="32"/>
  <c r="AF6" i="32"/>
  <c r="AC6" i="32"/>
  <c r="AB6" i="32"/>
  <c r="AA6" i="32"/>
  <c r="X6" i="32"/>
  <c r="W6" i="32"/>
  <c r="V6" i="32"/>
  <c r="S6" i="32"/>
  <c r="R6" i="32"/>
  <c r="Q6" i="32"/>
  <c r="N6" i="32"/>
  <c r="M6" i="32"/>
  <c r="L6" i="32"/>
  <c r="I6" i="32"/>
  <c r="H6" i="32"/>
  <c r="G6" i="32"/>
  <c r="E6" i="32"/>
  <c r="D6" i="32"/>
  <c r="C6" i="32"/>
  <c r="B6" i="32"/>
  <c r="AI5" i="32"/>
  <c r="AH5" i="32"/>
  <c r="AG5" i="32"/>
  <c r="AF5" i="32"/>
  <c r="AD5" i="32"/>
  <c r="AC5" i="32"/>
  <c r="AB5" i="32"/>
  <c r="AA5" i="32"/>
  <c r="X5" i="32"/>
  <c r="W5" i="32"/>
  <c r="V5" i="32"/>
  <c r="T5" i="32"/>
  <c r="S5" i="32"/>
  <c r="R5" i="32"/>
  <c r="Q5" i="32"/>
  <c r="N5" i="32"/>
  <c r="M5" i="32"/>
  <c r="L5" i="32"/>
  <c r="J5" i="32"/>
  <c r="I5" i="32"/>
  <c r="H5" i="32"/>
  <c r="G5" i="32"/>
  <c r="E5" i="32"/>
  <c r="D5" i="32"/>
  <c r="C5" i="32"/>
  <c r="B5" i="32"/>
  <c r="AI4" i="32"/>
  <c r="AH4" i="32"/>
  <c r="AG4" i="32"/>
  <c r="AF4" i="32"/>
  <c r="AD4" i="32"/>
  <c r="AC4" i="32"/>
  <c r="AB4" i="32"/>
  <c r="AA4" i="32"/>
  <c r="Y4" i="32"/>
  <c r="X4" i="32"/>
  <c r="W4" i="32"/>
  <c r="V4" i="32"/>
  <c r="T4" i="32"/>
  <c r="S4" i="32"/>
  <c r="R4" i="32"/>
  <c r="Q4" i="32"/>
  <c r="O4" i="32"/>
  <c r="N4" i="32"/>
  <c r="M4" i="32"/>
  <c r="L4" i="32"/>
  <c r="J4" i="32"/>
  <c r="I4" i="32"/>
  <c r="H4" i="32"/>
  <c r="G4" i="32"/>
  <c r="E4" i="32"/>
  <c r="D4" i="32"/>
  <c r="C4" i="32"/>
  <c r="B4" i="32"/>
  <c r="AI3" i="32"/>
  <c r="AH3" i="32"/>
  <c r="AG3" i="32"/>
  <c r="AF3" i="32"/>
  <c r="AD3" i="32"/>
  <c r="AC3" i="32"/>
  <c r="AB3" i="32"/>
  <c r="AA3" i="32"/>
  <c r="Y3" i="32"/>
  <c r="X3" i="32"/>
  <c r="W3" i="32"/>
  <c r="V3" i="32"/>
  <c r="T3" i="32"/>
  <c r="S3" i="32"/>
  <c r="R3" i="32"/>
  <c r="Q3" i="32"/>
  <c r="O3" i="32"/>
  <c r="N3" i="32"/>
  <c r="M3" i="32"/>
  <c r="L3" i="32"/>
  <c r="J3" i="32"/>
  <c r="I3" i="32"/>
  <c r="H3" i="32"/>
  <c r="G3" i="32"/>
  <c r="E3" i="32"/>
  <c r="D3" i="32"/>
  <c r="C3" i="32"/>
  <c r="B3" i="32"/>
  <c r="AF1" i="32"/>
  <c r="AA1" i="32"/>
  <c r="V1" i="32"/>
  <c r="Q1" i="32"/>
  <c r="L1" i="32"/>
  <c r="G1" i="32"/>
  <c r="D93" i="31"/>
  <c r="C93" i="31"/>
  <c r="B93" i="31"/>
  <c r="D92" i="31"/>
  <c r="C92" i="31"/>
  <c r="B92" i="31"/>
  <c r="D91" i="31"/>
  <c r="C91" i="31"/>
  <c r="B91" i="31"/>
  <c r="D90" i="31"/>
  <c r="C90" i="31"/>
  <c r="B90" i="31"/>
  <c r="D89" i="31"/>
  <c r="C89" i="31"/>
  <c r="B89" i="31"/>
  <c r="D88" i="31"/>
  <c r="C88" i="31"/>
  <c r="B88" i="31"/>
  <c r="D87" i="31"/>
  <c r="C87" i="31"/>
  <c r="B87" i="31"/>
  <c r="D86" i="31"/>
  <c r="C86" i="31"/>
  <c r="B86" i="31"/>
  <c r="D85" i="31"/>
  <c r="C85" i="31"/>
  <c r="B85" i="31"/>
  <c r="D84" i="31"/>
  <c r="C84" i="31"/>
  <c r="B84" i="31"/>
  <c r="D83" i="31"/>
  <c r="C83" i="31"/>
  <c r="B83" i="31"/>
  <c r="D82" i="31"/>
  <c r="C82" i="31"/>
  <c r="B82" i="31"/>
  <c r="D81" i="31"/>
  <c r="C81" i="31"/>
  <c r="B81" i="31"/>
  <c r="D80" i="31"/>
  <c r="C80" i="31"/>
  <c r="B80" i="31"/>
  <c r="D79" i="31"/>
  <c r="C79" i="31"/>
  <c r="B79" i="31"/>
  <c r="D78" i="31"/>
  <c r="C78" i="31"/>
  <c r="B78" i="31"/>
  <c r="D77" i="31"/>
  <c r="C77" i="31"/>
  <c r="B77" i="31"/>
  <c r="D76" i="31"/>
  <c r="C76" i="31"/>
  <c r="B76" i="31"/>
  <c r="D75" i="31"/>
  <c r="C75" i="31"/>
  <c r="B75" i="31"/>
  <c r="D74" i="31"/>
  <c r="C74" i="31"/>
  <c r="B74" i="31"/>
  <c r="D73" i="31"/>
  <c r="C73" i="31"/>
  <c r="B73" i="31"/>
  <c r="D72" i="31"/>
  <c r="C72" i="31"/>
  <c r="B72" i="31"/>
  <c r="D71" i="31"/>
  <c r="C71" i="31"/>
  <c r="B71" i="31"/>
  <c r="D70" i="31"/>
  <c r="C70" i="31"/>
  <c r="B70" i="31"/>
  <c r="D69" i="31"/>
  <c r="C69" i="31"/>
  <c r="B69" i="31"/>
  <c r="D68" i="31"/>
  <c r="C68" i="31"/>
  <c r="B68" i="31"/>
  <c r="D67" i="31"/>
  <c r="C67" i="31"/>
  <c r="B67" i="31"/>
  <c r="D66" i="31"/>
  <c r="C66" i="31"/>
  <c r="B66" i="31"/>
  <c r="D65" i="31"/>
  <c r="C65" i="31"/>
  <c r="B65" i="31"/>
  <c r="D64" i="31"/>
  <c r="C64" i="31"/>
  <c r="B64" i="31"/>
  <c r="D63" i="31"/>
  <c r="C63" i="31"/>
  <c r="B63" i="31"/>
  <c r="D62" i="31"/>
  <c r="C62" i="31"/>
  <c r="B62" i="31"/>
  <c r="D61" i="31"/>
  <c r="C61" i="31"/>
  <c r="B61" i="31"/>
  <c r="D60" i="31"/>
  <c r="C60" i="31"/>
  <c r="B60" i="31"/>
  <c r="D59" i="31"/>
  <c r="C59" i="31"/>
  <c r="B59" i="31"/>
  <c r="D58" i="31"/>
  <c r="C58" i="31"/>
  <c r="B58" i="31"/>
  <c r="D57" i="31"/>
  <c r="C57" i="31"/>
  <c r="B57" i="31"/>
  <c r="D56" i="31"/>
  <c r="C56" i="31"/>
  <c r="B56" i="31"/>
  <c r="D55" i="31"/>
  <c r="C55" i="31"/>
  <c r="B55" i="31"/>
  <c r="D54" i="31"/>
  <c r="C54" i="31"/>
  <c r="B54" i="31"/>
  <c r="D53" i="31"/>
  <c r="C53" i="31"/>
  <c r="B53" i="31"/>
  <c r="D52" i="31"/>
  <c r="C52" i="31"/>
  <c r="B52" i="31"/>
  <c r="D51" i="31"/>
  <c r="C51" i="31"/>
  <c r="B51" i="31"/>
  <c r="D50" i="31"/>
  <c r="C50" i="31"/>
  <c r="B50" i="31"/>
  <c r="D49" i="31"/>
  <c r="C49" i="31"/>
  <c r="B49" i="31"/>
  <c r="D48" i="31"/>
  <c r="C48" i="31"/>
  <c r="B48" i="31"/>
  <c r="D47" i="31"/>
  <c r="C47" i="31"/>
  <c r="B47" i="31"/>
  <c r="D46" i="31"/>
  <c r="C46" i="31"/>
  <c r="B46" i="31"/>
  <c r="D45" i="31"/>
  <c r="C45" i="31"/>
  <c r="B45" i="31"/>
  <c r="D44" i="31"/>
  <c r="C44" i="31"/>
  <c r="B44" i="31"/>
  <c r="D43" i="31"/>
  <c r="C43" i="31"/>
  <c r="B43" i="31"/>
  <c r="S42" i="31"/>
  <c r="R42" i="31"/>
  <c r="Q42" i="31"/>
  <c r="D42" i="31"/>
  <c r="C42" i="31"/>
  <c r="B42" i="31"/>
  <c r="S41" i="31"/>
  <c r="R41" i="31"/>
  <c r="Q41" i="31"/>
  <c r="D41" i="31"/>
  <c r="C41" i="31"/>
  <c r="B41" i="31"/>
  <c r="S40" i="31"/>
  <c r="R40" i="31"/>
  <c r="Q40" i="31"/>
  <c r="D40" i="31"/>
  <c r="C40" i="31"/>
  <c r="B40" i="31"/>
  <c r="S39" i="31"/>
  <c r="R39" i="31"/>
  <c r="Q39" i="31"/>
  <c r="D39" i="31"/>
  <c r="C39" i="31"/>
  <c r="B39" i="31"/>
  <c r="S38" i="31"/>
  <c r="R38" i="31"/>
  <c r="Q38" i="31"/>
  <c r="D38" i="31"/>
  <c r="C38" i="31"/>
  <c r="B38" i="31"/>
  <c r="S37" i="31"/>
  <c r="R37" i="31"/>
  <c r="Q37" i="31"/>
  <c r="D37" i="31"/>
  <c r="C37" i="31"/>
  <c r="B37" i="31"/>
  <c r="S36" i="31"/>
  <c r="R36" i="31"/>
  <c r="Q36" i="31"/>
  <c r="D36" i="31"/>
  <c r="C36" i="31"/>
  <c r="B36" i="31"/>
  <c r="S35" i="31"/>
  <c r="R35" i="31"/>
  <c r="Q35" i="31"/>
  <c r="D35" i="31"/>
  <c r="C35" i="31"/>
  <c r="B35" i="31"/>
  <c r="S34" i="31"/>
  <c r="R34" i="31"/>
  <c r="Q34" i="31"/>
  <c r="D34" i="31"/>
  <c r="C34" i="31"/>
  <c r="B34" i="31"/>
  <c r="S33" i="31"/>
  <c r="R33" i="31"/>
  <c r="Q33" i="31"/>
  <c r="D33" i="31"/>
  <c r="C33" i="31"/>
  <c r="B33" i="31"/>
  <c r="S32" i="31"/>
  <c r="R32" i="31"/>
  <c r="Q32" i="31"/>
  <c r="D32" i="31"/>
  <c r="C32" i="31"/>
  <c r="B32" i="31"/>
  <c r="S31" i="31"/>
  <c r="R31" i="31"/>
  <c r="Q31" i="31"/>
  <c r="D31" i="31"/>
  <c r="C31" i="31"/>
  <c r="B31" i="31"/>
  <c r="S30" i="31"/>
  <c r="R30" i="31"/>
  <c r="Q30" i="31"/>
  <c r="D30" i="31"/>
  <c r="C30" i="31"/>
  <c r="B30" i="31"/>
  <c r="S29" i="31"/>
  <c r="R29" i="31"/>
  <c r="Q29" i="31"/>
  <c r="D29" i="31"/>
  <c r="C29" i="31"/>
  <c r="B29" i="31"/>
  <c r="S28" i="31"/>
  <c r="R28" i="31"/>
  <c r="Q28" i="31"/>
  <c r="D28" i="31"/>
  <c r="C28" i="31"/>
  <c r="B28" i="31"/>
  <c r="S27" i="31"/>
  <c r="R27" i="31"/>
  <c r="Q27" i="31"/>
  <c r="D27" i="31"/>
  <c r="C27" i="31"/>
  <c r="B27" i="31"/>
  <c r="S26" i="31"/>
  <c r="R26" i="31"/>
  <c r="Q26" i="31"/>
  <c r="D26" i="31"/>
  <c r="C26" i="31"/>
  <c r="B26" i="31"/>
  <c r="S25" i="31"/>
  <c r="R25" i="31"/>
  <c r="Q25" i="31"/>
  <c r="I25" i="31"/>
  <c r="H25" i="31"/>
  <c r="G25" i="31"/>
  <c r="D25" i="31"/>
  <c r="C25" i="31"/>
  <c r="B25" i="31"/>
  <c r="S24" i="31"/>
  <c r="R24" i="31"/>
  <c r="Q24" i="31"/>
  <c r="I24" i="31"/>
  <c r="H24" i="31"/>
  <c r="G24" i="31"/>
  <c r="D24" i="31"/>
  <c r="C24" i="31"/>
  <c r="B24" i="31"/>
  <c r="S23" i="31"/>
  <c r="R23" i="31"/>
  <c r="Q23" i="31"/>
  <c r="I23" i="31"/>
  <c r="H23" i="31"/>
  <c r="G23" i="31"/>
  <c r="D23" i="31"/>
  <c r="C23" i="31"/>
  <c r="B23" i="31"/>
  <c r="S22" i="31"/>
  <c r="R22" i="31"/>
  <c r="Q22" i="31"/>
  <c r="I22" i="31"/>
  <c r="H22" i="31"/>
  <c r="G22" i="31"/>
  <c r="D22" i="31"/>
  <c r="C22" i="31"/>
  <c r="B22" i="31"/>
  <c r="S21" i="31"/>
  <c r="R21" i="31"/>
  <c r="Q21" i="31"/>
  <c r="I21" i="31"/>
  <c r="H21" i="31"/>
  <c r="G21" i="31"/>
  <c r="D21" i="31"/>
  <c r="C21" i="31"/>
  <c r="B21" i="31"/>
  <c r="AH20" i="31"/>
  <c r="AG20" i="31"/>
  <c r="AF20" i="31"/>
  <c r="S20" i="31"/>
  <c r="R20" i="31"/>
  <c r="Q20" i="31"/>
  <c r="I20" i="31"/>
  <c r="H20" i="31"/>
  <c r="G20" i="31"/>
  <c r="D20" i="31"/>
  <c r="C20" i="31"/>
  <c r="B20" i="31"/>
  <c r="AH19" i="31"/>
  <c r="AG19" i="31"/>
  <c r="AF19" i="31"/>
  <c r="S19" i="31"/>
  <c r="R19" i="31"/>
  <c r="Q19" i="31"/>
  <c r="I19" i="31"/>
  <c r="H19" i="31"/>
  <c r="G19" i="31"/>
  <c r="D19" i="31"/>
  <c r="C19" i="31"/>
  <c r="B19" i="31"/>
  <c r="AH18" i="31"/>
  <c r="AG18" i="31"/>
  <c r="AF18" i="31"/>
  <c r="S18" i="31"/>
  <c r="R18" i="31"/>
  <c r="Q18" i="31"/>
  <c r="I18" i="31"/>
  <c r="H18" i="31"/>
  <c r="G18" i="31"/>
  <c r="D18" i="31"/>
  <c r="C18" i="31"/>
  <c r="B18" i="31"/>
  <c r="AH17" i="31"/>
  <c r="AG17" i="31"/>
  <c r="AF17" i="31"/>
  <c r="AC17" i="31"/>
  <c r="AB17" i="31"/>
  <c r="AA17" i="31"/>
  <c r="S17" i="31"/>
  <c r="R17" i="31"/>
  <c r="Q17" i="31"/>
  <c r="N17" i="31"/>
  <c r="M17" i="31"/>
  <c r="L17" i="31"/>
  <c r="I17" i="31"/>
  <c r="H17" i="31"/>
  <c r="G17" i="31"/>
  <c r="D17" i="31"/>
  <c r="C17" i="31"/>
  <c r="B17" i="31"/>
  <c r="AH16" i="31"/>
  <c r="AG16" i="31"/>
  <c r="AF16" i="31"/>
  <c r="AC16" i="31"/>
  <c r="AB16" i="31"/>
  <c r="AA16" i="31"/>
  <c r="S16" i="31"/>
  <c r="R16" i="31"/>
  <c r="Q16" i="31"/>
  <c r="N16" i="31"/>
  <c r="M16" i="31"/>
  <c r="L16" i="31"/>
  <c r="I16" i="31"/>
  <c r="H16" i="31"/>
  <c r="G16" i="31"/>
  <c r="D16" i="31"/>
  <c r="C16" i="31"/>
  <c r="B16" i="31"/>
  <c r="AH15" i="31"/>
  <c r="AG15" i="31"/>
  <c r="AF15" i="31"/>
  <c r="AC15" i="31"/>
  <c r="AB15" i="31"/>
  <c r="AA15" i="31"/>
  <c r="S15" i="31"/>
  <c r="R15" i="31"/>
  <c r="Q15" i="31"/>
  <c r="N15" i="31"/>
  <c r="M15" i="31"/>
  <c r="L15" i="31"/>
  <c r="I15" i="31"/>
  <c r="H15" i="31"/>
  <c r="G15" i="31"/>
  <c r="D15" i="31"/>
  <c r="C15" i="31"/>
  <c r="B15" i="31"/>
  <c r="AH14" i="31"/>
  <c r="AG14" i="31"/>
  <c r="AF14" i="31"/>
  <c r="AC14" i="31"/>
  <c r="AB14" i="31"/>
  <c r="AA14" i="31"/>
  <c r="S14" i="31"/>
  <c r="R14" i="31"/>
  <c r="Q14" i="31"/>
  <c r="N14" i="31"/>
  <c r="M14" i="31"/>
  <c r="L14" i="31"/>
  <c r="I14" i="31"/>
  <c r="H14" i="31"/>
  <c r="G14" i="31"/>
  <c r="D14" i="31"/>
  <c r="C14" i="31"/>
  <c r="B14" i="31"/>
  <c r="AH13" i="31"/>
  <c r="AG13" i="31"/>
  <c r="AF13" i="31"/>
  <c r="AC13" i="31"/>
  <c r="AB13" i="31"/>
  <c r="AA13" i="31"/>
  <c r="S13" i="31"/>
  <c r="R13" i="31"/>
  <c r="Q13" i="31"/>
  <c r="N13" i="31"/>
  <c r="M13" i="31"/>
  <c r="L13" i="31"/>
  <c r="I13" i="31"/>
  <c r="H13" i="31"/>
  <c r="G13" i="31"/>
  <c r="E13" i="31"/>
  <c r="D13" i="31"/>
  <c r="C13" i="31"/>
  <c r="B13" i="31"/>
  <c r="AH12" i="31"/>
  <c r="AG12" i="31"/>
  <c r="AF12" i="31"/>
  <c r="AC12" i="31"/>
  <c r="AB12" i="31"/>
  <c r="AA12" i="31"/>
  <c r="X12" i="31"/>
  <c r="W12" i="31"/>
  <c r="V12" i="31"/>
  <c r="S12" i="31"/>
  <c r="R12" i="31"/>
  <c r="Q12" i="31"/>
  <c r="N12" i="31"/>
  <c r="M12" i="31"/>
  <c r="L12" i="31"/>
  <c r="I12" i="31"/>
  <c r="H12" i="31"/>
  <c r="G12" i="31"/>
  <c r="E12" i="31"/>
  <c r="D12" i="31"/>
  <c r="C12" i="31"/>
  <c r="B12" i="31"/>
  <c r="AH11" i="31"/>
  <c r="AG11" i="31"/>
  <c r="AF11" i="31"/>
  <c r="AC11" i="31"/>
  <c r="AB11" i="31"/>
  <c r="AA11" i="31"/>
  <c r="X11" i="31"/>
  <c r="W11" i="31"/>
  <c r="V11" i="31"/>
  <c r="S11" i="31"/>
  <c r="R11" i="31"/>
  <c r="Q11" i="31"/>
  <c r="N11" i="31"/>
  <c r="M11" i="31"/>
  <c r="L11" i="31"/>
  <c r="I11" i="31"/>
  <c r="H11" i="31"/>
  <c r="G11" i="31"/>
  <c r="E11" i="31"/>
  <c r="D11" i="31"/>
  <c r="C11" i="31"/>
  <c r="B11" i="31"/>
  <c r="AH10" i="31"/>
  <c r="AG10" i="31"/>
  <c r="AF10" i="31"/>
  <c r="AC10" i="31"/>
  <c r="AB10" i="31"/>
  <c r="AA10" i="31"/>
  <c r="X10" i="31"/>
  <c r="W10" i="31"/>
  <c r="V10" i="31"/>
  <c r="S10" i="31"/>
  <c r="R10" i="31"/>
  <c r="Q10" i="31"/>
  <c r="N10" i="31"/>
  <c r="M10" i="31"/>
  <c r="L10" i="31"/>
  <c r="I10" i="31"/>
  <c r="H10" i="31"/>
  <c r="G10" i="31"/>
  <c r="E10" i="31"/>
  <c r="D10" i="31"/>
  <c r="C10" i="31"/>
  <c r="B10" i="31"/>
  <c r="AH9" i="31"/>
  <c r="AG9" i="31"/>
  <c r="AF9" i="31"/>
  <c r="AC9" i="31"/>
  <c r="AB9" i="31"/>
  <c r="AA9" i="31"/>
  <c r="X9" i="31"/>
  <c r="W9" i="31"/>
  <c r="V9" i="31"/>
  <c r="S9" i="31"/>
  <c r="R9" i="31"/>
  <c r="Q9" i="31"/>
  <c r="N9" i="31"/>
  <c r="M9" i="31"/>
  <c r="L9" i="31"/>
  <c r="I9" i="31"/>
  <c r="H9" i="31"/>
  <c r="G9" i="31"/>
  <c r="E9" i="31"/>
  <c r="D9" i="31"/>
  <c r="C9" i="31"/>
  <c r="B9" i="31"/>
  <c r="AH8" i="31"/>
  <c r="AG8" i="31"/>
  <c r="AF8" i="31"/>
  <c r="AC8" i="31"/>
  <c r="AB8" i="31"/>
  <c r="AA8" i="31"/>
  <c r="X8" i="31"/>
  <c r="W8" i="31"/>
  <c r="V8" i="31"/>
  <c r="S8" i="31"/>
  <c r="R8" i="31"/>
  <c r="Q8" i="31"/>
  <c r="N8" i="31"/>
  <c r="M8" i="31"/>
  <c r="L8" i="31"/>
  <c r="I8" i="31"/>
  <c r="H8" i="31"/>
  <c r="G8" i="31"/>
  <c r="E8" i="31"/>
  <c r="D8" i="31"/>
  <c r="C8" i="31"/>
  <c r="B8" i="31"/>
  <c r="AH7" i="31"/>
  <c r="AG7" i="31"/>
  <c r="AF7" i="31"/>
  <c r="AC7" i="31"/>
  <c r="AB7" i="31"/>
  <c r="AA7" i="31"/>
  <c r="X7" i="31"/>
  <c r="W7" i="31"/>
  <c r="V7" i="31"/>
  <c r="S7" i="31"/>
  <c r="R7" i="31"/>
  <c r="Q7" i="31"/>
  <c r="N7" i="31"/>
  <c r="M7" i="31"/>
  <c r="L7" i="31"/>
  <c r="I7" i="31"/>
  <c r="H7" i="31"/>
  <c r="G7" i="31"/>
  <c r="E7" i="31"/>
  <c r="D7" i="31"/>
  <c r="C7" i="31"/>
  <c r="B7" i="31"/>
  <c r="AH6" i="31"/>
  <c r="AG6" i="31"/>
  <c r="AF6" i="31"/>
  <c r="AC6" i="31"/>
  <c r="AB6" i="31"/>
  <c r="AA6" i="31"/>
  <c r="X6" i="31"/>
  <c r="W6" i="31"/>
  <c r="V6" i="31"/>
  <c r="S6" i="31"/>
  <c r="R6" i="31"/>
  <c r="Q6" i="31"/>
  <c r="N6" i="31"/>
  <c r="M6" i="31"/>
  <c r="L6" i="31"/>
  <c r="I6" i="31"/>
  <c r="H6" i="31"/>
  <c r="G6" i="31"/>
  <c r="E6" i="31"/>
  <c r="D6" i="31"/>
  <c r="C6" i="31"/>
  <c r="B6" i="31"/>
  <c r="AH5" i="31"/>
  <c r="AG5" i="31"/>
  <c r="AF5" i="31"/>
  <c r="AC5" i="31"/>
  <c r="AB5" i="31"/>
  <c r="AA5" i="31"/>
  <c r="X5" i="31"/>
  <c r="W5" i="31"/>
  <c r="V5" i="31"/>
  <c r="T5" i="31"/>
  <c r="S5" i="31"/>
  <c r="R5" i="31"/>
  <c r="Q5" i="31"/>
  <c r="N5" i="31"/>
  <c r="M5" i="31"/>
  <c r="L5" i="31"/>
  <c r="I5" i="31"/>
  <c r="H5" i="31"/>
  <c r="G5" i="31"/>
  <c r="E5" i="31"/>
  <c r="D5" i="31"/>
  <c r="C5" i="31"/>
  <c r="B5" i="31"/>
  <c r="AI4" i="31"/>
  <c r="AH4" i="31"/>
  <c r="AG4" i="31"/>
  <c r="AF4" i="31"/>
  <c r="AD4" i="31"/>
  <c r="AC4" i="31"/>
  <c r="AB4" i="31"/>
  <c r="AA4" i="31"/>
  <c r="Y4" i="31"/>
  <c r="X4" i="31"/>
  <c r="W4" i="31"/>
  <c r="V4" i="31"/>
  <c r="T4" i="31"/>
  <c r="S4" i="31"/>
  <c r="R4" i="31"/>
  <c r="Q4" i="31"/>
  <c r="O4" i="31"/>
  <c r="N4" i="31"/>
  <c r="M4" i="31"/>
  <c r="L4" i="31"/>
  <c r="J4" i="31"/>
  <c r="I4" i="31"/>
  <c r="H4" i="31"/>
  <c r="G4" i="31"/>
  <c r="E4" i="31"/>
  <c r="D4" i="31"/>
  <c r="C4" i="31"/>
  <c r="B4" i="31"/>
  <c r="AI3" i="31"/>
  <c r="AH3" i="31"/>
  <c r="AG3" i="31"/>
  <c r="AF3" i="31"/>
  <c r="AD3" i="31"/>
  <c r="AC3" i="31"/>
  <c r="AB3" i="31"/>
  <c r="AA3" i="31"/>
  <c r="Y3" i="31"/>
  <c r="X3" i="31"/>
  <c r="W3" i="31"/>
  <c r="V3" i="31"/>
  <c r="T3" i="31"/>
  <c r="S3" i="31"/>
  <c r="R3" i="31"/>
  <c r="Q3" i="31"/>
  <c r="O3" i="31"/>
  <c r="N3" i="31"/>
  <c r="M3" i="31"/>
  <c r="L3" i="31"/>
  <c r="J3" i="31"/>
  <c r="I3" i="31"/>
  <c r="H3" i="31"/>
  <c r="G3" i="31"/>
  <c r="E3" i="31"/>
  <c r="D3" i="31"/>
  <c r="C3" i="31"/>
  <c r="B3" i="31"/>
  <c r="AF1" i="31"/>
  <c r="AA1" i="31"/>
  <c r="V1" i="31"/>
  <c r="Q1" i="31"/>
  <c r="L1" i="31"/>
  <c r="G1" i="31"/>
  <c r="D105" i="30"/>
  <c r="C105" i="30"/>
  <c r="B105" i="30"/>
  <c r="D104" i="30"/>
  <c r="C104" i="30"/>
  <c r="B104" i="30"/>
  <c r="D103" i="30"/>
  <c r="C103" i="30"/>
  <c r="B103" i="30"/>
  <c r="D102" i="30"/>
  <c r="C102" i="30"/>
  <c r="B102" i="30"/>
  <c r="D101" i="30"/>
  <c r="C101" i="30"/>
  <c r="B101" i="30"/>
  <c r="D100" i="30"/>
  <c r="C100" i="30"/>
  <c r="B100" i="30"/>
  <c r="D99" i="30"/>
  <c r="C99" i="30"/>
  <c r="B99" i="30"/>
  <c r="D98" i="30"/>
  <c r="C98" i="30"/>
  <c r="B98" i="30"/>
  <c r="D97" i="30"/>
  <c r="C97" i="30"/>
  <c r="B97" i="30"/>
  <c r="D96" i="30"/>
  <c r="C96" i="30"/>
  <c r="B96" i="30"/>
  <c r="D95" i="30"/>
  <c r="C95" i="30"/>
  <c r="B95" i="30"/>
  <c r="D94" i="30"/>
  <c r="C94" i="30"/>
  <c r="B94" i="30"/>
  <c r="D93" i="30"/>
  <c r="C93" i="30"/>
  <c r="B93" i="30"/>
  <c r="D92" i="30"/>
  <c r="C92" i="30"/>
  <c r="B92" i="30"/>
  <c r="D91" i="30"/>
  <c r="C91" i="30"/>
  <c r="B91" i="30"/>
  <c r="D90" i="30"/>
  <c r="C90" i="30"/>
  <c r="B90" i="30"/>
  <c r="D89" i="30"/>
  <c r="C89" i="30"/>
  <c r="B89" i="30"/>
  <c r="D88" i="30"/>
  <c r="C88" i="30"/>
  <c r="B88" i="30"/>
  <c r="D87" i="30"/>
  <c r="C87" i="30"/>
  <c r="B87" i="30"/>
  <c r="D86" i="30"/>
  <c r="C86" i="30"/>
  <c r="B86" i="30"/>
  <c r="D85" i="30"/>
  <c r="C85" i="30"/>
  <c r="B85" i="30"/>
  <c r="D84" i="30"/>
  <c r="C84" i="30"/>
  <c r="B84" i="30"/>
  <c r="D83" i="30"/>
  <c r="C83" i="30"/>
  <c r="B83" i="30"/>
  <c r="D82" i="30"/>
  <c r="C82" i="30"/>
  <c r="B82" i="30"/>
  <c r="D81" i="30"/>
  <c r="C81" i="30"/>
  <c r="B81" i="30"/>
  <c r="D80" i="30"/>
  <c r="C80" i="30"/>
  <c r="B80" i="30"/>
  <c r="D79" i="30"/>
  <c r="C79" i="30"/>
  <c r="B79" i="30"/>
  <c r="D78" i="30"/>
  <c r="C78" i="30"/>
  <c r="B78" i="30"/>
  <c r="D77" i="30"/>
  <c r="C77" i="30"/>
  <c r="B77" i="30"/>
  <c r="D76" i="30"/>
  <c r="C76" i="30"/>
  <c r="B76" i="30"/>
  <c r="D75" i="30"/>
  <c r="C75" i="30"/>
  <c r="B75" i="30"/>
  <c r="D74" i="30"/>
  <c r="C74" i="30"/>
  <c r="B74" i="30"/>
  <c r="D73" i="30"/>
  <c r="C73" i="30"/>
  <c r="B73" i="30"/>
  <c r="D72" i="30"/>
  <c r="C72" i="30"/>
  <c r="B72" i="30"/>
  <c r="D71" i="30"/>
  <c r="C71" i="30"/>
  <c r="B71" i="30"/>
  <c r="D70" i="30"/>
  <c r="C70" i="30"/>
  <c r="B70" i="30"/>
  <c r="D69" i="30"/>
  <c r="C69" i="30"/>
  <c r="B69" i="30"/>
  <c r="D68" i="30"/>
  <c r="C68" i="30"/>
  <c r="B68" i="30"/>
  <c r="D67" i="30"/>
  <c r="C67" i="30"/>
  <c r="B67" i="30"/>
  <c r="D66" i="30"/>
  <c r="C66" i="30"/>
  <c r="B66" i="30"/>
  <c r="D65" i="30"/>
  <c r="C65" i="30"/>
  <c r="B65" i="30"/>
  <c r="D64" i="30"/>
  <c r="C64" i="30"/>
  <c r="B64" i="30"/>
  <c r="D63" i="30"/>
  <c r="C63" i="30"/>
  <c r="B63" i="30"/>
  <c r="D62" i="30"/>
  <c r="C62" i="30"/>
  <c r="B62" i="30"/>
  <c r="D61" i="30"/>
  <c r="C61" i="30"/>
  <c r="B61" i="30"/>
  <c r="D60" i="30"/>
  <c r="C60" i="30"/>
  <c r="B60" i="30"/>
  <c r="D59" i="30"/>
  <c r="C59" i="30"/>
  <c r="B59" i="30"/>
  <c r="D58" i="30"/>
  <c r="C58" i="30"/>
  <c r="B58" i="30"/>
  <c r="D57" i="30"/>
  <c r="C57" i="30"/>
  <c r="B57" i="30"/>
  <c r="D56" i="30"/>
  <c r="C56" i="30"/>
  <c r="B56" i="30"/>
  <c r="D55" i="30"/>
  <c r="C55" i="30"/>
  <c r="B55" i="30"/>
  <c r="D54" i="30"/>
  <c r="C54" i="30"/>
  <c r="B54" i="30"/>
  <c r="D53" i="30"/>
  <c r="C53" i="30"/>
  <c r="B53" i="30"/>
  <c r="D52" i="30"/>
  <c r="C52" i="30"/>
  <c r="B52" i="30"/>
  <c r="D51" i="30"/>
  <c r="C51" i="30"/>
  <c r="B51" i="30"/>
  <c r="D50" i="30"/>
  <c r="C50" i="30"/>
  <c r="B50" i="30"/>
  <c r="D49" i="30"/>
  <c r="C49" i="30"/>
  <c r="B49" i="30"/>
  <c r="D48" i="30"/>
  <c r="C48" i="30"/>
  <c r="B48" i="30"/>
  <c r="D47" i="30"/>
  <c r="C47" i="30"/>
  <c r="B47" i="30"/>
  <c r="D46" i="30"/>
  <c r="C46" i="30"/>
  <c r="B46" i="30"/>
  <c r="D45" i="30"/>
  <c r="C45" i="30"/>
  <c r="B45" i="30"/>
  <c r="D44" i="30"/>
  <c r="C44" i="30"/>
  <c r="B44" i="30"/>
  <c r="D43" i="30"/>
  <c r="C43" i="30"/>
  <c r="B43" i="30"/>
  <c r="D42" i="30"/>
  <c r="C42" i="30"/>
  <c r="B42" i="30"/>
  <c r="D41" i="30"/>
  <c r="C41" i="30"/>
  <c r="B41" i="30"/>
  <c r="S40" i="30"/>
  <c r="R40" i="30"/>
  <c r="Q40" i="30"/>
  <c r="D40" i="30"/>
  <c r="C40" i="30"/>
  <c r="B40" i="30"/>
  <c r="S39" i="30"/>
  <c r="R39" i="30"/>
  <c r="Q39" i="30"/>
  <c r="I39" i="30"/>
  <c r="H39" i="30"/>
  <c r="G39" i="30"/>
  <c r="D39" i="30"/>
  <c r="C39" i="30"/>
  <c r="B39" i="30"/>
  <c r="S38" i="30"/>
  <c r="R38" i="30"/>
  <c r="Q38" i="30"/>
  <c r="I38" i="30"/>
  <c r="H38" i="30"/>
  <c r="G38" i="30"/>
  <c r="D38" i="30"/>
  <c r="C38" i="30"/>
  <c r="B38" i="30"/>
  <c r="S37" i="30"/>
  <c r="R37" i="30"/>
  <c r="Q37" i="30"/>
  <c r="I37" i="30"/>
  <c r="H37" i="30"/>
  <c r="G37" i="30"/>
  <c r="D37" i="30"/>
  <c r="C37" i="30"/>
  <c r="B37" i="30"/>
  <c r="S36" i="30"/>
  <c r="R36" i="30"/>
  <c r="Q36" i="30"/>
  <c r="I36" i="30"/>
  <c r="H36" i="30"/>
  <c r="G36" i="30"/>
  <c r="D36" i="30"/>
  <c r="C36" i="30"/>
  <c r="B36" i="30"/>
  <c r="S35" i="30"/>
  <c r="R35" i="30"/>
  <c r="Q35" i="30"/>
  <c r="I35" i="30"/>
  <c r="H35" i="30"/>
  <c r="G35" i="30"/>
  <c r="D35" i="30"/>
  <c r="C35" i="30"/>
  <c r="B35" i="30"/>
  <c r="S34" i="30"/>
  <c r="R34" i="30"/>
  <c r="Q34" i="30"/>
  <c r="I34" i="30"/>
  <c r="H34" i="30"/>
  <c r="G34" i="30"/>
  <c r="D34" i="30"/>
  <c r="C34" i="30"/>
  <c r="B34" i="30"/>
  <c r="S33" i="30"/>
  <c r="R33" i="30"/>
  <c r="Q33" i="30"/>
  <c r="I33" i="30"/>
  <c r="H33" i="30"/>
  <c r="G33" i="30"/>
  <c r="D33" i="30"/>
  <c r="C33" i="30"/>
  <c r="B33" i="30"/>
  <c r="S32" i="30"/>
  <c r="R32" i="30"/>
  <c r="Q32" i="30"/>
  <c r="N32" i="30"/>
  <c r="M32" i="30"/>
  <c r="L32" i="30"/>
  <c r="I32" i="30"/>
  <c r="H32" i="30"/>
  <c r="G32" i="30"/>
  <c r="D32" i="30"/>
  <c r="C32" i="30"/>
  <c r="B32" i="30"/>
  <c r="S31" i="30"/>
  <c r="R31" i="30"/>
  <c r="Q31" i="30"/>
  <c r="N31" i="30"/>
  <c r="M31" i="30"/>
  <c r="L31" i="30"/>
  <c r="I31" i="30"/>
  <c r="H31" i="30"/>
  <c r="G31" i="30"/>
  <c r="D31" i="30"/>
  <c r="C31" i="30"/>
  <c r="B31" i="30"/>
  <c r="S30" i="30"/>
  <c r="R30" i="30"/>
  <c r="Q30" i="30"/>
  <c r="N30" i="30"/>
  <c r="M30" i="30"/>
  <c r="L30" i="30"/>
  <c r="I30" i="30"/>
  <c r="H30" i="30"/>
  <c r="G30" i="30"/>
  <c r="D30" i="30"/>
  <c r="C30" i="30"/>
  <c r="B30" i="30"/>
  <c r="S29" i="30"/>
  <c r="R29" i="30"/>
  <c r="Q29" i="30"/>
  <c r="N29" i="30"/>
  <c r="M29" i="30"/>
  <c r="L29" i="30"/>
  <c r="I29" i="30"/>
  <c r="H29" i="30"/>
  <c r="G29" i="30"/>
  <c r="D29" i="30"/>
  <c r="C29" i="30"/>
  <c r="B29" i="30"/>
  <c r="S28" i="30"/>
  <c r="R28" i="30"/>
  <c r="Q28" i="30"/>
  <c r="N28" i="30"/>
  <c r="M28" i="30"/>
  <c r="L28" i="30"/>
  <c r="I28" i="30"/>
  <c r="H28" i="30"/>
  <c r="G28" i="30"/>
  <c r="D28" i="30"/>
  <c r="C28" i="30"/>
  <c r="B28" i="30"/>
  <c r="S27" i="30"/>
  <c r="R27" i="30"/>
  <c r="Q27" i="30"/>
  <c r="N27" i="30"/>
  <c r="M27" i="30"/>
  <c r="L27" i="30"/>
  <c r="I27" i="30"/>
  <c r="H27" i="30"/>
  <c r="G27" i="30"/>
  <c r="D27" i="30"/>
  <c r="C27" i="30"/>
  <c r="B27" i="30"/>
  <c r="S26" i="30"/>
  <c r="R26" i="30"/>
  <c r="Q26" i="30"/>
  <c r="N26" i="30"/>
  <c r="M26" i="30"/>
  <c r="L26" i="30"/>
  <c r="I26" i="30"/>
  <c r="H26" i="30"/>
  <c r="G26" i="30"/>
  <c r="D26" i="30"/>
  <c r="C26" i="30"/>
  <c r="B26" i="30"/>
  <c r="AC25" i="30"/>
  <c r="AB25" i="30"/>
  <c r="AA25" i="30"/>
  <c r="S25" i="30"/>
  <c r="R25" i="30"/>
  <c r="Q25" i="30"/>
  <c r="N25" i="30"/>
  <c r="M25" i="30"/>
  <c r="L25" i="30"/>
  <c r="I25" i="30"/>
  <c r="H25" i="30"/>
  <c r="G25" i="30"/>
  <c r="D25" i="30"/>
  <c r="C25" i="30"/>
  <c r="B25" i="30"/>
  <c r="AC24" i="30"/>
  <c r="AB24" i="30"/>
  <c r="AA24" i="30"/>
  <c r="S24" i="30"/>
  <c r="R24" i="30"/>
  <c r="Q24" i="30"/>
  <c r="N24" i="30"/>
  <c r="M24" i="30"/>
  <c r="L24" i="30"/>
  <c r="I24" i="30"/>
  <c r="H24" i="30"/>
  <c r="G24" i="30"/>
  <c r="D24" i="30"/>
  <c r="C24" i="30"/>
  <c r="B24" i="30"/>
  <c r="AC23" i="30"/>
  <c r="AB23" i="30"/>
  <c r="AA23" i="30"/>
  <c r="S23" i="30"/>
  <c r="R23" i="30"/>
  <c r="Q23" i="30"/>
  <c r="N23" i="30"/>
  <c r="M23" i="30"/>
  <c r="L23" i="30"/>
  <c r="I23" i="30"/>
  <c r="H23" i="30"/>
  <c r="G23" i="30"/>
  <c r="D23" i="30"/>
  <c r="C23" i="30"/>
  <c r="B23" i="30"/>
  <c r="AC22" i="30"/>
  <c r="AB22" i="30"/>
  <c r="AA22" i="30"/>
  <c r="S22" i="30"/>
  <c r="R22" i="30"/>
  <c r="Q22" i="30"/>
  <c r="N22" i="30"/>
  <c r="M22" i="30"/>
  <c r="L22" i="30"/>
  <c r="I22" i="30"/>
  <c r="H22" i="30"/>
  <c r="G22" i="30"/>
  <c r="D22" i="30"/>
  <c r="C22" i="30"/>
  <c r="B22" i="30"/>
  <c r="AC21" i="30"/>
  <c r="AB21" i="30"/>
  <c r="AA21" i="30"/>
  <c r="S21" i="30"/>
  <c r="R21" i="30"/>
  <c r="Q21" i="30"/>
  <c r="N21" i="30"/>
  <c r="M21" i="30"/>
  <c r="L21" i="30"/>
  <c r="I21" i="30"/>
  <c r="H21" i="30"/>
  <c r="G21" i="30"/>
  <c r="D21" i="30"/>
  <c r="C21" i="30"/>
  <c r="B21" i="30"/>
  <c r="AC20" i="30"/>
  <c r="AB20" i="30"/>
  <c r="AA20" i="30"/>
  <c r="S20" i="30"/>
  <c r="R20" i="30"/>
  <c r="Q20" i="30"/>
  <c r="N20" i="30"/>
  <c r="M20" i="30"/>
  <c r="L20" i="30"/>
  <c r="I20" i="30"/>
  <c r="H20" i="30"/>
  <c r="G20" i="30"/>
  <c r="D20" i="30"/>
  <c r="C20" i="30"/>
  <c r="B20" i="30"/>
  <c r="AH19" i="30"/>
  <c r="AG19" i="30"/>
  <c r="AF19" i="30"/>
  <c r="AC19" i="30"/>
  <c r="AB19" i="30"/>
  <c r="AA19" i="30"/>
  <c r="S19" i="30"/>
  <c r="R19" i="30"/>
  <c r="Q19" i="30"/>
  <c r="N19" i="30"/>
  <c r="M19" i="30"/>
  <c r="L19" i="30"/>
  <c r="I19" i="30"/>
  <c r="H19" i="30"/>
  <c r="G19" i="30"/>
  <c r="D19" i="30"/>
  <c r="C19" i="30"/>
  <c r="B19" i="30"/>
  <c r="AH18" i="30"/>
  <c r="AG18" i="30"/>
  <c r="AF18" i="30"/>
  <c r="AC18" i="30"/>
  <c r="AB18" i="30"/>
  <c r="AA18" i="30"/>
  <c r="S18" i="30"/>
  <c r="R18" i="30"/>
  <c r="Q18" i="30"/>
  <c r="N18" i="30"/>
  <c r="M18" i="30"/>
  <c r="L18" i="30"/>
  <c r="I18" i="30"/>
  <c r="H18" i="30"/>
  <c r="G18" i="30"/>
  <c r="D18" i="30"/>
  <c r="C18" i="30"/>
  <c r="B18" i="30"/>
  <c r="AH17" i="30"/>
  <c r="AG17" i="30"/>
  <c r="AF17" i="30"/>
  <c r="AC17" i="30"/>
  <c r="AB17" i="30"/>
  <c r="AA17" i="30"/>
  <c r="S17" i="30"/>
  <c r="R17" i="30"/>
  <c r="Q17" i="30"/>
  <c r="N17" i="30"/>
  <c r="M17" i="30"/>
  <c r="L17" i="30"/>
  <c r="I17" i="30"/>
  <c r="H17" i="30"/>
  <c r="G17" i="30"/>
  <c r="D17" i="30"/>
  <c r="C17" i="30"/>
  <c r="B17" i="30"/>
  <c r="AH16" i="30"/>
  <c r="AG16" i="30"/>
  <c r="AF16" i="30"/>
  <c r="AC16" i="30"/>
  <c r="AB16" i="30"/>
  <c r="AA16" i="30"/>
  <c r="S16" i="30"/>
  <c r="R16" i="30"/>
  <c r="Q16" i="30"/>
  <c r="N16" i="30"/>
  <c r="M16" i="30"/>
  <c r="L16" i="30"/>
  <c r="I16" i="30"/>
  <c r="H16" i="30"/>
  <c r="G16" i="30"/>
  <c r="D16" i="30"/>
  <c r="C16" i="30"/>
  <c r="B16" i="30"/>
  <c r="AH15" i="30"/>
  <c r="AG15" i="30"/>
  <c r="AF15" i="30"/>
  <c r="AC15" i="30"/>
  <c r="AB15" i="30"/>
  <c r="AA15" i="30"/>
  <c r="S15" i="30"/>
  <c r="R15" i="30"/>
  <c r="Q15" i="30"/>
  <c r="N15" i="30"/>
  <c r="M15" i="30"/>
  <c r="L15" i="30"/>
  <c r="I15" i="30"/>
  <c r="H15" i="30"/>
  <c r="G15" i="30"/>
  <c r="D15" i="30"/>
  <c r="C15" i="30"/>
  <c r="B15" i="30"/>
  <c r="AH14" i="30"/>
  <c r="AG14" i="30"/>
  <c r="AF14" i="30"/>
  <c r="AC14" i="30"/>
  <c r="AB14" i="30"/>
  <c r="AA14" i="30"/>
  <c r="S14" i="30"/>
  <c r="R14" i="30"/>
  <c r="Q14" i="30"/>
  <c r="N14" i="30"/>
  <c r="M14" i="30"/>
  <c r="L14" i="30"/>
  <c r="I14" i="30"/>
  <c r="H14" i="30"/>
  <c r="G14" i="30"/>
  <c r="D14" i="30"/>
  <c r="C14" i="30"/>
  <c r="B14" i="30"/>
  <c r="AH13" i="30"/>
  <c r="AG13" i="30"/>
  <c r="AF13" i="30"/>
  <c r="AC13" i="30"/>
  <c r="AB13" i="30"/>
  <c r="AA13" i="30"/>
  <c r="S13" i="30"/>
  <c r="R13" i="30"/>
  <c r="Q13" i="30"/>
  <c r="N13" i="30"/>
  <c r="M13" i="30"/>
  <c r="L13" i="30"/>
  <c r="I13" i="30"/>
  <c r="H13" i="30"/>
  <c r="G13" i="30"/>
  <c r="D13" i="30"/>
  <c r="C13" i="30"/>
  <c r="B13" i="30"/>
  <c r="AH12" i="30"/>
  <c r="AG12" i="30"/>
  <c r="AF12" i="30"/>
  <c r="AC12" i="30"/>
  <c r="AB12" i="30"/>
  <c r="AA12" i="30"/>
  <c r="S12" i="30"/>
  <c r="R12" i="30"/>
  <c r="Q12" i="30"/>
  <c r="N12" i="30"/>
  <c r="M12" i="30"/>
  <c r="L12" i="30"/>
  <c r="I12" i="30"/>
  <c r="H12" i="30"/>
  <c r="G12" i="30"/>
  <c r="E12" i="30"/>
  <c r="D12" i="30"/>
  <c r="C12" i="30"/>
  <c r="B12" i="30"/>
  <c r="AH11" i="30"/>
  <c r="AG11" i="30"/>
  <c r="AF11" i="30"/>
  <c r="AC11" i="30"/>
  <c r="AB11" i="30"/>
  <c r="AA11" i="30"/>
  <c r="S11" i="30"/>
  <c r="R11" i="30"/>
  <c r="Q11" i="30"/>
  <c r="N11" i="30"/>
  <c r="M11" i="30"/>
  <c r="L11" i="30"/>
  <c r="I11" i="30"/>
  <c r="H11" i="30"/>
  <c r="G11" i="30"/>
  <c r="E11" i="30"/>
  <c r="D11" i="30"/>
  <c r="C11" i="30"/>
  <c r="B11" i="30"/>
  <c r="AH10" i="30"/>
  <c r="AG10" i="30"/>
  <c r="AF10" i="30"/>
  <c r="AC10" i="30"/>
  <c r="AB10" i="30"/>
  <c r="AA10" i="30"/>
  <c r="X10" i="30"/>
  <c r="W10" i="30"/>
  <c r="V10" i="30"/>
  <c r="S10" i="30"/>
  <c r="R10" i="30"/>
  <c r="Q10" i="30"/>
  <c r="N10" i="30"/>
  <c r="M10" i="30"/>
  <c r="L10" i="30"/>
  <c r="I10" i="30"/>
  <c r="H10" i="30"/>
  <c r="G10" i="30"/>
  <c r="E10" i="30"/>
  <c r="D10" i="30"/>
  <c r="C10" i="30"/>
  <c r="B10" i="30"/>
  <c r="AH9" i="30"/>
  <c r="AG9" i="30"/>
  <c r="AF9" i="30"/>
  <c r="AC9" i="30"/>
  <c r="AB9" i="30"/>
  <c r="AA9" i="30"/>
  <c r="X9" i="30"/>
  <c r="W9" i="30"/>
  <c r="V9" i="30"/>
  <c r="S9" i="30"/>
  <c r="R9" i="30"/>
  <c r="Q9" i="30"/>
  <c r="N9" i="30"/>
  <c r="M9" i="30"/>
  <c r="L9" i="30"/>
  <c r="I9" i="30"/>
  <c r="H9" i="30"/>
  <c r="G9" i="30"/>
  <c r="E9" i="30"/>
  <c r="D9" i="30"/>
  <c r="C9" i="30"/>
  <c r="B9" i="30"/>
  <c r="AH8" i="30"/>
  <c r="AG8" i="30"/>
  <c r="AF8" i="30"/>
  <c r="AC8" i="30"/>
  <c r="AB8" i="30"/>
  <c r="AA8" i="30"/>
  <c r="X8" i="30"/>
  <c r="W8" i="30"/>
  <c r="V8" i="30"/>
  <c r="S8" i="30"/>
  <c r="R8" i="30"/>
  <c r="Q8" i="30"/>
  <c r="N8" i="30"/>
  <c r="M8" i="30"/>
  <c r="L8" i="30"/>
  <c r="I8" i="30"/>
  <c r="H8" i="30"/>
  <c r="G8" i="30"/>
  <c r="E8" i="30"/>
  <c r="D8" i="30"/>
  <c r="C8" i="30"/>
  <c r="B8" i="30"/>
  <c r="AH7" i="30"/>
  <c r="AG7" i="30"/>
  <c r="AF7" i="30"/>
  <c r="AC7" i="30"/>
  <c r="AB7" i="30"/>
  <c r="AA7" i="30"/>
  <c r="X7" i="30"/>
  <c r="W7" i="30"/>
  <c r="V7" i="30"/>
  <c r="S7" i="30"/>
  <c r="R7" i="30"/>
  <c r="Q7" i="30"/>
  <c r="N7" i="30"/>
  <c r="M7" i="30"/>
  <c r="L7" i="30"/>
  <c r="I7" i="30"/>
  <c r="H7" i="30"/>
  <c r="G7" i="30"/>
  <c r="E7" i="30"/>
  <c r="D7" i="30"/>
  <c r="C7" i="30"/>
  <c r="B7" i="30"/>
  <c r="AH6" i="30"/>
  <c r="AG6" i="30"/>
  <c r="AF6" i="30"/>
  <c r="AC6" i="30"/>
  <c r="AB6" i="30"/>
  <c r="AA6" i="30"/>
  <c r="X6" i="30"/>
  <c r="W6" i="30"/>
  <c r="V6" i="30"/>
  <c r="S6" i="30"/>
  <c r="R6" i="30"/>
  <c r="Q6" i="30"/>
  <c r="O6" i="30"/>
  <c r="N6" i="30"/>
  <c r="M6" i="30"/>
  <c r="L6" i="30"/>
  <c r="J6" i="30"/>
  <c r="I6" i="30"/>
  <c r="H6" i="30"/>
  <c r="G6" i="30"/>
  <c r="E6" i="30"/>
  <c r="D6" i="30"/>
  <c r="C6" i="30"/>
  <c r="B6" i="30"/>
  <c r="AH5" i="30"/>
  <c r="AG5" i="30"/>
  <c r="AF5" i="30"/>
  <c r="AC5" i="30"/>
  <c r="AB5" i="30"/>
  <c r="AA5" i="30"/>
  <c r="X5" i="30"/>
  <c r="W5" i="30"/>
  <c r="V5" i="30"/>
  <c r="T5" i="30"/>
  <c r="S5" i="30"/>
  <c r="R5" i="30"/>
  <c r="Q5" i="30"/>
  <c r="O5" i="30"/>
  <c r="N5" i="30"/>
  <c r="M5" i="30"/>
  <c r="L5" i="30"/>
  <c r="J5" i="30"/>
  <c r="I5" i="30"/>
  <c r="H5" i="30"/>
  <c r="G5" i="30"/>
  <c r="E5" i="30"/>
  <c r="D5" i="30"/>
  <c r="C5" i="30"/>
  <c r="B5" i="30"/>
  <c r="AI4" i="30"/>
  <c r="AH4" i="30"/>
  <c r="AG4" i="30"/>
  <c r="AF4" i="30"/>
  <c r="AD4" i="30"/>
  <c r="AC4" i="30"/>
  <c r="AB4" i="30"/>
  <c r="AA4" i="30"/>
  <c r="Y4" i="30"/>
  <c r="X4" i="30"/>
  <c r="W4" i="30"/>
  <c r="V4" i="30"/>
  <c r="T4" i="30"/>
  <c r="S4" i="30"/>
  <c r="R4" i="30"/>
  <c r="Q4" i="30"/>
  <c r="O4" i="30"/>
  <c r="N4" i="30"/>
  <c r="M4" i="30"/>
  <c r="L4" i="30"/>
  <c r="J4" i="30"/>
  <c r="I4" i="30"/>
  <c r="H4" i="30"/>
  <c r="G4" i="30"/>
  <c r="E4" i="30"/>
  <c r="D4" i="30"/>
  <c r="C4" i="30"/>
  <c r="B4" i="30"/>
  <c r="AI3" i="30"/>
  <c r="AH3" i="30"/>
  <c r="AG3" i="30"/>
  <c r="AF3" i="30"/>
  <c r="AD3" i="30"/>
  <c r="AC3" i="30"/>
  <c r="AB3" i="30"/>
  <c r="AA3" i="30"/>
  <c r="Y3" i="30"/>
  <c r="X3" i="30"/>
  <c r="W3" i="30"/>
  <c r="V3" i="30"/>
  <c r="T3" i="30"/>
  <c r="S3" i="30"/>
  <c r="R3" i="30"/>
  <c r="Q3" i="30"/>
  <c r="O3" i="30"/>
  <c r="N3" i="30"/>
  <c r="M3" i="30"/>
  <c r="L3" i="30"/>
  <c r="J3" i="30"/>
  <c r="I3" i="30"/>
  <c r="H3" i="30"/>
  <c r="G3" i="30"/>
  <c r="E3" i="30"/>
  <c r="D3" i="30"/>
  <c r="C3" i="30"/>
  <c r="B3" i="30"/>
  <c r="AF1" i="30"/>
  <c r="AA1" i="30"/>
  <c r="V1" i="30"/>
  <c r="Q1" i="30"/>
  <c r="L1" i="30"/>
  <c r="G1" i="30"/>
  <c r="D93" i="29"/>
  <c r="C93" i="29"/>
  <c r="B93" i="29"/>
  <c r="D92" i="29"/>
  <c r="C92" i="29"/>
  <c r="B92" i="29"/>
  <c r="D91" i="29"/>
  <c r="C91" i="29"/>
  <c r="B91" i="29"/>
  <c r="D90" i="29"/>
  <c r="C90" i="29"/>
  <c r="B90" i="29"/>
  <c r="D89" i="29"/>
  <c r="C89" i="29"/>
  <c r="B89" i="29"/>
  <c r="D88" i="29"/>
  <c r="C88" i="29"/>
  <c r="B88" i="29"/>
  <c r="D87" i="29"/>
  <c r="C87" i="29"/>
  <c r="B87" i="29"/>
  <c r="D86" i="29"/>
  <c r="C86" i="29"/>
  <c r="B86" i="29"/>
  <c r="D85" i="29"/>
  <c r="C85" i="29"/>
  <c r="B85" i="29"/>
  <c r="D84" i="29"/>
  <c r="C84" i="29"/>
  <c r="B84" i="29"/>
  <c r="D83" i="29"/>
  <c r="C83" i="29"/>
  <c r="B83" i="29"/>
  <c r="D82" i="29"/>
  <c r="C82" i="29"/>
  <c r="B82" i="29"/>
  <c r="D81" i="29"/>
  <c r="C81" i="29"/>
  <c r="B81" i="29"/>
  <c r="D80" i="29"/>
  <c r="C80" i="29"/>
  <c r="B80" i="29"/>
  <c r="D79" i="29"/>
  <c r="C79" i="29"/>
  <c r="B79" i="29"/>
  <c r="D78" i="29"/>
  <c r="C78" i="29"/>
  <c r="B78" i="29"/>
  <c r="D77" i="29"/>
  <c r="C77" i="29"/>
  <c r="B77" i="29"/>
  <c r="D76" i="29"/>
  <c r="C76" i="29"/>
  <c r="B76" i="29"/>
  <c r="D75" i="29"/>
  <c r="C75" i="29"/>
  <c r="B75" i="29"/>
  <c r="D74" i="29"/>
  <c r="C74" i="29"/>
  <c r="B74" i="29"/>
  <c r="D73" i="29"/>
  <c r="C73" i="29"/>
  <c r="B73" i="29"/>
  <c r="D72" i="29"/>
  <c r="C72" i="29"/>
  <c r="B72" i="29"/>
  <c r="D71" i="29"/>
  <c r="C71" i="29"/>
  <c r="B71" i="29"/>
  <c r="D70" i="29"/>
  <c r="C70" i="29"/>
  <c r="B70" i="29"/>
  <c r="D69" i="29"/>
  <c r="C69" i="29"/>
  <c r="B69" i="29"/>
  <c r="D68" i="29"/>
  <c r="C68" i="29"/>
  <c r="B68" i="29"/>
  <c r="D67" i="29"/>
  <c r="C67" i="29"/>
  <c r="B67" i="29"/>
  <c r="D66" i="29"/>
  <c r="C66" i="29"/>
  <c r="B66" i="29"/>
  <c r="D65" i="29"/>
  <c r="C65" i="29"/>
  <c r="B65" i="29"/>
  <c r="D64" i="29"/>
  <c r="C64" i="29"/>
  <c r="B64" i="29"/>
  <c r="D63" i="29"/>
  <c r="C63" i="29"/>
  <c r="B63" i="29"/>
  <c r="D62" i="29"/>
  <c r="C62" i="29"/>
  <c r="B62" i="29"/>
  <c r="D61" i="29"/>
  <c r="C61" i="29"/>
  <c r="B61" i="29"/>
  <c r="D60" i="29"/>
  <c r="C60" i="29"/>
  <c r="B60" i="29"/>
  <c r="D59" i="29"/>
  <c r="C59" i="29"/>
  <c r="B59" i="29"/>
  <c r="D58" i="29"/>
  <c r="C58" i="29"/>
  <c r="B58" i="29"/>
  <c r="D57" i="29"/>
  <c r="C57" i="29"/>
  <c r="B57" i="29"/>
  <c r="N56" i="29"/>
  <c r="M56" i="29"/>
  <c r="L56" i="29"/>
  <c r="D56" i="29"/>
  <c r="C56" i="29"/>
  <c r="B56" i="29"/>
  <c r="N55" i="29"/>
  <c r="M55" i="29"/>
  <c r="L55" i="29"/>
  <c r="D55" i="29"/>
  <c r="C55" i="29"/>
  <c r="B55" i="29"/>
  <c r="S54" i="29"/>
  <c r="R54" i="29"/>
  <c r="Q54" i="29"/>
  <c r="N54" i="29"/>
  <c r="M54" i="29"/>
  <c r="L54" i="29"/>
  <c r="D54" i="29"/>
  <c r="C54" i="29"/>
  <c r="B54" i="29"/>
  <c r="S53" i="29"/>
  <c r="R53" i="29"/>
  <c r="Q53" i="29"/>
  <c r="N53" i="29"/>
  <c r="M53" i="29"/>
  <c r="L53" i="29"/>
  <c r="D53" i="29"/>
  <c r="C53" i="29"/>
  <c r="B53" i="29"/>
  <c r="S52" i="29"/>
  <c r="R52" i="29"/>
  <c r="Q52" i="29"/>
  <c r="N52" i="29"/>
  <c r="M52" i="29"/>
  <c r="L52" i="29"/>
  <c r="D52" i="29"/>
  <c r="C52" i="29"/>
  <c r="B52" i="29"/>
  <c r="S51" i="29"/>
  <c r="R51" i="29"/>
  <c r="Q51" i="29"/>
  <c r="N51" i="29"/>
  <c r="M51" i="29"/>
  <c r="L51" i="29"/>
  <c r="D51" i="29"/>
  <c r="C51" i="29"/>
  <c r="B51" i="29"/>
  <c r="S50" i="29"/>
  <c r="R50" i="29"/>
  <c r="Q50" i="29"/>
  <c r="N50" i="29"/>
  <c r="M50" i="29"/>
  <c r="L50" i="29"/>
  <c r="D50" i="29"/>
  <c r="C50" i="29"/>
  <c r="B50" i="29"/>
  <c r="S49" i="29"/>
  <c r="R49" i="29"/>
  <c r="Q49" i="29"/>
  <c r="N49" i="29"/>
  <c r="M49" i="29"/>
  <c r="L49" i="29"/>
  <c r="D49" i="29"/>
  <c r="C49" i="29"/>
  <c r="B49" i="29"/>
  <c r="S48" i="29"/>
  <c r="R48" i="29"/>
  <c r="Q48" i="29"/>
  <c r="N48" i="29"/>
  <c r="M48" i="29"/>
  <c r="L48" i="29"/>
  <c r="D48" i="29"/>
  <c r="C48" i="29"/>
  <c r="B48" i="29"/>
  <c r="S47" i="29"/>
  <c r="R47" i="29"/>
  <c r="Q47" i="29"/>
  <c r="N47" i="29"/>
  <c r="M47" i="29"/>
  <c r="L47" i="29"/>
  <c r="D47" i="29"/>
  <c r="C47" i="29"/>
  <c r="B47" i="29"/>
  <c r="S46" i="29"/>
  <c r="R46" i="29"/>
  <c r="Q46" i="29"/>
  <c r="N46" i="29"/>
  <c r="M46" i="29"/>
  <c r="L46" i="29"/>
  <c r="D46" i="29"/>
  <c r="C46" i="29"/>
  <c r="B46" i="29"/>
  <c r="S45" i="29"/>
  <c r="R45" i="29"/>
  <c r="Q45" i="29"/>
  <c r="N45" i="29"/>
  <c r="M45" i="29"/>
  <c r="L45" i="29"/>
  <c r="D45" i="29"/>
  <c r="C45" i="29"/>
  <c r="B45" i="29"/>
  <c r="S44" i="29"/>
  <c r="R44" i="29"/>
  <c r="Q44" i="29"/>
  <c r="N44" i="29"/>
  <c r="M44" i="29"/>
  <c r="L44" i="29"/>
  <c r="D44" i="29"/>
  <c r="C44" i="29"/>
  <c r="B44" i="29"/>
  <c r="S43" i="29"/>
  <c r="R43" i="29"/>
  <c r="Q43" i="29"/>
  <c r="N43" i="29"/>
  <c r="M43" i="29"/>
  <c r="L43" i="29"/>
  <c r="D43" i="29"/>
  <c r="C43" i="29"/>
  <c r="B43" i="29"/>
  <c r="S42" i="29"/>
  <c r="R42" i="29"/>
  <c r="Q42" i="29"/>
  <c r="N42" i="29"/>
  <c r="M42" i="29"/>
  <c r="L42" i="29"/>
  <c r="D42" i="29"/>
  <c r="C42" i="29"/>
  <c r="B42" i="29"/>
  <c r="S41" i="29"/>
  <c r="R41" i="29"/>
  <c r="Q41" i="29"/>
  <c r="N41" i="29"/>
  <c r="M41" i="29"/>
  <c r="L41" i="29"/>
  <c r="D41" i="29"/>
  <c r="C41" i="29"/>
  <c r="B41" i="29"/>
  <c r="S40" i="29"/>
  <c r="R40" i="29"/>
  <c r="Q40" i="29"/>
  <c r="N40" i="29"/>
  <c r="M40" i="29"/>
  <c r="L40" i="29"/>
  <c r="D40" i="29"/>
  <c r="C40" i="29"/>
  <c r="B40" i="29"/>
  <c r="S39" i="29"/>
  <c r="R39" i="29"/>
  <c r="Q39" i="29"/>
  <c r="N39" i="29"/>
  <c r="M39" i="29"/>
  <c r="L39" i="29"/>
  <c r="D39" i="29"/>
  <c r="C39" i="29"/>
  <c r="B39" i="29"/>
  <c r="S38" i="29"/>
  <c r="R38" i="29"/>
  <c r="Q38" i="29"/>
  <c r="N38" i="29"/>
  <c r="M38" i="29"/>
  <c r="L38" i="29"/>
  <c r="I38" i="29"/>
  <c r="H38" i="29"/>
  <c r="G38" i="29"/>
  <c r="D38" i="29"/>
  <c r="C38" i="29"/>
  <c r="B38" i="29"/>
  <c r="S37" i="29"/>
  <c r="R37" i="29"/>
  <c r="Q37" i="29"/>
  <c r="N37" i="29"/>
  <c r="M37" i="29"/>
  <c r="L37" i="29"/>
  <c r="I37" i="29"/>
  <c r="H37" i="29"/>
  <c r="G37" i="29"/>
  <c r="D37" i="29"/>
  <c r="C37" i="29"/>
  <c r="B37" i="29"/>
  <c r="S36" i="29"/>
  <c r="R36" i="29"/>
  <c r="Q36" i="29"/>
  <c r="N36" i="29"/>
  <c r="M36" i="29"/>
  <c r="L36" i="29"/>
  <c r="I36" i="29"/>
  <c r="H36" i="29"/>
  <c r="G36" i="29"/>
  <c r="D36" i="29"/>
  <c r="C36" i="29"/>
  <c r="B36" i="29"/>
  <c r="S35" i="29"/>
  <c r="R35" i="29"/>
  <c r="Q35" i="29"/>
  <c r="N35" i="29"/>
  <c r="M35" i="29"/>
  <c r="L35" i="29"/>
  <c r="I35" i="29"/>
  <c r="H35" i="29"/>
  <c r="G35" i="29"/>
  <c r="D35" i="29"/>
  <c r="C35" i="29"/>
  <c r="B35" i="29"/>
  <c r="S34" i="29"/>
  <c r="R34" i="29"/>
  <c r="Q34" i="29"/>
  <c r="N34" i="29"/>
  <c r="M34" i="29"/>
  <c r="L34" i="29"/>
  <c r="I34" i="29"/>
  <c r="H34" i="29"/>
  <c r="G34" i="29"/>
  <c r="D34" i="29"/>
  <c r="C34" i="29"/>
  <c r="B34" i="29"/>
  <c r="AC33" i="29"/>
  <c r="AB33" i="29"/>
  <c r="AA33" i="29"/>
  <c r="S33" i="29"/>
  <c r="R33" i="29"/>
  <c r="Q33" i="29"/>
  <c r="N33" i="29"/>
  <c r="M33" i="29"/>
  <c r="L33" i="29"/>
  <c r="I33" i="29"/>
  <c r="H33" i="29"/>
  <c r="G33" i="29"/>
  <c r="D33" i="29"/>
  <c r="C33" i="29"/>
  <c r="B33" i="29"/>
  <c r="AC32" i="29"/>
  <c r="AB32" i="29"/>
  <c r="AA32" i="29"/>
  <c r="S32" i="29"/>
  <c r="R32" i="29"/>
  <c r="Q32" i="29"/>
  <c r="N32" i="29"/>
  <c r="M32" i="29"/>
  <c r="L32" i="29"/>
  <c r="I32" i="29"/>
  <c r="H32" i="29"/>
  <c r="G32" i="29"/>
  <c r="D32" i="29"/>
  <c r="C32" i="29"/>
  <c r="B32" i="29"/>
  <c r="AC31" i="29"/>
  <c r="AB31" i="29"/>
  <c r="AA31" i="29"/>
  <c r="S31" i="29"/>
  <c r="R31" i="29"/>
  <c r="Q31" i="29"/>
  <c r="N31" i="29"/>
  <c r="M31" i="29"/>
  <c r="L31" i="29"/>
  <c r="I31" i="29"/>
  <c r="H31" i="29"/>
  <c r="G31" i="29"/>
  <c r="D31" i="29"/>
  <c r="C31" i="29"/>
  <c r="B31" i="29"/>
  <c r="AC30" i="29"/>
  <c r="AB30" i="29"/>
  <c r="AA30" i="29"/>
  <c r="S30" i="29"/>
  <c r="R30" i="29"/>
  <c r="Q30" i="29"/>
  <c r="N30" i="29"/>
  <c r="M30" i="29"/>
  <c r="L30" i="29"/>
  <c r="I30" i="29"/>
  <c r="H30" i="29"/>
  <c r="G30" i="29"/>
  <c r="D30" i="29"/>
  <c r="C30" i="29"/>
  <c r="B30" i="29"/>
  <c r="AH29" i="29"/>
  <c r="AG29" i="29"/>
  <c r="AF29" i="29"/>
  <c r="AC29" i="29"/>
  <c r="AB29" i="29"/>
  <c r="AA29" i="29"/>
  <c r="S29" i="29"/>
  <c r="R29" i="29"/>
  <c r="Q29" i="29"/>
  <c r="N29" i="29"/>
  <c r="M29" i="29"/>
  <c r="L29" i="29"/>
  <c r="I29" i="29"/>
  <c r="H29" i="29"/>
  <c r="G29" i="29"/>
  <c r="D29" i="29"/>
  <c r="C29" i="29"/>
  <c r="B29" i="29"/>
  <c r="AH28" i="29"/>
  <c r="AG28" i="29"/>
  <c r="AF28" i="29"/>
  <c r="AC28" i="29"/>
  <c r="AB28" i="29"/>
  <c r="AA28" i="29"/>
  <c r="S28" i="29"/>
  <c r="R28" i="29"/>
  <c r="Q28" i="29"/>
  <c r="N28" i="29"/>
  <c r="M28" i="29"/>
  <c r="L28" i="29"/>
  <c r="I28" i="29"/>
  <c r="H28" i="29"/>
  <c r="G28" i="29"/>
  <c r="D28" i="29"/>
  <c r="C28" i="29"/>
  <c r="B28" i="29"/>
  <c r="AH27" i="29"/>
  <c r="AG27" i="29"/>
  <c r="AF27" i="29"/>
  <c r="AC27" i="29"/>
  <c r="AB27" i="29"/>
  <c r="AA27" i="29"/>
  <c r="S27" i="29"/>
  <c r="R27" i="29"/>
  <c r="Q27" i="29"/>
  <c r="N27" i="29"/>
  <c r="M27" i="29"/>
  <c r="L27" i="29"/>
  <c r="I27" i="29"/>
  <c r="H27" i="29"/>
  <c r="G27" i="29"/>
  <c r="D27" i="29"/>
  <c r="C27" i="29"/>
  <c r="B27" i="29"/>
  <c r="AH26" i="29"/>
  <c r="AG26" i="29"/>
  <c r="AF26" i="29"/>
  <c r="AC26" i="29"/>
  <c r="AB26" i="29"/>
  <c r="AA26" i="29"/>
  <c r="S26" i="29"/>
  <c r="R26" i="29"/>
  <c r="Q26" i="29"/>
  <c r="N26" i="29"/>
  <c r="M26" i="29"/>
  <c r="L26" i="29"/>
  <c r="I26" i="29"/>
  <c r="H26" i="29"/>
  <c r="G26" i="29"/>
  <c r="D26" i="29"/>
  <c r="C26" i="29"/>
  <c r="B26" i="29"/>
  <c r="AH25" i="29"/>
  <c r="AG25" i="29"/>
  <c r="AF25" i="29"/>
  <c r="AC25" i="29"/>
  <c r="AB25" i="29"/>
  <c r="AA25" i="29"/>
  <c r="X25" i="29"/>
  <c r="W25" i="29"/>
  <c r="V25" i="29"/>
  <c r="S25" i="29"/>
  <c r="R25" i="29"/>
  <c r="Q25" i="29"/>
  <c r="N25" i="29"/>
  <c r="M25" i="29"/>
  <c r="L25" i="29"/>
  <c r="I25" i="29"/>
  <c r="H25" i="29"/>
  <c r="G25" i="29"/>
  <c r="E25" i="29"/>
  <c r="D25" i="29"/>
  <c r="C25" i="29"/>
  <c r="B25" i="29"/>
  <c r="AH24" i="29"/>
  <c r="AG24" i="29"/>
  <c r="AF24" i="29"/>
  <c r="AC24" i="29"/>
  <c r="AB24" i="29"/>
  <c r="AA24" i="29"/>
  <c r="X24" i="29"/>
  <c r="W24" i="29"/>
  <c r="V24" i="29"/>
  <c r="S24" i="29"/>
  <c r="R24" i="29"/>
  <c r="Q24" i="29"/>
  <c r="N24" i="29"/>
  <c r="M24" i="29"/>
  <c r="L24" i="29"/>
  <c r="I24" i="29"/>
  <c r="H24" i="29"/>
  <c r="G24" i="29"/>
  <c r="E24" i="29"/>
  <c r="D24" i="29"/>
  <c r="C24" i="29"/>
  <c r="B24" i="29"/>
  <c r="AH23" i="29"/>
  <c r="AG23" i="29"/>
  <c r="AF23" i="29"/>
  <c r="AC23" i="29"/>
  <c r="AB23" i="29"/>
  <c r="AA23" i="29"/>
  <c r="X23" i="29"/>
  <c r="W23" i="29"/>
  <c r="V23" i="29"/>
  <c r="S23" i="29"/>
  <c r="R23" i="29"/>
  <c r="Q23" i="29"/>
  <c r="N23" i="29"/>
  <c r="M23" i="29"/>
  <c r="L23" i="29"/>
  <c r="I23" i="29"/>
  <c r="H23" i="29"/>
  <c r="G23" i="29"/>
  <c r="E23" i="29"/>
  <c r="D23" i="29"/>
  <c r="C23" i="29"/>
  <c r="B23" i="29"/>
  <c r="AH22" i="29"/>
  <c r="AG22" i="29"/>
  <c r="AF22" i="29"/>
  <c r="AC22" i="29"/>
  <c r="AB22" i="29"/>
  <c r="AA22" i="29"/>
  <c r="X22" i="29"/>
  <c r="W22" i="29"/>
  <c r="V22" i="29"/>
  <c r="S22" i="29"/>
  <c r="R22" i="29"/>
  <c r="Q22" i="29"/>
  <c r="N22" i="29"/>
  <c r="M22" i="29"/>
  <c r="L22" i="29"/>
  <c r="I22" i="29"/>
  <c r="H22" i="29"/>
  <c r="G22" i="29"/>
  <c r="E22" i="29"/>
  <c r="D22" i="29"/>
  <c r="C22" i="29"/>
  <c r="B22" i="29"/>
  <c r="AH21" i="29"/>
  <c r="AG21" i="29"/>
  <c r="AF21" i="29"/>
  <c r="AC21" i="29"/>
  <c r="AB21" i="29"/>
  <c r="AA21" i="29"/>
  <c r="X21" i="29"/>
  <c r="W21" i="29"/>
  <c r="V21" i="29"/>
  <c r="S21" i="29"/>
  <c r="R21" i="29"/>
  <c r="Q21" i="29"/>
  <c r="N21" i="29"/>
  <c r="M21" i="29"/>
  <c r="L21" i="29"/>
  <c r="I21" i="29"/>
  <c r="H21" i="29"/>
  <c r="G21" i="29"/>
  <c r="E21" i="29"/>
  <c r="D21" i="29"/>
  <c r="C21" i="29"/>
  <c r="B21" i="29"/>
  <c r="AH20" i="29"/>
  <c r="AG20" i="29"/>
  <c r="AF20" i="29"/>
  <c r="AC20" i="29"/>
  <c r="AB20" i="29"/>
  <c r="AA20" i="29"/>
  <c r="X20" i="29"/>
  <c r="W20" i="29"/>
  <c r="V20" i="29"/>
  <c r="S20" i="29"/>
  <c r="R20" i="29"/>
  <c r="Q20" i="29"/>
  <c r="N20" i="29"/>
  <c r="M20" i="29"/>
  <c r="L20" i="29"/>
  <c r="I20" i="29"/>
  <c r="H20" i="29"/>
  <c r="G20" i="29"/>
  <c r="E20" i="29"/>
  <c r="D20" i="29"/>
  <c r="C20" i="29"/>
  <c r="B20" i="29"/>
  <c r="AH19" i="29"/>
  <c r="AG19" i="29"/>
  <c r="AF19" i="29"/>
  <c r="AC19" i="29"/>
  <c r="AB19" i="29"/>
  <c r="AA19" i="29"/>
  <c r="X19" i="29"/>
  <c r="W19" i="29"/>
  <c r="V19" i="29"/>
  <c r="S19" i="29"/>
  <c r="R19" i="29"/>
  <c r="Q19" i="29"/>
  <c r="N19" i="29"/>
  <c r="M19" i="29"/>
  <c r="L19" i="29"/>
  <c r="I19" i="29"/>
  <c r="H19" i="29"/>
  <c r="G19" i="29"/>
  <c r="E19" i="29"/>
  <c r="D19" i="29"/>
  <c r="C19" i="29"/>
  <c r="B19" i="29"/>
  <c r="AH18" i="29"/>
  <c r="AG18" i="29"/>
  <c r="AF18" i="29"/>
  <c r="AC18" i="29"/>
  <c r="AB18" i="29"/>
  <c r="AA18" i="29"/>
  <c r="X18" i="29"/>
  <c r="W18" i="29"/>
  <c r="V18" i="29"/>
  <c r="S18" i="29"/>
  <c r="R18" i="29"/>
  <c r="Q18" i="29"/>
  <c r="N18" i="29"/>
  <c r="M18" i="29"/>
  <c r="L18" i="29"/>
  <c r="I18" i="29"/>
  <c r="H18" i="29"/>
  <c r="G18" i="29"/>
  <c r="E18" i="29"/>
  <c r="D18" i="29"/>
  <c r="C18" i="29"/>
  <c r="B18" i="29"/>
  <c r="AH17" i="29"/>
  <c r="AG17" i="29"/>
  <c r="AF17" i="29"/>
  <c r="AC17" i="29"/>
  <c r="AB17" i="29"/>
  <c r="AA17" i="29"/>
  <c r="X17" i="29"/>
  <c r="W17" i="29"/>
  <c r="V17" i="29"/>
  <c r="S17" i="29"/>
  <c r="R17" i="29"/>
  <c r="Q17" i="29"/>
  <c r="N17" i="29"/>
  <c r="M17" i="29"/>
  <c r="L17" i="29"/>
  <c r="I17" i="29"/>
  <c r="H17" i="29"/>
  <c r="G17" i="29"/>
  <c r="E17" i="29"/>
  <c r="D17" i="29"/>
  <c r="C17" i="29"/>
  <c r="B17" i="29"/>
  <c r="AH16" i="29"/>
  <c r="AG16" i="29"/>
  <c r="AF16" i="29"/>
  <c r="AC16" i="29"/>
  <c r="AB16" i="29"/>
  <c r="AA16" i="29"/>
  <c r="X16" i="29"/>
  <c r="W16" i="29"/>
  <c r="V16" i="29"/>
  <c r="S16" i="29"/>
  <c r="R16" i="29"/>
  <c r="Q16" i="29"/>
  <c r="N16" i="29"/>
  <c r="M16" i="29"/>
  <c r="L16" i="29"/>
  <c r="I16" i="29"/>
  <c r="H16" i="29"/>
  <c r="G16" i="29"/>
  <c r="E16" i="29"/>
  <c r="D16" i="29"/>
  <c r="C16" i="29"/>
  <c r="B16" i="29"/>
  <c r="AH15" i="29"/>
  <c r="AG15" i="29"/>
  <c r="AF15" i="29"/>
  <c r="AC15" i="29"/>
  <c r="AB15" i="29"/>
  <c r="AA15" i="29"/>
  <c r="X15" i="29"/>
  <c r="W15" i="29"/>
  <c r="V15" i="29"/>
  <c r="S15" i="29"/>
  <c r="R15" i="29"/>
  <c r="Q15" i="29"/>
  <c r="N15" i="29"/>
  <c r="M15" i="29"/>
  <c r="L15" i="29"/>
  <c r="I15" i="29"/>
  <c r="H15" i="29"/>
  <c r="G15" i="29"/>
  <c r="E15" i="29"/>
  <c r="D15" i="29"/>
  <c r="C15" i="29"/>
  <c r="B15" i="29"/>
  <c r="AH14" i="29"/>
  <c r="AG14" i="29"/>
  <c r="AF14" i="29"/>
  <c r="AC14" i="29"/>
  <c r="AB14" i="29"/>
  <c r="AA14" i="29"/>
  <c r="X14" i="29"/>
  <c r="W14" i="29"/>
  <c r="V14" i="29"/>
  <c r="S14" i="29"/>
  <c r="R14" i="29"/>
  <c r="Q14" i="29"/>
  <c r="N14" i="29"/>
  <c r="M14" i="29"/>
  <c r="L14" i="29"/>
  <c r="I14" i="29"/>
  <c r="H14" i="29"/>
  <c r="G14" i="29"/>
  <c r="E14" i="29"/>
  <c r="D14" i="29"/>
  <c r="C14" i="29"/>
  <c r="B14" i="29"/>
  <c r="AH13" i="29"/>
  <c r="AG13" i="29"/>
  <c r="AF13" i="29"/>
  <c r="AC13" i="29"/>
  <c r="AB13" i="29"/>
  <c r="AA13" i="29"/>
  <c r="X13" i="29"/>
  <c r="W13" i="29"/>
  <c r="V13" i="29"/>
  <c r="S13" i="29"/>
  <c r="R13" i="29"/>
  <c r="Q13" i="29"/>
  <c r="N13" i="29"/>
  <c r="M13" i="29"/>
  <c r="L13" i="29"/>
  <c r="I13" i="29"/>
  <c r="H13" i="29"/>
  <c r="G13" i="29"/>
  <c r="E13" i="29"/>
  <c r="D13" i="29"/>
  <c r="C13" i="29"/>
  <c r="B13" i="29"/>
  <c r="AH12" i="29"/>
  <c r="AG12" i="29"/>
  <c r="AF12" i="29"/>
  <c r="AC12" i="29"/>
  <c r="AB12" i="29"/>
  <c r="AA12" i="29"/>
  <c r="X12" i="29"/>
  <c r="W12" i="29"/>
  <c r="V12" i="29"/>
  <c r="S12" i="29"/>
  <c r="R12" i="29"/>
  <c r="Q12" i="29"/>
  <c r="N12" i="29"/>
  <c r="M12" i="29"/>
  <c r="L12" i="29"/>
  <c r="I12" i="29"/>
  <c r="H12" i="29"/>
  <c r="G12" i="29"/>
  <c r="E12" i="29"/>
  <c r="D12" i="29"/>
  <c r="C12" i="29"/>
  <c r="B12" i="29"/>
  <c r="AH11" i="29"/>
  <c r="AG11" i="29"/>
  <c r="AF11" i="29"/>
  <c r="AC11" i="29"/>
  <c r="AB11" i="29"/>
  <c r="AA11" i="29"/>
  <c r="X11" i="29"/>
  <c r="W11" i="29"/>
  <c r="V11" i="29"/>
  <c r="S11" i="29"/>
  <c r="R11" i="29"/>
  <c r="Q11" i="29"/>
  <c r="N11" i="29"/>
  <c r="M11" i="29"/>
  <c r="L11" i="29"/>
  <c r="I11" i="29"/>
  <c r="H11" i="29"/>
  <c r="G11" i="29"/>
  <c r="E11" i="29"/>
  <c r="D11" i="29"/>
  <c r="C11" i="29"/>
  <c r="B11" i="29"/>
  <c r="AH10" i="29"/>
  <c r="AG10" i="29"/>
  <c r="AF10" i="29"/>
  <c r="AC10" i="29"/>
  <c r="AB10" i="29"/>
  <c r="AA10" i="29"/>
  <c r="X10" i="29"/>
  <c r="W10" i="29"/>
  <c r="V10" i="29"/>
  <c r="S10" i="29"/>
  <c r="R10" i="29"/>
  <c r="Q10" i="29"/>
  <c r="N10" i="29"/>
  <c r="M10" i="29"/>
  <c r="L10" i="29"/>
  <c r="I10" i="29"/>
  <c r="H10" i="29"/>
  <c r="G10" i="29"/>
  <c r="E10" i="29"/>
  <c r="D10" i="29"/>
  <c r="C10" i="29"/>
  <c r="B10" i="29"/>
  <c r="AH9" i="29"/>
  <c r="AG9" i="29"/>
  <c r="AF9" i="29"/>
  <c r="AC9" i="29"/>
  <c r="AB9" i="29"/>
  <c r="AA9" i="29"/>
  <c r="X9" i="29"/>
  <c r="W9" i="29"/>
  <c r="V9" i="29"/>
  <c r="T9" i="29"/>
  <c r="S9" i="29"/>
  <c r="R9" i="29"/>
  <c r="Q9" i="29"/>
  <c r="N9" i="29"/>
  <c r="M9" i="29"/>
  <c r="L9" i="29"/>
  <c r="I9" i="29"/>
  <c r="H9" i="29"/>
  <c r="G9" i="29"/>
  <c r="E9" i="29"/>
  <c r="D9" i="29"/>
  <c r="C9" i="29"/>
  <c r="B9" i="29"/>
  <c r="AH8" i="29"/>
  <c r="AG8" i="29"/>
  <c r="AF8" i="29"/>
  <c r="AC8" i="29"/>
  <c r="AB8" i="29"/>
  <c r="AA8" i="29"/>
  <c r="X8" i="29"/>
  <c r="W8" i="29"/>
  <c r="V8" i="29"/>
  <c r="T8" i="29"/>
  <c r="S8" i="29"/>
  <c r="R8" i="29"/>
  <c r="Q8" i="29"/>
  <c r="N8" i="29"/>
  <c r="M8" i="29"/>
  <c r="L8" i="29"/>
  <c r="J8" i="29"/>
  <c r="I8" i="29"/>
  <c r="H8" i="29"/>
  <c r="G8" i="29"/>
  <c r="E8" i="29"/>
  <c r="D8" i="29"/>
  <c r="C8" i="29"/>
  <c r="B8" i="29"/>
  <c r="AH7" i="29"/>
  <c r="AG7" i="29"/>
  <c r="AF7" i="29"/>
  <c r="AC7" i="29"/>
  <c r="AB7" i="29"/>
  <c r="AA7" i="29"/>
  <c r="X7" i="29"/>
  <c r="W7" i="29"/>
  <c r="V7" i="29"/>
  <c r="T7" i="29"/>
  <c r="S7" i="29"/>
  <c r="R7" i="29"/>
  <c r="Q7" i="29"/>
  <c r="O7" i="29"/>
  <c r="N7" i="29"/>
  <c r="M7" i="29"/>
  <c r="L7" i="29"/>
  <c r="J7" i="29"/>
  <c r="I7" i="29"/>
  <c r="H7" i="29"/>
  <c r="G7" i="29"/>
  <c r="E7" i="29"/>
  <c r="D7" i="29"/>
  <c r="C7" i="29"/>
  <c r="B7" i="29"/>
  <c r="AH6" i="29"/>
  <c r="AG6" i="29"/>
  <c r="AF6" i="29"/>
  <c r="AC6" i="29"/>
  <c r="AB6" i="29"/>
  <c r="AA6" i="29"/>
  <c r="X6" i="29"/>
  <c r="W6" i="29"/>
  <c r="V6" i="29"/>
  <c r="T6" i="29"/>
  <c r="S6" i="29"/>
  <c r="R6" i="29"/>
  <c r="Q6" i="29"/>
  <c r="O6" i="29"/>
  <c r="N6" i="29"/>
  <c r="M6" i="29"/>
  <c r="L6" i="29"/>
  <c r="J6" i="29"/>
  <c r="I6" i="29"/>
  <c r="H6" i="29"/>
  <c r="G6" i="29"/>
  <c r="E6" i="29"/>
  <c r="D6" i="29"/>
  <c r="C6" i="29"/>
  <c r="B6" i="29"/>
  <c r="AH5" i="29"/>
  <c r="AG5" i="29"/>
  <c r="AF5" i="29"/>
  <c r="AC5" i="29"/>
  <c r="AB5" i="29"/>
  <c r="AA5" i="29"/>
  <c r="X5" i="29"/>
  <c r="W5" i="29"/>
  <c r="V5" i="29"/>
  <c r="T5" i="29"/>
  <c r="S5" i="29"/>
  <c r="R5" i="29"/>
  <c r="Q5" i="29"/>
  <c r="O5" i="29"/>
  <c r="N5" i="29"/>
  <c r="M5" i="29"/>
  <c r="L5" i="29"/>
  <c r="J5" i="29"/>
  <c r="I5" i="29"/>
  <c r="H5" i="29"/>
  <c r="G5" i="29"/>
  <c r="E5" i="29"/>
  <c r="D5" i="29"/>
  <c r="C5" i="29"/>
  <c r="B5" i="29"/>
  <c r="AI4" i="29"/>
  <c r="AH4" i="29"/>
  <c r="AG4" i="29"/>
  <c r="AF4" i="29"/>
  <c r="AD4" i="29"/>
  <c r="AC4" i="29"/>
  <c r="AB4" i="29"/>
  <c r="AA4" i="29"/>
  <c r="Y4" i="29"/>
  <c r="X4" i="29"/>
  <c r="W4" i="29"/>
  <c r="V4" i="29"/>
  <c r="T4" i="29"/>
  <c r="S4" i="29"/>
  <c r="R4" i="29"/>
  <c r="Q4" i="29"/>
  <c r="O4" i="29"/>
  <c r="N4" i="29"/>
  <c r="M4" i="29"/>
  <c r="L4" i="29"/>
  <c r="J4" i="29"/>
  <c r="I4" i="29"/>
  <c r="H4" i="29"/>
  <c r="G4" i="29"/>
  <c r="E4" i="29"/>
  <c r="D4" i="29"/>
  <c r="C4" i="29"/>
  <c r="B4" i="29"/>
  <c r="AI3" i="29"/>
  <c r="AH3" i="29"/>
  <c r="AG3" i="29"/>
  <c r="AF3" i="29"/>
  <c r="AD3" i="29"/>
  <c r="AC3" i="29"/>
  <c r="AB3" i="29"/>
  <c r="AA3" i="29"/>
  <c r="Y3" i="29"/>
  <c r="X3" i="29"/>
  <c r="W3" i="29"/>
  <c r="V3" i="29"/>
  <c r="T3" i="29"/>
  <c r="S3" i="29"/>
  <c r="R3" i="29"/>
  <c r="Q3" i="29"/>
  <c r="O3" i="29"/>
  <c r="N3" i="29"/>
  <c r="M3" i="29"/>
  <c r="L3" i="29"/>
  <c r="J3" i="29"/>
  <c r="I3" i="29"/>
  <c r="H3" i="29"/>
  <c r="G3" i="29"/>
  <c r="E3" i="29"/>
  <c r="D3" i="29"/>
  <c r="C3" i="29"/>
  <c r="B3" i="29"/>
  <c r="AF1" i="29"/>
  <c r="AA1" i="29"/>
  <c r="V1" i="29"/>
  <c r="Q1" i="29"/>
  <c r="L1" i="29"/>
  <c r="G1" i="29"/>
  <c r="D51" i="28"/>
  <c r="C51" i="28"/>
  <c r="B51" i="28"/>
  <c r="D50" i="28"/>
  <c r="C50" i="28"/>
  <c r="B50" i="28"/>
  <c r="D49" i="28"/>
  <c r="C49" i="28"/>
  <c r="B49" i="28"/>
  <c r="D48" i="28"/>
  <c r="C48" i="28"/>
  <c r="B48" i="28"/>
  <c r="D47" i="28"/>
  <c r="C47" i="28"/>
  <c r="B47" i="28"/>
  <c r="D46" i="28"/>
  <c r="C46" i="28"/>
  <c r="B46" i="28"/>
  <c r="S45" i="28"/>
  <c r="R45" i="28"/>
  <c r="Q45" i="28"/>
  <c r="D45" i="28"/>
  <c r="C45" i="28"/>
  <c r="B45" i="28"/>
  <c r="S44" i="28"/>
  <c r="R44" i="28"/>
  <c r="Q44" i="28"/>
  <c r="D44" i="28"/>
  <c r="C44" i="28"/>
  <c r="B44" i="28"/>
  <c r="S43" i="28"/>
  <c r="R43" i="28"/>
  <c r="Q43" i="28"/>
  <c r="D43" i="28"/>
  <c r="C43" i="28"/>
  <c r="B43" i="28"/>
  <c r="S42" i="28"/>
  <c r="R42" i="28"/>
  <c r="Q42" i="28"/>
  <c r="D42" i="28"/>
  <c r="C42" i="28"/>
  <c r="B42" i="28"/>
  <c r="S41" i="28"/>
  <c r="R41" i="28"/>
  <c r="Q41" i="28"/>
  <c r="D41" i="28"/>
  <c r="C41" i="28"/>
  <c r="B41" i="28"/>
  <c r="S40" i="28"/>
  <c r="R40" i="28"/>
  <c r="Q40" i="28"/>
  <c r="D40" i="28"/>
  <c r="C40" i="28"/>
  <c r="B40" i="28"/>
  <c r="S39" i="28"/>
  <c r="R39" i="28"/>
  <c r="Q39" i="28"/>
  <c r="D39" i="28"/>
  <c r="C39" i="28"/>
  <c r="B39" i="28"/>
  <c r="S38" i="28"/>
  <c r="R38" i="28"/>
  <c r="Q38" i="28"/>
  <c r="D38" i="28"/>
  <c r="C38" i="28"/>
  <c r="B38" i="28"/>
  <c r="S37" i="28"/>
  <c r="R37" i="28"/>
  <c r="Q37" i="28"/>
  <c r="I37" i="28"/>
  <c r="H37" i="28"/>
  <c r="G37" i="28"/>
  <c r="D37" i="28"/>
  <c r="C37" i="28"/>
  <c r="B37" i="28"/>
  <c r="S36" i="28"/>
  <c r="R36" i="28"/>
  <c r="Q36" i="28"/>
  <c r="I36" i="28"/>
  <c r="H36" i="28"/>
  <c r="G36" i="28"/>
  <c r="D36" i="28"/>
  <c r="C36" i="28"/>
  <c r="B36" i="28"/>
  <c r="S35" i="28"/>
  <c r="R35" i="28"/>
  <c r="Q35" i="28"/>
  <c r="I35" i="28"/>
  <c r="H35" i="28"/>
  <c r="G35" i="28"/>
  <c r="D35" i="28"/>
  <c r="C35" i="28"/>
  <c r="B35" i="28"/>
  <c r="S34" i="28"/>
  <c r="R34" i="28"/>
  <c r="Q34" i="28"/>
  <c r="I34" i="28"/>
  <c r="H34" i="28"/>
  <c r="G34" i="28"/>
  <c r="D34" i="28"/>
  <c r="C34" i="28"/>
  <c r="B34" i="28"/>
  <c r="S33" i="28"/>
  <c r="R33" i="28"/>
  <c r="Q33" i="28"/>
  <c r="I33" i="28"/>
  <c r="H33" i="28"/>
  <c r="G33" i="28"/>
  <c r="D33" i="28"/>
  <c r="C33" i="28"/>
  <c r="B33" i="28"/>
  <c r="S32" i="28"/>
  <c r="R32" i="28"/>
  <c r="Q32" i="28"/>
  <c r="N32" i="28"/>
  <c r="M32" i="28"/>
  <c r="L32" i="28"/>
  <c r="I32" i="28"/>
  <c r="H32" i="28"/>
  <c r="G32" i="28"/>
  <c r="D32" i="28"/>
  <c r="C32" i="28"/>
  <c r="B32" i="28"/>
  <c r="S31" i="28"/>
  <c r="R31" i="28"/>
  <c r="Q31" i="28"/>
  <c r="N31" i="28"/>
  <c r="M31" i="28"/>
  <c r="L31" i="28"/>
  <c r="I31" i="28"/>
  <c r="H31" i="28"/>
  <c r="G31" i="28"/>
  <c r="D31" i="28"/>
  <c r="C31" i="28"/>
  <c r="B31" i="28"/>
  <c r="S30" i="28"/>
  <c r="R30" i="28"/>
  <c r="Q30" i="28"/>
  <c r="N30" i="28"/>
  <c r="M30" i="28"/>
  <c r="L30" i="28"/>
  <c r="I30" i="28"/>
  <c r="H30" i="28"/>
  <c r="G30" i="28"/>
  <c r="D30" i="28"/>
  <c r="C30" i="28"/>
  <c r="B30" i="28"/>
  <c r="S29" i="28"/>
  <c r="R29" i="28"/>
  <c r="Q29" i="28"/>
  <c r="N29" i="28"/>
  <c r="M29" i="28"/>
  <c r="L29" i="28"/>
  <c r="I29" i="28"/>
  <c r="H29" i="28"/>
  <c r="G29" i="28"/>
  <c r="D29" i="28"/>
  <c r="C29" i="28"/>
  <c r="B29" i="28"/>
  <c r="S28" i="28"/>
  <c r="R28" i="28"/>
  <c r="Q28" i="28"/>
  <c r="N28" i="28"/>
  <c r="M28" i="28"/>
  <c r="L28" i="28"/>
  <c r="I28" i="28"/>
  <c r="H28" i="28"/>
  <c r="G28" i="28"/>
  <c r="D28" i="28"/>
  <c r="C28" i="28"/>
  <c r="B28" i="28"/>
  <c r="S27" i="28"/>
  <c r="R27" i="28"/>
  <c r="Q27" i="28"/>
  <c r="N27" i="28"/>
  <c r="M27" i="28"/>
  <c r="L27" i="28"/>
  <c r="I27" i="28"/>
  <c r="H27" i="28"/>
  <c r="G27" i="28"/>
  <c r="D27" i="28"/>
  <c r="C27" i="28"/>
  <c r="B27" i="28"/>
  <c r="S26" i="28"/>
  <c r="R26" i="28"/>
  <c r="Q26" i="28"/>
  <c r="N26" i="28"/>
  <c r="M26" i="28"/>
  <c r="L26" i="28"/>
  <c r="I26" i="28"/>
  <c r="H26" i="28"/>
  <c r="G26" i="28"/>
  <c r="D26" i="28"/>
  <c r="C26" i="28"/>
  <c r="B26" i="28"/>
  <c r="S25" i="28"/>
  <c r="R25" i="28"/>
  <c r="Q25" i="28"/>
  <c r="N25" i="28"/>
  <c r="M25" i="28"/>
  <c r="L25" i="28"/>
  <c r="I25" i="28"/>
  <c r="H25" i="28"/>
  <c r="G25" i="28"/>
  <c r="D25" i="28"/>
  <c r="C25" i="28"/>
  <c r="B25" i="28"/>
  <c r="S24" i="28"/>
  <c r="R24" i="28"/>
  <c r="Q24" i="28"/>
  <c r="N24" i="28"/>
  <c r="M24" i="28"/>
  <c r="L24" i="28"/>
  <c r="I24" i="28"/>
  <c r="H24" i="28"/>
  <c r="G24" i="28"/>
  <c r="D24" i="28"/>
  <c r="C24" i="28"/>
  <c r="B24" i="28"/>
  <c r="S23" i="28"/>
  <c r="R23" i="28"/>
  <c r="Q23" i="28"/>
  <c r="N23" i="28"/>
  <c r="M23" i="28"/>
  <c r="L23" i="28"/>
  <c r="I23" i="28"/>
  <c r="H23" i="28"/>
  <c r="G23" i="28"/>
  <c r="D23" i="28"/>
  <c r="C23" i="28"/>
  <c r="B23" i="28"/>
  <c r="AH22" i="28"/>
  <c r="AG22" i="28"/>
  <c r="AF22" i="28"/>
  <c r="S22" i="28"/>
  <c r="R22" i="28"/>
  <c r="Q22" i="28"/>
  <c r="N22" i="28"/>
  <c r="M22" i="28"/>
  <c r="L22" i="28"/>
  <c r="I22" i="28"/>
  <c r="H22" i="28"/>
  <c r="G22" i="28"/>
  <c r="D22" i="28"/>
  <c r="C22" i="28"/>
  <c r="B22" i="28"/>
  <c r="AH21" i="28"/>
  <c r="AG21" i="28"/>
  <c r="AF21" i="28"/>
  <c r="S21" i="28"/>
  <c r="R21" i="28"/>
  <c r="Q21" i="28"/>
  <c r="N21" i="28"/>
  <c r="M21" i="28"/>
  <c r="L21" i="28"/>
  <c r="I21" i="28"/>
  <c r="H21" i="28"/>
  <c r="G21" i="28"/>
  <c r="D21" i="28"/>
  <c r="C21" i="28"/>
  <c r="B21" i="28"/>
  <c r="AH20" i="28"/>
  <c r="AG20" i="28"/>
  <c r="AF20" i="28"/>
  <c r="S20" i="28"/>
  <c r="R20" i="28"/>
  <c r="Q20" i="28"/>
  <c r="N20" i="28"/>
  <c r="M20" i="28"/>
  <c r="L20" i="28"/>
  <c r="I20" i="28"/>
  <c r="H20" i="28"/>
  <c r="G20" i="28"/>
  <c r="D20" i="28"/>
  <c r="C20" i="28"/>
  <c r="B20" i="28"/>
  <c r="AH19" i="28"/>
  <c r="AG19" i="28"/>
  <c r="AF19" i="28"/>
  <c r="S19" i="28"/>
  <c r="R19" i="28"/>
  <c r="Q19" i="28"/>
  <c r="N19" i="28"/>
  <c r="M19" i="28"/>
  <c r="L19" i="28"/>
  <c r="I19" i="28"/>
  <c r="H19" i="28"/>
  <c r="G19" i="28"/>
  <c r="D19" i="28"/>
  <c r="C19" i="28"/>
  <c r="B19" i="28"/>
  <c r="AH18" i="28"/>
  <c r="AG18" i="28"/>
  <c r="AF18" i="28"/>
  <c r="X18" i="28"/>
  <c r="W18" i="28"/>
  <c r="V18" i="28"/>
  <c r="S18" i="28"/>
  <c r="R18" i="28"/>
  <c r="Q18" i="28"/>
  <c r="N18" i="28"/>
  <c r="M18" i="28"/>
  <c r="L18" i="28"/>
  <c r="I18" i="28"/>
  <c r="H18" i="28"/>
  <c r="G18" i="28"/>
  <c r="D18" i="28"/>
  <c r="C18" i="28"/>
  <c r="B18" i="28"/>
  <c r="AH17" i="28"/>
  <c r="AG17" i="28"/>
  <c r="AF17" i="28"/>
  <c r="X17" i="28"/>
  <c r="W17" i="28"/>
  <c r="V17" i="28"/>
  <c r="S17" i="28"/>
  <c r="R17" i="28"/>
  <c r="Q17" i="28"/>
  <c r="N17" i="28"/>
  <c r="M17" i="28"/>
  <c r="L17" i="28"/>
  <c r="I17" i="28"/>
  <c r="H17" i="28"/>
  <c r="G17" i="28"/>
  <c r="D17" i="28"/>
  <c r="C17" i="28"/>
  <c r="B17" i="28"/>
  <c r="AH16" i="28"/>
  <c r="AG16" i="28"/>
  <c r="AF16" i="28"/>
  <c r="X16" i="28"/>
  <c r="W16" i="28"/>
  <c r="V16" i="28"/>
  <c r="S16" i="28"/>
  <c r="R16" i="28"/>
  <c r="Q16" i="28"/>
  <c r="N16" i="28"/>
  <c r="M16" i="28"/>
  <c r="L16" i="28"/>
  <c r="I16" i="28"/>
  <c r="H16" i="28"/>
  <c r="G16" i="28"/>
  <c r="D16" i="28"/>
  <c r="C16" i="28"/>
  <c r="B16" i="28"/>
  <c r="AH15" i="28"/>
  <c r="AG15" i="28"/>
  <c r="AF15" i="28"/>
  <c r="X15" i="28"/>
  <c r="W15" i="28"/>
  <c r="V15" i="28"/>
  <c r="S15" i="28"/>
  <c r="R15" i="28"/>
  <c r="Q15" i="28"/>
  <c r="N15" i="28"/>
  <c r="M15" i="28"/>
  <c r="L15" i="28"/>
  <c r="I15" i="28"/>
  <c r="H15" i="28"/>
  <c r="G15" i="28"/>
  <c r="D15" i="28"/>
  <c r="C15" i="28"/>
  <c r="B15" i="28"/>
  <c r="AH14" i="28"/>
  <c r="AG14" i="28"/>
  <c r="AF14" i="28"/>
  <c r="X14" i="28"/>
  <c r="W14" i="28"/>
  <c r="V14" i="28"/>
  <c r="S14" i="28"/>
  <c r="R14" i="28"/>
  <c r="Q14" i="28"/>
  <c r="N14" i="28"/>
  <c r="M14" i="28"/>
  <c r="L14" i="28"/>
  <c r="I14" i="28"/>
  <c r="H14" i="28"/>
  <c r="G14" i="28"/>
  <c r="D14" i="28"/>
  <c r="C14" i="28"/>
  <c r="B14" i="28"/>
  <c r="AH13" i="28"/>
  <c r="AG13" i="28"/>
  <c r="AF13" i="28"/>
  <c r="AC13" i="28"/>
  <c r="AB13" i="28"/>
  <c r="AA13" i="28"/>
  <c r="X13" i="28"/>
  <c r="W13" i="28"/>
  <c r="V13" i="28"/>
  <c r="S13" i="28"/>
  <c r="R13" i="28"/>
  <c r="Q13" i="28"/>
  <c r="N13" i="28"/>
  <c r="M13" i="28"/>
  <c r="L13" i="28"/>
  <c r="I13" i="28"/>
  <c r="H13" i="28"/>
  <c r="G13" i="28"/>
  <c r="D13" i="28"/>
  <c r="C13" i="28"/>
  <c r="B13" i="28"/>
  <c r="AH12" i="28"/>
  <c r="AG12" i="28"/>
  <c r="AF12" i="28"/>
  <c r="AC12" i="28"/>
  <c r="AB12" i="28"/>
  <c r="AA12" i="28"/>
  <c r="X12" i="28"/>
  <c r="W12" i="28"/>
  <c r="V12" i="28"/>
  <c r="S12" i="28"/>
  <c r="R12" i="28"/>
  <c r="Q12" i="28"/>
  <c r="N12" i="28"/>
  <c r="M12" i="28"/>
  <c r="L12" i="28"/>
  <c r="I12" i="28"/>
  <c r="H12" i="28"/>
  <c r="G12" i="28"/>
  <c r="D12" i="28"/>
  <c r="C12" i="28"/>
  <c r="B12" i="28"/>
  <c r="AH11" i="28"/>
  <c r="AG11" i="28"/>
  <c r="AF11" i="28"/>
  <c r="AC11" i="28"/>
  <c r="AB11" i="28"/>
  <c r="AA11" i="28"/>
  <c r="X11" i="28"/>
  <c r="W11" i="28"/>
  <c r="V11" i="28"/>
  <c r="S11" i="28"/>
  <c r="R11" i="28"/>
  <c r="Q11" i="28"/>
  <c r="N11" i="28"/>
  <c r="M11" i="28"/>
  <c r="L11" i="28"/>
  <c r="I11" i="28"/>
  <c r="H11" i="28"/>
  <c r="G11" i="28"/>
  <c r="D11" i="28"/>
  <c r="C11" i="28"/>
  <c r="B11" i="28"/>
  <c r="AH10" i="28"/>
  <c r="AG10" i="28"/>
  <c r="AF10" i="28"/>
  <c r="AC10" i="28"/>
  <c r="AB10" i="28"/>
  <c r="AA10" i="28"/>
  <c r="X10" i="28"/>
  <c r="W10" i="28"/>
  <c r="V10" i="28"/>
  <c r="S10" i="28"/>
  <c r="R10" i="28"/>
  <c r="Q10" i="28"/>
  <c r="N10" i="28"/>
  <c r="M10" i="28"/>
  <c r="L10" i="28"/>
  <c r="I10" i="28"/>
  <c r="H10" i="28"/>
  <c r="G10" i="28"/>
  <c r="E10" i="28"/>
  <c r="D10" i="28"/>
  <c r="C10" i="28"/>
  <c r="B10" i="28"/>
  <c r="AH9" i="28"/>
  <c r="AG9" i="28"/>
  <c r="AF9" i="28"/>
  <c r="AC9" i="28"/>
  <c r="AB9" i="28"/>
  <c r="AA9" i="28"/>
  <c r="X9" i="28"/>
  <c r="W9" i="28"/>
  <c r="V9" i="28"/>
  <c r="S9" i="28"/>
  <c r="R9" i="28"/>
  <c r="Q9" i="28"/>
  <c r="N9" i="28"/>
  <c r="M9" i="28"/>
  <c r="L9" i="28"/>
  <c r="I9" i="28"/>
  <c r="H9" i="28"/>
  <c r="G9" i="28"/>
  <c r="E9" i="28"/>
  <c r="D9" i="28"/>
  <c r="C9" i="28"/>
  <c r="B9" i="28"/>
  <c r="AH8" i="28"/>
  <c r="AG8" i="28"/>
  <c r="AF8" i="28"/>
  <c r="AC8" i="28"/>
  <c r="AB8" i="28"/>
  <c r="AA8" i="28"/>
  <c r="X8" i="28"/>
  <c r="W8" i="28"/>
  <c r="V8" i="28"/>
  <c r="S8" i="28"/>
  <c r="R8" i="28"/>
  <c r="Q8" i="28"/>
  <c r="N8" i="28"/>
  <c r="M8" i="28"/>
  <c r="L8" i="28"/>
  <c r="J8" i="28"/>
  <c r="I8" i="28"/>
  <c r="H8" i="28"/>
  <c r="G8" i="28"/>
  <c r="E8" i="28"/>
  <c r="D8" i="28"/>
  <c r="C8" i="28"/>
  <c r="B8" i="28"/>
  <c r="AH7" i="28"/>
  <c r="AG7" i="28"/>
  <c r="AF7" i="28"/>
  <c r="AC7" i="28"/>
  <c r="AB7" i="28"/>
  <c r="AA7" i="28"/>
  <c r="X7" i="28"/>
  <c r="W7" i="28"/>
  <c r="V7" i="28"/>
  <c r="S7" i="28"/>
  <c r="R7" i="28"/>
  <c r="Q7" i="28"/>
  <c r="N7" i="28"/>
  <c r="M7" i="28"/>
  <c r="L7" i="28"/>
  <c r="J7" i="28"/>
  <c r="I7" i="28"/>
  <c r="H7" i="28"/>
  <c r="G7" i="28"/>
  <c r="E7" i="28"/>
  <c r="D7" i="28"/>
  <c r="C7" i="28"/>
  <c r="B7" i="28"/>
  <c r="AH6" i="28"/>
  <c r="AG6" i="28"/>
  <c r="AF6" i="28"/>
  <c r="AC6" i="28"/>
  <c r="AB6" i="28"/>
  <c r="AA6" i="28"/>
  <c r="X6" i="28"/>
  <c r="W6" i="28"/>
  <c r="V6" i="28"/>
  <c r="T6" i="28"/>
  <c r="S6" i="28"/>
  <c r="R6" i="28"/>
  <c r="Q6" i="28"/>
  <c r="O6" i="28"/>
  <c r="N6" i="28"/>
  <c r="M6" i="28"/>
  <c r="L6" i="28"/>
  <c r="J6" i="28"/>
  <c r="I6" i="28"/>
  <c r="H6" i="28"/>
  <c r="G6" i="28"/>
  <c r="E6" i="28"/>
  <c r="D6" i="28"/>
  <c r="C6" i="28"/>
  <c r="B6" i="28"/>
  <c r="AH5" i="28"/>
  <c r="AG5" i="28"/>
  <c r="AF5" i="28"/>
  <c r="AC5" i="28"/>
  <c r="AB5" i="28"/>
  <c r="AA5" i="28"/>
  <c r="X5" i="28"/>
  <c r="W5" i="28"/>
  <c r="V5" i="28"/>
  <c r="T5" i="28"/>
  <c r="S5" i="28"/>
  <c r="R5" i="28"/>
  <c r="Q5" i="28"/>
  <c r="O5" i="28"/>
  <c r="N5" i="28"/>
  <c r="M5" i="28"/>
  <c r="L5" i="28"/>
  <c r="J5" i="28"/>
  <c r="I5" i="28"/>
  <c r="H5" i="28"/>
  <c r="G5" i="28"/>
  <c r="E5" i="28"/>
  <c r="D5" i="28"/>
  <c r="C5" i="28"/>
  <c r="B5" i="28"/>
  <c r="AI4" i="28"/>
  <c r="AH4" i="28"/>
  <c r="AG4" i="28"/>
  <c r="AF4" i="28"/>
  <c r="AD4" i="28"/>
  <c r="AC4" i="28"/>
  <c r="AB4" i="28"/>
  <c r="AA4" i="28"/>
  <c r="Y4" i="28"/>
  <c r="X4" i="28"/>
  <c r="W4" i="28"/>
  <c r="V4" i="28"/>
  <c r="T4" i="28"/>
  <c r="S4" i="28"/>
  <c r="R4" i="28"/>
  <c r="Q4" i="28"/>
  <c r="O4" i="28"/>
  <c r="N4" i="28"/>
  <c r="M4" i="28"/>
  <c r="L4" i="28"/>
  <c r="J4" i="28"/>
  <c r="I4" i="28"/>
  <c r="H4" i="28"/>
  <c r="G4" i="28"/>
  <c r="E4" i="28"/>
  <c r="D4" i="28"/>
  <c r="C4" i="28"/>
  <c r="B4" i="28"/>
  <c r="AI3" i="28"/>
  <c r="AH3" i="28"/>
  <c r="AG3" i="28"/>
  <c r="AF3" i="28"/>
  <c r="AD3" i="28"/>
  <c r="AC3" i="28"/>
  <c r="AB3" i="28"/>
  <c r="AA3" i="28"/>
  <c r="Y3" i="28"/>
  <c r="X3" i="28"/>
  <c r="W3" i="28"/>
  <c r="V3" i="28"/>
  <c r="T3" i="28"/>
  <c r="S3" i="28"/>
  <c r="R3" i="28"/>
  <c r="Q3" i="28"/>
  <c r="O3" i="28"/>
  <c r="N3" i="28"/>
  <c r="M3" i="28"/>
  <c r="L3" i="28"/>
  <c r="J3" i="28"/>
  <c r="I3" i="28"/>
  <c r="H3" i="28"/>
  <c r="G3" i="28"/>
  <c r="E3" i="28"/>
  <c r="D3" i="28"/>
  <c r="C3" i="28"/>
  <c r="B3" i="28"/>
  <c r="AF1" i="28"/>
  <c r="AA1" i="28"/>
  <c r="V1" i="28"/>
  <c r="Q1" i="28"/>
  <c r="L1" i="28"/>
  <c r="G1" i="28"/>
  <c r="D83" i="27"/>
  <c r="C83" i="27"/>
  <c r="B83" i="27"/>
  <c r="D82" i="27"/>
  <c r="C82" i="27"/>
  <c r="B82" i="27"/>
  <c r="D81" i="27"/>
  <c r="C81" i="27"/>
  <c r="B81" i="27"/>
  <c r="D80" i="27"/>
  <c r="C80" i="27"/>
  <c r="B80" i="27"/>
  <c r="D79" i="27"/>
  <c r="C79" i="27"/>
  <c r="B79" i="27"/>
  <c r="D78" i="27"/>
  <c r="C78" i="27"/>
  <c r="B78" i="27"/>
  <c r="D77" i="27"/>
  <c r="C77" i="27"/>
  <c r="B77" i="27"/>
  <c r="D76" i="27"/>
  <c r="C76" i="27"/>
  <c r="B76" i="27"/>
  <c r="D75" i="27"/>
  <c r="C75" i="27"/>
  <c r="B75" i="27"/>
  <c r="D74" i="27"/>
  <c r="C74" i="27"/>
  <c r="B74" i="27"/>
  <c r="D73" i="27"/>
  <c r="C73" i="27"/>
  <c r="B73" i="27"/>
  <c r="D72" i="27"/>
  <c r="C72" i="27"/>
  <c r="B72" i="27"/>
  <c r="D71" i="27"/>
  <c r="C71" i="27"/>
  <c r="B71" i="27"/>
  <c r="D70" i="27"/>
  <c r="C70" i="27"/>
  <c r="B70" i="27"/>
  <c r="D69" i="27"/>
  <c r="C69" i="27"/>
  <c r="B69" i="27"/>
  <c r="D68" i="27"/>
  <c r="C68" i="27"/>
  <c r="B68" i="27"/>
  <c r="D67" i="27"/>
  <c r="C67" i="27"/>
  <c r="B67" i="27"/>
  <c r="D66" i="27"/>
  <c r="C66" i="27"/>
  <c r="B66" i="27"/>
  <c r="D65" i="27"/>
  <c r="C65" i="27"/>
  <c r="B65" i="27"/>
  <c r="D64" i="27"/>
  <c r="C64" i="27"/>
  <c r="B64" i="27"/>
  <c r="D63" i="27"/>
  <c r="C63" i="27"/>
  <c r="B63" i="27"/>
  <c r="D62" i="27"/>
  <c r="C62" i="27"/>
  <c r="B62" i="27"/>
  <c r="D61" i="27"/>
  <c r="C61" i="27"/>
  <c r="B61" i="27"/>
  <c r="D60" i="27"/>
  <c r="C60" i="27"/>
  <c r="B60" i="27"/>
  <c r="D59" i="27"/>
  <c r="C59" i="27"/>
  <c r="B59" i="27"/>
  <c r="D58" i="27"/>
  <c r="C58" i="27"/>
  <c r="B58" i="27"/>
  <c r="D57" i="27"/>
  <c r="C57" i="27"/>
  <c r="B57" i="27"/>
  <c r="D56" i="27"/>
  <c r="C56" i="27"/>
  <c r="B56" i="27"/>
  <c r="D55" i="27"/>
  <c r="C55" i="27"/>
  <c r="B55" i="27"/>
  <c r="D54" i="27"/>
  <c r="C54" i="27"/>
  <c r="B54" i="27"/>
  <c r="D53" i="27"/>
  <c r="C53" i="27"/>
  <c r="B53" i="27"/>
  <c r="D52" i="27"/>
  <c r="C52" i="27"/>
  <c r="B52" i="27"/>
  <c r="D51" i="27"/>
  <c r="C51" i="27"/>
  <c r="B51" i="27"/>
  <c r="D50" i="27"/>
  <c r="C50" i="27"/>
  <c r="B50" i="27"/>
  <c r="D49" i="27"/>
  <c r="C49" i="27"/>
  <c r="B49" i="27"/>
  <c r="D48" i="27"/>
  <c r="C48" i="27"/>
  <c r="B48" i="27"/>
  <c r="D47" i="27"/>
  <c r="C47" i="27"/>
  <c r="B47" i="27"/>
  <c r="D46" i="27"/>
  <c r="C46" i="27"/>
  <c r="B46" i="27"/>
  <c r="D45" i="27"/>
  <c r="C45" i="27"/>
  <c r="B45" i="27"/>
  <c r="D44" i="27"/>
  <c r="C44" i="27"/>
  <c r="B44" i="27"/>
  <c r="D43" i="27"/>
  <c r="C43" i="27"/>
  <c r="B43" i="27"/>
  <c r="D42" i="27"/>
  <c r="C42" i="27"/>
  <c r="B42" i="27"/>
  <c r="D41" i="27"/>
  <c r="C41" i="27"/>
  <c r="B41" i="27"/>
  <c r="D40" i="27"/>
  <c r="C40" i="27"/>
  <c r="B40" i="27"/>
  <c r="D39" i="27"/>
  <c r="C39" i="27"/>
  <c r="B39" i="27"/>
  <c r="D38" i="27"/>
  <c r="C38" i="27"/>
  <c r="B38" i="27"/>
  <c r="D37" i="27"/>
  <c r="C37" i="27"/>
  <c r="B37" i="27"/>
  <c r="D36" i="27"/>
  <c r="C36" i="27"/>
  <c r="B36" i="27"/>
  <c r="D35" i="27"/>
  <c r="C35" i="27"/>
  <c r="B35" i="27"/>
  <c r="D34" i="27"/>
  <c r="C34" i="27"/>
  <c r="B34" i="27"/>
  <c r="D33" i="27"/>
  <c r="C33" i="27"/>
  <c r="B33" i="27"/>
  <c r="D32" i="27"/>
  <c r="C32" i="27"/>
  <c r="B32" i="27"/>
  <c r="D31" i="27"/>
  <c r="C31" i="27"/>
  <c r="B31" i="27"/>
  <c r="AH30" i="27"/>
  <c r="AG30" i="27"/>
  <c r="AF30" i="27"/>
  <c r="D30" i="27"/>
  <c r="C30" i="27"/>
  <c r="B30" i="27"/>
  <c r="AH29" i="27"/>
  <c r="AG29" i="27"/>
  <c r="AF29" i="27"/>
  <c r="D29" i="27"/>
  <c r="C29" i="27"/>
  <c r="B29" i="27"/>
  <c r="AH28" i="27"/>
  <c r="AG28" i="27"/>
  <c r="AF28" i="27"/>
  <c r="D28" i="27"/>
  <c r="C28" i="27"/>
  <c r="B28" i="27"/>
  <c r="AH27" i="27"/>
  <c r="AG27" i="27"/>
  <c r="AF27" i="27"/>
  <c r="D27" i="27"/>
  <c r="C27" i="27"/>
  <c r="B27" i="27"/>
  <c r="AH26" i="27"/>
  <c r="AG26" i="27"/>
  <c r="AF26" i="27"/>
  <c r="D26" i="27"/>
  <c r="C26" i="27"/>
  <c r="B26" i="27"/>
  <c r="AH25" i="27"/>
  <c r="AG25" i="27"/>
  <c r="AF25" i="27"/>
  <c r="AC25" i="27"/>
  <c r="AB25" i="27"/>
  <c r="AA25" i="27"/>
  <c r="N25" i="27"/>
  <c r="M25" i="27"/>
  <c r="L25" i="27"/>
  <c r="D25" i="27"/>
  <c r="C25" i="27"/>
  <c r="B25" i="27"/>
  <c r="AH24" i="27"/>
  <c r="AG24" i="27"/>
  <c r="AF24" i="27"/>
  <c r="AC24" i="27"/>
  <c r="AB24" i="27"/>
  <c r="AA24" i="27"/>
  <c r="N24" i="27"/>
  <c r="M24" i="27"/>
  <c r="L24" i="27"/>
  <c r="D24" i="27"/>
  <c r="C24" i="27"/>
  <c r="B24" i="27"/>
  <c r="AH23" i="27"/>
  <c r="AG23" i="27"/>
  <c r="AF23" i="27"/>
  <c r="AC23" i="27"/>
  <c r="AB23" i="27"/>
  <c r="AA23" i="27"/>
  <c r="N23" i="27"/>
  <c r="M23" i="27"/>
  <c r="L23" i="27"/>
  <c r="D23" i="27"/>
  <c r="C23" i="27"/>
  <c r="B23" i="27"/>
  <c r="AH22" i="27"/>
  <c r="AG22" i="27"/>
  <c r="AF22" i="27"/>
  <c r="AC22" i="27"/>
  <c r="AB22" i="27"/>
  <c r="AA22" i="27"/>
  <c r="N22" i="27"/>
  <c r="M22" i="27"/>
  <c r="L22" i="27"/>
  <c r="D22" i="27"/>
  <c r="C22" i="27"/>
  <c r="B22" i="27"/>
  <c r="AH21" i="27"/>
  <c r="AG21" i="27"/>
  <c r="AF21" i="27"/>
  <c r="AC21" i="27"/>
  <c r="AB21" i="27"/>
  <c r="AA21" i="27"/>
  <c r="N21" i="27"/>
  <c r="M21" i="27"/>
  <c r="L21" i="27"/>
  <c r="D21" i="27"/>
  <c r="C21" i="27"/>
  <c r="B21" i="27"/>
  <c r="AH20" i="27"/>
  <c r="AG20" i="27"/>
  <c r="AF20" i="27"/>
  <c r="AC20" i="27"/>
  <c r="AB20" i="27"/>
  <c r="AA20" i="27"/>
  <c r="N20" i="27"/>
  <c r="M20" i="27"/>
  <c r="L20" i="27"/>
  <c r="D20" i="27"/>
  <c r="C20" i="27"/>
  <c r="B20" i="27"/>
  <c r="AH19" i="27"/>
  <c r="AG19" i="27"/>
  <c r="AF19" i="27"/>
  <c r="AC19" i="27"/>
  <c r="AB19" i="27"/>
  <c r="AA19" i="27"/>
  <c r="N19" i="27"/>
  <c r="M19" i="27"/>
  <c r="L19" i="27"/>
  <c r="D19" i="27"/>
  <c r="C19" i="27"/>
  <c r="B19" i="27"/>
  <c r="AH18" i="27"/>
  <c r="AG18" i="27"/>
  <c r="AF18" i="27"/>
  <c r="AC18" i="27"/>
  <c r="AB18" i="27"/>
  <c r="AA18" i="27"/>
  <c r="N18" i="27"/>
  <c r="M18" i="27"/>
  <c r="L18" i="27"/>
  <c r="D18" i="27"/>
  <c r="C18" i="27"/>
  <c r="B18" i="27"/>
  <c r="AH17" i="27"/>
  <c r="AG17" i="27"/>
  <c r="AF17" i="27"/>
  <c r="AC17" i="27"/>
  <c r="AB17" i="27"/>
  <c r="AA17" i="27"/>
  <c r="N17" i="27"/>
  <c r="M17" i="27"/>
  <c r="L17" i="27"/>
  <c r="D17" i="27"/>
  <c r="C17" i="27"/>
  <c r="B17" i="27"/>
  <c r="AH16" i="27"/>
  <c r="AG16" i="27"/>
  <c r="AF16" i="27"/>
  <c r="AC16" i="27"/>
  <c r="AB16" i="27"/>
  <c r="AA16" i="27"/>
  <c r="N16" i="27"/>
  <c r="M16" i="27"/>
  <c r="L16" i="27"/>
  <c r="D16" i="27"/>
  <c r="C16" i="27"/>
  <c r="B16" i="27"/>
  <c r="AH15" i="27"/>
  <c r="AG15" i="27"/>
  <c r="AF15" i="27"/>
  <c r="AC15" i="27"/>
  <c r="AB15" i="27"/>
  <c r="AA15" i="27"/>
  <c r="N15" i="27"/>
  <c r="M15" i="27"/>
  <c r="L15" i="27"/>
  <c r="D15" i="27"/>
  <c r="C15" i="27"/>
  <c r="B15" i="27"/>
  <c r="AH14" i="27"/>
  <c r="AG14" i="27"/>
  <c r="AF14" i="27"/>
  <c r="AC14" i="27"/>
  <c r="AB14" i="27"/>
  <c r="AA14" i="27"/>
  <c r="S14" i="27"/>
  <c r="R14" i="27"/>
  <c r="Q14" i="27"/>
  <c r="N14" i="27"/>
  <c r="M14" i="27"/>
  <c r="L14" i="27"/>
  <c r="D14" i="27"/>
  <c r="C14" i="27"/>
  <c r="B14" i="27"/>
  <c r="AH13" i="27"/>
  <c r="AG13" i="27"/>
  <c r="AF13" i="27"/>
  <c r="AC13" i="27"/>
  <c r="AB13" i="27"/>
  <c r="AA13" i="27"/>
  <c r="S13" i="27"/>
  <c r="R13" i="27"/>
  <c r="Q13" i="27"/>
  <c r="N13" i="27"/>
  <c r="M13" i="27"/>
  <c r="L13" i="27"/>
  <c r="E13" i="27"/>
  <c r="D13" i="27"/>
  <c r="C13" i="27"/>
  <c r="B13" i="27"/>
  <c r="AH12" i="27"/>
  <c r="AG12" i="27"/>
  <c r="AF12" i="27"/>
  <c r="AC12" i="27"/>
  <c r="AB12" i="27"/>
  <c r="AA12" i="27"/>
  <c r="S12" i="27"/>
  <c r="R12" i="27"/>
  <c r="Q12" i="27"/>
  <c r="N12" i="27"/>
  <c r="M12" i="27"/>
  <c r="L12" i="27"/>
  <c r="E12" i="27"/>
  <c r="D12" i="27"/>
  <c r="C12" i="27"/>
  <c r="B12" i="27"/>
  <c r="AH11" i="27"/>
  <c r="AG11" i="27"/>
  <c r="AF11" i="27"/>
  <c r="AC11" i="27"/>
  <c r="AB11" i="27"/>
  <c r="AA11" i="27"/>
  <c r="S11" i="27"/>
  <c r="R11" i="27"/>
  <c r="Q11" i="27"/>
  <c r="N11" i="27"/>
  <c r="M11" i="27"/>
  <c r="L11" i="27"/>
  <c r="I11" i="27"/>
  <c r="H11" i="27"/>
  <c r="G11" i="27"/>
  <c r="E11" i="27"/>
  <c r="D11" i="27"/>
  <c r="C11" i="27"/>
  <c r="B11" i="27"/>
  <c r="AH10" i="27"/>
  <c r="AG10" i="27"/>
  <c r="AF10" i="27"/>
  <c r="AC10" i="27"/>
  <c r="AB10" i="27"/>
  <c r="AA10" i="27"/>
  <c r="S10" i="27"/>
  <c r="R10" i="27"/>
  <c r="Q10" i="27"/>
  <c r="N10" i="27"/>
  <c r="M10" i="27"/>
  <c r="L10" i="27"/>
  <c r="I10" i="27"/>
  <c r="H10" i="27"/>
  <c r="G10" i="27"/>
  <c r="E10" i="27"/>
  <c r="D10" i="27"/>
  <c r="C10" i="27"/>
  <c r="B10" i="27"/>
  <c r="AH9" i="27"/>
  <c r="AG9" i="27"/>
  <c r="AF9" i="27"/>
  <c r="AC9" i="27"/>
  <c r="AB9" i="27"/>
  <c r="AA9" i="27"/>
  <c r="X9" i="27"/>
  <c r="W9" i="27"/>
  <c r="V9" i="27"/>
  <c r="S9" i="27"/>
  <c r="R9" i="27"/>
  <c r="Q9" i="27"/>
  <c r="N9" i="27"/>
  <c r="M9" i="27"/>
  <c r="L9" i="27"/>
  <c r="I9" i="27"/>
  <c r="H9" i="27"/>
  <c r="G9" i="27"/>
  <c r="E9" i="27"/>
  <c r="D9" i="27"/>
  <c r="C9" i="27"/>
  <c r="B9" i="27"/>
  <c r="AH8" i="27"/>
  <c r="AG8" i="27"/>
  <c r="AF8" i="27"/>
  <c r="AC8" i="27"/>
  <c r="AB8" i="27"/>
  <c r="AA8" i="27"/>
  <c r="X8" i="27"/>
  <c r="W8" i="27"/>
  <c r="V8" i="27"/>
  <c r="S8" i="27"/>
  <c r="R8" i="27"/>
  <c r="Q8" i="27"/>
  <c r="N8" i="27"/>
  <c r="M8" i="27"/>
  <c r="L8" i="27"/>
  <c r="I8" i="27"/>
  <c r="H8" i="27"/>
  <c r="G8" i="27"/>
  <c r="E8" i="27"/>
  <c r="D8" i="27"/>
  <c r="C8" i="27"/>
  <c r="B8" i="27"/>
  <c r="AH7" i="27"/>
  <c r="AG7" i="27"/>
  <c r="AF7" i="27"/>
  <c r="AC7" i="27"/>
  <c r="AB7" i="27"/>
  <c r="AA7" i="27"/>
  <c r="X7" i="27"/>
  <c r="W7" i="27"/>
  <c r="V7" i="27"/>
  <c r="S7" i="27"/>
  <c r="R7" i="27"/>
  <c r="Q7" i="27"/>
  <c r="N7" i="27"/>
  <c r="M7" i="27"/>
  <c r="L7" i="27"/>
  <c r="I7" i="27"/>
  <c r="H7" i="27"/>
  <c r="G7" i="27"/>
  <c r="E7" i="27"/>
  <c r="D7" i="27"/>
  <c r="C7" i="27"/>
  <c r="B7" i="27"/>
  <c r="AH6" i="27"/>
  <c r="AG6" i="27"/>
  <c r="AF6" i="27"/>
  <c r="AC6" i="27"/>
  <c r="AB6" i="27"/>
  <c r="AA6" i="27"/>
  <c r="X6" i="27"/>
  <c r="W6" i="27"/>
  <c r="V6" i="27"/>
  <c r="T6" i="27"/>
  <c r="S6" i="27"/>
  <c r="R6" i="27"/>
  <c r="Q6" i="27"/>
  <c r="N6" i="27"/>
  <c r="M6" i="27"/>
  <c r="L6" i="27"/>
  <c r="I6" i="27"/>
  <c r="H6" i="27"/>
  <c r="G6" i="27"/>
  <c r="E6" i="27"/>
  <c r="D6" i="27"/>
  <c r="C6" i="27"/>
  <c r="B6" i="27"/>
  <c r="AI5" i="27"/>
  <c r="AH5" i="27"/>
  <c r="AG5" i="27"/>
  <c r="AF5" i="27"/>
  <c r="AD5" i="27"/>
  <c r="AC5" i="27"/>
  <c r="AB5" i="27"/>
  <c r="AA5" i="27"/>
  <c r="X5" i="27"/>
  <c r="W5" i="27"/>
  <c r="V5" i="27"/>
  <c r="T5" i="27"/>
  <c r="S5" i="27"/>
  <c r="R5" i="27"/>
  <c r="Q5" i="27"/>
  <c r="N5" i="27"/>
  <c r="M5" i="27"/>
  <c r="L5" i="27"/>
  <c r="J5" i="27"/>
  <c r="I5" i="27"/>
  <c r="H5" i="27"/>
  <c r="G5" i="27"/>
  <c r="E5" i="27"/>
  <c r="D5" i="27"/>
  <c r="C5" i="27"/>
  <c r="B5" i="27"/>
  <c r="AI4" i="27"/>
  <c r="AH4" i="27"/>
  <c r="AG4" i="27"/>
  <c r="AF4" i="27"/>
  <c r="AD4" i="27"/>
  <c r="AC4" i="27"/>
  <c r="AB4" i="27"/>
  <c r="AA4" i="27"/>
  <c r="Y4" i="27"/>
  <c r="X4" i="27"/>
  <c r="W4" i="27"/>
  <c r="V4" i="27"/>
  <c r="T4" i="27"/>
  <c r="S4" i="27"/>
  <c r="R4" i="27"/>
  <c r="Q4" i="27"/>
  <c r="O4" i="27"/>
  <c r="N4" i="27"/>
  <c r="M4" i="27"/>
  <c r="L4" i="27"/>
  <c r="J4" i="27"/>
  <c r="I4" i="27"/>
  <c r="H4" i="27"/>
  <c r="G4" i="27"/>
  <c r="E4" i="27"/>
  <c r="D4" i="27"/>
  <c r="C4" i="27"/>
  <c r="B4" i="27"/>
  <c r="AI3" i="27"/>
  <c r="AH3" i="27"/>
  <c r="AG3" i="27"/>
  <c r="AF3" i="27"/>
  <c r="AD3" i="27"/>
  <c r="AC3" i="27"/>
  <c r="AB3" i="27"/>
  <c r="AA3" i="27"/>
  <c r="Y3" i="27"/>
  <c r="X3" i="27"/>
  <c r="W3" i="27"/>
  <c r="V3" i="27"/>
  <c r="T3" i="27"/>
  <c r="S3" i="27"/>
  <c r="R3" i="27"/>
  <c r="Q3" i="27"/>
  <c r="O3" i="27"/>
  <c r="N3" i="27"/>
  <c r="M3" i="27"/>
  <c r="L3" i="27"/>
  <c r="J3" i="27"/>
  <c r="I3" i="27"/>
  <c r="H3" i="27"/>
  <c r="G3" i="27"/>
  <c r="E3" i="27"/>
  <c r="D3" i="27"/>
  <c r="C3" i="27"/>
  <c r="B3" i="27"/>
  <c r="AF1" i="27"/>
  <c r="AA1" i="27"/>
  <c r="V1" i="27"/>
  <c r="Q1" i="27"/>
  <c r="L1" i="27"/>
  <c r="G1" i="27"/>
  <c r="D81" i="26"/>
  <c r="C81" i="26"/>
  <c r="B81" i="26"/>
  <c r="D80" i="26"/>
  <c r="C80" i="26"/>
  <c r="B80" i="26"/>
  <c r="D79" i="26"/>
  <c r="C79" i="26"/>
  <c r="B79" i="26"/>
  <c r="D78" i="26"/>
  <c r="C78" i="26"/>
  <c r="B78" i="26"/>
  <c r="D77" i="26"/>
  <c r="C77" i="26"/>
  <c r="B77" i="26"/>
  <c r="D76" i="26"/>
  <c r="C76" i="26"/>
  <c r="B76" i="26"/>
  <c r="D75" i="26"/>
  <c r="C75" i="26"/>
  <c r="B75" i="26"/>
  <c r="D74" i="26"/>
  <c r="C74" i="26"/>
  <c r="B74" i="26"/>
  <c r="D73" i="26"/>
  <c r="C73" i="26"/>
  <c r="B73" i="26"/>
  <c r="D72" i="26"/>
  <c r="C72" i="26"/>
  <c r="B72" i="26"/>
  <c r="D71" i="26"/>
  <c r="C71" i="26"/>
  <c r="B71" i="26"/>
  <c r="D70" i="26"/>
  <c r="C70" i="26"/>
  <c r="B70" i="26"/>
  <c r="D69" i="26"/>
  <c r="C69" i="26"/>
  <c r="B69" i="26"/>
  <c r="D68" i="26"/>
  <c r="C68" i="26"/>
  <c r="B68" i="26"/>
  <c r="D67" i="26"/>
  <c r="C67" i="26"/>
  <c r="B67" i="26"/>
  <c r="D66" i="26"/>
  <c r="C66" i="26"/>
  <c r="B66" i="26"/>
  <c r="D65" i="26"/>
  <c r="C65" i="26"/>
  <c r="B65" i="26"/>
  <c r="D64" i="26"/>
  <c r="C64" i="26"/>
  <c r="B64" i="26"/>
  <c r="D63" i="26"/>
  <c r="C63" i="26"/>
  <c r="B63" i="26"/>
  <c r="D62" i="26"/>
  <c r="C62" i="26"/>
  <c r="B62" i="26"/>
  <c r="D61" i="26"/>
  <c r="C61" i="26"/>
  <c r="B61" i="26"/>
  <c r="D60" i="26"/>
  <c r="C60" i="26"/>
  <c r="B60" i="26"/>
  <c r="D59" i="26"/>
  <c r="C59" i="26"/>
  <c r="B59" i="26"/>
  <c r="D58" i="26"/>
  <c r="C58" i="26"/>
  <c r="B58" i="26"/>
  <c r="D57" i="26"/>
  <c r="C57" i="26"/>
  <c r="B57" i="26"/>
  <c r="D56" i="26"/>
  <c r="C56" i="26"/>
  <c r="B56" i="26"/>
  <c r="D55" i="26"/>
  <c r="C55" i="26"/>
  <c r="B55" i="26"/>
  <c r="AC54" i="26"/>
  <c r="AB54" i="26"/>
  <c r="AA54" i="26"/>
  <c r="D54" i="26"/>
  <c r="C54" i="26"/>
  <c r="B54" i="26"/>
  <c r="AC53" i="26"/>
  <c r="AB53" i="26"/>
  <c r="AA53" i="26"/>
  <c r="D53" i="26"/>
  <c r="C53" i="26"/>
  <c r="B53" i="26"/>
  <c r="AC52" i="26"/>
  <c r="AB52" i="26"/>
  <c r="AA52" i="26"/>
  <c r="D52" i="26"/>
  <c r="C52" i="26"/>
  <c r="B52" i="26"/>
  <c r="AC51" i="26"/>
  <c r="AB51" i="26"/>
  <c r="AA51" i="26"/>
  <c r="D51" i="26"/>
  <c r="C51" i="26"/>
  <c r="B51" i="26"/>
  <c r="AC50" i="26"/>
  <c r="AB50" i="26"/>
  <c r="AA50" i="26"/>
  <c r="D50" i="26"/>
  <c r="C50" i="26"/>
  <c r="B50" i="26"/>
  <c r="AC49" i="26"/>
  <c r="AB49" i="26"/>
  <c r="AA49" i="26"/>
  <c r="D49" i="26"/>
  <c r="C49" i="26"/>
  <c r="B49" i="26"/>
  <c r="AC48" i="26"/>
  <c r="AB48" i="26"/>
  <c r="AA48" i="26"/>
  <c r="D48" i="26"/>
  <c r="C48" i="26"/>
  <c r="B48" i="26"/>
  <c r="AC47" i="26"/>
  <c r="AB47" i="26"/>
  <c r="AA47" i="26"/>
  <c r="I47" i="26"/>
  <c r="H47" i="26"/>
  <c r="G47" i="26"/>
  <c r="D47" i="26"/>
  <c r="C47" i="26"/>
  <c r="B47" i="26"/>
  <c r="AC46" i="26"/>
  <c r="AB46" i="26"/>
  <c r="AA46" i="26"/>
  <c r="I46" i="26"/>
  <c r="H46" i="26"/>
  <c r="G46" i="26"/>
  <c r="D46" i="26"/>
  <c r="C46" i="26"/>
  <c r="B46" i="26"/>
  <c r="AC45" i="26"/>
  <c r="AB45" i="26"/>
  <c r="AA45" i="26"/>
  <c r="I45" i="26"/>
  <c r="H45" i="26"/>
  <c r="G45" i="26"/>
  <c r="D45" i="26"/>
  <c r="C45" i="26"/>
  <c r="B45" i="26"/>
  <c r="AH44" i="26"/>
  <c r="AG44" i="26"/>
  <c r="AF44" i="26"/>
  <c r="AC44" i="26"/>
  <c r="AB44" i="26"/>
  <c r="AA44" i="26"/>
  <c r="I44" i="26"/>
  <c r="H44" i="26"/>
  <c r="G44" i="26"/>
  <c r="D44" i="26"/>
  <c r="C44" i="26"/>
  <c r="B44" i="26"/>
  <c r="AH43" i="26"/>
  <c r="AG43" i="26"/>
  <c r="AF43" i="26"/>
  <c r="AC43" i="26"/>
  <c r="AB43" i="26"/>
  <c r="AA43" i="26"/>
  <c r="I43" i="26"/>
  <c r="H43" i="26"/>
  <c r="G43" i="26"/>
  <c r="D43" i="26"/>
  <c r="C43" i="26"/>
  <c r="B43" i="26"/>
  <c r="AH42" i="26"/>
  <c r="AG42" i="26"/>
  <c r="AF42" i="26"/>
  <c r="AC42" i="26"/>
  <c r="AB42" i="26"/>
  <c r="AA42" i="26"/>
  <c r="I42" i="26"/>
  <c r="H42" i="26"/>
  <c r="G42" i="26"/>
  <c r="D42" i="26"/>
  <c r="C42" i="26"/>
  <c r="B42" i="26"/>
  <c r="AH41" i="26"/>
  <c r="AG41" i="26"/>
  <c r="AF41" i="26"/>
  <c r="AC41" i="26"/>
  <c r="AB41" i="26"/>
  <c r="AA41" i="26"/>
  <c r="I41" i="26"/>
  <c r="H41" i="26"/>
  <c r="G41" i="26"/>
  <c r="D41" i="26"/>
  <c r="C41" i="26"/>
  <c r="B41" i="26"/>
  <c r="AH40" i="26"/>
  <c r="AG40" i="26"/>
  <c r="AF40" i="26"/>
  <c r="AC40" i="26"/>
  <c r="AB40" i="26"/>
  <c r="AA40" i="26"/>
  <c r="I40" i="26"/>
  <c r="H40" i="26"/>
  <c r="G40" i="26"/>
  <c r="D40" i="26"/>
  <c r="C40" i="26"/>
  <c r="B40" i="26"/>
  <c r="AH39" i="26"/>
  <c r="AG39" i="26"/>
  <c r="AF39" i="26"/>
  <c r="AC39" i="26"/>
  <c r="AB39" i="26"/>
  <c r="AA39" i="26"/>
  <c r="I39" i="26"/>
  <c r="H39" i="26"/>
  <c r="G39" i="26"/>
  <c r="D39" i="26"/>
  <c r="C39" i="26"/>
  <c r="B39" i="26"/>
  <c r="AH38" i="26"/>
  <c r="AG38" i="26"/>
  <c r="AF38" i="26"/>
  <c r="AC38" i="26"/>
  <c r="AB38" i="26"/>
  <c r="AA38" i="26"/>
  <c r="I38" i="26"/>
  <c r="H38" i="26"/>
  <c r="G38" i="26"/>
  <c r="D38" i="26"/>
  <c r="C38" i="26"/>
  <c r="B38" i="26"/>
  <c r="AH37" i="26"/>
  <c r="AG37" i="26"/>
  <c r="AF37" i="26"/>
  <c r="AC37" i="26"/>
  <c r="AB37" i="26"/>
  <c r="AA37" i="26"/>
  <c r="I37" i="26"/>
  <c r="H37" i="26"/>
  <c r="G37" i="26"/>
  <c r="D37" i="26"/>
  <c r="C37" i="26"/>
  <c r="B37" i="26"/>
  <c r="AH36" i="26"/>
  <c r="AG36" i="26"/>
  <c r="AF36" i="26"/>
  <c r="AC36" i="26"/>
  <c r="AB36" i="26"/>
  <c r="AA36" i="26"/>
  <c r="I36" i="26"/>
  <c r="H36" i="26"/>
  <c r="G36" i="26"/>
  <c r="D36" i="26"/>
  <c r="C36" i="26"/>
  <c r="B36" i="26"/>
  <c r="AH35" i="26"/>
  <c r="AG35" i="26"/>
  <c r="AF35" i="26"/>
  <c r="AC35" i="26"/>
  <c r="AB35" i="26"/>
  <c r="AA35" i="26"/>
  <c r="I35" i="26"/>
  <c r="H35" i="26"/>
  <c r="G35" i="26"/>
  <c r="D35" i="26"/>
  <c r="C35" i="26"/>
  <c r="B35" i="26"/>
  <c r="AH34" i="26"/>
  <c r="AG34" i="26"/>
  <c r="AF34" i="26"/>
  <c r="AC34" i="26"/>
  <c r="AB34" i="26"/>
  <c r="AA34" i="26"/>
  <c r="I34" i="26"/>
  <c r="H34" i="26"/>
  <c r="G34" i="26"/>
  <c r="D34" i="26"/>
  <c r="C34" i="26"/>
  <c r="B34" i="26"/>
  <c r="AH33" i="26"/>
  <c r="AG33" i="26"/>
  <c r="AF33" i="26"/>
  <c r="AC33" i="26"/>
  <c r="AB33" i="26"/>
  <c r="AA33" i="26"/>
  <c r="I33" i="26"/>
  <c r="H33" i="26"/>
  <c r="G33" i="26"/>
  <c r="D33" i="26"/>
  <c r="C33" i="26"/>
  <c r="B33" i="26"/>
  <c r="AH32" i="26"/>
  <c r="AG32" i="26"/>
  <c r="AF32" i="26"/>
  <c r="AC32" i="26"/>
  <c r="AB32" i="26"/>
  <c r="AA32" i="26"/>
  <c r="I32" i="26"/>
  <c r="H32" i="26"/>
  <c r="G32" i="26"/>
  <c r="D32" i="26"/>
  <c r="C32" i="26"/>
  <c r="B32" i="26"/>
  <c r="AH31" i="26"/>
  <c r="AG31" i="26"/>
  <c r="AF31" i="26"/>
  <c r="AC31" i="26"/>
  <c r="AB31" i="26"/>
  <c r="AA31" i="26"/>
  <c r="I31" i="26"/>
  <c r="H31" i="26"/>
  <c r="G31" i="26"/>
  <c r="D31" i="26"/>
  <c r="C31" i="26"/>
  <c r="B31" i="26"/>
  <c r="AH30" i="26"/>
  <c r="AG30" i="26"/>
  <c r="AF30" i="26"/>
  <c r="AC30" i="26"/>
  <c r="AB30" i="26"/>
  <c r="AA30" i="26"/>
  <c r="I30" i="26"/>
  <c r="H30" i="26"/>
  <c r="G30" i="26"/>
  <c r="D30" i="26"/>
  <c r="C30" i="26"/>
  <c r="B30" i="26"/>
  <c r="AH29" i="26"/>
  <c r="AG29" i="26"/>
  <c r="AF29" i="26"/>
  <c r="AC29" i="26"/>
  <c r="AB29" i="26"/>
  <c r="AA29" i="26"/>
  <c r="I29" i="26"/>
  <c r="H29" i="26"/>
  <c r="G29" i="26"/>
  <c r="D29" i="26"/>
  <c r="C29" i="26"/>
  <c r="B29" i="26"/>
  <c r="AH28" i="26"/>
  <c r="AG28" i="26"/>
  <c r="AF28" i="26"/>
  <c r="AC28" i="26"/>
  <c r="AB28" i="26"/>
  <c r="AA28" i="26"/>
  <c r="S28" i="26"/>
  <c r="R28" i="26"/>
  <c r="Q28" i="26"/>
  <c r="N28" i="26"/>
  <c r="M28" i="26"/>
  <c r="L28" i="26"/>
  <c r="I28" i="26"/>
  <c r="H28" i="26"/>
  <c r="G28" i="26"/>
  <c r="D28" i="26"/>
  <c r="C28" i="26"/>
  <c r="B28" i="26"/>
  <c r="AH27" i="26"/>
  <c r="AG27" i="26"/>
  <c r="AF27" i="26"/>
  <c r="AC27" i="26"/>
  <c r="AB27" i="26"/>
  <c r="AA27" i="26"/>
  <c r="S27" i="26"/>
  <c r="R27" i="26"/>
  <c r="Q27" i="26"/>
  <c r="N27" i="26"/>
  <c r="M27" i="26"/>
  <c r="L27" i="26"/>
  <c r="I27" i="26"/>
  <c r="H27" i="26"/>
  <c r="G27" i="26"/>
  <c r="D27" i="26"/>
  <c r="C27" i="26"/>
  <c r="B27" i="26"/>
  <c r="AH26" i="26"/>
  <c r="AG26" i="26"/>
  <c r="AF26" i="26"/>
  <c r="AC26" i="26"/>
  <c r="AB26" i="26"/>
  <c r="AA26" i="26"/>
  <c r="S26" i="26"/>
  <c r="R26" i="26"/>
  <c r="Q26" i="26"/>
  <c r="N26" i="26"/>
  <c r="M26" i="26"/>
  <c r="L26" i="26"/>
  <c r="I26" i="26"/>
  <c r="H26" i="26"/>
  <c r="G26" i="26"/>
  <c r="D26" i="26"/>
  <c r="C26" i="26"/>
  <c r="B26" i="26"/>
  <c r="AH25" i="26"/>
  <c r="AG25" i="26"/>
  <c r="AF25" i="26"/>
  <c r="AC25" i="26"/>
  <c r="AB25" i="26"/>
  <c r="AA25" i="26"/>
  <c r="S25" i="26"/>
  <c r="R25" i="26"/>
  <c r="Q25" i="26"/>
  <c r="N25" i="26"/>
  <c r="M25" i="26"/>
  <c r="L25" i="26"/>
  <c r="I25" i="26"/>
  <c r="H25" i="26"/>
  <c r="G25" i="26"/>
  <c r="D25" i="26"/>
  <c r="C25" i="26"/>
  <c r="B25" i="26"/>
  <c r="AH24" i="26"/>
  <c r="AG24" i="26"/>
  <c r="AF24" i="26"/>
  <c r="AC24" i="26"/>
  <c r="AB24" i="26"/>
  <c r="AA24" i="26"/>
  <c r="S24" i="26"/>
  <c r="R24" i="26"/>
  <c r="Q24" i="26"/>
  <c r="N24" i="26"/>
  <c r="M24" i="26"/>
  <c r="L24" i="26"/>
  <c r="I24" i="26"/>
  <c r="H24" i="26"/>
  <c r="G24" i="26"/>
  <c r="D24" i="26"/>
  <c r="C24" i="26"/>
  <c r="B24" i="26"/>
  <c r="AH23" i="26"/>
  <c r="AG23" i="26"/>
  <c r="AF23" i="26"/>
  <c r="AC23" i="26"/>
  <c r="AB23" i="26"/>
  <c r="AA23" i="26"/>
  <c r="S23" i="26"/>
  <c r="R23" i="26"/>
  <c r="Q23" i="26"/>
  <c r="N23" i="26"/>
  <c r="M23" i="26"/>
  <c r="L23" i="26"/>
  <c r="I23" i="26"/>
  <c r="H23" i="26"/>
  <c r="G23" i="26"/>
  <c r="D23" i="26"/>
  <c r="C23" i="26"/>
  <c r="B23" i="26"/>
  <c r="AH22" i="26"/>
  <c r="AG22" i="26"/>
  <c r="AF22" i="26"/>
  <c r="AC22" i="26"/>
  <c r="AB22" i="26"/>
  <c r="AA22" i="26"/>
  <c r="S22" i="26"/>
  <c r="R22" i="26"/>
  <c r="Q22" i="26"/>
  <c r="N22" i="26"/>
  <c r="M22" i="26"/>
  <c r="L22" i="26"/>
  <c r="I22" i="26"/>
  <c r="H22" i="26"/>
  <c r="G22" i="26"/>
  <c r="D22" i="26"/>
  <c r="C22" i="26"/>
  <c r="B22" i="26"/>
  <c r="AH21" i="26"/>
  <c r="AG21" i="26"/>
  <c r="AF21" i="26"/>
  <c r="AC21" i="26"/>
  <c r="AB21" i="26"/>
  <c r="AA21" i="26"/>
  <c r="S21" i="26"/>
  <c r="R21" i="26"/>
  <c r="Q21" i="26"/>
  <c r="N21" i="26"/>
  <c r="M21" i="26"/>
  <c r="L21" i="26"/>
  <c r="I21" i="26"/>
  <c r="H21" i="26"/>
  <c r="G21" i="26"/>
  <c r="D21" i="26"/>
  <c r="C21" i="26"/>
  <c r="B21" i="26"/>
  <c r="AH20" i="26"/>
  <c r="AG20" i="26"/>
  <c r="AF20" i="26"/>
  <c r="AC20" i="26"/>
  <c r="AB20" i="26"/>
  <c r="AA20" i="26"/>
  <c r="X20" i="26"/>
  <c r="W20" i="26"/>
  <c r="V20" i="26"/>
  <c r="S20" i="26"/>
  <c r="R20" i="26"/>
  <c r="Q20" i="26"/>
  <c r="N20" i="26"/>
  <c r="M20" i="26"/>
  <c r="L20" i="26"/>
  <c r="I20" i="26"/>
  <c r="H20" i="26"/>
  <c r="G20" i="26"/>
  <c r="D20" i="26"/>
  <c r="C20" i="26"/>
  <c r="B20" i="26"/>
  <c r="AH19" i="26"/>
  <c r="AG19" i="26"/>
  <c r="AF19" i="26"/>
  <c r="AC19" i="26"/>
  <c r="AB19" i="26"/>
  <c r="AA19" i="26"/>
  <c r="X19" i="26"/>
  <c r="W19" i="26"/>
  <c r="V19" i="26"/>
  <c r="S19" i="26"/>
  <c r="R19" i="26"/>
  <c r="Q19" i="26"/>
  <c r="N19" i="26"/>
  <c r="M19" i="26"/>
  <c r="L19" i="26"/>
  <c r="I19" i="26"/>
  <c r="H19" i="26"/>
  <c r="G19" i="26"/>
  <c r="D19" i="26"/>
  <c r="C19" i="26"/>
  <c r="B19" i="26"/>
  <c r="AH18" i="26"/>
  <c r="AG18" i="26"/>
  <c r="AF18" i="26"/>
  <c r="AC18" i="26"/>
  <c r="AB18" i="26"/>
  <c r="AA18" i="26"/>
  <c r="X18" i="26"/>
  <c r="W18" i="26"/>
  <c r="V18" i="26"/>
  <c r="S18" i="26"/>
  <c r="R18" i="26"/>
  <c r="Q18" i="26"/>
  <c r="N18" i="26"/>
  <c r="M18" i="26"/>
  <c r="L18" i="26"/>
  <c r="I18" i="26"/>
  <c r="H18" i="26"/>
  <c r="G18" i="26"/>
  <c r="D18" i="26"/>
  <c r="C18" i="26"/>
  <c r="B18" i="26"/>
  <c r="AH17" i="26"/>
  <c r="AG17" i="26"/>
  <c r="AF17" i="26"/>
  <c r="AC17" i="26"/>
  <c r="AB17" i="26"/>
  <c r="AA17" i="26"/>
  <c r="X17" i="26"/>
  <c r="W17" i="26"/>
  <c r="V17" i="26"/>
  <c r="S17" i="26"/>
  <c r="R17" i="26"/>
  <c r="Q17" i="26"/>
  <c r="N17" i="26"/>
  <c r="M17" i="26"/>
  <c r="L17" i="26"/>
  <c r="I17" i="26"/>
  <c r="H17" i="26"/>
  <c r="G17" i="26"/>
  <c r="D17" i="26"/>
  <c r="C17" i="26"/>
  <c r="B17" i="26"/>
  <c r="AH16" i="26"/>
  <c r="AG16" i="26"/>
  <c r="AF16" i="26"/>
  <c r="AC16" i="26"/>
  <c r="AB16" i="26"/>
  <c r="AA16" i="26"/>
  <c r="X16" i="26"/>
  <c r="W16" i="26"/>
  <c r="V16" i="26"/>
  <c r="S16" i="26"/>
  <c r="R16" i="26"/>
  <c r="Q16" i="26"/>
  <c r="N16" i="26"/>
  <c r="M16" i="26"/>
  <c r="L16" i="26"/>
  <c r="I16" i="26"/>
  <c r="H16" i="26"/>
  <c r="G16" i="26"/>
  <c r="D16" i="26"/>
  <c r="C16" i="26"/>
  <c r="B16" i="26"/>
  <c r="AH15" i="26"/>
  <c r="AG15" i="26"/>
  <c r="AF15" i="26"/>
  <c r="AC15" i="26"/>
  <c r="AB15" i="26"/>
  <c r="AA15" i="26"/>
  <c r="X15" i="26"/>
  <c r="W15" i="26"/>
  <c r="V15" i="26"/>
  <c r="S15" i="26"/>
  <c r="R15" i="26"/>
  <c r="Q15" i="26"/>
  <c r="N15" i="26"/>
  <c r="M15" i="26"/>
  <c r="L15" i="26"/>
  <c r="I15" i="26"/>
  <c r="H15" i="26"/>
  <c r="G15" i="26"/>
  <c r="D15" i="26"/>
  <c r="C15" i="26"/>
  <c r="B15" i="26"/>
  <c r="AH14" i="26"/>
  <c r="AG14" i="26"/>
  <c r="AF14" i="26"/>
  <c r="AC14" i="26"/>
  <c r="AB14" i="26"/>
  <c r="AA14" i="26"/>
  <c r="X14" i="26"/>
  <c r="W14" i="26"/>
  <c r="V14" i="26"/>
  <c r="S14" i="26"/>
  <c r="R14" i="26"/>
  <c r="Q14" i="26"/>
  <c r="N14" i="26"/>
  <c r="M14" i="26"/>
  <c r="L14" i="26"/>
  <c r="I14" i="26"/>
  <c r="H14" i="26"/>
  <c r="G14" i="26"/>
  <c r="D14" i="26"/>
  <c r="C14" i="26"/>
  <c r="B14" i="26"/>
  <c r="AH13" i="26"/>
  <c r="AG13" i="26"/>
  <c r="AF13" i="26"/>
  <c r="AC13" i="26"/>
  <c r="AB13" i="26"/>
  <c r="AA13" i="26"/>
  <c r="X13" i="26"/>
  <c r="W13" i="26"/>
  <c r="V13" i="26"/>
  <c r="S13" i="26"/>
  <c r="R13" i="26"/>
  <c r="Q13" i="26"/>
  <c r="N13" i="26"/>
  <c r="M13" i="26"/>
  <c r="L13" i="26"/>
  <c r="I13" i="26"/>
  <c r="H13" i="26"/>
  <c r="G13" i="26"/>
  <c r="E13" i="26"/>
  <c r="D13" i="26"/>
  <c r="C13" i="26"/>
  <c r="B13" i="26"/>
  <c r="AH12" i="26"/>
  <c r="AG12" i="26"/>
  <c r="AF12" i="26"/>
  <c r="AC12" i="26"/>
  <c r="AB12" i="26"/>
  <c r="AA12" i="26"/>
  <c r="X12" i="26"/>
  <c r="W12" i="26"/>
  <c r="V12" i="26"/>
  <c r="S12" i="26"/>
  <c r="R12" i="26"/>
  <c r="Q12" i="26"/>
  <c r="N12" i="26"/>
  <c r="M12" i="26"/>
  <c r="L12" i="26"/>
  <c r="I12" i="26"/>
  <c r="H12" i="26"/>
  <c r="G12" i="26"/>
  <c r="E12" i="26"/>
  <c r="D12" i="26"/>
  <c r="C12" i="26"/>
  <c r="B12" i="26"/>
  <c r="AH11" i="26"/>
  <c r="AG11" i="26"/>
  <c r="AF11" i="26"/>
  <c r="AC11" i="26"/>
  <c r="AB11" i="26"/>
  <c r="AA11" i="26"/>
  <c r="X11" i="26"/>
  <c r="W11" i="26"/>
  <c r="V11" i="26"/>
  <c r="S11" i="26"/>
  <c r="R11" i="26"/>
  <c r="Q11" i="26"/>
  <c r="N11" i="26"/>
  <c r="M11" i="26"/>
  <c r="L11" i="26"/>
  <c r="I11" i="26"/>
  <c r="H11" i="26"/>
  <c r="G11" i="26"/>
  <c r="E11" i="26"/>
  <c r="D11" i="26"/>
  <c r="C11" i="26"/>
  <c r="B11" i="26"/>
  <c r="AH10" i="26"/>
  <c r="AG10" i="26"/>
  <c r="AF10" i="26"/>
  <c r="AC10" i="26"/>
  <c r="AB10" i="26"/>
  <c r="AA10" i="26"/>
  <c r="X10" i="26"/>
  <c r="W10" i="26"/>
  <c r="V10" i="26"/>
  <c r="S10" i="26"/>
  <c r="R10" i="26"/>
  <c r="Q10" i="26"/>
  <c r="N10" i="26"/>
  <c r="M10" i="26"/>
  <c r="L10" i="26"/>
  <c r="J10" i="26"/>
  <c r="I10" i="26"/>
  <c r="H10" i="26"/>
  <c r="G10" i="26"/>
  <c r="E10" i="26"/>
  <c r="D10" i="26"/>
  <c r="C10" i="26"/>
  <c r="B10" i="26"/>
  <c r="AH9" i="26"/>
  <c r="AG9" i="26"/>
  <c r="AF9" i="26"/>
  <c r="AD9" i="26"/>
  <c r="AC9" i="26"/>
  <c r="AB9" i="26"/>
  <c r="AA9" i="26"/>
  <c r="X9" i="26"/>
  <c r="W9" i="26"/>
  <c r="V9" i="26"/>
  <c r="S9" i="26"/>
  <c r="R9" i="26"/>
  <c r="Q9" i="26"/>
  <c r="N9" i="26"/>
  <c r="M9" i="26"/>
  <c r="L9" i="26"/>
  <c r="J9" i="26"/>
  <c r="I9" i="26"/>
  <c r="H9" i="26"/>
  <c r="G9" i="26"/>
  <c r="E9" i="26"/>
  <c r="D9" i="26"/>
  <c r="C9" i="26"/>
  <c r="B9" i="26"/>
  <c r="AI8" i="26"/>
  <c r="AH8" i="26"/>
  <c r="AG8" i="26"/>
  <c r="AF8" i="26"/>
  <c r="AD8" i="26"/>
  <c r="AC8" i="26"/>
  <c r="AB8" i="26"/>
  <c r="AA8" i="26"/>
  <c r="X8" i="26"/>
  <c r="W8" i="26"/>
  <c r="V8" i="26"/>
  <c r="S8" i="26"/>
  <c r="R8" i="26"/>
  <c r="Q8" i="26"/>
  <c r="N8" i="26"/>
  <c r="M8" i="26"/>
  <c r="L8" i="26"/>
  <c r="J8" i="26"/>
  <c r="I8" i="26"/>
  <c r="H8" i="26"/>
  <c r="G8" i="26"/>
  <c r="E8" i="26"/>
  <c r="D8" i="26"/>
  <c r="C8" i="26"/>
  <c r="B8" i="26"/>
  <c r="AI7" i="26"/>
  <c r="AH7" i="26"/>
  <c r="AG7" i="26"/>
  <c r="AF7" i="26"/>
  <c r="AD7" i="26"/>
  <c r="AC7" i="26"/>
  <c r="AB7" i="26"/>
  <c r="AA7" i="26"/>
  <c r="X7" i="26"/>
  <c r="W7" i="26"/>
  <c r="V7" i="26"/>
  <c r="S7" i="26"/>
  <c r="R7" i="26"/>
  <c r="Q7" i="26"/>
  <c r="N7" i="26"/>
  <c r="M7" i="26"/>
  <c r="L7" i="26"/>
  <c r="J7" i="26"/>
  <c r="I7" i="26"/>
  <c r="H7" i="26"/>
  <c r="G7" i="26"/>
  <c r="E7" i="26"/>
  <c r="D7" i="26"/>
  <c r="C7" i="26"/>
  <c r="B7" i="26"/>
  <c r="AI6" i="26"/>
  <c r="AH6" i="26"/>
  <c r="AG6" i="26"/>
  <c r="AF6" i="26"/>
  <c r="AC6" i="26"/>
  <c r="AB6" i="26"/>
  <c r="AA6" i="26"/>
  <c r="X6" i="26"/>
  <c r="W6" i="26"/>
  <c r="V6" i="26"/>
  <c r="T6" i="26"/>
  <c r="S6" i="26"/>
  <c r="R6" i="26"/>
  <c r="Q6" i="26"/>
  <c r="O6" i="26"/>
  <c r="N6" i="26"/>
  <c r="M6" i="26"/>
  <c r="L6" i="26"/>
  <c r="J6" i="26"/>
  <c r="I6" i="26"/>
  <c r="H6" i="26"/>
  <c r="G6" i="26"/>
  <c r="E6" i="26"/>
  <c r="D6" i="26"/>
  <c r="C6" i="26"/>
  <c r="B6" i="26"/>
  <c r="AI5" i="26"/>
  <c r="AH5" i="26"/>
  <c r="AG5" i="26"/>
  <c r="AF5" i="26"/>
  <c r="AC5" i="26"/>
  <c r="AB5" i="26"/>
  <c r="AA5" i="26"/>
  <c r="X5" i="26"/>
  <c r="W5" i="26"/>
  <c r="V5" i="26"/>
  <c r="T5" i="26"/>
  <c r="S5" i="26"/>
  <c r="R5" i="26"/>
  <c r="Q5" i="26"/>
  <c r="O5" i="26"/>
  <c r="N5" i="26"/>
  <c r="M5" i="26"/>
  <c r="L5" i="26"/>
  <c r="J5" i="26"/>
  <c r="I5" i="26"/>
  <c r="H5" i="26"/>
  <c r="G5" i="26"/>
  <c r="E5" i="26"/>
  <c r="D5" i="26"/>
  <c r="C5" i="26"/>
  <c r="B5" i="26"/>
  <c r="AI4" i="26"/>
  <c r="AH4" i="26"/>
  <c r="AG4" i="26"/>
  <c r="AF4" i="26"/>
  <c r="AD4" i="26"/>
  <c r="AC4" i="26"/>
  <c r="AB4" i="26"/>
  <c r="AA4" i="26"/>
  <c r="Y4" i="26"/>
  <c r="X4" i="26"/>
  <c r="W4" i="26"/>
  <c r="V4" i="26"/>
  <c r="T4" i="26"/>
  <c r="S4" i="26"/>
  <c r="R4" i="26"/>
  <c r="Q4" i="26"/>
  <c r="O4" i="26"/>
  <c r="N4" i="26"/>
  <c r="M4" i="26"/>
  <c r="L4" i="26"/>
  <c r="J4" i="26"/>
  <c r="I4" i="26"/>
  <c r="H4" i="26"/>
  <c r="G4" i="26"/>
  <c r="E4" i="26"/>
  <c r="D4" i="26"/>
  <c r="C4" i="26"/>
  <c r="B4" i="26"/>
  <c r="AI3" i="26"/>
  <c r="AH3" i="26"/>
  <c r="AG3" i="26"/>
  <c r="AF3" i="26"/>
  <c r="AD3" i="26"/>
  <c r="AC3" i="26"/>
  <c r="AB3" i="26"/>
  <c r="AA3" i="26"/>
  <c r="Y3" i="26"/>
  <c r="X3" i="26"/>
  <c r="W3" i="26"/>
  <c r="V3" i="26"/>
  <c r="T3" i="26"/>
  <c r="S3" i="26"/>
  <c r="R3" i="26"/>
  <c r="Q3" i="26"/>
  <c r="O3" i="26"/>
  <c r="N3" i="26"/>
  <c r="M3" i="26"/>
  <c r="L3" i="26"/>
  <c r="J3" i="26"/>
  <c r="I3" i="26"/>
  <c r="H3" i="26"/>
  <c r="G3" i="26"/>
  <c r="E3" i="26"/>
  <c r="D3" i="26"/>
  <c r="C3" i="26"/>
  <c r="B3" i="26"/>
  <c r="AF1" i="26"/>
  <c r="AA1" i="26"/>
  <c r="V1" i="26"/>
  <c r="Q1" i="26"/>
  <c r="L1" i="26"/>
  <c r="G1" i="26"/>
  <c r="D120" i="25"/>
  <c r="C120" i="25"/>
  <c r="B120" i="25"/>
  <c r="D119" i="25"/>
  <c r="C119" i="25"/>
  <c r="B119" i="25"/>
  <c r="D118" i="25"/>
  <c r="C118" i="25"/>
  <c r="B118" i="25"/>
  <c r="D117" i="25"/>
  <c r="C117" i="25"/>
  <c r="B117" i="25"/>
  <c r="D116" i="25"/>
  <c r="C116" i="25"/>
  <c r="B116" i="25"/>
  <c r="D115" i="25"/>
  <c r="C115" i="25"/>
  <c r="B115" i="25"/>
  <c r="D114" i="25"/>
  <c r="C114" i="25"/>
  <c r="B114" i="25"/>
  <c r="D113" i="25"/>
  <c r="C113" i="25"/>
  <c r="B113" i="25"/>
  <c r="D112" i="25"/>
  <c r="C112" i="25"/>
  <c r="B112" i="25"/>
  <c r="D111" i="25"/>
  <c r="C111" i="25"/>
  <c r="B111" i="25"/>
  <c r="D110" i="25"/>
  <c r="C110" i="25"/>
  <c r="B110" i="25"/>
  <c r="D109" i="25"/>
  <c r="C109" i="25"/>
  <c r="B109" i="25"/>
  <c r="D108" i="25"/>
  <c r="C108" i="25"/>
  <c r="B108" i="25"/>
  <c r="D107" i="25"/>
  <c r="C107" i="25"/>
  <c r="B107" i="25"/>
  <c r="D106" i="25"/>
  <c r="C106" i="25"/>
  <c r="B106" i="25"/>
  <c r="D105" i="25"/>
  <c r="C105" i="25"/>
  <c r="B105" i="25"/>
  <c r="D104" i="25"/>
  <c r="C104" i="25"/>
  <c r="B104" i="25"/>
  <c r="D103" i="25"/>
  <c r="C103" i="25"/>
  <c r="B103" i="25"/>
  <c r="D102" i="25"/>
  <c r="C102" i="25"/>
  <c r="B102" i="25"/>
  <c r="D101" i="25"/>
  <c r="C101" i="25"/>
  <c r="B101" i="25"/>
  <c r="D100" i="25"/>
  <c r="C100" i="25"/>
  <c r="B100" i="25"/>
  <c r="D99" i="25"/>
  <c r="C99" i="25"/>
  <c r="B99" i="25"/>
  <c r="D98" i="25"/>
  <c r="C98" i="25"/>
  <c r="B98" i="25"/>
  <c r="D97" i="25"/>
  <c r="C97" i="25"/>
  <c r="B97" i="25"/>
  <c r="D96" i="25"/>
  <c r="C96" i="25"/>
  <c r="B96" i="25"/>
  <c r="D95" i="25"/>
  <c r="C95" i="25"/>
  <c r="B95" i="25"/>
  <c r="D94" i="25"/>
  <c r="C94" i="25"/>
  <c r="B94" i="25"/>
  <c r="D93" i="25"/>
  <c r="C93" i="25"/>
  <c r="B93" i="25"/>
  <c r="D92" i="25"/>
  <c r="C92" i="25"/>
  <c r="B92" i="25"/>
  <c r="D91" i="25"/>
  <c r="C91" i="25"/>
  <c r="B91" i="25"/>
  <c r="D90" i="25"/>
  <c r="C90" i="25"/>
  <c r="B90" i="25"/>
  <c r="D89" i="25"/>
  <c r="C89" i="25"/>
  <c r="B89" i="25"/>
  <c r="D88" i="25"/>
  <c r="C88" i="25"/>
  <c r="B88" i="25"/>
  <c r="D87" i="25"/>
  <c r="C87" i="25"/>
  <c r="B87" i="25"/>
  <c r="D86" i="25"/>
  <c r="C86" i="25"/>
  <c r="B86" i="25"/>
  <c r="D85" i="25"/>
  <c r="C85" i="25"/>
  <c r="B85" i="25"/>
  <c r="D84" i="25"/>
  <c r="C84" i="25"/>
  <c r="B84" i="25"/>
  <c r="D83" i="25"/>
  <c r="C83" i="25"/>
  <c r="B83" i="25"/>
  <c r="D82" i="25"/>
  <c r="C82" i="25"/>
  <c r="B82" i="25"/>
  <c r="D81" i="25"/>
  <c r="C81" i="25"/>
  <c r="B81" i="25"/>
  <c r="D80" i="25"/>
  <c r="C80" i="25"/>
  <c r="B80" i="25"/>
  <c r="D79" i="25"/>
  <c r="C79" i="25"/>
  <c r="B79" i="25"/>
  <c r="D78" i="25"/>
  <c r="C78" i="25"/>
  <c r="B78" i="25"/>
  <c r="D77" i="25"/>
  <c r="C77" i="25"/>
  <c r="B77" i="25"/>
  <c r="D76" i="25"/>
  <c r="C76" i="25"/>
  <c r="B76" i="25"/>
  <c r="D75" i="25"/>
  <c r="C75" i="25"/>
  <c r="B75" i="25"/>
  <c r="D74" i="25"/>
  <c r="C74" i="25"/>
  <c r="B74" i="25"/>
  <c r="D73" i="25"/>
  <c r="C73" i="25"/>
  <c r="B73" i="25"/>
  <c r="D72" i="25"/>
  <c r="C72" i="25"/>
  <c r="B72" i="25"/>
  <c r="D71" i="25"/>
  <c r="C71" i="25"/>
  <c r="B71" i="25"/>
  <c r="D70" i="25"/>
  <c r="C70" i="25"/>
  <c r="B70" i="25"/>
  <c r="D69" i="25"/>
  <c r="C69" i="25"/>
  <c r="B69" i="25"/>
  <c r="D68" i="25"/>
  <c r="C68" i="25"/>
  <c r="B68" i="25"/>
  <c r="D67" i="25"/>
  <c r="C67" i="25"/>
  <c r="B67" i="25"/>
  <c r="D66" i="25"/>
  <c r="C66" i="25"/>
  <c r="B66" i="25"/>
  <c r="AC65" i="25"/>
  <c r="AB65" i="25"/>
  <c r="AA65" i="25"/>
  <c r="S65" i="25"/>
  <c r="R65" i="25"/>
  <c r="Q65" i="25"/>
  <c r="D65" i="25"/>
  <c r="C65" i="25"/>
  <c r="B65" i="25"/>
  <c r="AC64" i="25"/>
  <c r="AB64" i="25"/>
  <c r="AA64" i="25"/>
  <c r="S64" i="25"/>
  <c r="R64" i="25"/>
  <c r="Q64" i="25"/>
  <c r="D64" i="25"/>
  <c r="C64" i="25"/>
  <c r="B64" i="25"/>
  <c r="AC63" i="25"/>
  <c r="AB63" i="25"/>
  <c r="AA63" i="25"/>
  <c r="S63" i="25"/>
  <c r="R63" i="25"/>
  <c r="Q63" i="25"/>
  <c r="D63" i="25"/>
  <c r="C63" i="25"/>
  <c r="B63" i="25"/>
  <c r="AC62" i="25"/>
  <c r="AB62" i="25"/>
  <c r="AA62" i="25"/>
  <c r="S62" i="25"/>
  <c r="R62" i="25"/>
  <c r="Q62" i="25"/>
  <c r="D62" i="25"/>
  <c r="C62" i="25"/>
  <c r="B62" i="25"/>
  <c r="AC61" i="25"/>
  <c r="AB61" i="25"/>
  <c r="AA61" i="25"/>
  <c r="S61" i="25"/>
  <c r="R61" i="25"/>
  <c r="Q61" i="25"/>
  <c r="D61" i="25"/>
  <c r="C61" i="25"/>
  <c r="B61" i="25"/>
  <c r="AC60" i="25"/>
  <c r="AB60" i="25"/>
  <c r="AA60" i="25"/>
  <c r="S60" i="25"/>
  <c r="R60" i="25"/>
  <c r="Q60" i="25"/>
  <c r="D60" i="25"/>
  <c r="C60" i="25"/>
  <c r="B60" i="25"/>
  <c r="AC59" i="25"/>
  <c r="AB59" i="25"/>
  <c r="AA59" i="25"/>
  <c r="S59" i="25"/>
  <c r="R59" i="25"/>
  <c r="Q59" i="25"/>
  <c r="D59" i="25"/>
  <c r="C59" i="25"/>
  <c r="B59" i="25"/>
  <c r="AC58" i="25"/>
  <c r="AB58" i="25"/>
  <c r="AA58" i="25"/>
  <c r="S58" i="25"/>
  <c r="R58" i="25"/>
  <c r="Q58" i="25"/>
  <c r="D58" i="25"/>
  <c r="C58" i="25"/>
  <c r="B58" i="25"/>
  <c r="AC57" i="25"/>
  <c r="AB57" i="25"/>
  <c r="AA57" i="25"/>
  <c r="S57" i="25"/>
  <c r="R57" i="25"/>
  <c r="Q57" i="25"/>
  <c r="D57" i="25"/>
  <c r="C57" i="25"/>
  <c r="B57" i="25"/>
  <c r="AC56" i="25"/>
  <c r="AB56" i="25"/>
  <c r="AA56" i="25"/>
  <c r="S56" i="25"/>
  <c r="R56" i="25"/>
  <c r="Q56" i="25"/>
  <c r="D56" i="25"/>
  <c r="C56" i="25"/>
  <c r="B56" i="25"/>
  <c r="AC55" i="25"/>
  <c r="AB55" i="25"/>
  <c r="AA55" i="25"/>
  <c r="S55" i="25"/>
  <c r="R55" i="25"/>
  <c r="Q55" i="25"/>
  <c r="D55" i="25"/>
  <c r="C55" i="25"/>
  <c r="B55" i="25"/>
  <c r="AC54" i="25"/>
  <c r="AB54" i="25"/>
  <c r="AA54" i="25"/>
  <c r="S54" i="25"/>
  <c r="R54" i="25"/>
  <c r="Q54" i="25"/>
  <c r="D54" i="25"/>
  <c r="C54" i="25"/>
  <c r="B54" i="25"/>
  <c r="AC53" i="25"/>
  <c r="AB53" i="25"/>
  <c r="AA53" i="25"/>
  <c r="S53" i="25"/>
  <c r="R53" i="25"/>
  <c r="Q53" i="25"/>
  <c r="D53" i="25"/>
  <c r="C53" i="25"/>
  <c r="B53" i="25"/>
  <c r="AC52" i="25"/>
  <c r="AB52" i="25"/>
  <c r="AA52" i="25"/>
  <c r="S52" i="25"/>
  <c r="R52" i="25"/>
  <c r="Q52" i="25"/>
  <c r="D52" i="25"/>
  <c r="C52" i="25"/>
  <c r="B52" i="25"/>
  <c r="AC51" i="25"/>
  <c r="AB51" i="25"/>
  <c r="AA51" i="25"/>
  <c r="S51" i="25"/>
  <c r="R51" i="25"/>
  <c r="Q51" i="25"/>
  <c r="D51" i="25"/>
  <c r="C51" i="25"/>
  <c r="B51" i="25"/>
  <c r="AC50" i="25"/>
  <c r="AB50" i="25"/>
  <c r="AA50" i="25"/>
  <c r="S50" i="25"/>
  <c r="R50" i="25"/>
  <c r="Q50" i="25"/>
  <c r="D50" i="25"/>
  <c r="C50" i="25"/>
  <c r="B50" i="25"/>
  <c r="AC49" i="25"/>
  <c r="AB49" i="25"/>
  <c r="AA49" i="25"/>
  <c r="S49" i="25"/>
  <c r="R49" i="25"/>
  <c r="Q49" i="25"/>
  <c r="D49" i="25"/>
  <c r="C49" i="25"/>
  <c r="B49" i="25"/>
  <c r="AC48" i="25"/>
  <c r="AB48" i="25"/>
  <c r="AA48" i="25"/>
  <c r="S48" i="25"/>
  <c r="R48" i="25"/>
  <c r="Q48" i="25"/>
  <c r="D48" i="25"/>
  <c r="C48" i="25"/>
  <c r="B48" i="25"/>
  <c r="AC47" i="25"/>
  <c r="AB47" i="25"/>
  <c r="AA47" i="25"/>
  <c r="S47" i="25"/>
  <c r="R47" i="25"/>
  <c r="Q47" i="25"/>
  <c r="D47" i="25"/>
  <c r="C47" i="25"/>
  <c r="B47" i="25"/>
  <c r="AC46" i="25"/>
  <c r="AB46" i="25"/>
  <c r="AA46" i="25"/>
  <c r="S46" i="25"/>
  <c r="R46" i="25"/>
  <c r="Q46" i="25"/>
  <c r="D46" i="25"/>
  <c r="C46" i="25"/>
  <c r="B46" i="25"/>
  <c r="AH45" i="25"/>
  <c r="AG45" i="25"/>
  <c r="AF45" i="25"/>
  <c r="AC45" i="25"/>
  <c r="AB45" i="25"/>
  <c r="AA45" i="25"/>
  <c r="S45" i="25"/>
  <c r="R45" i="25"/>
  <c r="Q45" i="25"/>
  <c r="I45" i="25"/>
  <c r="H45" i="25"/>
  <c r="G45" i="25"/>
  <c r="D45" i="25"/>
  <c r="C45" i="25"/>
  <c r="B45" i="25"/>
  <c r="AH44" i="25"/>
  <c r="AG44" i="25"/>
  <c r="AF44" i="25"/>
  <c r="AC44" i="25"/>
  <c r="AB44" i="25"/>
  <c r="AA44" i="25"/>
  <c r="S44" i="25"/>
  <c r="R44" i="25"/>
  <c r="Q44" i="25"/>
  <c r="I44" i="25"/>
  <c r="H44" i="25"/>
  <c r="G44" i="25"/>
  <c r="D44" i="25"/>
  <c r="C44" i="25"/>
  <c r="B44" i="25"/>
  <c r="AH43" i="25"/>
  <c r="AG43" i="25"/>
  <c r="AF43" i="25"/>
  <c r="AC43" i="25"/>
  <c r="AB43" i="25"/>
  <c r="AA43" i="25"/>
  <c r="S43" i="25"/>
  <c r="R43" i="25"/>
  <c r="Q43" i="25"/>
  <c r="I43" i="25"/>
  <c r="H43" i="25"/>
  <c r="G43" i="25"/>
  <c r="D43" i="25"/>
  <c r="C43" i="25"/>
  <c r="B43" i="25"/>
  <c r="AH42" i="25"/>
  <c r="AG42" i="25"/>
  <c r="AF42" i="25"/>
  <c r="AC42" i="25"/>
  <c r="AB42" i="25"/>
  <c r="AA42" i="25"/>
  <c r="S42" i="25"/>
  <c r="R42" i="25"/>
  <c r="Q42" i="25"/>
  <c r="I42" i="25"/>
  <c r="H42" i="25"/>
  <c r="G42" i="25"/>
  <c r="D42" i="25"/>
  <c r="C42" i="25"/>
  <c r="B42" i="25"/>
  <c r="AH41" i="25"/>
  <c r="AG41" i="25"/>
  <c r="AF41" i="25"/>
  <c r="AC41" i="25"/>
  <c r="AB41" i="25"/>
  <c r="AA41" i="25"/>
  <c r="S41" i="25"/>
  <c r="R41" i="25"/>
  <c r="Q41" i="25"/>
  <c r="I41" i="25"/>
  <c r="H41" i="25"/>
  <c r="G41" i="25"/>
  <c r="D41" i="25"/>
  <c r="C41" i="25"/>
  <c r="B41" i="25"/>
  <c r="AH40" i="25"/>
  <c r="AG40" i="25"/>
  <c r="AF40" i="25"/>
  <c r="AC40" i="25"/>
  <c r="AB40" i="25"/>
  <c r="AA40" i="25"/>
  <c r="S40" i="25"/>
  <c r="R40" i="25"/>
  <c r="Q40" i="25"/>
  <c r="I40" i="25"/>
  <c r="H40" i="25"/>
  <c r="G40" i="25"/>
  <c r="D40" i="25"/>
  <c r="C40" i="25"/>
  <c r="B40" i="25"/>
  <c r="AH39" i="25"/>
  <c r="AG39" i="25"/>
  <c r="AF39" i="25"/>
  <c r="AC39" i="25"/>
  <c r="AB39" i="25"/>
  <c r="AA39" i="25"/>
  <c r="S39" i="25"/>
  <c r="R39" i="25"/>
  <c r="Q39" i="25"/>
  <c r="I39" i="25"/>
  <c r="H39" i="25"/>
  <c r="G39" i="25"/>
  <c r="D39" i="25"/>
  <c r="C39" i="25"/>
  <c r="B39" i="25"/>
  <c r="AH38" i="25"/>
  <c r="AG38" i="25"/>
  <c r="AF38" i="25"/>
  <c r="AC38" i="25"/>
  <c r="AB38" i="25"/>
  <c r="AA38" i="25"/>
  <c r="S38" i="25"/>
  <c r="R38" i="25"/>
  <c r="Q38" i="25"/>
  <c r="I38" i="25"/>
  <c r="H38" i="25"/>
  <c r="G38" i="25"/>
  <c r="D38" i="25"/>
  <c r="C38" i="25"/>
  <c r="B38" i="25"/>
  <c r="AH37" i="25"/>
  <c r="AG37" i="25"/>
  <c r="AF37" i="25"/>
  <c r="AC37" i="25"/>
  <c r="AB37" i="25"/>
  <c r="AA37" i="25"/>
  <c r="S37" i="25"/>
  <c r="R37" i="25"/>
  <c r="Q37" i="25"/>
  <c r="N37" i="25"/>
  <c r="M37" i="25"/>
  <c r="L37" i="25"/>
  <c r="I37" i="25"/>
  <c r="H37" i="25"/>
  <c r="G37" i="25"/>
  <c r="D37" i="25"/>
  <c r="C37" i="25"/>
  <c r="B37" i="25"/>
  <c r="AH36" i="25"/>
  <c r="AG36" i="25"/>
  <c r="AF36" i="25"/>
  <c r="AC36" i="25"/>
  <c r="AB36" i="25"/>
  <c r="AA36" i="25"/>
  <c r="S36" i="25"/>
  <c r="R36" i="25"/>
  <c r="Q36" i="25"/>
  <c r="N36" i="25"/>
  <c r="M36" i="25"/>
  <c r="L36" i="25"/>
  <c r="I36" i="25"/>
  <c r="H36" i="25"/>
  <c r="G36" i="25"/>
  <c r="D36" i="25"/>
  <c r="C36" i="25"/>
  <c r="B36" i="25"/>
  <c r="AH35" i="25"/>
  <c r="AG35" i="25"/>
  <c r="AF35" i="25"/>
  <c r="AC35" i="25"/>
  <c r="AB35" i="25"/>
  <c r="AA35" i="25"/>
  <c r="S35" i="25"/>
  <c r="R35" i="25"/>
  <c r="Q35" i="25"/>
  <c r="N35" i="25"/>
  <c r="M35" i="25"/>
  <c r="L35" i="25"/>
  <c r="I35" i="25"/>
  <c r="H35" i="25"/>
  <c r="G35" i="25"/>
  <c r="D35" i="25"/>
  <c r="C35" i="25"/>
  <c r="B35" i="25"/>
  <c r="AH34" i="25"/>
  <c r="AG34" i="25"/>
  <c r="AF34" i="25"/>
  <c r="AC34" i="25"/>
  <c r="AB34" i="25"/>
  <c r="AA34" i="25"/>
  <c r="S34" i="25"/>
  <c r="R34" i="25"/>
  <c r="Q34" i="25"/>
  <c r="N34" i="25"/>
  <c r="M34" i="25"/>
  <c r="L34" i="25"/>
  <c r="I34" i="25"/>
  <c r="H34" i="25"/>
  <c r="G34" i="25"/>
  <c r="D34" i="25"/>
  <c r="C34" i="25"/>
  <c r="B34" i="25"/>
  <c r="AH33" i="25"/>
  <c r="AG33" i="25"/>
  <c r="AF33" i="25"/>
  <c r="AC33" i="25"/>
  <c r="AB33" i="25"/>
  <c r="AA33" i="25"/>
  <c r="S33" i="25"/>
  <c r="R33" i="25"/>
  <c r="Q33" i="25"/>
  <c r="N33" i="25"/>
  <c r="M33" i="25"/>
  <c r="L33" i="25"/>
  <c r="I33" i="25"/>
  <c r="H33" i="25"/>
  <c r="G33" i="25"/>
  <c r="D33" i="25"/>
  <c r="C33" i="25"/>
  <c r="B33" i="25"/>
  <c r="AH32" i="25"/>
  <c r="AG32" i="25"/>
  <c r="AF32" i="25"/>
  <c r="AC32" i="25"/>
  <c r="AB32" i="25"/>
  <c r="AA32" i="25"/>
  <c r="S32" i="25"/>
  <c r="R32" i="25"/>
  <c r="Q32" i="25"/>
  <c r="N32" i="25"/>
  <c r="M32" i="25"/>
  <c r="L32" i="25"/>
  <c r="I32" i="25"/>
  <c r="H32" i="25"/>
  <c r="G32" i="25"/>
  <c r="D32" i="25"/>
  <c r="C32" i="25"/>
  <c r="B32" i="25"/>
  <c r="AH31" i="25"/>
  <c r="AG31" i="25"/>
  <c r="AF31" i="25"/>
  <c r="AC31" i="25"/>
  <c r="AB31" i="25"/>
  <c r="AA31" i="25"/>
  <c r="S31" i="25"/>
  <c r="R31" i="25"/>
  <c r="Q31" i="25"/>
  <c r="N31" i="25"/>
  <c r="M31" i="25"/>
  <c r="L31" i="25"/>
  <c r="I31" i="25"/>
  <c r="H31" i="25"/>
  <c r="G31" i="25"/>
  <c r="D31" i="25"/>
  <c r="C31" i="25"/>
  <c r="B31" i="25"/>
  <c r="AH30" i="25"/>
  <c r="AG30" i="25"/>
  <c r="AF30" i="25"/>
  <c r="AC30" i="25"/>
  <c r="AB30" i="25"/>
  <c r="AA30" i="25"/>
  <c r="S30" i="25"/>
  <c r="R30" i="25"/>
  <c r="Q30" i="25"/>
  <c r="N30" i="25"/>
  <c r="M30" i="25"/>
  <c r="L30" i="25"/>
  <c r="I30" i="25"/>
  <c r="H30" i="25"/>
  <c r="G30" i="25"/>
  <c r="D30" i="25"/>
  <c r="C30" i="25"/>
  <c r="B30" i="25"/>
  <c r="AH29" i="25"/>
  <c r="AG29" i="25"/>
  <c r="AF29" i="25"/>
  <c r="AC29" i="25"/>
  <c r="AB29" i="25"/>
  <c r="AA29" i="25"/>
  <c r="S29" i="25"/>
  <c r="R29" i="25"/>
  <c r="Q29" i="25"/>
  <c r="N29" i="25"/>
  <c r="M29" i="25"/>
  <c r="L29" i="25"/>
  <c r="I29" i="25"/>
  <c r="H29" i="25"/>
  <c r="G29" i="25"/>
  <c r="D29" i="25"/>
  <c r="C29" i="25"/>
  <c r="B29" i="25"/>
  <c r="AH28" i="25"/>
  <c r="AG28" i="25"/>
  <c r="AF28" i="25"/>
  <c r="AC28" i="25"/>
  <c r="AB28" i="25"/>
  <c r="AA28" i="25"/>
  <c r="S28" i="25"/>
  <c r="R28" i="25"/>
  <c r="Q28" i="25"/>
  <c r="N28" i="25"/>
  <c r="M28" i="25"/>
  <c r="L28" i="25"/>
  <c r="I28" i="25"/>
  <c r="H28" i="25"/>
  <c r="G28" i="25"/>
  <c r="D28" i="25"/>
  <c r="C28" i="25"/>
  <c r="B28" i="25"/>
  <c r="AH27" i="25"/>
  <c r="AG27" i="25"/>
  <c r="AF27" i="25"/>
  <c r="AC27" i="25"/>
  <c r="AB27" i="25"/>
  <c r="AA27" i="25"/>
  <c r="X27" i="25"/>
  <c r="W27" i="25"/>
  <c r="V27" i="25"/>
  <c r="S27" i="25"/>
  <c r="R27" i="25"/>
  <c r="Q27" i="25"/>
  <c r="N27" i="25"/>
  <c r="M27" i="25"/>
  <c r="L27" i="25"/>
  <c r="I27" i="25"/>
  <c r="H27" i="25"/>
  <c r="G27" i="25"/>
  <c r="D27" i="25"/>
  <c r="C27" i="25"/>
  <c r="B27" i="25"/>
  <c r="AH26" i="25"/>
  <c r="AG26" i="25"/>
  <c r="AF26" i="25"/>
  <c r="AC26" i="25"/>
  <c r="AB26" i="25"/>
  <c r="AA26" i="25"/>
  <c r="X26" i="25"/>
  <c r="W26" i="25"/>
  <c r="V26" i="25"/>
  <c r="S26" i="25"/>
  <c r="R26" i="25"/>
  <c r="Q26" i="25"/>
  <c r="N26" i="25"/>
  <c r="M26" i="25"/>
  <c r="L26" i="25"/>
  <c r="I26" i="25"/>
  <c r="H26" i="25"/>
  <c r="G26" i="25"/>
  <c r="D26" i="25"/>
  <c r="C26" i="25"/>
  <c r="B26" i="25"/>
  <c r="AH25" i="25"/>
  <c r="AG25" i="25"/>
  <c r="AF25" i="25"/>
  <c r="AC25" i="25"/>
  <c r="AB25" i="25"/>
  <c r="AA25" i="25"/>
  <c r="X25" i="25"/>
  <c r="W25" i="25"/>
  <c r="V25" i="25"/>
  <c r="S25" i="25"/>
  <c r="R25" i="25"/>
  <c r="Q25" i="25"/>
  <c r="N25" i="25"/>
  <c r="M25" i="25"/>
  <c r="L25" i="25"/>
  <c r="I25" i="25"/>
  <c r="H25" i="25"/>
  <c r="G25" i="25"/>
  <c r="D25" i="25"/>
  <c r="C25" i="25"/>
  <c r="B25" i="25"/>
  <c r="AH24" i="25"/>
  <c r="AG24" i="25"/>
  <c r="AF24" i="25"/>
  <c r="AC24" i="25"/>
  <c r="AB24" i="25"/>
  <c r="AA24" i="25"/>
  <c r="X24" i="25"/>
  <c r="W24" i="25"/>
  <c r="V24" i="25"/>
  <c r="S24" i="25"/>
  <c r="R24" i="25"/>
  <c r="Q24" i="25"/>
  <c r="N24" i="25"/>
  <c r="M24" i="25"/>
  <c r="L24" i="25"/>
  <c r="I24" i="25"/>
  <c r="H24" i="25"/>
  <c r="G24" i="25"/>
  <c r="D24" i="25"/>
  <c r="C24" i="25"/>
  <c r="B24" i="25"/>
  <c r="AH23" i="25"/>
  <c r="AG23" i="25"/>
  <c r="AF23" i="25"/>
  <c r="AC23" i="25"/>
  <c r="AB23" i="25"/>
  <c r="AA23" i="25"/>
  <c r="X23" i="25"/>
  <c r="W23" i="25"/>
  <c r="V23" i="25"/>
  <c r="S23" i="25"/>
  <c r="R23" i="25"/>
  <c r="Q23" i="25"/>
  <c r="N23" i="25"/>
  <c r="M23" i="25"/>
  <c r="L23" i="25"/>
  <c r="I23" i="25"/>
  <c r="H23" i="25"/>
  <c r="G23" i="25"/>
  <c r="D23" i="25"/>
  <c r="C23" i="25"/>
  <c r="B23" i="25"/>
  <c r="AH22" i="25"/>
  <c r="AG22" i="25"/>
  <c r="AF22" i="25"/>
  <c r="AC22" i="25"/>
  <c r="AB22" i="25"/>
  <c r="AA22" i="25"/>
  <c r="X22" i="25"/>
  <c r="W22" i="25"/>
  <c r="V22" i="25"/>
  <c r="S22" i="25"/>
  <c r="R22" i="25"/>
  <c r="Q22" i="25"/>
  <c r="N22" i="25"/>
  <c r="M22" i="25"/>
  <c r="L22" i="25"/>
  <c r="I22" i="25"/>
  <c r="H22" i="25"/>
  <c r="G22" i="25"/>
  <c r="D22" i="25"/>
  <c r="C22" i="25"/>
  <c r="B22" i="25"/>
  <c r="AH21" i="25"/>
  <c r="AG21" i="25"/>
  <c r="AF21" i="25"/>
  <c r="AC21" i="25"/>
  <c r="AB21" i="25"/>
  <c r="AA21" i="25"/>
  <c r="X21" i="25"/>
  <c r="W21" i="25"/>
  <c r="V21" i="25"/>
  <c r="S21" i="25"/>
  <c r="R21" i="25"/>
  <c r="Q21" i="25"/>
  <c r="N21" i="25"/>
  <c r="M21" i="25"/>
  <c r="L21" i="25"/>
  <c r="I21" i="25"/>
  <c r="H21" i="25"/>
  <c r="G21" i="25"/>
  <c r="D21" i="25"/>
  <c r="C21" i="25"/>
  <c r="B21" i="25"/>
  <c r="AH20" i="25"/>
  <c r="AG20" i="25"/>
  <c r="AF20" i="25"/>
  <c r="AC20" i="25"/>
  <c r="AB20" i="25"/>
  <c r="AA20" i="25"/>
  <c r="X20" i="25"/>
  <c r="W20" i="25"/>
  <c r="V20" i="25"/>
  <c r="S20" i="25"/>
  <c r="R20" i="25"/>
  <c r="Q20" i="25"/>
  <c r="N20" i="25"/>
  <c r="M20" i="25"/>
  <c r="L20" i="25"/>
  <c r="I20" i="25"/>
  <c r="H20" i="25"/>
  <c r="G20" i="25"/>
  <c r="D20" i="25"/>
  <c r="C20" i="25"/>
  <c r="B20" i="25"/>
  <c r="AH19" i="25"/>
  <c r="AG19" i="25"/>
  <c r="AF19" i="25"/>
  <c r="AC19" i="25"/>
  <c r="AB19" i="25"/>
  <c r="AA19" i="25"/>
  <c r="X19" i="25"/>
  <c r="W19" i="25"/>
  <c r="V19" i="25"/>
  <c r="S19" i="25"/>
  <c r="R19" i="25"/>
  <c r="Q19" i="25"/>
  <c r="N19" i="25"/>
  <c r="M19" i="25"/>
  <c r="L19" i="25"/>
  <c r="I19" i="25"/>
  <c r="H19" i="25"/>
  <c r="G19" i="25"/>
  <c r="D19" i="25"/>
  <c r="C19" i="25"/>
  <c r="B19" i="25"/>
  <c r="AH18" i="25"/>
  <c r="AG18" i="25"/>
  <c r="AF18" i="25"/>
  <c r="AC18" i="25"/>
  <c r="AB18" i="25"/>
  <c r="AA18" i="25"/>
  <c r="X18" i="25"/>
  <c r="W18" i="25"/>
  <c r="V18" i="25"/>
  <c r="S18" i="25"/>
  <c r="R18" i="25"/>
  <c r="Q18" i="25"/>
  <c r="N18" i="25"/>
  <c r="M18" i="25"/>
  <c r="L18" i="25"/>
  <c r="I18" i="25"/>
  <c r="H18" i="25"/>
  <c r="G18" i="25"/>
  <c r="D18" i="25"/>
  <c r="C18" i="25"/>
  <c r="B18" i="25"/>
  <c r="AH17" i="25"/>
  <c r="AG17" i="25"/>
  <c r="AF17" i="25"/>
  <c r="AC17" i="25"/>
  <c r="AB17" i="25"/>
  <c r="AA17" i="25"/>
  <c r="X17" i="25"/>
  <c r="W17" i="25"/>
  <c r="V17" i="25"/>
  <c r="S17" i="25"/>
  <c r="R17" i="25"/>
  <c r="Q17" i="25"/>
  <c r="N17" i="25"/>
  <c r="M17" i="25"/>
  <c r="L17" i="25"/>
  <c r="I17" i="25"/>
  <c r="H17" i="25"/>
  <c r="G17" i="25"/>
  <c r="D17" i="25"/>
  <c r="C17" i="25"/>
  <c r="B17" i="25"/>
  <c r="AH16" i="25"/>
  <c r="AG16" i="25"/>
  <c r="AF16" i="25"/>
  <c r="AC16" i="25"/>
  <c r="AB16" i="25"/>
  <c r="AA16" i="25"/>
  <c r="X16" i="25"/>
  <c r="W16" i="25"/>
  <c r="V16" i="25"/>
  <c r="S16" i="25"/>
  <c r="R16" i="25"/>
  <c r="Q16" i="25"/>
  <c r="N16" i="25"/>
  <c r="M16" i="25"/>
  <c r="L16" i="25"/>
  <c r="I16" i="25"/>
  <c r="H16" i="25"/>
  <c r="G16" i="25"/>
  <c r="D16" i="25"/>
  <c r="C16" i="25"/>
  <c r="B16" i="25"/>
  <c r="AH15" i="25"/>
  <c r="AG15" i="25"/>
  <c r="AF15" i="25"/>
  <c r="AC15" i="25"/>
  <c r="AB15" i="25"/>
  <c r="AA15" i="25"/>
  <c r="X15" i="25"/>
  <c r="W15" i="25"/>
  <c r="V15" i="25"/>
  <c r="S15" i="25"/>
  <c r="R15" i="25"/>
  <c r="Q15" i="25"/>
  <c r="N15" i="25"/>
  <c r="M15" i="25"/>
  <c r="L15" i="25"/>
  <c r="I15" i="25"/>
  <c r="H15" i="25"/>
  <c r="G15" i="25"/>
  <c r="D15" i="25"/>
  <c r="C15" i="25"/>
  <c r="B15" i="25"/>
  <c r="AH14" i="25"/>
  <c r="AG14" i="25"/>
  <c r="AF14" i="25"/>
  <c r="AC14" i="25"/>
  <c r="AB14" i="25"/>
  <c r="AA14" i="25"/>
  <c r="X14" i="25"/>
  <c r="W14" i="25"/>
  <c r="V14" i="25"/>
  <c r="S14" i="25"/>
  <c r="R14" i="25"/>
  <c r="Q14" i="25"/>
  <c r="N14" i="25"/>
  <c r="M14" i="25"/>
  <c r="L14" i="25"/>
  <c r="I14" i="25"/>
  <c r="H14" i="25"/>
  <c r="G14" i="25"/>
  <c r="D14" i="25"/>
  <c r="C14" i="25"/>
  <c r="B14" i="25"/>
  <c r="AH13" i="25"/>
  <c r="AG13" i="25"/>
  <c r="AF13" i="25"/>
  <c r="AC13" i="25"/>
  <c r="AB13" i="25"/>
  <c r="AA13" i="25"/>
  <c r="X13" i="25"/>
  <c r="W13" i="25"/>
  <c r="V13" i="25"/>
  <c r="S13" i="25"/>
  <c r="R13" i="25"/>
  <c r="Q13" i="25"/>
  <c r="N13" i="25"/>
  <c r="M13" i="25"/>
  <c r="L13" i="25"/>
  <c r="I13" i="25"/>
  <c r="H13" i="25"/>
  <c r="G13" i="25"/>
  <c r="D13" i="25"/>
  <c r="C13" i="25"/>
  <c r="B13" i="25"/>
  <c r="AH12" i="25"/>
  <c r="AG12" i="25"/>
  <c r="AF12" i="25"/>
  <c r="AC12" i="25"/>
  <c r="AB12" i="25"/>
  <c r="AA12" i="25"/>
  <c r="X12" i="25"/>
  <c r="W12" i="25"/>
  <c r="V12" i="25"/>
  <c r="S12" i="25"/>
  <c r="R12" i="25"/>
  <c r="Q12" i="25"/>
  <c r="N12" i="25"/>
  <c r="M12" i="25"/>
  <c r="L12" i="25"/>
  <c r="I12" i="25"/>
  <c r="H12" i="25"/>
  <c r="G12" i="25"/>
  <c r="E12" i="25"/>
  <c r="D12" i="25"/>
  <c r="C12" i="25"/>
  <c r="B12" i="25"/>
  <c r="AH11" i="25"/>
  <c r="AG11" i="25"/>
  <c r="AF11" i="25"/>
  <c r="AC11" i="25"/>
  <c r="AB11" i="25"/>
  <c r="AA11" i="25"/>
  <c r="X11" i="25"/>
  <c r="W11" i="25"/>
  <c r="V11" i="25"/>
  <c r="S11" i="25"/>
  <c r="R11" i="25"/>
  <c r="Q11" i="25"/>
  <c r="N11" i="25"/>
  <c r="M11" i="25"/>
  <c r="L11" i="25"/>
  <c r="I11" i="25"/>
  <c r="H11" i="25"/>
  <c r="G11" i="25"/>
  <c r="E11" i="25"/>
  <c r="D11" i="25"/>
  <c r="C11" i="25"/>
  <c r="B11" i="25"/>
  <c r="AH10" i="25"/>
  <c r="AG10" i="25"/>
  <c r="AF10" i="25"/>
  <c r="AC10" i="25"/>
  <c r="AB10" i="25"/>
  <c r="AA10" i="25"/>
  <c r="X10" i="25"/>
  <c r="W10" i="25"/>
  <c r="V10" i="25"/>
  <c r="S10" i="25"/>
  <c r="R10" i="25"/>
  <c r="Q10" i="25"/>
  <c r="O10" i="25"/>
  <c r="N10" i="25"/>
  <c r="M10" i="25"/>
  <c r="L10" i="25"/>
  <c r="I10" i="25"/>
  <c r="H10" i="25"/>
  <c r="G10" i="25"/>
  <c r="E10" i="25"/>
  <c r="D10" i="25"/>
  <c r="C10" i="25"/>
  <c r="B10" i="25"/>
  <c r="AH9" i="25"/>
  <c r="AG9" i="25"/>
  <c r="AF9" i="25"/>
  <c r="AC9" i="25"/>
  <c r="AB9" i="25"/>
  <c r="AA9" i="25"/>
  <c r="X9" i="25"/>
  <c r="W9" i="25"/>
  <c r="V9" i="25"/>
  <c r="T9" i="25"/>
  <c r="S9" i="25"/>
  <c r="R9" i="25"/>
  <c r="Q9" i="25"/>
  <c r="O9" i="25"/>
  <c r="N9" i="25"/>
  <c r="M9" i="25"/>
  <c r="L9" i="25"/>
  <c r="I9" i="25"/>
  <c r="H9" i="25"/>
  <c r="G9" i="25"/>
  <c r="E9" i="25"/>
  <c r="D9" i="25"/>
  <c r="C9" i="25"/>
  <c r="B9" i="25"/>
  <c r="AH8" i="25"/>
  <c r="AG8" i="25"/>
  <c r="AF8" i="25"/>
  <c r="AC8" i="25"/>
  <c r="AB8" i="25"/>
  <c r="AA8" i="25"/>
  <c r="X8" i="25"/>
  <c r="W8" i="25"/>
  <c r="V8" i="25"/>
  <c r="T8" i="25"/>
  <c r="S8" i="25"/>
  <c r="R8" i="25"/>
  <c r="Q8" i="25"/>
  <c r="O8" i="25"/>
  <c r="N8" i="25"/>
  <c r="M8" i="25"/>
  <c r="L8" i="25"/>
  <c r="I8" i="25"/>
  <c r="H8" i="25"/>
  <c r="G8" i="25"/>
  <c r="E8" i="25"/>
  <c r="D8" i="25"/>
  <c r="C8" i="25"/>
  <c r="B8" i="25"/>
  <c r="AH7" i="25"/>
  <c r="AG7" i="25"/>
  <c r="AF7" i="25"/>
  <c r="AC7" i="25"/>
  <c r="AB7" i="25"/>
  <c r="AA7" i="25"/>
  <c r="X7" i="25"/>
  <c r="W7" i="25"/>
  <c r="V7" i="25"/>
  <c r="T7" i="25"/>
  <c r="S7" i="25"/>
  <c r="R7" i="25"/>
  <c r="Q7" i="25"/>
  <c r="O7" i="25"/>
  <c r="N7" i="25"/>
  <c r="M7" i="25"/>
  <c r="L7" i="25"/>
  <c r="I7" i="25"/>
  <c r="H7" i="25"/>
  <c r="G7" i="25"/>
  <c r="E7" i="25"/>
  <c r="D7" i="25"/>
  <c r="C7" i="25"/>
  <c r="B7" i="25"/>
  <c r="AH6" i="25"/>
  <c r="AG6" i="25"/>
  <c r="AF6" i="25"/>
  <c r="AD6" i="25"/>
  <c r="AC6" i="25"/>
  <c r="AB6" i="25"/>
  <c r="AA6" i="25"/>
  <c r="X6" i="25"/>
  <c r="W6" i="25"/>
  <c r="V6" i="25"/>
  <c r="T6" i="25"/>
  <c r="S6" i="25"/>
  <c r="R6" i="25"/>
  <c r="Q6" i="25"/>
  <c r="O6" i="25"/>
  <c r="N6" i="25"/>
  <c r="M6" i="25"/>
  <c r="L6" i="25"/>
  <c r="J6" i="25"/>
  <c r="I6" i="25"/>
  <c r="H6" i="25"/>
  <c r="G6" i="25"/>
  <c r="E6" i="25"/>
  <c r="D6" i="25"/>
  <c r="C6" i="25"/>
  <c r="B6" i="25"/>
  <c r="AI5" i="25"/>
  <c r="AH5" i="25"/>
  <c r="AG5" i="25"/>
  <c r="AF5" i="25"/>
  <c r="AD5" i="25"/>
  <c r="AC5" i="25"/>
  <c r="AB5" i="25"/>
  <c r="AA5" i="25"/>
  <c r="X5" i="25"/>
  <c r="W5" i="25"/>
  <c r="V5" i="25"/>
  <c r="T5" i="25"/>
  <c r="S5" i="25"/>
  <c r="R5" i="25"/>
  <c r="Q5" i="25"/>
  <c r="O5" i="25"/>
  <c r="N5" i="25"/>
  <c r="M5" i="25"/>
  <c r="L5" i="25"/>
  <c r="J5" i="25"/>
  <c r="I5" i="25"/>
  <c r="H5" i="25"/>
  <c r="G5" i="25"/>
  <c r="E5" i="25"/>
  <c r="D5" i="25"/>
  <c r="C5" i="25"/>
  <c r="B5" i="25"/>
  <c r="AI4" i="25"/>
  <c r="AH4" i="25"/>
  <c r="AG4" i="25"/>
  <c r="AF4" i="25"/>
  <c r="AD4" i="25"/>
  <c r="AC4" i="25"/>
  <c r="AB4" i="25"/>
  <c r="AA4" i="25"/>
  <c r="Y4" i="25"/>
  <c r="X4" i="25"/>
  <c r="W4" i="25"/>
  <c r="V4" i="25"/>
  <c r="T4" i="25"/>
  <c r="S4" i="25"/>
  <c r="R4" i="25"/>
  <c r="Q4" i="25"/>
  <c r="O4" i="25"/>
  <c r="N4" i="25"/>
  <c r="M4" i="25"/>
  <c r="L4" i="25"/>
  <c r="J4" i="25"/>
  <c r="I4" i="25"/>
  <c r="H4" i="25"/>
  <c r="G4" i="25"/>
  <c r="E4" i="25"/>
  <c r="D4" i="25"/>
  <c r="C4" i="25"/>
  <c r="B4" i="25"/>
  <c r="AI3" i="25"/>
  <c r="AH3" i="25"/>
  <c r="AG3" i="25"/>
  <c r="AF3" i="25"/>
  <c r="AD3" i="25"/>
  <c r="AC3" i="25"/>
  <c r="AB3" i="25"/>
  <c r="AA3" i="25"/>
  <c r="Y3" i="25"/>
  <c r="X3" i="25"/>
  <c r="W3" i="25"/>
  <c r="V3" i="25"/>
  <c r="T3" i="25"/>
  <c r="S3" i="25"/>
  <c r="R3" i="25"/>
  <c r="Q3" i="25"/>
  <c r="O3" i="25"/>
  <c r="N3" i="25"/>
  <c r="M3" i="25"/>
  <c r="L3" i="25"/>
  <c r="J3" i="25"/>
  <c r="I3" i="25"/>
  <c r="H3" i="25"/>
  <c r="G3" i="25"/>
  <c r="E3" i="25"/>
  <c r="D3" i="25"/>
  <c r="C3" i="25"/>
  <c r="B3" i="25"/>
  <c r="AF1" i="25"/>
  <c r="AA1" i="25"/>
  <c r="V1" i="25"/>
  <c r="Q1" i="25"/>
  <c r="L1" i="25"/>
  <c r="G1" i="25"/>
  <c r="D71" i="24"/>
  <c r="C71" i="24"/>
  <c r="B71" i="24"/>
  <c r="D70" i="24"/>
  <c r="C70" i="24"/>
  <c r="B70" i="24"/>
  <c r="D69" i="24"/>
  <c r="C69" i="24"/>
  <c r="B69" i="24"/>
  <c r="D68" i="24"/>
  <c r="C68" i="24"/>
  <c r="B68" i="24"/>
  <c r="D67" i="24"/>
  <c r="C67" i="24"/>
  <c r="B67" i="24"/>
  <c r="D66" i="24"/>
  <c r="C66" i="24"/>
  <c r="B66" i="24"/>
  <c r="D65" i="24"/>
  <c r="C65" i="24"/>
  <c r="B65" i="24"/>
  <c r="D64" i="24"/>
  <c r="C64" i="24"/>
  <c r="B64" i="24"/>
  <c r="D63" i="24"/>
  <c r="C63" i="24"/>
  <c r="B63" i="24"/>
  <c r="D62" i="24"/>
  <c r="C62" i="24"/>
  <c r="B62" i="24"/>
  <c r="D61" i="24"/>
  <c r="C61" i="24"/>
  <c r="B61" i="24"/>
  <c r="D60" i="24"/>
  <c r="C60" i="24"/>
  <c r="B60" i="24"/>
  <c r="D59" i="24"/>
  <c r="C59" i="24"/>
  <c r="B59" i="24"/>
  <c r="D58" i="24"/>
  <c r="C58" i="24"/>
  <c r="B58" i="24"/>
  <c r="D57" i="24"/>
  <c r="C57" i="24"/>
  <c r="B57" i="24"/>
  <c r="D56" i="24"/>
  <c r="C56" i="24"/>
  <c r="B56" i="24"/>
  <c r="D55" i="24"/>
  <c r="C55" i="24"/>
  <c r="B55" i="24"/>
  <c r="D54" i="24"/>
  <c r="C54" i="24"/>
  <c r="B54" i="24"/>
  <c r="D53" i="24"/>
  <c r="C53" i="24"/>
  <c r="B53" i="24"/>
  <c r="D52" i="24"/>
  <c r="C52" i="24"/>
  <c r="B52" i="24"/>
  <c r="D51" i="24"/>
  <c r="C51" i="24"/>
  <c r="B51" i="24"/>
  <c r="D50" i="24"/>
  <c r="C50" i="24"/>
  <c r="B50" i="24"/>
  <c r="D49" i="24"/>
  <c r="C49" i="24"/>
  <c r="B49" i="24"/>
  <c r="D48" i="24"/>
  <c r="C48" i="24"/>
  <c r="B48" i="24"/>
  <c r="D47" i="24"/>
  <c r="C47" i="24"/>
  <c r="B47" i="24"/>
  <c r="D46" i="24"/>
  <c r="C46" i="24"/>
  <c r="B46" i="24"/>
  <c r="D45" i="24"/>
  <c r="C45" i="24"/>
  <c r="B45" i="24"/>
  <c r="D44" i="24"/>
  <c r="C44" i="24"/>
  <c r="B44" i="24"/>
  <c r="D43" i="24"/>
  <c r="C43" i="24"/>
  <c r="B43" i="24"/>
  <c r="D42" i="24"/>
  <c r="C42" i="24"/>
  <c r="B42" i="24"/>
  <c r="D41" i="24"/>
  <c r="C41" i="24"/>
  <c r="B41" i="24"/>
  <c r="D40" i="24"/>
  <c r="C40" i="24"/>
  <c r="B40" i="24"/>
  <c r="D39" i="24"/>
  <c r="C39" i="24"/>
  <c r="B39" i="24"/>
  <c r="D38" i="24"/>
  <c r="C38" i="24"/>
  <c r="B38" i="24"/>
  <c r="D37" i="24"/>
  <c r="C37" i="24"/>
  <c r="B37" i="24"/>
  <c r="D36" i="24"/>
  <c r="C36" i="24"/>
  <c r="B36" i="24"/>
  <c r="D35" i="24"/>
  <c r="C35" i="24"/>
  <c r="B35" i="24"/>
  <c r="D34" i="24"/>
  <c r="C34" i="24"/>
  <c r="B34" i="24"/>
  <c r="D33" i="24"/>
  <c r="C33" i="24"/>
  <c r="B33" i="24"/>
  <c r="D32" i="24"/>
  <c r="C32" i="24"/>
  <c r="B32" i="24"/>
  <c r="D31" i="24"/>
  <c r="C31" i="24"/>
  <c r="B31" i="24"/>
  <c r="D30" i="24"/>
  <c r="C30" i="24"/>
  <c r="B30" i="24"/>
  <c r="AC29" i="24"/>
  <c r="AB29" i="24"/>
  <c r="AA29" i="24"/>
  <c r="S29" i="24"/>
  <c r="R29" i="24"/>
  <c r="Q29" i="24"/>
  <c r="N29" i="24"/>
  <c r="M29" i="24"/>
  <c r="L29" i="24"/>
  <c r="D29" i="24"/>
  <c r="C29" i="24"/>
  <c r="B29" i="24"/>
  <c r="AC28" i="24"/>
  <c r="AB28" i="24"/>
  <c r="AA28" i="24"/>
  <c r="S28" i="24"/>
  <c r="R28" i="24"/>
  <c r="Q28" i="24"/>
  <c r="N28" i="24"/>
  <c r="M28" i="24"/>
  <c r="L28" i="24"/>
  <c r="D28" i="24"/>
  <c r="C28" i="24"/>
  <c r="B28" i="24"/>
  <c r="AC27" i="24"/>
  <c r="AB27" i="24"/>
  <c r="AA27" i="24"/>
  <c r="S27" i="24"/>
  <c r="R27" i="24"/>
  <c r="Q27" i="24"/>
  <c r="N27" i="24"/>
  <c r="M27" i="24"/>
  <c r="L27" i="24"/>
  <c r="D27" i="24"/>
  <c r="C27" i="24"/>
  <c r="B27" i="24"/>
  <c r="AC26" i="24"/>
  <c r="AB26" i="24"/>
  <c r="AA26" i="24"/>
  <c r="S26" i="24"/>
  <c r="R26" i="24"/>
  <c r="Q26" i="24"/>
  <c r="N26" i="24"/>
  <c r="M26" i="24"/>
  <c r="L26" i="24"/>
  <c r="D26" i="24"/>
  <c r="C26" i="24"/>
  <c r="B26" i="24"/>
  <c r="AC25" i="24"/>
  <c r="AB25" i="24"/>
  <c r="AA25" i="24"/>
  <c r="S25" i="24"/>
  <c r="R25" i="24"/>
  <c r="Q25" i="24"/>
  <c r="N25" i="24"/>
  <c r="M25" i="24"/>
  <c r="L25" i="24"/>
  <c r="D25" i="24"/>
  <c r="C25" i="24"/>
  <c r="B25" i="24"/>
  <c r="AC24" i="24"/>
  <c r="AB24" i="24"/>
  <c r="AA24" i="24"/>
  <c r="S24" i="24"/>
  <c r="R24" i="24"/>
  <c r="Q24" i="24"/>
  <c r="N24" i="24"/>
  <c r="M24" i="24"/>
  <c r="L24" i="24"/>
  <c r="D24" i="24"/>
  <c r="C24" i="24"/>
  <c r="B24" i="24"/>
  <c r="AC23" i="24"/>
  <c r="AB23" i="24"/>
  <c r="AA23" i="24"/>
  <c r="S23" i="24"/>
  <c r="R23" i="24"/>
  <c r="Q23" i="24"/>
  <c r="N23" i="24"/>
  <c r="M23" i="24"/>
  <c r="L23" i="24"/>
  <c r="D23" i="24"/>
  <c r="C23" i="24"/>
  <c r="B23" i="24"/>
  <c r="AC22" i="24"/>
  <c r="AB22" i="24"/>
  <c r="AA22" i="24"/>
  <c r="S22" i="24"/>
  <c r="R22" i="24"/>
  <c r="Q22" i="24"/>
  <c r="N22" i="24"/>
  <c r="M22" i="24"/>
  <c r="L22" i="24"/>
  <c r="D22" i="24"/>
  <c r="C22" i="24"/>
  <c r="B22" i="24"/>
  <c r="AC21" i="24"/>
  <c r="AB21" i="24"/>
  <c r="AA21" i="24"/>
  <c r="S21" i="24"/>
  <c r="R21" i="24"/>
  <c r="Q21" i="24"/>
  <c r="N21" i="24"/>
  <c r="M21" i="24"/>
  <c r="L21" i="24"/>
  <c r="I21" i="24"/>
  <c r="H21" i="24"/>
  <c r="G21" i="24"/>
  <c r="D21" i="24"/>
  <c r="C21" i="24"/>
  <c r="B21" i="24"/>
  <c r="AH20" i="24"/>
  <c r="AG20" i="24"/>
  <c r="AF20" i="24"/>
  <c r="AC20" i="24"/>
  <c r="AB20" i="24"/>
  <c r="AA20" i="24"/>
  <c r="S20" i="24"/>
  <c r="R20" i="24"/>
  <c r="Q20" i="24"/>
  <c r="N20" i="24"/>
  <c r="M20" i="24"/>
  <c r="L20" i="24"/>
  <c r="I20" i="24"/>
  <c r="H20" i="24"/>
  <c r="G20" i="24"/>
  <c r="D20" i="24"/>
  <c r="C20" i="24"/>
  <c r="B20" i="24"/>
  <c r="AH19" i="24"/>
  <c r="AG19" i="24"/>
  <c r="AF19" i="24"/>
  <c r="AC19" i="24"/>
  <c r="AB19" i="24"/>
  <c r="AA19" i="24"/>
  <c r="S19" i="24"/>
  <c r="R19" i="24"/>
  <c r="Q19" i="24"/>
  <c r="N19" i="24"/>
  <c r="M19" i="24"/>
  <c r="L19" i="24"/>
  <c r="I19" i="24"/>
  <c r="H19" i="24"/>
  <c r="G19" i="24"/>
  <c r="D19" i="24"/>
  <c r="C19" i="24"/>
  <c r="B19" i="24"/>
  <c r="AH18" i="24"/>
  <c r="AG18" i="24"/>
  <c r="AF18" i="24"/>
  <c r="AC18" i="24"/>
  <c r="AB18" i="24"/>
  <c r="AA18" i="24"/>
  <c r="S18" i="24"/>
  <c r="R18" i="24"/>
  <c r="Q18" i="24"/>
  <c r="N18" i="24"/>
  <c r="M18" i="24"/>
  <c r="L18" i="24"/>
  <c r="I18" i="24"/>
  <c r="H18" i="24"/>
  <c r="G18" i="24"/>
  <c r="D18" i="24"/>
  <c r="C18" i="24"/>
  <c r="B18" i="24"/>
  <c r="AH17" i="24"/>
  <c r="AG17" i="24"/>
  <c r="AF17" i="24"/>
  <c r="AC17" i="24"/>
  <c r="AB17" i="24"/>
  <c r="AA17" i="24"/>
  <c r="S17" i="24"/>
  <c r="R17" i="24"/>
  <c r="Q17" i="24"/>
  <c r="N17" i="24"/>
  <c r="M17" i="24"/>
  <c r="L17" i="24"/>
  <c r="I17" i="24"/>
  <c r="H17" i="24"/>
  <c r="G17" i="24"/>
  <c r="D17" i="24"/>
  <c r="C17" i="24"/>
  <c r="B17" i="24"/>
  <c r="AH16" i="24"/>
  <c r="AG16" i="24"/>
  <c r="AF16" i="24"/>
  <c r="AC16" i="24"/>
  <c r="AB16" i="24"/>
  <c r="AA16" i="24"/>
  <c r="S16" i="24"/>
  <c r="R16" i="24"/>
  <c r="Q16" i="24"/>
  <c r="N16" i="24"/>
  <c r="M16" i="24"/>
  <c r="L16" i="24"/>
  <c r="I16" i="24"/>
  <c r="H16" i="24"/>
  <c r="G16" i="24"/>
  <c r="D16" i="24"/>
  <c r="C16" i="24"/>
  <c r="B16" i="24"/>
  <c r="AH15" i="24"/>
  <c r="AG15" i="24"/>
  <c r="AF15" i="24"/>
  <c r="AC15" i="24"/>
  <c r="AB15" i="24"/>
  <c r="AA15" i="24"/>
  <c r="S15" i="24"/>
  <c r="R15" i="24"/>
  <c r="Q15" i="24"/>
  <c r="N15" i="24"/>
  <c r="M15" i="24"/>
  <c r="L15" i="24"/>
  <c r="I15" i="24"/>
  <c r="H15" i="24"/>
  <c r="G15" i="24"/>
  <c r="D15" i="24"/>
  <c r="C15" i="24"/>
  <c r="B15" i="24"/>
  <c r="AH14" i="24"/>
  <c r="AG14" i="24"/>
  <c r="AF14" i="24"/>
  <c r="AC14" i="24"/>
  <c r="AB14" i="24"/>
  <c r="AA14" i="24"/>
  <c r="S14" i="24"/>
  <c r="R14" i="24"/>
  <c r="Q14" i="24"/>
  <c r="N14" i="24"/>
  <c r="M14" i="24"/>
  <c r="L14" i="24"/>
  <c r="I14" i="24"/>
  <c r="H14" i="24"/>
  <c r="G14" i="24"/>
  <c r="D14" i="24"/>
  <c r="C14" i="24"/>
  <c r="B14" i="24"/>
  <c r="AH13" i="24"/>
  <c r="AG13" i="24"/>
  <c r="AF13" i="24"/>
  <c r="AC13" i="24"/>
  <c r="AB13" i="24"/>
  <c r="AA13" i="24"/>
  <c r="S13" i="24"/>
  <c r="R13" i="24"/>
  <c r="Q13" i="24"/>
  <c r="N13" i="24"/>
  <c r="M13" i="24"/>
  <c r="L13" i="24"/>
  <c r="I13" i="24"/>
  <c r="H13" i="24"/>
  <c r="G13" i="24"/>
  <c r="D13" i="24"/>
  <c r="C13" i="24"/>
  <c r="B13" i="24"/>
  <c r="AH12" i="24"/>
  <c r="AG12" i="24"/>
  <c r="AF12" i="24"/>
  <c r="AC12" i="24"/>
  <c r="AB12" i="24"/>
  <c r="AA12" i="24"/>
  <c r="S12" i="24"/>
  <c r="R12" i="24"/>
  <c r="Q12" i="24"/>
  <c r="N12" i="24"/>
  <c r="M12" i="24"/>
  <c r="L12" i="24"/>
  <c r="I12" i="24"/>
  <c r="H12" i="24"/>
  <c r="G12" i="24"/>
  <c r="D12" i="24"/>
  <c r="C12" i="24"/>
  <c r="B12" i="24"/>
  <c r="AH11" i="24"/>
  <c r="AG11" i="24"/>
  <c r="AF11" i="24"/>
  <c r="AC11" i="24"/>
  <c r="AB11" i="24"/>
  <c r="AA11" i="24"/>
  <c r="X11" i="24"/>
  <c r="W11" i="24"/>
  <c r="V11" i="24"/>
  <c r="S11" i="24"/>
  <c r="R11" i="24"/>
  <c r="Q11" i="24"/>
  <c r="N11" i="24"/>
  <c r="M11" i="24"/>
  <c r="L11" i="24"/>
  <c r="I11" i="24"/>
  <c r="H11" i="24"/>
  <c r="G11" i="24"/>
  <c r="D11" i="24"/>
  <c r="C11" i="24"/>
  <c r="B11" i="24"/>
  <c r="AH10" i="24"/>
  <c r="AG10" i="24"/>
  <c r="AF10" i="24"/>
  <c r="AC10" i="24"/>
  <c r="AB10" i="24"/>
  <c r="AA10" i="24"/>
  <c r="X10" i="24"/>
  <c r="W10" i="24"/>
  <c r="V10" i="24"/>
  <c r="S10" i="24"/>
  <c r="R10" i="24"/>
  <c r="Q10" i="24"/>
  <c r="O10" i="24"/>
  <c r="N10" i="24"/>
  <c r="M10" i="24"/>
  <c r="L10" i="24"/>
  <c r="I10" i="24"/>
  <c r="H10" i="24"/>
  <c r="G10" i="24"/>
  <c r="E10" i="24"/>
  <c r="D10" i="24"/>
  <c r="C10" i="24"/>
  <c r="B10" i="24"/>
  <c r="AH9" i="24"/>
  <c r="AG9" i="24"/>
  <c r="AF9" i="24"/>
  <c r="AC9" i="24"/>
  <c r="AB9" i="24"/>
  <c r="AA9" i="24"/>
  <c r="X9" i="24"/>
  <c r="W9" i="24"/>
  <c r="V9" i="24"/>
  <c r="S9" i="24"/>
  <c r="R9" i="24"/>
  <c r="Q9" i="24"/>
  <c r="O9" i="24"/>
  <c r="N9" i="24"/>
  <c r="M9" i="24"/>
  <c r="L9" i="24"/>
  <c r="I9" i="24"/>
  <c r="H9" i="24"/>
  <c r="G9" i="24"/>
  <c r="E9" i="24"/>
  <c r="D9" i="24"/>
  <c r="C9" i="24"/>
  <c r="B9" i="24"/>
  <c r="AH8" i="24"/>
  <c r="AG8" i="24"/>
  <c r="AF8" i="24"/>
  <c r="AC8" i="24"/>
  <c r="AB8" i="24"/>
  <c r="AA8" i="24"/>
  <c r="X8" i="24"/>
  <c r="W8" i="24"/>
  <c r="V8" i="24"/>
  <c r="S8" i="24"/>
  <c r="R8" i="24"/>
  <c r="Q8" i="24"/>
  <c r="O8" i="24"/>
  <c r="N8" i="24"/>
  <c r="M8" i="24"/>
  <c r="L8" i="24"/>
  <c r="I8" i="24"/>
  <c r="H8" i="24"/>
  <c r="G8" i="24"/>
  <c r="E8" i="24"/>
  <c r="D8" i="24"/>
  <c r="C8" i="24"/>
  <c r="B8" i="24"/>
  <c r="AH7" i="24"/>
  <c r="AG7" i="24"/>
  <c r="AF7" i="24"/>
  <c r="AC7" i="24"/>
  <c r="AB7" i="24"/>
  <c r="AA7" i="24"/>
  <c r="X7" i="24"/>
  <c r="W7" i="24"/>
  <c r="V7" i="24"/>
  <c r="S7" i="24"/>
  <c r="R7" i="24"/>
  <c r="Q7" i="24"/>
  <c r="O7" i="24"/>
  <c r="N7" i="24"/>
  <c r="M7" i="24"/>
  <c r="L7" i="24"/>
  <c r="J7" i="24"/>
  <c r="I7" i="24"/>
  <c r="H7" i="24"/>
  <c r="G7" i="24"/>
  <c r="E7" i="24"/>
  <c r="D7" i="24"/>
  <c r="C7" i="24"/>
  <c r="B7" i="24"/>
  <c r="AH6" i="24"/>
  <c r="AG6" i="24"/>
  <c r="AF6" i="24"/>
  <c r="AC6" i="24"/>
  <c r="AB6" i="24"/>
  <c r="AA6" i="24"/>
  <c r="X6" i="24"/>
  <c r="W6" i="24"/>
  <c r="V6" i="24"/>
  <c r="S6" i="24"/>
  <c r="R6" i="24"/>
  <c r="Q6" i="24"/>
  <c r="O6" i="24"/>
  <c r="N6" i="24"/>
  <c r="M6" i="24"/>
  <c r="L6" i="24"/>
  <c r="J6" i="24"/>
  <c r="I6" i="24"/>
  <c r="H6" i="24"/>
  <c r="G6" i="24"/>
  <c r="E6" i="24"/>
  <c r="D6" i="24"/>
  <c r="C6" i="24"/>
  <c r="B6" i="24"/>
  <c r="AI5" i="24"/>
  <c r="AH5" i="24"/>
  <c r="AG5" i="24"/>
  <c r="AF5" i="24"/>
  <c r="AD5" i="24"/>
  <c r="AC5" i="24"/>
  <c r="AB5" i="24"/>
  <c r="AA5" i="24"/>
  <c r="X5" i="24"/>
  <c r="W5" i="24"/>
  <c r="V5" i="24"/>
  <c r="T5" i="24"/>
  <c r="S5" i="24"/>
  <c r="R5" i="24"/>
  <c r="Q5" i="24"/>
  <c r="O5" i="24"/>
  <c r="N5" i="24"/>
  <c r="M5" i="24"/>
  <c r="L5" i="24"/>
  <c r="J5" i="24"/>
  <c r="I5" i="24"/>
  <c r="H5" i="24"/>
  <c r="G5" i="24"/>
  <c r="E5" i="24"/>
  <c r="D5" i="24"/>
  <c r="C5" i="24"/>
  <c r="B5" i="24"/>
  <c r="AI4" i="24"/>
  <c r="AH4" i="24"/>
  <c r="AG4" i="24"/>
  <c r="AF4" i="24"/>
  <c r="AD4" i="24"/>
  <c r="AC4" i="24"/>
  <c r="AB4" i="24"/>
  <c r="AA4" i="24"/>
  <c r="Y4" i="24"/>
  <c r="X4" i="24"/>
  <c r="W4" i="24"/>
  <c r="V4" i="24"/>
  <c r="T4" i="24"/>
  <c r="S4" i="24"/>
  <c r="R4" i="24"/>
  <c r="Q4" i="24"/>
  <c r="O4" i="24"/>
  <c r="N4" i="24"/>
  <c r="M4" i="24"/>
  <c r="L4" i="24"/>
  <c r="J4" i="24"/>
  <c r="I4" i="24"/>
  <c r="H4" i="24"/>
  <c r="G4" i="24"/>
  <c r="E4" i="24"/>
  <c r="D4" i="24"/>
  <c r="C4" i="24"/>
  <c r="B4" i="24"/>
  <c r="AI3" i="24"/>
  <c r="AH3" i="24"/>
  <c r="AG3" i="24"/>
  <c r="AF3" i="24"/>
  <c r="AD3" i="24"/>
  <c r="AC3" i="24"/>
  <c r="AB3" i="24"/>
  <c r="AA3" i="24"/>
  <c r="Y3" i="24"/>
  <c r="X3" i="24"/>
  <c r="W3" i="24"/>
  <c r="V3" i="24"/>
  <c r="T3" i="24"/>
  <c r="S3" i="24"/>
  <c r="R3" i="24"/>
  <c r="Q3" i="24"/>
  <c r="O3" i="24"/>
  <c r="N3" i="24"/>
  <c r="M3" i="24"/>
  <c r="L3" i="24"/>
  <c r="J3" i="24"/>
  <c r="I3" i="24"/>
  <c r="H3" i="24"/>
  <c r="G3" i="24"/>
  <c r="E3" i="24"/>
  <c r="D3" i="24"/>
  <c r="C3" i="24"/>
  <c r="B3" i="24"/>
  <c r="AF1" i="24"/>
  <c r="AA1" i="24"/>
  <c r="V1" i="24"/>
  <c r="Q1" i="24"/>
  <c r="L1" i="24"/>
  <c r="G1" i="24"/>
  <c r="D99" i="23"/>
  <c r="C99" i="23"/>
  <c r="B99" i="23"/>
  <c r="D98" i="23"/>
  <c r="C98" i="23"/>
  <c r="B98" i="23"/>
  <c r="D97" i="23"/>
  <c r="C97" i="23"/>
  <c r="B97" i="23"/>
  <c r="D96" i="23"/>
  <c r="C96" i="23"/>
  <c r="B96" i="23"/>
  <c r="D95" i="23"/>
  <c r="C95" i="23"/>
  <c r="B95" i="23"/>
  <c r="D94" i="23"/>
  <c r="C94" i="23"/>
  <c r="B94" i="23"/>
  <c r="D93" i="23"/>
  <c r="C93" i="23"/>
  <c r="B93" i="23"/>
  <c r="D92" i="23"/>
  <c r="C92" i="23"/>
  <c r="B92" i="23"/>
  <c r="D91" i="23"/>
  <c r="C91" i="23"/>
  <c r="B91" i="23"/>
  <c r="D90" i="23"/>
  <c r="C90" i="23"/>
  <c r="B90" i="23"/>
  <c r="D89" i="23"/>
  <c r="C89" i="23"/>
  <c r="B89" i="23"/>
  <c r="D88" i="23"/>
  <c r="C88" i="23"/>
  <c r="B88" i="23"/>
  <c r="D87" i="23"/>
  <c r="C87" i="23"/>
  <c r="B87" i="23"/>
  <c r="D86" i="23"/>
  <c r="C86" i="23"/>
  <c r="B86" i="23"/>
  <c r="D85" i="23"/>
  <c r="C85" i="23"/>
  <c r="B85" i="23"/>
  <c r="D84" i="23"/>
  <c r="C84" i="23"/>
  <c r="B84" i="23"/>
  <c r="D83" i="23"/>
  <c r="C83" i="23"/>
  <c r="B83" i="23"/>
  <c r="D82" i="23"/>
  <c r="C82" i="23"/>
  <c r="B82" i="23"/>
  <c r="D81" i="23"/>
  <c r="C81" i="23"/>
  <c r="B81" i="23"/>
  <c r="D80" i="23"/>
  <c r="C80" i="23"/>
  <c r="B80" i="23"/>
  <c r="D79" i="23"/>
  <c r="C79" i="23"/>
  <c r="B79" i="23"/>
  <c r="D78" i="23"/>
  <c r="C78" i="23"/>
  <c r="B78" i="23"/>
  <c r="D77" i="23"/>
  <c r="C77" i="23"/>
  <c r="B77" i="23"/>
  <c r="D76" i="23"/>
  <c r="C76" i="23"/>
  <c r="B76" i="23"/>
  <c r="D75" i="23"/>
  <c r="C75" i="23"/>
  <c r="B75" i="23"/>
  <c r="D74" i="23"/>
  <c r="C74" i="23"/>
  <c r="B74" i="23"/>
  <c r="D73" i="23"/>
  <c r="C73" i="23"/>
  <c r="B73" i="23"/>
  <c r="D72" i="23"/>
  <c r="C72" i="23"/>
  <c r="B72" i="23"/>
  <c r="D71" i="23"/>
  <c r="C71" i="23"/>
  <c r="B71" i="23"/>
  <c r="D70" i="23"/>
  <c r="C70" i="23"/>
  <c r="B70" i="23"/>
  <c r="D69" i="23"/>
  <c r="C69" i="23"/>
  <c r="B69" i="23"/>
  <c r="D68" i="23"/>
  <c r="C68" i="23"/>
  <c r="B68" i="23"/>
  <c r="D67" i="23"/>
  <c r="C67" i="23"/>
  <c r="B67" i="23"/>
  <c r="D66" i="23"/>
  <c r="C66" i="23"/>
  <c r="B66" i="23"/>
  <c r="D65" i="23"/>
  <c r="C65" i="23"/>
  <c r="B65" i="23"/>
  <c r="D64" i="23"/>
  <c r="C64" i="23"/>
  <c r="B64" i="23"/>
  <c r="D63" i="23"/>
  <c r="C63" i="23"/>
  <c r="B63" i="23"/>
  <c r="D62" i="23"/>
  <c r="C62" i="23"/>
  <c r="B62" i="23"/>
  <c r="D61" i="23"/>
  <c r="C61" i="23"/>
  <c r="B61" i="23"/>
  <c r="D60" i="23"/>
  <c r="C60" i="23"/>
  <c r="B60" i="23"/>
  <c r="D59" i="23"/>
  <c r="C59" i="23"/>
  <c r="B59" i="23"/>
  <c r="D58" i="23"/>
  <c r="C58" i="23"/>
  <c r="B58" i="23"/>
  <c r="D57" i="23"/>
  <c r="C57" i="23"/>
  <c r="B57" i="23"/>
  <c r="D56" i="23"/>
  <c r="C56" i="23"/>
  <c r="B56" i="23"/>
  <c r="D55" i="23"/>
  <c r="C55" i="23"/>
  <c r="B55" i="23"/>
  <c r="D54" i="23"/>
  <c r="C54" i="23"/>
  <c r="B54" i="23"/>
  <c r="D53" i="23"/>
  <c r="C53" i="23"/>
  <c r="B53" i="23"/>
  <c r="D52" i="23"/>
  <c r="C52" i="23"/>
  <c r="B52" i="23"/>
  <c r="D51" i="23"/>
  <c r="C51" i="23"/>
  <c r="B51" i="23"/>
  <c r="D50" i="23"/>
  <c r="C50" i="23"/>
  <c r="B50" i="23"/>
  <c r="D49" i="23"/>
  <c r="C49" i="23"/>
  <c r="B49" i="23"/>
  <c r="N48" i="23"/>
  <c r="M48" i="23"/>
  <c r="L48" i="23"/>
  <c r="D48" i="23"/>
  <c r="C48" i="23"/>
  <c r="B48" i="23"/>
  <c r="N47" i="23"/>
  <c r="M47" i="23"/>
  <c r="L47" i="23"/>
  <c r="I47" i="23"/>
  <c r="H47" i="23"/>
  <c r="G47" i="23"/>
  <c r="D47" i="23"/>
  <c r="C47" i="23"/>
  <c r="B47" i="23"/>
  <c r="N46" i="23"/>
  <c r="M46" i="23"/>
  <c r="L46" i="23"/>
  <c r="I46" i="23"/>
  <c r="H46" i="23"/>
  <c r="G46" i="23"/>
  <c r="D46" i="23"/>
  <c r="C46" i="23"/>
  <c r="B46" i="23"/>
  <c r="N45" i="23"/>
  <c r="M45" i="23"/>
  <c r="L45" i="23"/>
  <c r="I45" i="23"/>
  <c r="H45" i="23"/>
  <c r="G45" i="23"/>
  <c r="D45" i="23"/>
  <c r="C45" i="23"/>
  <c r="B45" i="23"/>
  <c r="N44" i="23"/>
  <c r="M44" i="23"/>
  <c r="L44" i="23"/>
  <c r="I44" i="23"/>
  <c r="H44" i="23"/>
  <c r="G44" i="23"/>
  <c r="D44" i="23"/>
  <c r="C44" i="23"/>
  <c r="B44" i="23"/>
  <c r="N43" i="23"/>
  <c r="M43" i="23"/>
  <c r="L43" i="23"/>
  <c r="I43" i="23"/>
  <c r="H43" i="23"/>
  <c r="G43" i="23"/>
  <c r="D43" i="23"/>
  <c r="C43" i="23"/>
  <c r="B43" i="23"/>
  <c r="N42" i="23"/>
  <c r="M42" i="23"/>
  <c r="L42" i="23"/>
  <c r="I42" i="23"/>
  <c r="H42" i="23"/>
  <c r="G42" i="23"/>
  <c r="D42" i="23"/>
  <c r="C42" i="23"/>
  <c r="B42" i="23"/>
  <c r="N41" i="23"/>
  <c r="M41" i="23"/>
  <c r="L41" i="23"/>
  <c r="I41" i="23"/>
  <c r="H41" i="23"/>
  <c r="G41" i="23"/>
  <c r="D41" i="23"/>
  <c r="C41" i="23"/>
  <c r="B41" i="23"/>
  <c r="N40" i="23"/>
  <c r="M40" i="23"/>
  <c r="L40" i="23"/>
  <c r="I40" i="23"/>
  <c r="H40" i="23"/>
  <c r="G40" i="23"/>
  <c r="D40" i="23"/>
  <c r="C40" i="23"/>
  <c r="B40" i="23"/>
  <c r="N39" i="23"/>
  <c r="M39" i="23"/>
  <c r="L39" i="23"/>
  <c r="I39" i="23"/>
  <c r="H39" i="23"/>
  <c r="G39" i="23"/>
  <c r="D39" i="23"/>
  <c r="C39" i="23"/>
  <c r="B39" i="23"/>
  <c r="N38" i="23"/>
  <c r="M38" i="23"/>
  <c r="L38" i="23"/>
  <c r="I38" i="23"/>
  <c r="H38" i="23"/>
  <c r="G38" i="23"/>
  <c r="D38" i="23"/>
  <c r="C38" i="23"/>
  <c r="B38" i="23"/>
  <c r="N37" i="23"/>
  <c r="M37" i="23"/>
  <c r="L37" i="23"/>
  <c r="I37" i="23"/>
  <c r="H37" i="23"/>
  <c r="G37" i="23"/>
  <c r="D37" i="23"/>
  <c r="C37" i="23"/>
  <c r="B37" i="23"/>
  <c r="N36" i="23"/>
  <c r="M36" i="23"/>
  <c r="L36" i="23"/>
  <c r="I36" i="23"/>
  <c r="H36" i="23"/>
  <c r="G36" i="23"/>
  <c r="D36" i="23"/>
  <c r="C36" i="23"/>
  <c r="B36" i="23"/>
  <c r="N35" i="23"/>
  <c r="M35" i="23"/>
  <c r="L35" i="23"/>
  <c r="I35" i="23"/>
  <c r="H35" i="23"/>
  <c r="G35" i="23"/>
  <c r="D35" i="23"/>
  <c r="C35" i="23"/>
  <c r="B35" i="23"/>
  <c r="N34" i="23"/>
  <c r="M34" i="23"/>
  <c r="L34" i="23"/>
  <c r="I34" i="23"/>
  <c r="H34" i="23"/>
  <c r="G34" i="23"/>
  <c r="D34" i="23"/>
  <c r="C34" i="23"/>
  <c r="B34" i="23"/>
  <c r="N33" i="23"/>
  <c r="M33" i="23"/>
  <c r="L33" i="23"/>
  <c r="I33" i="23"/>
  <c r="H33" i="23"/>
  <c r="G33" i="23"/>
  <c r="D33" i="23"/>
  <c r="C33" i="23"/>
  <c r="B33" i="23"/>
  <c r="S32" i="23"/>
  <c r="R32" i="23"/>
  <c r="Q32" i="23"/>
  <c r="N32" i="23"/>
  <c r="M32" i="23"/>
  <c r="L32" i="23"/>
  <c r="I32" i="23"/>
  <c r="H32" i="23"/>
  <c r="G32" i="23"/>
  <c r="D32" i="23"/>
  <c r="C32" i="23"/>
  <c r="B32" i="23"/>
  <c r="S31" i="23"/>
  <c r="R31" i="23"/>
  <c r="Q31" i="23"/>
  <c r="N31" i="23"/>
  <c r="M31" i="23"/>
  <c r="L31" i="23"/>
  <c r="I31" i="23"/>
  <c r="H31" i="23"/>
  <c r="G31" i="23"/>
  <c r="D31" i="23"/>
  <c r="C31" i="23"/>
  <c r="B31" i="23"/>
  <c r="S30" i="23"/>
  <c r="R30" i="23"/>
  <c r="Q30" i="23"/>
  <c r="N30" i="23"/>
  <c r="M30" i="23"/>
  <c r="L30" i="23"/>
  <c r="I30" i="23"/>
  <c r="H30" i="23"/>
  <c r="G30" i="23"/>
  <c r="D30" i="23"/>
  <c r="C30" i="23"/>
  <c r="B30" i="23"/>
  <c r="AC29" i="23"/>
  <c r="AB29" i="23"/>
  <c r="AA29" i="23"/>
  <c r="S29" i="23"/>
  <c r="R29" i="23"/>
  <c r="Q29" i="23"/>
  <c r="N29" i="23"/>
  <c r="M29" i="23"/>
  <c r="L29" i="23"/>
  <c r="I29" i="23"/>
  <c r="H29" i="23"/>
  <c r="G29" i="23"/>
  <c r="D29" i="23"/>
  <c r="C29" i="23"/>
  <c r="B29" i="23"/>
  <c r="AC28" i="23"/>
  <c r="AB28" i="23"/>
  <c r="AA28" i="23"/>
  <c r="S28" i="23"/>
  <c r="R28" i="23"/>
  <c r="Q28" i="23"/>
  <c r="N28" i="23"/>
  <c r="M28" i="23"/>
  <c r="L28" i="23"/>
  <c r="I28" i="23"/>
  <c r="H28" i="23"/>
  <c r="G28" i="23"/>
  <c r="D28" i="23"/>
  <c r="C28" i="23"/>
  <c r="B28" i="23"/>
  <c r="AC27" i="23"/>
  <c r="AB27" i="23"/>
  <c r="AA27" i="23"/>
  <c r="S27" i="23"/>
  <c r="R27" i="23"/>
  <c r="Q27" i="23"/>
  <c r="N27" i="23"/>
  <c r="M27" i="23"/>
  <c r="L27" i="23"/>
  <c r="I27" i="23"/>
  <c r="H27" i="23"/>
  <c r="G27" i="23"/>
  <c r="D27" i="23"/>
  <c r="C27" i="23"/>
  <c r="B27" i="23"/>
  <c r="AC26" i="23"/>
  <c r="AB26" i="23"/>
  <c r="AA26" i="23"/>
  <c r="S26" i="23"/>
  <c r="R26" i="23"/>
  <c r="Q26" i="23"/>
  <c r="N26" i="23"/>
  <c r="M26" i="23"/>
  <c r="L26" i="23"/>
  <c r="I26" i="23"/>
  <c r="H26" i="23"/>
  <c r="G26" i="23"/>
  <c r="D26" i="23"/>
  <c r="C26" i="23"/>
  <c r="B26" i="23"/>
  <c r="AC25" i="23"/>
  <c r="AB25" i="23"/>
  <c r="AA25" i="23"/>
  <c r="S25" i="23"/>
  <c r="R25" i="23"/>
  <c r="Q25" i="23"/>
  <c r="N25" i="23"/>
  <c r="M25" i="23"/>
  <c r="L25" i="23"/>
  <c r="I25" i="23"/>
  <c r="H25" i="23"/>
  <c r="G25" i="23"/>
  <c r="D25" i="23"/>
  <c r="C25" i="23"/>
  <c r="B25" i="23"/>
  <c r="AC24" i="23"/>
  <c r="AB24" i="23"/>
  <c r="AA24" i="23"/>
  <c r="S24" i="23"/>
  <c r="R24" i="23"/>
  <c r="Q24" i="23"/>
  <c r="N24" i="23"/>
  <c r="M24" i="23"/>
  <c r="L24" i="23"/>
  <c r="I24" i="23"/>
  <c r="H24" i="23"/>
  <c r="G24" i="23"/>
  <c r="D24" i="23"/>
  <c r="C24" i="23"/>
  <c r="B24" i="23"/>
  <c r="AC23" i="23"/>
  <c r="AB23" i="23"/>
  <c r="AA23" i="23"/>
  <c r="S23" i="23"/>
  <c r="R23" i="23"/>
  <c r="Q23" i="23"/>
  <c r="N23" i="23"/>
  <c r="M23" i="23"/>
  <c r="L23" i="23"/>
  <c r="I23" i="23"/>
  <c r="H23" i="23"/>
  <c r="G23" i="23"/>
  <c r="D23" i="23"/>
  <c r="C23" i="23"/>
  <c r="B23" i="23"/>
  <c r="AC22" i="23"/>
  <c r="AB22" i="23"/>
  <c r="AA22" i="23"/>
  <c r="S22" i="23"/>
  <c r="R22" i="23"/>
  <c r="Q22" i="23"/>
  <c r="N22" i="23"/>
  <c r="M22" i="23"/>
  <c r="L22" i="23"/>
  <c r="I22" i="23"/>
  <c r="H22" i="23"/>
  <c r="G22" i="23"/>
  <c r="D22" i="23"/>
  <c r="C22" i="23"/>
  <c r="B22" i="23"/>
  <c r="AH21" i="23"/>
  <c r="AG21" i="23"/>
  <c r="AF21" i="23"/>
  <c r="AC21" i="23"/>
  <c r="AB21" i="23"/>
  <c r="AA21" i="23"/>
  <c r="S21" i="23"/>
  <c r="R21" i="23"/>
  <c r="Q21" i="23"/>
  <c r="N21" i="23"/>
  <c r="M21" i="23"/>
  <c r="L21" i="23"/>
  <c r="I21" i="23"/>
  <c r="H21" i="23"/>
  <c r="G21" i="23"/>
  <c r="D21" i="23"/>
  <c r="C21" i="23"/>
  <c r="B21" i="23"/>
  <c r="AH20" i="23"/>
  <c r="AG20" i="23"/>
  <c r="AF20" i="23"/>
  <c r="AC20" i="23"/>
  <c r="AB20" i="23"/>
  <c r="AA20" i="23"/>
  <c r="S20" i="23"/>
  <c r="R20" i="23"/>
  <c r="Q20" i="23"/>
  <c r="N20" i="23"/>
  <c r="M20" i="23"/>
  <c r="L20" i="23"/>
  <c r="I20" i="23"/>
  <c r="H20" i="23"/>
  <c r="G20" i="23"/>
  <c r="D20" i="23"/>
  <c r="C20" i="23"/>
  <c r="B20" i="23"/>
  <c r="AH19" i="23"/>
  <c r="AG19" i="23"/>
  <c r="AF19" i="23"/>
  <c r="AC19" i="23"/>
  <c r="AB19" i="23"/>
  <c r="AA19" i="23"/>
  <c r="S19" i="23"/>
  <c r="R19" i="23"/>
  <c r="Q19" i="23"/>
  <c r="N19" i="23"/>
  <c r="M19" i="23"/>
  <c r="L19" i="23"/>
  <c r="I19" i="23"/>
  <c r="H19" i="23"/>
  <c r="G19" i="23"/>
  <c r="D19" i="23"/>
  <c r="C19" i="23"/>
  <c r="B19" i="23"/>
  <c r="AH18" i="23"/>
  <c r="AG18" i="23"/>
  <c r="AF18" i="23"/>
  <c r="AC18" i="23"/>
  <c r="AB18" i="23"/>
  <c r="AA18" i="23"/>
  <c r="S18" i="23"/>
  <c r="R18" i="23"/>
  <c r="Q18" i="23"/>
  <c r="N18" i="23"/>
  <c r="M18" i="23"/>
  <c r="L18" i="23"/>
  <c r="I18" i="23"/>
  <c r="H18" i="23"/>
  <c r="G18" i="23"/>
  <c r="D18" i="23"/>
  <c r="C18" i="23"/>
  <c r="B18" i="23"/>
  <c r="AH17" i="23"/>
  <c r="AG17" i="23"/>
  <c r="AF17" i="23"/>
  <c r="AC17" i="23"/>
  <c r="AB17" i="23"/>
  <c r="AA17" i="23"/>
  <c r="S17" i="23"/>
  <c r="R17" i="23"/>
  <c r="Q17" i="23"/>
  <c r="N17" i="23"/>
  <c r="M17" i="23"/>
  <c r="L17" i="23"/>
  <c r="I17" i="23"/>
  <c r="H17" i="23"/>
  <c r="G17" i="23"/>
  <c r="D17" i="23"/>
  <c r="C17" i="23"/>
  <c r="B17" i="23"/>
  <c r="AH16" i="23"/>
  <c r="AG16" i="23"/>
  <c r="AF16" i="23"/>
  <c r="AC16" i="23"/>
  <c r="AB16" i="23"/>
  <c r="AA16" i="23"/>
  <c r="S16" i="23"/>
  <c r="R16" i="23"/>
  <c r="Q16" i="23"/>
  <c r="N16" i="23"/>
  <c r="M16" i="23"/>
  <c r="L16" i="23"/>
  <c r="I16" i="23"/>
  <c r="H16" i="23"/>
  <c r="G16" i="23"/>
  <c r="D16" i="23"/>
  <c r="C16" i="23"/>
  <c r="B16" i="23"/>
  <c r="AH15" i="23"/>
  <c r="AG15" i="23"/>
  <c r="AF15" i="23"/>
  <c r="AC15" i="23"/>
  <c r="AB15" i="23"/>
  <c r="AA15" i="23"/>
  <c r="S15" i="23"/>
  <c r="R15" i="23"/>
  <c r="Q15" i="23"/>
  <c r="N15" i="23"/>
  <c r="M15" i="23"/>
  <c r="L15" i="23"/>
  <c r="I15" i="23"/>
  <c r="H15" i="23"/>
  <c r="G15" i="23"/>
  <c r="D15" i="23"/>
  <c r="C15" i="23"/>
  <c r="B15" i="23"/>
  <c r="AH14" i="23"/>
  <c r="AG14" i="23"/>
  <c r="AF14" i="23"/>
  <c r="AC14" i="23"/>
  <c r="AB14" i="23"/>
  <c r="AA14" i="23"/>
  <c r="S14" i="23"/>
  <c r="R14" i="23"/>
  <c r="Q14" i="23"/>
  <c r="N14" i="23"/>
  <c r="M14" i="23"/>
  <c r="L14" i="23"/>
  <c r="I14" i="23"/>
  <c r="H14" i="23"/>
  <c r="G14" i="23"/>
  <c r="D14" i="23"/>
  <c r="C14" i="23"/>
  <c r="B14" i="23"/>
  <c r="AH13" i="23"/>
  <c r="AG13" i="23"/>
  <c r="AF13" i="23"/>
  <c r="AC13" i="23"/>
  <c r="AB13" i="23"/>
  <c r="AA13" i="23"/>
  <c r="X13" i="23"/>
  <c r="W13" i="23"/>
  <c r="V13" i="23"/>
  <c r="S13" i="23"/>
  <c r="R13" i="23"/>
  <c r="Q13" i="23"/>
  <c r="N13" i="23"/>
  <c r="M13" i="23"/>
  <c r="L13" i="23"/>
  <c r="I13" i="23"/>
  <c r="H13" i="23"/>
  <c r="G13" i="23"/>
  <c r="E13" i="23"/>
  <c r="D13" i="23"/>
  <c r="C13" i="23"/>
  <c r="B13" i="23"/>
  <c r="AH12" i="23"/>
  <c r="AG12" i="23"/>
  <c r="AF12" i="23"/>
  <c r="AC12" i="23"/>
  <c r="AB12" i="23"/>
  <c r="AA12" i="23"/>
  <c r="X12" i="23"/>
  <c r="W12" i="23"/>
  <c r="V12" i="23"/>
  <c r="S12" i="23"/>
  <c r="R12" i="23"/>
  <c r="Q12" i="23"/>
  <c r="N12" i="23"/>
  <c r="M12" i="23"/>
  <c r="L12" i="23"/>
  <c r="I12" i="23"/>
  <c r="H12" i="23"/>
  <c r="G12" i="23"/>
  <c r="E12" i="23"/>
  <c r="D12" i="23"/>
  <c r="C12" i="23"/>
  <c r="B12" i="23"/>
  <c r="AH11" i="23"/>
  <c r="AG11" i="23"/>
  <c r="AF11" i="23"/>
  <c r="AC11" i="23"/>
  <c r="AB11" i="23"/>
  <c r="AA11" i="23"/>
  <c r="X11" i="23"/>
  <c r="W11" i="23"/>
  <c r="V11" i="23"/>
  <c r="S11" i="23"/>
  <c r="R11" i="23"/>
  <c r="Q11" i="23"/>
  <c r="N11" i="23"/>
  <c r="M11" i="23"/>
  <c r="L11" i="23"/>
  <c r="I11" i="23"/>
  <c r="H11" i="23"/>
  <c r="G11" i="23"/>
  <c r="E11" i="23"/>
  <c r="D11" i="23"/>
  <c r="C11" i="23"/>
  <c r="B11" i="23"/>
  <c r="AH10" i="23"/>
  <c r="AG10" i="23"/>
  <c r="AF10" i="23"/>
  <c r="AC10" i="23"/>
  <c r="AB10" i="23"/>
  <c r="AA10" i="23"/>
  <c r="X10" i="23"/>
  <c r="W10" i="23"/>
  <c r="V10" i="23"/>
  <c r="S10" i="23"/>
  <c r="R10" i="23"/>
  <c r="Q10" i="23"/>
  <c r="N10" i="23"/>
  <c r="M10" i="23"/>
  <c r="L10" i="23"/>
  <c r="I10" i="23"/>
  <c r="H10" i="23"/>
  <c r="G10" i="23"/>
  <c r="E10" i="23"/>
  <c r="D10" i="23"/>
  <c r="C10" i="23"/>
  <c r="B10" i="23"/>
  <c r="AH9" i="23"/>
  <c r="AG9" i="23"/>
  <c r="AF9" i="23"/>
  <c r="AC9" i="23"/>
  <c r="AB9" i="23"/>
  <c r="AA9" i="23"/>
  <c r="X9" i="23"/>
  <c r="W9" i="23"/>
  <c r="V9" i="23"/>
  <c r="S9" i="23"/>
  <c r="R9" i="23"/>
  <c r="Q9" i="23"/>
  <c r="N9" i="23"/>
  <c r="M9" i="23"/>
  <c r="L9" i="23"/>
  <c r="I9" i="23"/>
  <c r="H9" i="23"/>
  <c r="G9" i="23"/>
  <c r="E9" i="23"/>
  <c r="D9" i="23"/>
  <c r="C9" i="23"/>
  <c r="B9" i="23"/>
  <c r="AH8" i="23"/>
  <c r="AG8" i="23"/>
  <c r="AF8" i="23"/>
  <c r="AC8" i="23"/>
  <c r="AB8" i="23"/>
  <c r="AA8" i="23"/>
  <c r="X8" i="23"/>
  <c r="W8" i="23"/>
  <c r="V8" i="23"/>
  <c r="S8" i="23"/>
  <c r="R8" i="23"/>
  <c r="Q8" i="23"/>
  <c r="N8" i="23"/>
  <c r="M8" i="23"/>
  <c r="L8" i="23"/>
  <c r="I8" i="23"/>
  <c r="H8" i="23"/>
  <c r="G8" i="23"/>
  <c r="E8" i="23"/>
  <c r="D8" i="23"/>
  <c r="C8" i="23"/>
  <c r="B8" i="23"/>
  <c r="AI7" i="23"/>
  <c r="AH7" i="23"/>
  <c r="AG7" i="23"/>
  <c r="AF7" i="23"/>
  <c r="AC7" i="23"/>
  <c r="AB7" i="23"/>
  <c r="AA7" i="23"/>
  <c r="X7" i="23"/>
  <c r="W7" i="23"/>
  <c r="V7" i="23"/>
  <c r="S7" i="23"/>
  <c r="R7" i="23"/>
  <c r="Q7" i="23"/>
  <c r="O7" i="23"/>
  <c r="N7" i="23"/>
  <c r="M7" i="23"/>
  <c r="L7" i="23"/>
  <c r="I7" i="23"/>
  <c r="H7" i="23"/>
  <c r="G7" i="23"/>
  <c r="E7" i="23"/>
  <c r="D7" i="23"/>
  <c r="C7" i="23"/>
  <c r="B7" i="23"/>
  <c r="AI6" i="23"/>
  <c r="AH6" i="23"/>
  <c r="AG6" i="23"/>
  <c r="AF6" i="23"/>
  <c r="AC6" i="23"/>
  <c r="AB6" i="23"/>
  <c r="AA6" i="23"/>
  <c r="X6" i="23"/>
  <c r="W6" i="23"/>
  <c r="V6" i="23"/>
  <c r="S6" i="23"/>
  <c r="R6" i="23"/>
  <c r="Q6" i="23"/>
  <c r="O6" i="23"/>
  <c r="N6" i="23"/>
  <c r="M6" i="23"/>
  <c r="L6" i="23"/>
  <c r="I6" i="23"/>
  <c r="H6" i="23"/>
  <c r="G6" i="23"/>
  <c r="E6" i="23"/>
  <c r="D6" i="23"/>
  <c r="C6" i="23"/>
  <c r="B6" i="23"/>
  <c r="AI5" i="23"/>
  <c r="AH5" i="23"/>
  <c r="AG5" i="23"/>
  <c r="AF5" i="23"/>
  <c r="AD5" i="23"/>
  <c r="AC5" i="23"/>
  <c r="AB5" i="23"/>
  <c r="AA5" i="23"/>
  <c r="X5" i="23"/>
  <c r="W5" i="23"/>
  <c r="V5" i="23"/>
  <c r="T5" i="23"/>
  <c r="S5" i="23"/>
  <c r="R5" i="23"/>
  <c r="Q5" i="23"/>
  <c r="O5" i="23"/>
  <c r="N5" i="23"/>
  <c r="M5" i="23"/>
  <c r="L5" i="23"/>
  <c r="J5" i="23"/>
  <c r="I5" i="23"/>
  <c r="H5" i="23"/>
  <c r="G5" i="23"/>
  <c r="E5" i="23"/>
  <c r="D5" i="23"/>
  <c r="C5" i="23"/>
  <c r="B5" i="23"/>
  <c r="AI4" i="23"/>
  <c r="AH4" i="23"/>
  <c r="AG4" i="23"/>
  <c r="AF4" i="23"/>
  <c r="AD4" i="23"/>
  <c r="AC4" i="23"/>
  <c r="AB4" i="23"/>
  <c r="AA4" i="23"/>
  <c r="Y4" i="23"/>
  <c r="X4" i="23"/>
  <c r="W4" i="23"/>
  <c r="V4" i="23"/>
  <c r="T4" i="23"/>
  <c r="S4" i="23"/>
  <c r="R4" i="23"/>
  <c r="Q4" i="23"/>
  <c r="O4" i="23"/>
  <c r="N4" i="23"/>
  <c r="M4" i="23"/>
  <c r="L4" i="23"/>
  <c r="J4" i="23"/>
  <c r="I4" i="23"/>
  <c r="H4" i="23"/>
  <c r="G4" i="23"/>
  <c r="E4" i="23"/>
  <c r="D4" i="23"/>
  <c r="C4" i="23"/>
  <c r="B4" i="23"/>
  <c r="AI3" i="23"/>
  <c r="AH3" i="23"/>
  <c r="AG3" i="23"/>
  <c r="AF3" i="23"/>
  <c r="AD3" i="23"/>
  <c r="AC3" i="23"/>
  <c r="AB3" i="23"/>
  <c r="AA3" i="23"/>
  <c r="Y3" i="23"/>
  <c r="X3" i="23"/>
  <c r="W3" i="23"/>
  <c r="V3" i="23"/>
  <c r="T3" i="23"/>
  <c r="S3" i="23"/>
  <c r="R3" i="23"/>
  <c r="Q3" i="23"/>
  <c r="O3" i="23"/>
  <c r="N3" i="23"/>
  <c r="M3" i="23"/>
  <c r="L3" i="23"/>
  <c r="J3" i="23"/>
  <c r="I3" i="23"/>
  <c r="H3" i="23"/>
  <c r="G3" i="23"/>
  <c r="E3" i="23"/>
  <c r="D3" i="23"/>
  <c r="C3" i="23"/>
  <c r="B3" i="23"/>
  <c r="AF1" i="23"/>
  <c r="AA1" i="23"/>
  <c r="V1" i="23"/>
  <c r="Q1" i="23"/>
  <c r="L1" i="23"/>
  <c r="G1" i="23"/>
  <c r="D104" i="22"/>
  <c r="C104" i="22"/>
  <c r="B104" i="22"/>
  <c r="D103" i="22"/>
  <c r="C103" i="22"/>
  <c r="B103" i="22"/>
  <c r="D102" i="22"/>
  <c r="C102" i="22"/>
  <c r="B102" i="22"/>
  <c r="D101" i="22"/>
  <c r="C101" i="22"/>
  <c r="B101" i="22"/>
  <c r="D100" i="22"/>
  <c r="C100" i="22"/>
  <c r="B100" i="22"/>
  <c r="D99" i="22"/>
  <c r="C99" i="22"/>
  <c r="B99" i="22"/>
  <c r="D98" i="22"/>
  <c r="C98" i="22"/>
  <c r="B98" i="22"/>
  <c r="D97" i="22"/>
  <c r="C97" i="22"/>
  <c r="B97" i="22"/>
  <c r="D96" i="22"/>
  <c r="C96" i="22"/>
  <c r="B96" i="22"/>
  <c r="D95" i="22"/>
  <c r="C95" i="22"/>
  <c r="B95" i="22"/>
  <c r="D94" i="22"/>
  <c r="C94" i="22"/>
  <c r="B94" i="22"/>
  <c r="D93" i="22"/>
  <c r="C93" i="22"/>
  <c r="B93" i="22"/>
  <c r="D92" i="22"/>
  <c r="C92" i="22"/>
  <c r="B92" i="22"/>
  <c r="D91" i="22"/>
  <c r="C91" i="22"/>
  <c r="B91" i="22"/>
  <c r="D90" i="22"/>
  <c r="C90" i="22"/>
  <c r="B90" i="22"/>
  <c r="D89" i="22"/>
  <c r="C89" i="22"/>
  <c r="B89" i="22"/>
  <c r="D88" i="22"/>
  <c r="C88" i="22"/>
  <c r="B88" i="22"/>
  <c r="D87" i="22"/>
  <c r="C87" i="22"/>
  <c r="B87" i="22"/>
  <c r="D86" i="22"/>
  <c r="C86" i="22"/>
  <c r="B86" i="22"/>
  <c r="D85" i="22"/>
  <c r="C85" i="22"/>
  <c r="B85" i="22"/>
  <c r="D84" i="22"/>
  <c r="C84" i="22"/>
  <c r="B84" i="22"/>
  <c r="D83" i="22"/>
  <c r="C83" i="22"/>
  <c r="B83" i="22"/>
  <c r="D82" i="22"/>
  <c r="C82" i="22"/>
  <c r="B82" i="22"/>
  <c r="D81" i="22"/>
  <c r="C81" i="22"/>
  <c r="B81" i="22"/>
  <c r="D80" i="22"/>
  <c r="C80" i="22"/>
  <c r="B80" i="22"/>
  <c r="D79" i="22"/>
  <c r="C79" i="22"/>
  <c r="B79" i="22"/>
  <c r="D78" i="22"/>
  <c r="C78" i="22"/>
  <c r="B78" i="22"/>
  <c r="D77" i="22"/>
  <c r="C77" i="22"/>
  <c r="B77" i="22"/>
  <c r="D76" i="22"/>
  <c r="C76" i="22"/>
  <c r="B76" i="22"/>
  <c r="D75" i="22"/>
  <c r="C75" i="22"/>
  <c r="B75" i="22"/>
  <c r="D74" i="22"/>
  <c r="C74" i="22"/>
  <c r="B74" i="22"/>
  <c r="D73" i="22"/>
  <c r="C73" i="22"/>
  <c r="B73" i="22"/>
  <c r="D72" i="22"/>
  <c r="C72" i="22"/>
  <c r="B72" i="22"/>
  <c r="D71" i="22"/>
  <c r="C71" i="22"/>
  <c r="B71" i="22"/>
  <c r="D70" i="22"/>
  <c r="C70" i="22"/>
  <c r="B70" i="22"/>
  <c r="D69" i="22"/>
  <c r="C69" i="22"/>
  <c r="B69" i="22"/>
  <c r="D68" i="22"/>
  <c r="C68" i="22"/>
  <c r="B68" i="22"/>
  <c r="D67" i="22"/>
  <c r="C67" i="22"/>
  <c r="B67" i="22"/>
  <c r="D66" i="22"/>
  <c r="C66" i="22"/>
  <c r="B66" i="22"/>
  <c r="D65" i="22"/>
  <c r="C65" i="22"/>
  <c r="B65" i="22"/>
  <c r="D64" i="22"/>
  <c r="C64" i="22"/>
  <c r="B64" i="22"/>
  <c r="D63" i="22"/>
  <c r="C63" i="22"/>
  <c r="B63" i="22"/>
  <c r="D62" i="22"/>
  <c r="C62" i="22"/>
  <c r="B62" i="22"/>
  <c r="D61" i="22"/>
  <c r="C61" i="22"/>
  <c r="B61" i="22"/>
  <c r="D60" i="22"/>
  <c r="C60" i="22"/>
  <c r="B60" i="22"/>
  <c r="D59" i="22"/>
  <c r="C59" i="22"/>
  <c r="B59" i="22"/>
  <c r="D58" i="22"/>
  <c r="C58" i="22"/>
  <c r="B58" i="22"/>
  <c r="D57" i="22"/>
  <c r="C57" i="22"/>
  <c r="B57" i="22"/>
  <c r="D56" i="22"/>
  <c r="C56" i="22"/>
  <c r="B56" i="22"/>
  <c r="D55" i="22"/>
  <c r="C55" i="22"/>
  <c r="B55" i="22"/>
  <c r="D54" i="22"/>
  <c r="C54" i="22"/>
  <c r="B54" i="22"/>
  <c r="D53" i="22"/>
  <c r="C53" i="22"/>
  <c r="B53" i="22"/>
  <c r="D52" i="22"/>
  <c r="C52" i="22"/>
  <c r="B52" i="22"/>
  <c r="D51" i="22"/>
  <c r="C51" i="22"/>
  <c r="B51" i="22"/>
  <c r="D50" i="22"/>
  <c r="C50" i="22"/>
  <c r="B50" i="22"/>
  <c r="D49" i="22"/>
  <c r="C49" i="22"/>
  <c r="B49" i="22"/>
  <c r="D48" i="22"/>
  <c r="C48" i="22"/>
  <c r="B48" i="22"/>
  <c r="D47" i="22"/>
  <c r="C47" i="22"/>
  <c r="B47" i="22"/>
  <c r="D46" i="22"/>
  <c r="C46" i="22"/>
  <c r="B46" i="22"/>
  <c r="D45" i="22"/>
  <c r="C45" i="22"/>
  <c r="B45" i="22"/>
  <c r="D44" i="22"/>
  <c r="C44" i="22"/>
  <c r="B44" i="22"/>
  <c r="D43" i="22"/>
  <c r="C43" i="22"/>
  <c r="B43" i="22"/>
  <c r="D42" i="22"/>
  <c r="C42" i="22"/>
  <c r="B42" i="22"/>
  <c r="D41" i="22"/>
  <c r="C41" i="22"/>
  <c r="B41" i="22"/>
  <c r="D40" i="22"/>
  <c r="C40" i="22"/>
  <c r="B40" i="22"/>
  <c r="D39" i="22"/>
  <c r="C39" i="22"/>
  <c r="B39" i="22"/>
  <c r="D38" i="22"/>
  <c r="C38" i="22"/>
  <c r="B38" i="22"/>
  <c r="D37" i="22"/>
  <c r="C37" i="22"/>
  <c r="B37" i="22"/>
  <c r="D36" i="22"/>
  <c r="C36" i="22"/>
  <c r="B36" i="22"/>
  <c r="N35" i="22"/>
  <c r="M35" i="22"/>
  <c r="L35" i="22"/>
  <c r="D35" i="22"/>
  <c r="C35" i="22"/>
  <c r="B35" i="22"/>
  <c r="N34" i="22"/>
  <c r="M34" i="22"/>
  <c r="L34" i="22"/>
  <c r="D34" i="22"/>
  <c r="C34" i="22"/>
  <c r="B34" i="22"/>
  <c r="N33" i="22"/>
  <c r="M33" i="22"/>
  <c r="L33" i="22"/>
  <c r="D33" i="22"/>
  <c r="C33" i="22"/>
  <c r="B33" i="22"/>
  <c r="N32" i="22"/>
  <c r="M32" i="22"/>
  <c r="L32" i="22"/>
  <c r="D32" i="22"/>
  <c r="C32" i="22"/>
  <c r="B32" i="22"/>
  <c r="N31" i="22"/>
  <c r="M31" i="22"/>
  <c r="L31" i="22"/>
  <c r="D31" i="22"/>
  <c r="C31" i="22"/>
  <c r="B31" i="22"/>
  <c r="N30" i="22"/>
  <c r="M30" i="22"/>
  <c r="L30" i="22"/>
  <c r="D30" i="22"/>
  <c r="C30" i="22"/>
  <c r="B30" i="22"/>
  <c r="N29" i="22"/>
  <c r="M29" i="22"/>
  <c r="L29" i="22"/>
  <c r="D29" i="22"/>
  <c r="C29" i="22"/>
  <c r="B29" i="22"/>
  <c r="N28" i="22"/>
  <c r="M28" i="22"/>
  <c r="L28" i="22"/>
  <c r="D28" i="22"/>
  <c r="C28" i="22"/>
  <c r="B28" i="22"/>
  <c r="N27" i="22"/>
  <c r="M27" i="22"/>
  <c r="L27" i="22"/>
  <c r="D27" i="22"/>
  <c r="C27" i="22"/>
  <c r="B27" i="22"/>
  <c r="N26" i="22"/>
  <c r="M26" i="22"/>
  <c r="L26" i="22"/>
  <c r="D26" i="22"/>
  <c r="C26" i="22"/>
  <c r="B26" i="22"/>
  <c r="N25" i="22"/>
  <c r="M25" i="22"/>
  <c r="L25" i="22"/>
  <c r="D25" i="22"/>
  <c r="C25" i="22"/>
  <c r="B25" i="22"/>
  <c r="N24" i="22"/>
  <c r="M24" i="22"/>
  <c r="L24" i="22"/>
  <c r="D24" i="22"/>
  <c r="C24" i="22"/>
  <c r="B24" i="22"/>
  <c r="N23" i="22"/>
  <c r="M23" i="22"/>
  <c r="L23" i="22"/>
  <c r="D23" i="22"/>
  <c r="C23" i="22"/>
  <c r="B23" i="22"/>
  <c r="N22" i="22"/>
  <c r="M22" i="22"/>
  <c r="L22" i="22"/>
  <c r="D22" i="22"/>
  <c r="C22" i="22"/>
  <c r="B22" i="22"/>
  <c r="N21" i="22"/>
  <c r="M21" i="22"/>
  <c r="L21" i="22"/>
  <c r="D21" i="22"/>
  <c r="C21" i="22"/>
  <c r="B21" i="22"/>
  <c r="N20" i="22"/>
  <c r="M20" i="22"/>
  <c r="L20" i="22"/>
  <c r="D20" i="22"/>
  <c r="C20" i="22"/>
  <c r="B20" i="22"/>
  <c r="N19" i="22"/>
  <c r="M19" i="22"/>
  <c r="L19" i="22"/>
  <c r="D19" i="22"/>
  <c r="C19" i="22"/>
  <c r="B19" i="22"/>
  <c r="N18" i="22"/>
  <c r="M18" i="22"/>
  <c r="L18" i="22"/>
  <c r="D18" i="22"/>
  <c r="C18" i="22"/>
  <c r="B18" i="22"/>
  <c r="S17" i="22"/>
  <c r="R17" i="22"/>
  <c r="Q17" i="22"/>
  <c r="N17" i="22"/>
  <c r="M17" i="22"/>
  <c r="L17" i="22"/>
  <c r="D17" i="22"/>
  <c r="C17" i="22"/>
  <c r="B17" i="22"/>
  <c r="S16" i="22"/>
  <c r="R16" i="22"/>
  <c r="Q16" i="22"/>
  <c r="N16" i="22"/>
  <c r="M16" i="22"/>
  <c r="L16" i="22"/>
  <c r="D16" i="22"/>
  <c r="C16" i="22"/>
  <c r="B16" i="22"/>
  <c r="S15" i="22"/>
  <c r="R15" i="22"/>
  <c r="Q15" i="22"/>
  <c r="N15" i="22"/>
  <c r="M15" i="22"/>
  <c r="L15" i="22"/>
  <c r="D15" i="22"/>
  <c r="C15" i="22"/>
  <c r="B15" i="22"/>
  <c r="S14" i="22"/>
  <c r="R14" i="22"/>
  <c r="Q14" i="22"/>
  <c r="N14" i="22"/>
  <c r="M14" i="22"/>
  <c r="L14" i="22"/>
  <c r="D14" i="22"/>
  <c r="C14" i="22"/>
  <c r="B14" i="22"/>
  <c r="S13" i="22"/>
  <c r="R13" i="22"/>
  <c r="Q13" i="22"/>
  <c r="N13" i="22"/>
  <c r="M13" i="22"/>
  <c r="L13" i="22"/>
  <c r="D13" i="22"/>
  <c r="C13" i="22"/>
  <c r="B13" i="22"/>
  <c r="S12" i="22"/>
  <c r="R12" i="22"/>
  <c r="Q12" i="22"/>
  <c r="N12" i="22"/>
  <c r="M12" i="22"/>
  <c r="L12" i="22"/>
  <c r="E12" i="22"/>
  <c r="D12" i="22"/>
  <c r="C12" i="22"/>
  <c r="B12" i="22"/>
  <c r="S11" i="22"/>
  <c r="R11" i="22"/>
  <c r="Q11" i="22"/>
  <c r="N11" i="22"/>
  <c r="M11" i="22"/>
  <c r="L11" i="22"/>
  <c r="I11" i="22"/>
  <c r="H11" i="22"/>
  <c r="G11" i="22"/>
  <c r="E11" i="22"/>
  <c r="D11" i="22"/>
  <c r="C11" i="22"/>
  <c r="B11" i="22"/>
  <c r="AC10" i="22"/>
  <c r="AB10" i="22"/>
  <c r="AA10" i="22"/>
  <c r="S10" i="22"/>
  <c r="R10" i="22"/>
  <c r="Q10" i="22"/>
  <c r="N10" i="22"/>
  <c r="M10" i="22"/>
  <c r="L10" i="22"/>
  <c r="I10" i="22"/>
  <c r="H10" i="22"/>
  <c r="G10" i="22"/>
  <c r="E10" i="22"/>
  <c r="D10" i="22"/>
  <c r="C10" i="22"/>
  <c r="B10" i="22"/>
  <c r="AH9" i="22"/>
  <c r="AG9" i="22"/>
  <c r="AF9" i="22"/>
  <c r="AC9" i="22"/>
  <c r="AB9" i="22"/>
  <c r="AA9" i="22"/>
  <c r="S9" i="22"/>
  <c r="R9" i="22"/>
  <c r="Q9" i="22"/>
  <c r="N9" i="22"/>
  <c r="M9" i="22"/>
  <c r="L9" i="22"/>
  <c r="I9" i="22"/>
  <c r="H9" i="22"/>
  <c r="G9" i="22"/>
  <c r="E9" i="22"/>
  <c r="D9" i="22"/>
  <c r="C9" i="22"/>
  <c r="B9" i="22"/>
  <c r="AH8" i="22"/>
  <c r="AG8" i="22"/>
  <c r="AF8" i="22"/>
  <c r="AC8" i="22"/>
  <c r="AB8" i="22"/>
  <c r="AA8" i="22"/>
  <c r="X8" i="22"/>
  <c r="W8" i="22"/>
  <c r="V8" i="22"/>
  <c r="S8" i="22"/>
  <c r="R8" i="22"/>
  <c r="Q8" i="22"/>
  <c r="N8" i="22"/>
  <c r="M8" i="22"/>
  <c r="L8" i="22"/>
  <c r="I8" i="22"/>
  <c r="H8" i="22"/>
  <c r="G8" i="22"/>
  <c r="E8" i="22"/>
  <c r="D8" i="22"/>
  <c r="C8" i="22"/>
  <c r="B8" i="22"/>
  <c r="AH7" i="22"/>
  <c r="AG7" i="22"/>
  <c r="AF7" i="22"/>
  <c r="AC7" i="22"/>
  <c r="AB7" i="22"/>
  <c r="AA7" i="22"/>
  <c r="X7" i="22"/>
  <c r="W7" i="22"/>
  <c r="V7" i="22"/>
  <c r="S7" i="22"/>
  <c r="R7" i="22"/>
  <c r="Q7" i="22"/>
  <c r="O7" i="22"/>
  <c r="N7" i="22"/>
  <c r="M7" i="22"/>
  <c r="L7" i="22"/>
  <c r="I7" i="22"/>
  <c r="H7" i="22"/>
  <c r="G7" i="22"/>
  <c r="E7" i="22"/>
  <c r="D7" i="22"/>
  <c r="C7" i="22"/>
  <c r="B7" i="22"/>
  <c r="AH6" i="22"/>
  <c r="AG6" i="22"/>
  <c r="AF6" i="22"/>
  <c r="AC6" i="22"/>
  <c r="AB6" i="22"/>
  <c r="AA6" i="22"/>
  <c r="X6" i="22"/>
  <c r="W6" i="22"/>
  <c r="V6" i="22"/>
  <c r="S6" i="22"/>
  <c r="R6" i="22"/>
  <c r="Q6" i="22"/>
  <c r="O6" i="22"/>
  <c r="N6" i="22"/>
  <c r="M6" i="22"/>
  <c r="L6" i="22"/>
  <c r="I6" i="22"/>
  <c r="H6" i="22"/>
  <c r="G6" i="22"/>
  <c r="E6" i="22"/>
  <c r="D6" i="22"/>
  <c r="C6" i="22"/>
  <c r="B6" i="22"/>
  <c r="AH5" i="22"/>
  <c r="AG5" i="22"/>
  <c r="AF5" i="22"/>
  <c r="AC5" i="22"/>
  <c r="AB5" i="22"/>
  <c r="AA5" i="22"/>
  <c r="X5" i="22"/>
  <c r="W5" i="22"/>
  <c r="V5" i="22"/>
  <c r="S5" i="22"/>
  <c r="R5" i="22"/>
  <c r="Q5" i="22"/>
  <c r="O5" i="22"/>
  <c r="N5" i="22"/>
  <c r="M5" i="22"/>
  <c r="L5" i="22"/>
  <c r="I5" i="22"/>
  <c r="H5" i="22"/>
  <c r="G5" i="22"/>
  <c r="E5" i="22"/>
  <c r="D5" i="22"/>
  <c r="C5" i="22"/>
  <c r="B5" i="22"/>
  <c r="AI4" i="22"/>
  <c r="AH4" i="22"/>
  <c r="AG4" i="22"/>
  <c r="AF4" i="22"/>
  <c r="AD4" i="22"/>
  <c r="AC4" i="22"/>
  <c r="AB4" i="22"/>
  <c r="AA4" i="22"/>
  <c r="Y4" i="22"/>
  <c r="X4" i="22"/>
  <c r="W4" i="22"/>
  <c r="V4" i="22"/>
  <c r="S4" i="22"/>
  <c r="R4" i="22"/>
  <c r="Q4" i="22"/>
  <c r="O4" i="22"/>
  <c r="N4" i="22"/>
  <c r="M4" i="22"/>
  <c r="L4" i="22"/>
  <c r="J4" i="22"/>
  <c r="I4" i="22"/>
  <c r="H4" i="22"/>
  <c r="G4" i="22"/>
  <c r="E4" i="22"/>
  <c r="D4" i="22"/>
  <c r="C4" i="22"/>
  <c r="B4" i="22"/>
  <c r="AI3" i="22"/>
  <c r="AH3" i="22"/>
  <c r="AG3" i="22"/>
  <c r="AF3" i="22"/>
  <c r="AD3" i="22"/>
  <c r="AC3" i="22"/>
  <c r="AB3" i="22"/>
  <c r="AA3" i="22"/>
  <c r="Y3" i="22"/>
  <c r="X3" i="22"/>
  <c r="W3" i="22"/>
  <c r="V3" i="22"/>
  <c r="T3" i="22"/>
  <c r="S3" i="22"/>
  <c r="R3" i="22"/>
  <c r="Q3" i="22"/>
  <c r="O3" i="22"/>
  <c r="N3" i="22"/>
  <c r="M3" i="22"/>
  <c r="L3" i="22"/>
  <c r="J3" i="22"/>
  <c r="I3" i="22"/>
  <c r="H3" i="22"/>
  <c r="G3" i="22"/>
  <c r="E3" i="22"/>
  <c r="D3" i="22"/>
  <c r="C3" i="22"/>
  <c r="B3" i="22"/>
  <c r="AF1" i="22"/>
  <c r="AA1" i="22"/>
  <c r="V1" i="22"/>
  <c r="Q1" i="22"/>
  <c r="L1" i="22"/>
  <c r="G1" i="22"/>
  <c r="D93" i="21"/>
  <c r="C93" i="21"/>
  <c r="B93" i="21"/>
  <c r="D92" i="21"/>
  <c r="C92" i="21"/>
  <c r="B92" i="21"/>
  <c r="D91" i="21"/>
  <c r="C91" i="21"/>
  <c r="B91" i="21"/>
  <c r="D90" i="21"/>
  <c r="C90" i="21"/>
  <c r="B90" i="21"/>
  <c r="D89" i="21"/>
  <c r="C89" i="21"/>
  <c r="B89" i="21"/>
  <c r="D88" i="21"/>
  <c r="C88" i="21"/>
  <c r="B88" i="21"/>
  <c r="D87" i="21"/>
  <c r="C87" i="21"/>
  <c r="B87" i="21"/>
  <c r="D86" i="21"/>
  <c r="C86" i="21"/>
  <c r="B86" i="21"/>
  <c r="D85" i="21"/>
  <c r="C85" i="21"/>
  <c r="B85" i="21"/>
  <c r="D84" i="21"/>
  <c r="C84" i="21"/>
  <c r="B84" i="21"/>
  <c r="D83" i="21"/>
  <c r="C83" i="21"/>
  <c r="B83" i="21"/>
  <c r="D82" i="21"/>
  <c r="C82" i="21"/>
  <c r="B82" i="21"/>
  <c r="D81" i="21"/>
  <c r="C81" i="21"/>
  <c r="B81" i="21"/>
  <c r="D80" i="21"/>
  <c r="C80" i="21"/>
  <c r="B80" i="21"/>
  <c r="D79" i="21"/>
  <c r="C79" i="21"/>
  <c r="B79" i="21"/>
  <c r="D78" i="21"/>
  <c r="C78" i="21"/>
  <c r="B78" i="21"/>
  <c r="D77" i="21"/>
  <c r="C77" i="21"/>
  <c r="B77" i="21"/>
  <c r="D76" i="21"/>
  <c r="C76" i="21"/>
  <c r="B76" i="21"/>
  <c r="D75" i="21"/>
  <c r="C75" i="21"/>
  <c r="B75" i="21"/>
  <c r="S74" i="21"/>
  <c r="R74" i="21"/>
  <c r="Q74" i="21"/>
  <c r="D74" i="21"/>
  <c r="C74" i="21"/>
  <c r="B74" i="21"/>
  <c r="S73" i="21"/>
  <c r="R73" i="21"/>
  <c r="Q73" i="21"/>
  <c r="D73" i="21"/>
  <c r="C73" i="21"/>
  <c r="B73" i="21"/>
  <c r="S72" i="21"/>
  <c r="R72" i="21"/>
  <c r="Q72" i="21"/>
  <c r="D72" i="21"/>
  <c r="C72" i="21"/>
  <c r="B72" i="21"/>
  <c r="S71" i="21"/>
  <c r="R71" i="21"/>
  <c r="Q71" i="21"/>
  <c r="D71" i="21"/>
  <c r="C71" i="21"/>
  <c r="B71" i="21"/>
  <c r="S70" i="21"/>
  <c r="R70" i="21"/>
  <c r="Q70" i="21"/>
  <c r="D70" i="21"/>
  <c r="C70" i="21"/>
  <c r="B70" i="21"/>
  <c r="S69" i="21"/>
  <c r="R69" i="21"/>
  <c r="Q69" i="21"/>
  <c r="D69" i="21"/>
  <c r="C69" i="21"/>
  <c r="B69" i="21"/>
  <c r="S68" i="21"/>
  <c r="R68" i="21"/>
  <c r="Q68" i="21"/>
  <c r="D68" i="21"/>
  <c r="C68" i="21"/>
  <c r="B68" i="21"/>
  <c r="S67" i="21"/>
  <c r="R67" i="21"/>
  <c r="Q67" i="21"/>
  <c r="D67" i="21"/>
  <c r="C67" i="21"/>
  <c r="B67" i="21"/>
  <c r="S66" i="21"/>
  <c r="R66" i="21"/>
  <c r="Q66" i="21"/>
  <c r="D66" i="21"/>
  <c r="C66" i="21"/>
  <c r="B66" i="21"/>
  <c r="S65" i="21"/>
  <c r="R65" i="21"/>
  <c r="Q65" i="21"/>
  <c r="D65" i="21"/>
  <c r="C65" i="21"/>
  <c r="B65" i="21"/>
  <c r="S64" i="21"/>
  <c r="R64" i="21"/>
  <c r="Q64" i="21"/>
  <c r="D64" i="21"/>
  <c r="C64" i="21"/>
  <c r="B64" i="21"/>
  <c r="S63" i="21"/>
  <c r="R63" i="21"/>
  <c r="Q63" i="21"/>
  <c r="D63" i="21"/>
  <c r="C63" i="21"/>
  <c r="B63" i="21"/>
  <c r="S62" i="21"/>
  <c r="R62" i="21"/>
  <c r="Q62" i="21"/>
  <c r="D62" i="21"/>
  <c r="C62" i="21"/>
  <c r="B62" i="21"/>
  <c r="S61" i="21"/>
  <c r="R61" i="21"/>
  <c r="Q61" i="21"/>
  <c r="D61" i="21"/>
  <c r="C61" i="21"/>
  <c r="B61" i="21"/>
  <c r="S60" i="21"/>
  <c r="R60" i="21"/>
  <c r="Q60" i="21"/>
  <c r="D60" i="21"/>
  <c r="C60" i="21"/>
  <c r="B60" i="21"/>
  <c r="S59" i="21"/>
  <c r="R59" i="21"/>
  <c r="Q59" i="21"/>
  <c r="N59" i="21"/>
  <c r="M59" i="21"/>
  <c r="L59" i="21"/>
  <c r="D59" i="21"/>
  <c r="C59" i="21"/>
  <c r="B59" i="21"/>
  <c r="S58" i="21"/>
  <c r="R58" i="21"/>
  <c r="Q58" i="21"/>
  <c r="N58" i="21"/>
  <c r="M58" i="21"/>
  <c r="L58" i="21"/>
  <c r="D58" i="21"/>
  <c r="C58" i="21"/>
  <c r="B58" i="21"/>
  <c r="S57" i="21"/>
  <c r="R57" i="21"/>
  <c r="Q57" i="21"/>
  <c r="N57" i="21"/>
  <c r="M57" i="21"/>
  <c r="L57" i="21"/>
  <c r="D57" i="21"/>
  <c r="C57" i="21"/>
  <c r="B57" i="21"/>
  <c r="S56" i="21"/>
  <c r="R56" i="21"/>
  <c r="Q56" i="21"/>
  <c r="N56" i="21"/>
  <c r="M56" i="21"/>
  <c r="L56" i="21"/>
  <c r="D56" i="21"/>
  <c r="C56" i="21"/>
  <c r="B56" i="21"/>
  <c r="S55" i="21"/>
  <c r="R55" i="21"/>
  <c r="Q55" i="21"/>
  <c r="N55" i="21"/>
  <c r="M55" i="21"/>
  <c r="L55" i="21"/>
  <c r="D55" i="21"/>
  <c r="C55" i="21"/>
  <c r="B55" i="21"/>
  <c r="S54" i="21"/>
  <c r="R54" i="21"/>
  <c r="Q54" i="21"/>
  <c r="N54" i="21"/>
  <c r="M54" i="21"/>
  <c r="L54" i="21"/>
  <c r="D54" i="21"/>
  <c r="C54" i="21"/>
  <c r="B54" i="21"/>
  <c r="S53" i="21"/>
  <c r="R53" i="21"/>
  <c r="Q53" i="21"/>
  <c r="N53" i="21"/>
  <c r="M53" i="21"/>
  <c r="L53" i="21"/>
  <c r="D53" i="21"/>
  <c r="C53" i="21"/>
  <c r="B53" i="21"/>
  <c r="S52" i="21"/>
  <c r="R52" i="21"/>
  <c r="Q52" i="21"/>
  <c r="N52" i="21"/>
  <c r="M52" i="21"/>
  <c r="L52" i="21"/>
  <c r="D52" i="21"/>
  <c r="C52" i="21"/>
  <c r="B52" i="21"/>
  <c r="S51" i="21"/>
  <c r="R51" i="21"/>
  <c r="Q51" i="21"/>
  <c r="N51" i="21"/>
  <c r="M51" i="21"/>
  <c r="L51" i="21"/>
  <c r="D51" i="21"/>
  <c r="C51" i="21"/>
  <c r="B51" i="21"/>
  <c r="S50" i="21"/>
  <c r="R50" i="21"/>
  <c r="Q50" i="21"/>
  <c r="N50" i="21"/>
  <c r="M50" i="21"/>
  <c r="L50" i="21"/>
  <c r="D50" i="21"/>
  <c r="C50" i="21"/>
  <c r="B50" i="21"/>
  <c r="S49" i="21"/>
  <c r="R49" i="21"/>
  <c r="Q49" i="21"/>
  <c r="N49" i="21"/>
  <c r="M49" i="21"/>
  <c r="L49" i="21"/>
  <c r="D49" i="21"/>
  <c r="C49" i="21"/>
  <c r="B49" i="21"/>
  <c r="S48" i="21"/>
  <c r="R48" i="21"/>
  <c r="Q48" i="21"/>
  <c r="N48" i="21"/>
  <c r="M48" i="21"/>
  <c r="L48" i="21"/>
  <c r="D48" i="21"/>
  <c r="C48" i="21"/>
  <c r="B48" i="21"/>
  <c r="S47" i="21"/>
  <c r="R47" i="21"/>
  <c r="Q47" i="21"/>
  <c r="N47" i="21"/>
  <c r="M47" i="21"/>
  <c r="L47" i="21"/>
  <c r="D47" i="21"/>
  <c r="C47" i="21"/>
  <c r="B47" i="21"/>
  <c r="S46" i="21"/>
  <c r="R46" i="21"/>
  <c r="Q46" i="21"/>
  <c r="N46" i="21"/>
  <c r="M46" i="21"/>
  <c r="L46" i="21"/>
  <c r="D46" i="21"/>
  <c r="C46" i="21"/>
  <c r="B46" i="21"/>
  <c r="S45" i="21"/>
  <c r="R45" i="21"/>
  <c r="Q45" i="21"/>
  <c r="N45" i="21"/>
  <c r="M45" i="21"/>
  <c r="L45" i="21"/>
  <c r="D45" i="21"/>
  <c r="C45" i="21"/>
  <c r="B45" i="21"/>
  <c r="S44" i="21"/>
  <c r="R44" i="21"/>
  <c r="Q44" i="21"/>
  <c r="N44" i="21"/>
  <c r="M44" i="21"/>
  <c r="L44" i="21"/>
  <c r="D44" i="21"/>
  <c r="C44" i="21"/>
  <c r="B44" i="21"/>
  <c r="S43" i="21"/>
  <c r="R43" i="21"/>
  <c r="Q43" i="21"/>
  <c r="N43" i="21"/>
  <c r="M43" i="21"/>
  <c r="L43" i="21"/>
  <c r="D43" i="21"/>
  <c r="C43" i="21"/>
  <c r="B43" i="21"/>
  <c r="S42" i="21"/>
  <c r="R42" i="21"/>
  <c r="Q42" i="21"/>
  <c r="N42" i="21"/>
  <c r="M42" i="21"/>
  <c r="L42" i="21"/>
  <c r="D42" i="21"/>
  <c r="C42" i="21"/>
  <c r="B42" i="21"/>
  <c r="S41" i="21"/>
  <c r="R41" i="21"/>
  <c r="Q41" i="21"/>
  <c r="N41" i="21"/>
  <c r="M41" i="21"/>
  <c r="L41" i="21"/>
  <c r="D41" i="21"/>
  <c r="C41" i="21"/>
  <c r="B41" i="21"/>
  <c r="S40" i="21"/>
  <c r="R40" i="21"/>
  <c r="Q40" i="21"/>
  <c r="N40" i="21"/>
  <c r="M40" i="21"/>
  <c r="L40" i="21"/>
  <c r="D40" i="21"/>
  <c r="C40" i="21"/>
  <c r="B40" i="21"/>
  <c r="S39" i="21"/>
  <c r="R39" i="21"/>
  <c r="Q39" i="21"/>
  <c r="N39" i="21"/>
  <c r="M39" i="21"/>
  <c r="L39" i="21"/>
  <c r="I39" i="21"/>
  <c r="H39" i="21"/>
  <c r="G39" i="21"/>
  <c r="D39" i="21"/>
  <c r="C39" i="21"/>
  <c r="B39" i="21"/>
  <c r="S38" i="21"/>
  <c r="R38" i="21"/>
  <c r="Q38" i="21"/>
  <c r="N38" i="21"/>
  <c r="M38" i="21"/>
  <c r="L38" i="21"/>
  <c r="I38" i="21"/>
  <c r="H38" i="21"/>
  <c r="G38" i="21"/>
  <c r="D38" i="21"/>
  <c r="C38" i="21"/>
  <c r="B38" i="21"/>
  <c r="S37" i="21"/>
  <c r="R37" i="21"/>
  <c r="Q37" i="21"/>
  <c r="N37" i="21"/>
  <c r="M37" i="21"/>
  <c r="L37" i="21"/>
  <c r="I37" i="21"/>
  <c r="H37" i="21"/>
  <c r="G37" i="21"/>
  <c r="D37" i="21"/>
  <c r="C37" i="21"/>
  <c r="B37" i="21"/>
  <c r="S36" i="21"/>
  <c r="R36" i="21"/>
  <c r="Q36" i="21"/>
  <c r="N36" i="21"/>
  <c r="M36" i="21"/>
  <c r="L36" i="21"/>
  <c r="I36" i="21"/>
  <c r="H36" i="21"/>
  <c r="G36" i="21"/>
  <c r="D36" i="21"/>
  <c r="C36" i="21"/>
  <c r="B36" i="21"/>
  <c r="S35" i="21"/>
  <c r="R35" i="21"/>
  <c r="Q35" i="21"/>
  <c r="N35" i="21"/>
  <c r="M35" i="21"/>
  <c r="L35" i="21"/>
  <c r="I35" i="21"/>
  <c r="H35" i="21"/>
  <c r="G35" i="21"/>
  <c r="D35" i="21"/>
  <c r="C35" i="21"/>
  <c r="B35" i="21"/>
  <c r="S34" i="21"/>
  <c r="R34" i="21"/>
  <c r="Q34" i="21"/>
  <c r="N34" i="21"/>
  <c r="M34" i="21"/>
  <c r="L34" i="21"/>
  <c r="I34" i="21"/>
  <c r="H34" i="21"/>
  <c r="G34" i="21"/>
  <c r="D34" i="21"/>
  <c r="C34" i="21"/>
  <c r="B34" i="21"/>
  <c r="S33" i="21"/>
  <c r="R33" i="21"/>
  <c r="Q33" i="21"/>
  <c r="N33" i="21"/>
  <c r="M33" i="21"/>
  <c r="L33" i="21"/>
  <c r="I33" i="21"/>
  <c r="H33" i="21"/>
  <c r="G33" i="21"/>
  <c r="D33" i="21"/>
  <c r="C33" i="21"/>
  <c r="B33" i="21"/>
  <c r="S32" i="21"/>
  <c r="R32" i="21"/>
  <c r="Q32" i="21"/>
  <c r="N32" i="21"/>
  <c r="M32" i="21"/>
  <c r="L32" i="21"/>
  <c r="I32" i="21"/>
  <c r="H32" i="21"/>
  <c r="G32" i="21"/>
  <c r="D32" i="21"/>
  <c r="C32" i="21"/>
  <c r="B32" i="21"/>
  <c r="S31" i="21"/>
  <c r="R31" i="21"/>
  <c r="Q31" i="21"/>
  <c r="N31" i="21"/>
  <c r="M31" i="21"/>
  <c r="L31" i="21"/>
  <c r="I31" i="21"/>
  <c r="H31" i="21"/>
  <c r="G31" i="21"/>
  <c r="D31" i="21"/>
  <c r="C31" i="21"/>
  <c r="B31" i="21"/>
  <c r="S30" i="21"/>
  <c r="R30" i="21"/>
  <c r="Q30" i="21"/>
  <c r="N30" i="21"/>
  <c r="M30" i="21"/>
  <c r="L30" i="21"/>
  <c r="I30" i="21"/>
  <c r="H30" i="21"/>
  <c r="G30" i="21"/>
  <c r="D30" i="21"/>
  <c r="C30" i="21"/>
  <c r="B30" i="21"/>
  <c r="S29" i="21"/>
  <c r="R29" i="21"/>
  <c r="Q29" i="21"/>
  <c r="N29" i="21"/>
  <c r="M29" i="21"/>
  <c r="L29" i="21"/>
  <c r="I29" i="21"/>
  <c r="H29" i="21"/>
  <c r="G29" i="21"/>
  <c r="D29" i="21"/>
  <c r="C29" i="21"/>
  <c r="B29" i="21"/>
  <c r="S28" i="21"/>
  <c r="R28" i="21"/>
  <c r="Q28" i="21"/>
  <c r="N28" i="21"/>
  <c r="M28" i="21"/>
  <c r="L28" i="21"/>
  <c r="I28" i="21"/>
  <c r="H28" i="21"/>
  <c r="G28" i="21"/>
  <c r="D28" i="21"/>
  <c r="C28" i="21"/>
  <c r="B28" i="21"/>
  <c r="S27" i="21"/>
  <c r="R27" i="21"/>
  <c r="Q27" i="21"/>
  <c r="N27" i="21"/>
  <c r="M27" i="21"/>
  <c r="L27" i="21"/>
  <c r="I27" i="21"/>
  <c r="H27" i="21"/>
  <c r="G27" i="21"/>
  <c r="D27" i="21"/>
  <c r="C27" i="21"/>
  <c r="B27" i="21"/>
  <c r="S26" i="21"/>
  <c r="R26" i="21"/>
  <c r="Q26" i="21"/>
  <c r="N26" i="21"/>
  <c r="M26" i="21"/>
  <c r="L26" i="21"/>
  <c r="I26" i="21"/>
  <c r="H26" i="21"/>
  <c r="G26" i="21"/>
  <c r="D26" i="21"/>
  <c r="C26" i="21"/>
  <c r="B26" i="21"/>
  <c r="S25" i="21"/>
  <c r="R25" i="21"/>
  <c r="Q25" i="21"/>
  <c r="N25" i="21"/>
  <c r="M25" i="21"/>
  <c r="L25" i="21"/>
  <c r="I25" i="21"/>
  <c r="H25" i="21"/>
  <c r="G25" i="21"/>
  <c r="D25" i="21"/>
  <c r="C25" i="21"/>
  <c r="B25" i="21"/>
  <c r="AH24" i="21"/>
  <c r="AG24" i="21"/>
  <c r="AF24" i="21"/>
  <c r="S24" i="21"/>
  <c r="R24" i="21"/>
  <c r="Q24" i="21"/>
  <c r="N24" i="21"/>
  <c r="M24" i="21"/>
  <c r="L24" i="21"/>
  <c r="I24" i="21"/>
  <c r="H24" i="21"/>
  <c r="G24" i="21"/>
  <c r="D24" i="21"/>
  <c r="C24" i="21"/>
  <c r="B24" i="21"/>
  <c r="AH23" i="21"/>
  <c r="AG23" i="21"/>
  <c r="AF23" i="21"/>
  <c r="S23" i="21"/>
  <c r="R23" i="21"/>
  <c r="Q23" i="21"/>
  <c r="N23" i="21"/>
  <c r="M23" i="21"/>
  <c r="L23" i="21"/>
  <c r="I23" i="21"/>
  <c r="H23" i="21"/>
  <c r="G23" i="21"/>
  <c r="D23" i="21"/>
  <c r="C23" i="21"/>
  <c r="B23" i="21"/>
  <c r="AH22" i="21"/>
  <c r="AG22" i="21"/>
  <c r="AF22" i="21"/>
  <c r="AC22" i="21"/>
  <c r="AB22" i="21"/>
  <c r="AA22" i="21"/>
  <c r="S22" i="21"/>
  <c r="R22" i="21"/>
  <c r="Q22" i="21"/>
  <c r="N22" i="21"/>
  <c r="M22" i="21"/>
  <c r="L22" i="21"/>
  <c r="I22" i="21"/>
  <c r="H22" i="21"/>
  <c r="G22" i="21"/>
  <c r="D22" i="21"/>
  <c r="C22" i="21"/>
  <c r="B22" i="21"/>
  <c r="AH21" i="21"/>
  <c r="AG21" i="21"/>
  <c r="AF21" i="21"/>
  <c r="AC21" i="21"/>
  <c r="AB21" i="21"/>
  <c r="AA21" i="21"/>
  <c r="S21" i="21"/>
  <c r="R21" i="21"/>
  <c r="Q21" i="21"/>
  <c r="N21" i="21"/>
  <c r="M21" i="21"/>
  <c r="L21" i="21"/>
  <c r="I21" i="21"/>
  <c r="H21" i="21"/>
  <c r="G21" i="21"/>
  <c r="D21" i="21"/>
  <c r="C21" i="21"/>
  <c r="B21" i="21"/>
  <c r="AH20" i="21"/>
  <c r="AG20" i="21"/>
  <c r="AF20" i="21"/>
  <c r="AC20" i="21"/>
  <c r="AB20" i="21"/>
  <c r="AA20" i="21"/>
  <c r="S20" i="21"/>
  <c r="R20" i="21"/>
  <c r="Q20" i="21"/>
  <c r="N20" i="21"/>
  <c r="M20" i="21"/>
  <c r="L20" i="21"/>
  <c r="I20" i="21"/>
  <c r="H20" i="21"/>
  <c r="G20" i="21"/>
  <c r="D20" i="21"/>
  <c r="C20" i="21"/>
  <c r="B20" i="21"/>
  <c r="AH19" i="21"/>
  <c r="AG19" i="21"/>
  <c r="AF19" i="21"/>
  <c r="AC19" i="21"/>
  <c r="AB19" i="21"/>
  <c r="AA19" i="21"/>
  <c r="S19" i="21"/>
  <c r="R19" i="21"/>
  <c r="Q19" i="21"/>
  <c r="N19" i="21"/>
  <c r="M19" i="21"/>
  <c r="L19" i="21"/>
  <c r="I19" i="21"/>
  <c r="H19" i="21"/>
  <c r="G19" i="21"/>
  <c r="E19" i="21"/>
  <c r="D19" i="21"/>
  <c r="C19" i="21"/>
  <c r="B19" i="21"/>
  <c r="AH18" i="21"/>
  <c r="AG18" i="21"/>
  <c r="AF18" i="21"/>
  <c r="AC18" i="21"/>
  <c r="AB18" i="21"/>
  <c r="AA18" i="21"/>
  <c r="S18" i="21"/>
  <c r="R18" i="21"/>
  <c r="Q18" i="21"/>
  <c r="N18" i="21"/>
  <c r="M18" i="21"/>
  <c r="L18" i="21"/>
  <c r="I18" i="21"/>
  <c r="H18" i="21"/>
  <c r="G18" i="21"/>
  <c r="E18" i="21"/>
  <c r="D18" i="21"/>
  <c r="C18" i="21"/>
  <c r="B18" i="21"/>
  <c r="AH17" i="21"/>
  <c r="AG17" i="21"/>
  <c r="AF17" i="21"/>
  <c r="AC17" i="21"/>
  <c r="AB17" i="21"/>
  <c r="AA17" i="21"/>
  <c r="S17" i="21"/>
  <c r="R17" i="21"/>
  <c r="Q17" i="21"/>
  <c r="N17" i="21"/>
  <c r="M17" i="21"/>
  <c r="L17" i="21"/>
  <c r="I17" i="21"/>
  <c r="H17" i="21"/>
  <c r="G17" i="21"/>
  <c r="E17" i="21"/>
  <c r="D17" i="21"/>
  <c r="C17" i="21"/>
  <c r="B17" i="21"/>
  <c r="AH16" i="21"/>
  <c r="AG16" i="21"/>
  <c r="AF16" i="21"/>
  <c r="AC16" i="21"/>
  <c r="AB16" i="21"/>
  <c r="AA16" i="21"/>
  <c r="S16" i="21"/>
  <c r="R16" i="21"/>
  <c r="Q16" i="21"/>
  <c r="N16" i="21"/>
  <c r="M16" i="21"/>
  <c r="L16" i="21"/>
  <c r="I16" i="21"/>
  <c r="H16" i="21"/>
  <c r="G16" i="21"/>
  <c r="E16" i="21"/>
  <c r="D16" i="21"/>
  <c r="C16" i="21"/>
  <c r="B16" i="21"/>
  <c r="AH15" i="21"/>
  <c r="AG15" i="21"/>
  <c r="AF15" i="21"/>
  <c r="AC15" i="21"/>
  <c r="AB15" i="21"/>
  <c r="AA15" i="21"/>
  <c r="S15" i="21"/>
  <c r="R15" i="21"/>
  <c r="Q15" i="21"/>
  <c r="N15" i="21"/>
  <c r="M15" i="21"/>
  <c r="L15" i="21"/>
  <c r="I15" i="21"/>
  <c r="H15" i="21"/>
  <c r="G15" i="21"/>
  <c r="E15" i="21"/>
  <c r="D15" i="21"/>
  <c r="C15" i="21"/>
  <c r="B15" i="21"/>
  <c r="AH14" i="21"/>
  <c r="AG14" i="21"/>
  <c r="AF14" i="21"/>
  <c r="AC14" i="21"/>
  <c r="AB14" i="21"/>
  <c r="AA14" i="21"/>
  <c r="S14" i="21"/>
  <c r="R14" i="21"/>
  <c r="Q14" i="21"/>
  <c r="N14" i="21"/>
  <c r="M14" i="21"/>
  <c r="L14" i="21"/>
  <c r="I14" i="21"/>
  <c r="H14" i="21"/>
  <c r="G14" i="21"/>
  <c r="E14" i="21"/>
  <c r="D14" i="21"/>
  <c r="C14" i="21"/>
  <c r="B14" i="21"/>
  <c r="AH13" i="21"/>
  <c r="AG13" i="21"/>
  <c r="AF13" i="21"/>
  <c r="AC13" i="21"/>
  <c r="AB13" i="21"/>
  <c r="AA13" i="21"/>
  <c r="S13" i="21"/>
  <c r="R13" i="21"/>
  <c r="Q13" i="21"/>
  <c r="N13" i="21"/>
  <c r="M13" i="21"/>
  <c r="L13" i="21"/>
  <c r="I13" i="21"/>
  <c r="H13" i="21"/>
  <c r="G13" i="21"/>
  <c r="E13" i="21"/>
  <c r="D13" i="21"/>
  <c r="C13" i="21"/>
  <c r="B13" i="21"/>
  <c r="AH12" i="21"/>
  <c r="AG12" i="21"/>
  <c r="AF12" i="21"/>
  <c r="AC12" i="21"/>
  <c r="AB12" i="21"/>
  <c r="AA12" i="21"/>
  <c r="X12" i="21"/>
  <c r="W12" i="21"/>
  <c r="V12" i="21"/>
  <c r="S12" i="21"/>
  <c r="R12" i="21"/>
  <c r="Q12" i="21"/>
  <c r="N12" i="21"/>
  <c r="M12" i="21"/>
  <c r="L12" i="21"/>
  <c r="I12" i="21"/>
  <c r="H12" i="21"/>
  <c r="G12" i="21"/>
  <c r="E12" i="21"/>
  <c r="D12" i="21"/>
  <c r="C12" i="21"/>
  <c r="B12" i="21"/>
  <c r="AH11" i="21"/>
  <c r="AG11" i="21"/>
  <c r="AF11" i="21"/>
  <c r="AC11" i="21"/>
  <c r="AB11" i="21"/>
  <c r="AA11" i="21"/>
  <c r="X11" i="21"/>
  <c r="W11" i="21"/>
  <c r="V11" i="21"/>
  <c r="S11" i="21"/>
  <c r="R11" i="21"/>
  <c r="Q11" i="21"/>
  <c r="O11" i="21"/>
  <c r="N11" i="21"/>
  <c r="M11" i="21"/>
  <c r="L11" i="21"/>
  <c r="I11" i="21"/>
  <c r="H11" i="21"/>
  <c r="G11" i="21"/>
  <c r="E11" i="21"/>
  <c r="D11" i="21"/>
  <c r="C11" i="21"/>
  <c r="B11" i="21"/>
  <c r="AH10" i="21"/>
  <c r="AG10" i="21"/>
  <c r="AF10" i="21"/>
  <c r="AC10" i="21"/>
  <c r="AB10" i="21"/>
  <c r="AA10" i="21"/>
  <c r="X10" i="21"/>
  <c r="W10" i="21"/>
  <c r="V10" i="21"/>
  <c r="S10" i="21"/>
  <c r="R10" i="21"/>
  <c r="Q10" i="21"/>
  <c r="O10" i="21"/>
  <c r="N10" i="21"/>
  <c r="M10" i="21"/>
  <c r="L10" i="21"/>
  <c r="I10" i="21"/>
  <c r="H10" i="21"/>
  <c r="G10" i="21"/>
  <c r="E10" i="21"/>
  <c r="D10" i="21"/>
  <c r="C10" i="21"/>
  <c r="B10" i="21"/>
  <c r="AH9" i="21"/>
  <c r="AG9" i="21"/>
  <c r="AF9" i="21"/>
  <c r="AC9" i="21"/>
  <c r="AB9" i="21"/>
  <c r="AA9" i="21"/>
  <c r="X9" i="21"/>
  <c r="W9" i="21"/>
  <c r="V9" i="21"/>
  <c r="S9" i="21"/>
  <c r="R9" i="21"/>
  <c r="Q9" i="21"/>
  <c r="O9" i="21"/>
  <c r="N9" i="21"/>
  <c r="M9" i="21"/>
  <c r="L9" i="21"/>
  <c r="I9" i="21"/>
  <c r="H9" i="21"/>
  <c r="G9" i="21"/>
  <c r="E9" i="21"/>
  <c r="D9" i="21"/>
  <c r="C9" i="21"/>
  <c r="B9" i="21"/>
  <c r="AH8" i="21"/>
  <c r="AG8" i="21"/>
  <c r="AF8" i="21"/>
  <c r="AC8" i="21"/>
  <c r="AB8" i="21"/>
  <c r="AA8" i="21"/>
  <c r="X8" i="21"/>
  <c r="W8" i="21"/>
  <c r="V8" i="21"/>
  <c r="S8" i="21"/>
  <c r="R8" i="21"/>
  <c r="Q8" i="21"/>
  <c r="O8" i="21"/>
  <c r="N8" i="21"/>
  <c r="M8" i="21"/>
  <c r="L8" i="21"/>
  <c r="J8" i="21"/>
  <c r="I8" i="21"/>
  <c r="H8" i="21"/>
  <c r="G8" i="21"/>
  <c r="E8" i="21"/>
  <c r="D8" i="21"/>
  <c r="C8" i="21"/>
  <c r="B8" i="21"/>
  <c r="AH7" i="21"/>
  <c r="AG7" i="21"/>
  <c r="AF7" i="21"/>
  <c r="AC7" i="21"/>
  <c r="AB7" i="21"/>
  <c r="AA7" i="21"/>
  <c r="X7" i="21"/>
  <c r="W7" i="21"/>
  <c r="V7" i="21"/>
  <c r="S7" i="21"/>
  <c r="R7" i="21"/>
  <c r="Q7" i="21"/>
  <c r="O7" i="21"/>
  <c r="N7" i="21"/>
  <c r="M7" i="21"/>
  <c r="L7" i="21"/>
  <c r="J7" i="21"/>
  <c r="I7" i="21"/>
  <c r="H7" i="21"/>
  <c r="G7" i="21"/>
  <c r="E7" i="21"/>
  <c r="D7" i="21"/>
  <c r="C7" i="21"/>
  <c r="B7" i="21"/>
  <c r="AH6" i="21"/>
  <c r="AG6" i="21"/>
  <c r="AF6" i="21"/>
  <c r="AC6" i="21"/>
  <c r="AB6" i="21"/>
  <c r="AA6" i="21"/>
  <c r="X6" i="21"/>
  <c r="W6" i="21"/>
  <c r="V6" i="21"/>
  <c r="T6" i="21"/>
  <c r="S6" i="21"/>
  <c r="R6" i="21"/>
  <c r="Q6" i="21"/>
  <c r="O6" i="21"/>
  <c r="N6" i="21"/>
  <c r="M6" i="21"/>
  <c r="L6" i="21"/>
  <c r="J6" i="21"/>
  <c r="I6" i="21"/>
  <c r="H6" i="21"/>
  <c r="G6" i="21"/>
  <c r="E6" i="21"/>
  <c r="D6" i="21"/>
  <c r="C6" i="21"/>
  <c r="B6" i="21"/>
  <c r="AH5" i="21"/>
  <c r="AG5" i="21"/>
  <c r="AF5" i="21"/>
  <c r="AC5" i="21"/>
  <c r="AB5" i="21"/>
  <c r="AA5" i="21"/>
  <c r="X5" i="21"/>
  <c r="W5" i="21"/>
  <c r="V5" i="21"/>
  <c r="T5" i="21"/>
  <c r="S5" i="21"/>
  <c r="R5" i="21"/>
  <c r="Q5" i="21"/>
  <c r="O5" i="21"/>
  <c r="N5" i="21"/>
  <c r="M5" i="21"/>
  <c r="L5" i="21"/>
  <c r="J5" i="21"/>
  <c r="I5" i="21"/>
  <c r="H5" i="21"/>
  <c r="G5" i="21"/>
  <c r="E5" i="21"/>
  <c r="D5" i="21"/>
  <c r="C5" i="21"/>
  <c r="B5" i="21"/>
  <c r="AI4" i="21"/>
  <c r="AH4" i="21"/>
  <c r="AG4" i="21"/>
  <c r="AF4" i="21"/>
  <c r="AD4" i="21"/>
  <c r="AC4" i="21"/>
  <c r="AB4" i="21"/>
  <c r="AA4" i="21"/>
  <c r="Y4" i="21"/>
  <c r="X4" i="21"/>
  <c r="W4" i="21"/>
  <c r="V4" i="21"/>
  <c r="T4" i="21"/>
  <c r="S4" i="21"/>
  <c r="R4" i="21"/>
  <c r="Q4" i="21"/>
  <c r="O4" i="21"/>
  <c r="N4" i="21"/>
  <c r="M4" i="21"/>
  <c r="L4" i="21"/>
  <c r="J4" i="21"/>
  <c r="I4" i="21"/>
  <c r="H4" i="21"/>
  <c r="G4" i="21"/>
  <c r="E4" i="21"/>
  <c r="D4" i="21"/>
  <c r="C4" i="21"/>
  <c r="B4" i="21"/>
  <c r="AI3" i="21"/>
  <c r="AH3" i="21"/>
  <c r="AG3" i="21"/>
  <c r="AF3" i="21"/>
  <c r="AD3" i="21"/>
  <c r="AC3" i="21"/>
  <c r="AB3" i="21"/>
  <c r="AA3" i="21"/>
  <c r="Y3" i="21"/>
  <c r="X3" i="21"/>
  <c r="W3" i="21"/>
  <c r="V3" i="21"/>
  <c r="T3" i="21"/>
  <c r="S3" i="21"/>
  <c r="R3" i="21"/>
  <c r="Q3" i="21"/>
  <c r="O3" i="21"/>
  <c r="N3" i="21"/>
  <c r="M3" i="21"/>
  <c r="L3" i="21"/>
  <c r="J3" i="21"/>
  <c r="I3" i="21"/>
  <c r="H3" i="21"/>
  <c r="G3" i="21"/>
  <c r="E3" i="21"/>
  <c r="D3" i="21"/>
  <c r="C3" i="21"/>
  <c r="B3" i="21"/>
  <c r="AF1" i="21"/>
  <c r="AA1" i="21"/>
  <c r="V1" i="21"/>
  <c r="Q1" i="21"/>
  <c r="L1" i="21"/>
  <c r="G1" i="21"/>
  <c r="D58" i="20"/>
  <c r="C58" i="20"/>
  <c r="B58" i="20"/>
  <c r="D57" i="20"/>
  <c r="C57" i="20"/>
  <c r="B57" i="20"/>
  <c r="D56" i="20"/>
  <c r="C56" i="20"/>
  <c r="B56" i="20"/>
  <c r="D55" i="20"/>
  <c r="C55" i="20"/>
  <c r="B55" i="20"/>
  <c r="D54" i="20"/>
  <c r="C54" i="20"/>
  <c r="B54" i="20"/>
  <c r="D53" i="20"/>
  <c r="C53" i="20"/>
  <c r="B53" i="20"/>
  <c r="D52" i="20"/>
  <c r="C52" i="20"/>
  <c r="B52" i="20"/>
  <c r="D51" i="20"/>
  <c r="C51" i="20"/>
  <c r="B51" i="20"/>
  <c r="D50" i="20"/>
  <c r="C50" i="20"/>
  <c r="B50" i="20"/>
  <c r="D49" i="20"/>
  <c r="C49" i="20"/>
  <c r="B49" i="20"/>
  <c r="D48" i="20"/>
  <c r="C48" i="20"/>
  <c r="B48" i="20"/>
  <c r="D47" i="20"/>
  <c r="C47" i="20"/>
  <c r="B47" i="20"/>
  <c r="D46" i="20"/>
  <c r="C46" i="20"/>
  <c r="B46" i="20"/>
  <c r="D45" i="20"/>
  <c r="C45" i="20"/>
  <c r="B45" i="20"/>
  <c r="D44" i="20"/>
  <c r="C44" i="20"/>
  <c r="B44" i="20"/>
  <c r="D43" i="20"/>
  <c r="C43" i="20"/>
  <c r="B43" i="20"/>
  <c r="D42" i="20"/>
  <c r="C42" i="20"/>
  <c r="B42" i="20"/>
  <c r="D41" i="20"/>
  <c r="C41" i="20"/>
  <c r="B41" i="20"/>
  <c r="D40" i="20"/>
  <c r="C40" i="20"/>
  <c r="B40" i="20"/>
  <c r="D39" i="20"/>
  <c r="C39" i="20"/>
  <c r="B39" i="20"/>
  <c r="D38" i="20"/>
  <c r="C38" i="20"/>
  <c r="B38" i="20"/>
  <c r="D37" i="20"/>
  <c r="C37" i="20"/>
  <c r="B37" i="20"/>
  <c r="D36" i="20"/>
  <c r="C36" i="20"/>
  <c r="B36" i="20"/>
  <c r="D35" i="20"/>
  <c r="C35" i="20"/>
  <c r="B35" i="20"/>
  <c r="D34" i="20"/>
  <c r="C34" i="20"/>
  <c r="B34" i="20"/>
  <c r="D33" i="20"/>
  <c r="C33" i="20"/>
  <c r="B33" i="20"/>
  <c r="N32" i="20"/>
  <c r="M32" i="20"/>
  <c r="L32" i="20"/>
  <c r="D32" i="20"/>
  <c r="C32" i="20"/>
  <c r="B32" i="20"/>
  <c r="N31" i="20"/>
  <c r="M31" i="20"/>
  <c r="L31" i="20"/>
  <c r="D31" i="20"/>
  <c r="C31" i="20"/>
  <c r="B31" i="20"/>
  <c r="N30" i="20"/>
  <c r="M30" i="20"/>
  <c r="L30" i="20"/>
  <c r="D30" i="20"/>
  <c r="C30" i="20"/>
  <c r="B30" i="20"/>
  <c r="N29" i="20"/>
  <c r="M29" i="20"/>
  <c r="L29" i="20"/>
  <c r="D29" i="20"/>
  <c r="C29" i="20"/>
  <c r="B29" i="20"/>
  <c r="N28" i="20"/>
  <c r="M28" i="20"/>
  <c r="L28" i="20"/>
  <c r="D28" i="20"/>
  <c r="C28" i="20"/>
  <c r="B28" i="20"/>
  <c r="N27" i="20"/>
  <c r="M27" i="20"/>
  <c r="L27" i="20"/>
  <c r="D27" i="20"/>
  <c r="C27" i="20"/>
  <c r="B27" i="20"/>
  <c r="N26" i="20"/>
  <c r="M26" i="20"/>
  <c r="L26" i="20"/>
  <c r="D26" i="20"/>
  <c r="C26" i="20"/>
  <c r="B26" i="20"/>
  <c r="N25" i="20"/>
  <c r="M25" i="20"/>
  <c r="L25" i="20"/>
  <c r="D25" i="20"/>
  <c r="C25" i="20"/>
  <c r="B25" i="20"/>
  <c r="N24" i="20"/>
  <c r="M24" i="20"/>
  <c r="L24" i="20"/>
  <c r="D24" i="20"/>
  <c r="C24" i="20"/>
  <c r="B24" i="20"/>
  <c r="AC23" i="20"/>
  <c r="AB23" i="20"/>
  <c r="AA23" i="20"/>
  <c r="S23" i="20"/>
  <c r="R23" i="20"/>
  <c r="Q23" i="20"/>
  <c r="N23" i="20"/>
  <c r="M23" i="20"/>
  <c r="L23" i="20"/>
  <c r="D23" i="20"/>
  <c r="C23" i="20"/>
  <c r="B23" i="20"/>
  <c r="AC22" i="20"/>
  <c r="AB22" i="20"/>
  <c r="AA22" i="20"/>
  <c r="S22" i="20"/>
  <c r="R22" i="20"/>
  <c r="Q22" i="20"/>
  <c r="N22" i="20"/>
  <c r="M22" i="20"/>
  <c r="L22" i="20"/>
  <c r="D22" i="20"/>
  <c r="C22" i="20"/>
  <c r="B22" i="20"/>
  <c r="AC21" i="20"/>
  <c r="AB21" i="20"/>
  <c r="AA21" i="20"/>
  <c r="S21" i="20"/>
  <c r="R21" i="20"/>
  <c r="Q21" i="20"/>
  <c r="N21" i="20"/>
  <c r="M21" i="20"/>
  <c r="L21" i="20"/>
  <c r="D21" i="20"/>
  <c r="C21" i="20"/>
  <c r="B21" i="20"/>
  <c r="AC20" i="20"/>
  <c r="AB20" i="20"/>
  <c r="AA20" i="20"/>
  <c r="S20" i="20"/>
  <c r="R20" i="20"/>
  <c r="Q20" i="20"/>
  <c r="N20" i="20"/>
  <c r="M20" i="20"/>
  <c r="L20" i="20"/>
  <c r="D20" i="20"/>
  <c r="C20" i="20"/>
  <c r="B20" i="20"/>
  <c r="AH19" i="20"/>
  <c r="AG19" i="20"/>
  <c r="AF19" i="20"/>
  <c r="AC19" i="20"/>
  <c r="AB19" i="20"/>
  <c r="AA19" i="20"/>
  <c r="S19" i="20"/>
  <c r="R19" i="20"/>
  <c r="Q19" i="20"/>
  <c r="N19" i="20"/>
  <c r="M19" i="20"/>
  <c r="L19" i="20"/>
  <c r="I19" i="20"/>
  <c r="H19" i="20"/>
  <c r="G19" i="20"/>
  <c r="D19" i="20"/>
  <c r="C19" i="20"/>
  <c r="B19" i="20"/>
  <c r="AH18" i="20"/>
  <c r="AG18" i="20"/>
  <c r="AF18" i="20"/>
  <c r="AC18" i="20"/>
  <c r="AB18" i="20"/>
  <c r="AA18" i="20"/>
  <c r="S18" i="20"/>
  <c r="R18" i="20"/>
  <c r="Q18" i="20"/>
  <c r="N18" i="20"/>
  <c r="M18" i="20"/>
  <c r="L18" i="20"/>
  <c r="I18" i="20"/>
  <c r="H18" i="20"/>
  <c r="G18" i="20"/>
  <c r="D18" i="20"/>
  <c r="C18" i="20"/>
  <c r="B18" i="20"/>
  <c r="AH17" i="20"/>
  <c r="AG17" i="20"/>
  <c r="AF17" i="20"/>
  <c r="AC17" i="20"/>
  <c r="AB17" i="20"/>
  <c r="AA17" i="20"/>
  <c r="S17" i="20"/>
  <c r="R17" i="20"/>
  <c r="Q17" i="20"/>
  <c r="N17" i="20"/>
  <c r="M17" i="20"/>
  <c r="L17" i="20"/>
  <c r="I17" i="20"/>
  <c r="H17" i="20"/>
  <c r="G17" i="20"/>
  <c r="D17" i="20"/>
  <c r="C17" i="20"/>
  <c r="B17" i="20"/>
  <c r="AH16" i="20"/>
  <c r="AG16" i="20"/>
  <c r="AF16" i="20"/>
  <c r="AC16" i="20"/>
  <c r="AB16" i="20"/>
  <c r="AA16" i="20"/>
  <c r="S16" i="20"/>
  <c r="R16" i="20"/>
  <c r="Q16" i="20"/>
  <c r="N16" i="20"/>
  <c r="M16" i="20"/>
  <c r="L16" i="20"/>
  <c r="I16" i="20"/>
  <c r="H16" i="20"/>
  <c r="G16" i="20"/>
  <c r="D16" i="20"/>
  <c r="C16" i="20"/>
  <c r="B16" i="20"/>
  <c r="AH15" i="20"/>
  <c r="AG15" i="20"/>
  <c r="AF15" i="20"/>
  <c r="AC15" i="20"/>
  <c r="AB15" i="20"/>
  <c r="AA15" i="20"/>
  <c r="S15" i="20"/>
  <c r="R15" i="20"/>
  <c r="Q15" i="20"/>
  <c r="N15" i="20"/>
  <c r="M15" i="20"/>
  <c r="L15" i="20"/>
  <c r="I15" i="20"/>
  <c r="H15" i="20"/>
  <c r="G15" i="20"/>
  <c r="D15" i="20"/>
  <c r="C15" i="20"/>
  <c r="B15" i="20"/>
  <c r="AH14" i="20"/>
  <c r="AG14" i="20"/>
  <c r="AF14" i="20"/>
  <c r="AC14" i="20"/>
  <c r="AB14" i="20"/>
  <c r="AA14" i="20"/>
  <c r="S14" i="20"/>
  <c r="R14" i="20"/>
  <c r="Q14" i="20"/>
  <c r="N14" i="20"/>
  <c r="M14" i="20"/>
  <c r="L14" i="20"/>
  <c r="I14" i="20"/>
  <c r="H14" i="20"/>
  <c r="G14" i="20"/>
  <c r="D14" i="20"/>
  <c r="C14" i="20"/>
  <c r="B14" i="20"/>
  <c r="AH13" i="20"/>
  <c r="AG13" i="20"/>
  <c r="AF13" i="20"/>
  <c r="AC13" i="20"/>
  <c r="AB13" i="20"/>
  <c r="AA13" i="20"/>
  <c r="S13" i="20"/>
  <c r="R13" i="20"/>
  <c r="Q13" i="20"/>
  <c r="N13" i="20"/>
  <c r="M13" i="20"/>
  <c r="L13" i="20"/>
  <c r="I13" i="20"/>
  <c r="H13" i="20"/>
  <c r="G13" i="20"/>
  <c r="D13" i="20"/>
  <c r="C13" i="20"/>
  <c r="B13" i="20"/>
  <c r="AH12" i="20"/>
  <c r="AG12" i="20"/>
  <c r="AF12" i="20"/>
  <c r="AC12" i="20"/>
  <c r="AB12" i="20"/>
  <c r="AA12" i="20"/>
  <c r="S12" i="20"/>
  <c r="R12" i="20"/>
  <c r="Q12" i="20"/>
  <c r="N12" i="20"/>
  <c r="M12" i="20"/>
  <c r="L12" i="20"/>
  <c r="I12" i="20"/>
  <c r="H12" i="20"/>
  <c r="G12" i="20"/>
  <c r="D12" i="20"/>
  <c r="C12" i="20"/>
  <c r="B12" i="20"/>
  <c r="AH11" i="20"/>
  <c r="AG11" i="20"/>
  <c r="AF11" i="20"/>
  <c r="AC11" i="20"/>
  <c r="AB11" i="20"/>
  <c r="AA11" i="20"/>
  <c r="S11" i="20"/>
  <c r="R11" i="20"/>
  <c r="Q11" i="20"/>
  <c r="N11" i="20"/>
  <c r="M11" i="20"/>
  <c r="L11" i="20"/>
  <c r="I11" i="20"/>
  <c r="H11" i="20"/>
  <c r="G11" i="20"/>
  <c r="D11" i="20"/>
  <c r="C11" i="20"/>
  <c r="B11" i="20"/>
  <c r="AH10" i="20"/>
  <c r="AG10" i="20"/>
  <c r="AF10" i="20"/>
  <c r="AC10" i="20"/>
  <c r="AB10" i="20"/>
  <c r="AA10" i="20"/>
  <c r="S10" i="20"/>
  <c r="R10" i="20"/>
  <c r="Q10" i="20"/>
  <c r="N10" i="20"/>
  <c r="M10" i="20"/>
  <c r="L10" i="20"/>
  <c r="I10" i="20"/>
  <c r="H10" i="20"/>
  <c r="G10" i="20"/>
  <c r="D10" i="20"/>
  <c r="C10" i="20"/>
  <c r="B10" i="20"/>
  <c r="AH9" i="20"/>
  <c r="AG9" i="20"/>
  <c r="AF9" i="20"/>
  <c r="AC9" i="20"/>
  <c r="AB9" i="20"/>
  <c r="AA9" i="20"/>
  <c r="X9" i="20"/>
  <c r="W9" i="20"/>
  <c r="V9" i="20"/>
  <c r="S9" i="20"/>
  <c r="R9" i="20"/>
  <c r="Q9" i="20"/>
  <c r="N9" i="20"/>
  <c r="M9" i="20"/>
  <c r="L9" i="20"/>
  <c r="I9" i="20"/>
  <c r="H9" i="20"/>
  <c r="G9" i="20"/>
  <c r="D9" i="20"/>
  <c r="C9" i="20"/>
  <c r="B9" i="20"/>
  <c r="AH8" i="20"/>
  <c r="AG8" i="20"/>
  <c r="AF8" i="20"/>
  <c r="AC8" i="20"/>
  <c r="AB8" i="20"/>
  <c r="AA8" i="20"/>
  <c r="X8" i="20"/>
  <c r="W8" i="20"/>
  <c r="V8" i="20"/>
  <c r="S8" i="20"/>
  <c r="R8" i="20"/>
  <c r="Q8" i="20"/>
  <c r="N8" i="20"/>
  <c r="M8" i="20"/>
  <c r="L8" i="20"/>
  <c r="I8" i="20"/>
  <c r="H8" i="20"/>
  <c r="G8" i="20"/>
  <c r="D8" i="20"/>
  <c r="C8" i="20"/>
  <c r="B8" i="20"/>
  <c r="AH7" i="20"/>
  <c r="AG7" i="20"/>
  <c r="AF7" i="20"/>
  <c r="AC7" i="20"/>
  <c r="AB7" i="20"/>
  <c r="AA7" i="20"/>
  <c r="X7" i="20"/>
  <c r="W7" i="20"/>
  <c r="V7" i="20"/>
  <c r="S7" i="20"/>
  <c r="R7" i="20"/>
  <c r="Q7" i="20"/>
  <c r="N7" i="20"/>
  <c r="M7" i="20"/>
  <c r="L7" i="20"/>
  <c r="I7" i="20"/>
  <c r="H7" i="20"/>
  <c r="G7" i="20"/>
  <c r="E7" i="20"/>
  <c r="D7" i="20"/>
  <c r="C7" i="20"/>
  <c r="B7" i="20"/>
  <c r="AH6" i="20"/>
  <c r="AG6" i="20"/>
  <c r="AF6" i="20"/>
  <c r="AC6" i="20"/>
  <c r="AB6" i="20"/>
  <c r="AA6" i="20"/>
  <c r="X6" i="20"/>
  <c r="W6" i="20"/>
  <c r="V6" i="20"/>
  <c r="S6" i="20"/>
  <c r="R6" i="20"/>
  <c r="Q6" i="20"/>
  <c r="N6" i="20"/>
  <c r="M6" i="20"/>
  <c r="L6" i="20"/>
  <c r="I6" i="20"/>
  <c r="H6" i="20"/>
  <c r="G6" i="20"/>
  <c r="E6" i="20"/>
  <c r="D6" i="20"/>
  <c r="C6" i="20"/>
  <c r="B6" i="20"/>
  <c r="AH5" i="20"/>
  <c r="AG5" i="20"/>
  <c r="AF5" i="20"/>
  <c r="AC5" i="20"/>
  <c r="AB5" i="20"/>
  <c r="AA5" i="20"/>
  <c r="X5" i="20"/>
  <c r="W5" i="20"/>
  <c r="V5" i="20"/>
  <c r="T5" i="20"/>
  <c r="S5" i="20"/>
  <c r="R5" i="20"/>
  <c r="Q5" i="20"/>
  <c r="N5" i="20"/>
  <c r="M5" i="20"/>
  <c r="L5" i="20"/>
  <c r="I5" i="20"/>
  <c r="H5" i="20"/>
  <c r="G5" i="20"/>
  <c r="E5" i="20"/>
  <c r="D5" i="20"/>
  <c r="C5" i="20"/>
  <c r="B5" i="20"/>
  <c r="AI4" i="20"/>
  <c r="AH4" i="20"/>
  <c r="AG4" i="20"/>
  <c r="AF4" i="20"/>
  <c r="AD4" i="20"/>
  <c r="AC4" i="20"/>
  <c r="AB4" i="20"/>
  <c r="AA4" i="20"/>
  <c r="Y4" i="20"/>
  <c r="X4" i="20"/>
  <c r="W4" i="20"/>
  <c r="V4" i="20"/>
  <c r="S4" i="20"/>
  <c r="R4" i="20"/>
  <c r="Q4" i="20"/>
  <c r="O4" i="20"/>
  <c r="N4" i="20"/>
  <c r="M4" i="20"/>
  <c r="L4" i="20"/>
  <c r="J4" i="20"/>
  <c r="I4" i="20"/>
  <c r="H4" i="20"/>
  <c r="G4" i="20"/>
  <c r="E4" i="20"/>
  <c r="D4" i="20"/>
  <c r="C4" i="20"/>
  <c r="B4" i="20"/>
  <c r="AI3" i="20"/>
  <c r="AH3" i="20"/>
  <c r="AG3" i="20"/>
  <c r="AF3" i="20"/>
  <c r="AD3" i="20"/>
  <c r="AC3" i="20"/>
  <c r="AB3" i="20"/>
  <c r="AA3" i="20"/>
  <c r="Y3" i="20"/>
  <c r="X3" i="20"/>
  <c r="W3" i="20"/>
  <c r="V3" i="20"/>
  <c r="T3" i="20"/>
  <c r="S3" i="20"/>
  <c r="R3" i="20"/>
  <c r="Q3" i="20"/>
  <c r="O3" i="20"/>
  <c r="N3" i="20"/>
  <c r="M3" i="20"/>
  <c r="L3" i="20"/>
  <c r="J3" i="20"/>
  <c r="I3" i="20"/>
  <c r="H3" i="20"/>
  <c r="G3" i="20"/>
  <c r="E3" i="20"/>
  <c r="D3" i="20"/>
  <c r="C3" i="20"/>
  <c r="B3" i="20"/>
  <c r="AF1" i="20"/>
  <c r="AA1" i="20"/>
  <c r="V1" i="20"/>
  <c r="Q1" i="20"/>
  <c r="L1" i="20"/>
  <c r="G1" i="20"/>
  <c r="D54" i="19"/>
  <c r="C54" i="19"/>
  <c r="B54" i="19"/>
  <c r="D53" i="19"/>
  <c r="C53" i="19"/>
  <c r="B53" i="19"/>
  <c r="D52" i="19"/>
  <c r="C52" i="19"/>
  <c r="B52" i="19"/>
  <c r="D51" i="19"/>
  <c r="C51" i="19"/>
  <c r="B51" i="19"/>
  <c r="D50" i="19"/>
  <c r="C50" i="19"/>
  <c r="B50" i="19"/>
  <c r="D49" i="19"/>
  <c r="C49" i="19"/>
  <c r="B49" i="19"/>
  <c r="D48" i="19"/>
  <c r="C48" i="19"/>
  <c r="B48" i="19"/>
  <c r="D47" i="19"/>
  <c r="C47" i="19"/>
  <c r="B47" i="19"/>
  <c r="D46" i="19"/>
  <c r="C46" i="19"/>
  <c r="B46" i="19"/>
  <c r="D45" i="19"/>
  <c r="C45" i="19"/>
  <c r="B45" i="19"/>
  <c r="D44" i="19"/>
  <c r="C44" i="19"/>
  <c r="B44" i="19"/>
  <c r="D43" i="19"/>
  <c r="C43" i="19"/>
  <c r="B43" i="19"/>
  <c r="D42" i="19"/>
  <c r="C42" i="19"/>
  <c r="B42" i="19"/>
  <c r="D41" i="19"/>
  <c r="C41" i="19"/>
  <c r="B41" i="19"/>
  <c r="D40" i="19"/>
  <c r="C40" i="19"/>
  <c r="B40" i="19"/>
  <c r="D39" i="19"/>
  <c r="C39" i="19"/>
  <c r="B39" i="19"/>
  <c r="D38" i="19"/>
  <c r="C38" i="19"/>
  <c r="B38" i="19"/>
  <c r="D37" i="19"/>
  <c r="C37" i="19"/>
  <c r="B37" i="19"/>
  <c r="D36" i="19"/>
  <c r="C36" i="19"/>
  <c r="B36" i="19"/>
  <c r="D35" i="19"/>
  <c r="C35" i="19"/>
  <c r="B35" i="19"/>
  <c r="D34" i="19"/>
  <c r="C34" i="19"/>
  <c r="B34" i="19"/>
  <c r="D33" i="19"/>
  <c r="C33" i="19"/>
  <c r="B33" i="19"/>
  <c r="D32" i="19"/>
  <c r="C32" i="19"/>
  <c r="B32" i="19"/>
  <c r="D31" i="19"/>
  <c r="C31" i="19"/>
  <c r="B31" i="19"/>
  <c r="D30" i="19"/>
  <c r="C30" i="19"/>
  <c r="B30" i="19"/>
  <c r="D29" i="19"/>
  <c r="C29" i="19"/>
  <c r="B29" i="19"/>
  <c r="D28" i="19"/>
  <c r="C28" i="19"/>
  <c r="B28" i="19"/>
  <c r="I27" i="19"/>
  <c r="H27" i="19"/>
  <c r="G27" i="19"/>
  <c r="D27" i="19"/>
  <c r="C27" i="19"/>
  <c r="B27" i="19"/>
  <c r="N26" i="19"/>
  <c r="M26" i="19"/>
  <c r="L26" i="19"/>
  <c r="I26" i="19"/>
  <c r="H26" i="19"/>
  <c r="G26" i="19"/>
  <c r="D26" i="19"/>
  <c r="C26" i="19"/>
  <c r="B26" i="19"/>
  <c r="N25" i="19"/>
  <c r="M25" i="19"/>
  <c r="L25" i="19"/>
  <c r="I25" i="19"/>
  <c r="H25" i="19"/>
  <c r="G25" i="19"/>
  <c r="D25" i="19"/>
  <c r="C25" i="19"/>
  <c r="B25" i="19"/>
  <c r="AH24" i="19"/>
  <c r="AG24" i="19"/>
  <c r="AF24" i="19"/>
  <c r="N24" i="19"/>
  <c r="M24" i="19"/>
  <c r="L24" i="19"/>
  <c r="I24" i="19"/>
  <c r="H24" i="19"/>
  <c r="G24" i="19"/>
  <c r="D24" i="19"/>
  <c r="C24" i="19"/>
  <c r="B24" i="19"/>
  <c r="AH23" i="19"/>
  <c r="AG23" i="19"/>
  <c r="AF23" i="19"/>
  <c r="S23" i="19"/>
  <c r="R23" i="19"/>
  <c r="Q23" i="19"/>
  <c r="N23" i="19"/>
  <c r="M23" i="19"/>
  <c r="L23" i="19"/>
  <c r="I23" i="19"/>
  <c r="H23" i="19"/>
  <c r="G23" i="19"/>
  <c r="D23" i="19"/>
  <c r="C23" i="19"/>
  <c r="B23" i="19"/>
  <c r="AH22" i="19"/>
  <c r="AG22" i="19"/>
  <c r="AF22" i="19"/>
  <c r="S22" i="19"/>
  <c r="R22" i="19"/>
  <c r="Q22" i="19"/>
  <c r="N22" i="19"/>
  <c r="M22" i="19"/>
  <c r="L22" i="19"/>
  <c r="I22" i="19"/>
  <c r="H22" i="19"/>
  <c r="G22" i="19"/>
  <c r="D22" i="19"/>
  <c r="C22" i="19"/>
  <c r="B22" i="19"/>
  <c r="AH21" i="19"/>
  <c r="AG21" i="19"/>
  <c r="AF21" i="19"/>
  <c r="S21" i="19"/>
  <c r="R21" i="19"/>
  <c r="Q21" i="19"/>
  <c r="N21" i="19"/>
  <c r="M21" i="19"/>
  <c r="L21" i="19"/>
  <c r="I21" i="19"/>
  <c r="H21" i="19"/>
  <c r="G21" i="19"/>
  <c r="D21" i="19"/>
  <c r="C21" i="19"/>
  <c r="B21" i="19"/>
  <c r="AH20" i="19"/>
  <c r="AG20" i="19"/>
  <c r="AF20" i="19"/>
  <c r="S20" i="19"/>
  <c r="R20" i="19"/>
  <c r="Q20" i="19"/>
  <c r="N20" i="19"/>
  <c r="M20" i="19"/>
  <c r="L20" i="19"/>
  <c r="I20" i="19"/>
  <c r="H20" i="19"/>
  <c r="G20" i="19"/>
  <c r="D20" i="19"/>
  <c r="C20" i="19"/>
  <c r="B20" i="19"/>
  <c r="AH19" i="19"/>
  <c r="AG19" i="19"/>
  <c r="AF19" i="19"/>
  <c r="S19" i="19"/>
  <c r="R19" i="19"/>
  <c r="Q19" i="19"/>
  <c r="N19" i="19"/>
  <c r="M19" i="19"/>
  <c r="L19" i="19"/>
  <c r="I19" i="19"/>
  <c r="H19" i="19"/>
  <c r="G19" i="19"/>
  <c r="D19" i="19"/>
  <c r="C19" i="19"/>
  <c r="B19" i="19"/>
  <c r="AH18" i="19"/>
  <c r="AG18" i="19"/>
  <c r="AF18" i="19"/>
  <c r="AC18" i="19"/>
  <c r="AB18" i="19"/>
  <c r="AA18" i="19"/>
  <c r="S18" i="19"/>
  <c r="R18" i="19"/>
  <c r="Q18" i="19"/>
  <c r="N18" i="19"/>
  <c r="M18" i="19"/>
  <c r="L18" i="19"/>
  <c r="I18" i="19"/>
  <c r="H18" i="19"/>
  <c r="G18" i="19"/>
  <c r="D18" i="19"/>
  <c r="C18" i="19"/>
  <c r="B18" i="19"/>
  <c r="AH17" i="19"/>
  <c r="AG17" i="19"/>
  <c r="AF17" i="19"/>
  <c r="AC17" i="19"/>
  <c r="AB17" i="19"/>
  <c r="AA17" i="19"/>
  <c r="S17" i="19"/>
  <c r="R17" i="19"/>
  <c r="Q17" i="19"/>
  <c r="N17" i="19"/>
  <c r="M17" i="19"/>
  <c r="L17" i="19"/>
  <c r="I17" i="19"/>
  <c r="H17" i="19"/>
  <c r="G17" i="19"/>
  <c r="D17" i="19"/>
  <c r="C17" i="19"/>
  <c r="B17" i="19"/>
  <c r="AH16" i="19"/>
  <c r="AG16" i="19"/>
  <c r="AF16" i="19"/>
  <c r="AC16" i="19"/>
  <c r="AB16" i="19"/>
  <c r="AA16" i="19"/>
  <c r="S16" i="19"/>
  <c r="R16" i="19"/>
  <c r="Q16" i="19"/>
  <c r="N16" i="19"/>
  <c r="M16" i="19"/>
  <c r="L16" i="19"/>
  <c r="I16" i="19"/>
  <c r="H16" i="19"/>
  <c r="G16" i="19"/>
  <c r="D16" i="19"/>
  <c r="C16" i="19"/>
  <c r="B16" i="19"/>
  <c r="AH15" i="19"/>
  <c r="AG15" i="19"/>
  <c r="AF15" i="19"/>
  <c r="AC15" i="19"/>
  <c r="AB15" i="19"/>
  <c r="AA15" i="19"/>
  <c r="S15" i="19"/>
  <c r="R15" i="19"/>
  <c r="Q15" i="19"/>
  <c r="N15" i="19"/>
  <c r="M15" i="19"/>
  <c r="L15" i="19"/>
  <c r="I15" i="19"/>
  <c r="H15" i="19"/>
  <c r="G15" i="19"/>
  <c r="D15" i="19"/>
  <c r="C15" i="19"/>
  <c r="B15" i="19"/>
  <c r="AH14" i="19"/>
  <c r="AG14" i="19"/>
  <c r="AF14" i="19"/>
  <c r="AC14" i="19"/>
  <c r="AB14" i="19"/>
  <c r="AA14" i="19"/>
  <c r="S14" i="19"/>
  <c r="R14" i="19"/>
  <c r="Q14" i="19"/>
  <c r="N14" i="19"/>
  <c r="M14" i="19"/>
  <c r="L14" i="19"/>
  <c r="I14" i="19"/>
  <c r="H14" i="19"/>
  <c r="G14" i="19"/>
  <c r="D14" i="19"/>
  <c r="C14" i="19"/>
  <c r="B14" i="19"/>
  <c r="AH13" i="19"/>
  <c r="AG13" i="19"/>
  <c r="AF13" i="19"/>
  <c r="AC13" i="19"/>
  <c r="AB13" i="19"/>
  <c r="AA13" i="19"/>
  <c r="S13" i="19"/>
  <c r="R13" i="19"/>
  <c r="Q13" i="19"/>
  <c r="N13" i="19"/>
  <c r="M13" i="19"/>
  <c r="L13" i="19"/>
  <c r="I13" i="19"/>
  <c r="H13" i="19"/>
  <c r="G13" i="19"/>
  <c r="D13" i="19"/>
  <c r="C13" i="19"/>
  <c r="B13" i="19"/>
  <c r="AH12" i="19"/>
  <c r="AG12" i="19"/>
  <c r="AF12" i="19"/>
  <c r="AC12" i="19"/>
  <c r="AB12" i="19"/>
  <c r="AA12" i="19"/>
  <c r="S12" i="19"/>
  <c r="R12" i="19"/>
  <c r="Q12" i="19"/>
  <c r="N12" i="19"/>
  <c r="M12" i="19"/>
  <c r="L12" i="19"/>
  <c r="I12" i="19"/>
  <c r="H12" i="19"/>
  <c r="G12" i="19"/>
  <c r="D12" i="19"/>
  <c r="C12" i="19"/>
  <c r="B12" i="19"/>
  <c r="AH11" i="19"/>
  <c r="AG11" i="19"/>
  <c r="AF11" i="19"/>
  <c r="AC11" i="19"/>
  <c r="AB11" i="19"/>
  <c r="AA11" i="19"/>
  <c r="X11" i="19"/>
  <c r="W11" i="19"/>
  <c r="V11" i="19"/>
  <c r="S11" i="19"/>
  <c r="R11" i="19"/>
  <c r="Q11" i="19"/>
  <c r="N11" i="19"/>
  <c r="M11" i="19"/>
  <c r="L11" i="19"/>
  <c r="I11" i="19"/>
  <c r="H11" i="19"/>
  <c r="G11" i="19"/>
  <c r="D11" i="19"/>
  <c r="C11" i="19"/>
  <c r="B11" i="19"/>
  <c r="AH10" i="19"/>
  <c r="AG10" i="19"/>
  <c r="AF10" i="19"/>
  <c r="AC10" i="19"/>
  <c r="AB10" i="19"/>
  <c r="AA10" i="19"/>
  <c r="X10" i="19"/>
  <c r="W10" i="19"/>
  <c r="V10" i="19"/>
  <c r="S10" i="19"/>
  <c r="R10" i="19"/>
  <c r="Q10" i="19"/>
  <c r="N10" i="19"/>
  <c r="M10" i="19"/>
  <c r="L10" i="19"/>
  <c r="I10" i="19"/>
  <c r="H10" i="19"/>
  <c r="G10" i="19"/>
  <c r="D10" i="19"/>
  <c r="C10" i="19"/>
  <c r="B10" i="19"/>
  <c r="AH9" i="19"/>
  <c r="AG9" i="19"/>
  <c r="AF9" i="19"/>
  <c r="AC9" i="19"/>
  <c r="AB9" i="19"/>
  <c r="AA9" i="19"/>
  <c r="X9" i="19"/>
  <c r="W9" i="19"/>
  <c r="V9" i="19"/>
  <c r="S9" i="19"/>
  <c r="R9" i="19"/>
  <c r="Q9" i="19"/>
  <c r="N9" i="19"/>
  <c r="M9" i="19"/>
  <c r="L9" i="19"/>
  <c r="I9" i="19"/>
  <c r="H9" i="19"/>
  <c r="G9" i="19"/>
  <c r="D9" i="19"/>
  <c r="C9" i="19"/>
  <c r="B9" i="19"/>
  <c r="AH8" i="19"/>
  <c r="AG8" i="19"/>
  <c r="AF8" i="19"/>
  <c r="AC8" i="19"/>
  <c r="AB8" i="19"/>
  <c r="AA8" i="19"/>
  <c r="X8" i="19"/>
  <c r="W8" i="19"/>
  <c r="V8" i="19"/>
  <c r="S8" i="19"/>
  <c r="R8" i="19"/>
  <c r="Q8" i="19"/>
  <c r="N8" i="19"/>
  <c r="M8" i="19"/>
  <c r="L8" i="19"/>
  <c r="I8" i="19"/>
  <c r="H8" i="19"/>
  <c r="G8" i="19"/>
  <c r="D8" i="19"/>
  <c r="C8" i="19"/>
  <c r="B8" i="19"/>
  <c r="AH7" i="19"/>
  <c r="AG7" i="19"/>
  <c r="AF7" i="19"/>
  <c r="AC7" i="19"/>
  <c r="AB7" i="19"/>
  <c r="AA7" i="19"/>
  <c r="X7" i="19"/>
  <c r="W7" i="19"/>
  <c r="V7" i="19"/>
  <c r="S7" i="19"/>
  <c r="R7" i="19"/>
  <c r="Q7" i="19"/>
  <c r="N7" i="19"/>
  <c r="M7" i="19"/>
  <c r="L7" i="19"/>
  <c r="I7" i="19"/>
  <c r="H7" i="19"/>
  <c r="G7" i="19"/>
  <c r="E7" i="19"/>
  <c r="D7" i="19"/>
  <c r="C7" i="19"/>
  <c r="B7" i="19"/>
  <c r="AI6" i="19"/>
  <c r="AH6" i="19"/>
  <c r="AG6" i="19"/>
  <c r="AF6" i="19"/>
  <c r="AC6" i="19"/>
  <c r="AB6" i="19"/>
  <c r="AA6" i="19"/>
  <c r="X6" i="19"/>
  <c r="W6" i="19"/>
  <c r="V6" i="19"/>
  <c r="S6" i="19"/>
  <c r="R6" i="19"/>
  <c r="Q6" i="19"/>
  <c r="O6" i="19"/>
  <c r="N6" i="19"/>
  <c r="M6" i="19"/>
  <c r="L6" i="19"/>
  <c r="I6" i="19"/>
  <c r="H6" i="19"/>
  <c r="G6" i="19"/>
  <c r="E6" i="19"/>
  <c r="D6" i="19"/>
  <c r="C6" i="19"/>
  <c r="B6" i="19"/>
  <c r="AI5" i="19"/>
  <c r="AH5" i="19"/>
  <c r="AG5" i="19"/>
  <c r="AF5" i="19"/>
  <c r="AC5" i="19"/>
  <c r="AB5" i="19"/>
  <c r="AA5" i="19"/>
  <c r="X5" i="19"/>
  <c r="W5" i="19"/>
  <c r="V5" i="19"/>
  <c r="S5" i="19"/>
  <c r="R5" i="19"/>
  <c r="Q5" i="19"/>
  <c r="O5" i="19"/>
  <c r="N5" i="19"/>
  <c r="M5" i="19"/>
  <c r="L5" i="19"/>
  <c r="I5" i="19"/>
  <c r="H5" i="19"/>
  <c r="G5" i="19"/>
  <c r="E5" i="19"/>
  <c r="D5" i="19"/>
  <c r="C5" i="19"/>
  <c r="B5" i="19"/>
  <c r="AI4" i="19"/>
  <c r="AH4" i="19"/>
  <c r="AG4" i="19"/>
  <c r="AF4" i="19"/>
  <c r="AD4" i="19"/>
  <c r="AC4" i="19"/>
  <c r="AB4" i="19"/>
  <c r="AA4" i="19"/>
  <c r="Y4" i="19"/>
  <c r="X4" i="19"/>
  <c r="W4" i="19"/>
  <c r="V4" i="19"/>
  <c r="T4" i="19"/>
  <c r="S4" i="19"/>
  <c r="R4" i="19"/>
  <c r="Q4" i="19"/>
  <c r="O4" i="19"/>
  <c r="N4" i="19"/>
  <c r="M4" i="19"/>
  <c r="L4" i="19"/>
  <c r="J4" i="19"/>
  <c r="I4" i="19"/>
  <c r="H4" i="19"/>
  <c r="G4" i="19"/>
  <c r="E4" i="19"/>
  <c r="D4" i="19"/>
  <c r="C4" i="19"/>
  <c r="B4" i="19"/>
  <c r="AI3" i="19"/>
  <c r="AH3" i="19"/>
  <c r="AG3" i="19"/>
  <c r="AF3" i="19"/>
  <c r="AD3" i="19"/>
  <c r="AC3" i="19"/>
  <c r="AB3" i="19"/>
  <c r="AA3" i="19"/>
  <c r="Y3" i="19"/>
  <c r="X3" i="19"/>
  <c r="W3" i="19"/>
  <c r="V3" i="19"/>
  <c r="T3" i="19"/>
  <c r="S3" i="19"/>
  <c r="R3" i="19"/>
  <c r="Q3" i="19"/>
  <c r="O3" i="19"/>
  <c r="N3" i="19"/>
  <c r="M3" i="19"/>
  <c r="L3" i="19"/>
  <c r="J3" i="19"/>
  <c r="I3" i="19"/>
  <c r="H3" i="19"/>
  <c r="G3" i="19"/>
  <c r="E3" i="19"/>
  <c r="D3" i="19"/>
  <c r="C3" i="19"/>
  <c r="B3" i="19"/>
  <c r="AF1" i="19"/>
  <c r="AA1" i="19"/>
  <c r="V1" i="19"/>
  <c r="Q1" i="19"/>
  <c r="L1" i="19"/>
  <c r="G1" i="19"/>
  <c r="D60" i="18"/>
  <c r="C60" i="18"/>
  <c r="B60" i="18"/>
  <c r="D59" i="18"/>
  <c r="C59" i="18"/>
  <c r="B59"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B50" i="18"/>
  <c r="D49" i="18"/>
  <c r="C49" i="18"/>
  <c r="B49" i="18"/>
  <c r="D48" i="18"/>
  <c r="C48" i="18"/>
  <c r="B48" i="18"/>
  <c r="D47" i="18"/>
  <c r="C47" i="18"/>
  <c r="B47" i="18"/>
  <c r="D46" i="18"/>
  <c r="C46" i="18"/>
  <c r="B46" i="18"/>
  <c r="D45" i="18"/>
  <c r="C45" i="18"/>
  <c r="B45" i="18"/>
  <c r="D44" i="18"/>
  <c r="C44" i="18"/>
  <c r="B44" i="18"/>
  <c r="D43" i="18"/>
  <c r="C43" i="18"/>
  <c r="B43" i="18"/>
  <c r="D42" i="18"/>
  <c r="C42" i="18"/>
  <c r="B42" i="18"/>
  <c r="D41" i="18"/>
  <c r="C41" i="18"/>
  <c r="B41" i="18"/>
  <c r="D40" i="18"/>
  <c r="C40" i="18"/>
  <c r="B40" i="18"/>
  <c r="D39" i="18"/>
  <c r="C39" i="18"/>
  <c r="B39" i="18"/>
  <c r="D38" i="18"/>
  <c r="C38" i="18"/>
  <c r="B38" i="18"/>
  <c r="D37" i="18"/>
  <c r="C37" i="18"/>
  <c r="B37" i="18"/>
  <c r="D36" i="18"/>
  <c r="C36" i="18"/>
  <c r="B36" i="18"/>
  <c r="D35" i="18"/>
  <c r="C35" i="18"/>
  <c r="B35" i="18"/>
  <c r="D34" i="18"/>
  <c r="C34" i="18"/>
  <c r="B34" i="18"/>
  <c r="D33" i="18"/>
  <c r="C33" i="18"/>
  <c r="B33" i="18"/>
  <c r="D32" i="18"/>
  <c r="C32" i="18"/>
  <c r="B32" i="18"/>
  <c r="D31" i="18"/>
  <c r="C31" i="18"/>
  <c r="B31" i="18"/>
  <c r="D30" i="18"/>
  <c r="C30" i="18"/>
  <c r="B30" i="18"/>
  <c r="D29" i="18"/>
  <c r="C29" i="18"/>
  <c r="B29" i="18"/>
  <c r="D28" i="18"/>
  <c r="C28" i="18"/>
  <c r="B28" i="18"/>
  <c r="S27" i="18"/>
  <c r="R27" i="18"/>
  <c r="Q27" i="18"/>
  <c r="D27" i="18"/>
  <c r="C27" i="18"/>
  <c r="B27" i="18"/>
  <c r="S26" i="18"/>
  <c r="R26" i="18"/>
  <c r="Q26" i="18"/>
  <c r="N26" i="18"/>
  <c r="M26" i="18"/>
  <c r="L26" i="18"/>
  <c r="D26" i="18"/>
  <c r="C26" i="18"/>
  <c r="B26" i="18"/>
  <c r="S25" i="18"/>
  <c r="R25" i="18"/>
  <c r="Q25" i="18"/>
  <c r="N25" i="18"/>
  <c r="M25" i="18"/>
  <c r="L25" i="18"/>
  <c r="D25" i="18"/>
  <c r="C25" i="18"/>
  <c r="B25" i="18"/>
  <c r="S24" i="18"/>
  <c r="R24" i="18"/>
  <c r="Q24" i="18"/>
  <c r="N24" i="18"/>
  <c r="M24" i="18"/>
  <c r="L24" i="18"/>
  <c r="D24" i="18"/>
  <c r="C24" i="18"/>
  <c r="B24" i="18"/>
  <c r="S23" i="18"/>
  <c r="R23" i="18"/>
  <c r="Q23" i="18"/>
  <c r="N23" i="18"/>
  <c r="M23" i="18"/>
  <c r="L23" i="18"/>
  <c r="D23" i="18"/>
  <c r="C23" i="18"/>
  <c r="B23" i="18"/>
  <c r="S22" i="18"/>
  <c r="R22" i="18"/>
  <c r="Q22" i="18"/>
  <c r="N22" i="18"/>
  <c r="M22" i="18"/>
  <c r="L22" i="18"/>
  <c r="I22" i="18"/>
  <c r="H22" i="18"/>
  <c r="G22" i="18"/>
  <c r="D22" i="18"/>
  <c r="C22" i="18"/>
  <c r="B22" i="18"/>
  <c r="S21" i="18"/>
  <c r="R21" i="18"/>
  <c r="Q21" i="18"/>
  <c r="N21" i="18"/>
  <c r="M21" i="18"/>
  <c r="L21" i="18"/>
  <c r="I21" i="18"/>
  <c r="H21" i="18"/>
  <c r="G21" i="18"/>
  <c r="D21" i="18"/>
  <c r="C21" i="18"/>
  <c r="B21" i="18"/>
  <c r="AC20" i="18"/>
  <c r="AB20" i="18"/>
  <c r="AA20" i="18"/>
  <c r="S20" i="18"/>
  <c r="R20" i="18"/>
  <c r="Q20" i="18"/>
  <c r="N20" i="18"/>
  <c r="M20" i="18"/>
  <c r="L20" i="18"/>
  <c r="I20" i="18"/>
  <c r="H20" i="18"/>
  <c r="G20" i="18"/>
  <c r="D20" i="18"/>
  <c r="C20" i="18"/>
  <c r="B20" i="18"/>
  <c r="AC19" i="18"/>
  <c r="AB19" i="18"/>
  <c r="AA19" i="18"/>
  <c r="S19" i="18"/>
  <c r="R19" i="18"/>
  <c r="Q19" i="18"/>
  <c r="N19" i="18"/>
  <c r="M19" i="18"/>
  <c r="L19" i="18"/>
  <c r="I19" i="18"/>
  <c r="H19" i="18"/>
  <c r="G19" i="18"/>
  <c r="D19" i="18"/>
  <c r="C19" i="18"/>
  <c r="B19" i="18"/>
  <c r="AC18" i="18"/>
  <c r="AB18" i="18"/>
  <c r="AA18" i="18"/>
  <c r="S18" i="18"/>
  <c r="R18" i="18"/>
  <c r="Q18" i="18"/>
  <c r="N18" i="18"/>
  <c r="M18" i="18"/>
  <c r="L18" i="18"/>
  <c r="I18" i="18"/>
  <c r="H18" i="18"/>
  <c r="G18" i="18"/>
  <c r="D18" i="18"/>
  <c r="C18" i="18"/>
  <c r="B18" i="18"/>
  <c r="AC17" i="18"/>
  <c r="AB17" i="18"/>
  <c r="AA17" i="18"/>
  <c r="S17" i="18"/>
  <c r="R17" i="18"/>
  <c r="Q17" i="18"/>
  <c r="N17" i="18"/>
  <c r="M17" i="18"/>
  <c r="L17" i="18"/>
  <c r="I17" i="18"/>
  <c r="H17" i="18"/>
  <c r="G17" i="18"/>
  <c r="D17" i="18"/>
  <c r="C17" i="18"/>
  <c r="B17" i="18"/>
  <c r="AH16" i="18"/>
  <c r="AG16" i="18"/>
  <c r="AF16" i="18"/>
  <c r="AC16" i="18"/>
  <c r="AB16" i="18"/>
  <c r="AA16" i="18"/>
  <c r="S16" i="18"/>
  <c r="R16" i="18"/>
  <c r="Q16" i="18"/>
  <c r="N16" i="18"/>
  <c r="M16" i="18"/>
  <c r="L16" i="18"/>
  <c r="I16" i="18"/>
  <c r="H16" i="18"/>
  <c r="G16" i="18"/>
  <c r="D16" i="18"/>
  <c r="C16" i="18"/>
  <c r="B16" i="18"/>
  <c r="AH15" i="18"/>
  <c r="AG15" i="18"/>
  <c r="AF15" i="18"/>
  <c r="AC15" i="18"/>
  <c r="AB15" i="18"/>
  <c r="AA15" i="18"/>
  <c r="S15" i="18"/>
  <c r="R15" i="18"/>
  <c r="Q15" i="18"/>
  <c r="N15" i="18"/>
  <c r="M15" i="18"/>
  <c r="L15" i="18"/>
  <c r="I15" i="18"/>
  <c r="H15" i="18"/>
  <c r="G15" i="18"/>
  <c r="D15" i="18"/>
  <c r="C15" i="18"/>
  <c r="B15" i="18"/>
  <c r="AH14" i="18"/>
  <c r="AG14" i="18"/>
  <c r="AF14" i="18"/>
  <c r="AC14" i="18"/>
  <c r="AB14" i="18"/>
  <c r="AA14" i="18"/>
  <c r="S14" i="18"/>
  <c r="R14" i="18"/>
  <c r="Q14" i="18"/>
  <c r="N14" i="18"/>
  <c r="M14" i="18"/>
  <c r="L14" i="18"/>
  <c r="I14" i="18"/>
  <c r="H14" i="18"/>
  <c r="G14" i="18"/>
  <c r="D14" i="18"/>
  <c r="C14" i="18"/>
  <c r="B14" i="18"/>
  <c r="AH13" i="18"/>
  <c r="AG13" i="18"/>
  <c r="AF13" i="18"/>
  <c r="AC13" i="18"/>
  <c r="AB13" i="18"/>
  <c r="AA13" i="18"/>
  <c r="S13" i="18"/>
  <c r="R13" i="18"/>
  <c r="Q13" i="18"/>
  <c r="N13" i="18"/>
  <c r="M13" i="18"/>
  <c r="L13" i="18"/>
  <c r="I13" i="18"/>
  <c r="H13" i="18"/>
  <c r="G13" i="18"/>
  <c r="D13" i="18"/>
  <c r="C13" i="18"/>
  <c r="B13" i="18"/>
  <c r="AH12" i="18"/>
  <c r="AG12" i="18"/>
  <c r="AF12" i="18"/>
  <c r="AC12" i="18"/>
  <c r="AB12" i="18"/>
  <c r="AA12" i="18"/>
  <c r="S12" i="18"/>
  <c r="R12" i="18"/>
  <c r="Q12" i="18"/>
  <c r="N12" i="18"/>
  <c r="M12" i="18"/>
  <c r="L12" i="18"/>
  <c r="I12" i="18"/>
  <c r="H12" i="18"/>
  <c r="G12" i="18"/>
  <c r="D12" i="18"/>
  <c r="C12" i="18"/>
  <c r="B12" i="18"/>
  <c r="AH11" i="18"/>
  <c r="AG11" i="18"/>
  <c r="AF11" i="18"/>
  <c r="AC11" i="18"/>
  <c r="AB11" i="18"/>
  <c r="AA11" i="18"/>
  <c r="S11" i="18"/>
  <c r="R11" i="18"/>
  <c r="Q11" i="18"/>
  <c r="N11" i="18"/>
  <c r="M11" i="18"/>
  <c r="L11" i="18"/>
  <c r="I11" i="18"/>
  <c r="H11" i="18"/>
  <c r="G11" i="18"/>
  <c r="D11" i="18"/>
  <c r="C11" i="18"/>
  <c r="B11" i="18"/>
  <c r="AH10" i="18"/>
  <c r="AG10" i="18"/>
  <c r="AF10" i="18"/>
  <c r="AC10" i="18"/>
  <c r="AB10" i="18"/>
  <c r="AA10" i="18"/>
  <c r="S10" i="18"/>
  <c r="R10" i="18"/>
  <c r="Q10" i="18"/>
  <c r="N10" i="18"/>
  <c r="M10" i="18"/>
  <c r="L10" i="18"/>
  <c r="I10" i="18"/>
  <c r="H10" i="18"/>
  <c r="G10" i="18"/>
  <c r="D10" i="18"/>
  <c r="C10" i="18"/>
  <c r="B10" i="18"/>
  <c r="AH9" i="18"/>
  <c r="AG9" i="18"/>
  <c r="AF9" i="18"/>
  <c r="AC9" i="18"/>
  <c r="AB9" i="18"/>
  <c r="AA9" i="18"/>
  <c r="X9" i="18"/>
  <c r="W9" i="18"/>
  <c r="V9" i="18"/>
  <c r="S9" i="18"/>
  <c r="R9" i="18"/>
  <c r="Q9" i="18"/>
  <c r="N9" i="18"/>
  <c r="M9" i="18"/>
  <c r="L9" i="18"/>
  <c r="I9" i="18"/>
  <c r="H9" i="18"/>
  <c r="G9" i="18"/>
  <c r="E9" i="18"/>
  <c r="D9" i="18"/>
  <c r="C9" i="18"/>
  <c r="B9" i="18"/>
  <c r="AH8" i="18"/>
  <c r="AG8" i="18"/>
  <c r="AF8" i="18"/>
  <c r="AC8" i="18"/>
  <c r="AB8" i="18"/>
  <c r="AA8" i="18"/>
  <c r="X8" i="18"/>
  <c r="W8" i="18"/>
  <c r="V8" i="18"/>
  <c r="S8" i="18"/>
  <c r="R8" i="18"/>
  <c r="Q8" i="18"/>
  <c r="N8" i="18"/>
  <c r="M8" i="18"/>
  <c r="L8" i="18"/>
  <c r="I8" i="18"/>
  <c r="H8" i="18"/>
  <c r="G8" i="18"/>
  <c r="E8" i="18"/>
  <c r="D8" i="18"/>
  <c r="C8" i="18"/>
  <c r="B8" i="18"/>
  <c r="AH7" i="18"/>
  <c r="AG7" i="18"/>
  <c r="AF7" i="18"/>
  <c r="AC7" i="18"/>
  <c r="AB7" i="18"/>
  <c r="AA7" i="18"/>
  <c r="X7" i="18"/>
  <c r="W7" i="18"/>
  <c r="V7" i="18"/>
  <c r="T7" i="18"/>
  <c r="S7" i="18"/>
  <c r="R7" i="18"/>
  <c r="Q7" i="18"/>
  <c r="N7" i="18"/>
  <c r="M7" i="18"/>
  <c r="L7" i="18"/>
  <c r="I7" i="18"/>
  <c r="H7" i="18"/>
  <c r="G7" i="18"/>
  <c r="E7" i="18"/>
  <c r="D7" i="18"/>
  <c r="C7" i="18"/>
  <c r="B7" i="18"/>
  <c r="AH6" i="18"/>
  <c r="AG6" i="18"/>
  <c r="AF6" i="18"/>
  <c r="AC6" i="18"/>
  <c r="AB6" i="18"/>
  <c r="AA6" i="18"/>
  <c r="X6" i="18"/>
  <c r="W6" i="18"/>
  <c r="V6" i="18"/>
  <c r="T6" i="18"/>
  <c r="S6" i="18"/>
  <c r="R6" i="18"/>
  <c r="Q6" i="18"/>
  <c r="N6" i="18"/>
  <c r="M6" i="18"/>
  <c r="L6" i="18"/>
  <c r="J6" i="18"/>
  <c r="I6" i="18"/>
  <c r="H6" i="18"/>
  <c r="G6" i="18"/>
  <c r="E6" i="18"/>
  <c r="D6" i="18"/>
  <c r="C6" i="18"/>
  <c r="B6" i="18"/>
  <c r="AI5" i="18"/>
  <c r="AH5" i="18"/>
  <c r="AG5" i="18"/>
  <c r="AF5" i="18"/>
  <c r="AC5" i="18"/>
  <c r="AB5" i="18"/>
  <c r="AA5" i="18"/>
  <c r="Y5" i="18"/>
  <c r="X5" i="18"/>
  <c r="W5" i="18"/>
  <c r="V5" i="18"/>
  <c r="T5" i="18"/>
  <c r="S5" i="18"/>
  <c r="R5" i="18"/>
  <c r="Q5" i="18"/>
  <c r="O5" i="18"/>
  <c r="N5" i="18"/>
  <c r="M5" i="18"/>
  <c r="L5" i="18"/>
  <c r="J5" i="18"/>
  <c r="I5" i="18"/>
  <c r="H5" i="18"/>
  <c r="G5" i="18"/>
  <c r="E5" i="18"/>
  <c r="D5" i="18"/>
  <c r="C5" i="18"/>
  <c r="B5" i="18"/>
  <c r="AI4" i="18"/>
  <c r="AH4" i="18"/>
  <c r="AG4" i="18"/>
  <c r="AF4" i="18"/>
  <c r="AD4" i="18"/>
  <c r="AC4" i="18"/>
  <c r="AB4" i="18"/>
  <c r="AA4" i="18"/>
  <c r="X4" i="18"/>
  <c r="W4" i="18"/>
  <c r="V4" i="18"/>
  <c r="T4" i="18"/>
  <c r="S4" i="18"/>
  <c r="R4" i="18"/>
  <c r="Q4" i="18"/>
  <c r="O4" i="18"/>
  <c r="N4" i="18"/>
  <c r="M4" i="18"/>
  <c r="L4" i="18"/>
  <c r="J4" i="18"/>
  <c r="I4" i="18"/>
  <c r="H4" i="18"/>
  <c r="G4" i="18"/>
  <c r="E4" i="18"/>
  <c r="D4" i="18"/>
  <c r="C4" i="18"/>
  <c r="B4" i="18"/>
  <c r="AI3" i="18"/>
  <c r="AH3" i="18"/>
  <c r="AG3" i="18"/>
  <c r="AF3" i="18"/>
  <c r="AD3" i="18"/>
  <c r="AC3" i="18"/>
  <c r="AB3" i="18"/>
  <c r="AA3" i="18"/>
  <c r="Y3" i="18"/>
  <c r="X3" i="18"/>
  <c r="W3" i="18"/>
  <c r="V3" i="18"/>
  <c r="T3" i="18"/>
  <c r="S3" i="18"/>
  <c r="R3" i="18"/>
  <c r="Q3" i="18"/>
  <c r="O3" i="18"/>
  <c r="N3" i="18"/>
  <c r="M3" i="18"/>
  <c r="L3" i="18"/>
  <c r="J3" i="18"/>
  <c r="I3" i="18"/>
  <c r="H3" i="18"/>
  <c r="G3" i="18"/>
  <c r="E3" i="18"/>
  <c r="D3" i="18"/>
  <c r="C3" i="18"/>
  <c r="B3" i="18"/>
  <c r="AF1" i="18"/>
  <c r="AA1" i="18"/>
  <c r="V1" i="18"/>
  <c r="Q1" i="18"/>
  <c r="L1" i="18"/>
  <c r="G1" i="18"/>
  <c r="D137" i="17"/>
  <c r="C137" i="17"/>
  <c r="B137" i="17"/>
  <c r="D136" i="17"/>
  <c r="C136" i="17"/>
  <c r="B136" i="17"/>
  <c r="D135" i="17"/>
  <c r="C135" i="17"/>
  <c r="B135" i="17"/>
  <c r="D134" i="17"/>
  <c r="C134" i="17"/>
  <c r="B134" i="17"/>
  <c r="D133" i="17"/>
  <c r="C133" i="17"/>
  <c r="B133" i="17"/>
  <c r="D132" i="17"/>
  <c r="C132" i="17"/>
  <c r="B132" i="17"/>
  <c r="D131" i="17"/>
  <c r="C131" i="17"/>
  <c r="B131" i="17"/>
  <c r="D130" i="17"/>
  <c r="C130" i="17"/>
  <c r="B130" i="17"/>
  <c r="D129" i="17"/>
  <c r="C129" i="17"/>
  <c r="B129" i="17"/>
  <c r="D128" i="17"/>
  <c r="C128" i="17"/>
  <c r="B128" i="17"/>
  <c r="D127" i="17"/>
  <c r="C127" i="17"/>
  <c r="B127" i="17"/>
  <c r="D126" i="17"/>
  <c r="C126" i="17"/>
  <c r="B126" i="17"/>
  <c r="D125" i="17"/>
  <c r="C125" i="17"/>
  <c r="B125" i="17"/>
  <c r="D124" i="17"/>
  <c r="C124" i="17"/>
  <c r="B124" i="17"/>
  <c r="D123" i="17"/>
  <c r="C123" i="17"/>
  <c r="B123" i="17"/>
  <c r="D122" i="17"/>
  <c r="C122" i="17"/>
  <c r="B122" i="17"/>
  <c r="D121" i="17"/>
  <c r="C121" i="17"/>
  <c r="B121" i="17"/>
  <c r="D120" i="17"/>
  <c r="C120" i="17"/>
  <c r="B120" i="17"/>
  <c r="D119" i="17"/>
  <c r="C119" i="17"/>
  <c r="B119" i="17"/>
  <c r="D118" i="17"/>
  <c r="C118" i="17"/>
  <c r="B118" i="17"/>
  <c r="D117" i="17"/>
  <c r="C117" i="17"/>
  <c r="B117" i="17"/>
  <c r="D116" i="17"/>
  <c r="C116" i="17"/>
  <c r="B116" i="17"/>
  <c r="D115" i="17"/>
  <c r="C115" i="17"/>
  <c r="B115" i="17"/>
  <c r="D114" i="17"/>
  <c r="C114" i="17"/>
  <c r="B114" i="17"/>
  <c r="D113" i="17"/>
  <c r="C113" i="17"/>
  <c r="B113" i="17"/>
  <c r="D112" i="17"/>
  <c r="C112" i="17"/>
  <c r="B112" i="17"/>
  <c r="D111" i="17"/>
  <c r="C111" i="17"/>
  <c r="B111" i="17"/>
  <c r="D110" i="17"/>
  <c r="C110" i="17"/>
  <c r="B110" i="17"/>
  <c r="D109" i="17"/>
  <c r="C109" i="17"/>
  <c r="B109" i="17"/>
  <c r="D108" i="17"/>
  <c r="C108" i="17"/>
  <c r="B108" i="17"/>
  <c r="D107" i="17"/>
  <c r="C107" i="17"/>
  <c r="B107" i="17"/>
  <c r="D106" i="17"/>
  <c r="C106" i="17"/>
  <c r="B106" i="17"/>
  <c r="D105" i="17"/>
  <c r="C105" i="17"/>
  <c r="B105" i="17"/>
  <c r="D104" i="17"/>
  <c r="C104" i="17"/>
  <c r="B104" i="17"/>
  <c r="D103" i="17"/>
  <c r="C103" i="17"/>
  <c r="B103" i="17"/>
  <c r="D102" i="17"/>
  <c r="C102" i="17"/>
  <c r="B102" i="17"/>
  <c r="D101" i="17"/>
  <c r="C101" i="17"/>
  <c r="B101" i="17"/>
  <c r="D100" i="17"/>
  <c r="C100" i="17"/>
  <c r="B100" i="17"/>
  <c r="D99" i="17"/>
  <c r="C99" i="17"/>
  <c r="B99" i="17"/>
  <c r="D98" i="17"/>
  <c r="C98" i="17"/>
  <c r="B98" i="17"/>
  <c r="D97" i="17"/>
  <c r="C97" i="17"/>
  <c r="B97" i="17"/>
  <c r="D96" i="17"/>
  <c r="C96" i="17"/>
  <c r="B96" i="17"/>
  <c r="D95" i="17"/>
  <c r="C95" i="17"/>
  <c r="B95" i="17"/>
  <c r="D94" i="17"/>
  <c r="C94" i="17"/>
  <c r="B94" i="17"/>
  <c r="D93" i="17"/>
  <c r="C93" i="17"/>
  <c r="B93" i="17"/>
  <c r="D92" i="17"/>
  <c r="C92" i="17"/>
  <c r="B92" i="17"/>
  <c r="D91" i="17"/>
  <c r="C91" i="17"/>
  <c r="B91" i="17"/>
  <c r="S90" i="17"/>
  <c r="R90" i="17"/>
  <c r="Q90" i="17"/>
  <c r="D90" i="17"/>
  <c r="C90" i="17"/>
  <c r="B90" i="17"/>
  <c r="S89" i="17"/>
  <c r="R89" i="17"/>
  <c r="Q89" i="17"/>
  <c r="D89" i="17"/>
  <c r="C89" i="17"/>
  <c r="B89" i="17"/>
  <c r="S88" i="17"/>
  <c r="R88" i="17"/>
  <c r="Q88" i="17"/>
  <c r="D88" i="17"/>
  <c r="C88" i="17"/>
  <c r="B88" i="17"/>
  <c r="S87" i="17"/>
  <c r="R87" i="17"/>
  <c r="Q87" i="17"/>
  <c r="D87" i="17"/>
  <c r="C87" i="17"/>
  <c r="B87" i="17"/>
  <c r="S86" i="17"/>
  <c r="R86" i="17"/>
  <c r="Q86" i="17"/>
  <c r="D86" i="17"/>
  <c r="C86" i="17"/>
  <c r="B86" i="17"/>
  <c r="S85" i="17"/>
  <c r="R85" i="17"/>
  <c r="Q85" i="17"/>
  <c r="D85" i="17"/>
  <c r="C85" i="17"/>
  <c r="B85" i="17"/>
  <c r="S84" i="17"/>
  <c r="R84" i="17"/>
  <c r="Q84" i="17"/>
  <c r="D84" i="17"/>
  <c r="C84" i="17"/>
  <c r="B84" i="17"/>
  <c r="S83" i="17"/>
  <c r="R83" i="17"/>
  <c r="Q83" i="17"/>
  <c r="D83" i="17"/>
  <c r="C83" i="17"/>
  <c r="B83" i="17"/>
  <c r="S82" i="17"/>
  <c r="R82" i="17"/>
  <c r="Q82" i="17"/>
  <c r="D82" i="17"/>
  <c r="C82" i="17"/>
  <c r="B82" i="17"/>
  <c r="S81" i="17"/>
  <c r="R81" i="17"/>
  <c r="Q81" i="17"/>
  <c r="D81" i="17"/>
  <c r="C81" i="17"/>
  <c r="B81" i="17"/>
  <c r="S80" i="17"/>
  <c r="R80" i="17"/>
  <c r="Q80" i="17"/>
  <c r="D80" i="17"/>
  <c r="C80" i="17"/>
  <c r="B80" i="17"/>
  <c r="S79" i="17"/>
  <c r="R79" i="17"/>
  <c r="Q79" i="17"/>
  <c r="D79" i="17"/>
  <c r="C79" i="17"/>
  <c r="B79" i="17"/>
  <c r="S78" i="17"/>
  <c r="R78" i="17"/>
  <c r="Q78" i="17"/>
  <c r="D78" i="17"/>
  <c r="C78" i="17"/>
  <c r="B78" i="17"/>
  <c r="S77" i="17"/>
  <c r="R77" i="17"/>
  <c r="Q77" i="17"/>
  <c r="D77" i="17"/>
  <c r="C77" i="17"/>
  <c r="B77" i="17"/>
  <c r="S76" i="17"/>
  <c r="R76" i="17"/>
  <c r="Q76" i="17"/>
  <c r="D76" i="17"/>
  <c r="C76" i="17"/>
  <c r="B76" i="17"/>
  <c r="S75" i="17"/>
  <c r="R75" i="17"/>
  <c r="Q75" i="17"/>
  <c r="D75" i="17"/>
  <c r="C75" i="17"/>
  <c r="B75" i="17"/>
  <c r="S74" i="17"/>
  <c r="R74" i="17"/>
  <c r="Q74" i="17"/>
  <c r="D74" i="17"/>
  <c r="C74" i="17"/>
  <c r="B74" i="17"/>
  <c r="S73" i="17"/>
  <c r="R73" i="17"/>
  <c r="Q73" i="17"/>
  <c r="D73" i="17"/>
  <c r="C73" i="17"/>
  <c r="B73" i="17"/>
  <c r="S72" i="17"/>
  <c r="R72" i="17"/>
  <c r="Q72" i="17"/>
  <c r="D72" i="17"/>
  <c r="C72" i="17"/>
  <c r="B72" i="17"/>
  <c r="S71" i="17"/>
  <c r="R71" i="17"/>
  <c r="Q71" i="17"/>
  <c r="D71" i="17"/>
  <c r="C71" i="17"/>
  <c r="B71" i="17"/>
  <c r="S70" i="17"/>
  <c r="R70" i="17"/>
  <c r="Q70" i="17"/>
  <c r="D70" i="17"/>
  <c r="C70" i="17"/>
  <c r="B70" i="17"/>
  <c r="S69" i="17"/>
  <c r="R69" i="17"/>
  <c r="Q69" i="17"/>
  <c r="D69" i="17"/>
  <c r="C69" i="17"/>
  <c r="B69" i="17"/>
  <c r="S68" i="17"/>
  <c r="R68" i="17"/>
  <c r="Q68" i="17"/>
  <c r="D68" i="17"/>
  <c r="C68" i="17"/>
  <c r="B68" i="17"/>
  <c r="S67" i="17"/>
  <c r="R67" i="17"/>
  <c r="Q67" i="17"/>
  <c r="D67" i="17"/>
  <c r="C67" i="17"/>
  <c r="B67" i="17"/>
  <c r="S66" i="17"/>
  <c r="R66" i="17"/>
  <c r="Q66" i="17"/>
  <c r="D66" i="17"/>
  <c r="C66" i="17"/>
  <c r="B66" i="17"/>
  <c r="S65" i="17"/>
  <c r="R65" i="17"/>
  <c r="Q65" i="17"/>
  <c r="D65" i="17"/>
  <c r="C65" i="17"/>
  <c r="B65" i="17"/>
  <c r="S64" i="17"/>
  <c r="R64" i="17"/>
  <c r="Q64" i="17"/>
  <c r="D64" i="17"/>
  <c r="C64" i="17"/>
  <c r="B64" i="17"/>
  <c r="S63" i="17"/>
  <c r="R63" i="17"/>
  <c r="Q63" i="17"/>
  <c r="D63" i="17"/>
  <c r="C63" i="17"/>
  <c r="B63" i="17"/>
  <c r="S62" i="17"/>
  <c r="R62" i="17"/>
  <c r="Q62" i="17"/>
  <c r="D62" i="17"/>
  <c r="C62" i="17"/>
  <c r="B62" i="17"/>
  <c r="S61" i="17"/>
  <c r="R61" i="17"/>
  <c r="Q61" i="17"/>
  <c r="D61" i="17"/>
  <c r="C61" i="17"/>
  <c r="B61" i="17"/>
  <c r="S60" i="17"/>
  <c r="R60" i="17"/>
  <c r="Q60" i="17"/>
  <c r="D60" i="17"/>
  <c r="C60" i="17"/>
  <c r="B60" i="17"/>
  <c r="S59" i="17"/>
  <c r="R59" i="17"/>
  <c r="Q59" i="17"/>
  <c r="D59" i="17"/>
  <c r="C59" i="17"/>
  <c r="B59" i="17"/>
  <c r="S58" i="17"/>
  <c r="R58" i="17"/>
  <c r="Q58" i="17"/>
  <c r="N58" i="17"/>
  <c r="M58" i="17"/>
  <c r="L58" i="17"/>
  <c r="D58" i="17"/>
  <c r="C58" i="17"/>
  <c r="B58" i="17"/>
  <c r="S57" i="17"/>
  <c r="R57" i="17"/>
  <c r="Q57" i="17"/>
  <c r="N57" i="17"/>
  <c r="M57" i="17"/>
  <c r="L57" i="17"/>
  <c r="I57" i="17"/>
  <c r="H57" i="17"/>
  <c r="G57" i="17"/>
  <c r="D57" i="17"/>
  <c r="C57" i="17"/>
  <c r="B57" i="17"/>
  <c r="S56" i="17"/>
  <c r="R56" i="17"/>
  <c r="Q56" i="17"/>
  <c r="N56" i="17"/>
  <c r="M56" i="17"/>
  <c r="L56" i="17"/>
  <c r="I56" i="17"/>
  <c r="H56" i="17"/>
  <c r="G56" i="17"/>
  <c r="D56" i="17"/>
  <c r="C56" i="17"/>
  <c r="B56" i="17"/>
  <c r="S55" i="17"/>
  <c r="R55" i="17"/>
  <c r="Q55" i="17"/>
  <c r="N55" i="17"/>
  <c r="M55" i="17"/>
  <c r="L55" i="17"/>
  <c r="I55" i="17"/>
  <c r="H55" i="17"/>
  <c r="G55" i="17"/>
  <c r="D55" i="17"/>
  <c r="C55" i="17"/>
  <c r="B55" i="17"/>
  <c r="S54" i="17"/>
  <c r="R54" i="17"/>
  <c r="Q54" i="17"/>
  <c r="N54" i="17"/>
  <c r="M54" i="17"/>
  <c r="L54" i="17"/>
  <c r="I54" i="17"/>
  <c r="H54" i="17"/>
  <c r="G54" i="17"/>
  <c r="D54" i="17"/>
  <c r="C54" i="17"/>
  <c r="B54" i="17"/>
  <c r="S53" i="17"/>
  <c r="R53" i="17"/>
  <c r="Q53" i="17"/>
  <c r="N53" i="17"/>
  <c r="M53" i="17"/>
  <c r="L53" i="17"/>
  <c r="I53" i="17"/>
  <c r="H53" i="17"/>
  <c r="G53" i="17"/>
  <c r="D53" i="17"/>
  <c r="C53" i="17"/>
  <c r="B53" i="17"/>
  <c r="S52" i="17"/>
  <c r="R52" i="17"/>
  <c r="Q52" i="17"/>
  <c r="N52" i="17"/>
  <c r="M52" i="17"/>
  <c r="L52" i="17"/>
  <c r="I52" i="17"/>
  <c r="H52" i="17"/>
  <c r="G52" i="17"/>
  <c r="D52" i="17"/>
  <c r="C52" i="17"/>
  <c r="B52" i="17"/>
  <c r="S51" i="17"/>
  <c r="R51" i="17"/>
  <c r="Q51" i="17"/>
  <c r="N51" i="17"/>
  <c r="M51" i="17"/>
  <c r="L51" i="17"/>
  <c r="I51" i="17"/>
  <c r="H51" i="17"/>
  <c r="G51" i="17"/>
  <c r="D51" i="17"/>
  <c r="C51" i="17"/>
  <c r="B51" i="17"/>
  <c r="S50" i="17"/>
  <c r="R50" i="17"/>
  <c r="Q50" i="17"/>
  <c r="N50" i="17"/>
  <c r="M50" i="17"/>
  <c r="L50" i="17"/>
  <c r="I50" i="17"/>
  <c r="H50" i="17"/>
  <c r="G50" i="17"/>
  <c r="D50" i="17"/>
  <c r="C50" i="17"/>
  <c r="B50" i="17"/>
  <c r="S49" i="17"/>
  <c r="R49" i="17"/>
  <c r="Q49" i="17"/>
  <c r="N49" i="17"/>
  <c r="M49" i="17"/>
  <c r="L49" i="17"/>
  <c r="I49" i="17"/>
  <c r="H49" i="17"/>
  <c r="G49" i="17"/>
  <c r="D49" i="17"/>
  <c r="C49" i="17"/>
  <c r="B49" i="17"/>
  <c r="S48" i="17"/>
  <c r="R48" i="17"/>
  <c r="Q48" i="17"/>
  <c r="N48" i="17"/>
  <c r="M48" i="17"/>
  <c r="L48" i="17"/>
  <c r="I48" i="17"/>
  <c r="H48" i="17"/>
  <c r="G48" i="17"/>
  <c r="D48" i="17"/>
  <c r="C48" i="17"/>
  <c r="B48" i="17"/>
  <c r="S47" i="17"/>
  <c r="R47" i="17"/>
  <c r="Q47" i="17"/>
  <c r="N47" i="17"/>
  <c r="M47" i="17"/>
  <c r="L47" i="17"/>
  <c r="I47" i="17"/>
  <c r="H47" i="17"/>
  <c r="G47" i="17"/>
  <c r="D47" i="17"/>
  <c r="C47" i="17"/>
  <c r="B47" i="17"/>
  <c r="S46" i="17"/>
  <c r="R46" i="17"/>
  <c r="Q46" i="17"/>
  <c r="N46" i="17"/>
  <c r="M46" i="17"/>
  <c r="L46" i="17"/>
  <c r="I46" i="17"/>
  <c r="H46" i="17"/>
  <c r="G46" i="17"/>
  <c r="D46" i="17"/>
  <c r="C46" i="17"/>
  <c r="B46" i="17"/>
  <c r="S45" i="17"/>
  <c r="R45" i="17"/>
  <c r="Q45" i="17"/>
  <c r="N45" i="17"/>
  <c r="M45" i="17"/>
  <c r="L45" i="17"/>
  <c r="I45" i="17"/>
  <c r="H45" i="17"/>
  <c r="G45" i="17"/>
  <c r="D45" i="17"/>
  <c r="C45" i="17"/>
  <c r="B45" i="17"/>
  <c r="S44" i="17"/>
  <c r="R44" i="17"/>
  <c r="Q44" i="17"/>
  <c r="N44" i="17"/>
  <c r="M44" i="17"/>
  <c r="L44" i="17"/>
  <c r="I44" i="17"/>
  <c r="H44" i="17"/>
  <c r="G44" i="17"/>
  <c r="D44" i="17"/>
  <c r="C44" i="17"/>
  <c r="B44" i="17"/>
  <c r="S43" i="17"/>
  <c r="R43" i="17"/>
  <c r="Q43" i="17"/>
  <c r="N43" i="17"/>
  <c r="M43" i="17"/>
  <c r="L43" i="17"/>
  <c r="I43" i="17"/>
  <c r="H43" i="17"/>
  <c r="G43" i="17"/>
  <c r="D43" i="17"/>
  <c r="C43" i="17"/>
  <c r="B43" i="17"/>
  <c r="S42" i="17"/>
  <c r="R42" i="17"/>
  <c r="Q42" i="17"/>
  <c r="N42" i="17"/>
  <c r="M42" i="17"/>
  <c r="L42" i="17"/>
  <c r="I42" i="17"/>
  <c r="H42" i="17"/>
  <c r="G42" i="17"/>
  <c r="D42" i="17"/>
  <c r="C42" i="17"/>
  <c r="B42" i="17"/>
  <c r="S41" i="17"/>
  <c r="R41" i="17"/>
  <c r="Q41" i="17"/>
  <c r="N41" i="17"/>
  <c r="M41" i="17"/>
  <c r="L41" i="17"/>
  <c r="I41" i="17"/>
  <c r="H41" i="17"/>
  <c r="G41" i="17"/>
  <c r="D41" i="17"/>
  <c r="C41" i="17"/>
  <c r="B41" i="17"/>
  <c r="S40" i="17"/>
  <c r="R40" i="17"/>
  <c r="Q40" i="17"/>
  <c r="N40" i="17"/>
  <c r="M40" i="17"/>
  <c r="L40" i="17"/>
  <c r="I40" i="17"/>
  <c r="H40" i="17"/>
  <c r="G40" i="17"/>
  <c r="D40" i="17"/>
  <c r="C40" i="17"/>
  <c r="B40" i="17"/>
  <c r="S39" i="17"/>
  <c r="R39" i="17"/>
  <c r="Q39" i="17"/>
  <c r="N39" i="17"/>
  <c r="M39" i="17"/>
  <c r="L39" i="17"/>
  <c r="I39" i="17"/>
  <c r="H39" i="17"/>
  <c r="G39" i="17"/>
  <c r="D39" i="17"/>
  <c r="C39" i="17"/>
  <c r="B39" i="17"/>
  <c r="S38" i="17"/>
  <c r="R38" i="17"/>
  <c r="Q38" i="17"/>
  <c r="N38" i="17"/>
  <c r="M38" i="17"/>
  <c r="L38" i="17"/>
  <c r="I38" i="17"/>
  <c r="H38" i="17"/>
  <c r="G38" i="17"/>
  <c r="D38" i="17"/>
  <c r="C38" i="17"/>
  <c r="B38" i="17"/>
  <c r="S37" i="17"/>
  <c r="R37" i="17"/>
  <c r="Q37" i="17"/>
  <c r="N37" i="17"/>
  <c r="M37" i="17"/>
  <c r="L37" i="17"/>
  <c r="I37" i="17"/>
  <c r="H37" i="17"/>
  <c r="G37" i="17"/>
  <c r="D37" i="17"/>
  <c r="C37" i="17"/>
  <c r="B37" i="17"/>
  <c r="S36" i="17"/>
  <c r="R36" i="17"/>
  <c r="Q36" i="17"/>
  <c r="N36" i="17"/>
  <c r="M36" i="17"/>
  <c r="L36" i="17"/>
  <c r="I36" i="17"/>
  <c r="H36" i="17"/>
  <c r="G36" i="17"/>
  <c r="D36" i="17"/>
  <c r="C36" i="17"/>
  <c r="B36" i="17"/>
  <c r="S35" i="17"/>
  <c r="R35" i="17"/>
  <c r="Q35" i="17"/>
  <c r="N35" i="17"/>
  <c r="M35" i="17"/>
  <c r="L35" i="17"/>
  <c r="I35" i="17"/>
  <c r="H35" i="17"/>
  <c r="G35" i="17"/>
  <c r="D35" i="17"/>
  <c r="C35" i="17"/>
  <c r="B35" i="17"/>
  <c r="S34" i="17"/>
  <c r="R34" i="17"/>
  <c r="Q34" i="17"/>
  <c r="N34" i="17"/>
  <c r="M34" i="17"/>
  <c r="L34" i="17"/>
  <c r="I34" i="17"/>
  <c r="H34" i="17"/>
  <c r="G34" i="17"/>
  <c r="D34" i="17"/>
  <c r="C34" i="17"/>
  <c r="B34" i="17"/>
  <c r="S33" i="17"/>
  <c r="R33" i="17"/>
  <c r="Q33" i="17"/>
  <c r="N33" i="17"/>
  <c r="M33" i="17"/>
  <c r="L33" i="17"/>
  <c r="I33" i="17"/>
  <c r="H33" i="17"/>
  <c r="G33" i="17"/>
  <c r="D33" i="17"/>
  <c r="C33" i="17"/>
  <c r="B33" i="17"/>
  <c r="S32" i="17"/>
  <c r="R32" i="17"/>
  <c r="Q32" i="17"/>
  <c r="N32" i="17"/>
  <c r="M32" i="17"/>
  <c r="L32" i="17"/>
  <c r="I32" i="17"/>
  <c r="H32" i="17"/>
  <c r="G32" i="17"/>
  <c r="D32" i="17"/>
  <c r="C32" i="17"/>
  <c r="B32" i="17"/>
  <c r="S31" i="17"/>
  <c r="R31" i="17"/>
  <c r="Q31" i="17"/>
  <c r="N31" i="17"/>
  <c r="M31" i="17"/>
  <c r="L31" i="17"/>
  <c r="I31" i="17"/>
  <c r="H31" i="17"/>
  <c r="G31" i="17"/>
  <c r="D31" i="17"/>
  <c r="C31" i="17"/>
  <c r="B31" i="17"/>
  <c r="S30" i="17"/>
  <c r="R30" i="17"/>
  <c r="Q30" i="17"/>
  <c r="N30" i="17"/>
  <c r="M30" i="17"/>
  <c r="L30" i="17"/>
  <c r="I30" i="17"/>
  <c r="H30" i="17"/>
  <c r="G30" i="17"/>
  <c r="D30" i="17"/>
  <c r="C30" i="17"/>
  <c r="B30" i="17"/>
  <c r="S29" i="17"/>
  <c r="R29" i="17"/>
  <c r="Q29" i="17"/>
  <c r="N29" i="17"/>
  <c r="M29" i="17"/>
  <c r="L29" i="17"/>
  <c r="I29" i="17"/>
  <c r="H29" i="17"/>
  <c r="G29" i="17"/>
  <c r="D29" i="17"/>
  <c r="C29" i="17"/>
  <c r="B29" i="17"/>
  <c r="S28" i="17"/>
  <c r="R28" i="17"/>
  <c r="Q28" i="17"/>
  <c r="N28" i="17"/>
  <c r="M28" i="17"/>
  <c r="L28" i="17"/>
  <c r="I28" i="17"/>
  <c r="H28" i="17"/>
  <c r="G28" i="17"/>
  <c r="D28" i="17"/>
  <c r="C28" i="17"/>
  <c r="B28" i="17"/>
  <c r="S27" i="17"/>
  <c r="R27" i="17"/>
  <c r="Q27" i="17"/>
  <c r="N27" i="17"/>
  <c r="M27" i="17"/>
  <c r="L27" i="17"/>
  <c r="I27" i="17"/>
  <c r="H27" i="17"/>
  <c r="G27" i="17"/>
  <c r="D27" i="17"/>
  <c r="C27" i="17"/>
  <c r="B27" i="17"/>
  <c r="S26" i="17"/>
  <c r="R26" i="17"/>
  <c r="Q26" i="17"/>
  <c r="N26" i="17"/>
  <c r="M26" i="17"/>
  <c r="L26" i="17"/>
  <c r="I26" i="17"/>
  <c r="H26" i="17"/>
  <c r="G26" i="17"/>
  <c r="D26" i="17"/>
  <c r="C26" i="17"/>
  <c r="B26" i="17"/>
  <c r="S25" i="17"/>
  <c r="R25" i="17"/>
  <c r="Q25" i="17"/>
  <c r="N25" i="17"/>
  <c r="M25" i="17"/>
  <c r="L25" i="17"/>
  <c r="I25" i="17"/>
  <c r="H25" i="17"/>
  <c r="G25" i="17"/>
  <c r="D25" i="17"/>
  <c r="C25" i="17"/>
  <c r="B25" i="17"/>
  <c r="X24" i="17"/>
  <c r="W24" i="17"/>
  <c r="V24" i="17"/>
  <c r="S24" i="17"/>
  <c r="R24" i="17"/>
  <c r="Q24" i="17"/>
  <c r="N24" i="17"/>
  <c r="M24" i="17"/>
  <c r="L24" i="17"/>
  <c r="I24" i="17"/>
  <c r="H24" i="17"/>
  <c r="G24" i="17"/>
  <c r="D24" i="17"/>
  <c r="C24" i="17"/>
  <c r="B24" i="17"/>
  <c r="X23" i="17"/>
  <c r="W23" i="17"/>
  <c r="V23" i="17"/>
  <c r="S23" i="17"/>
  <c r="R23" i="17"/>
  <c r="Q23" i="17"/>
  <c r="N23" i="17"/>
  <c r="M23" i="17"/>
  <c r="L23" i="17"/>
  <c r="I23" i="17"/>
  <c r="H23" i="17"/>
  <c r="G23" i="17"/>
  <c r="D23" i="17"/>
  <c r="C23" i="17"/>
  <c r="B23" i="17"/>
  <c r="X22" i="17"/>
  <c r="W22" i="17"/>
  <c r="V22" i="17"/>
  <c r="S22" i="17"/>
  <c r="R22" i="17"/>
  <c r="Q22" i="17"/>
  <c r="N22" i="17"/>
  <c r="M22" i="17"/>
  <c r="L22" i="17"/>
  <c r="I22" i="17"/>
  <c r="H22" i="17"/>
  <c r="G22" i="17"/>
  <c r="D22" i="17"/>
  <c r="C22" i="17"/>
  <c r="B22" i="17"/>
  <c r="X21" i="17"/>
  <c r="W21" i="17"/>
  <c r="V21" i="17"/>
  <c r="S21" i="17"/>
  <c r="R21" i="17"/>
  <c r="Q21" i="17"/>
  <c r="N21" i="17"/>
  <c r="M21" i="17"/>
  <c r="L21" i="17"/>
  <c r="I21" i="17"/>
  <c r="H21" i="17"/>
  <c r="G21" i="17"/>
  <c r="D21" i="17"/>
  <c r="C21" i="17"/>
  <c r="B21" i="17"/>
  <c r="X20" i="17"/>
  <c r="W20" i="17"/>
  <c r="V20" i="17"/>
  <c r="S20" i="17"/>
  <c r="R20" i="17"/>
  <c r="Q20" i="17"/>
  <c r="N20" i="17"/>
  <c r="M20" i="17"/>
  <c r="L20" i="17"/>
  <c r="I20" i="17"/>
  <c r="H20" i="17"/>
  <c r="G20" i="17"/>
  <c r="D20" i="17"/>
  <c r="C20" i="17"/>
  <c r="B20" i="17"/>
  <c r="X19" i="17"/>
  <c r="W19" i="17"/>
  <c r="V19" i="17"/>
  <c r="S19" i="17"/>
  <c r="R19" i="17"/>
  <c r="Q19" i="17"/>
  <c r="N19" i="17"/>
  <c r="M19" i="17"/>
  <c r="L19" i="17"/>
  <c r="I19" i="17"/>
  <c r="H19" i="17"/>
  <c r="G19" i="17"/>
  <c r="D19" i="17"/>
  <c r="C19" i="17"/>
  <c r="B19" i="17"/>
  <c r="X18" i="17"/>
  <c r="W18" i="17"/>
  <c r="V18" i="17"/>
  <c r="S18" i="17"/>
  <c r="R18" i="17"/>
  <c r="Q18" i="17"/>
  <c r="N18" i="17"/>
  <c r="M18" i="17"/>
  <c r="L18" i="17"/>
  <c r="I18" i="17"/>
  <c r="H18" i="17"/>
  <c r="G18" i="17"/>
  <c r="E18" i="17"/>
  <c r="D18" i="17"/>
  <c r="C18" i="17"/>
  <c r="B18" i="17"/>
  <c r="X17" i="17"/>
  <c r="W17" i="17"/>
  <c r="V17" i="17"/>
  <c r="S17" i="17"/>
  <c r="R17" i="17"/>
  <c r="Q17" i="17"/>
  <c r="N17" i="17"/>
  <c r="M17" i="17"/>
  <c r="L17" i="17"/>
  <c r="I17" i="17"/>
  <c r="H17" i="17"/>
  <c r="G17" i="17"/>
  <c r="E17" i="17"/>
  <c r="D17" i="17"/>
  <c r="C17" i="17"/>
  <c r="B17" i="17"/>
  <c r="X16" i="17"/>
  <c r="W16" i="17"/>
  <c r="V16" i="17"/>
  <c r="S16" i="17"/>
  <c r="R16" i="17"/>
  <c r="Q16" i="17"/>
  <c r="N16" i="17"/>
  <c r="M16" i="17"/>
  <c r="L16" i="17"/>
  <c r="I16" i="17"/>
  <c r="H16" i="17"/>
  <c r="G16" i="17"/>
  <c r="E16" i="17"/>
  <c r="D16" i="17"/>
  <c r="C16" i="17"/>
  <c r="B16" i="17"/>
  <c r="X15" i="17"/>
  <c r="W15" i="17"/>
  <c r="V15" i="17"/>
  <c r="S15" i="17"/>
  <c r="R15" i="17"/>
  <c r="Q15" i="17"/>
  <c r="N15" i="17"/>
  <c r="M15" i="17"/>
  <c r="L15" i="17"/>
  <c r="I15" i="17"/>
  <c r="H15" i="17"/>
  <c r="G15" i="17"/>
  <c r="E15" i="17"/>
  <c r="D15" i="17"/>
  <c r="C15" i="17"/>
  <c r="B15" i="17"/>
  <c r="X14" i="17"/>
  <c r="W14" i="17"/>
  <c r="V14" i="17"/>
  <c r="S14" i="17"/>
  <c r="R14" i="17"/>
  <c r="Q14" i="17"/>
  <c r="N14" i="17"/>
  <c r="M14" i="17"/>
  <c r="L14" i="17"/>
  <c r="I14" i="17"/>
  <c r="H14" i="17"/>
  <c r="G14" i="17"/>
  <c r="E14" i="17"/>
  <c r="D14" i="17"/>
  <c r="C14" i="17"/>
  <c r="B14" i="17"/>
  <c r="X13" i="17"/>
  <c r="W13" i="17"/>
  <c r="V13" i="17"/>
  <c r="S13" i="17"/>
  <c r="R13" i="17"/>
  <c r="Q13" i="17"/>
  <c r="N13" i="17"/>
  <c r="M13" i="17"/>
  <c r="L13" i="17"/>
  <c r="I13" i="17"/>
  <c r="H13" i="17"/>
  <c r="G13" i="17"/>
  <c r="E13" i="17"/>
  <c r="D13" i="17"/>
  <c r="C13" i="17"/>
  <c r="B13" i="17"/>
  <c r="X12" i="17"/>
  <c r="W12" i="17"/>
  <c r="V12" i="17"/>
  <c r="S12" i="17"/>
  <c r="R12" i="17"/>
  <c r="Q12" i="17"/>
  <c r="N12" i="17"/>
  <c r="M12" i="17"/>
  <c r="L12" i="17"/>
  <c r="I12" i="17"/>
  <c r="H12" i="17"/>
  <c r="G12" i="17"/>
  <c r="E12" i="17"/>
  <c r="D12" i="17"/>
  <c r="C12" i="17"/>
  <c r="B12" i="17"/>
  <c r="X11" i="17"/>
  <c r="W11" i="17"/>
  <c r="V11" i="17"/>
  <c r="S11" i="17"/>
  <c r="R11" i="17"/>
  <c r="Q11" i="17"/>
  <c r="N11" i="17"/>
  <c r="M11" i="17"/>
  <c r="L11" i="17"/>
  <c r="I11" i="17"/>
  <c r="H11" i="17"/>
  <c r="G11" i="17"/>
  <c r="E11" i="17"/>
  <c r="D11" i="17"/>
  <c r="C11" i="17"/>
  <c r="B11" i="17"/>
  <c r="AC10" i="17"/>
  <c r="AB10" i="17"/>
  <c r="AA10" i="17"/>
  <c r="X10" i="17"/>
  <c r="W10" i="17"/>
  <c r="V10" i="17"/>
  <c r="S10" i="17"/>
  <c r="R10" i="17"/>
  <c r="Q10" i="17"/>
  <c r="N10" i="17"/>
  <c r="M10" i="17"/>
  <c r="L10" i="17"/>
  <c r="J10" i="17"/>
  <c r="I10" i="17"/>
  <c r="H10" i="17"/>
  <c r="G10" i="17"/>
  <c r="E10" i="17"/>
  <c r="D10" i="17"/>
  <c r="C10" i="17"/>
  <c r="B10" i="17"/>
  <c r="AC9" i="17"/>
  <c r="AB9" i="17"/>
  <c r="AA9" i="17"/>
  <c r="X9" i="17"/>
  <c r="W9" i="17"/>
  <c r="V9" i="17"/>
  <c r="S9" i="17"/>
  <c r="R9" i="17"/>
  <c r="Q9" i="17"/>
  <c r="N9" i="17"/>
  <c r="M9" i="17"/>
  <c r="L9" i="17"/>
  <c r="J9" i="17"/>
  <c r="I9" i="17"/>
  <c r="H9" i="17"/>
  <c r="G9" i="17"/>
  <c r="E9" i="17"/>
  <c r="D9" i="17"/>
  <c r="C9" i="17"/>
  <c r="B9" i="17"/>
  <c r="AC8" i="17"/>
  <c r="AB8" i="17"/>
  <c r="AA8" i="17"/>
  <c r="X8" i="17"/>
  <c r="W8" i="17"/>
  <c r="V8" i="17"/>
  <c r="S8" i="17"/>
  <c r="R8" i="17"/>
  <c r="Q8" i="17"/>
  <c r="N8" i="17"/>
  <c r="M8" i="17"/>
  <c r="L8" i="17"/>
  <c r="J8" i="17"/>
  <c r="I8" i="17"/>
  <c r="H8" i="17"/>
  <c r="G8" i="17"/>
  <c r="E8" i="17"/>
  <c r="D8" i="17"/>
  <c r="C8" i="17"/>
  <c r="B8" i="17"/>
  <c r="AH7" i="17"/>
  <c r="AG7" i="17"/>
  <c r="AF7" i="17"/>
  <c r="AC7" i="17"/>
  <c r="AB7" i="17"/>
  <c r="AA7" i="17"/>
  <c r="X7" i="17"/>
  <c r="W7" i="17"/>
  <c r="V7" i="17"/>
  <c r="T7" i="17"/>
  <c r="S7" i="17"/>
  <c r="R7" i="17"/>
  <c r="Q7" i="17"/>
  <c r="N7" i="17"/>
  <c r="M7" i="17"/>
  <c r="L7" i="17"/>
  <c r="J7" i="17"/>
  <c r="I7" i="17"/>
  <c r="H7" i="17"/>
  <c r="G7" i="17"/>
  <c r="E7" i="17"/>
  <c r="D7" i="17"/>
  <c r="C7" i="17"/>
  <c r="B7" i="17"/>
  <c r="AH6" i="17"/>
  <c r="AG6" i="17"/>
  <c r="AF6" i="17"/>
  <c r="AC6" i="17"/>
  <c r="AB6" i="17"/>
  <c r="AA6" i="17"/>
  <c r="X6" i="17"/>
  <c r="W6" i="17"/>
  <c r="V6" i="17"/>
  <c r="T6" i="17"/>
  <c r="S6" i="17"/>
  <c r="R6" i="17"/>
  <c r="Q6" i="17"/>
  <c r="O6" i="17"/>
  <c r="N6" i="17"/>
  <c r="M6" i="17"/>
  <c r="L6" i="17"/>
  <c r="J6" i="17"/>
  <c r="I6" i="17"/>
  <c r="H6" i="17"/>
  <c r="G6" i="17"/>
  <c r="E6" i="17"/>
  <c r="D6" i="17"/>
  <c r="C6" i="17"/>
  <c r="B6" i="17"/>
  <c r="AH5" i="17"/>
  <c r="AG5" i="17"/>
  <c r="AF5" i="17"/>
  <c r="AC5" i="17"/>
  <c r="AB5" i="17"/>
  <c r="AA5" i="17"/>
  <c r="X5" i="17"/>
  <c r="W5" i="17"/>
  <c r="V5" i="17"/>
  <c r="T5" i="17"/>
  <c r="S5" i="17"/>
  <c r="R5" i="17"/>
  <c r="Q5" i="17"/>
  <c r="O5" i="17"/>
  <c r="N5" i="17"/>
  <c r="M5" i="17"/>
  <c r="L5" i="17"/>
  <c r="J5" i="17"/>
  <c r="I5" i="17"/>
  <c r="H5" i="17"/>
  <c r="G5" i="17"/>
  <c r="E5" i="17"/>
  <c r="D5" i="17"/>
  <c r="C5" i="17"/>
  <c r="B5" i="17"/>
  <c r="AI4" i="17"/>
  <c r="AH4" i="17"/>
  <c r="AG4" i="17"/>
  <c r="AF4" i="17"/>
  <c r="AD4" i="17"/>
  <c r="AC4" i="17"/>
  <c r="AB4" i="17"/>
  <c r="AA4" i="17"/>
  <c r="Y4" i="17"/>
  <c r="X4" i="17"/>
  <c r="W4" i="17"/>
  <c r="V4" i="17"/>
  <c r="T4" i="17"/>
  <c r="S4" i="17"/>
  <c r="R4" i="17"/>
  <c r="Q4" i="17"/>
  <c r="O4" i="17"/>
  <c r="N4" i="17"/>
  <c r="M4" i="17"/>
  <c r="L4" i="17"/>
  <c r="J4" i="17"/>
  <c r="I4" i="17"/>
  <c r="H4" i="17"/>
  <c r="G4" i="17"/>
  <c r="E4" i="17"/>
  <c r="D4" i="17"/>
  <c r="C4" i="17"/>
  <c r="B4" i="17"/>
  <c r="AI3" i="17"/>
  <c r="AH3" i="17"/>
  <c r="AG3" i="17"/>
  <c r="AF3" i="17"/>
  <c r="AD3" i="17"/>
  <c r="AC3" i="17"/>
  <c r="AB3" i="17"/>
  <c r="AA3" i="17"/>
  <c r="Y3" i="17"/>
  <c r="X3" i="17"/>
  <c r="W3" i="17"/>
  <c r="V3" i="17"/>
  <c r="T3" i="17"/>
  <c r="S3" i="17"/>
  <c r="R3" i="17"/>
  <c r="Q3" i="17"/>
  <c r="O3" i="17"/>
  <c r="N3" i="17"/>
  <c r="M3" i="17"/>
  <c r="L3" i="17"/>
  <c r="J3" i="17"/>
  <c r="I3" i="17"/>
  <c r="H3" i="17"/>
  <c r="G3" i="17"/>
  <c r="E3" i="17"/>
  <c r="D3" i="17"/>
  <c r="C3" i="17"/>
  <c r="B3" i="17"/>
  <c r="AF1" i="17"/>
  <c r="AA1" i="17"/>
  <c r="V1" i="17"/>
  <c r="Q1" i="17"/>
  <c r="L1" i="17"/>
  <c r="G1" i="17"/>
  <c r="D42" i="16"/>
  <c r="C42" i="16"/>
  <c r="B42" i="16"/>
  <c r="D41" i="16"/>
  <c r="C41" i="16"/>
  <c r="B41" i="16"/>
  <c r="D40" i="16"/>
  <c r="C40" i="16"/>
  <c r="B40" i="16"/>
  <c r="D39" i="16"/>
  <c r="C39" i="16"/>
  <c r="B39" i="16"/>
  <c r="D38" i="16"/>
  <c r="C38" i="16"/>
  <c r="B38" i="16"/>
  <c r="D37" i="16"/>
  <c r="C37" i="16"/>
  <c r="B37" i="16"/>
  <c r="D36" i="16"/>
  <c r="C36" i="16"/>
  <c r="B36" i="16"/>
  <c r="D35" i="16"/>
  <c r="C35" i="16"/>
  <c r="B35" i="16"/>
  <c r="D34" i="16"/>
  <c r="C34" i="16"/>
  <c r="B34" i="16"/>
  <c r="D33" i="16"/>
  <c r="C33" i="16"/>
  <c r="B33" i="16"/>
  <c r="D32" i="16"/>
  <c r="C32" i="16"/>
  <c r="B32" i="16"/>
  <c r="D31" i="16"/>
  <c r="C31" i="16"/>
  <c r="B31" i="16"/>
  <c r="D30" i="16"/>
  <c r="C30" i="16"/>
  <c r="B30" i="16"/>
  <c r="I29" i="16"/>
  <c r="H29" i="16"/>
  <c r="G29" i="16"/>
  <c r="D29" i="16"/>
  <c r="C29" i="16"/>
  <c r="B29" i="16"/>
  <c r="I28" i="16"/>
  <c r="H28" i="16"/>
  <c r="G28" i="16"/>
  <c r="D28" i="16"/>
  <c r="C28" i="16"/>
  <c r="B28" i="16"/>
  <c r="N27" i="16"/>
  <c r="M27" i="16"/>
  <c r="L27" i="16"/>
  <c r="I27" i="16"/>
  <c r="H27" i="16"/>
  <c r="G27" i="16"/>
  <c r="D27" i="16"/>
  <c r="C27" i="16"/>
  <c r="B27" i="16"/>
  <c r="N26" i="16"/>
  <c r="M26" i="16"/>
  <c r="L26" i="16"/>
  <c r="I26" i="16"/>
  <c r="H26" i="16"/>
  <c r="G26" i="16"/>
  <c r="D26" i="16"/>
  <c r="C26" i="16"/>
  <c r="B26" i="16"/>
  <c r="N25" i="16"/>
  <c r="M25" i="16"/>
  <c r="L25" i="16"/>
  <c r="I25" i="16"/>
  <c r="H25" i="16"/>
  <c r="G25" i="16"/>
  <c r="D25" i="16"/>
  <c r="C25" i="16"/>
  <c r="B25" i="16"/>
  <c r="AH24" i="16"/>
  <c r="AG24" i="16"/>
  <c r="AF24" i="16"/>
  <c r="N24" i="16"/>
  <c r="M24" i="16"/>
  <c r="L24" i="16"/>
  <c r="I24" i="16"/>
  <c r="H24" i="16"/>
  <c r="G24" i="16"/>
  <c r="D24" i="16"/>
  <c r="C24" i="16"/>
  <c r="B24" i="16"/>
  <c r="AH23" i="16"/>
  <c r="AG23" i="16"/>
  <c r="AF23" i="16"/>
  <c r="N23" i="16"/>
  <c r="M23" i="16"/>
  <c r="L23" i="16"/>
  <c r="I23" i="16"/>
  <c r="H23" i="16"/>
  <c r="G23" i="16"/>
  <c r="D23" i="16"/>
  <c r="C23" i="16"/>
  <c r="B23" i="16"/>
  <c r="AH22" i="16"/>
  <c r="AG22" i="16"/>
  <c r="AF22" i="16"/>
  <c r="AC22" i="16"/>
  <c r="AB22" i="16"/>
  <c r="AA22" i="16"/>
  <c r="N22" i="16"/>
  <c r="M22" i="16"/>
  <c r="L22" i="16"/>
  <c r="I22" i="16"/>
  <c r="H22" i="16"/>
  <c r="G22" i="16"/>
  <c r="D22" i="16"/>
  <c r="C22" i="16"/>
  <c r="B22" i="16"/>
  <c r="AH21" i="16"/>
  <c r="AG21" i="16"/>
  <c r="AF21" i="16"/>
  <c r="AC21" i="16"/>
  <c r="AB21" i="16"/>
  <c r="AA21" i="16"/>
  <c r="N21" i="16"/>
  <c r="M21" i="16"/>
  <c r="L21" i="16"/>
  <c r="I21" i="16"/>
  <c r="H21" i="16"/>
  <c r="G21" i="16"/>
  <c r="D21" i="16"/>
  <c r="C21" i="16"/>
  <c r="B21" i="16"/>
  <c r="AH20" i="16"/>
  <c r="AG20" i="16"/>
  <c r="AF20" i="16"/>
  <c r="AC20" i="16"/>
  <c r="AB20" i="16"/>
  <c r="AA20" i="16"/>
  <c r="S20" i="16"/>
  <c r="R20" i="16"/>
  <c r="Q20" i="16"/>
  <c r="N20" i="16"/>
  <c r="M20" i="16"/>
  <c r="L20" i="16"/>
  <c r="I20" i="16"/>
  <c r="H20" i="16"/>
  <c r="G20" i="16"/>
  <c r="D20" i="16"/>
  <c r="C20" i="16"/>
  <c r="B20" i="16"/>
  <c r="AH19" i="16"/>
  <c r="AG19" i="16"/>
  <c r="AF19" i="16"/>
  <c r="AC19" i="16"/>
  <c r="AB19" i="16"/>
  <c r="AA19" i="16"/>
  <c r="S19" i="16"/>
  <c r="R19" i="16"/>
  <c r="Q19" i="16"/>
  <c r="N19" i="16"/>
  <c r="M19" i="16"/>
  <c r="L19" i="16"/>
  <c r="I19" i="16"/>
  <c r="H19" i="16"/>
  <c r="G19" i="16"/>
  <c r="D19" i="16"/>
  <c r="C19" i="16"/>
  <c r="B19" i="16"/>
  <c r="AH18" i="16"/>
  <c r="AG18" i="16"/>
  <c r="AF18" i="16"/>
  <c r="AC18" i="16"/>
  <c r="AB18" i="16"/>
  <c r="AA18" i="16"/>
  <c r="S18" i="16"/>
  <c r="R18" i="16"/>
  <c r="Q18" i="16"/>
  <c r="N18" i="16"/>
  <c r="M18" i="16"/>
  <c r="L18" i="16"/>
  <c r="I18" i="16"/>
  <c r="H18" i="16"/>
  <c r="G18" i="16"/>
  <c r="D18" i="16"/>
  <c r="C18" i="16"/>
  <c r="B18" i="16"/>
  <c r="AH17" i="16"/>
  <c r="AG17" i="16"/>
  <c r="AF17" i="16"/>
  <c r="AC17" i="16"/>
  <c r="AB17" i="16"/>
  <c r="AA17" i="16"/>
  <c r="S17" i="16"/>
  <c r="R17" i="16"/>
  <c r="Q17" i="16"/>
  <c r="N17" i="16"/>
  <c r="M17" i="16"/>
  <c r="L17" i="16"/>
  <c r="I17" i="16"/>
  <c r="H17" i="16"/>
  <c r="G17" i="16"/>
  <c r="D17" i="16"/>
  <c r="C17" i="16"/>
  <c r="B17" i="16"/>
  <c r="AH16" i="16"/>
  <c r="AG16" i="16"/>
  <c r="AF16" i="16"/>
  <c r="AC16" i="16"/>
  <c r="AB16" i="16"/>
  <c r="AA16" i="16"/>
  <c r="S16" i="16"/>
  <c r="R16" i="16"/>
  <c r="Q16" i="16"/>
  <c r="N16" i="16"/>
  <c r="M16" i="16"/>
  <c r="L16" i="16"/>
  <c r="I16" i="16"/>
  <c r="H16" i="16"/>
  <c r="G16" i="16"/>
  <c r="D16" i="16"/>
  <c r="C16" i="16"/>
  <c r="B16" i="16"/>
  <c r="AH15" i="16"/>
  <c r="AG15" i="16"/>
  <c r="AF15" i="16"/>
  <c r="AC15" i="16"/>
  <c r="AB15" i="16"/>
  <c r="AA15" i="16"/>
  <c r="S15" i="16"/>
  <c r="R15" i="16"/>
  <c r="Q15" i="16"/>
  <c r="N15" i="16"/>
  <c r="M15" i="16"/>
  <c r="L15" i="16"/>
  <c r="I15" i="16"/>
  <c r="H15" i="16"/>
  <c r="G15" i="16"/>
  <c r="D15" i="16"/>
  <c r="C15" i="16"/>
  <c r="B15" i="16"/>
  <c r="AH14" i="16"/>
  <c r="AG14" i="16"/>
  <c r="AF14" i="16"/>
  <c r="AC14" i="16"/>
  <c r="AB14" i="16"/>
  <c r="AA14" i="16"/>
  <c r="S14" i="16"/>
  <c r="R14" i="16"/>
  <c r="Q14" i="16"/>
  <c r="N14" i="16"/>
  <c r="M14" i="16"/>
  <c r="L14" i="16"/>
  <c r="I14" i="16"/>
  <c r="H14" i="16"/>
  <c r="G14" i="16"/>
  <c r="D14" i="16"/>
  <c r="C14" i="16"/>
  <c r="B14" i="16"/>
  <c r="AH13" i="16"/>
  <c r="AG13" i="16"/>
  <c r="AF13" i="16"/>
  <c r="AC13" i="16"/>
  <c r="AB13" i="16"/>
  <c r="AA13" i="16"/>
  <c r="S13" i="16"/>
  <c r="R13" i="16"/>
  <c r="Q13" i="16"/>
  <c r="N13" i="16"/>
  <c r="M13" i="16"/>
  <c r="L13" i="16"/>
  <c r="I13" i="16"/>
  <c r="H13" i="16"/>
  <c r="G13" i="16"/>
  <c r="D13" i="16"/>
  <c r="C13" i="16"/>
  <c r="B13" i="16"/>
  <c r="AH12" i="16"/>
  <c r="AG12" i="16"/>
  <c r="AF12" i="16"/>
  <c r="AC12" i="16"/>
  <c r="AB12" i="16"/>
  <c r="AA12" i="16"/>
  <c r="S12" i="16"/>
  <c r="R12" i="16"/>
  <c r="Q12" i="16"/>
  <c r="N12" i="16"/>
  <c r="M12" i="16"/>
  <c r="L12" i="16"/>
  <c r="I12" i="16"/>
  <c r="H12" i="16"/>
  <c r="G12" i="16"/>
  <c r="D12" i="16"/>
  <c r="C12" i="16"/>
  <c r="B12" i="16"/>
  <c r="AH11" i="16"/>
  <c r="AG11" i="16"/>
  <c r="AF11" i="16"/>
  <c r="AC11" i="16"/>
  <c r="AB11" i="16"/>
  <c r="AA11" i="16"/>
  <c r="S11" i="16"/>
  <c r="R11" i="16"/>
  <c r="Q11" i="16"/>
  <c r="N11" i="16"/>
  <c r="M11" i="16"/>
  <c r="L11" i="16"/>
  <c r="I11" i="16"/>
  <c r="H11" i="16"/>
  <c r="G11" i="16"/>
  <c r="D11" i="16"/>
  <c r="C11" i="16"/>
  <c r="B11" i="16"/>
  <c r="AH10" i="16"/>
  <c r="AG10" i="16"/>
  <c r="AF10" i="16"/>
  <c r="AC10" i="16"/>
  <c r="AB10" i="16"/>
  <c r="AA10" i="16"/>
  <c r="S10" i="16"/>
  <c r="R10" i="16"/>
  <c r="Q10" i="16"/>
  <c r="N10" i="16"/>
  <c r="M10" i="16"/>
  <c r="L10" i="16"/>
  <c r="I10" i="16"/>
  <c r="H10" i="16"/>
  <c r="G10" i="16"/>
  <c r="D10" i="16"/>
  <c r="C10" i="16"/>
  <c r="B10" i="16"/>
  <c r="AH9" i="16"/>
  <c r="AG9" i="16"/>
  <c r="AF9" i="16"/>
  <c r="AC9" i="16"/>
  <c r="AB9" i="16"/>
  <c r="AA9" i="16"/>
  <c r="S9" i="16"/>
  <c r="R9" i="16"/>
  <c r="Q9" i="16"/>
  <c r="N9" i="16"/>
  <c r="M9" i="16"/>
  <c r="L9" i="16"/>
  <c r="I9" i="16"/>
  <c r="H9" i="16"/>
  <c r="G9" i="16"/>
  <c r="D9" i="16"/>
  <c r="C9" i="16"/>
  <c r="B9" i="16"/>
  <c r="AH8" i="16"/>
  <c r="AG8" i="16"/>
  <c r="AF8" i="16"/>
  <c r="AC8" i="16"/>
  <c r="AB8" i="16"/>
  <c r="AA8" i="16"/>
  <c r="S8" i="16"/>
  <c r="R8" i="16"/>
  <c r="Q8" i="16"/>
  <c r="N8" i="16"/>
  <c r="M8" i="16"/>
  <c r="L8" i="16"/>
  <c r="I8" i="16"/>
  <c r="H8" i="16"/>
  <c r="G8" i="16"/>
  <c r="D8" i="16"/>
  <c r="C8" i="16"/>
  <c r="B8" i="16"/>
  <c r="AH7" i="16"/>
  <c r="AG7" i="16"/>
  <c r="AF7" i="16"/>
  <c r="AC7" i="16"/>
  <c r="AB7" i="16"/>
  <c r="AA7" i="16"/>
  <c r="S7" i="16"/>
  <c r="R7" i="16"/>
  <c r="Q7" i="16"/>
  <c r="N7" i="16"/>
  <c r="M7" i="16"/>
  <c r="L7" i="16"/>
  <c r="I7" i="16"/>
  <c r="H7" i="16"/>
  <c r="G7" i="16"/>
  <c r="E7" i="16"/>
  <c r="D7" i="16"/>
  <c r="C7" i="16"/>
  <c r="B7" i="16"/>
  <c r="AI6" i="16"/>
  <c r="AH6" i="16"/>
  <c r="AG6" i="16"/>
  <c r="AF6" i="16"/>
  <c r="AC6" i="16"/>
  <c r="AB6" i="16"/>
  <c r="AA6" i="16"/>
  <c r="X6" i="16"/>
  <c r="W6" i="16"/>
  <c r="V6" i="16"/>
  <c r="S6" i="16"/>
  <c r="R6" i="16"/>
  <c r="Q6" i="16"/>
  <c r="O6" i="16"/>
  <c r="N6" i="16"/>
  <c r="M6" i="16"/>
  <c r="L6" i="16"/>
  <c r="I6" i="16"/>
  <c r="H6" i="16"/>
  <c r="G6" i="16"/>
  <c r="E6" i="16"/>
  <c r="D6" i="16"/>
  <c r="C6" i="16"/>
  <c r="B6" i="16"/>
  <c r="AI5" i="16"/>
  <c r="AH5" i="16"/>
  <c r="AG5" i="16"/>
  <c r="AF5" i="16"/>
  <c r="AD5" i="16"/>
  <c r="AC5" i="16"/>
  <c r="AB5" i="16"/>
  <c r="AA5" i="16"/>
  <c r="X5" i="16"/>
  <c r="W5" i="16"/>
  <c r="V5" i="16"/>
  <c r="T5" i="16"/>
  <c r="S5" i="16"/>
  <c r="R5" i="16"/>
  <c r="Q5" i="16"/>
  <c r="O5" i="16"/>
  <c r="N5" i="16"/>
  <c r="M5" i="16"/>
  <c r="L5" i="16"/>
  <c r="I5" i="16"/>
  <c r="H5" i="16"/>
  <c r="G5" i="16"/>
  <c r="E5" i="16"/>
  <c r="D5" i="16"/>
  <c r="C5" i="16"/>
  <c r="B5" i="16"/>
  <c r="AI4" i="16"/>
  <c r="AH4" i="16"/>
  <c r="AG4" i="16"/>
  <c r="AF4" i="16"/>
  <c r="AD4" i="16"/>
  <c r="AC4" i="16"/>
  <c r="AB4" i="16"/>
  <c r="AA4" i="16"/>
  <c r="Y4" i="16"/>
  <c r="X4" i="16"/>
  <c r="W4" i="16"/>
  <c r="V4" i="16"/>
  <c r="T4" i="16"/>
  <c r="S4" i="16"/>
  <c r="R4" i="16"/>
  <c r="Q4" i="16"/>
  <c r="O4" i="16"/>
  <c r="N4" i="16"/>
  <c r="M4" i="16"/>
  <c r="L4" i="16"/>
  <c r="J4" i="16"/>
  <c r="I4" i="16"/>
  <c r="H4" i="16"/>
  <c r="G4" i="16"/>
  <c r="E4" i="16"/>
  <c r="D4" i="16"/>
  <c r="C4" i="16"/>
  <c r="B4" i="16"/>
  <c r="AI3" i="16"/>
  <c r="AH3" i="16"/>
  <c r="AG3" i="16"/>
  <c r="AF3" i="16"/>
  <c r="AD3" i="16"/>
  <c r="AC3" i="16"/>
  <c r="AB3" i="16"/>
  <c r="AA3" i="16"/>
  <c r="Y3" i="16"/>
  <c r="X3" i="16"/>
  <c r="W3" i="16"/>
  <c r="V3" i="16"/>
  <c r="T3" i="16"/>
  <c r="S3" i="16"/>
  <c r="R3" i="16"/>
  <c r="Q3" i="16"/>
  <c r="O3" i="16"/>
  <c r="N3" i="16"/>
  <c r="M3" i="16"/>
  <c r="L3" i="16"/>
  <c r="J3" i="16"/>
  <c r="I3" i="16"/>
  <c r="H3" i="16"/>
  <c r="G3" i="16"/>
  <c r="E3" i="16"/>
  <c r="D3" i="16"/>
  <c r="C3" i="16"/>
  <c r="B3" i="16"/>
  <c r="AF1" i="16"/>
  <c r="AA1" i="16"/>
  <c r="V1" i="16"/>
  <c r="Q1" i="16"/>
  <c r="L1" i="16"/>
  <c r="G1" i="16"/>
  <c r="D122" i="15"/>
  <c r="C122" i="15"/>
  <c r="B122" i="15"/>
  <c r="D121" i="15"/>
  <c r="C121" i="15"/>
  <c r="B121" i="15"/>
  <c r="D120" i="15"/>
  <c r="C120" i="15"/>
  <c r="B120" i="15"/>
  <c r="D119" i="15"/>
  <c r="C119" i="15"/>
  <c r="B119" i="15"/>
  <c r="D118" i="15"/>
  <c r="C118" i="15"/>
  <c r="B118" i="15"/>
  <c r="D117" i="15"/>
  <c r="C117" i="15"/>
  <c r="B117" i="15"/>
  <c r="D116" i="15"/>
  <c r="C116" i="15"/>
  <c r="B116" i="15"/>
  <c r="D115" i="15"/>
  <c r="C115" i="15"/>
  <c r="B115" i="15"/>
  <c r="D114" i="15"/>
  <c r="C114" i="15"/>
  <c r="B114" i="15"/>
  <c r="D113" i="15"/>
  <c r="C113" i="15"/>
  <c r="B113" i="15"/>
  <c r="D112" i="15"/>
  <c r="C112" i="15"/>
  <c r="B112" i="15"/>
  <c r="D111" i="15"/>
  <c r="C111" i="15"/>
  <c r="B111" i="15"/>
  <c r="D110" i="15"/>
  <c r="C110" i="15"/>
  <c r="B110" i="15"/>
  <c r="D109" i="15"/>
  <c r="C109" i="15"/>
  <c r="B109" i="15"/>
  <c r="D108" i="15"/>
  <c r="C108" i="15"/>
  <c r="B108" i="15"/>
  <c r="D107" i="15"/>
  <c r="C107" i="15"/>
  <c r="B107" i="15"/>
  <c r="D106" i="15"/>
  <c r="C106" i="15"/>
  <c r="B106" i="15"/>
  <c r="D105" i="15"/>
  <c r="C105" i="15"/>
  <c r="B105" i="15"/>
  <c r="D104" i="15"/>
  <c r="C104" i="15"/>
  <c r="B104" i="15"/>
  <c r="D103" i="15"/>
  <c r="C103" i="15"/>
  <c r="B103" i="15"/>
  <c r="D102" i="15"/>
  <c r="C102" i="15"/>
  <c r="B102" i="15"/>
  <c r="D101" i="15"/>
  <c r="C101" i="15"/>
  <c r="B101" i="15"/>
  <c r="D100" i="15"/>
  <c r="C100" i="15"/>
  <c r="B100" i="15"/>
  <c r="D99" i="15"/>
  <c r="C99" i="15"/>
  <c r="B99" i="15"/>
  <c r="D98" i="15"/>
  <c r="C98" i="15"/>
  <c r="B98" i="15"/>
  <c r="D97" i="15"/>
  <c r="C97" i="15"/>
  <c r="B97" i="15"/>
  <c r="D96" i="15"/>
  <c r="C96" i="15"/>
  <c r="B96" i="15"/>
  <c r="D95" i="15"/>
  <c r="C95" i="15"/>
  <c r="B95" i="15"/>
  <c r="D94" i="15"/>
  <c r="C94" i="15"/>
  <c r="B94" i="15"/>
  <c r="D93" i="15"/>
  <c r="C93" i="15"/>
  <c r="B93" i="15"/>
  <c r="D92" i="15"/>
  <c r="C92" i="15"/>
  <c r="B92" i="15"/>
  <c r="D91" i="15"/>
  <c r="C91" i="15"/>
  <c r="B91" i="15"/>
  <c r="D90" i="15"/>
  <c r="C90" i="15"/>
  <c r="B90" i="15"/>
  <c r="D89" i="15"/>
  <c r="C89" i="15"/>
  <c r="B89" i="15"/>
  <c r="D88" i="15"/>
  <c r="C88" i="15"/>
  <c r="B88" i="15"/>
  <c r="D87" i="15"/>
  <c r="C87" i="15"/>
  <c r="B87" i="15"/>
  <c r="D86" i="15"/>
  <c r="C86" i="15"/>
  <c r="B86" i="15"/>
  <c r="D85" i="15"/>
  <c r="C85" i="15"/>
  <c r="B85" i="15"/>
  <c r="D84" i="15"/>
  <c r="C84" i="15"/>
  <c r="B84" i="15"/>
  <c r="D83" i="15"/>
  <c r="C83" i="15"/>
  <c r="B83" i="15"/>
  <c r="D82" i="15"/>
  <c r="C82" i="15"/>
  <c r="B82" i="15"/>
  <c r="D81" i="15"/>
  <c r="C81" i="15"/>
  <c r="B81" i="15"/>
  <c r="D80" i="15"/>
  <c r="C80" i="15"/>
  <c r="B80" i="15"/>
  <c r="D79" i="15"/>
  <c r="C79" i="15"/>
  <c r="B79" i="15"/>
  <c r="D78" i="15"/>
  <c r="C78" i="15"/>
  <c r="B78" i="15"/>
  <c r="D77" i="15"/>
  <c r="C77" i="15"/>
  <c r="B77" i="15"/>
  <c r="D76" i="15"/>
  <c r="C76" i="15"/>
  <c r="B76" i="15"/>
  <c r="D75" i="15"/>
  <c r="C75" i="15"/>
  <c r="B75" i="15"/>
  <c r="D74" i="15"/>
  <c r="C74" i="15"/>
  <c r="B74" i="15"/>
  <c r="D73" i="15"/>
  <c r="C73" i="15"/>
  <c r="B73" i="15"/>
  <c r="D72" i="15"/>
  <c r="C72" i="15"/>
  <c r="B72" i="15"/>
  <c r="D71" i="15"/>
  <c r="C71" i="15"/>
  <c r="B71" i="15"/>
  <c r="D70" i="15"/>
  <c r="C70" i="15"/>
  <c r="B70" i="15"/>
  <c r="D69" i="15"/>
  <c r="C69" i="15"/>
  <c r="B69" i="15"/>
  <c r="D68" i="15"/>
  <c r="C68" i="15"/>
  <c r="B68" i="15"/>
  <c r="S67" i="15"/>
  <c r="R67" i="15"/>
  <c r="Q67" i="15"/>
  <c r="D67" i="15"/>
  <c r="C67" i="15"/>
  <c r="B67" i="15"/>
  <c r="S66" i="15"/>
  <c r="R66" i="15"/>
  <c r="Q66" i="15"/>
  <c r="D66" i="15"/>
  <c r="C66" i="15"/>
  <c r="B66" i="15"/>
  <c r="S65" i="15"/>
  <c r="R65" i="15"/>
  <c r="Q65" i="15"/>
  <c r="D65" i="15"/>
  <c r="C65" i="15"/>
  <c r="B65" i="15"/>
  <c r="S64" i="15"/>
  <c r="R64" i="15"/>
  <c r="Q64" i="15"/>
  <c r="D64" i="15"/>
  <c r="C64" i="15"/>
  <c r="B64" i="15"/>
  <c r="S63" i="15"/>
  <c r="R63" i="15"/>
  <c r="Q63" i="15"/>
  <c r="D63" i="15"/>
  <c r="C63" i="15"/>
  <c r="B63" i="15"/>
  <c r="S62" i="15"/>
  <c r="R62" i="15"/>
  <c r="Q62" i="15"/>
  <c r="D62" i="15"/>
  <c r="C62" i="15"/>
  <c r="B62" i="15"/>
  <c r="S61" i="15"/>
  <c r="R61" i="15"/>
  <c r="Q61" i="15"/>
  <c r="D61" i="15"/>
  <c r="C61" i="15"/>
  <c r="B61" i="15"/>
  <c r="S60" i="15"/>
  <c r="R60" i="15"/>
  <c r="Q60" i="15"/>
  <c r="D60" i="15"/>
  <c r="C60" i="15"/>
  <c r="B60" i="15"/>
  <c r="S59" i="15"/>
  <c r="R59" i="15"/>
  <c r="Q59" i="15"/>
  <c r="D59" i="15"/>
  <c r="C59" i="15"/>
  <c r="B59" i="15"/>
  <c r="S58" i="15"/>
  <c r="R58" i="15"/>
  <c r="Q58" i="15"/>
  <c r="D58" i="15"/>
  <c r="C58" i="15"/>
  <c r="B58" i="15"/>
  <c r="S57" i="15"/>
  <c r="R57" i="15"/>
  <c r="Q57" i="15"/>
  <c r="D57" i="15"/>
  <c r="C57" i="15"/>
  <c r="B57" i="15"/>
  <c r="S56" i="15"/>
  <c r="R56" i="15"/>
  <c r="Q56" i="15"/>
  <c r="D56" i="15"/>
  <c r="C56" i="15"/>
  <c r="B56" i="15"/>
  <c r="S55" i="15"/>
  <c r="R55" i="15"/>
  <c r="Q55" i="15"/>
  <c r="D55" i="15"/>
  <c r="C55" i="15"/>
  <c r="B55" i="15"/>
  <c r="S54" i="15"/>
  <c r="R54" i="15"/>
  <c r="Q54" i="15"/>
  <c r="D54" i="15"/>
  <c r="C54" i="15"/>
  <c r="B54" i="15"/>
  <c r="S53" i="15"/>
  <c r="R53" i="15"/>
  <c r="Q53" i="15"/>
  <c r="D53" i="15"/>
  <c r="C53" i="15"/>
  <c r="B53" i="15"/>
  <c r="S52" i="15"/>
  <c r="R52" i="15"/>
  <c r="Q52" i="15"/>
  <c r="D52" i="15"/>
  <c r="C52" i="15"/>
  <c r="B52" i="15"/>
  <c r="S51" i="15"/>
  <c r="R51" i="15"/>
  <c r="Q51" i="15"/>
  <c r="D51" i="15"/>
  <c r="C51" i="15"/>
  <c r="B51" i="15"/>
  <c r="S50" i="15"/>
  <c r="R50" i="15"/>
  <c r="Q50" i="15"/>
  <c r="D50" i="15"/>
  <c r="C50" i="15"/>
  <c r="B50" i="15"/>
  <c r="S49" i="15"/>
  <c r="R49" i="15"/>
  <c r="Q49" i="15"/>
  <c r="D49" i="15"/>
  <c r="C49" i="15"/>
  <c r="B49" i="15"/>
  <c r="S48" i="15"/>
  <c r="R48" i="15"/>
  <c r="Q48" i="15"/>
  <c r="D48" i="15"/>
  <c r="C48" i="15"/>
  <c r="B48" i="15"/>
  <c r="S47" i="15"/>
  <c r="R47" i="15"/>
  <c r="Q47" i="15"/>
  <c r="D47" i="15"/>
  <c r="C47" i="15"/>
  <c r="B47" i="15"/>
  <c r="S46" i="15"/>
  <c r="R46" i="15"/>
  <c r="Q46" i="15"/>
  <c r="D46" i="15"/>
  <c r="C46" i="15"/>
  <c r="B46" i="15"/>
  <c r="S45" i="15"/>
  <c r="R45" i="15"/>
  <c r="Q45" i="15"/>
  <c r="D45" i="15"/>
  <c r="C45" i="15"/>
  <c r="B45" i="15"/>
  <c r="S44" i="15"/>
  <c r="R44" i="15"/>
  <c r="Q44" i="15"/>
  <c r="D44" i="15"/>
  <c r="C44" i="15"/>
  <c r="B44" i="15"/>
  <c r="S43" i="15"/>
  <c r="R43" i="15"/>
  <c r="Q43" i="15"/>
  <c r="D43" i="15"/>
  <c r="C43" i="15"/>
  <c r="B43" i="15"/>
  <c r="S42" i="15"/>
  <c r="R42" i="15"/>
  <c r="Q42" i="15"/>
  <c r="D42" i="15"/>
  <c r="C42" i="15"/>
  <c r="B42" i="15"/>
  <c r="S41" i="15"/>
  <c r="R41" i="15"/>
  <c r="Q41" i="15"/>
  <c r="D41" i="15"/>
  <c r="C41" i="15"/>
  <c r="B41" i="15"/>
  <c r="AH40" i="15"/>
  <c r="AG40" i="15"/>
  <c r="AF40" i="15"/>
  <c r="S40" i="15"/>
  <c r="R40" i="15"/>
  <c r="Q40" i="15"/>
  <c r="D40" i="15"/>
  <c r="C40" i="15"/>
  <c r="B40" i="15"/>
  <c r="AH39" i="15"/>
  <c r="AG39" i="15"/>
  <c r="AF39" i="15"/>
  <c r="S39" i="15"/>
  <c r="R39" i="15"/>
  <c r="Q39" i="15"/>
  <c r="I39" i="15"/>
  <c r="H39" i="15"/>
  <c r="G39" i="15"/>
  <c r="D39" i="15"/>
  <c r="C39" i="15"/>
  <c r="B39" i="15"/>
  <c r="AH38" i="15"/>
  <c r="AG38" i="15"/>
  <c r="AF38" i="15"/>
  <c r="S38" i="15"/>
  <c r="R38" i="15"/>
  <c r="Q38" i="15"/>
  <c r="N38" i="15"/>
  <c r="M38" i="15"/>
  <c r="L38" i="15"/>
  <c r="I38" i="15"/>
  <c r="H38" i="15"/>
  <c r="G38" i="15"/>
  <c r="D38" i="15"/>
  <c r="C38" i="15"/>
  <c r="B38" i="15"/>
  <c r="AH37" i="15"/>
  <c r="AG37" i="15"/>
  <c r="AF37" i="15"/>
  <c r="S37" i="15"/>
  <c r="R37" i="15"/>
  <c r="Q37" i="15"/>
  <c r="N37" i="15"/>
  <c r="M37" i="15"/>
  <c r="L37" i="15"/>
  <c r="I37" i="15"/>
  <c r="H37" i="15"/>
  <c r="G37" i="15"/>
  <c r="D37" i="15"/>
  <c r="C37" i="15"/>
  <c r="B37" i="15"/>
  <c r="AH36" i="15"/>
  <c r="AG36" i="15"/>
  <c r="AF36" i="15"/>
  <c r="S36" i="15"/>
  <c r="R36" i="15"/>
  <c r="Q36" i="15"/>
  <c r="N36" i="15"/>
  <c r="M36" i="15"/>
  <c r="L36" i="15"/>
  <c r="I36" i="15"/>
  <c r="H36" i="15"/>
  <c r="G36" i="15"/>
  <c r="D36" i="15"/>
  <c r="C36" i="15"/>
  <c r="B36" i="15"/>
  <c r="AH35" i="15"/>
  <c r="AG35" i="15"/>
  <c r="AF35" i="15"/>
  <c r="S35" i="15"/>
  <c r="R35" i="15"/>
  <c r="Q35" i="15"/>
  <c r="N35" i="15"/>
  <c r="M35" i="15"/>
  <c r="L35" i="15"/>
  <c r="I35" i="15"/>
  <c r="H35" i="15"/>
  <c r="G35" i="15"/>
  <c r="D35" i="15"/>
  <c r="C35" i="15"/>
  <c r="B35" i="15"/>
  <c r="AH34" i="15"/>
  <c r="AG34" i="15"/>
  <c r="AF34" i="15"/>
  <c r="S34" i="15"/>
  <c r="R34" i="15"/>
  <c r="Q34" i="15"/>
  <c r="N34" i="15"/>
  <c r="M34" i="15"/>
  <c r="L34" i="15"/>
  <c r="I34" i="15"/>
  <c r="H34" i="15"/>
  <c r="G34" i="15"/>
  <c r="D34" i="15"/>
  <c r="C34" i="15"/>
  <c r="B34" i="15"/>
  <c r="AH33" i="15"/>
  <c r="AG33" i="15"/>
  <c r="AF33" i="15"/>
  <c r="S33" i="15"/>
  <c r="R33" i="15"/>
  <c r="Q33" i="15"/>
  <c r="N33" i="15"/>
  <c r="M33" i="15"/>
  <c r="L33" i="15"/>
  <c r="I33" i="15"/>
  <c r="H33" i="15"/>
  <c r="G33" i="15"/>
  <c r="D33" i="15"/>
  <c r="C33" i="15"/>
  <c r="B33" i="15"/>
  <c r="AH32" i="15"/>
  <c r="AG32" i="15"/>
  <c r="AF32" i="15"/>
  <c r="S32" i="15"/>
  <c r="R32" i="15"/>
  <c r="Q32" i="15"/>
  <c r="N32" i="15"/>
  <c r="M32" i="15"/>
  <c r="L32" i="15"/>
  <c r="I32" i="15"/>
  <c r="H32" i="15"/>
  <c r="G32" i="15"/>
  <c r="D32" i="15"/>
  <c r="C32" i="15"/>
  <c r="B32" i="15"/>
  <c r="AH31" i="15"/>
  <c r="AG31" i="15"/>
  <c r="AF31" i="15"/>
  <c r="AC31" i="15"/>
  <c r="AB31" i="15"/>
  <c r="AA31" i="15"/>
  <c r="S31" i="15"/>
  <c r="R31" i="15"/>
  <c r="Q31" i="15"/>
  <c r="N31" i="15"/>
  <c r="M31" i="15"/>
  <c r="L31" i="15"/>
  <c r="I31" i="15"/>
  <c r="H31" i="15"/>
  <c r="G31" i="15"/>
  <c r="D31" i="15"/>
  <c r="C31" i="15"/>
  <c r="B31" i="15"/>
  <c r="AH30" i="15"/>
  <c r="AG30" i="15"/>
  <c r="AF30" i="15"/>
  <c r="AC30" i="15"/>
  <c r="AB30" i="15"/>
  <c r="AA30" i="15"/>
  <c r="S30" i="15"/>
  <c r="R30" i="15"/>
  <c r="Q30" i="15"/>
  <c r="N30" i="15"/>
  <c r="M30" i="15"/>
  <c r="L30" i="15"/>
  <c r="I30" i="15"/>
  <c r="H30" i="15"/>
  <c r="G30" i="15"/>
  <c r="D30" i="15"/>
  <c r="C30" i="15"/>
  <c r="B30" i="15"/>
  <c r="AH29" i="15"/>
  <c r="AG29" i="15"/>
  <c r="AF29" i="15"/>
  <c r="AC29" i="15"/>
  <c r="AB29" i="15"/>
  <c r="AA29" i="15"/>
  <c r="S29" i="15"/>
  <c r="R29" i="15"/>
  <c r="Q29" i="15"/>
  <c r="N29" i="15"/>
  <c r="M29" i="15"/>
  <c r="L29" i="15"/>
  <c r="I29" i="15"/>
  <c r="H29" i="15"/>
  <c r="G29" i="15"/>
  <c r="D29" i="15"/>
  <c r="C29" i="15"/>
  <c r="B29" i="15"/>
  <c r="AH28" i="15"/>
  <c r="AG28" i="15"/>
  <c r="AF28" i="15"/>
  <c r="AC28" i="15"/>
  <c r="AB28" i="15"/>
  <c r="AA28" i="15"/>
  <c r="S28" i="15"/>
  <c r="R28" i="15"/>
  <c r="Q28" i="15"/>
  <c r="N28" i="15"/>
  <c r="M28" i="15"/>
  <c r="L28" i="15"/>
  <c r="I28" i="15"/>
  <c r="H28" i="15"/>
  <c r="G28" i="15"/>
  <c r="D28" i="15"/>
  <c r="C28" i="15"/>
  <c r="B28" i="15"/>
  <c r="AH27" i="15"/>
  <c r="AG27" i="15"/>
  <c r="AF27" i="15"/>
  <c r="AC27" i="15"/>
  <c r="AB27" i="15"/>
  <c r="AA27" i="15"/>
  <c r="S27" i="15"/>
  <c r="R27" i="15"/>
  <c r="Q27" i="15"/>
  <c r="N27" i="15"/>
  <c r="M27" i="15"/>
  <c r="L27" i="15"/>
  <c r="I27" i="15"/>
  <c r="H27" i="15"/>
  <c r="G27" i="15"/>
  <c r="D27" i="15"/>
  <c r="C27" i="15"/>
  <c r="B27" i="15"/>
  <c r="AH26" i="15"/>
  <c r="AG26" i="15"/>
  <c r="AF26" i="15"/>
  <c r="AC26" i="15"/>
  <c r="AB26" i="15"/>
  <c r="AA26" i="15"/>
  <c r="S26" i="15"/>
  <c r="R26" i="15"/>
  <c r="Q26" i="15"/>
  <c r="N26" i="15"/>
  <c r="M26" i="15"/>
  <c r="L26" i="15"/>
  <c r="I26" i="15"/>
  <c r="H26" i="15"/>
  <c r="G26" i="15"/>
  <c r="D26" i="15"/>
  <c r="C26" i="15"/>
  <c r="B26" i="15"/>
  <c r="AH25" i="15"/>
  <c r="AG25" i="15"/>
  <c r="AF25" i="15"/>
  <c r="AC25" i="15"/>
  <c r="AB25" i="15"/>
  <c r="AA25" i="15"/>
  <c r="S25" i="15"/>
  <c r="R25" i="15"/>
  <c r="Q25" i="15"/>
  <c r="N25" i="15"/>
  <c r="M25" i="15"/>
  <c r="L25" i="15"/>
  <c r="I25" i="15"/>
  <c r="H25" i="15"/>
  <c r="G25" i="15"/>
  <c r="D25" i="15"/>
  <c r="C25" i="15"/>
  <c r="B25" i="15"/>
  <c r="AH24" i="15"/>
  <c r="AG24" i="15"/>
  <c r="AF24" i="15"/>
  <c r="AC24" i="15"/>
  <c r="AB24" i="15"/>
  <c r="AA24" i="15"/>
  <c r="S24" i="15"/>
  <c r="R24" i="15"/>
  <c r="Q24" i="15"/>
  <c r="N24" i="15"/>
  <c r="M24" i="15"/>
  <c r="L24" i="15"/>
  <c r="I24" i="15"/>
  <c r="H24" i="15"/>
  <c r="G24" i="15"/>
  <c r="D24" i="15"/>
  <c r="C24" i="15"/>
  <c r="B24" i="15"/>
  <c r="AH23" i="15"/>
  <c r="AG23" i="15"/>
  <c r="AF23" i="15"/>
  <c r="AC23" i="15"/>
  <c r="AB23" i="15"/>
  <c r="AA23" i="15"/>
  <c r="S23" i="15"/>
  <c r="R23" i="15"/>
  <c r="Q23" i="15"/>
  <c r="N23" i="15"/>
  <c r="M23" i="15"/>
  <c r="L23" i="15"/>
  <c r="I23" i="15"/>
  <c r="H23" i="15"/>
  <c r="G23" i="15"/>
  <c r="D23" i="15"/>
  <c r="C23" i="15"/>
  <c r="B23" i="15"/>
  <c r="AH22" i="15"/>
  <c r="AG22" i="15"/>
  <c r="AF22" i="15"/>
  <c r="AC22" i="15"/>
  <c r="AB22" i="15"/>
  <c r="AA22" i="15"/>
  <c r="S22" i="15"/>
  <c r="R22" i="15"/>
  <c r="Q22" i="15"/>
  <c r="N22" i="15"/>
  <c r="M22" i="15"/>
  <c r="L22" i="15"/>
  <c r="I22" i="15"/>
  <c r="H22" i="15"/>
  <c r="G22" i="15"/>
  <c r="D22" i="15"/>
  <c r="C22" i="15"/>
  <c r="B22" i="15"/>
  <c r="AH21" i="15"/>
  <c r="AG21" i="15"/>
  <c r="AF21" i="15"/>
  <c r="AC21" i="15"/>
  <c r="AB21" i="15"/>
  <c r="AA21" i="15"/>
  <c r="S21" i="15"/>
  <c r="R21" i="15"/>
  <c r="Q21" i="15"/>
  <c r="N21" i="15"/>
  <c r="M21" i="15"/>
  <c r="L21" i="15"/>
  <c r="I21" i="15"/>
  <c r="H21" i="15"/>
  <c r="G21" i="15"/>
  <c r="D21" i="15"/>
  <c r="C21" i="15"/>
  <c r="B21" i="15"/>
  <c r="AH20" i="15"/>
  <c r="AG20" i="15"/>
  <c r="AF20" i="15"/>
  <c r="AC20" i="15"/>
  <c r="AB20" i="15"/>
  <c r="AA20" i="15"/>
  <c r="X20" i="15"/>
  <c r="W20" i="15"/>
  <c r="V20" i="15"/>
  <c r="S20" i="15"/>
  <c r="R20" i="15"/>
  <c r="Q20" i="15"/>
  <c r="N20" i="15"/>
  <c r="M20" i="15"/>
  <c r="L20" i="15"/>
  <c r="I20" i="15"/>
  <c r="H20" i="15"/>
  <c r="G20" i="15"/>
  <c r="D20" i="15"/>
  <c r="C20" i="15"/>
  <c r="B20" i="15"/>
  <c r="AH19" i="15"/>
  <c r="AG19" i="15"/>
  <c r="AF19" i="15"/>
  <c r="AC19" i="15"/>
  <c r="AB19" i="15"/>
  <c r="AA19" i="15"/>
  <c r="X19" i="15"/>
  <c r="W19" i="15"/>
  <c r="V19" i="15"/>
  <c r="S19" i="15"/>
  <c r="R19" i="15"/>
  <c r="Q19" i="15"/>
  <c r="N19" i="15"/>
  <c r="M19" i="15"/>
  <c r="L19" i="15"/>
  <c r="I19" i="15"/>
  <c r="H19" i="15"/>
  <c r="G19" i="15"/>
  <c r="D19" i="15"/>
  <c r="C19" i="15"/>
  <c r="B19" i="15"/>
  <c r="AH18" i="15"/>
  <c r="AG18" i="15"/>
  <c r="AF18" i="15"/>
  <c r="AC18" i="15"/>
  <c r="AB18" i="15"/>
  <c r="AA18" i="15"/>
  <c r="X18" i="15"/>
  <c r="W18" i="15"/>
  <c r="V18" i="15"/>
  <c r="S18" i="15"/>
  <c r="R18" i="15"/>
  <c r="Q18" i="15"/>
  <c r="N18" i="15"/>
  <c r="M18" i="15"/>
  <c r="L18" i="15"/>
  <c r="I18" i="15"/>
  <c r="H18" i="15"/>
  <c r="G18" i="15"/>
  <c r="D18" i="15"/>
  <c r="C18" i="15"/>
  <c r="B18" i="15"/>
  <c r="AH17" i="15"/>
  <c r="AG17" i="15"/>
  <c r="AF17" i="15"/>
  <c r="AC17" i="15"/>
  <c r="AB17" i="15"/>
  <c r="AA17" i="15"/>
  <c r="X17" i="15"/>
  <c r="W17" i="15"/>
  <c r="V17" i="15"/>
  <c r="S17" i="15"/>
  <c r="R17" i="15"/>
  <c r="Q17" i="15"/>
  <c r="N17" i="15"/>
  <c r="M17" i="15"/>
  <c r="L17" i="15"/>
  <c r="I17" i="15"/>
  <c r="H17" i="15"/>
  <c r="G17" i="15"/>
  <c r="D17" i="15"/>
  <c r="C17" i="15"/>
  <c r="B17" i="15"/>
  <c r="AH16" i="15"/>
  <c r="AG16" i="15"/>
  <c r="AF16" i="15"/>
  <c r="AC16" i="15"/>
  <c r="AB16" i="15"/>
  <c r="AA16" i="15"/>
  <c r="X16" i="15"/>
  <c r="W16" i="15"/>
  <c r="V16" i="15"/>
  <c r="S16" i="15"/>
  <c r="R16" i="15"/>
  <c r="Q16" i="15"/>
  <c r="N16" i="15"/>
  <c r="M16" i="15"/>
  <c r="L16" i="15"/>
  <c r="I16" i="15"/>
  <c r="H16" i="15"/>
  <c r="G16" i="15"/>
  <c r="E16" i="15"/>
  <c r="D16" i="15"/>
  <c r="C16" i="15"/>
  <c r="B16" i="15"/>
  <c r="AH15" i="15"/>
  <c r="AG15" i="15"/>
  <c r="AF15" i="15"/>
  <c r="AC15" i="15"/>
  <c r="AB15" i="15"/>
  <c r="AA15" i="15"/>
  <c r="X15" i="15"/>
  <c r="W15" i="15"/>
  <c r="V15" i="15"/>
  <c r="S15" i="15"/>
  <c r="R15" i="15"/>
  <c r="Q15" i="15"/>
  <c r="N15" i="15"/>
  <c r="M15" i="15"/>
  <c r="L15" i="15"/>
  <c r="I15" i="15"/>
  <c r="H15" i="15"/>
  <c r="G15" i="15"/>
  <c r="E15" i="15"/>
  <c r="D15" i="15"/>
  <c r="C15" i="15"/>
  <c r="B15" i="15"/>
  <c r="AH14" i="15"/>
  <c r="AG14" i="15"/>
  <c r="AF14" i="15"/>
  <c r="AC14" i="15"/>
  <c r="AB14" i="15"/>
  <c r="AA14" i="15"/>
  <c r="X14" i="15"/>
  <c r="W14" i="15"/>
  <c r="V14" i="15"/>
  <c r="S14" i="15"/>
  <c r="R14" i="15"/>
  <c r="Q14" i="15"/>
  <c r="N14" i="15"/>
  <c r="M14" i="15"/>
  <c r="L14" i="15"/>
  <c r="I14" i="15"/>
  <c r="H14" i="15"/>
  <c r="G14" i="15"/>
  <c r="E14" i="15"/>
  <c r="D14" i="15"/>
  <c r="C14" i="15"/>
  <c r="B14" i="15"/>
  <c r="AH13" i="15"/>
  <c r="AG13" i="15"/>
  <c r="AF13" i="15"/>
  <c r="AC13" i="15"/>
  <c r="AB13" i="15"/>
  <c r="AA13" i="15"/>
  <c r="X13" i="15"/>
  <c r="W13" i="15"/>
  <c r="V13" i="15"/>
  <c r="S13" i="15"/>
  <c r="R13" i="15"/>
  <c r="Q13" i="15"/>
  <c r="O13" i="15"/>
  <c r="N13" i="15"/>
  <c r="M13" i="15"/>
  <c r="L13" i="15"/>
  <c r="I13" i="15"/>
  <c r="H13" i="15"/>
  <c r="G13" i="15"/>
  <c r="E13" i="15"/>
  <c r="D13" i="15"/>
  <c r="C13" i="15"/>
  <c r="B13" i="15"/>
  <c r="AH12" i="15"/>
  <c r="AG12" i="15"/>
  <c r="AF12" i="15"/>
  <c r="AC12" i="15"/>
  <c r="AB12" i="15"/>
  <c r="AA12" i="15"/>
  <c r="X12" i="15"/>
  <c r="W12" i="15"/>
  <c r="V12" i="15"/>
  <c r="S12" i="15"/>
  <c r="R12" i="15"/>
  <c r="Q12" i="15"/>
  <c r="O12" i="15"/>
  <c r="N12" i="15"/>
  <c r="M12" i="15"/>
  <c r="L12" i="15"/>
  <c r="I12" i="15"/>
  <c r="H12" i="15"/>
  <c r="G12" i="15"/>
  <c r="E12" i="15"/>
  <c r="D12" i="15"/>
  <c r="C12" i="15"/>
  <c r="B12" i="15"/>
  <c r="AH11" i="15"/>
  <c r="AG11" i="15"/>
  <c r="AF11" i="15"/>
  <c r="AC11" i="15"/>
  <c r="AB11" i="15"/>
  <c r="AA11" i="15"/>
  <c r="X11" i="15"/>
  <c r="W11" i="15"/>
  <c r="V11" i="15"/>
  <c r="S11" i="15"/>
  <c r="R11" i="15"/>
  <c r="Q11" i="15"/>
  <c r="O11" i="15"/>
  <c r="N11" i="15"/>
  <c r="M11" i="15"/>
  <c r="L11" i="15"/>
  <c r="I11" i="15"/>
  <c r="H11" i="15"/>
  <c r="G11" i="15"/>
  <c r="E11" i="15"/>
  <c r="D11" i="15"/>
  <c r="C11" i="15"/>
  <c r="B11" i="15"/>
  <c r="AH10" i="15"/>
  <c r="AG10" i="15"/>
  <c r="AF10" i="15"/>
  <c r="AC10" i="15"/>
  <c r="AB10" i="15"/>
  <c r="AA10" i="15"/>
  <c r="X10" i="15"/>
  <c r="W10" i="15"/>
  <c r="V10" i="15"/>
  <c r="S10" i="15"/>
  <c r="R10" i="15"/>
  <c r="Q10" i="15"/>
  <c r="O10" i="15"/>
  <c r="N10" i="15"/>
  <c r="M10" i="15"/>
  <c r="L10" i="15"/>
  <c r="I10" i="15"/>
  <c r="H10" i="15"/>
  <c r="G10" i="15"/>
  <c r="E10" i="15"/>
  <c r="D10" i="15"/>
  <c r="C10" i="15"/>
  <c r="B10" i="15"/>
  <c r="AH9" i="15"/>
  <c r="AG9" i="15"/>
  <c r="AF9" i="15"/>
  <c r="AC9" i="15"/>
  <c r="AB9" i="15"/>
  <c r="AA9" i="15"/>
  <c r="X9" i="15"/>
  <c r="W9" i="15"/>
  <c r="V9" i="15"/>
  <c r="S9" i="15"/>
  <c r="R9" i="15"/>
  <c r="Q9" i="15"/>
  <c r="O9" i="15"/>
  <c r="N9" i="15"/>
  <c r="M9" i="15"/>
  <c r="L9" i="15"/>
  <c r="I9" i="15"/>
  <c r="H9" i="15"/>
  <c r="G9" i="15"/>
  <c r="E9" i="15"/>
  <c r="D9" i="15"/>
  <c r="C9" i="15"/>
  <c r="B9" i="15"/>
  <c r="AH8" i="15"/>
  <c r="AG8" i="15"/>
  <c r="AF8" i="15"/>
  <c r="AC8" i="15"/>
  <c r="AB8" i="15"/>
  <c r="AA8" i="15"/>
  <c r="X8" i="15"/>
  <c r="W8" i="15"/>
  <c r="V8" i="15"/>
  <c r="S8" i="15"/>
  <c r="R8" i="15"/>
  <c r="Q8" i="15"/>
  <c r="O8" i="15"/>
  <c r="N8" i="15"/>
  <c r="M8" i="15"/>
  <c r="L8" i="15"/>
  <c r="I8" i="15"/>
  <c r="H8" i="15"/>
  <c r="G8" i="15"/>
  <c r="E8" i="15"/>
  <c r="D8" i="15"/>
  <c r="C8" i="15"/>
  <c r="B8" i="15"/>
  <c r="AH7" i="15"/>
  <c r="AG7" i="15"/>
  <c r="AF7" i="15"/>
  <c r="AC7" i="15"/>
  <c r="AB7" i="15"/>
  <c r="AA7" i="15"/>
  <c r="X7" i="15"/>
  <c r="W7" i="15"/>
  <c r="V7" i="15"/>
  <c r="T7" i="15"/>
  <c r="S7" i="15"/>
  <c r="R7" i="15"/>
  <c r="Q7" i="15"/>
  <c r="O7" i="15"/>
  <c r="N7" i="15"/>
  <c r="M7" i="15"/>
  <c r="L7" i="15"/>
  <c r="I7" i="15"/>
  <c r="H7" i="15"/>
  <c r="G7" i="15"/>
  <c r="E7" i="15"/>
  <c r="D7" i="15"/>
  <c r="C7" i="15"/>
  <c r="B7" i="15"/>
  <c r="AH6" i="15"/>
  <c r="AG6" i="15"/>
  <c r="AF6" i="15"/>
  <c r="AC6" i="15"/>
  <c r="AB6" i="15"/>
  <c r="AA6" i="15"/>
  <c r="X6" i="15"/>
  <c r="W6" i="15"/>
  <c r="V6" i="15"/>
  <c r="T6" i="15"/>
  <c r="S6" i="15"/>
  <c r="R6" i="15"/>
  <c r="Q6" i="15"/>
  <c r="O6" i="15"/>
  <c r="N6" i="15"/>
  <c r="M6" i="15"/>
  <c r="L6" i="15"/>
  <c r="I6" i="15"/>
  <c r="H6" i="15"/>
  <c r="G6" i="15"/>
  <c r="E6" i="15"/>
  <c r="D6" i="15"/>
  <c r="C6" i="15"/>
  <c r="B6" i="15"/>
  <c r="AI5" i="15"/>
  <c r="AH5" i="15"/>
  <c r="AG5" i="15"/>
  <c r="AF5" i="15"/>
  <c r="AC5" i="15"/>
  <c r="AB5" i="15"/>
  <c r="AA5" i="15"/>
  <c r="X5" i="15"/>
  <c r="W5" i="15"/>
  <c r="V5" i="15"/>
  <c r="T5" i="15"/>
  <c r="S5" i="15"/>
  <c r="R5" i="15"/>
  <c r="Q5" i="15"/>
  <c r="O5" i="15"/>
  <c r="N5" i="15"/>
  <c r="M5" i="15"/>
  <c r="L5" i="15"/>
  <c r="J5" i="15"/>
  <c r="I5" i="15"/>
  <c r="H5" i="15"/>
  <c r="G5" i="15"/>
  <c r="E5" i="15"/>
  <c r="D5" i="15"/>
  <c r="C5" i="15"/>
  <c r="B5" i="15"/>
  <c r="AI4" i="15"/>
  <c r="AH4" i="15"/>
  <c r="AG4" i="15"/>
  <c r="AF4" i="15"/>
  <c r="AD4" i="15"/>
  <c r="AC4" i="15"/>
  <c r="AB4" i="15"/>
  <c r="AA4" i="15"/>
  <c r="Y4" i="15"/>
  <c r="X4" i="15"/>
  <c r="W4" i="15"/>
  <c r="V4" i="15"/>
  <c r="T4" i="15"/>
  <c r="S4" i="15"/>
  <c r="R4" i="15"/>
  <c r="Q4" i="15"/>
  <c r="O4" i="15"/>
  <c r="N4" i="15"/>
  <c r="M4" i="15"/>
  <c r="L4" i="15"/>
  <c r="J4" i="15"/>
  <c r="I4" i="15"/>
  <c r="H4" i="15"/>
  <c r="G4" i="15"/>
  <c r="E4" i="15"/>
  <c r="D4" i="15"/>
  <c r="C4" i="15"/>
  <c r="B4" i="15"/>
  <c r="AI3" i="15"/>
  <c r="AH3" i="15"/>
  <c r="AG3" i="15"/>
  <c r="AF3" i="15"/>
  <c r="AD3" i="15"/>
  <c r="AC3" i="15"/>
  <c r="AB3" i="15"/>
  <c r="AA3" i="15"/>
  <c r="Y3" i="15"/>
  <c r="X3" i="15"/>
  <c r="W3" i="15"/>
  <c r="V3" i="15"/>
  <c r="T3" i="15"/>
  <c r="S3" i="15"/>
  <c r="R3" i="15"/>
  <c r="Q3" i="15"/>
  <c r="O3" i="15"/>
  <c r="N3" i="15"/>
  <c r="M3" i="15"/>
  <c r="L3" i="15"/>
  <c r="J3" i="15"/>
  <c r="I3" i="15"/>
  <c r="H3" i="15"/>
  <c r="G3" i="15"/>
  <c r="E3" i="15"/>
  <c r="D3" i="15"/>
  <c r="C3" i="15"/>
  <c r="B3" i="15"/>
  <c r="AF1" i="15"/>
  <c r="AA1" i="15"/>
  <c r="V1" i="15"/>
  <c r="Q1" i="15"/>
  <c r="L1" i="15"/>
  <c r="G1" i="15"/>
  <c r="D74" i="14"/>
  <c r="C74" i="14"/>
  <c r="B74" i="14"/>
  <c r="D73" i="14"/>
  <c r="C73" i="14"/>
  <c r="B73" i="14"/>
  <c r="D72" i="14"/>
  <c r="C72" i="14"/>
  <c r="B72" i="14"/>
  <c r="D71" i="14"/>
  <c r="C71" i="14"/>
  <c r="B71" i="14"/>
  <c r="D70" i="14"/>
  <c r="C70" i="14"/>
  <c r="B70" i="14"/>
  <c r="D69" i="14"/>
  <c r="C69" i="14"/>
  <c r="B69" i="14"/>
  <c r="D68" i="14"/>
  <c r="C68" i="14"/>
  <c r="B68" i="14"/>
  <c r="D67" i="14"/>
  <c r="C67" i="14"/>
  <c r="B67" i="14"/>
  <c r="D66" i="14"/>
  <c r="C66" i="14"/>
  <c r="B66" i="14"/>
  <c r="D65" i="14"/>
  <c r="C65" i="14"/>
  <c r="B65" i="14"/>
  <c r="D64" i="14"/>
  <c r="C64" i="14"/>
  <c r="B64" i="14"/>
  <c r="D63" i="14"/>
  <c r="C63" i="14"/>
  <c r="B63" i="14"/>
  <c r="D62" i="14"/>
  <c r="C62" i="14"/>
  <c r="B62" i="14"/>
  <c r="D61" i="14"/>
  <c r="C61" i="14"/>
  <c r="B61" i="14"/>
  <c r="D60" i="14"/>
  <c r="C60" i="14"/>
  <c r="B60" i="14"/>
  <c r="D59" i="14"/>
  <c r="C59" i="14"/>
  <c r="B59" i="14"/>
  <c r="D58" i="14"/>
  <c r="C58" i="14"/>
  <c r="B58" i="14"/>
  <c r="D57" i="14"/>
  <c r="C57" i="14"/>
  <c r="B57" i="14"/>
  <c r="D56" i="14"/>
  <c r="C56" i="14"/>
  <c r="B56" i="14"/>
  <c r="D55" i="14"/>
  <c r="C55" i="14"/>
  <c r="B55" i="14"/>
  <c r="D54" i="14"/>
  <c r="C54" i="14"/>
  <c r="B54" i="14"/>
  <c r="D53" i="14"/>
  <c r="C53" i="14"/>
  <c r="B53" i="14"/>
  <c r="S52" i="14"/>
  <c r="R52" i="14"/>
  <c r="Q52" i="14"/>
  <c r="D52" i="14"/>
  <c r="C52" i="14"/>
  <c r="B52" i="14"/>
  <c r="S51" i="14"/>
  <c r="R51" i="14"/>
  <c r="Q51" i="14"/>
  <c r="D51" i="14"/>
  <c r="C51" i="14"/>
  <c r="B51" i="14"/>
  <c r="S50" i="14"/>
  <c r="R50" i="14"/>
  <c r="Q50" i="14"/>
  <c r="D50" i="14"/>
  <c r="C50" i="14"/>
  <c r="B50" i="14"/>
  <c r="S49" i="14"/>
  <c r="R49" i="14"/>
  <c r="Q49" i="14"/>
  <c r="D49" i="14"/>
  <c r="C49" i="14"/>
  <c r="B49" i="14"/>
  <c r="S48" i="14"/>
  <c r="R48" i="14"/>
  <c r="Q48" i="14"/>
  <c r="D48" i="14"/>
  <c r="C48" i="14"/>
  <c r="B48" i="14"/>
  <c r="S47" i="14"/>
  <c r="R47" i="14"/>
  <c r="Q47" i="14"/>
  <c r="D47" i="14"/>
  <c r="C47" i="14"/>
  <c r="B47" i="14"/>
  <c r="S46" i="14"/>
  <c r="R46" i="14"/>
  <c r="Q46" i="14"/>
  <c r="D46" i="14"/>
  <c r="C46" i="14"/>
  <c r="B46" i="14"/>
  <c r="S45" i="14"/>
  <c r="R45" i="14"/>
  <c r="Q45" i="14"/>
  <c r="D45" i="14"/>
  <c r="C45" i="14"/>
  <c r="B45" i="14"/>
  <c r="S44" i="14"/>
  <c r="R44" i="14"/>
  <c r="Q44" i="14"/>
  <c r="D44" i="14"/>
  <c r="C44" i="14"/>
  <c r="B44" i="14"/>
  <c r="S43" i="14"/>
  <c r="R43" i="14"/>
  <c r="Q43" i="14"/>
  <c r="D43" i="14"/>
  <c r="C43" i="14"/>
  <c r="B43" i="14"/>
  <c r="S42" i="14"/>
  <c r="R42" i="14"/>
  <c r="Q42" i="14"/>
  <c r="D42" i="14"/>
  <c r="C42" i="14"/>
  <c r="B42" i="14"/>
  <c r="S41" i="14"/>
  <c r="R41" i="14"/>
  <c r="Q41" i="14"/>
  <c r="I41" i="14"/>
  <c r="H41" i="14"/>
  <c r="G41" i="14"/>
  <c r="D41" i="14"/>
  <c r="C41" i="14"/>
  <c r="B41" i="14"/>
  <c r="S40" i="14"/>
  <c r="R40" i="14"/>
  <c r="Q40" i="14"/>
  <c r="I40" i="14"/>
  <c r="H40" i="14"/>
  <c r="G40" i="14"/>
  <c r="D40" i="14"/>
  <c r="C40" i="14"/>
  <c r="B40" i="14"/>
  <c r="S39" i="14"/>
  <c r="R39" i="14"/>
  <c r="Q39" i="14"/>
  <c r="I39" i="14"/>
  <c r="H39" i="14"/>
  <c r="G39" i="14"/>
  <c r="D39" i="14"/>
  <c r="C39" i="14"/>
  <c r="B39" i="14"/>
  <c r="AC38" i="14"/>
  <c r="AB38" i="14"/>
  <c r="AA38" i="14"/>
  <c r="S38" i="14"/>
  <c r="R38" i="14"/>
  <c r="Q38" i="14"/>
  <c r="I38" i="14"/>
  <c r="H38" i="14"/>
  <c r="G38" i="14"/>
  <c r="D38" i="14"/>
  <c r="C38" i="14"/>
  <c r="B38" i="14"/>
  <c r="AC37" i="14"/>
  <c r="AB37" i="14"/>
  <c r="AA37" i="14"/>
  <c r="S37" i="14"/>
  <c r="R37" i="14"/>
  <c r="Q37" i="14"/>
  <c r="N37" i="14"/>
  <c r="M37" i="14"/>
  <c r="L37" i="14"/>
  <c r="I37" i="14"/>
  <c r="H37" i="14"/>
  <c r="G37" i="14"/>
  <c r="D37" i="14"/>
  <c r="C37" i="14"/>
  <c r="B37" i="14"/>
  <c r="AC36" i="14"/>
  <c r="AB36" i="14"/>
  <c r="AA36" i="14"/>
  <c r="S36" i="14"/>
  <c r="R36" i="14"/>
  <c r="Q36" i="14"/>
  <c r="N36" i="14"/>
  <c r="M36" i="14"/>
  <c r="L36" i="14"/>
  <c r="I36" i="14"/>
  <c r="H36" i="14"/>
  <c r="G36" i="14"/>
  <c r="D36" i="14"/>
  <c r="C36" i="14"/>
  <c r="B36" i="14"/>
  <c r="AC35" i="14"/>
  <c r="AB35" i="14"/>
  <c r="AA35" i="14"/>
  <c r="S35" i="14"/>
  <c r="R35" i="14"/>
  <c r="Q35" i="14"/>
  <c r="N35" i="14"/>
  <c r="M35" i="14"/>
  <c r="L35" i="14"/>
  <c r="I35" i="14"/>
  <c r="H35" i="14"/>
  <c r="G35" i="14"/>
  <c r="D35" i="14"/>
  <c r="C35" i="14"/>
  <c r="B35" i="14"/>
  <c r="AH34" i="14"/>
  <c r="AG34" i="14"/>
  <c r="AF34" i="14"/>
  <c r="AC34" i="14"/>
  <c r="AB34" i="14"/>
  <c r="AA34" i="14"/>
  <c r="S34" i="14"/>
  <c r="R34" i="14"/>
  <c r="Q34" i="14"/>
  <c r="N34" i="14"/>
  <c r="M34" i="14"/>
  <c r="L34" i="14"/>
  <c r="I34" i="14"/>
  <c r="H34" i="14"/>
  <c r="G34" i="14"/>
  <c r="D34" i="14"/>
  <c r="C34" i="14"/>
  <c r="B34" i="14"/>
  <c r="AH33" i="14"/>
  <c r="AG33" i="14"/>
  <c r="AF33" i="14"/>
  <c r="AC33" i="14"/>
  <c r="AB33" i="14"/>
  <c r="AA33" i="14"/>
  <c r="S33" i="14"/>
  <c r="R33" i="14"/>
  <c r="Q33" i="14"/>
  <c r="N33" i="14"/>
  <c r="M33" i="14"/>
  <c r="L33" i="14"/>
  <c r="I33" i="14"/>
  <c r="H33" i="14"/>
  <c r="G33" i="14"/>
  <c r="D33" i="14"/>
  <c r="C33" i="14"/>
  <c r="B33" i="14"/>
  <c r="AH32" i="14"/>
  <c r="AG32" i="14"/>
  <c r="AF32" i="14"/>
  <c r="AC32" i="14"/>
  <c r="AB32" i="14"/>
  <c r="AA32" i="14"/>
  <c r="S32" i="14"/>
  <c r="R32" i="14"/>
  <c r="Q32" i="14"/>
  <c r="N32" i="14"/>
  <c r="M32" i="14"/>
  <c r="L32" i="14"/>
  <c r="I32" i="14"/>
  <c r="H32" i="14"/>
  <c r="G32" i="14"/>
  <c r="D32" i="14"/>
  <c r="C32" i="14"/>
  <c r="B32" i="14"/>
  <c r="AH31" i="14"/>
  <c r="AG31" i="14"/>
  <c r="AF31" i="14"/>
  <c r="AC31" i="14"/>
  <c r="AB31" i="14"/>
  <c r="AA31" i="14"/>
  <c r="S31" i="14"/>
  <c r="R31" i="14"/>
  <c r="Q31" i="14"/>
  <c r="N31" i="14"/>
  <c r="M31" i="14"/>
  <c r="L31" i="14"/>
  <c r="I31" i="14"/>
  <c r="H31" i="14"/>
  <c r="G31" i="14"/>
  <c r="D31" i="14"/>
  <c r="C31" i="14"/>
  <c r="B31" i="14"/>
  <c r="AH30" i="14"/>
  <c r="AG30" i="14"/>
  <c r="AF30" i="14"/>
  <c r="AC30" i="14"/>
  <c r="AB30" i="14"/>
  <c r="AA30" i="14"/>
  <c r="S30" i="14"/>
  <c r="R30" i="14"/>
  <c r="Q30" i="14"/>
  <c r="N30" i="14"/>
  <c r="M30" i="14"/>
  <c r="L30" i="14"/>
  <c r="I30" i="14"/>
  <c r="H30" i="14"/>
  <c r="G30" i="14"/>
  <c r="D30" i="14"/>
  <c r="C30" i="14"/>
  <c r="B30" i="14"/>
  <c r="AH29" i="14"/>
  <c r="AG29" i="14"/>
  <c r="AF29" i="14"/>
  <c r="AC29" i="14"/>
  <c r="AB29" i="14"/>
  <c r="AA29" i="14"/>
  <c r="S29" i="14"/>
  <c r="R29" i="14"/>
  <c r="Q29" i="14"/>
  <c r="N29" i="14"/>
  <c r="M29" i="14"/>
  <c r="L29" i="14"/>
  <c r="I29" i="14"/>
  <c r="H29" i="14"/>
  <c r="G29" i="14"/>
  <c r="D29" i="14"/>
  <c r="C29" i="14"/>
  <c r="B29" i="14"/>
  <c r="AH28" i="14"/>
  <c r="AG28" i="14"/>
  <c r="AF28" i="14"/>
  <c r="AC28" i="14"/>
  <c r="AB28" i="14"/>
  <c r="AA28" i="14"/>
  <c r="S28" i="14"/>
  <c r="R28" i="14"/>
  <c r="Q28" i="14"/>
  <c r="N28" i="14"/>
  <c r="M28" i="14"/>
  <c r="L28" i="14"/>
  <c r="I28" i="14"/>
  <c r="H28" i="14"/>
  <c r="G28" i="14"/>
  <c r="D28" i="14"/>
  <c r="C28" i="14"/>
  <c r="B28" i="14"/>
  <c r="AH27" i="14"/>
  <c r="AG27" i="14"/>
  <c r="AF27" i="14"/>
  <c r="AC27" i="14"/>
  <c r="AB27" i="14"/>
  <c r="AA27" i="14"/>
  <c r="S27" i="14"/>
  <c r="R27" i="14"/>
  <c r="Q27" i="14"/>
  <c r="N27" i="14"/>
  <c r="M27" i="14"/>
  <c r="L27" i="14"/>
  <c r="I27" i="14"/>
  <c r="H27" i="14"/>
  <c r="G27" i="14"/>
  <c r="D27" i="14"/>
  <c r="C27" i="14"/>
  <c r="B27" i="14"/>
  <c r="AH26" i="14"/>
  <c r="AG26" i="14"/>
  <c r="AF26" i="14"/>
  <c r="AC26" i="14"/>
  <c r="AB26" i="14"/>
  <c r="AA26" i="14"/>
  <c r="S26" i="14"/>
  <c r="R26" i="14"/>
  <c r="Q26" i="14"/>
  <c r="N26" i="14"/>
  <c r="M26" i="14"/>
  <c r="L26" i="14"/>
  <c r="I26" i="14"/>
  <c r="H26" i="14"/>
  <c r="G26" i="14"/>
  <c r="D26" i="14"/>
  <c r="C26" i="14"/>
  <c r="B26" i="14"/>
  <c r="AH25" i="14"/>
  <c r="AG25" i="14"/>
  <c r="AF25" i="14"/>
  <c r="AC25" i="14"/>
  <c r="AB25" i="14"/>
  <c r="AA25" i="14"/>
  <c r="S25" i="14"/>
  <c r="R25" i="14"/>
  <c r="Q25" i="14"/>
  <c r="N25" i="14"/>
  <c r="M25" i="14"/>
  <c r="L25" i="14"/>
  <c r="I25" i="14"/>
  <c r="H25" i="14"/>
  <c r="G25" i="14"/>
  <c r="D25" i="14"/>
  <c r="C25" i="14"/>
  <c r="B25" i="14"/>
  <c r="AH24" i="14"/>
  <c r="AG24" i="14"/>
  <c r="AF24" i="14"/>
  <c r="AC24" i="14"/>
  <c r="AB24" i="14"/>
  <c r="AA24" i="14"/>
  <c r="S24" i="14"/>
  <c r="R24" i="14"/>
  <c r="Q24" i="14"/>
  <c r="N24" i="14"/>
  <c r="M24" i="14"/>
  <c r="L24" i="14"/>
  <c r="I24" i="14"/>
  <c r="H24" i="14"/>
  <c r="G24" i="14"/>
  <c r="D24" i="14"/>
  <c r="C24" i="14"/>
  <c r="B24" i="14"/>
  <c r="AH23" i="14"/>
  <c r="AG23" i="14"/>
  <c r="AF23" i="14"/>
  <c r="AC23" i="14"/>
  <c r="AB23" i="14"/>
  <c r="AA23" i="14"/>
  <c r="S23" i="14"/>
  <c r="R23" i="14"/>
  <c r="Q23" i="14"/>
  <c r="N23" i="14"/>
  <c r="M23" i="14"/>
  <c r="L23" i="14"/>
  <c r="I23" i="14"/>
  <c r="H23" i="14"/>
  <c r="G23" i="14"/>
  <c r="D23" i="14"/>
  <c r="C23" i="14"/>
  <c r="B23" i="14"/>
  <c r="AH22" i="14"/>
  <c r="AG22" i="14"/>
  <c r="AF22" i="14"/>
  <c r="AC22" i="14"/>
  <c r="AB22" i="14"/>
  <c r="AA22" i="14"/>
  <c r="S22" i="14"/>
  <c r="R22" i="14"/>
  <c r="Q22" i="14"/>
  <c r="N22" i="14"/>
  <c r="M22" i="14"/>
  <c r="L22" i="14"/>
  <c r="I22" i="14"/>
  <c r="H22" i="14"/>
  <c r="G22" i="14"/>
  <c r="D22" i="14"/>
  <c r="C22" i="14"/>
  <c r="B22" i="14"/>
  <c r="AH21" i="14"/>
  <c r="AG21" i="14"/>
  <c r="AF21" i="14"/>
  <c r="AC21" i="14"/>
  <c r="AB21" i="14"/>
  <c r="AA21" i="14"/>
  <c r="S21" i="14"/>
  <c r="R21" i="14"/>
  <c r="Q21" i="14"/>
  <c r="N21" i="14"/>
  <c r="M21" i="14"/>
  <c r="L21" i="14"/>
  <c r="I21" i="14"/>
  <c r="H21" i="14"/>
  <c r="G21" i="14"/>
  <c r="D21" i="14"/>
  <c r="C21" i="14"/>
  <c r="B21" i="14"/>
  <c r="AH20" i="14"/>
  <c r="AG20" i="14"/>
  <c r="AF20" i="14"/>
  <c r="AC20" i="14"/>
  <c r="AB20" i="14"/>
  <c r="AA20" i="14"/>
  <c r="S20" i="14"/>
  <c r="R20" i="14"/>
  <c r="Q20" i="14"/>
  <c r="N20" i="14"/>
  <c r="M20" i="14"/>
  <c r="L20" i="14"/>
  <c r="I20" i="14"/>
  <c r="H20" i="14"/>
  <c r="G20" i="14"/>
  <c r="D20" i="14"/>
  <c r="C20" i="14"/>
  <c r="B20" i="14"/>
  <c r="AH19" i="14"/>
  <c r="AG19" i="14"/>
  <c r="AF19" i="14"/>
  <c r="AC19" i="14"/>
  <c r="AB19" i="14"/>
  <c r="AA19" i="14"/>
  <c r="S19" i="14"/>
  <c r="R19" i="14"/>
  <c r="Q19" i="14"/>
  <c r="N19" i="14"/>
  <c r="M19" i="14"/>
  <c r="L19" i="14"/>
  <c r="I19" i="14"/>
  <c r="H19" i="14"/>
  <c r="G19" i="14"/>
  <c r="D19" i="14"/>
  <c r="C19" i="14"/>
  <c r="B19" i="14"/>
  <c r="AH18" i="14"/>
  <c r="AG18" i="14"/>
  <c r="AF18" i="14"/>
  <c r="AC18" i="14"/>
  <c r="AB18" i="14"/>
  <c r="AA18" i="14"/>
  <c r="S18" i="14"/>
  <c r="R18" i="14"/>
  <c r="Q18" i="14"/>
  <c r="N18" i="14"/>
  <c r="M18" i="14"/>
  <c r="L18" i="14"/>
  <c r="I18" i="14"/>
  <c r="H18" i="14"/>
  <c r="G18" i="14"/>
  <c r="D18" i="14"/>
  <c r="C18" i="14"/>
  <c r="B18" i="14"/>
  <c r="AH17" i="14"/>
  <c r="AG17" i="14"/>
  <c r="AF17" i="14"/>
  <c r="AC17" i="14"/>
  <c r="AB17" i="14"/>
  <c r="AA17" i="14"/>
  <c r="S17" i="14"/>
  <c r="R17" i="14"/>
  <c r="Q17" i="14"/>
  <c r="N17" i="14"/>
  <c r="M17" i="14"/>
  <c r="L17" i="14"/>
  <c r="I17" i="14"/>
  <c r="H17" i="14"/>
  <c r="G17" i="14"/>
  <c r="D17" i="14"/>
  <c r="C17" i="14"/>
  <c r="B17" i="14"/>
  <c r="AH16" i="14"/>
  <c r="AG16" i="14"/>
  <c r="AF16" i="14"/>
  <c r="AC16" i="14"/>
  <c r="AB16" i="14"/>
  <c r="AA16" i="14"/>
  <c r="S16" i="14"/>
  <c r="R16" i="14"/>
  <c r="Q16" i="14"/>
  <c r="N16" i="14"/>
  <c r="M16" i="14"/>
  <c r="L16" i="14"/>
  <c r="I16" i="14"/>
  <c r="H16" i="14"/>
  <c r="G16" i="14"/>
  <c r="D16" i="14"/>
  <c r="C16" i="14"/>
  <c r="B16" i="14"/>
  <c r="AH15" i="14"/>
  <c r="AG15" i="14"/>
  <c r="AF15" i="14"/>
  <c r="AC15" i="14"/>
  <c r="AB15" i="14"/>
  <c r="AA15" i="14"/>
  <c r="S15" i="14"/>
  <c r="R15" i="14"/>
  <c r="Q15" i="14"/>
  <c r="N15" i="14"/>
  <c r="M15" i="14"/>
  <c r="L15" i="14"/>
  <c r="I15" i="14"/>
  <c r="H15" i="14"/>
  <c r="G15" i="14"/>
  <c r="D15" i="14"/>
  <c r="C15" i="14"/>
  <c r="B15" i="14"/>
  <c r="AH14" i="14"/>
  <c r="AG14" i="14"/>
  <c r="AF14" i="14"/>
  <c r="AC14" i="14"/>
  <c r="AB14" i="14"/>
  <c r="AA14" i="14"/>
  <c r="S14" i="14"/>
  <c r="R14" i="14"/>
  <c r="Q14" i="14"/>
  <c r="N14" i="14"/>
  <c r="M14" i="14"/>
  <c r="L14" i="14"/>
  <c r="I14" i="14"/>
  <c r="H14" i="14"/>
  <c r="G14" i="14"/>
  <c r="D14" i="14"/>
  <c r="C14" i="14"/>
  <c r="B14" i="14"/>
  <c r="AH13" i="14"/>
  <c r="AG13" i="14"/>
  <c r="AF13" i="14"/>
  <c r="AC13" i="14"/>
  <c r="AB13" i="14"/>
  <c r="AA13" i="14"/>
  <c r="X13" i="14"/>
  <c r="W13" i="14"/>
  <c r="V13" i="14"/>
  <c r="S13" i="14"/>
  <c r="R13" i="14"/>
  <c r="Q13" i="14"/>
  <c r="N13" i="14"/>
  <c r="M13" i="14"/>
  <c r="L13" i="14"/>
  <c r="I13" i="14"/>
  <c r="H13" i="14"/>
  <c r="G13" i="14"/>
  <c r="D13" i="14"/>
  <c r="C13" i="14"/>
  <c r="B13" i="14"/>
  <c r="AH12" i="14"/>
  <c r="AG12" i="14"/>
  <c r="AF12" i="14"/>
  <c r="AC12" i="14"/>
  <c r="AB12" i="14"/>
  <c r="AA12" i="14"/>
  <c r="X12" i="14"/>
  <c r="W12" i="14"/>
  <c r="V12" i="14"/>
  <c r="S12" i="14"/>
  <c r="R12" i="14"/>
  <c r="Q12" i="14"/>
  <c r="O12" i="14"/>
  <c r="N12" i="14"/>
  <c r="M12" i="14"/>
  <c r="L12" i="14"/>
  <c r="I12" i="14"/>
  <c r="H12" i="14"/>
  <c r="G12" i="14"/>
  <c r="D12" i="14"/>
  <c r="C12" i="14"/>
  <c r="B12" i="14"/>
  <c r="AH11" i="14"/>
  <c r="AG11" i="14"/>
  <c r="AF11" i="14"/>
  <c r="AC11" i="14"/>
  <c r="AB11" i="14"/>
  <c r="AA11" i="14"/>
  <c r="X11" i="14"/>
  <c r="W11" i="14"/>
  <c r="V11" i="14"/>
  <c r="S11" i="14"/>
  <c r="R11" i="14"/>
  <c r="Q11" i="14"/>
  <c r="O11" i="14"/>
  <c r="N11" i="14"/>
  <c r="M11" i="14"/>
  <c r="L11" i="14"/>
  <c r="I11" i="14"/>
  <c r="H11" i="14"/>
  <c r="G11" i="14"/>
  <c r="D11" i="14"/>
  <c r="C11" i="14"/>
  <c r="B11" i="14"/>
  <c r="AH10" i="14"/>
  <c r="AG10" i="14"/>
  <c r="AF10" i="14"/>
  <c r="AC10" i="14"/>
  <c r="AB10" i="14"/>
  <c r="AA10" i="14"/>
  <c r="X10" i="14"/>
  <c r="W10" i="14"/>
  <c r="V10" i="14"/>
  <c r="S10" i="14"/>
  <c r="R10" i="14"/>
  <c r="Q10" i="14"/>
  <c r="O10" i="14"/>
  <c r="N10" i="14"/>
  <c r="M10" i="14"/>
  <c r="L10" i="14"/>
  <c r="I10" i="14"/>
  <c r="H10" i="14"/>
  <c r="G10" i="14"/>
  <c r="D10" i="14"/>
  <c r="C10" i="14"/>
  <c r="B10" i="14"/>
  <c r="AH9" i="14"/>
  <c r="AG9" i="14"/>
  <c r="AF9" i="14"/>
  <c r="AC9" i="14"/>
  <c r="AB9" i="14"/>
  <c r="AA9" i="14"/>
  <c r="X9" i="14"/>
  <c r="W9" i="14"/>
  <c r="V9" i="14"/>
  <c r="S9" i="14"/>
  <c r="R9" i="14"/>
  <c r="Q9" i="14"/>
  <c r="O9" i="14"/>
  <c r="N9" i="14"/>
  <c r="M9" i="14"/>
  <c r="L9" i="14"/>
  <c r="I9" i="14"/>
  <c r="H9" i="14"/>
  <c r="G9" i="14"/>
  <c r="E9" i="14"/>
  <c r="D9" i="14"/>
  <c r="C9" i="14"/>
  <c r="B9" i="14"/>
  <c r="AH8" i="14"/>
  <c r="AG8" i="14"/>
  <c r="AF8" i="14"/>
  <c r="AC8" i="14"/>
  <c r="AB8" i="14"/>
  <c r="AA8" i="14"/>
  <c r="X8" i="14"/>
  <c r="W8" i="14"/>
  <c r="V8" i="14"/>
  <c r="S8" i="14"/>
  <c r="R8" i="14"/>
  <c r="Q8" i="14"/>
  <c r="O8" i="14"/>
  <c r="N8" i="14"/>
  <c r="M8" i="14"/>
  <c r="L8" i="14"/>
  <c r="I8" i="14"/>
  <c r="H8" i="14"/>
  <c r="G8" i="14"/>
  <c r="E8" i="14"/>
  <c r="D8" i="14"/>
  <c r="C8" i="14"/>
  <c r="B8" i="14"/>
  <c r="AH7" i="14"/>
  <c r="AG7" i="14"/>
  <c r="AF7" i="14"/>
  <c r="AC7" i="14"/>
  <c r="AB7" i="14"/>
  <c r="AA7" i="14"/>
  <c r="X7" i="14"/>
  <c r="W7" i="14"/>
  <c r="V7" i="14"/>
  <c r="S7" i="14"/>
  <c r="R7" i="14"/>
  <c r="Q7" i="14"/>
  <c r="O7" i="14"/>
  <c r="N7" i="14"/>
  <c r="M7" i="14"/>
  <c r="L7" i="14"/>
  <c r="J7" i="14"/>
  <c r="I7" i="14"/>
  <c r="H7" i="14"/>
  <c r="G7" i="14"/>
  <c r="E7" i="14"/>
  <c r="D7" i="14"/>
  <c r="C7" i="14"/>
  <c r="B7" i="14"/>
  <c r="AI6" i="14"/>
  <c r="AH6" i="14"/>
  <c r="AG6" i="14"/>
  <c r="AF6" i="14"/>
  <c r="AC6" i="14"/>
  <c r="AB6" i="14"/>
  <c r="AA6" i="14"/>
  <c r="X6" i="14"/>
  <c r="W6" i="14"/>
  <c r="V6" i="14"/>
  <c r="S6" i="14"/>
  <c r="R6" i="14"/>
  <c r="Q6" i="14"/>
  <c r="O6" i="14"/>
  <c r="N6" i="14"/>
  <c r="M6" i="14"/>
  <c r="L6" i="14"/>
  <c r="J6" i="14"/>
  <c r="I6" i="14"/>
  <c r="H6" i="14"/>
  <c r="G6" i="14"/>
  <c r="E6" i="14"/>
  <c r="D6" i="14"/>
  <c r="C6" i="14"/>
  <c r="B6" i="14"/>
  <c r="AI5" i="14"/>
  <c r="AH5" i="14"/>
  <c r="AG5" i="14"/>
  <c r="AF5" i="14"/>
  <c r="AD5" i="14"/>
  <c r="AC5" i="14"/>
  <c r="AB5" i="14"/>
  <c r="AA5" i="14"/>
  <c r="X5" i="14"/>
  <c r="W5" i="14"/>
  <c r="V5" i="14"/>
  <c r="T5" i="14"/>
  <c r="S5" i="14"/>
  <c r="R5" i="14"/>
  <c r="Q5" i="14"/>
  <c r="O5" i="14"/>
  <c r="N5" i="14"/>
  <c r="M5" i="14"/>
  <c r="L5" i="14"/>
  <c r="J5" i="14"/>
  <c r="I5" i="14"/>
  <c r="H5" i="14"/>
  <c r="G5" i="14"/>
  <c r="E5" i="14"/>
  <c r="D5" i="14"/>
  <c r="C5" i="14"/>
  <c r="B5" i="14"/>
  <c r="AI4" i="14"/>
  <c r="AH4" i="14"/>
  <c r="AG4" i="14"/>
  <c r="AF4" i="14"/>
  <c r="AD4" i="14"/>
  <c r="AC4" i="14"/>
  <c r="AB4" i="14"/>
  <c r="AA4" i="14"/>
  <c r="Y4" i="14"/>
  <c r="X4" i="14"/>
  <c r="W4" i="14"/>
  <c r="V4" i="14"/>
  <c r="T4" i="14"/>
  <c r="S4" i="14"/>
  <c r="R4" i="14"/>
  <c r="Q4" i="14"/>
  <c r="O4" i="14"/>
  <c r="N4" i="14"/>
  <c r="M4" i="14"/>
  <c r="L4" i="14"/>
  <c r="J4" i="14"/>
  <c r="I4" i="14"/>
  <c r="H4" i="14"/>
  <c r="G4" i="14"/>
  <c r="E4" i="14"/>
  <c r="D4" i="14"/>
  <c r="C4" i="14"/>
  <c r="B4" i="14"/>
  <c r="AI3" i="14"/>
  <c r="AH3" i="14"/>
  <c r="AG3" i="14"/>
  <c r="AF3" i="14"/>
  <c r="AD3" i="14"/>
  <c r="AC3" i="14"/>
  <c r="AB3" i="14"/>
  <c r="AA3" i="14"/>
  <c r="Y3" i="14"/>
  <c r="X3" i="14"/>
  <c r="W3" i="14"/>
  <c r="V3" i="14"/>
  <c r="T3" i="14"/>
  <c r="S3" i="14"/>
  <c r="R3" i="14"/>
  <c r="Q3" i="14"/>
  <c r="O3" i="14"/>
  <c r="N3" i="14"/>
  <c r="M3" i="14"/>
  <c r="L3" i="14"/>
  <c r="J3" i="14"/>
  <c r="I3" i="14"/>
  <c r="H3" i="14"/>
  <c r="G3" i="14"/>
  <c r="E3" i="14"/>
  <c r="D3" i="14"/>
  <c r="C3" i="14"/>
  <c r="B3" i="14"/>
  <c r="AF1" i="14"/>
  <c r="AA1" i="14"/>
  <c r="V1" i="14"/>
  <c r="Q1" i="14"/>
  <c r="L1" i="14"/>
  <c r="G1" i="14"/>
  <c r="D75" i="13"/>
  <c r="C75" i="13"/>
  <c r="B75" i="13"/>
  <c r="D74" i="13"/>
  <c r="C74" i="13"/>
  <c r="B74" i="13"/>
  <c r="D73" i="13"/>
  <c r="C73" i="13"/>
  <c r="B73" i="13"/>
  <c r="D72" i="13"/>
  <c r="C72" i="13"/>
  <c r="B72" i="13"/>
  <c r="D71" i="13"/>
  <c r="C71" i="13"/>
  <c r="B71" i="13"/>
  <c r="D70" i="13"/>
  <c r="C70" i="13"/>
  <c r="B70" i="13"/>
  <c r="D69" i="13"/>
  <c r="C69" i="13"/>
  <c r="B69" i="13"/>
  <c r="D68" i="13"/>
  <c r="C68" i="13"/>
  <c r="B68" i="13"/>
  <c r="S67" i="13"/>
  <c r="R67" i="13"/>
  <c r="Q67" i="13"/>
  <c r="D67" i="13"/>
  <c r="C67" i="13"/>
  <c r="B67" i="13"/>
  <c r="S66" i="13"/>
  <c r="R66" i="13"/>
  <c r="Q66" i="13"/>
  <c r="D66" i="13"/>
  <c r="C66" i="13"/>
  <c r="B66" i="13"/>
  <c r="S65" i="13"/>
  <c r="R65" i="13"/>
  <c r="Q65" i="13"/>
  <c r="D65" i="13"/>
  <c r="C65" i="13"/>
  <c r="B65" i="13"/>
  <c r="S64" i="13"/>
  <c r="R64" i="13"/>
  <c r="Q64" i="13"/>
  <c r="D64" i="13"/>
  <c r="C64" i="13"/>
  <c r="B64" i="13"/>
  <c r="S63" i="13"/>
  <c r="R63" i="13"/>
  <c r="Q63" i="13"/>
  <c r="D63" i="13"/>
  <c r="C63" i="13"/>
  <c r="B63" i="13"/>
  <c r="S62" i="13"/>
  <c r="R62" i="13"/>
  <c r="Q62" i="13"/>
  <c r="D62" i="13"/>
  <c r="C62" i="13"/>
  <c r="B62" i="13"/>
  <c r="S61" i="13"/>
  <c r="R61" i="13"/>
  <c r="Q61" i="13"/>
  <c r="D61" i="13"/>
  <c r="C61" i="13"/>
  <c r="B61" i="13"/>
  <c r="S60" i="13"/>
  <c r="R60" i="13"/>
  <c r="Q60" i="13"/>
  <c r="D60" i="13"/>
  <c r="C60" i="13"/>
  <c r="B60" i="13"/>
  <c r="S59" i="13"/>
  <c r="R59" i="13"/>
  <c r="Q59" i="13"/>
  <c r="D59" i="13"/>
  <c r="C59" i="13"/>
  <c r="B59" i="13"/>
  <c r="S58" i="13"/>
  <c r="R58" i="13"/>
  <c r="Q58" i="13"/>
  <c r="D58" i="13"/>
  <c r="C58" i="13"/>
  <c r="B58" i="13"/>
  <c r="S57" i="13"/>
  <c r="R57" i="13"/>
  <c r="Q57" i="13"/>
  <c r="D57" i="13"/>
  <c r="C57" i="13"/>
  <c r="B57" i="13"/>
  <c r="S56" i="13"/>
  <c r="R56" i="13"/>
  <c r="Q56" i="13"/>
  <c r="D56" i="13"/>
  <c r="C56" i="13"/>
  <c r="B56" i="13"/>
  <c r="S55" i="13"/>
  <c r="R55" i="13"/>
  <c r="Q55" i="13"/>
  <c r="D55" i="13"/>
  <c r="C55" i="13"/>
  <c r="B55" i="13"/>
  <c r="S54" i="13"/>
  <c r="R54" i="13"/>
  <c r="Q54" i="13"/>
  <c r="D54" i="13"/>
  <c r="C54" i="13"/>
  <c r="B54" i="13"/>
  <c r="S53" i="13"/>
  <c r="R53" i="13"/>
  <c r="Q53" i="13"/>
  <c r="D53" i="13"/>
  <c r="C53" i="13"/>
  <c r="B53" i="13"/>
  <c r="S52" i="13"/>
  <c r="R52" i="13"/>
  <c r="Q52" i="13"/>
  <c r="D52" i="13"/>
  <c r="C52" i="13"/>
  <c r="B52" i="13"/>
  <c r="S51" i="13"/>
  <c r="R51" i="13"/>
  <c r="Q51" i="13"/>
  <c r="D51" i="13"/>
  <c r="C51" i="13"/>
  <c r="B51" i="13"/>
  <c r="S50" i="13"/>
  <c r="R50" i="13"/>
  <c r="Q50" i="13"/>
  <c r="D50" i="13"/>
  <c r="C50" i="13"/>
  <c r="B50" i="13"/>
  <c r="AC49" i="13"/>
  <c r="AB49" i="13"/>
  <c r="AA49" i="13"/>
  <c r="S49" i="13"/>
  <c r="R49" i="13"/>
  <c r="Q49" i="13"/>
  <c r="D49" i="13"/>
  <c r="C49" i="13"/>
  <c r="B49" i="13"/>
  <c r="AC48" i="13"/>
  <c r="AB48" i="13"/>
  <c r="AA48" i="13"/>
  <c r="S48" i="13"/>
  <c r="R48" i="13"/>
  <c r="Q48" i="13"/>
  <c r="D48" i="13"/>
  <c r="C48" i="13"/>
  <c r="B48" i="13"/>
  <c r="AC47" i="13"/>
  <c r="AB47" i="13"/>
  <c r="AA47" i="13"/>
  <c r="S47" i="13"/>
  <c r="R47" i="13"/>
  <c r="Q47" i="13"/>
  <c r="D47" i="13"/>
  <c r="C47" i="13"/>
  <c r="B47" i="13"/>
  <c r="AC46" i="13"/>
  <c r="AB46" i="13"/>
  <c r="AA46" i="13"/>
  <c r="S46" i="13"/>
  <c r="R46" i="13"/>
  <c r="Q46" i="13"/>
  <c r="D46" i="13"/>
  <c r="C46" i="13"/>
  <c r="B46" i="13"/>
  <c r="AC45" i="13"/>
  <c r="AB45" i="13"/>
  <c r="AA45" i="13"/>
  <c r="S45" i="13"/>
  <c r="R45" i="13"/>
  <c r="Q45" i="13"/>
  <c r="N45" i="13"/>
  <c r="M45" i="13"/>
  <c r="L45" i="13"/>
  <c r="D45" i="13"/>
  <c r="C45" i="13"/>
  <c r="B45" i="13"/>
  <c r="AC44" i="13"/>
  <c r="AB44" i="13"/>
  <c r="AA44" i="13"/>
  <c r="S44" i="13"/>
  <c r="R44" i="13"/>
  <c r="Q44" i="13"/>
  <c r="N44" i="13"/>
  <c r="M44" i="13"/>
  <c r="L44" i="13"/>
  <c r="I44" i="13"/>
  <c r="H44" i="13"/>
  <c r="G44" i="13"/>
  <c r="D44" i="13"/>
  <c r="C44" i="13"/>
  <c r="B44" i="13"/>
  <c r="AC43" i="13"/>
  <c r="AB43" i="13"/>
  <c r="AA43" i="13"/>
  <c r="S43" i="13"/>
  <c r="R43" i="13"/>
  <c r="Q43" i="13"/>
  <c r="N43" i="13"/>
  <c r="M43" i="13"/>
  <c r="L43" i="13"/>
  <c r="I43" i="13"/>
  <c r="H43" i="13"/>
  <c r="G43" i="13"/>
  <c r="D43" i="13"/>
  <c r="C43" i="13"/>
  <c r="B43" i="13"/>
  <c r="AH42" i="13"/>
  <c r="AG42" i="13"/>
  <c r="AF42" i="13"/>
  <c r="AC42" i="13"/>
  <c r="AB42" i="13"/>
  <c r="AA42" i="13"/>
  <c r="S42" i="13"/>
  <c r="R42" i="13"/>
  <c r="Q42" i="13"/>
  <c r="N42" i="13"/>
  <c r="M42" i="13"/>
  <c r="L42" i="13"/>
  <c r="I42" i="13"/>
  <c r="H42" i="13"/>
  <c r="G42" i="13"/>
  <c r="D42" i="13"/>
  <c r="C42" i="13"/>
  <c r="B42" i="13"/>
  <c r="AH41" i="13"/>
  <c r="AG41" i="13"/>
  <c r="AF41" i="13"/>
  <c r="AC41" i="13"/>
  <c r="AB41" i="13"/>
  <c r="AA41" i="13"/>
  <c r="S41" i="13"/>
  <c r="R41" i="13"/>
  <c r="Q41" i="13"/>
  <c r="N41" i="13"/>
  <c r="M41" i="13"/>
  <c r="L41" i="13"/>
  <c r="I41" i="13"/>
  <c r="H41" i="13"/>
  <c r="G41" i="13"/>
  <c r="D41" i="13"/>
  <c r="C41" i="13"/>
  <c r="B41" i="13"/>
  <c r="AH40" i="13"/>
  <c r="AG40" i="13"/>
  <c r="AF40" i="13"/>
  <c r="AC40" i="13"/>
  <c r="AB40" i="13"/>
  <c r="AA40" i="13"/>
  <c r="S40" i="13"/>
  <c r="R40" i="13"/>
  <c r="Q40" i="13"/>
  <c r="N40" i="13"/>
  <c r="M40" i="13"/>
  <c r="L40" i="13"/>
  <c r="I40" i="13"/>
  <c r="H40" i="13"/>
  <c r="G40" i="13"/>
  <c r="D40" i="13"/>
  <c r="C40" i="13"/>
  <c r="B40" i="13"/>
  <c r="AH39" i="13"/>
  <c r="AG39" i="13"/>
  <c r="AF39" i="13"/>
  <c r="AC39" i="13"/>
  <c r="AB39" i="13"/>
  <c r="AA39" i="13"/>
  <c r="S39" i="13"/>
  <c r="R39" i="13"/>
  <c r="Q39" i="13"/>
  <c r="N39" i="13"/>
  <c r="M39" i="13"/>
  <c r="L39" i="13"/>
  <c r="I39" i="13"/>
  <c r="H39" i="13"/>
  <c r="G39" i="13"/>
  <c r="D39" i="13"/>
  <c r="C39" i="13"/>
  <c r="B39" i="13"/>
  <c r="AH38" i="13"/>
  <c r="AG38" i="13"/>
  <c r="AF38" i="13"/>
  <c r="AC38" i="13"/>
  <c r="AB38" i="13"/>
  <c r="AA38" i="13"/>
  <c r="S38" i="13"/>
  <c r="R38" i="13"/>
  <c r="Q38" i="13"/>
  <c r="N38" i="13"/>
  <c r="M38" i="13"/>
  <c r="L38" i="13"/>
  <c r="I38" i="13"/>
  <c r="H38" i="13"/>
  <c r="G38" i="13"/>
  <c r="D38" i="13"/>
  <c r="C38" i="13"/>
  <c r="B38" i="13"/>
  <c r="AH37" i="13"/>
  <c r="AG37" i="13"/>
  <c r="AF37" i="13"/>
  <c r="AC37" i="13"/>
  <c r="AB37" i="13"/>
  <c r="AA37" i="13"/>
  <c r="S37" i="13"/>
  <c r="R37" i="13"/>
  <c r="Q37" i="13"/>
  <c r="N37" i="13"/>
  <c r="M37" i="13"/>
  <c r="L37" i="13"/>
  <c r="I37" i="13"/>
  <c r="H37" i="13"/>
  <c r="G37" i="13"/>
  <c r="D37" i="13"/>
  <c r="C37" i="13"/>
  <c r="B37" i="13"/>
  <c r="AH36" i="13"/>
  <c r="AG36" i="13"/>
  <c r="AF36" i="13"/>
  <c r="AC36" i="13"/>
  <c r="AB36" i="13"/>
  <c r="AA36" i="13"/>
  <c r="S36" i="13"/>
  <c r="R36" i="13"/>
  <c r="Q36" i="13"/>
  <c r="N36" i="13"/>
  <c r="M36" i="13"/>
  <c r="L36" i="13"/>
  <c r="I36" i="13"/>
  <c r="H36" i="13"/>
  <c r="G36" i="13"/>
  <c r="D36" i="13"/>
  <c r="C36" i="13"/>
  <c r="B36" i="13"/>
  <c r="AH35" i="13"/>
  <c r="AG35" i="13"/>
  <c r="AF35" i="13"/>
  <c r="AC35" i="13"/>
  <c r="AB35" i="13"/>
  <c r="AA35" i="13"/>
  <c r="S35" i="13"/>
  <c r="R35" i="13"/>
  <c r="Q35" i="13"/>
  <c r="N35" i="13"/>
  <c r="M35" i="13"/>
  <c r="L35" i="13"/>
  <c r="I35" i="13"/>
  <c r="H35" i="13"/>
  <c r="G35" i="13"/>
  <c r="D35" i="13"/>
  <c r="C35" i="13"/>
  <c r="B35" i="13"/>
  <c r="AH34" i="13"/>
  <c r="AG34" i="13"/>
  <c r="AF34" i="13"/>
  <c r="AC34" i="13"/>
  <c r="AB34" i="13"/>
  <c r="AA34" i="13"/>
  <c r="S34" i="13"/>
  <c r="R34" i="13"/>
  <c r="Q34" i="13"/>
  <c r="N34" i="13"/>
  <c r="M34" i="13"/>
  <c r="L34" i="13"/>
  <c r="I34" i="13"/>
  <c r="H34" i="13"/>
  <c r="G34" i="13"/>
  <c r="D34" i="13"/>
  <c r="C34" i="13"/>
  <c r="B34" i="13"/>
  <c r="AH33" i="13"/>
  <c r="AG33" i="13"/>
  <c r="AF33" i="13"/>
  <c r="AC33" i="13"/>
  <c r="AB33" i="13"/>
  <c r="AA33" i="13"/>
  <c r="S33" i="13"/>
  <c r="R33" i="13"/>
  <c r="Q33" i="13"/>
  <c r="N33" i="13"/>
  <c r="M33" i="13"/>
  <c r="L33" i="13"/>
  <c r="I33" i="13"/>
  <c r="H33" i="13"/>
  <c r="G33" i="13"/>
  <c r="D33" i="13"/>
  <c r="C33" i="13"/>
  <c r="B33" i="13"/>
  <c r="AH32" i="13"/>
  <c r="AG32" i="13"/>
  <c r="AF32" i="13"/>
  <c r="AC32" i="13"/>
  <c r="AB32" i="13"/>
  <c r="AA32" i="13"/>
  <c r="S32" i="13"/>
  <c r="R32" i="13"/>
  <c r="Q32" i="13"/>
  <c r="N32" i="13"/>
  <c r="M32" i="13"/>
  <c r="L32" i="13"/>
  <c r="I32" i="13"/>
  <c r="H32" i="13"/>
  <c r="G32" i="13"/>
  <c r="D32" i="13"/>
  <c r="C32" i="13"/>
  <c r="B32" i="13"/>
  <c r="AH31" i="13"/>
  <c r="AG31" i="13"/>
  <c r="AF31" i="13"/>
  <c r="AC31" i="13"/>
  <c r="AB31" i="13"/>
  <c r="AA31" i="13"/>
  <c r="S31" i="13"/>
  <c r="R31" i="13"/>
  <c r="Q31" i="13"/>
  <c r="N31" i="13"/>
  <c r="M31" i="13"/>
  <c r="L31" i="13"/>
  <c r="I31" i="13"/>
  <c r="H31" i="13"/>
  <c r="G31" i="13"/>
  <c r="D31" i="13"/>
  <c r="C31" i="13"/>
  <c r="B31" i="13"/>
  <c r="AH30" i="13"/>
  <c r="AG30" i="13"/>
  <c r="AF30" i="13"/>
  <c r="AC30" i="13"/>
  <c r="AB30" i="13"/>
  <c r="AA30" i="13"/>
  <c r="S30" i="13"/>
  <c r="R30" i="13"/>
  <c r="Q30" i="13"/>
  <c r="N30" i="13"/>
  <c r="M30" i="13"/>
  <c r="L30" i="13"/>
  <c r="I30" i="13"/>
  <c r="H30" i="13"/>
  <c r="G30" i="13"/>
  <c r="D30" i="13"/>
  <c r="C30" i="13"/>
  <c r="B30" i="13"/>
  <c r="AH29" i="13"/>
  <c r="AG29" i="13"/>
  <c r="AF29" i="13"/>
  <c r="AC29" i="13"/>
  <c r="AB29" i="13"/>
  <c r="AA29" i="13"/>
  <c r="S29" i="13"/>
  <c r="R29" i="13"/>
  <c r="Q29" i="13"/>
  <c r="N29" i="13"/>
  <c r="M29" i="13"/>
  <c r="L29" i="13"/>
  <c r="I29" i="13"/>
  <c r="H29" i="13"/>
  <c r="G29" i="13"/>
  <c r="D29" i="13"/>
  <c r="C29" i="13"/>
  <c r="B29" i="13"/>
  <c r="AH28" i="13"/>
  <c r="AG28" i="13"/>
  <c r="AF28" i="13"/>
  <c r="AC28" i="13"/>
  <c r="AB28" i="13"/>
  <c r="AA28" i="13"/>
  <c r="S28" i="13"/>
  <c r="R28" i="13"/>
  <c r="Q28" i="13"/>
  <c r="N28" i="13"/>
  <c r="M28" i="13"/>
  <c r="L28" i="13"/>
  <c r="I28" i="13"/>
  <c r="H28" i="13"/>
  <c r="G28" i="13"/>
  <c r="D28" i="13"/>
  <c r="C28" i="13"/>
  <c r="B28" i="13"/>
  <c r="AH27" i="13"/>
  <c r="AG27" i="13"/>
  <c r="AF27" i="13"/>
  <c r="AC27" i="13"/>
  <c r="AB27" i="13"/>
  <c r="AA27" i="13"/>
  <c r="S27" i="13"/>
  <c r="R27" i="13"/>
  <c r="Q27" i="13"/>
  <c r="N27" i="13"/>
  <c r="M27" i="13"/>
  <c r="L27" i="13"/>
  <c r="I27" i="13"/>
  <c r="H27" i="13"/>
  <c r="G27" i="13"/>
  <c r="D27" i="13"/>
  <c r="C27" i="13"/>
  <c r="B27" i="13"/>
  <c r="AH26" i="13"/>
  <c r="AG26" i="13"/>
  <c r="AF26" i="13"/>
  <c r="AC26" i="13"/>
  <c r="AB26" i="13"/>
  <c r="AA26" i="13"/>
  <c r="S26" i="13"/>
  <c r="R26" i="13"/>
  <c r="Q26" i="13"/>
  <c r="N26" i="13"/>
  <c r="M26" i="13"/>
  <c r="L26" i="13"/>
  <c r="I26" i="13"/>
  <c r="H26" i="13"/>
  <c r="G26" i="13"/>
  <c r="D26" i="13"/>
  <c r="C26" i="13"/>
  <c r="B26" i="13"/>
  <c r="AH25" i="13"/>
  <c r="AG25" i="13"/>
  <c r="AF25" i="13"/>
  <c r="AC25" i="13"/>
  <c r="AB25" i="13"/>
  <c r="AA25" i="13"/>
  <c r="S25" i="13"/>
  <c r="R25" i="13"/>
  <c r="Q25" i="13"/>
  <c r="N25" i="13"/>
  <c r="M25" i="13"/>
  <c r="L25" i="13"/>
  <c r="I25" i="13"/>
  <c r="H25" i="13"/>
  <c r="G25" i="13"/>
  <c r="D25" i="13"/>
  <c r="C25" i="13"/>
  <c r="B25" i="13"/>
  <c r="AH24" i="13"/>
  <c r="AG24" i="13"/>
  <c r="AF24" i="13"/>
  <c r="AC24" i="13"/>
  <c r="AB24" i="13"/>
  <c r="AA24" i="13"/>
  <c r="S24" i="13"/>
  <c r="R24" i="13"/>
  <c r="Q24" i="13"/>
  <c r="N24" i="13"/>
  <c r="M24" i="13"/>
  <c r="L24" i="13"/>
  <c r="I24" i="13"/>
  <c r="H24" i="13"/>
  <c r="G24" i="13"/>
  <c r="D24" i="13"/>
  <c r="C24" i="13"/>
  <c r="B24" i="13"/>
  <c r="AH23" i="13"/>
  <c r="AG23" i="13"/>
  <c r="AF23" i="13"/>
  <c r="AC23" i="13"/>
  <c r="AB23" i="13"/>
  <c r="AA23" i="13"/>
  <c r="S23" i="13"/>
  <c r="R23" i="13"/>
  <c r="Q23" i="13"/>
  <c r="N23" i="13"/>
  <c r="M23" i="13"/>
  <c r="L23" i="13"/>
  <c r="I23" i="13"/>
  <c r="H23" i="13"/>
  <c r="G23" i="13"/>
  <c r="D23" i="13"/>
  <c r="C23" i="13"/>
  <c r="B23" i="13"/>
  <c r="AH22" i="13"/>
  <c r="AG22" i="13"/>
  <c r="AF22" i="13"/>
  <c r="AC22" i="13"/>
  <c r="AB22" i="13"/>
  <c r="AA22" i="13"/>
  <c r="S22" i="13"/>
  <c r="R22" i="13"/>
  <c r="Q22" i="13"/>
  <c r="N22" i="13"/>
  <c r="M22" i="13"/>
  <c r="L22" i="13"/>
  <c r="I22" i="13"/>
  <c r="H22" i="13"/>
  <c r="G22" i="13"/>
  <c r="D22" i="13"/>
  <c r="C22" i="13"/>
  <c r="B22" i="13"/>
  <c r="AH21" i="13"/>
  <c r="AG21" i="13"/>
  <c r="AF21" i="13"/>
  <c r="AC21" i="13"/>
  <c r="AB21" i="13"/>
  <c r="AA21" i="13"/>
  <c r="S21" i="13"/>
  <c r="R21" i="13"/>
  <c r="Q21" i="13"/>
  <c r="N21" i="13"/>
  <c r="M21" i="13"/>
  <c r="L21" i="13"/>
  <c r="I21" i="13"/>
  <c r="H21" i="13"/>
  <c r="G21" i="13"/>
  <c r="D21" i="13"/>
  <c r="C21" i="13"/>
  <c r="B21" i="13"/>
  <c r="AH20" i="13"/>
  <c r="AG20" i="13"/>
  <c r="AF20" i="13"/>
  <c r="AC20" i="13"/>
  <c r="AB20" i="13"/>
  <c r="AA20" i="13"/>
  <c r="S20" i="13"/>
  <c r="R20" i="13"/>
  <c r="Q20" i="13"/>
  <c r="N20" i="13"/>
  <c r="M20" i="13"/>
  <c r="L20" i="13"/>
  <c r="I20" i="13"/>
  <c r="H20" i="13"/>
  <c r="G20" i="13"/>
  <c r="D20" i="13"/>
  <c r="C20" i="13"/>
  <c r="B20" i="13"/>
  <c r="AH19" i="13"/>
  <c r="AG19" i="13"/>
  <c r="AF19" i="13"/>
  <c r="AC19" i="13"/>
  <c r="AB19" i="13"/>
  <c r="AA19" i="13"/>
  <c r="X19" i="13"/>
  <c r="W19" i="13"/>
  <c r="V19" i="13"/>
  <c r="S19" i="13"/>
  <c r="R19" i="13"/>
  <c r="Q19" i="13"/>
  <c r="N19" i="13"/>
  <c r="M19" i="13"/>
  <c r="L19" i="13"/>
  <c r="I19" i="13"/>
  <c r="H19" i="13"/>
  <c r="G19" i="13"/>
  <c r="D19" i="13"/>
  <c r="C19" i="13"/>
  <c r="B19" i="13"/>
  <c r="AH18" i="13"/>
  <c r="AG18" i="13"/>
  <c r="AF18" i="13"/>
  <c r="AC18" i="13"/>
  <c r="AB18" i="13"/>
  <c r="AA18" i="13"/>
  <c r="X18" i="13"/>
  <c r="W18" i="13"/>
  <c r="V18" i="13"/>
  <c r="S18" i="13"/>
  <c r="R18" i="13"/>
  <c r="Q18" i="13"/>
  <c r="N18" i="13"/>
  <c r="M18" i="13"/>
  <c r="L18" i="13"/>
  <c r="I18" i="13"/>
  <c r="H18" i="13"/>
  <c r="G18" i="13"/>
  <c r="D18" i="13"/>
  <c r="C18" i="13"/>
  <c r="B18" i="13"/>
  <c r="AH17" i="13"/>
  <c r="AG17" i="13"/>
  <c r="AF17" i="13"/>
  <c r="AC17" i="13"/>
  <c r="AB17" i="13"/>
  <c r="AA17" i="13"/>
  <c r="X17" i="13"/>
  <c r="W17" i="13"/>
  <c r="V17" i="13"/>
  <c r="S17" i="13"/>
  <c r="R17" i="13"/>
  <c r="Q17" i="13"/>
  <c r="N17" i="13"/>
  <c r="M17" i="13"/>
  <c r="L17" i="13"/>
  <c r="I17" i="13"/>
  <c r="H17" i="13"/>
  <c r="G17" i="13"/>
  <c r="D17" i="13"/>
  <c r="C17" i="13"/>
  <c r="B17" i="13"/>
  <c r="AH16" i="13"/>
  <c r="AG16" i="13"/>
  <c r="AF16" i="13"/>
  <c r="AC16" i="13"/>
  <c r="AB16" i="13"/>
  <c r="AA16" i="13"/>
  <c r="X16" i="13"/>
  <c r="W16" i="13"/>
  <c r="V16" i="13"/>
  <c r="S16" i="13"/>
  <c r="R16" i="13"/>
  <c r="Q16" i="13"/>
  <c r="N16" i="13"/>
  <c r="M16" i="13"/>
  <c r="L16" i="13"/>
  <c r="I16" i="13"/>
  <c r="H16" i="13"/>
  <c r="G16" i="13"/>
  <c r="D16" i="13"/>
  <c r="C16" i="13"/>
  <c r="B16" i="13"/>
  <c r="AH15" i="13"/>
  <c r="AG15" i="13"/>
  <c r="AF15" i="13"/>
  <c r="AC15" i="13"/>
  <c r="AB15" i="13"/>
  <c r="AA15" i="13"/>
  <c r="X15" i="13"/>
  <c r="W15" i="13"/>
  <c r="V15" i="13"/>
  <c r="S15" i="13"/>
  <c r="R15" i="13"/>
  <c r="Q15" i="13"/>
  <c r="N15" i="13"/>
  <c r="M15" i="13"/>
  <c r="L15" i="13"/>
  <c r="I15" i="13"/>
  <c r="H15" i="13"/>
  <c r="G15" i="13"/>
  <c r="D15" i="13"/>
  <c r="C15" i="13"/>
  <c r="B15" i="13"/>
  <c r="AH14" i="13"/>
  <c r="AG14" i="13"/>
  <c r="AF14" i="13"/>
  <c r="AC14" i="13"/>
  <c r="AB14" i="13"/>
  <c r="AA14" i="13"/>
  <c r="X14" i="13"/>
  <c r="W14" i="13"/>
  <c r="V14" i="13"/>
  <c r="S14" i="13"/>
  <c r="R14" i="13"/>
  <c r="Q14" i="13"/>
  <c r="N14" i="13"/>
  <c r="M14" i="13"/>
  <c r="L14" i="13"/>
  <c r="I14" i="13"/>
  <c r="H14" i="13"/>
  <c r="G14" i="13"/>
  <c r="D14" i="13"/>
  <c r="C14" i="13"/>
  <c r="B14" i="13"/>
  <c r="AH13" i="13"/>
  <c r="AG13" i="13"/>
  <c r="AF13" i="13"/>
  <c r="AC13" i="13"/>
  <c r="AB13" i="13"/>
  <c r="AA13" i="13"/>
  <c r="X13" i="13"/>
  <c r="W13" i="13"/>
  <c r="V13" i="13"/>
  <c r="S13" i="13"/>
  <c r="R13" i="13"/>
  <c r="Q13" i="13"/>
  <c r="N13" i="13"/>
  <c r="M13" i="13"/>
  <c r="L13" i="13"/>
  <c r="I13" i="13"/>
  <c r="H13" i="13"/>
  <c r="G13" i="13"/>
  <c r="D13" i="13"/>
  <c r="C13" i="13"/>
  <c r="B13" i="13"/>
  <c r="AH12" i="13"/>
  <c r="AG12" i="13"/>
  <c r="AF12" i="13"/>
  <c r="AC12" i="13"/>
  <c r="AB12" i="13"/>
  <c r="AA12" i="13"/>
  <c r="X12" i="13"/>
  <c r="W12" i="13"/>
  <c r="V12" i="13"/>
  <c r="S12" i="13"/>
  <c r="R12" i="13"/>
  <c r="Q12" i="13"/>
  <c r="O12" i="13"/>
  <c r="N12" i="13"/>
  <c r="M12" i="13"/>
  <c r="L12" i="13"/>
  <c r="I12" i="13"/>
  <c r="H12" i="13"/>
  <c r="G12" i="13"/>
  <c r="D12" i="13"/>
  <c r="C12" i="13"/>
  <c r="B12" i="13"/>
  <c r="AH11" i="13"/>
  <c r="AG11" i="13"/>
  <c r="AF11" i="13"/>
  <c r="AC11" i="13"/>
  <c r="AB11" i="13"/>
  <c r="AA11" i="13"/>
  <c r="X11" i="13"/>
  <c r="W11" i="13"/>
  <c r="V11" i="13"/>
  <c r="S11" i="13"/>
  <c r="R11" i="13"/>
  <c r="Q11" i="13"/>
  <c r="O11" i="13"/>
  <c r="N11" i="13"/>
  <c r="M11" i="13"/>
  <c r="L11" i="13"/>
  <c r="I11" i="13"/>
  <c r="H11" i="13"/>
  <c r="G11" i="13"/>
  <c r="D11" i="13"/>
  <c r="C11" i="13"/>
  <c r="B11" i="13"/>
  <c r="AH10" i="13"/>
  <c r="AG10" i="13"/>
  <c r="AF10" i="13"/>
  <c r="AC10" i="13"/>
  <c r="AB10" i="13"/>
  <c r="AA10" i="13"/>
  <c r="X10" i="13"/>
  <c r="W10" i="13"/>
  <c r="V10" i="13"/>
  <c r="T10" i="13"/>
  <c r="S10" i="13"/>
  <c r="R10" i="13"/>
  <c r="Q10" i="13"/>
  <c r="O10" i="13"/>
  <c r="N10" i="13"/>
  <c r="M10" i="13"/>
  <c r="L10" i="13"/>
  <c r="I10" i="13"/>
  <c r="H10" i="13"/>
  <c r="G10" i="13"/>
  <c r="D10" i="13"/>
  <c r="C10" i="13"/>
  <c r="B10" i="13"/>
  <c r="AH9" i="13"/>
  <c r="AG9" i="13"/>
  <c r="AF9" i="13"/>
  <c r="AC9" i="13"/>
  <c r="AB9" i="13"/>
  <c r="AA9" i="13"/>
  <c r="X9" i="13"/>
  <c r="W9" i="13"/>
  <c r="V9" i="13"/>
  <c r="T9" i="13"/>
  <c r="S9" i="13"/>
  <c r="R9" i="13"/>
  <c r="Q9" i="13"/>
  <c r="O9" i="13"/>
  <c r="N9" i="13"/>
  <c r="M9" i="13"/>
  <c r="L9" i="13"/>
  <c r="I9" i="13"/>
  <c r="H9" i="13"/>
  <c r="G9" i="13"/>
  <c r="E9" i="13"/>
  <c r="D9" i="13"/>
  <c r="C9" i="13"/>
  <c r="B9" i="13"/>
  <c r="AH8" i="13"/>
  <c r="AG8" i="13"/>
  <c r="AF8" i="13"/>
  <c r="AC8" i="13"/>
  <c r="AB8" i="13"/>
  <c r="AA8" i="13"/>
  <c r="X8" i="13"/>
  <c r="W8" i="13"/>
  <c r="V8" i="13"/>
  <c r="T8" i="13"/>
  <c r="S8" i="13"/>
  <c r="R8" i="13"/>
  <c r="Q8" i="13"/>
  <c r="O8" i="13"/>
  <c r="N8" i="13"/>
  <c r="M8" i="13"/>
  <c r="L8" i="13"/>
  <c r="J8" i="13"/>
  <c r="I8" i="13"/>
  <c r="H8" i="13"/>
  <c r="G8" i="13"/>
  <c r="E8" i="13"/>
  <c r="D8" i="13"/>
  <c r="C8" i="13"/>
  <c r="B8" i="13"/>
  <c r="AH7" i="13"/>
  <c r="AG7" i="13"/>
  <c r="AF7" i="13"/>
  <c r="AC7" i="13"/>
  <c r="AB7" i="13"/>
  <c r="AA7" i="13"/>
  <c r="X7" i="13"/>
  <c r="W7" i="13"/>
  <c r="V7" i="13"/>
  <c r="T7" i="13"/>
  <c r="S7" i="13"/>
  <c r="R7" i="13"/>
  <c r="Q7" i="13"/>
  <c r="O7" i="13"/>
  <c r="N7" i="13"/>
  <c r="M7" i="13"/>
  <c r="L7" i="13"/>
  <c r="J7" i="13"/>
  <c r="I7" i="13"/>
  <c r="H7" i="13"/>
  <c r="G7" i="13"/>
  <c r="E7" i="13"/>
  <c r="D7" i="13"/>
  <c r="C7" i="13"/>
  <c r="B7" i="13"/>
  <c r="AI6" i="13"/>
  <c r="AH6" i="13"/>
  <c r="AG6" i="13"/>
  <c r="AF6" i="13"/>
  <c r="AD6" i="13"/>
  <c r="AC6" i="13"/>
  <c r="AB6" i="13"/>
  <c r="AA6" i="13"/>
  <c r="X6" i="13"/>
  <c r="W6" i="13"/>
  <c r="V6" i="13"/>
  <c r="T6" i="13"/>
  <c r="S6" i="13"/>
  <c r="R6" i="13"/>
  <c r="Q6" i="13"/>
  <c r="O6" i="13"/>
  <c r="N6" i="13"/>
  <c r="M6" i="13"/>
  <c r="L6" i="13"/>
  <c r="J6" i="13"/>
  <c r="I6" i="13"/>
  <c r="H6" i="13"/>
  <c r="G6" i="13"/>
  <c r="E6" i="13"/>
  <c r="D6" i="13"/>
  <c r="C6" i="13"/>
  <c r="B6" i="13"/>
  <c r="AI5" i="13"/>
  <c r="AH5" i="13"/>
  <c r="AG5" i="13"/>
  <c r="AF5" i="13"/>
  <c r="AD5" i="13"/>
  <c r="AC5" i="13"/>
  <c r="AB5" i="13"/>
  <c r="AA5" i="13"/>
  <c r="X5" i="13"/>
  <c r="W5" i="13"/>
  <c r="V5" i="13"/>
  <c r="T5" i="13"/>
  <c r="S5" i="13"/>
  <c r="R5" i="13"/>
  <c r="Q5" i="13"/>
  <c r="O5" i="13"/>
  <c r="N5" i="13"/>
  <c r="M5" i="13"/>
  <c r="L5" i="13"/>
  <c r="J5" i="13"/>
  <c r="I5" i="13"/>
  <c r="H5" i="13"/>
  <c r="G5" i="13"/>
  <c r="E5" i="13"/>
  <c r="D5" i="13"/>
  <c r="C5" i="13"/>
  <c r="B5" i="13"/>
  <c r="AI4" i="13"/>
  <c r="AH4" i="13"/>
  <c r="AG4" i="13"/>
  <c r="AF4" i="13"/>
  <c r="AD4" i="13"/>
  <c r="AC4" i="13"/>
  <c r="AB4" i="13"/>
  <c r="AA4" i="13"/>
  <c r="Y4" i="13"/>
  <c r="X4" i="13"/>
  <c r="W4" i="13"/>
  <c r="V4" i="13"/>
  <c r="T4" i="13"/>
  <c r="S4" i="13"/>
  <c r="R4" i="13"/>
  <c r="Q4" i="13"/>
  <c r="O4" i="13"/>
  <c r="N4" i="13"/>
  <c r="M4" i="13"/>
  <c r="L4" i="13"/>
  <c r="J4" i="13"/>
  <c r="I4" i="13"/>
  <c r="H4" i="13"/>
  <c r="G4" i="13"/>
  <c r="E4" i="13"/>
  <c r="D4" i="13"/>
  <c r="C4" i="13"/>
  <c r="B4" i="13"/>
  <c r="AI3" i="13"/>
  <c r="AH3" i="13"/>
  <c r="AG3" i="13"/>
  <c r="AF3" i="13"/>
  <c r="AD3" i="13"/>
  <c r="AC3" i="13"/>
  <c r="AB3" i="13"/>
  <c r="AA3" i="13"/>
  <c r="Y3" i="13"/>
  <c r="X3" i="13"/>
  <c r="W3" i="13"/>
  <c r="V3" i="13"/>
  <c r="T3" i="13"/>
  <c r="S3" i="13"/>
  <c r="R3" i="13"/>
  <c r="Q3" i="13"/>
  <c r="O3" i="13"/>
  <c r="N3" i="13"/>
  <c r="M3" i="13"/>
  <c r="L3" i="13"/>
  <c r="J3" i="13"/>
  <c r="I3" i="13"/>
  <c r="H3" i="13"/>
  <c r="G3" i="13"/>
  <c r="E3" i="13"/>
  <c r="D3" i="13"/>
  <c r="C3" i="13"/>
  <c r="B3" i="13"/>
  <c r="AF1" i="13"/>
  <c r="AA1" i="13"/>
  <c r="V1" i="13"/>
  <c r="Q1" i="13"/>
  <c r="L1" i="13"/>
  <c r="G1" i="13"/>
  <c r="D68" i="12"/>
  <c r="C68" i="12"/>
  <c r="B68" i="12"/>
  <c r="D67" i="12"/>
  <c r="C67" i="12"/>
  <c r="B67" i="12"/>
  <c r="D66" i="12"/>
  <c r="C66" i="12"/>
  <c r="B66" i="12"/>
  <c r="D65" i="12"/>
  <c r="C65" i="12"/>
  <c r="B65" i="12"/>
  <c r="D64" i="12"/>
  <c r="C64" i="12"/>
  <c r="B64" i="12"/>
  <c r="D63" i="12"/>
  <c r="C63" i="12"/>
  <c r="B63" i="12"/>
  <c r="D62" i="12"/>
  <c r="C62" i="12"/>
  <c r="B62" i="12"/>
  <c r="D61" i="12"/>
  <c r="C61" i="12"/>
  <c r="B61" i="12"/>
  <c r="D60" i="12"/>
  <c r="C60" i="12"/>
  <c r="B60" i="12"/>
  <c r="D59" i="12"/>
  <c r="C59" i="12"/>
  <c r="B59" i="12"/>
  <c r="D58" i="12"/>
  <c r="C58" i="12"/>
  <c r="B58" i="12"/>
  <c r="D57" i="12"/>
  <c r="C57" i="12"/>
  <c r="B57" i="12"/>
  <c r="D56" i="12"/>
  <c r="C56" i="12"/>
  <c r="B56" i="12"/>
  <c r="D55" i="12"/>
  <c r="C55" i="12"/>
  <c r="B55" i="12"/>
  <c r="D54" i="12"/>
  <c r="C54" i="12"/>
  <c r="B54" i="12"/>
  <c r="D53" i="12"/>
  <c r="C53" i="12"/>
  <c r="B53" i="12"/>
  <c r="D52" i="12"/>
  <c r="C52" i="12"/>
  <c r="B52" i="12"/>
  <c r="D51" i="12"/>
  <c r="C51" i="12"/>
  <c r="B51" i="12"/>
  <c r="D50" i="12"/>
  <c r="C50" i="12"/>
  <c r="B50" i="12"/>
  <c r="D49" i="12"/>
  <c r="C49" i="12"/>
  <c r="B49" i="12"/>
  <c r="D48" i="12"/>
  <c r="C48" i="12"/>
  <c r="B48" i="12"/>
  <c r="D47" i="12"/>
  <c r="C47" i="12"/>
  <c r="B47" i="12"/>
  <c r="D46" i="12"/>
  <c r="C46" i="12"/>
  <c r="B46" i="12"/>
  <c r="D45" i="12"/>
  <c r="C45" i="12"/>
  <c r="B45" i="12"/>
  <c r="D44" i="12"/>
  <c r="C44" i="12"/>
  <c r="B44" i="12"/>
  <c r="D43" i="12"/>
  <c r="C43" i="12"/>
  <c r="B43" i="12"/>
  <c r="D42" i="12"/>
  <c r="C42" i="12"/>
  <c r="B42" i="12"/>
  <c r="D41" i="12"/>
  <c r="C41" i="12"/>
  <c r="B41" i="12"/>
  <c r="D40" i="12"/>
  <c r="C40" i="12"/>
  <c r="B40" i="12"/>
  <c r="S39" i="12"/>
  <c r="R39" i="12"/>
  <c r="Q39" i="12"/>
  <c r="N39" i="12"/>
  <c r="M39" i="12"/>
  <c r="L39" i="12"/>
  <c r="I39" i="12"/>
  <c r="H39" i="12"/>
  <c r="G39" i="12"/>
  <c r="D39" i="12"/>
  <c r="C39" i="12"/>
  <c r="B39" i="12"/>
  <c r="S38" i="12"/>
  <c r="R38" i="12"/>
  <c r="Q38" i="12"/>
  <c r="N38" i="12"/>
  <c r="M38" i="12"/>
  <c r="L38" i="12"/>
  <c r="I38" i="12"/>
  <c r="H38" i="12"/>
  <c r="G38" i="12"/>
  <c r="D38" i="12"/>
  <c r="C38" i="12"/>
  <c r="B38" i="12"/>
  <c r="S37" i="12"/>
  <c r="R37" i="12"/>
  <c r="Q37" i="12"/>
  <c r="N37" i="12"/>
  <c r="M37" i="12"/>
  <c r="L37" i="12"/>
  <c r="I37" i="12"/>
  <c r="H37" i="12"/>
  <c r="G37" i="12"/>
  <c r="D37" i="12"/>
  <c r="C37" i="12"/>
  <c r="B37" i="12"/>
  <c r="S36" i="12"/>
  <c r="R36" i="12"/>
  <c r="Q36" i="12"/>
  <c r="N36" i="12"/>
  <c r="M36" i="12"/>
  <c r="L36" i="12"/>
  <c r="I36" i="12"/>
  <c r="H36" i="12"/>
  <c r="G36" i="12"/>
  <c r="D36" i="12"/>
  <c r="C36" i="12"/>
  <c r="B36" i="12"/>
  <c r="S35" i="12"/>
  <c r="R35" i="12"/>
  <c r="Q35" i="12"/>
  <c r="N35" i="12"/>
  <c r="M35" i="12"/>
  <c r="L35" i="12"/>
  <c r="I35" i="12"/>
  <c r="H35" i="12"/>
  <c r="G35" i="12"/>
  <c r="D35" i="12"/>
  <c r="C35" i="12"/>
  <c r="B35" i="12"/>
  <c r="S34" i="12"/>
  <c r="R34" i="12"/>
  <c r="Q34" i="12"/>
  <c r="N34" i="12"/>
  <c r="M34" i="12"/>
  <c r="L34" i="12"/>
  <c r="I34" i="12"/>
  <c r="H34" i="12"/>
  <c r="G34" i="12"/>
  <c r="D34" i="12"/>
  <c r="C34" i="12"/>
  <c r="B34" i="12"/>
  <c r="AC33" i="12"/>
  <c r="AB33" i="12"/>
  <c r="AA33" i="12"/>
  <c r="S33" i="12"/>
  <c r="R33" i="12"/>
  <c r="Q33" i="12"/>
  <c r="N33" i="12"/>
  <c r="M33" i="12"/>
  <c r="L33" i="12"/>
  <c r="I33" i="12"/>
  <c r="H33" i="12"/>
  <c r="G33" i="12"/>
  <c r="D33" i="12"/>
  <c r="C33" i="12"/>
  <c r="B33" i="12"/>
  <c r="AC32" i="12"/>
  <c r="AB32" i="12"/>
  <c r="AA32" i="12"/>
  <c r="S32" i="12"/>
  <c r="R32" i="12"/>
  <c r="Q32" i="12"/>
  <c r="N32" i="12"/>
  <c r="M32" i="12"/>
  <c r="L32" i="12"/>
  <c r="I32" i="12"/>
  <c r="H32" i="12"/>
  <c r="G32" i="12"/>
  <c r="D32" i="12"/>
  <c r="C32" i="12"/>
  <c r="B32" i="12"/>
  <c r="AC31" i="12"/>
  <c r="AB31" i="12"/>
  <c r="AA31" i="12"/>
  <c r="S31" i="12"/>
  <c r="R31" i="12"/>
  <c r="Q31" i="12"/>
  <c r="N31" i="12"/>
  <c r="M31" i="12"/>
  <c r="L31" i="12"/>
  <c r="I31" i="12"/>
  <c r="H31" i="12"/>
  <c r="G31" i="12"/>
  <c r="D31" i="12"/>
  <c r="C31" i="12"/>
  <c r="B31" i="12"/>
  <c r="AH30" i="12"/>
  <c r="AG30" i="12"/>
  <c r="AF30" i="12"/>
  <c r="AC30" i="12"/>
  <c r="AB30" i="12"/>
  <c r="AA30" i="12"/>
  <c r="S30" i="12"/>
  <c r="R30" i="12"/>
  <c r="Q30" i="12"/>
  <c r="N30" i="12"/>
  <c r="M30" i="12"/>
  <c r="L30" i="12"/>
  <c r="I30" i="12"/>
  <c r="H30" i="12"/>
  <c r="G30" i="12"/>
  <c r="D30" i="12"/>
  <c r="C30" i="12"/>
  <c r="B30" i="12"/>
  <c r="AH29" i="12"/>
  <c r="AG29" i="12"/>
  <c r="AF29" i="12"/>
  <c r="AC29" i="12"/>
  <c r="AB29" i="12"/>
  <c r="AA29" i="12"/>
  <c r="S29" i="12"/>
  <c r="R29" i="12"/>
  <c r="Q29" i="12"/>
  <c r="N29" i="12"/>
  <c r="M29" i="12"/>
  <c r="L29" i="12"/>
  <c r="I29" i="12"/>
  <c r="H29" i="12"/>
  <c r="G29" i="12"/>
  <c r="D29" i="12"/>
  <c r="C29" i="12"/>
  <c r="B29" i="12"/>
  <c r="AH28" i="12"/>
  <c r="AG28" i="12"/>
  <c r="AF28" i="12"/>
  <c r="AC28" i="12"/>
  <c r="AB28" i="12"/>
  <c r="AA28" i="12"/>
  <c r="S28" i="12"/>
  <c r="R28" i="12"/>
  <c r="Q28" i="12"/>
  <c r="N28" i="12"/>
  <c r="M28" i="12"/>
  <c r="L28" i="12"/>
  <c r="I28" i="12"/>
  <c r="H28" i="12"/>
  <c r="G28" i="12"/>
  <c r="D28" i="12"/>
  <c r="C28" i="12"/>
  <c r="B28" i="12"/>
  <c r="AH27" i="12"/>
  <c r="AG27" i="12"/>
  <c r="AF27" i="12"/>
  <c r="AC27" i="12"/>
  <c r="AB27" i="12"/>
  <c r="AA27" i="12"/>
  <c r="S27" i="12"/>
  <c r="R27" i="12"/>
  <c r="Q27" i="12"/>
  <c r="N27" i="12"/>
  <c r="M27" i="12"/>
  <c r="L27" i="12"/>
  <c r="I27" i="12"/>
  <c r="H27" i="12"/>
  <c r="G27" i="12"/>
  <c r="D27" i="12"/>
  <c r="C27" i="12"/>
  <c r="B27" i="12"/>
  <c r="AH26" i="12"/>
  <c r="AG26" i="12"/>
  <c r="AF26" i="12"/>
  <c r="AC26" i="12"/>
  <c r="AB26" i="12"/>
  <c r="AA26" i="12"/>
  <c r="S26" i="12"/>
  <c r="R26" i="12"/>
  <c r="Q26" i="12"/>
  <c r="N26" i="12"/>
  <c r="M26" i="12"/>
  <c r="L26" i="12"/>
  <c r="I26" i="12"/>
  <c r="H26" i="12"/>
  <c r="G26" i="12"/>
  <c r="D26" i="12"/>
  <c r="C26" i="12"/>
  <c r="B26" i="12"/>
  <c r="AH25" i="12"/>
  <c r="AG25" i="12"/>
  <c r="AF25" i="12"/>
  <c r="AC25" i="12"/>
  <c r="AB25" i="12"/>
  <c r="AA25" i="12"/>
  <c r="S25" i="12"/>
  <c r="R25" i="12"/>
  <c r="Q25" i="12"/>
  <c r="N25" i="12"/>
  <c r="M25" i="12"/>
  <c r="L25" i="12"/>
  <c r="I25" i="12"/>
  <c r="H25" i="12"/>
  <c r="G25" i="12"/>
  <c r="D25" i="12"/>
  <c r="C25" i="12"/>
  <c r="B25" i="12"/>
  <c r="AH24" i="12"/>
  <c r="AG24" i="12"/>
  <c r="AF24" i="12"/>
  <c r="AC24" i="12"/>
  <c r="AB24" i="12"/>
  <c r="AA24" i="12"/>
  <c r="S24" i="12"/>
  <c r="R24" i="12"/>
  <c r="Q24" i="12"/>
  <c r="N24" i="12"/>
  <c r="M24" i="12"/>
  <c r="L24" i="12"/>
  <c r="I24" i="12"/>
  <c r="H24" i="12"/>
  <c r="G24" i="12"/>
  <c r="D24" i="12"/>
  <c r="C24" i="12"/>
  <c r="B24" i="12"/>
  <c r="AH23" i="12"/>
  <c r="AG23" i="12"/>
  <c r="AF23" i="12"/>
  <c r="AC23" i="12"/>
  <c r="AB23" i="12"/>
  <c r="AA23" i="12"/>
  <c r="S23" i="12"/>
  <c r="R23" i="12"/>
  <c r="Q23" i="12"/>
  <c r="N23" i="12"/>
  <c r="M23" i="12"/>
  <c r="L23" i="12"/>
  <c r="I23" i="12"/>
  <c r="H23" i="12"/>
  <c r="G23" i="12"/>
  <c r="D23" i="12"/>
  <c r="C23" i="12"/>
  <c r="B23" i="12"/>
  <c r="AH22" i="12"/>
  <c r="AG22" i="12"/>
  <c r="AF22" i="12"/>
  <c r="AC22" i="12"/>
  <c r="AB22" i="12"/>
  <c r="AA22" i="12"/>
  <c r="S22" i="12"/>
  <c r="R22" i="12"/>
  <c r="Q22" i="12"/>
  <c r="N22" i="12"/>
  <c r="M22" i="12"/>
  <c r="L22" i="12"/>
  <c r="I22" i="12"/>
  <c r="H22" i="12"/>
  <c r="G22" i="12"/>
  <c r="D22" i="12"/>
  <c r="C22" i="12"/>
  <c r="B22" i="12"/>
  <c r="AH21" i="12"/>
  <c r="AG21" i="12"/>
  <c r="AF21" i="12"/>
  <c r="AC21" i="12"/>
  <c r="AB21" i="12"/>
  <c r="AA21" i="12"/>
  <c r="S21" i="12"/>
  <c r="R21" i="12"/>
  <c r="Q21" i="12"/>
  <c r="N21" i="12"/>
  <c r="M21" i="12"/>
  <c r="L21" i="12"/>
  <c r="I21" i="12"/>
  <c r="H21" i="12"/>
  <c r="G21" i="12"/>
  <c r="D21" i="12"/>
  <c r="C21" i="12"/>
  <c r="B21" i="12"/>
  <c r="AH20" i="12"/>
  <c r="AG20" i="12"/>
  <c r="AF20" i="12"/>
  <c r="AC20" i="12"/>
  <c r="AB20" i="12"/>
  <c r="AA20" i="12"/>
  <c r="S20" i="12"/>
  <c r="R20" i="12"/>
  <c r="Q20" i="12"/>
  <c r="N20" i="12"/>
  <c r="M20" i="12"/>
  <c r="L20" i="12"/>
  <c r="I20" i="12"/>
  <c r="H20" i="12"/>
  <c r="G20" i="12"/>
  <c r="D20" i="12"/>
  <c r="C20" i="12"/>
  <c r="B20" i="12"/>
  <c r="AH19" i="12"/>
  <c r="AG19" i="12"/>
  <c r="AF19" i="12"/>
  <c r="AC19" i="12"/>
  <c r="AB19" i="12"/>
  <c r="AA19" i="12"/>
  <c r="S19" i="12"/>
  <c r="R19" i="12"/>
  <c r="Q19" i="12"/>
  <c r="N19" i="12"/>
  <c r="M19" i="12"/>
  <c r="L19" i="12"/>
  <c r="I19" i="12"/>
  <c r="H19" i="12"/>
  <c r="G19" i="12"/>
  <c r="D19" i="12"/>
  <c r="C19" i="12"/>
  <c r="B19" i="12"/>
  <c r="AH18" i="12"/>
  <c r="AG18" i="12"/>
  <c r="AF18" i="12"/>
  <c r="AC18" i="12"/>
  <c r="AB18" i="12"/>
  <c r="AA18" i="12"/>
  <c r="S18" i="12"/>
  <c r="R18" i="12"/>
  <c r="Q18" i="12"/>
  <c r="N18" i="12"/>
  <c r="M18" i="12"/>
  <c r="L18" i="12"/>
  <c r="I18" i="12"/>
  <c r="H18" i="12"/>
  <c r="G18" i="12"/>
  <c r="D18" i="12"/>
  <c r="C18" i="12"/>
  <c r="B18" i="12"/>
  <c r="AH17" i="12"/>
  <c r="AG17" i="12"/>
  <c r="AF17" i="12"/>
  <c r="AC17" i="12"/>
  <c r="AB17" i="12"/>
  <c r="AA17" i="12"/>
  <c r="S17" i="12"/>
  <c r="R17" i="12"/>
  <c r="Q17" i="12"/>
  <c r="N17" i="12"/>
  <c r="M17" i="12"/>
  <c r="L17" i="12"/>
  <c r="I17" i="12"/>
  <c r="H17" i="12"/>
  <c r="G17" i="12"/>
  <c r="D17" i="12"/>
  <c r="C17" i="12"/>
  <c r="B17" i="12"/>
  <c r="AH16" i="12"/>
  <c r="AG16" i="12"/>
  <c r="AF16" i="12"/>
  <c r="AC16" i="12"/>
  <c r="AB16" i="12"/>
  <c r="AA16" i="12"/>
  <c r="S16" i="12"/>
  <c r="R16" i="12"/>
  <c r="Q16" i="12"/>
  <c r="N16" i="12"/>
  <c r="M16" i="12"/>
  <c r="L16" i="12"/>
  <c r="I16" i="12"/>
  <c r="H16" i="12"/>
  <c r="G16" i="12"/>
  <c r="D16" i="12"/>
  <c r="C16" i="12"/>
  <c r="B16" i="12"/>
  <c r="AH15" i="12"/>
  <c r="AG15" i="12"/>
  <c r="AF15" i="12"/>
  <c r="AC15" i="12"/>
  <c r="AB15" i="12"/>
  <c r="AA15" i="12"/>
  <c r="S15" i="12"/>
  <c r="R15" i="12"/>
  <c r="Q15" i="12"/>
  <c r="N15" i="12"/>
  <c r="M15" i="12"/>
  <c r="L15" i="12"/>
  <c r="I15" i="12"/>
  <c r="H15" i="12"/>
  <c r="G15" i="12"/>
  <c r="D15" i="12"/>
  <c r="C15" i="12"/>
  <c r="B15" i="12"/>
  <c r="AH14" i="12"/>
  <c r="AG14" i="12"/>
  <c r="AF14" i="12"/>
  <c r="AC14" i="12"/>
  <c r="AB14" i="12"/>
  <c r="AA14" i="12"/>
  <c r="S14" i="12"/>
  <c r="R14" i="12"/>
  <c r="Q14" i="12"/>
  <c r="N14" i="12"/>
  <c r="M14" i="12"/>
  <c r="L14" i="12"/>
  <c r="I14" i="12"/>
  <c r="H14" i="12"/>
  <c r="G14" i="12"/>
  <c r="D14" i="12"/>
  <c r="C14" i="12"/>
  <c r="B14" i="12"/>
  <c r="AH13" i="12"/>
  <c r="AG13" i="12"/>
  <c r="AF13" i="12"/>
  <c r="AC13" i="12"/>
  <c r="AB13" i="12"/>
  <c r="AA13" i="12"/>
  <c r="S13" i="12"/>
  <c r="R13" i="12"/>
  <c r="Q13" i="12"/>
  <c r="N13" i="12"/>
  <c r="M13" i="12"/>
  <c r="L13" i="12"/>
  <c r="I13" i="12"/>
  <c r="H13" i="12"/>
  <c r="G13" i="12"/>
  <c r="D13" i="12"/>
  <c r="C13" i="12"/>
  <c r="B13" i="12"/>
  <c r="AH12" i="12"/>
  <c r="AG12" i="12"/>
  <c r="AF12" i="12"/>
  <c r="AC12" i="12"/>
  <c r="AB12" i="12"/>
  <c r="AA12" i="12"/>
  <c r="S12" i="12"/>
  <c r="R12" i="12"/>
  <c r="Q12" i="12"/>
  <c r="N12" i="12"/>
  <c r="M12" i="12"/>
  <c r="L12" i="12"/>
  <c r="I12" i="12"/>
  <c r="H12" i="12"/>
  <c r="G12" i="12"/>
  <c r="D12" i="12"/>
  <c r="C12" i="12"/>
  <c r="B12" i="12"/>
  <c r="AH11" i="12"/>
  <c r="AG11" i="12"/>
  <c r="AF11" i="12"/>
  <c r="AC11" i="12"/>
  <c r="AB11" i="12"/>
  <c r="AA11" i="12"/>
  <c r="S11" i="12"/>
  <c r="R11" i="12"/>
  <c r="Q11" i="12"/>
  <c r="N11" i="12"/>
  <c r="M11" i="12"/>
  <c r="L11" i="12"/>
  <c r="I11" i="12"/>
  <c r="H11" i="12"/>
  <c r="G11" i="12"/>
  <c r="D11" i="12"/>
  <c r="C11" i="12"/>
  <c r="B11" i="12"/>
  <c r="AH10" i="12"/>
  <c r="AG10" i="12"/>
  <c r="AF10" i="12"/>
  <c r="AC10" i="12"/>
  <c r="AB10" i="12"/>
  <c r="AA10" i="12"/>
  <c r="X10" i="12"/>
  <c r="W10" i="12"/>
  <c r="V10" i="12"/>
  <c r="S10" i="12"/>
  <c r="R10" i="12"/>
  <c r="Q10" i="12"/>
  <c r="N10" i="12"/>
  <c r="M10" i="12"/>
  <c r="L10" i="12"/>
  <c r="I10" i="12"/>
  <c r="H10" i="12"/>
  <c r="G10" i="12"/>
  <c r="D10" i="12"/>
  <c r="C10" i="12"/>
  <c r="B10" i="12"/>
  <c r="AH9" i="12"/>
  <c r="AG9" i="12"/>
  <c r="AF9" i="12"/>
  <c r="AC9" i="12"/>
  <c r="AB9" i="12"/>
  <c r="AA9" i="12"/>
  <c r="X9" i="12"/>
  <c r="W9" i="12"/>
  <c r="V9" i="12"/>
  <c r="S9" i="12"/>
  <c r="R9" i="12"/>
  <c r="Q9" i="12"/>
  <c r="N9" i="12"/>
  <c r="M9" i="12"/>
  <c r="L9" i="12"/>
  <c r="I9" i="12"/>
  <c r="H9" i="12"/>
  <c r="G9" i="12"/>
  <c r="D9" i="12"/>
  <c r="C9" i="12"/>
  <c r="B9" i="12"/>
  <c r="AI8" i="12"/>
  <c r="AH8" i="12"/>
  <c r="AG8" i="12"/>
  <c r="AF8" i="12"/>
  <c r="AC8" i="12"/>
  <c r="AB8" i="12"/>
  <c r="AA8" i="12"/>
  <c r="X8" i="12"/>
  <c r="W8" i="12"/>
  <c r="V8" i="12"/>
  <c r="S8" i="12"/>
  <c r="R8" i="12"/>
  <c r="Q8" i="12"/>
  <c r="O8" i="12"/>
  <c r="N8" i="12"/>
  <c r="M8" i="12"/>
  <c r="L8" i="12"/>
  <c r="I8" i="12"/>
  <c r="H8" i="12"/>
  <c r="G8" i="12"/>
  <c r="D8" i="12"/>
  <c r="C8" i="12"/>
  <c r="B8" i="12"/>
  <c r="AI7" i="12"/>
  <c r="AH7" i="12"/>
  <c r="AG7" i="12"/>
  <c r="AF7" i="12"/>
  <c r="AD7" i="12"/>
  <c r="AC7" i="12"/>
  <c r="AB7" i="12"/>
  <c r="AA7" i="12"/>
  <c r="X7" i="12"/>
  <c r="W7" i="12"/>
  <c r="V7" i="12"/>
  <c r="T7" i="12"/>
  <c r="S7" i="12"/>
  <c r="R7" i="12"/>
  <c r="Q7" i="12"/>
  <c r="O7" i="12"/>
  <c r="N7" i="12"/>
  <c r="M7" i="12"/>
  <c r="L7" i="12"/>
  <c r="J7" i="12"/>
  <c r="I7" i="12"/>
  <c r="H7" i="12"/>
  <c r="G7" i="12"/>
  <c r="E7" i="12"/>
  <c r="D7" i="12"/>
  <c r="C7" i="12"/>
  <c r="B7" i="12"/>
  <c r="AI6" i="12"/>
  <c r="AH6" i="12"/>
  <c r="AG6" i="12"/>
  <c r="AF6" i="12"/>
  <c r="AD6" i="12"/>
  <c r="AC6" i="12"/>
  <c r="AB6" i="12"/>
  <c r="AA6" i="12"/>
  <c r="X6" i="12"/>
  <c r="W6" i="12"/>
  <c r="V6" i="12"/>
  <c r="T6" i="12"/>
  <c r="S6" i="12"/>
  <c r="R6" i="12"/>
  <c r="Q6" i="12"/>
  <c r="O6" i="12"/>
  <c r="N6" i="12"/>
  <c r="M6" i="12"/>
  <c r="L6" i="12"/>
  <c r="J6" i="12"/>
  <c r="I6" i="12"/>
  <c r="H6" i="12"/>
  <c r="G6" i="12"/>
  <c r="E6" i="12"/>
  <c r="D6" i="12"/>
  <c r="C6" i="12"/>
  <c r="B6" i="12"/>
  <c r="AI5" i="12"/>
  <c r="AH5" i="12"/>
  <c r="AG5" i="12"/>
  <c r="AF5" i="12"/>
  <c r="AD5" i="12"/>
  <c r="AC5" i="12"/>
  <c r="AB5" i="12"/>
  <c r="AA5" i="12"/>
  <c r="Y5" i="12"/>
  <c r="X5" i="12"/>
  <c r="W5" i="12"/>
  <c r="V5" i="12"/>
  <c r="T5" i="12"/>
  <c r="S5" i="12"/>
  <c r="R5" i="12"/>
  <c r="Q5" i="12"/>
  <c r="O5" i="12"/>
  <c r="N5" i="12"/>
  <c r="M5" i="12"/>
  <c r="L5" i="12"/>
  <c r="J5" i="12"/>
  <c r="I5" i="12"/>
  <c r="H5" i="12"/>
  <c r="G5" i="12"/>
  <c r="E5" i="12"/>
  <c r="D5" i="12"/>
  <c r="C5" i="12"/>
  <c r="B5" i="12"/>
  <c r="AI4" i="12"/>
  <c r="AH4" i="12"/>
  <c r="AG4" i="12"/>
  <c r="AF4" i="12"/>
  <c r="AD4" i="12"/>
  <c r="AC4" i="12"/>
  <c r="AB4" i="12"/>
  <c r="AA4" i="12"/>
  <c r="X4" i="12"/>
  <c r="W4" i="12"/>
  <c r="V4" i="12"/>
  <c r="T4" i="12"/>
  <c r="S4" i="12"/>
  <c r="R4" i="12"/>
  <c r="Q4" i="12"/>
  <c r="O4" i="12"/>
  <c r="N4" i="12"/>
  <c r="M4" i="12"/>
  <c r="L4" i="12"/>
  <c r="J4" i="12"/>
  <c r="I4" i="12"/>
  <c r="H4" i="12"/>
  <c r="G4" i="12"/>
  <c r="E4" i="12"/>
  <c r="D4" i="12"/>
  <c r="C4" i="12"/>
  <c r="B4" i="12"/>
  <c r="AI3" i="12"/>
  <c r="AH3" i="12"/>
  <c r="AG3" i="12"/>
  <c r="AF3" i="12"/>
  <c r="AD3" i="12"/>
  <c r="AC3" i="12"/>
  <c r="AB3" i="12"/>
  <c r="AA3" i="12"/>
  <c r="Y3" i="12"/>
  <c r="X3" i="12"/>
  <c r="W3" i="12"/>
  <c r="V3" i="12"/>
  <c r="T3" i="12"/>
  <c r="S3" i="12"/>
  <c r="R3" i="12"/>
  <c r="Q3" i="12"/>
  <c r="O3" i="12"/>
  <c r="N3" i="12"/>
  <c r="M3" i="12"/>
  <c r="L3" i="12"/>
  <c r="J3" i="12"/>
  <c r="I3" i="12"/>
  <c r="H3" i="12"/>
  <c r="G3" i="12"/>
  <c r="E3" i="12"/>
  <c r="D3" i="12"/>
  <c r="C3" i="12"/>
  <c r="B3" i="12"/>
  <c r="AF1" i="12"/>
  <c r="AA1" i="12"/>
  <c r="V1" i="12"/>
  <c r="Q1" i="12"/>
  <c r="L1" i="12"/>
  <c r="G1" i="12"/>
  <c r="D95" i="11"/>
  <c r="C95" i="11"/>
  <c r="B95" i="11"/>
  <c r="D94" i="11"/>
  <c r="C94" i="11"/>
  <c r="B94" i="11"/>
  <c r="D93" i="11"/>
  <c r="C93" i="11"/>
  <c r="B93" i="11"/>
  <c r="D92" i="11"/>
  <c r="C92" i="11"/>
  <c r="B92" i="11"/>
  <c r="D91" i="11"/>
  <c r="C91" i="11"/>
  <c r="B91" i="11"/>
  <c r="D90" i="11"/>
  <c r="C90" i="11"/>
  <c r="B90" i="11"/>
  <c r="D89" i="11"/>
  <c r="C89" i="11"/>
  <c r="B89" i="11"/>
  <c r="D88" i="11"/>
  <c r="C88" i="11"/>
  <c r="B88" i="11"/>
  <c r="D87" i="11"/>
  <c r="C87" i="11"/>
  <c r="B87" i="11"/>
  <c r="D86" i="11"/>
  <c r="C86" i="11"/>
  <c r="B86" i="11"/>
  <c r="D85" i="11"/>
  <c r="C85" i="11"/>
  <c r="B85" i="11"/>
  <c r="D84" i="11"/>
  <c r="C84" i="11"/>
  <c r="B84" i="11"/>
  <c r="D83" i="11"/>
  <c r="C83" i="11"/>
  <c r="B83" i="11"/>
  <c r="D82" i="11"/>
  <c r="C82" i="11"/>
  <c r="B82" i="11"/>
  <c r="D81" i="11"/>
  <c r="C81" i="11"/>
  <c r="B81" i="11"/>
  <c r="D80" i="11"/>
  <c r="C80" i="11"/>
  <c r="B80" i="11"/>
  <c r="D79" i="11"/>
  <c r="C79" i="11"/>
  <c r="B79" i="11"/>
  <c r="D78" i="11"/>
  <c r="C78" i="11"/>
  <c r="B78" i="11"/>
  <c r="D77" i="11"/>
  <c r="C77" i="11"/>
  <c r="B77" i="11"/>
  <c r="D76" i="11"/>
  <c r="C76" i="11"/>
  <c r="B76" i="11"/>
  <c r="D75" i="11"/>
  <c r="C75" i="11"/>
  <c r="B75" i="11"/>
  <c r="D74" i="11"/>
  <c r="C74" i="11"/>
  <c r="B74" i="11"/>
  <c r="D73" i="11"/>
  <c r="C73" i="11"/>
  <c r="B73" i="11"/>
  <c r="D72" i="11"/>
  <c r="C72" i="11"/>
  <c r="B72" i="11"/>
  <c r="D71" i="11"/>
  <c r="C71" i="11"/>
  <c r="B71" i="11"/>
  <c r="D70" i="11"/>
  <c r="C70" i="11"/>
  <c r="B70" i="11"/>
  <c r="D69" i="11"/>
  <c r="C69" i="11"/>
  <c r="B69" i="11"/>
  <c r="D68" i="11"/>
  <c r="C68" i="11"/>
  <c r="B68" i="11"/>
  <c r="D67" i="11"/>
  <c r="C67" i="11"/>
  <c r="B67" i="11"/>
  <c r="D66" i="11"/>
  <c r="C66" i="11"/>
  <c r="B66" i="11"/>
  <c r="D65" i="11"/>
  <c r="C65" i="11"/>
  <c r="B65" i="11"/>
  <c r="D64" i="11"/>
  <c r="C64" i="11"/>
  <c r="B64" i="11"/>
  <c r="D63" i="11"/>
  <c r="C63" i="11"/>
  <c r="B63" i="11"/>
  <c r="N62" i="11"/>
  <c r="M62" i="11"/>
  <c r="L62" i="11"/>
  <c r="D62" i="11"/>
  <c r="C62" i="11"/>
  <c r="B62" i="11"/>
  <c r="N61" i="11"/>
  <c r="M61" i="11"/>
  <c r="L61" i="11"/>
  <c r="D61" i="11"/>
  <c r="C61" i="11"/>
  <c r="B61" i="11"/>
  <c r="N60" i="11"/>
  <c r="M60" i="11"/>
  <c r="L60" i="11"/>
  <c r="D60" i="11"/>
  <c r="C60" i="11"/>
  <c r="B60" i="11"/>
  <c r="N59" i="11"/>
  <c r="M59" i="11"/>
  <c r="L59" i="11"/>
  <c r="D59" i="11"/>
  <c r="C59" i="11"/>
  <c r="B59" i="11"/>
  <c r="N58" i="11"/>
  <c r="M58" i="11"/>
  <c r="L58" i="11"/>
  <c r="D58" i="11"/>
  <c r="C58" i="11"/>
  <c r="B58" i="11"/>
  <c r="N57" i="11"/>
  <c r="M57" i="11"/>
  <c r="L57" i="11"/>
  <c r="D57" i="11"/>
  <c r="C57" i="11"/>
  <c r="B57" i="11"/>
  <c r="N56" i="11"/>
  <c r="M56" i="11"/>
  <c r="L56" i="11"/>
  <c r="D56" i="11"/>
  <c r="C56" i="11"/>
  <c r="B56" i="11"/>
  <c r="N55" i="11"/>
  <c r="M55" i="11"/>
  <c r="L55" i="11"/>
  <c r="D55" i="11"/>
  <c r="C55" i="11"/>
  <c r="B55" i="11"/>
  <c r="N54" i="11"/>
  <c r="M54" i="11"/>
  <c r="L54" i="11"/>
  <c r="D54" i="11"/>
  <c r="C54" i="11"/>
  <c r="B54" i="11"/>
  <c r="N53" i="11"/>
  <c r="M53" i="11"/>
  <c r="L53" i="11"/>
  <c r="D53" i="11"/>
  <c r="C53" i="11"/>
  <c r="B53" i="11"/>
  <c r="N52" i="11"/>
  <c r="M52" i="11"/>
  <c r="L52" i="11"/>
  <c r="D52" i="11"/>
  <c r="C52" i="11"/>
  <c r="B52" i="11"/>
  <c r="N51" i="11"/>
  <c r="M51" i="11"/>
  <c r="L51" i="11"/>
  <c r="D51" i="11"/>
  <c r="C51" i="11"/>
  <c r="B51" i="11"/>
  <c r="N50" i="11"/>
  <c r="M50" i="11"/>
  <c r="L50" i="11"/>
  <c r="D50" i="11"/>
  <c r="C50" i="11"/>
  <c r="B50" i="11"/>
  <c r="N49" i="11"/>
  <c r="M49" i="11"/>
  <c r="L49" i="11"/>
  <c r="D49" i="11"/>
  <c r="C49" i="11"/>
  <c r="B49" i="11"/>
  <c r="N48" i="11"/>
  <c r="M48" i="11"/>
  <c r="L48" i="11"/>
  <c r="D48" i="11"/>
  <c r="C48" i="11"/>
  <c r="B48" i="11"/>
  <c r="S47" i="11"/>
  <c r="R47" i="11"/>
  <c r="Q47" i="11"/>
  <c r="N47" i="11"/>
  <c r="M47" i="11"/>
  <c r="L47" i="11"/>
  <c r="D47" i="11"/>
  <c r="C47" i="11"/>
  <c r="B47" i="11"/>
  <c r="S46" i="11"/>
  <c r="R46" i="11"/>
  <c r="Q46" i="11"/>
  <c r="N46" i="11"/>
  <c r="M46" i="11"/>
  <c r="L46" i="11"/>
  <c r="D46" i="11"/>
  <c r="C46" i="11"/>
  <c r="B46" i="11"/>
  <c r="S45" i="11"/>
  <c r="R45" i="11"/>
  <c r="Q45" i="11"/>
  <c r="N45" i="11"/>
  <c r="M45" i="11"/>
  <c r="L45" i="11"/>
  <c r="D45" i="11"/>
  <c r="C45" i="11"/>
  <c r="B45" i="11"/>
  <c r="AC44" i="11"/>
  <c r="AB44" i="11"/>
  <c r="AA44" i="11"/>
  <c r="S44" i="11"/>
  <c r="R44" i="11"/>
  <c r="Q44" i="11"/>
  <c r="N44" i="11"/>
  <c r="M44" i="11"/>
  <c r="L44" i="11"/>
  <c r="D44" i="11"/>
  <c r="C44" i="11"/>
  <c r="B44" i="11"/>
  <c r="AC43" i="11"/>
  <c r="AB43" i="11"/>
  <c r="AA43" i="11"/>
  <c r="S43" i="11"/>
  <c r="R43" i="11"/>
  <c r="Q43" i="11"/>
  <c r="N43" i="11"/>
  <c r="M43" i="11"/>
  <c r="L43" i="11"/>
  <c r="D43" i="11"/>
  <c r="C43" i="11"/>
  <c r="B43" i="11"/>
  <c r="AC42" i="11"/>
  <c r="AB42" i="11"/>
  <c r="AA42" i="11"/>
  <c r="S42" i="11"/>
  <c r="R42" i="11"/>
  <c r="Q42" i="11"/>
  <c r="N42" i="11"/>
  <c r="M42" i="11"/>
  <c r="L42" i="11"/>
  <c r="D42" i="11"/>
  <c r="C42" i="11"/>
  <c r="B42" i="11"/>
  <c r="AC41" i="11"/>
  <c r="AB41" i="11"/>
  <c r="AA41" i="11"/>
  <c r="S41" i="11"/>
  <c r="R41" i="11"/>
  <c r="Q41" i="11"/>
  <c r="N41" i="11"/>
  <c r="M41" i="11"/>
  <c r="L41" i="11"/>
  <c r="I41" i="11"/>
  <c r="H41" i="11"/>
  <c r="G41" i="11"/>
  <c r="D41" i="11"/>
  <c r="C41" i="11"/>
  <c r="B41" i="11"/>
  <c r="AC40" i="11"/>
  <c r="AB40" i="11"/>
  <c r="AA40" i="11"/>
  <c r="S40" i="11"/>
  <c r="R40" i="11"/>
  <c r="Q40" i="11"/>
  <c r="N40" i="11"/>
  <c r="M40" i="11"/>
  <c r="L40" i="11"/>
  <c r="I40" i="11"/>
  <c r="H40" i="11"/>
  <c r="G40" i="11"/>
  <c r="D40" i="11"/>
  <c r="C40" i="11"/>
  <c r="B40" i="11"/>
  <c r="AC39" i="11"/>
  <c r="AB39" i="11"/>
  <c r="AA39" i="11"/>
  <c r="S39" i="11"/>
  <c r="R39" i="11"/>
  <c r="Q39" i="11"/>
  <c r="N39" i="11"/>
  <c r="M39" i="11"/>
  <c r="L39" i="11"/>
  <c r="I39" i="11"/>
  <c r="H39" i="11"/>
  <c r="G39" i="11"/>
  <c r="D39" i="11"/>
  <c r="C39" i="11"/>
  <c r="B39" i="11"/>
  <c r="AC38" i="11"/>
  <c r="AB38" i="11"/>
  <c r="AA38" i="11"/>
  <c r="S38" i="11"/>
  <c r="R38" i="11"/>
  <c r="Q38" i="11"/>
  <c r="N38" i="11"/>
  <c r="M38" i="11"/>
  <c r="L38" i="11"/>
  <c r="I38" i="11"/>
  <c r="H38" i="11"/>
  <c r="G38" i="11"/>
  <c r="D38" i="11"/>
  <c r="C38" i="11"/>
  <c r="B38" i="11"/>
  <c r="AC37" i="11"/>
  <c r="AB37" i="11"/>
  <c r="AA37" i="11"/>
  <c r="S37" i="11"/>
  <c r="R37" i="11"/>
  <c r="Q37" i="11"/>
  <c r="N37" i="11"/>
  <c r="M37" i="11"/>
  <c r="L37" i="11"/>
  <c r="I37" i="11"/>
  <c r="H37" i="11"/>
  <c r="G37" i="11"/>
  <c r="D37" i="11"/>
  <c r="C37" i="11"/>
  <c r="B37" i="11"/>
  <c r="AC36" i="11"/>
  <c r="AB36" i="11"/>
  <c r="AA36" i="11"/>
  <c r="S36" i="11"/>
  <c r="R36" i="11"/>
  <c r="Q36" i="11"/>
  <c r="N36" i="11"/>
  <c r="M36" i="11"/>
  <c r="L36" i="11"/>
  <c r="I36" i="11"/>
  <c r="H36" i="11"/>
  <c r="G36" i="11"/>
  <c r="D36" i="11"/>
  <c r="C36" i="11"/>
  <c r="B36" i="11"/>
  <c r="AC35" i="11"/>
  <c r="AB35" i="11"/>
  <c r="AA35" i="11"/>
  <c r="S35" i="11"/>
  <c r="R35" i="11"/>
  <c r="Q35" i="11"/>
  <c r="N35" i="11"/>
  <c r="M35" i="11"/>
  <c r="L35" i="11"/>
  <c r="I35" i="11"/>
  <c r="H35" i="11"/>
  <c r="G35" i="11"/>
  <c r="D35" i="11"/>
  <c r="C35" i="11"/>
  <c r="B35" i="11"/>
  <c r="AC34" i="11"/>
  <c r="AB34" i="11"/>
  <c r="AA34" i="11"/>
  <c r="S34" i="11"/>
  <c r="R34" i="11"/>
  <c r="Q34" i="11"/>
  <c r="N34" i="11"/>
  <c r="M34" i="11"/>
  <c r="L34" i="11"/>
  <c r="I34" i="11"/>
  <c r="H34" i="11"/>
  <c r="G34" i="11"/>
  <c r="D34" i="11"/>
  <c r="C34" i="11"/>
  <c r="B34" i="11"/>
  <c r="AC33" i="11"/>
  <c r="AB33" i="11"/>
  <c r="AA33" i="11"/>
  <c r="S33" i="11"/>
  <c r="R33" i="11"/>
  <c r="Q33" i="11"/>
  <c r="N33" i="11"/>
  <c r="M33" i="11"/>
  <c r="L33" i="11"/>
  <c r="I33" i="11"/>
  <c r="H33" i="11"/>
  <c r="G33" i="11"/>
  <c r="D33" i="11"/>
  <c r="C33" i="11"/>
  <c r="B33" i="11"/>
  <c r="AC32" i="11"/>
  <c r="AB32" i="11"/>
  <c r="AA32" i="11"/>
  <c r="S32" i="11"/>
  <c r="R32" i="11"/>
  <c r="Q32" i="11"/>
  <c r="N32" i="11"/>
  <c r="M32" i="11"/>
  <c r="L32" i="11"/>
  <c r="I32" i="11"/>
  <c r="H32" i="11"/>
  <c r="G32" i="11"/>
  <c r="D32" i="11"/>
  <c r="C32" i="11"/>
  <c r="B32" i="11"/>
  <c r="AC31" i="11"/>
  <c r="AB31" i="11"/>
  <c r="AA31" i="11"/>
  <c r="S31" i="11"/>
  <c r="R31" i="11"/>
  <c r="Q31" i="11"/>
  <c r="N31" i="11"/>
  <c r="M31" i="11"/>
  <c r="L31" i="11"/>
  <c r="I31" i="11"/>
  <c r="H31" i="11"/>
  <c r="G31" i="11"/>
  <c r="D31" i="11"/>
  <c r="C31" i="11"/>
  <c r="B31" i="11"/>
  <c r="AC30" i="11"/>
  <c r="AB30" i="11"/>
  <c r="AA30" i="11"/>
  <c r="S30" i="11"/>
  <c r="R30" i="11"/>
  <c r="Q30" i="11"/>
  <c r="N30" i="11"/>
  <c r="M30" i="11"/>
  <c r="L30" i="11"/>
  <c r="I30" i="11"/>
  <c r="H30" i="11"/>
  <c r="G30" i="11"/>
  <c r="D30" i="11"/>
  <c r="C30" i="11"/>
  <c r="B30" i="11"/>
  <c r="AC29" i="11"/>
  <c r="AB29" i="11"/>
  <c r="AA29" i="11"/>
  <c r="S29" i="11"/>
  <c r="R29" i="11"/>
  <c r="Q29" i="11"/>
  <c r="N29" i="11"/>
  <c r="M29" i="11"/>
  <c r="L29" i="11"/>
  <c r="I29" i="11"/>
  <c r="H29" i="11"/>
  <c r="G29" i="11"/>
  <c r="D29" i="11"/>
  <c r="C29" i="11"/>
  <c r="B29" i="11"/>
  <c r="AH28" i="11"/>
  <c r="AG28" i="11"/>
  <c r="AF28" i="11"/>
  <c r="AC28" i="11"/>
  <c r="AB28" i="11"/>
  <c r="AA28" i="11"/>
  <c r="S28" i="11"/>
  <c r="R28" i="11"/>
  <c r="Q28" i="11"/>
  <c r="N28" i="11"/>
  <c r="M28" i="11"/>
  <c r="L28" i="11"/>
  <c r="I28" i="11"/>
  <c r="H28" i="11"/>
  <c r="G28" i="11"/>
  <c r="D28" i="11"/>
  <c r="C28" i="11"/>
  <c r="B28" i="11"/>
  <c r="AH27" i="11"/>
  <c r="AG27" i="11"/>
  <c r="AF27" i="11"/>
  <c r="AC27" i="11"/>
  <c r="AB27" i="11"/>
  <c r="AA27" i="11"/>
  <c r="S27" i="11"/>
  <c r="R27" i="11"/>
  <c r="Q27" i="11"/>
  <c r="N27" i="11"/>
  <c r="M27" i="11"/>
  <c r="L27" i="11"/>
  <c r="I27" i="11"/>
  <c r="H27" i="11"/>
  <c r="G27" i="11"/>
  <c r="D27" i="11"/>
  <c r="C27" i="11"/>
  <c r="B27" i="11"/>
  <c r="AH26" i="11"/>
  <c r="AG26" i="11"/>
  <c r="AF26" i="11"/>
  <c r="AC26" i="11"/>
  <c r="AB26" i="11"/>
  <c r="AA26" i="11"/>
  <c r="S26" i="11"/>
  <c r="R26" i="11"/>
  <c r="Q26" i="11"/>
  <c r="N26" i="11"/>
  <c r="M26" i="11"/>
  <c r="L26" i="11"/>
  <c r="I26" i="11"/>
  <c r="H26" i="11"/>
  <c r="G26" i="11"/>
  <c r="D26" i="11"/>
  <c r="C26" i="11"/>
  <c r="B26" i="11"/>
  <c r="AH25" i="11"/>
  <c r="AG25" i="11"/>
  <c r="AF25" i="11"/>
  <c r="AC25" i="11"/>
  <c r="AB25" i="11"/>
  <c r="AA25" i="11"/>
  <c r="S25" i="11"/>
  <c r="R25" i="11"/>
  <c r="Q25" i="11"/>
  <c r="N25" i="11"/>
  <c r="M25" i="11"/>
  <c r="L25" i="11"/>
  <c r="I25" i="11"/>
  <c r="H25" i="11"/>
  <c r="G25" i="11"/>
  <c r="D25" i="11"/>
  <c r="C25" i="11"/>
  <c r="B25" i="11"/>
  <c r="AH24" i="11"/>
  <c r="AG24" i="11"/>
  <c r="AF24" i="11"/>
  <c r="AC24" i="11"/>
  <c r="AB24" i="11"/>
  <c r="AA24" i="11"/>
  <c r="S24" i="11"/>
  <c r="R24" i="11"/>
  <c r="Q24" i="11"/>
  <c r="N24" i="11"/>
  <c r="M24" i="11"/>
  <c r="L24" i="11"/>
  <c r="I24" i="11"/>
  <c r="H24" i="11"/>
  <c r="G24" i="11"/>
  <c r="D24" i="11"/>
  <c r="C24" i="11"/>
  <c r="B24" i="11"/>
  <c r="AH23" i="11"/>
  <c r="AG23" i="11"/>
  <c r="AF23" i="11"/>
  <c r="AC23" i="11"/>
  <c r="AB23" i="11"/>
  <c r="AA23" i="11"/>
  <c r="S23" i="11"/>
  <c r="R23" i="11"/>
  <c r="Q23" i="11"/>
  <c r="N23" i="11"/>
  <c r="M23" i="11"/>
  <c r="L23" i="11"/>
  <c r="I23" i="11"/>
  <c r="H23" i="11"/>
  <c r="G23" i="11"/>
  <c r="D23" i="11"/>
  <c r="C23" i="11"/>
  <c r="B23" i="11"/>
  <c r="AH22" i="11"/>
  <c r="AG22" i="11"/>
  <c r="AF22" i="11"/>
  <c r="AC22" i="11"/>
  <c r="AB22" i="11"/>
  <c r="AA22" i="11"/>
  <c r="S22" i="11"/>
  <c r="R22" i="11"/>
  <c r="Q22" i="11"/>
  <c r="N22" i="11"/>
  <c r="M22" i="11"/>
  <c r="L22" i="11"/>
  <c r="I22" i="11"/>
  <c r="H22" i="11"/>
  <c r="G22" i="11"/>
  <c r="D22" i="11"/>
  <c r="C22" i="11"/>
  <c r="B22" i="11"/>
  <c r="AH21" i="11"/>
  <c r="AG21" i="11"/>
  <c r="AF21" i="11"/>
  <c r="AC21" i="11"/>
  <c r="AB21" i="11"/>
  <c r="AA21" i="11"/>
  <c r="S21" i="11"/>
  <c r="R21" i="11"/>
  <c r="Q21" i="11"/>
  <c r="N21" i="11"/>
  <c r="M21" i="11"/>
  <c r="L21" i="11"/>
  <c r="I21" i="11"/>
  <c r="H21" i="11"/>
  <c r="G21" i="11"/>
  <c r="D21" i="11"/>
  <c r="C21" i="11"/>
  <c r="B21" i="11"/>
  <c r="AH20" i="11"/>
  <c r="AG20" i="11"/>
  <c r="AF20" i="11"/>
  <c r="AC20" i="11"/>
  <c r="AB20" i="11"/>
  <c r="AA20" i="11"/>
  <c r="S20" i="11"/>
  <c r="R20" i="11"/>
  <c r="Q20" i="11"/>
  <c r="N20" i="11"/>
  <c r="M20" i="11"/>
  <c r="L20" i="11"/>
  <c r="I20" i="11"/>
  <c r="H20" i="11"/>
  <c r="G20" i="11"/>
  <c r="D20" i="11"/>
  <c r="C20" i="11"/>
  <c r="B20" i="11"/>
  <c r="AH19" i="11"/>
  <c r="AG19" i="11"/>
  <c r="AF19" i="11"/>
  <c r="AC19" i="11"/>
  <c r="AB19" i="11"/>
  <c r="AA19" i="11"/>
  <c r="S19" i="11"/>
  <c r="R19" i="11"/>
  <c r="Q19" i="11"/>
  <c r="N19" i="11"/>
  <c r="M19" i="11"/>
  <c r="L19" i="11"/>
  <c r="I19" i="11"/>
  <c r="H19" i="11"/>
  <c r="G19" i="11"/>
  <c r="D19" i="11"/>
  <c r="C19" i="11"/>
  <c r="B19" i="11"/>
  <c r="AH18" i="11"/>
  <c r="AG18" i="11"/>
  <c r="AF18" i="11"/>
  <c r="AC18" i="11"/>
  <c r="AB18" i="11"/>
  <c r="AA18" i="11"/>
  <c r="S18" i="11"/>
  <c r="R18" i="11"/>
  <c r="Q18" i="11"/>
  <c r="N18" i="11"/>
  <c r="M18" i="11"/>
  <c r="L18" i="11"/>
  <c r="I18" i="11"/>
  <c r="H18" i="11"/>
  <c r="G18" i="11"/>
  <c r="D18" i="11"/>
  <c r="C18" i="11"/>
  <c r="B18" i="11"/>
  <c r="AH17" i="11"/>
  <c r="AG17" i="11"/>
  <c r="AF17" i="11"/>
  <c r="AC17" i="11"/>
  <c r="AB17" i="11"/>
  <c r="AA17" i="11"/>
  <c r="S17" i="11"/>
  <c r="R17" i="11"/>
  <c r="Q17" i="11"/>
  <c r="N17" i="11"/>
  <c r="M17" i="11"/>
  <c r="L17" i="11"/>
  <c r="I17" i="11"/>
  <c r="H17" i="11"/>
  <c r="G17" i="11"/>
  <c r="D17" i="11"/>
  <c r="C17" i="11"/>
  <c r="B17" i="11"/>
  <c r="AH16" i="11"/>
  <c r="AG16" i="11"/>
  <c r="AF16" i="11"/>
  <c r="AC16" i="11"/>
  <c r="AB16" i="11"/>
  <c r="AA16" i="11"/>
  <c r="S16" i="11"/>
  <c r="R16" i="11"/>
  <c r="Q16" i="11"/>
  <c r="N16" i="11"/>
  <c r="M16" i="11"/>
  <c r="L16" i="11"/>
  <c r="I16" i="11"/>
  <c r="H16" i="11"/>
  <c r="G16" i="11"/>
  <c r="D16" i="11"/>
  <c r="C16" i="11"/>
  <c r="B16" i="11"/>
  <c r="AH15" i="11"/>
  <c r="AG15" i="11"/>
  <c r="AF15" i="11"/>
  <c r="AC15" i="11"/>
  <c r="AB15" i="11"/>
  <c r="AA15" i="11"/>
  <c r="S15" i="11"/>
  <c r="R15" i="11"/>
  <c r="Q15" i="11"/>
  <c r="N15" i="11"/>
  <c r="M15" i="11"/>
  <c r="L15" i="11"/>
  <c r="I15" i="11"/>
  <c r="H15" i="11"/>
  <c r="G15" i="11"/>
  <c r="D15" i="11"/>
  <c r="C15" i="11"/>
  <c r="B15" i="11"/>
  <c r="AH14" i="11"/>
  <c r="AG14" i="11"/>
  <c r="AF14" i="11"/>
  <c r="AC14" i="11"/>
  <c r="AB14" i="11"/>
  <c r="AA14" i="11"/>
  <c r="S14" i="11"/>
  <c r="R14" i="11"/>
  <c r="Q14" i="11"/>
  <c r="N14" i="11"/>
  <c r="M14" i="11"/>
  <c r="L14" i="11"/>
  <c r="I14" i="11"/>
  <c r="H14" i="11"/>
  <c r="G14" i="11"/>
  <c r="D14" i="11"/>
  <c r="C14" i="11"/>
  <c r="B14" i="11"/>
  <c r="AH13" i="11"/>
  <c r="AG13" i="11"/>
  <c r="AF13" i="11"/>
  <c r="AC13" i="11"/>
  <c r="AB13" i="11"/>
  <c r="AA13" i="11"/>
  <c r="S13" i="11"/>
  <c r="R13" i="11"/>
  <c r="Q13" i="11"/>
  <c r="N13" i="11"/>
  <c r="M13" i="11"/>
  <c r="L13" i="11"/>
  <c r="I13" i="11"/>
  <c r="H13" i="11"/>
  <c r="G13" i="11"/>
  <c r="D13" i="11"/>
  <c r="C13" i="11"/>
  <c r="B13" i="11"/>
  <c r="AH12" i="11"/>
  <c r="AG12" i="11"/>
  <c r="AF12" i="11"/>
  <c r="AC12" i="11"/>
  <c r="AB12" i="11"/>
  <c r="AA12" i="11"/>
  <c r="S12" i="11"/>
  <c r="R12" i="11"/>
  <c r="Q12" i="11"/>
  <c r="O12" i="11"/>
  <c r="N12" i="11"/>
  <c r="M12" i="11"/>
  <c r="L12" i="11"/>
  <c r="I12" i="11"/>
  <c r="H12" i="11"/>
  <c r="G12" i="11"/>
  <c r="D12" i="11"/>
  <c r="C12" i="11"/>
  <c r="B12" i="11"/>
  <c r="AH11" i="11"/>
  <c r="AG11" i="11"/>
  <c r="AF11" i="11"/>
  <c r="AC11" i="11"/>
  <c r="AB11" i="11"/>
  <c r="AA11" i="11"/>
  <c r="S11" i="11"/>
  <c r="R11" i="11"/>
  <c r="Q11" i="11"/>
  <c r="O11" i="11"/>
  <c r="N11" i="11"/>
  <c r="M11" i="11"/>
  <c r="L11" i="11"/>
  <c r="I11" i="11"/>
  <c r="H11" i="11"/>
  <c r="G11" i="11"/>
  <c r="D11" i="11"/>
  <c r="C11" i="11"/>
  <c r="B11" i="11"/>
  <c r="AH10" i="11"/>
  <c r="AG10" i="11"/>
  <c r="AF10" i="11"/>
  <c r="AD10" i="11"/>
  <c r="AC10" i="11"/>
  <c r="AB10" i="11"/>
  <c r="AA10" i="11"/>
  <c r="S10" i="11"/>
  <c r="R10" i="11"/>
  <c r="Q10" i="11"/>
  <c r="O10" i="11"/>
  <c r="N10" i="11"/>
  <c r="M10" i="11"/>
  <c r="L10" i="11"/>
  <c r="I10" i="11"/>
  <c r="H10" i="11"/>
  <c r="G10" i="11"/>
  <c r="D10" i="11"/>
  <c r="C10" i="11"/>
  <c r="B10" i="11"/>
  <c r="AH9" i="11"/>
  <c r="AG9" i="11"/>
  <c r="AF9" i="11"/>
  <c r="AD9" i="11"/>
  <c r="AC9" i="11"/>
  <c r="AB9" i="11"/>
  <c r="AA9" i="11"/>
  <c r="X9" i="11"/>
  <c r="W9" i="11"/>
  <c r="V9" i="11"/>
  <c r="S9" i="11"/>
  <c r="R9" i="11"/>
  <c r="Q9" i="11"/>
  <c r="O9" i="11"/>
  <c r="N9" i="11"/>
  <c r="M9" i="11"/>
  <c r="L9" i="11"/>
  <c r="I9" i="11"/>
  <c r="H9" i="11"/>
  <c r="G9" i="11"/>
  <c r="D9" i="11"/>
  <c r="C9" i="11"/>
  <c r="B9" i="11"/>
  <c r="AH8" i="11"/>
  <c r="AG8" i="11"/>
  <c r="AF8" i="11"/>
  <c r="AD8" i="11"/>
  <c r="AC8" i="11"/>
  <c r="AB8" i="11"/>
  <c r="AA8" i="11"/>
  <c r="Y8" i="11"/>
  <c r="X8" i="11"/>
  <c r="W8" i="11"/>
  <c r="V8" i="11"/>
  <c r="S8" i="11"/>
  <c r="R8" i="11"/>
  <c r="Q8" i="11"/>
  <c r="O8" i="11"/>
  <c r="N8" i="11"/>
  <c r="M8" i="11"/>
  <c r="L8" i="11"/>
  <c r="J8" i="11"/>
  <c r="I8" i="11"/>
  <c r="H8" i="11"/>
  <c r="G8" i="11"/>
  <c r="E8" i="11"/>
  <c r="D8" i="11"/>
  <c r="C8" i="11"/>
  <c r="B8" i="11"/>
  <c r="AI7" i="11"/>
  <c r="AH7" i="11"/>
  <c r="AG7" i="11"/>
  <c r="AF7" i="11"/>
  <c r="AD7" i="11"/>
  <c r="AC7" i="11"/>
  <c r="AB7" i="11"/>
  <c r="AA7" i="11"/>
  <c r="X7" i="11"/>
  <c r="W7" i="11"/>
  <c r="V7" i="11"/>
  <c r="T7" i="11"/>
  <c r="S7" i="11"/>
  <c r="R7" i="11"/>
  <c r="Q7" i="11"/>
  <c r="O7" i="11"/>
  <c r="N7" i="11"/>
  <c r="M7" i="11"/>
  <c r="L7" i="11"/>
  <c r="J7" i="11"/>
  <c r="I7" i="11"/>
  <c r="H7" i="11"/>
  <c r="G7" i="11"/>
  <c r="E7" i="11"/>
  <c r="D7" i="11"/>
  <c r="C7" i="11"/>
  <c r="B7" i="11"/>
  <c r="AI6" i="11"/>
  <c r="AH6" i="11"/>
  <c r="AG6" i="11"/>
  <c r="AF6" i="11"/>
  <c r="AD6" i="11"/>
  <c r="AC6" i="11"/>
  <c r="AB6" i="11"/>
  <c r="AA6" i="11"/>
  <c r="Y6" i="11"/>
  <c r="X6" i="11"/>
  <c r="W6" i="11"/>
  <c r="V6" i="11"/>
  <c r="T6" i="11"/>
  <c r="S6" i="11"/>
  <c r="R6" i="11"/>
  <c r="Q6" i="11"/>
  <c r="O6" i="11"/>
  <c r="N6" i="11"/>
  <c r="M6" i="11"/>
  <c r="L6" i="11"/>
  <c r="J6" i="11"/>
  <c r="I6" i="11"/>
  <c r="H6" i="11"/>
  <c r="G6" i="11"/>
  <c r="E6" i="11"/>
  <c r="D6" i="11"/>
  <c r="C6" i="11"/>
  <c r="B6" i="11"/>
  <c r="AI5" i="11"/>
  <c r="AH5" i="11"/>
  <c r="AG5" i="11"/>
  <c r="AF5" i="11"/>
  <c r="AD5" i="11"/>
  <c r="AC5" i="11"/>
  <c r="AB5" i="11"/>
  <c r="AA5" i="11"/>
  <c r="X5" i="11"/>
  <c r="W5" i="11"/>
  <c r="V5" i="11"/>
  <c r="T5" i="11"/>
  <c r="S5" i="11"/>
  <c r="R5" i="11"/>
  <c r="Q5" i="11"/>
  <c r="O5" i="11"/>
  <c r="N5" i="11"/>
  <c r="M5" i="11"/>
  <c r="L5" i="11"/>
  <c r="J5" i="11"/>
  <c r="I5" i="11"/>
  <c r="H5" i="11"/>
  <c r="G5" i="11"/>
  <c r="E5" i="11"/>
  <c r="D5" i="11"/>
  <c r="C5" i="11"/>
  <c r="B5" i="11"/>
  <c r="AI4" i="11"/>
  <c r="AH4" i="11"/>
  <c r="AG4" i="11"/>
  <c r="AF4" i="11"/>
  <c r="AD4" i="11"/>
  <c r="AC4" i="11"/>
  <c r="AB4" i="11"/>
  <c r="AA4" i="11"/>
  <c r="Y4" i="11"/>
  <c r="X4" i="11"/>
  <c r="W4" i="11"/>
  <c r="V4" i="11"/>
  <c r="T4" i="11"/>
  <c r="S4" i="11"/>
  <c r="R4" i="11"/>
  <c r="Q4" i="11"/>
  <c r="O4" i="11"/>
  <c r="N4" i="11"/>
  <c r="M4" i="11"/>
  <c r="L4" i="11"/>
  <c r="J4" i="11"/>
  <c r="I4" i="11"/>
  <c r="H4" i="11"/>
  <c r="G4" i="11"/>
  <c r="E4" i="11"/>
  <c r="D4" i="11"/>
  <c r="C4" i="11"/>
  <c r="B4" i="11"/>
  <c r="AI3" i="11"/>
  <c r="AH3" i="11"/>
  <c r="AG3" i="11"/>
  <c r="AF3" i="11"/>
  <c r="AD3" i="11"/>
  <c r="AC3" i="11"/>
  <c r="AB3" i="11"/>
  <c r="AA3" i="11"/>
  <c r="Y3" i="11"/>
  <c r="X3" i="11"/>
  <c r="W3" i="11"/>
  <c r="V3" i="11"/>
  <c r="T3" i="11"/>
  <c r="S3" i="11"/>
  <c r="R3" i="11"/>
  <c r="Q3" i="11"/>
  <c r="O3" i="11"/>
  <c r="N3" i="11"/>
  <c r="M3" i="11"/>
  <c r="L3" i="11"/>
  <c r="J3" i="11"/>
  <c r="I3" i="11"/>
  <c r="H3" i="11"/>
  <c r="G3" i="11"/>
  <c r="E3" i="11"/>
  <c r="D3" i="11"/>
  <c r="C3" i="11"/>
  <c r="B3" i="11"/>
  <c r="AA1" i="11"/>
  <c r="V1" i="11"/>
  <c r="Q1" i="11"/>
  <c r="L1" i="11"/>
  <c r="G1" i="11"/>
</calcChain>
</file>

<file path=xl/sharedStrings.xml><?xml version="1.0" encoding="utf-8"?>
<sst xmlns="http://schemas.openxmlformats.org/spreadsheetml/2006/main" count="25385" uniqueCount="4724">
  <si>
    <t>Accountability and Results-Oriented</t>
  </si>
  <si>
    <t>Adaptability</t>
  </si>
  <si>
    <t>Building and Managing Effective Teams</t>
  </si>
  <si>
    <t>Building Trust and Collaborating with Others</t>
  </si>
  <si>
    <t>Communication and Interpersonal Influence</t>
  </si>
  <si>
    <t>Conflict Management and Conflict Resolution</t>
  </si>
  <si>
    <t>Content Marketing, Digital Marketing, and Marketing Strategies</t>
  </si>
  <si>
    <t>Creative Thinking and Innovation</t>
  </si>
  <si>
    <t>Critical Thinking, Decision Making, and Problem Solving</t>
  </si>
  <si>
    <t>Customer Focus</t>
  </si>
  <si>
    <t>Data Analysis</t>
  </si>
  <si>
    <t>Financial and Accounting Knowledge</t>
  </si>
  <si>
    <t>Human Resources Knowledge and HR Management</t>
  </si>
  <si>
    <t>Leading Change</t>
  </si>
  <si>
    <t>Leading Others Effectively and Transformational Leadership</t>
  </si>
  <si>
    <t>Managing Others Effectively</t>
  </si>
  <si>
    <t>Operational Excellence and Process Improvement</t>
  </si>
  <si>
    <t>Presentation Skills</t>
  </si>
  <si>
    <t>Project Management</t>
  </si>
  <si>
    <t>Sales Knowledge and Sales Skills</t>
  </si>
  <si>
    <t>Strategic Planning and Strategic Thinking</t>
  </si>
  <si>
    <t>Talent Development</t>
  </si>
  <si>
    <t>Talent Management</t>
  </si>
  <si>
    <t>Values Diversity, Inclusion, and Belonging</t>
  </si>
  <si>
    <t>Writing Skills and Writing Proficiency</t>
  </si>
  <si>
    <t>Self-care, Well-being, Mindfulness</t>
  </si>
  <si>
    <t>Use LinkedIn Learning to Support Your Organization's and Employees' Professional Development</t>
  </si>
  <si>
    <t xml:space="preserve">This document is designed to help LinkedIn Learning customers curate content that aligns to top requested competencies and supports the needs of all employees.
</t>
  </si>
  <si>
    <r>
      <rPr>
        <sz val="12"/>
        <rFont val="Century Gothic"/>
        <family val="1"/>
      </rPr>
      <t>Go to the</t>
    </r>
    <r>
      <rPr>
        <b/>
        <u/>
        <sz val="12"/>
        <color rgb="FF1155CC"/>
        <rFont val="Century Gothic"/>
        <family val="1"/>
      </rPr>
      <t xml:space="preserve"> Table of Contents</t>
    </r>
    <r>
      <rPr>
        <sz val="12"/>
        <rFont val="Century Gothic"/>
        <family val="1"/>
      </rPr>
      <t xml:space="preserve"> tab for a list of the 26 competencies most frequently requested by LinkedIn Learning customers. 
In this tab you'll find a full list of clickable competency titles. Click on a competency title to navigate to its associated tab within this document. For clarity, we've also included a list of alternative terms to describe each competency.
</t>
    </r>
  </si>
  <si>
    <r>
      <rPr>
        <b/>
        <sz val="24"/>
        <color rgb="FF134F5C"/>
        <rFont val="Century Gothic"/>
        <family val="1"/>
      </rPr>
      <t>Multi-language</t>
    </r>
    <r>
      <rPr>
        <b/>
        <sz val="24"/>
        <color rgb="FF000000"/>
        <rFont val="Century Gothic"/>
        <family val="1"/>
      </rPr>
      <t xml:space="preserve"> Top most requested competency mapping
</t>
    </r>
    <r>
      <rPr>
        <b/>
        <sz val="15"/>
        <color rgb="FF0B5394"/>
        <rFont val="Century Gothic"/>
        <family val="1"/>
      </rPr>
      <t>English</t>
    </r>
    <r>
      <rPr>
        <b/>
        <sz val="15"/>
        <color rgb="FF666666"/>
        <rFont val="Century Gothic"/>
        <family val="1"/>
      </rPr>
      <t xml:space="preserve">, </t>
    </r>
    <r>
      <rPr>
        <b/>
        <sz val="15"/>
        <color rgb="FF3D85C6"/>
        <rFont val="Century Gothic"/>
        <family val="1"/>
      </rPr>
      <t>French</t>
    </r>
    <r>
      <rPr>
        <b/>
        <sz val="15"/>
        <color rgb="FF666666"/>
        <rFont val="Century Gothic"/>
        <family val="1"/>
      </rPr>
      <t xml:space="preserve">, </t>
    </r>
    <r>
      <rPr>
        <b/>
        <sz val="15"/>
        <color rgb="FFBF9000"/>
        <rFont val="Century Gothic"/>
        <family val="1"/>
      </rPr>
      <t>Spanish</t>
    </r>
    <r>
      <rPr>
        <b/>
        <sz val="15"/>
        <color rgb="FF666666"/>
        <rFont val="Century Gothic"/>
        <family val="1"/>
      </rPr>
      <t xml:space="preserve">, </t>
    </r>
    <r>
      <rPr>
        <b/>
        <sz val="15"/>
        <color rgb="FF38761D"/>
        <rFont val="Century Gothic"/>
        <family val="1"/>
      </rPr>
      <t>German</t>
    </r>
    <r>
      <rPr>
        <b/>
        <sz val="15"/>
        <color rgb="FF666666"/>
        <rFont val="Century Gothic"/>
        <family val="1"/>
      </rPr>
      <t xml:space="preserve">, </t>
    </r>
    <r>
      <rPr>
        <b/>
        <sz val="15"/>
        <color rgb="FFA64D79"/>
        <rFont val="Century Gothic"/>
        <family val="1"/>
      </rPr>
      <t>Japanese</t>
    </r>
    <r>
      <rPr>
        <b/>
        <sz val="15"/>
        <color rgb="FF666666"/>
        <rFont val="Century Gothic"/>
        <family val="1"/>
      </rPr>
      <t xml:space="preserve">, </t>
    </r>
    <r>
      <rPr>
        <b/>
        <sz val="15"/>
        <color rgb="FF134F5C"/>
        <rFont val="Century Gothic"/>
        <family val="1"/>
      </rPr>
      <t>Portuguese</t>
    </r>
    <r>
      <rPr>
        <b/>
        <sz val="15"/>
        <color rgb="FF666666"/>
        <rFont val="Century Gothic"/>
        <family val="1"/>
      </rPr>
      <t xml:space="preserve">, </t>
    </r>
    <r>
      <rPr>
        <b/>
        <sz val="15"/>
        <color rgb="FFB45F06"/>
        <rFont val="Century Gothic"/>
        <family val="1"/>
      </rPr>
      <t>Mandarin</t>
    </r>
  </si>
  <si>
    <t>Updated on: 07/01/2022</t>
  </si>
  <si>
    <t>#</t>
  </si>
  <si>
    <t>Competency Synonyms</t>
  </si>
  <si>
    <t>Drive for Results, Action Oriented, Personal Accountability, Initiating Action, Initiative, Personal Initiative, Time Management, Perseverance, Drives Results, Being Resilient, Work Standards, Passion for Results</t>
  </si>
  <si>
    <t>Flexibility, Manages Ambiguity, Dealing With Paradox, Situational Adaptability, Dealing with Ambiguity, Active Learning, Learning Agility, Applied Learning, Nimble Learning, Learning on the Fly, Continuous Learning, Continuous Improvement</t>
  </si>
  <si>
    <t>Effective Teams,Team Building, Building a Successful Team, Influence Teams, Inspiring Employees</t>
  </si>
  <si>
    <t>Building Trust, Peer Relationships, Collaboration, Approachability, Teamwork, Building Strategic Working Relationships, Gaining Commitment, Compassion, Building Positive Working Relationships, Integrity and Trust, Builds Networks, Instills Trust</t>
  </si>
  <si>
    <t>Communicates Effectively, Communication, Interpersonal Savvy, Influencing Others, Oral Communication, Interpersonal Communication, Organizational Communication, Listening</t>
  </si>
  <si>
    <t>Conflict Management, Conflict Resolution, Managing Conflict, Confronting Direct Reports</t>
  </si>
  <si>
    <t>Marketing, Market Research, Content Marketing, Digital Marketing, Market Analysis, SEO, Social Media Marketing, Marketing Strategies</t>
  </si>
  <si>
    <t>Innovation, Creativity, Ingenuity, Cultivates Innovation</t>
  </si>
  <si>
    <t>Decision Quality, Judgement, Timely Decision-Making, Decision-Making, Problem/Opportunity Analysis, Operational Decision Making, Problem Solving, Analytical Thinking, Logical Reasoning, Intellectual Horsepower</t>
  </si>
  <si>
    <t>Customer Service Orientation, Building Customer Loyalty, Customer Service</t>
  </si>
  <si>
    <t>Insights, analytics, inspecting, cleansing, transforming, and modeling data with the goal of discovering useful information. Informing conclusions and supporting decision-making</t>
  </si>
  <si>
    <t>Financial Acumen, Financial Decision-Making, Financial Management</t>
  </si>
  <si>
    <t>Strategic Positioner, Credible Activist, Paradox Navigator, Culture and Change Champion, Total Reward Steward, Compliance Manager, Business Acumen, Human Resource Expertise, Relationship Management, Consultation, Leadership and Navigation, Global and Cultural Effectiveness, Ethical Practice, Critical Evaluation</t>
  </si>
  <si>
    <t>Change Leadership, Innovation Management, Managing Change, Facilitating Change</t>
  </si>
  <si>
    <t>Leadership, Leading People, Inspiring Others, Leading Through Vision and Values</t>
  </si>
  <si>
    <t>Directing Others, Directs Work, Managing Others, Delegation, Delegating Responsibility, Managing Direct Reports, Managerial Courage, Managing and Measuring Work, Command Skills, Follow Up</t>
  </si>
  <si>
    <t>Operational Management, Continuous improvement, Process Excellence, Organisation Excellence</t>
  </si>
  <si>
    <t>Presenting, Presenting Information, Public Speaking, Oral Communication, Communicating Effectively, Training &amp; Presenting Information</t>
  </si>
  <si>
    <t>Time Management, Plan and Schedule Resources, Risk Management, Team Management, Communication and Leadership Skills, Quality Control</t>
  </si>
  <si>
    <t>Prospecting, Upselling, Time Management, Build Rapport, Lead Conversations, Drive Buying Decisions, Emotional Intelligence, Maintain Positivity, Build Solutions, Negotiating Prowess, Growth Opportunities, Networking, Influencing, Persuasive Selling</t>
  </si>
  <si>
    <t>Strategic Decision-Making, Establishing Strategic Direction, Strategic Decision Making, Planning, Perspective, Strategic Agility, Strategic Mindset</t>
  </si>
  <si>
    <t>Develops Talent, Developing Direct Reports, Coaching, Developing Direct Reports and Others, Developing Others</t>
  </si>
  <si>
    <t>Human Capital Management, Driving Engagement, Performance Management</t>
  </si>
  <si>
    <t>Managing Diversity, Leveraging Diversity, Values Differences, Equity, Empathy</t>
  </si>
  <si>
    <t>Writing, Written Communication, Written Expression, Writing Proficiency, Writing Skills, Technical Writing</t>
  </si>
  <si>
    <t xml:space="preserve">Emotional Intelligence, set &amp; keep boundaries, protect your energy, be aware of your stressors, develop mindfulness, stay focus and flexible, improve your work-life balance                                        </t>
  </si>
  <si>
    <t>Competency Title</t>
  </si>
  <si>
    <t>Competency title in Spanish</t>
  </si>
  <si>
    <t>Spanish Course ID</t>
  </si>
  <si>
    <t>Levels</t>
  </si>
  <si>
    <t>Spanish Course Title and hyperlink</t>
  </si>
  <si>
    <t>Course Links</t>
  </si>
  <si>
    <t>Aligned Learning Paths</t>
  </si>
  <si>
    <t>LP Links</t>
  </si>
  <si>
    <t>Rendimiento y orientación a resultados</t>
  </si>
  <si>
    <t>Course IDs</t>
  </si>
  <si>
    <t>Courses</t>
  </si>
  <si>
    <t>Learning Paths</t>
  </si>
  <si>
    <t>Intermediate</t>
  </si>
  <si>
    <t>Agile en acción: Construye tu equipo ágil</t>
  </si>
  <si>
    <t>Crea una atmósfera de trabajo productiva</t>
  </si>
  <si>
    <t>Agile en acción: Impulsar reuniones ágiles y productivas</t>
  </si>
  <si>
    <t>Mejora tus dotes de liderazgo y gestión de equipos de trabajo</t>
  </si>
  <si>
    <t>Agile en acción: Mejorar con retrospectivas ágiles</t>
  </si>
  <si>
    <t>Mejora tu gestión de tiempo y productividad</t>
  </si>
  <si>
    <t>Aumenta tu productividad: Trucos</t>
  </si>
  <si>
    <t>Domina el trabajo remoto</t>
  </si>
  <si>
    <t>All levels</t>
  </si>
  <si>
    <t>Búsqueda de empleo con redes sociales</t>
  </si>
  <si>
    <t>Mejora tu productividad con estas metodologías</t>
  </si>
  <si>
    <t>Beginner</t>
  </si>
  <si>
    <t>Cómo aumentar la resiliencia</t>
  </si>
  <si>
    <t>Fomenta la colaboración en tu equipo</t>
  </si>
  <si>
    <t>Cómo coordinar reuniones</t>
  </si>
  <si>
    <t>Mejora tu capacidad para comunicar con las personas</t>
  </si>
  <si>
    <t>Cómo crear equipos de alto rendimiento</t>
  </si>
  <si>
    <t>Gestiona el rendimiento</t>
  </si>
  <si>
    <t>Advanced</t>
  </si>
  <si>
    <t>Cómo crear una cultura de alto rendimiento</t>
  </si>
  <si>
    <t>Amplía tus competencias de trabajo en equipo colaborativo y digital</t>
  </si>
  <si>
    <t>Cómo crear una cultura de la responsabilidad</t>
  </si>
  <si>
    <t>Cómo dar y recibir feedback o retroalimentación</t>
  </si>
  <si>
    <t>Cómo decir que no</t>
  </si>
  <si>
    <t>Cómo delegar tareas en la empresa</t>
  </si>
  <si>
    <t>Cómo desarrollar el autoconocimiento</t>
  </si>
  <si>
    <t>Cómo desarrollar tu plan de carrera profesional y aprendizaje continuo</t>
  </si>
  <si>
    <t>Cómo ejercer la responsabilidad</t>
  </si>
  <si>
    <t>Cómo establecer y cumplir tus objetivos profesionales</t>
  </si>
  <si>
    <t>Beginner, Intermediate</t>
  </si>
  <si>
    <t>Cómo fijar los objetivos de la unidad de negocio</t>
  </si>
  <si>
    <t>Cómo gestionar mejor tu tiempo</t>
  </si>
  <si>
    <t>Cómo hacer coaching a tu personal para obtener resultados</t>
  </si>
  <si>
    <t>Cómo identificar tu propósito</t>
  </si>
  <si>
    <t>Cómo liberar tu potencial</t>
  </si>
  <si>
    <t>Cómo liderar reuniones individuales productivas</t>
  </si>
  <si>
    <t>Cómo liderar reuniones productivas</t>
  </si>
  <si>
    <t>Cómo medir el rendimiento de tu equipo</t>
  </si>
  <si>
    <t>Cómo medir el rendimiento en la empresa</t>
  </si>
  <si>
    <t>Cómo reinventarse y capacitarse en tiempos de crisis</t>
  </si>
  <si>
    <t>Cómo ser parte de un ambiente de trabajo positivo</t>
  </si>
  <si>
    <t>Cómo superar la procrastinación</t>
  </si>
  <si>
    <t>Cómo tomar decisiones</t>
  </si>
  <si>
    <t>Cómo trabajar con gente difícil</t>
  </si>
  <si>
    <t>Cómo y por qué desarrollar una mentalidad de aprendizaje continuo</t>
  </si>
  <si>
    <t>Curiosidad aplicada</t>
  </si>
  <si>
    <t>Del victimismo a la acción: Asume el control</t>
  </si>
  <si>
    <t>Design Thinking: Facilitación de procesos de trabajo</t>
  </si>
  <si>
    <t>Design Thinking: Herramientas y técnicas (presenciales y en teletrabajo)</t>
  </si>
  <si>
    <t>DesignOps: Habilidades personales esencial</t>
  </si>
  <si>
    <t>Dominar la automotivación en tiempos de crisis</t>
  </si>
  <si>
    <t>Gestión del fracaso para tener éxito</t>
  </si>
  <si>
    <t>El futuro de la gestión del rendimiento</t>
  </si>
  <si>
    <t>Fred Kofman sobre la responsabilidad</t>
  </si>
  <si>
    <t>Fundamentos de la excelencia operativa</t>
  </si>
  <si>
    <t>Fundamentos de la gestión del tiempo</t>
  </si>
  <si>
    <t>Fundamentos de la optimización de procesos</t>
  </si>
  <si>
    <t>Fundamentos de la productividad</t>
  </si>
  <si>
    <t>Fundamentos de la productividad: Kanban, outlining y mapas mentales</t>
  </si>
  <si>
    <t>Gestión de equipos mediante OKR's o misiones, objetivos y resultados clave</t>
  </si>
  <si>
    <t>Gestión de proyectos: Resolución de problemas</t>
  </si>
  <si>
    <t>Gestión del tiempo para líderes</t>
  </si>
  <si>
    <t>Getting Things Done. Organízate con eficacia</t>
  </si>
  <si>
    <t>ACTIVE</t>
  </si>
  <si>
    <t>Habilidades de trabajo fundamentales</t>
  </si>
  <si>
    <t>Herramientas online para teletrabajo: Trucos</t>
  </si>
  <si>
    <t>Mejora tu productividad</t>
  </si>
  <si>
    <t>Motivación e implicación en la empresa</t>
  </si>
  <si>
    <t>Outlook: Gestión del tiempo con calendario y tareas (Office 365/Microsoft 365)</t>
  </si>
  <si>
    <t>Prepara tu curriculum vitae</t>
  </si>
  <si>
    <t>Reuniones eficaces</t>
  </si>
  <si>
    <t>Técnicas de resolución de problemas</t>
  </si>
  <si>
    <t>Vitalidad y capacidad de concentración a través de la alimentación sana</t>
  </si>
  <si>
    <t>Adaptabilidad</t>
  </si>
  <si>
    <t>Aprende las claves de la asertividad</t>
  </si>
  <si>
    <t>Domina las habilidades de vida personales</t>
  </si>
  <si>
    <t>Bienestar, coordinación y flexibilidad en casa y en el trabajo</t>
  </si>
  <si>
    <t>Liderazgo en tiempos de transformación digital</t>
  </si>
  <si>
    <t>Profundiza tu capacidad para superar el desempleo</t>
  </si>
  <si>
    <t>Cómo alcanzar la felicidad permanente creando con propósito</t>
  </si>
  <si>
    <t>Gestiona los cambios</t>
  </si>
  <si>
    <t>Cómo aprender del fracaso</t>
  </si>
  <si>
    <t>Fomenta el cambio cultural en tu empresa</t>
  </si>
  <si>
    <t>Cómo conciliar e integrar tu vida laboral y personal</t>
  </si>
  <si>
    <t>Cómo cultivar una mentalidad de crecimiento</t>
  </si>
  <si>
    <t>Cómo desarrollar tu propia capacidad de adaptación</t>
  </si>
  <si>
    <t>Cómo enfrentarse a los cambios</t>
  </si>
  <si>
    <t>Cómo generar ideas</t>
  </si>
  <si>
    <t>Cómo hackear tu mente y recuperar el control sobre el estrés</t>
  </si>
  <si>
    <t>Cómo liderar el cambio en tu empresa</t>
  </si>
  <si>
    <t>Cómo manejar el estrés</t>
  </si>
  <si>
    <t>Cómo superar los sesgos cognitivos</t>
  </si>
  <si>
    <t>Cómo trabajar con gerentes difíciles</t>
  </si>
  <si>
    <t>Comunicación en momentos de cambio</t>
  </si>
  <si>
    <t>Desarrolla la adaptabilidad de tu equipo</t>
  </si>
  <si>
    <t>Estrategias para salir de una crisis empresarial</t>
  </si>
  <si>
    <t>Fundamentos de la gestión de proyectos: Cambios</t>
  </si>
  <si>
    <t>Gestión del cambio</t>
  </si>
  <si>
    <t>Gestión del estrés en tiempos de incertidumbre: Vivir o sobrevivir</t>
  </si>
  <si>
    <t>Innovación en la empresa</t>
  </si>
  <si>
    <t>Intrapreneurship y mentalidad de crecimiento</t>
  </si>
  <si>
    <t>La importancia de las habilidades de vida o soft skills</t>
  </si>
  <si>
    <t>Liderazgo con inteligencia emocional</t>
  </si>
  <si>
    <t>Liderazgo transformador</t>
  </si>
  <si>
    <t>Mindfulness: Cómo conseguir una atención plena</t>
  </si>
  <si>
    <t>Navegar el cambio en tiempos difíciles</t>
  </si>
  <si>
    <t>Construir y gestionar equipos eficaces</t>
  </si>
  <si>
    <t>Conviértete en jefe de equipo</t>
  </si>
  <si>
    <t>Big data, recursos humanos y gestión del bienestar laboral</t>
  </si>
  <si>
    <t>Bill George sobre autoconocimiento, autenticidad, y liderazgo</t>
  </si>
  <si>
    <t>Cómo comunicar dentro del equipo</t>
  </si>
  <si>
    <t>Cómo dar feedback a tu personal</t>
  </si>
  <si>
    <t>Profundiza en la búsqueda, selección y retención de talentos</t>
  </si>
  <si>
    <t>Trabajo a distancia: Preparándote a ti mismo y a tus equipos para el éxito</t>
  </si>
  <si>
    <t>Cómo gestionar equipos de trabajo</t>
  </si>
  <si>
    <t>Cómo gestionar un equipo de atención al cliente</t>
  </si>
  <si>
    <t>Cómo gestionar un equipo multigeneracional</t>
  </si>
  <si>
    <t>Cómo identificar y retener personal con alto potencial</t>
  </si>
  <si>
    <t>Cómo integrar a personas nuevas en la empresa</t>
  </si>
  <si>
    <t>Cómo liderar equipos de alto potencial</t>
  </si>
  <si>
    <t>Cómo liderar equipos inclusivos</t>
  </si>
  <si>
    <t>Cómo mejorar el rendimiento de tu personal</t>
  </si>
  <si>
    <t>Cómo orientar y desarrollar a tu personal</t>
  </si>
  <si>
    <t>Cómo ser un miembro eficaz del equipo</t>
  </si>
  <si>
    <t>Creatividad en la empresa</t>
  </si>
  <si>
    <t>Empodera a tu equipo</t>
  </si>
  <si>
    <t>Fundamentos de gestión de equipos IT y programación</t>
  </si>
  <si>
    <t>Fundamentos de la gestión de proyectos: Equipos</t>
  </si>
  <si>
    <t>Fundamentos de la gestión de proyectos: Liderazgo</t>
  </si>
  <si>
    <t>Liderazgo ágil: Cómo afrontar la nueva normalidad</t>
  </si>
  <si>
    <t>Liderazgo y trabajo en equipo</t>
  </si>
  <si>
    <t>Selección de personal y desarrollo de tu equipo</t>
  </si>
  <si>
    <t>Teletrabajo y gestión de equipos remotos</t>
  </si>
  <si>
    <t>Trabajando y colaborando online</t>
  </si>
  <si>
    <t>Trabajo en equipo</t>
  </si>
  <si>
    <t>Transformación digital: Equipos online y trabajo colaborativo</t>
  </si>
  <si>
    <t>Construyendo confianza y colaborando con los demás</t>
  </si>
  <si>
    <t>Aprende Google Drive</t>
  </si>
  <si>
    <t>Aprende trabajo colaborativo con Android</t>
  </si>
  <si>
    <t>Profundiza en tus habilidades de comunicación en la empresa</t>
  </si>
  <si>
    <t>Mejora la comunicación en el ámbito empresarial</t>
  </si>
  <si>
    <t>Cómo desarrollar la inteligencia emocional</t>
  </si>
  <si>
    <t>Domina las habilidades de vida sociales</t>
  </si>
  <si>
    <t>Cómo encontrar un trabajo a distancia</t>
  </si>
  <si>
    <t>Cómo generar confianza</t>
  </si>
  <si>
    <t>Cómo gestionar a tu superior</t>
  </si>
  <si>
    <t>Domina las herramientas de trabajo en equipo colaborativo y digital</t>
  </si>
  <si>
    <t>Comunicación con atención plena, empatía y compasión</t>
  </si>
  <si>
    <t>Comunicación con confianza</t>
  </si>
  <si>
    <t>Comunicación intercultural</t>
  </si>
  <si>
    <t>Comunicación interpersonal</t>
  </si>
  <si>
    <t>Fundamentos de la gestión de proyectos: Comunicación</t>
  </si>
  <si>
    <t>Fundamentos del networking profesional</t>
  </si>
  <si>
    <t>Fundamentos del teletrabajo</t>
  </si>
  <si>
    <t>Gestionar en todas las direcciones del organigrama empresarial</t>
  </si>
  <si>
    <t>Habilidades para teletrabajo: Trucos</t>
  </si>
  <si>
    <t>La escucha activa</t>
  </si>
  <si>
    <t>Mejora tu habilidad de escucha activa</t>
  </si>
  <si>
    <t>Recursos humanos: Cómo manejar el bullying en el lugar de trabajo</t>
  </si>
  <si>
    <t>Teletrabajo</t>
  </si>
  <si>
    <t>Comunicación e influencia interpersonal</t>
  </si>
  <si>
    <t>Mejora los diseños de tus presentaciones</t>
  </si>
  <si>
    <t>Cómo comunicar de forma efectiva en la empresa</t>
  </si>
  <si>
    <t>Mejora tus dotes de presentación orales en público</t>
  </si>
  <si>
    <t>Cómo comunicar de forma efectiva por email</t>
  </si>
  <si>
    <t>Cómo contactar con la gente (y que te responda)</t>
  </si>
  <si>
    <t>Cómo desarrollar tu elevator pitch</t>
  </si>
  <si>
    <t>Domina el arte del email con Outlook 216</t>
  </si>
  <si>
    <t>Cómo ejercer tu influencia</t>
  </si>
  <si>
    <t>Domina el arte de las presentaciones con PowerPoint 216</t>
  </si>
  <si>
    <t>Domina el arte del email con Outlook 216 para Mac</t>
  </si>
  <si>
    <t>Domina las habilidades de vida a nivel de liderazgo</t>
  </si>
  <si>
    <t>Cómo negociar tu oferta de trabajo</t>
  </si>
  <si>
    <t>Cómo negociar tu salario</t>
  </si>
  <si>
    <t>Cómo potenciar tus conversaciones de ventas</t>
  </si>
  <si>
    <t>Cómo tener conversaciones difíciles</t>
  </si>
  <si>
    <t>Comunicación y prensa: Trucos</t>
  </si>
  <si>
    <t>Etiqueta empresarial: Teléfono, email y mensajes</t>
  </si>
  <si>
    <t>Fundamentos de la comunicación</t>
  </si>
  <si>
    <t>Fundamentos de la negociación</t>
  </si>
  <si>
    <t>Gestiona tu entrevista de trabajo en videoconferencia</t>
  </si>
  <si>
    <t>Habilidades de conversación inclusiva</t>
  </si>
  <si>
    <t>Negociación estratégica</t>
  </si>
  <si>
    <t>Persuadir a los demás</t>
  </si>
  <si>
    <t>Refresca tus conocimientos de la lengua española: Uso de las tildes</t>
  </si>
  <si>
    <t>Cómo gestionar la comunicación de crisis</t>
  </si>
  <si>
    <t>Storytelling para comunicación de proyectos de ingeniería</t>
  </si>
  <si>
    <t>Gestión y resolución de conflictos</t>
  </si>
  <si>
    <t>Cómo despedir a tu personal</t>
  </si>
  <si>
    <t>Cómo detener el acoso laboral y la intimidación</t>
  </si>
  <si>
    <t>Cómo gestionar el enfado en la clientela</t>
  </si>
  <si>
    <t>Fred Kofman y la gestión de conflictos</t>
  </si>
  <si>
    <t>Fundamentos de la resolución de conflictos</t>
  </si>
  <si>
    <t>Jeff Weiner y la gestión con compasión</t>
  </si>
  <si>
    <t>Marketing online avanzado: Resolución de problemas</t>
  </si>
  <si>
    <t>Mejora tu competencia en conflictos</t>
  </si>
  <si>
    <t>Resolución de problemas empresariales</t>
  </si>
  <si>
    <t>Toma de decisiones en situaciones de gran estrés</t>
  </si>
  <si>
    <t>Marketing de contenidos, marketing digital y estrategias de marketing</t>
  </si>
  <si>
    <t>Agile Marketing</t>
  </si>
  <si>
    <t>Conviértete en experto SEO</t>
  </si>
  <si>
    <t>Aprende copywriting para comercio electrónico</t>
  </si>
  <si>
    <t>Destaca en marketing digital en tiempos de transformación digital</t>
  </si>
  <si>
    <t>Aprende Facebook Ads</t>
  </si>
  <si>
    <t>Conviértete en experto en marketing en social media</t>
  </si>
  <si>
    <t>Aprende LinkedIn Sponsored InMail</t>
  </si>
  <si>
    <t>Aprende LinkedIn Sponsored Updates</t>
  </si>
  <si>
    <t>Aprende Mailchimp</t>
  </si>
  <si>
    <t>Auditorías SEO</t>
  </si>
  <si>
    <t>Bing Ads esencial</t>
  </si>
  <si>
    <t>C.C. Chapman, creador de marketing de contenido</t>
  </si>
  <si>
    <t>Cómo construir tu propio conjunto de tecnologías de marketing</t>
  </si>
  <si>
    <t>Cómo integrar la marca con la estrategia de marketing</t>
  </si>
  <si>
    <t>Cómo liderar un equipo de marketing</t>
  </si>
  <si>
    <t>Cómo vender con storytelling, parte 1: Los elementos de una gran historia</t>
  </si>
  <si>
    <t>Creatividad para marketing</t>
  </si>
  <si>
    <t>Derechos de autor de contenido audiovisual para marketing</t>
  </si>
  <si>
    <t>Diseña proyectos de marketing con «Business Model Canvas»</t>
  </si>
  <si>
    <t>Facebook Ads avanzado</t>
  </si>
  <si>
    <t>Facebook Ads: Creación de campañas</t>
  </si>
  <si>
    <t>Fundamentos de marketing B2B</t>
  </si>
  <si>
    <t>Fundamentos de SEO</t>
  </si>
  <si>
    <t>Fundamentos del comercio electrónico: WooCommerce en WordPress</t>
  </si>
  <si>
    <t>Fundamentos del content marketing: Blogs</t>
  </si>
  <si>
    <t>Fundamentos del content marketing: Cómo redactar un post exitoso</t>
  </si>
  <si>
    <t>Fundamentos del marketing</t>
  </si>
  <si>
    <t>Fundamentos del marketing digital: Mobile marketing</t>
  </si>
  <si>
    <t>Fundamentos del marketing online: Content marketing</t>
  </si>
  <si>
    <t>Fundamentos del marketing online: Display marketing</t>
  </si>
  <si>
    <t>Fundamentos del marketing online: Email marketing</t>
  </si>
  <si>
    <t>Fundamentos del marketing online: Search marketing</t>
  </si>
  <si>
    <t>Fundamentos del marketing: Growth hacking</t>
  </si>
  <si>
    <t>Fundamentos del marketing: Mercado internacional</t>
  </si>
  <si>
    <t>Google Ads avanzado</t>
  </si>
  <si>
    <t>Google Ads: Creación de campañas</t>
  </si>
  <si>
    <t>Google AdWords: Creación de campañas</t>
  </si>
  <si>
    <t>Google Analytics esencial</t>
  </si>
  <si>
    <t>Introducción al marketing digital en tiempos de crisis</t>
  </si>
  <si>
    <t>La Comunicación Integrada de Marketing o Integrated Marketing Communications</t>
  </si>
  <si>
    <t>La venta persuasiva</t>
  </si>
  <si>
    <t>LinkedIn Ads: Creación de campañas</t>
  </si>
  <si>
    <t>LinkedIn para empresas</t>
  </si>
  <si>
    <t>LinkedIn para Social Selling</t>
  </si>
  <si>
    <t>LinkedIn para ventas</t>
  </si>
  <si>
    <t>Marketing online avanzado: ROI en redes sociales</t>
  </si>
  <si>
    <t>Marketing online: Automatización de procesos</t>
  </si>
  <si>
    <t>Marketing online: Conversion Rate Optimization</t>
  </si>
  <si>
    <t>Marketing online: Creación de un calendario editorial</t>
  </si>
  <si>
    <t>Marketing online: Creación de un plan integral</t>
  </si>
  <si>
    <t>Marketing online: Herramientas de optimización</t>
  </si>
  <si>
    <t>Marketing para pequeñas empresas</t>
  </si>
  <si>
    <t>Redacta tu plan de marketing</t>
  </si>
  <si>
    <t>SEO local</t>
  </si>
  <si>
    <t>Trucos imprescindibles de marketing online</t>
  </si>
  <si>
    <t>WordPress avanzado: SEO</t>
  </si>
  <si>
    <t>YouTube para empresas</t>
  </si>
  <si>
    <t>Pensamiento creativo e innovación</t>
  </si>
  <si>
    <t>Profundiza tus competencias en metodologías ágiles y Design Thinking</t>
  </si>
  <si>
    <t>Cómo desarrollar la capacidad de ingenio</t>
  </si>
  <si>
    <t>Fomenta la innovación</t>
  </si>
  <si>
    <t>Cómo generar ideas para un nuevo modelo de negocio</t>
  </si>
  <si>
    <t>Cómo superar el bloqueo creativo</t>
  </si>
  <si>
    <t>Cómo usar preguntas para fomentar el pensamiento crítico y la curiosidad</t>
  </si>
  <si>
    <t>Desarrolla tu creatividad: Trucos</t>
  </si>
  <si>
    <t>Desarrollar la creatividad en las organizaciones</t>
  </si>
  <si>
    <t>Desbloquea la creatividad de tu equipo</t>
  </si>
  <si>
    <t>Design Thinking: Implementar el proceso</t>
  </si>
  <si>
    <t>Fundamentos de Design Thinking</t>
  </si>
  <si>
    <t>Fundamentos de la economía naranja</t>
  </si>
  <si>
    <t>Fundamentos de matemática: Aplicaciones útiles en tu día a día</t>
  </si>
  <si>
    <t>Fundamentos de matemática: Bases y cálculo mental</t>
  </si>
  <si>
    <t>Liderazgo con innovación</t>
  </si>
  <si>
    <t>Liderazgo creativo</t>
  </si>
  <si>
    <t>Los cinco pasos del proceso creativo</t>
  </si>
  <si>
    <t>Técnicas innovadoras de atención al cliente</t>
  </si>
  <si>
    <t>Trucos creativos para líderes</t>
  </si>
  <si>
    <t>Trucos para gente creativa</t>
  </si>
  <si>
    <t>Pensamiento crítico, toma de decisiones y resolución de problemas</t>
  </si>
  <si>
    <t>Mejora tus habilidades para resolver problemas</t>
  </si>
  <si>
    <t>Cómo gestionar los puntos ciegos del liderazgo</t>
  </si>
  <si>
    <t>Cómo mejorar tu capacidad de toma de decisiones</t>
  </si>
  <si>
    <t>Estrategias para tomar decisiones</t>
  </si>
  <si>
    <t>Pensamiento computacional</t>
  </si>
  <si>
    <t>Pensamiento crítico</t>
  </si>
  <si>
    <t>Pensamiento estratégico</t>
  </si>
  <si>
    <t>Toma de decisiones ejecutivas</t>
  </si>
  <si>
    <t>Enfoque al cliente</t>
  </si>
  <si>
    <t>Conviértete en vendedor</t>
  </si>
  <si>
    <t>Cómo construir la lealtad del cliente</t>
  </si>
  <si>
    <t>Cómo dirigir el servicio de atención al cliente</t>
  </si>
  <si>
    <t>Cómo escribir correos electrónicos de servicio al cliente</t>
  </si>
  <si>
    <t>Cómo gestionar las expectativas del cliente en puestos de cara al público</t>
  </si>
  <si>
    <t>Cómo identificar oportunidades de crecimiento en las ventas</t>
  </si>
  <si>
    <t>Cómo liderar una cultura centrada en el cliente</t>
  </si>
  <si>
    <t>Cuarta revolución industrial: Estrategias comerciales</t>
  </si>
  <si>
    <t>Fundamentos de la atención al cliente para profesionales IT</t>
  </si>
  <si>
    <t>Fundamentos de la gestión de ventas</t>
  </si>
  <si>
    <t>Fundamentos del servicio de atención al cliente</t>
  </si>
  <si>
    <t>Fundamentos del soporte técnico: Telecomunicaciones</t>
  </si>
  <si>
    <t>Gestión de clientes potenciales</t>
  </si>
  <si>
    <t>Gestión de las expectativas de los clientes para gerentes</t>
  </si>
  <si>
    <t>La ciencia de las ventas</t>
  </si>
  <si>
    <t>Normas de calidad en el servicio de atención al cliente</t>
  </si>
  <si>
    <t>Salesforce esencial</t>
  </si>
  <si>
    <t>Salesforce para administradores esencial</t>
  </si>
  <si>
    <t>Salesforce para gerentes de ventas</t>
  </si>
  <si>
    <t>Servicio de atención al cliente por teléfono</t>
  </si>
  <si>
    <t>Servicio de atención al cliente: Creación de valor para el consumidor</t>
  </si>
  <si>
    <t>WhatsApp Business esencial</t>
  </si>
  <si>
    <t>Análisis de datos</t>
  </si>
  <si>
    <t>Access avanzado: VBA para acceso a datos</t>
  </si>
  <si>
    <t>Conviértete en experto en Excel 216</t>
  </si>
  <si>
    <t>Aprende análisis de datos</t>
  </si>
  <si>
    <t>Domina Excel 216</t>
  </si>
  <si>
    <t>Aprende análisis y visualización de datos con Hojas de cálculo de Google</t>
  </si>
  <si>
    <t>Crea y gestiona tablas dinámicas en Excel</t>
  </si>
  <si>
    <t>Aprende big data: Análisis de datos</t>
  </si>
  <si>
    <t>Crea informes usando Microsoft Excel</t>
  </si>
  <si>
    <t>Aprende big data: Visualización de datos</t>
  </si>
  <si>
    <t>Conviértete en especialista en Excel 216 para Mac</t>
  </si>
  <si>
    <t>Aprende data science: Conceptos básicos</t>
  </si>
  <si>
    <t>Conviértete en un especialista en Big Data para IT</t>
  </si>
  <si>
    <t>Aprende data science: Cuenta historias con los datos</t>
  </si>
  <si>
    <t>Conviértete en experto de Big Data para los negocios</t>
  </si>
  <si>
    <t>Aprende diseño de base de datos relacionales</t>
  </si>
  <si>
    <t>Conviértete en data analyst</t>
  </si>
  <si>
    <t>Aprende Power BI</t>
  </si>
  <si>
    <t>Azure Data Explorer esencial</t>
  </si>
  <si>
    <t>Bases de datos con un café</t>
  </si>
  <si>
    <t>Big data: Equipos y soluciones para la empresa</t>
  </si>
  <si>
    <t>Big data: Escucha activa</t>
  </si>
  <si>
    <t>Data analyst: Técnicas y herramientas de informes esencial</t>
  </si>
  <si>
    <t>Data scientist: Azure ML y Power BI para minería de datos esencial</t>
  </si>
  <si>
    <t>Data scientist: Estadística esencial</t>
  </si>
  <si>
    <t>Data scientist: Minería de datos esencial</t>
  </si>
  <si>
    <t>Excel 2016 para Mac: Análisis, gestión y validación de datos</t>
  </si>
  <si>
    <t>Excel 2016 para Mac: Gráficos y presentación de datos</t>
  </si>
  <si>
    <t>Excel 2016: Análisis y gestión de datos</t>
  </si>
  <si>
    <t>Excel 2016: Gráficos y presentación de datos</t>
  </si>
  <si>
    <t>Excel 2016: Limpieza de datos</t>
  </si>
  <si>
    <t>Excel 2016: Validación de datos</t>
  </si>
  <si>
    <t>Excel Business Intelligence 1: Obtener y Transformar (Power Query) (365/2019)</t>
  </si>
  <si>
    <t>Excel Business Intelligence 2: Modelado de datos (365/2019)</t>
  </si>
  <si>
    <t>Excel para principiantes: Análisis de datos (365/2019)</t>
  </si>
  <si>
    <t>Excel para principiantes: Buscar datos (365/2019)</t>
  </si>
  <si>
    <t>Excel para principiantes: Cuadros de mando con fuente de datos externa (365/2019)</t>
  </si>
  <si>
    <t>Excel para principiantes: Cuadros de mando simples</t>
  </si>
  <si>
    <t>Excel para principiantes: Ingresar datos correctamente (365/2019)</t>
  </si>
  <si>
    <t>Excel: Análisis, gestión y validación de datos (Office 365/Microsoft 365)</t>
  </si>
  <si>
    <t>Excel: Limpieza de datos</t>
  </si>
  <si>
    <t>Excel: Recursos de análisis en la economía de empresa (Office 365/Microsoft 365)</t>
  </si>
  <si>
    <t>Fundamentos de análisis de la información</t>
  </si>
  <si>
    <t>Fundamentos de big data</t>
  </si>
  <si>
    <t>Fundamentos de big data: Modelos de negocio</t>
  </si>
  <si>
    <t>Fundamentos de big data: Técnicas y conceptos</t>
  </si>
  <si>
    <t>Fundamentos de data science: Conceptos básicos</t>
  </si>
  <si>
    <t>Fundamentos de la programación: Bases de datos</t>
  </si>
  <si>
    <t>Fundamentos del análisis empresarial</t>
  </si>
  <si>
    <t>GDPR: Implementación práctica en la empresa</t>
  </si>
  <si>
    <t>Design Thinking: Inteligencia de datos</t>
  </si>
  <si>
    <t>Introducción a la visualización de datos</t>
  </si>
  <si>
    <t>MATLAB esencial</t>
  </si>
  <si>
    <t>Microsoft Power BI en Power Platform esencial</t>
  </si>
  <si>
    <t>MongoDB esencial</t>
  </si>
  <si>
    <t>Power BI esencial</t>
  </si>
  <si>
    <t>Power BI para principiantes: Análisis de datos</t>
  </si>
  <si>
    <t>Power BI: Trabajo colaborativo desde el servicio Power BI</t>
  </si>
  <si>
    <t>Power BI: Visualizaciones e informes</t>
  </si>
  <si>
    <t>Python para data science y big data esencial</t>
  </si>
  <si>
    <t>Python para data scientist avanzado</t>
  </si>
  <si>
    <t>R para big data esencial</t>
  </si>
  <si>
    <t>R para data scientist avanzado</t>
  </si>
  <si>
    <t>Tableau esencial</t>
  </si>
  <si>
    <t xml:space="preserve">Conocimientos sobre finanzas y contabilidad </t>
  </si>
  <si>
    <t>Cómo negociar con los bancos</t>
  </si>
  <si>
    <t>Optimiza tu gestión financiera</t>
  </si>
  <si>
    <t>Contabilidad y finanzas: Trucos</t>
  </si>
  <si>
    <t>Conviértete en responsable financiero</t>
  </si>
  <si>
    <t>Economía de la empresa</t>
  </si>
  <si>
    <t>Conviértete en asistente de contabilidad</t>
  </si>
  <si>
    <t>Excel 2016 práctico: Facturación y control de gastos</t>
  </si>
  <si>
    <t>Conviértete en asistente administrativo</t>
  </si>
  <si>
    <t>Excel 2016 práctico: Gestión de tesorería para pymes</t>
  </si>
  <si>
    <t>Excel 2016 práctico: Plan de viabilidad económico-financiero</t>
  </si>
  <si>
    <t>Excel para análisis financiero y finanzas corporativas (Office 365/Microsoft 365)</t>
  </si>
  <si>
    <t>Excel para finanzas: Herramientas de análisis avanzadas</t>
  </si>
  <si>
    <t>Excel para principiantes: Crear y gestionar facturas (365/2019)</t>
  </si>
  <si>
    <t>Finanzas para dirigentes no especialistas en finanzas</t>
  </si>
  <si>
    <t>Finanzas para pequeñas empresas</t>
  </si>
  <si>
    <t>Finanzas personales: Trucos</t>
  </si>
  <si>
    <t>Finanzas personales: Trucos avanzados</t>
  </si>
  <si>
    <t>Fundamentos de Fintech o finanza tecnológica</t>
  </si>
  <si>
    <t>Fundamentos de la contabilidad</t>
  </si>
  <si>
    <t>Fundamentos de la gestión de proyectos: Presupuestos</t>
  </si>
  <si>
    <t>Fundamentos de las finanzas: Análisis de informes financieros</t>
  </si>
  <si>
    <t>Fundamentos de las finanzas: Comprensión de informes financieros</t>
  </si>
  <si>
    <t>Fundamentos de las finanzas: Control y reducción de costes</t>
  </si>
  <si>
    <t>Fundamentos de las finanzas: Decisiones de inversión</t>
  </si>
  <si>
    <t>Fundamentos de las finanzas: Terminología económico-financiera</t>
  </si>
  <si>
    <t>Gestión de cuentas clave</t>
  </si>
  <si>
    <t>Gestión financiera: Fondo de maniobra</t>
  </si>
  <si>
    <t>Gestión financiera: Rentabilidad</t>
  </si>
  <si>
    <t>Gestiona tus finanzas personales en tiempos de crisis</t>
  </si>
  <si>
    <t>Modelización financiera y previsión de estados financieros</t>
  </si>
  <si>
    <t>Plan de viabilidad económico financiero para el emprendimiento</t>
  </si>
  <si>
    <t>Plantilla: Análisis vertical cuenta de pérdidas y ganancias con Excel</t>
  </si>
  <si>
    <t>Plantilla: Controla pérdidas y ganancias con este panel de Power BI</t>
  </si>
  <si>
    <t>Plantilla: Gráfico para representar tu cuenta de pérdidas y ganancias en Excel</t>
  </si>
  <si>
    <t>Presupuestos para pequeñas empresas</t>
  </si>
  <si>
    <t>Conocimientos sobre recursos humanos su gestión</t>
  </si>
  <si>
    <t>Conviértete en reclutador de talentos</t>
  </si>
  <si>
    <t>Cómo gestionar a personas con alto potencial</t>
  </si>
  <si>
    <t>Cómo gestionar al personal de alto rendimiento</t>
  </si>
  <si>
    <t>Contratación de personal basada en el rendimiento</t>
  </si>
  <si>
    <t>Excel: Crear un dashboard para RRHH con Power Query y Power Pivot</t>
  </si>
  <si>
    <t>Fundamentos de la evaluación del rendimiento</t>
  </si>
  <si>
    <t>Fundamentos de recursos humanos: Búsqueda de talentos</t>
  </si>
  <si>
    <t>Fundamentos de Recursos humanos: Estrategias de remuneración</t>
  </si>
  <si>
    <t>Fundamentos de recursos humanos: Gestión de la incorporación corporativa</t>
  </si>
  <si>
    <t>Fundamentos de recursos humanos: Reclutamiento</t>
  </si>
  <si>
    <t>Gestión de problemas de rendimiento</t>
  </si>
  <si>
    <t>Liderazgo y recursos humanos: Estrategia de ubicación para una fuerza de trabajo híbrida</t>
  </si>
  <si>
    <t>LinkedIn para recursos humanos</t>
  </si>
  <si>
    <t>Microsoft Dynamics 365 Talent esencial</t>
  </si>
  <si>
    <t>Microsoft Teams: Administrar los horarios de trabajo del personal con Turnos</t>
  </si>
  <si>
    <t>Plantilla: Curriculum vitae con Word</t>
  </si>
  <si>
    <t>Recursos humanos estratégicos</t>
  </si>
  <si>
    <t>Recursos humanos: Cómo entrevistar aspirantes</t>
  </si>
  <si>
    <t>Recursos humanos: Contratación de perfiles de desarrollo</t>
  </si>
  <si>
    <t>Recursos humanos: Contratación IT</t>
  </si>
  <si>
    <t>Recursos humanos: Reclutamiento de la diversidad</t>
  </si>
  <si>
    <t>Transformación digital: El rol de recursos humanos</t>
  </si>
  <si>
    <t>Liderando el cambio</t>
  </si>
  <si>
    <t>Agilidad estratégica</t>
  </si>
  <si>
    <t>Amplía tus competencias como líder para la transformación digital</t>
  </si>
  <si>
    <t>Mujeres en el liderazgo</t>
  </si>
  <si>
    <t>El camino hacia el liderazgo femenino</t>
  </si>
  <si>
    <t>Inteligencia emocional en la gestión empresarial</t>
  </si>
  <si>
    <t>Liderazgo en tiempos de crisis</t>
  </si>
  <si>
    <t>Liderazgo inclusivo</t>
  </si>
  <si>
    <t>Liderazgo y la capacidad de asumir riesgos</t>
  </si>
  <si>
    <t>Storytelling para el liderazgo</t>
  </si>
  <si>
    <t>Liderar de manera eficaz y transformadora</t>
  </si>
  <si>
    <t>Conviértete en líder</t>
  </si>
  <si>
    <t>Profundiza tu capacidad estratégica</t>
  </si>
  <si>
    <t>Cómo liderar con eficacia</t>
  </si>
  <si>
    <t>Cómo liderar sin autoridad formal</t>
  </si>
  <si>
    <t>Desarrolla tu propia filosofía de liderazgo</t>
  </si>
  <si>
    <t>Fundamentos y consejos para gerentes principiantes</t>
  </si>
  <si>
    <t>Transición de responsable a líder</t>
  </si>
  <si>
    <t>Gestionar de manera eficaz</t>
  </si>
  <si>
    <t>Cómo administrar por objetivos</t>
  </si>
  <si>
    <t>Cómo desarrollar la presencia ejecutiva</t>
  </si>
  <si>
    <t>Fundamentos de la gestión empresarial</t>
  </si>
  <si>
    <t>Primeros pasos en el liderazgo de equipos</t>
  </si>
  <si>
    <t>Excelencia operativa y mejora de procesos</t>
  </si>
  <si>
    <t>N/A</t>
  </si>
  <si>
    <t>Aprende a usar la metodología Lean</t>
  </si>
  <si>
    <t>Aprende las bases de las cadenas de suministro</t>
  </si>
  <si>
    <t>DevOps esencial</t>
  </si>
  <si>
    <t>Facilitación de la excelencia operativa y Kaizen</t>
  </si>
  <si>
    <t>Fundamentos de la gestión de operaciones</t>
  </si>
  <si>
    <t>Fundamentos de Lean Six Sigma</t>
  </si>
  <si>
    <t>Fundamentos de Six Sigma</t>
  </si>
  <si>
    <t>Fundamentos de Six Sigma: Black Belt</t>
  </si>
  <si>
    <t>Fundamentos de Six Sigma: Green Belt</t>
  </si>
  <si>
    <t>Guía corporativa a la sostenibilidad y al impacto empresarial positivo</t>
  </si>
  <si>
    <t>Lean Six Sigma: Herramientas de las fases Definición y Medición</t>
  </si>
  <si>
    <t>Scrum avanzado</t>
  </si>
  <si>
    <t>Scrum con un café</t>
  </si>
  <si>
    <t>Habilidades de presentación</t>
  </si>
  <si>
    <t>Aprende PowerPoint (Office 365/Microsoft 365)</t>
  </si>
  <si>
    <t>Aprende PowerPoint 2016</t>
  </si>
  <si>
    <t>Cómo diseñar una presentación</t>
  </si>
  <si>
    <t>Cómo prepararse para presentar en público</t>
  </si>
  <si>
    <t>Cómo presentar y enganchar a tu público</t>
  </si>
  <si>
    <t>El arte de presentar en público: Presencial, online e híbrido</t>
  </si>
  <si>
    <t>Fundamentos de la narrativa o storytelling</t>
  </si>
  <si>
    <t>Fundamentos de las presentaciones profesionales</t>
  </si>
  <si>
    <t>Google Presentaciones esencial (2018)</t>
  </si>
  <si>
    <t>Herramientas para presentaciones online: Trucos</t>
  </si>
  <si>
    <t>PowerPoint 2016 avanzado: Atajos de productividad</t>
  </si>
  <si>
    <t>PowerPoint 2016 avanzado: Trucos</t>
  </si>
  <si>
    <t>PowerPoint 2016 esencial</t>
  </si>
  <si>
    <t>PowerPoint 2016 para Mac esencial</t>
  </si>
  <si>
    <t>PowerPoint 2016: Audio, vídeo y animaciones</t>
  </si>
  <si>
    <t>PowerPoint 2019 esencial</t>
  </si>
  <si>
    <t>PowerPoint 2019 para Mac esencial</t>
  </si>
  <si>
    <t>PowerPoint esencial (Office 365/Microsoft 365)</t>
  </si>
  <si>
    <t>PowerPoint para principiantes: Preparar una presentación (365/2019)</t>
  </si>
  <si>
    <t>PowerPoint: Animaciones (Office 365/Microsoft 365)</t>
  </si>
  <si>
    <t>PowerPoint: Trucos (Office 365/Microsoft 365)</t>
  </si>
  <si>
    <t>Presentaciones efectivas con iPad (iOS7)</t>
  </si>
  <si>
    <t>Gestión de proyectos</t>
  </si>
  <si>
    <t>Conviértete en gestor de proyectos</t>
  </si>
  <si>
    <t>Gestiona tus proyectos con Project 216</t>
  </si>
  <si>
    <t>Aprende Asana</t>
  </si>
  <si>
    <t>Conviértete en coordinador de proyectos</t>
  </si>
  <si>
    <t>BIM con un café</t>
  </si>
  <si>
    <t>Características de un gran Scrum Master</t>
  </si>
  <si>
    <t>Cuarta revolución industrial: Gestión de proyectos</t>
  </si>
  <si>
    <t>DesignOps con un café</t>
  </si>
  <si>
    <t>Fundamentos de la gestión de programas</t>
  </si>
  <si>
    <t>Fundamentos de la gestión de proyectos</t>
  </si>
  <si>
    <t>Fundamentos de la gestión de proyectos ágil</t>
  </si>
  <si>
    <t>Fundamentos de la gestión de proyectos: Calendarios</t>
  </si>
  <si>
    <t>Fundamentos de la gestión de proyectos: Calidad</t>
  </si>
  <si>
    <t>Fundamentos de la gestión de proyectos: Compras</t>
  </si>
  <si>
    <t>Fundamentos de la gestión de proyectos: Ética</t>
  </si>
  <si>
    <t>Fundamentos de la gestión de proyectos: Integración</t>
  </si>
  <si>
    <t>Fundamentos de la gestión de proyectos: Proyectos pequeños</t>
  </si>
  <si>
    <t>Fundamentos de la gestión de proyectos: Riesgos</t>
  </si>
  <si>
    <t>Fundamentos de la gestión de proyectos: Stakeholders</t>
  </si>
  <si>
    <t>Gestión de proyectos ágiles con Trello</t>
  </si>
  <si>
    <t>Gestión de proyectos ágiles: Comparación de herramientas ágiles</t>
  </si>
  <si>
    <t>Gestión de proyectos con Smartsheet</t>
  </si>
  <si>
    <t>Gestión de proyectos simplificada</t>
  </si>
  <si>
    <t>Gestión de proyectos: Prevención del deslizamiento de alcance</t>
  </si>
  <si>
    <t>Microsoft Teams esencial</t>
  </si>
  <si>
    <t>Microsoft Teams: Gestión de proyectos</t>
  </si>
  <si>
    <t>Project 2016 avanzado</t>
  </si>
  <si>
    <t>Project 2016 esencial</t>
  </si>
  <si>
    <t>Project 2019 y Project Online Professional esencial</t>
  </si>
  <si>
    <t>Project Online Profesional: Trucos</t>
  </si>
  <si>
    <t>Project: Gestión de proyectos ágiles</t>
  </si>
  <si>
    <t>SharePoint 2019: Trucos</t>
  </si>
  <si>
    <t>Trabajando con computadoras y dispositivos</t>
  </si>
  <si>
    <t>Transición de gestión de proyectos en cascada a gestión de proyectos Agile</t>
  </si>
  <si>
    <t>Conocimientos y habilidades de ventas</t>
  </si>
  <si>
    <t>Aprende Microsoft Dynamics 365 Finance</t>
  </si>
  <si>
    <t>Aplica LinkedIn en tus ventas</t>
  </si>
  <si>
    <t>Destaca en ventas</t>
  </si>
  <si>
    <t>Cómo encontrar los mejores argumentos de venta</t>
  </si>
  <si>
    <t>Cómo medir la eficacia de tu fuerza de ventas</t>
  </si>
  <si>
    <t>Cómo vender soluciones</t>
  </si>
  <si>
    <t>Excel: Crear un dashboard comercial con Power Query y Power Pivot</t>
  </si>
  <si>
    <t>Fundamentos de la previsión de ventas</t>
  </si>
  <si>
    <t>Fundamentos de las ventas</t>
  </si>
  <si>
    <t>Habilidades blandas para profesionales de las ventas</t>
  </si>
  <si>
    <t>Planificación y pensamiento estratégico</t>
  </si>
  <si>
    <t>Diseño de estrategias de crecimiento</t>
  </si>
  <si>
    <t>Estrategia competitiva</t>
  </si>
  <si>
    <t>Fundamentos de la planificación estratégica</t>
  </si>
  <si>
    <t>Jeff Weiner y cómo establecer una cultura y un plan de crecimiento</t>
  </si>
  <si>
    <t>Desarrollo del talento</t>
  </si>
  <si>
    <t>Cómo construir hábitos para el éxito</t>
  </si>
  <si>
    <t>Mentoring para el aprendizaje y desarrollo</t>
  </si>
  <si>
    <t>Gestión del talento</t>
  </si>
  <si>
    <t>Incrementar el compromiso con los programas de aprendizaje electrónico</t>
  </si>
  <si>
    <t>Valora la diversidad, la inclusión y la pertenencia</t>
  </si>
  <si>
    <t>Cómo comunicar sobre temas culturalmente sensibles</t>
  </si>
  <si>
    <t>Cómo convertirse en un aliado femenino en el trabajo</t>
  </si>
  <si>
    <t>Cómo crear documentos accesibles en Office 365/Microsoft 365</t>
  </si>
  <si>
    <t>Cómo cultivar la habilidad y la inclusión cultural</t>
  </si>
  <si>
    <t>Cómo desactivar la comunicación tóxica</t>
  </si>
  <si>
    <t>Cómo desarrollar la inteligencia intercultural</t>
  </si>
  <si>
    <t>Cómo desarrollar un programa de diversidad, inclusión y pertenencia</t>
  </si>
  <si>
    <t>Cómo dirigir en un entorno global o internacional</t>
  </si>
  <si>
    <t>Cómo enfrentar los prejuicios: superando nuestras diferencias</t>
  </si>
  <si>
    <t>Cómo gestionar la diversidad</t>
  </si>
  <si>
    <t>Cómo impulsar el cambio y el antirracismo</t>
  </si>
  <si>
    <t>Cómo liderar a la generación Y</t>
  </si>
  <si>
    <t>Comprender e integrar la diversidad funcional</t>
  </si>
  <si>
    <t>Diversidad e inclusión en empresas globales</t>
  </si>
  <si>
    <t>Diversidad, inclusión, y pertenencia</t>
  </si>
  <si>
    <t>Estrategias exitosas para mujeres en el ambiente de trabajo</t>
  </si>
  <si>
    <t>Integrar personas con diversidad funcional en la empresa</t>
  </si>
  <si>
    <t>Involúcrate en lo que sucede a tu alrededor: De espectador a protagonista</t>
  </si>
  <si>
    <t>La ética empresarial</t>
  </si>
  <si>
    <t>La importancia del lenguaje inclusivo</t>
  </si>
  <si>
    <t>La salud: Tu mejor talento</t>
  </si>
  <si>
    <t>Presencia ejecutiva para mujeres</t>
  </si>
  <si>
    <t>Presencia ejecutiva: Sugerencias para las mujeres</t>
  </si>
  <si>
    <t>Habilidades y competencias de escritura</t>
  </si>
  <si>
    <t>Aprende a tomar notas en dispositivos digitales</t>
  </si>
  <si>
    <t>Conviértete en editor de e-books</t>
  </si>
  <si>
    <t>Cómo escribir con eficacia</t>
  </si>
  <si>
    <t>Profundiza la gestión de documentos digitales con Adobe Acrobat XI</t>
  </si>
  <si>
    <t>Fundamentos de dactilografía</t>
  </si>
  <si>
    <t>Profundiza la gestión de documentos digitales con Adobe Acrobat DC</t>
  </si>
  <si>
    <t>Fundamentos de redacción de textos para negocios</t>
  </si>
  <si>
    <t>Inglés de negocios: Cómo escribir correos electrónicos de negocios con éxito</t>
  </si>
  <si>
    <t>Refresca tus conocimientos de la lengua española: Estilo y arquitectura de las frases</t>
  </si>
  <si>
    <t>Técnicas de escritura creativa para negocios: Trucos</t>
  </si>
  <si>
    <t>Toma de notas para profesionales</t>
  </si>
  <si>
    <t>Autocuidado, Bienestar, Mindfulness</t>
  </si>
  <si>
    <t>Activa el cuerpo: Ejercicios fáciles y simples para tonificar el cuerpo entero</t>
  </si>
  <si>
    <t>Activa el cuerpo: Entrena tus glúteos, abdominales y piernas de forma divertida y sencilla</t>
  </si>
  <si>
    <t>Activa el cuerpo: Entrenamiento divertido y completo</t>
  </si>
  <si>
    <t>Activa el cuerpo: Entrenamiento fácil y sencillo de cardio y fuerza</t>
  </si>
  <si>
    <t>Activa el cuerpo: Mejora tu coordinación y agilidad con este entrenamiento</t>
  </si>
  <si>
    <t>Activa el cuerpo: Rutina de entrenamiento de cardio fácil y divertida</t>
  </si>
  <si>
    <t>Alimentación saludable y digestión óptima</t>
  </si>
  <si>
    <t>Bienestar y felicidad: Trucos</t>
  </si>
  <si>
    <t>Cervicales saludables: Alivia la tensión con ejercicios fáciles y divertidos</t>
  </si>
  <si>
    <t>Cervicales saludables: Alivia las molestias del cuello con ejercicios sencillos</t>
  </si>
  <si>
    <t>Cervicales saludables: Entrenamiento para aliviar el dolor cervical</t>
  </si>
  <si>
    <t>Cervicales saludables: Entrenamiento para aliviar la tensión en el cuello</t>
  </si>
  <si>
    <t>Cervicales saludables: Entrenamiento para liberar tensión de los pies a la cabeza</t>
  </si>
  <si>
    <t>Cervicales saludables: Rutina de ejercicios para liberar tensiones en la espalda</t>
  </si>
  <si>
    <t>Cómo conciliar el teletrabajo con la vida real en tiempos de crisis</t>
  </si>
  <si>
    <t>Competency title in Mandarin</t>
  </si>
  <si>
    <t>Mandarin Course ID</t>
  </si>
  <si>
    <t>Mandarin Course Title and hyperlink</t>
  </si>
  <si>
    <t>以结果为导向并当责</t>
  </si>
  <si>
    <t>以结果为导向的管理</t>
  </si>
  <si>
    <t>远程工作：团队合作与效率</t>
  </si>
  <si>
    <t>创建高绩效文化</t>
  </si>
  <si>
    <t>提升自我：度过艰难时期</t>
  </si>
  <si>
    <t>勇于当责</t>
  </si>
  <si>
    <t>培养团队合作</t>
  </si>
  <si>
    <t>压力管理</t>
  </si>
  <si>
    <t>成为管理者</t>
  </si>
  <si>
    <t>培养复原力</t>
  </si>
  <si>
    <t>培养智谋力</t>
  </si>
  <si>
    <t>培养高情商</t>
  </si>
  <si>
    <t>学习的敏锐度</t>
  </si>
  <si>
    <t>学会自信力</t>
  </si>
  <si>
    <t>定义并实现职业目标</t>
  </si>
  <si>
    <t>将问责制植入到文化中</t>
  </si>
  <si>
    <t>战胜拖延症</t>
  </si>
  <si>
    <t>打造高绩效团队</t>
  </si>
  <si>
    <t>提高专注力</t>
  </si>
  <si>
    <t>提高判断力</t>
  </si>
  <si>
    <t>时间管理基础知识</t>
  </si>
  <si>
    <t>有效的领导力</t>
  </si>
  <si>
    <t>经理人的时间管理</t>
  </si>
  <si>
    <t>结果导向式辅导</t>
  </si>
  <si>
    <t>自我领导</t>
  </si>
  <si>
    <t>让无力者有力：谈控制力</t>
  </si>
  <si>
    <t>设定团队与员工目标</t>
  </si>
  <si>
    <t>设计成长策略</t>
  </si>
  <si>
    <t>通往成功的习惯</t>
  </si>
  <si>
    <t>项目管理：解决常见项目问题</t>
  </si>
  <si>
    <t xml:space="preserve">以结果为导向并当责 </t>
  </si>
  <si>
    <t>领导高效的会议</t>
  </si>
  <si>
    <t>适应能力</t>
  </si>
  <si>
    <t>业务创新基础知识</t>
  </si>
  <si>
    <t>从失败中学习</t>
  </si>
  <si>
    <t>全球性企业的多元化与包容性</t>
  </si>
  <si>
    <t>掌握职场中的人际关系软技能</t>
  </si>
  <si>
    <t>压力下的表现力</t>
  </si>
  <si>
    <t>变革时期的领导力</t>
  </si>
  <si>
    <t>压力管理驱动正向改变</t>
  </si>
  <si>
    <t>变革时期的沟通策略</t>
  </si>
  <si>
    <t>变革管理基础知识</t>
  </si>
  <si>
    <t>向上管理</t>
  </si>
  <si>
    <t>培养成长型思维</t>
  </si>
  <si>
    <t>培养批判性思维与好奇心：学会提问</t>
  </si>
  <si>
    <t>引领变革</t>
  </si>
  <si>
    <t>打破常规</t>
  </si>
  <si>
    <t>打造企业创造力</t>
  </si>
  <si>
    <t>批判性思维</t>
  </si>
  <si>
    <t>拥抱意外变化</t>
  </si>
  <si>
    <t>提高复原力：经理篇</t>
  </si>
  <si>
    <t>敏捷式工作：提升敏捷回顾技能</t>
  </si>
  <si>
    <t>数字化转型</t>
  </si>
  <si>
    <t>激发团队创造力</t>
  </si>
  <si>
    <t>管理职场抑郁</t>
  </si>
  <si>
    <t>颠覆自我</t>
  </si>
  <si>
    <t>建立并管理高效团队</t>
  </si>
  <si>
    <t>2 分钟视频小贴士：高管篇</t>
  </si>
  <si>
    <t>成为领导者</t>
  </si>
  <si>
    <t>从个人贡献者转变为管理者</t>
  </si>
  <si>
    <t>发掘并留住人才</t>
  </si>
  <si>
    <t>企业文化</t>
  </si>
  <si>
    <t>优秀敏捷教练的特质</t>
  </si>
  <si>
    <t>发掘和留住高潜力人才</t>
  </si>
  <si>
    <t>同理心沟通</t>
  </si>
  <si>
    <t>向团队委派任务</t>
  </si>
  <si>
    <t>员工成长：打造良好环境</t>
  </si>
  <si>
    <t>员工敬业度</t>
  </si>
  <si>
    <t>团队合作基础知识</t>
  </si>
  <si>
    <t>团队意志力：坚持不懈达成目标</t>
  </si>
  <si>
    <t>团队沟通</t>
  </si>
  <si>
    <t>基于绩效式招聘</t>
  </si>
  <si>
    <t>安抚员工悲伤情绪：经理指南</t>
  </si>
  <si>
    <t>打造你的团队</t>
  </si>
  <si>
    <t>提升员工绩效</t>
  </si>
  <si>
    <t>敏捷式工作：引领高效的敏捷会议</t>
  </si>
  <si>
    <t>新员工入职培训</t>
  </si>
  <si>
    <t>管理会议</t>
  </si>
  <si>
    <t>管理员工绩效问题</t>
  </si>
  <si>
    <t>管理团队冲突</t>
  </si>
  <si>
    <t>管理多元化团队</t>
  </si>
  <si>
    <t>管理新任管理者</t>
  </si>
  <si>
    <t>管理虚拟团队</t>
  </si>
  <si>
    <t>管理高潜力人才</t>
  </si>
  <si>
    <t>管理高绩效员工</t>
  </si>
  <si>
    <t>评估团队绩效</t>
  </si>
  <si>
    <t>辅导和培养员工</t>
  </si>
  <si>
    <t>雇用和培养未来劳动力</t>
  </si>
  <si>
    <t>项目管理基础知识：团队</t>
  </si>
  <si>
    <t>领导团队和团队合作</t>
  </si>
  <si>
    <t>领导高效的一对一会议</t>
  </si>
  <si>
    <t>鼓励团队学习</t>
  </si>
  <si>
    <t>建立信任与协作</t>
  </si>
  <si>
    <t>为员工提供反馈</t>
  </si>
  <si>
    <t>人际沟通</t>
  </si>
  <si>
    <t>冲突解决基础知识</t>
  </si>
  <si>
    <t>包容性领导力</t>
  </si>
  <si>
    <t>Beginner + Intermediate</t>
  </si>
  <si>
    <t>反馈的给出与接收</t>
  </si>
  <si>
    <t>向上管理、向下管理与平行管理</t>
  </si>
  <si>
    <t>团队管理：升级创意与想法</t>
  </si>
  <si>
    <t>培养亲和力</t>
  </si>
  <si>
    <t>培养跨文化智商</t>
  </si>
  <si>
    <t>如何自信沟通</t>
  </si>
  <si>
    <t>建立信任</t>
  </si>
  <si>
    <t>成为思想领袖</t>
  </si>
  <si>
    <t>打造完美的第一印象</t>
  </si>
  <si>
    <t>提高倾听技能</t>
  </si>
  <si>
    <t>有效倾听</t>
  </si>
  <si>
    <t>职业社交网络</t>
  </si>
  <si>
    <t>项目管理基础知识：沟通</t>
  </si>
  <si>
    <t>高情商领导</t>
  </si>
  <si>
    <t>高效员工的效率法则</t>
  </si>
  <si>
    <t>沟通交流与影响他人</t>
  </si>
  <si>
    <t>与难缠者共事</t>
  </si>
  <si>
    <t>提高沟通技能</t>
  </si>
  <si>
    <t>从旁观者转变为发声者</t>
  </si>
  <si>
    <t>全球项目：共识缔造成功</t>
  </si>
  <si>
    <t>包容性沟通技巧</t>
  </si>
  <si>
    <t>商务英语：远程面试</t>
  </si>
  <si>
    <t>在工作中勇敢发声</t>
  </si>
  <si>
    <t>处理客户投诉</t>
  </si>
  <si>
    <t>女性领导气质</t>
  </si>
  <si>
    <t>建立自信</t>
  </si>
  <si>
    <t>影响他人</t>
  </si>
  <si>
    <t>成功销售的提问策略</t>
  </si>
  <si>
    <t>战略谈判</t>
  </si>
  <si>
    <t>数字肢体语言</t>
  </si>
  <si>
    <t>有礼有智沟通法</t>
  </si>
  <si>
    <t>有策略地推销自己的想法</t>
  </si>
  <si>
    <t>沟通基础知识</t>
  </si>
  <si>
    <t>用故事销售 2：优秀销售员都在讲的故事</t>
  </si>
  <si>
    <t>谈判基础知识</t>
  </si>
  <si>
    <t>谈判技能</t>
  </si>
  <si>
    <t>跨国团队的社交规则</t>
  </si>
  <si>
    <t>领导者的肢体语言</t>
  </si>
  <si>
    <t>管理并解决冲突</t>
  </si>
  <si>
    <t>提高问题解决技能</t>
  </si>
  <si>
    <t>学会拒绝</t>
  </si>
  <si>
    <t>开展高难度对话</t>
  </si>
  <si>
    <t>批判性思维：提高判断与决策力</t>
  </si>
  <si>
    <t>问题解决策略</t>
  </si>
  <si>
    <t>内容营销、网络营销和营销策略</t>
  </si>
  <si>
    <t>发展竞争策略</t>
  </si>
  <si>
    <t>数字营销基础知识</t>
  </si>
  <si>
    <t>网络营销基础知识</t>
  </si>
  <si>
    <t>创造性思维与创新</t>
  </si>
  <si>
    <t>创意五步法</t>
  </si>
  <si>
    <t>创新型领导力</t>
  </si>
  <si>
    <t>放下内在批评：释放创造力</t>
  </si>
  <si>
    <t>领导者的冒险精神</t>
  </si>
  <si>
    <t>批判性思维、决策和解决问题</t>
  </si>
  <si>
    <t>决策策略</t>
  </si>
  <si>
    <t>如何让你的想法得到认可</t>
  </si>
  <si>
    <t>战略思维</t>
  </si>
  <si>
    <t>无意识偏见</t>
  </si>
  <si>
    <t>流程改进基础知识</t>
  </si>
  <si>
    <t>聪明思维：应对复杂问题</t>
  </si>
  <si>
    <t>解决方案销售</t>
  </si>
  <si>
    <t>高层决策的制定</t>
  </si>
  <si>
    <t>关注客户</t>
  </si>
  <si>
    <t>创新的客服技巧</t>
  </si>
  <si>
    <t>成为客户服务专员</t>
  </si>
  <si>
    <t>向客户传达艰难通知</t>
  </si>
  <si>
    <t>客户服务基础知识</t>
  </si>
  <si>
    <t>客户服务领导力</t>
  </si>
  <si>
    <t>客服技巧系列：问题解决与分析</t>
  </si>
  <si>
    <t>打造客户忠诚度</t>
  </si>
  <si>
    <t>电话式客户服务</t>
  </si>
  <si>
    <t>管理客户服务团队</t>
  </si>
  <si>
    <t>管理客户期望：员工版</t>
  </si>
  <si>
    <t>管理客户期望：经理版</t>
  </si>
  <si>
    <t>数据分析</t>
  </si>
  <si>
    <t>AI 时代的大数据</t>
  </si>
  <si>
    <t>成为数据科学家</t>
  </si>
  <si>
    <t>Excel 2016: 数据管理与分析</t>
  </si>
  <si>
    <t>Excel 2019: 数据管理与分析</t>
  </si>
  <si>
    <t>Power BI DAX 数据建模</t>
  </si>
  <si>
    <t>Python 基础培训：数据科学篇</t>
  </si>
  <si>
    <t>人工智能基础知识系列：神经网络</t>
  </si>
  <si>
    <t>大数据基础知识：技巧与概念</t>
  </si>
  <si>
    <t>学习 SQL</t>
  </si>
  <si>
    <t>学习云计算：核心概念</t>
  </si>
  <si>
    <t>学习微软 Power BI Desktop</t>
  </si>
  <si>
    <t>学习数据分析</t>
  </si>
  <si>
    <t>学习数据治理</t>
  </si>
  <si>
    <t>学习数据科学：基础知识理解</t>
  </si>
  <si>
    <t>学习数据科学：用数据说话</t>
  </si>
  <si>
    <t>数据可视化：讲故事技巧</t>
  </si>
  <si>
    <t>数据科学基础知识：数据挖掘</t>
  </si>
  <si>
    <t>统计学基础知识 1</t>
  </si>
  <si>
    <t>统计学基础知识 2</t>
  </si>
  <si>
    <t>统计学基础知识 3</t>
  </si>
  <si>
    <t>编程基础系列之：算法</t>
  </si>
  <si>
    <t>面向项目经理的人工智能</t>
  </si>
  <si>
    <t>金融和财务知识</t>
  </si>
  <si>
    <t>企业财务报表分析</t>
  </si>
  <si>
    <t>会计基础知识</t>
  </si>
  <si>
    <t>敏捷基础知识</t>
  </si>
  <si>
    <t>评估企业绩效</t>
  </si>
  <si>
    <t>金融基础知识</t>
  </si>
  <si>
    <t>非财务管理者的财务学</t>
  </si>
  <si>
    <t>人力资源及管理</t>
  </si>
  <si>
    <t>人力资源：远程面试</t>
  </si>
  <si>
    <t>员工招聘：经理篇</t>
  </si>
  <si>
    <t>培养跨文化竞争力和包容性</t>
  </si>
  <si>
    <t>答疑解惑：项目经理的职业规划</t>
  </si>
  <si>
    <t>管理企业多元化</t>
  </si>
  <si>
    <t>面试技巧：雇主篇</t>
  </si>
  <si>
    <t>领导者与管理者的教练技能</t>
  </si>
  <si>
    <t>变革时期的项目管理</t>
  </si>
  <si>
    <t>女性推动技术变革：消除偏见</t>
  </si>
  <si>
    <t>战略灵活性</t>
  </si>
  <si>
    <t>项目管理基础知识：变更</t>
  </si>
  <si>
    <t>有效领导和变革型领导</t>
  </si>
  <si>
    <t>主导远程会议</t>
  </si>
  <si>
    <t>从管理者转变为领导者</t>
  </si>
  <si>
    <t>变革型领导力</t>
  </si>
  <si>
    <t>合作型领导力</t>
  </si>
  <si>
    <t>培养领导气质</t>
  </si>
  <si>
    <t>女性的领导力策略</t>
  </si>
  <si>
    <t>如何平衡领导者的多重角色</t>
  </si>
  <si>
    <t>学习领导力：社交媒体篇</t>
  </si>
  <si>
    <t>形成你的领导理念</t>
  </si>
  <si>
    <t>杰夫·韦纳谈“慈悲领导力”</t>
  </si>
  <si>
    <t>正式职权之外的领导力</t>
  </si>
  <si>
    <t>用故事领导</t>
  </si>
  <si>
    <t>绩效管理：进行绩效评估</t>
  </si>
  <si>
    <t>视频会议中的领导气质</t>
  </si>
  <si>
    <t>项目管理基础知识：领导项目</t>
  </si>
  <si>
    <t>领导力基础知识</t>
  </si>
  <si>
    <t>领导力盲点</t>
  </si>
  <si>
    <t>高管领导力</t>
  </si>
  <si>
    <t>有效管理他人</t>
  </si>
  <si>
    <t>成为项目经理</t>
  </si>
  <si>
    <t>供应链基础知识</t>
  </si>
  <si>
    <t>敏捷式工作：打造敏捷团队</t>
  </si>
  <si>
    <t>新管理者基础知识</t>
  </si>
  <si>
    <t>简明项目管理</t>
  </si>
  <si>
    <t>管理基础知识</t>
  </si>
  <si>
    <t>管理资深管理者</t>
  </si>
  <si>
    <t>职场合同工和临时工：员工篇</t>
  </si>
  <si>
    <t>高效运营和流程改进</t>
  </si>
  <si>
    <t>DevOps 基础知识</t>
  </si>
  <si>
    <t>企业并购基础知识</t>
  </si>
  <si>
    <t>成为六西格玛黑带</t>
  </si>
  <si>
    <t>企业敏捷：成长型 Scrum</t>
  </si>
  <si>
    <t>供应链基础：通识篇</t>
  </si>
  <si>
    <t>六西格玛基础知识</t>
  </si>
  <si>
    <t>六西格玛绿带</t>
  </si>
  <si>
    <t>六西格玛黑带</t>
  </si>
  <si>
    <t>卓越运营：成为群策群力计划与持续改善引导者</t>
  </si>
  <si>
    <t>卓越运营基础知识</t>
  </si>
  <si>
    <t>敏捷式工作：利用敏捷图表与看板展示项目</t>
  </si>
  <si>
    <t>敏捷式工作：通过敏捷的用户故事进行规划</t>
  </si>
  <si>
    <t>生产力技巧：找到自己的高效思维</t>
  </si>
  <si>
    <t>用微软 Project 进行敏捷项目管理</t>
  </si>
  <si>
    <t>精益六西格玛基础知识</t>
  </si>
  <si>
    <t>职业技能：供应链和运营</t>
  </si>
  <si>
    <t>运营管理基础知识</t>
  </si>
  <si>
    <t>演讲技能</t>
  </si>
  <si>
    <t>PowerPoint 2013 基础培训</t>
  </si>
  <si>
    <t>PowerPoint 2013 实用技巧</t>
  </si>
  <si>
    <t>PowerPoint 2016 基础培训</t>
  </si>
  <si>
    <t>PowerPoint 2016 实用技巧</t>
  </si>
  <si>
    <t>PowerPoint 2019: 基础培训</t>
  </si>
  <si>
    <t>PowerPoint 基础培训（Microsoft 365/Office 365）</t>
  </si>
  <si>
    <t>公开演讲基础知识</t>
  </si>
  <si>
    <t>商务英语：线上会议</t>
  </si>
  <si>
    <t>如何紧扣主题进行演讲</t>
  </si>
  <si>
    <t>演讲基础知识</t>
  </si>
  <si>
    <t>项目管理</t>
  </si>
  <si>
    <t>Scrum 敏捷项目管理：基础篇</t>
  </si>
  <si>
    <t>Scrum 敏捷项目管理：高级篇</t>
  </si>
  <si>
    <t>从瀑布式过渡至敏捷式项目管理</t>
  </si>
  <si>
    <t>敏捷项目管理基础知识</t>
  </si>
  <si>
    <t>管理国际化项目</t>
  </si>
  <si>
    <t>项目管理基础知识</t>
  </si>
  <si>
    <t>项目管理基础知识：利益相关者</t>
  </si>
  <si>
    <t>项目管理基础知识：小型项目</t>
  </si>
  <si>
    <t>项目管理基础知识：整合</t>
  </si>
  <si>
    <t>项目管理基础知识：日程安排</t>
  </si>
  <si>
    <t>项目管理基础知识：职业道德</t>
  </si>
  <si>
    <t>项目管理基础知识：质量</t>
  </si>
  <si>
    <t>项目管理基础知识：防止范围蔓延</t>
  </si>
  <si>
    <t>项目管理基础知识：预算</t>
  </si>
  <si>
    <t>项目管理基础知识：风险</t>
  </si>
  <si>
    <t>销售知识及技巧</t>
  </si>
  <si>
    <t>大客户管理</t>
  </si>
  <si>
    <t>成为销售专员</t>
  </si>
  <si>
    <t>用故事销售 1：什么是好的销售故事？</t>
  </si>
  <si>
    <t>说服性销售</t>
  </si>
  <si>
    <t>销售专家的软技能</t>
  </si>
  <si>
    <t>销售基础知识</t>
  </si>
  <si>
    <t>销售学：寻找潜在客户</t>
  </si>
  <si>
    <t>销售学：成交策略</t>
  </si>
  <si>
    <t>销售的科学</t>
  </si>
  <si>
    <t>销售辅导</t>
  </si>
  <si>
    <t>销售预测</t>
  </si>
  <si>
    <t>战略规划和战略思维</t>
  </si>
  <si>
    <t>培养你的商业头脑</t>
  </si>
  <si>
    <t>培养学习型思维</t>
  </si>
  <si>
    <t>战略规划基础知识</t>
  </si>
  <si>
    <t>打造学习型文化</t>
  </si>
  <si>
    <t>人才发展</t>
  </si>
  <si>
    <t>成为优秀导师</t>
  </si>
  <si>
    <t>探索自己的力量</t>
  </si>
  <si>
    <t>提升职业形象</t>
  </si>
  <si>
    <t>人才管理</t>
  </si>
  <si>
    <t>多元化、包容性和归属感</t>
  </si>
  <si>
    <t>DIB: 多元化、包容性与归属感</t>
  </si>
  <si>
    <t>多元化、包容性和归属感（DIB）</t>
  </si>
  <si>
    <t>领导包容型团队</t>
  </si>
  <si>
    <t>写作技能</t>
  </si>
  <si>
    <t>商务英语：电子邮件</t>
  </si>
  <si>
    <t>自我保健、健康、正念</t>
  </si>
  <si>
    <t>保持积极的工作态度</t>
  </si>
  <si>
    <t>正念：活在当下的艺术</t>
  </si>
  <si>
    <t>Competency title in Japan</t>
  </si>
  <si>
    <t>Japan Course ID</t>
  </si>
  <si>
    <t>Japan Course Title and hyperlink</t>
  </si>
  <si>
    <t>アカウンタビリティと結果指向</t>
  </si>
  <si>
    <t>SMARTの法則でチームと部下の目標を定めるには</t>
  </si>
  <si>
    <t>困難な時期に自身を高めて問題を乗り切るには</t>
  </si>
  <si>
    <t>アカウンタビリティを企業文化として根付かせるには</t>
  </si>
  <si>
    <t>タイムマネジメントの基礎</t>
  </si>
  <si>
    <t>困難から立ち直るには</t>
  </si>
  <si>
    <t>課題解決力を高めるには</t>
  </si>
  <si>
    <t>テレワークをチームで効率よく行うには</t>
  </si>
  <si>
    <t>集中力を保つには</t>
  </si>
  <si>
    <t>適応能力</t>
  </si>
  <si>
    <t>クリティカルシンキング</t>
  </si>
  <si>
    <t>ビジネスにおけるイノベーションの理論と実践</t>
  </si>
  <si>
    <t>マインドフルネス入門</t>
  </si>
  <si>
    <t>予期せぬ変化を受け入れるには</t>
  </si>
  <si>
    <t>変化のときのコミュニケーション術</t>
  </si>
  <si>
    <t>燃え尽き症候群を防ぐには</t>
  </si>
  <si>
    <t>有能なチームの構築とマネジメント</t>
  </si>
  <si>
    <t>1on1ミーティングを実施する</t>
  </si>
  <si>
    <t>Microsoft Planner 基本講座</t>
  </si>
  <si>
    <t>Microsoft Teams：ビデオ会議とライブイベント</t>
  </si>
  <si>
    <t>さまざまな世代の社員をマネジメントするには</t>
  </si>
  <si>
    <t>チームワークの基礎</t>
  </si>
  <si>
    <t>チームを率いてまとめるには</t>
  </si>
  <si>
    <t>バーチャルチームのマネジメント</t>
  </si>
  <si>
    <t>パフォーマンスの高いチームを築くには</t>
  </si>
  <si>
    <t>ビジネス英語の基礎：会議を行う</t>
  </si>
  <si>
    <t>実力がある人材のマネジメント</t>
  </si>
  <si>
    <t>将来有望な人材をマネジメントするには</t>
  </si>
  <si>
    <t>有意義なミーティングを行うには</t>
  </si>
  <si>
    <t>海外事業で成果を上げるマネジメント術</t>
  </si>
  <si>
    <t>生産的なミーティングをするコツ</t>
  </si>
  <si>
    <t>部下をコーチングで育てるには</t>
  </si>
  <si>
    <t>信頼構築と共同作業</t>
  </si>
  <si>
    <t>こころの知能指数（EQ）の高め方</t>
  </si>
  <si>
    <t>チームの協力関係を育む</t>
  </si>
  <si>
    <t>よきメンターになるには</t>
  </si>
  <si>
    <t>上司と良い関係を築くには</t>
  </si>
  <si>
    <t>人脈の広げ方</t>
  </si>
  <si>
    <t>優れた聴き手になるには</t>
  </si>
  <si>
    <t>聞く力：聞き上手になるための10ステップ</t>
  </si>
  <si>
    <t>良い信頼関係を築くには</t>
  </si>
  <si>
    <t>良好な人間関係を築くコミュニケーション</t>
  </si>
  <si>
    <t>親しみやすい印象を与えるには</t>
  </si>
  <si>
    <t>コミュニケーションと対人的影響</t>
  </si>
  <si>
    <t>ジョハリの窓とは</t>
  </si>
  <si>
    <t>スマートに断るには</t>
  </si>
  <si>
    <t>はっきりと自己を主張するには</t>
  </si>
  <si>
    <t>ビジネスマナーの基礎：会話</t>
  </si>
  <si>
    <t>ビジネスマナーの基礎：基本</t>
  </si>
  <si>
    <t>人を動かすには</t>
  </si>
  <si>
    <t>戦略的な交渉術</t>
  </si>
  <si>
    <t>異文化理解能力を高めるには</t>
  </si>
  <si>
    <t>聞き上手になるには</t>
  </si>
  <si>
    <t>自信をもって話すには</t>
  </si>
  <si>
    <t>コンフリクトマネジメントと解決方法</t>
  </si>
  <si>
    <t>ジェフ・ウェイナー 思いやりのマネジメント</t>
  </si>
  <si>
    <t>対立を解決するには</t>
  </si>
  <si>
    <t>コンテンツマーケティング、デジタルマーケティング、マーケティング戦略</t>
  </si>
  <si>
    <t>Facebook広告入門</t>
  </si>
  <si>
    <t>ソーシャルメディア マーケターになる</t>
  </si>
  <si>
    <t>Google AdSense 基本講座</t>
  </si>
  <si>
    <t>Google Search Console 基本講座</t>
  </si>
  <si>
    <t>Google アナリティクス 基本講座</t>
  </si>
  <si>
    <t>Google アナリティクス 応用講座</t>
  </si>
  <si>
    <t>Google 広告入門</t>
  </si>
  <si>
    <t>LINE 広告入門</t>
  </si>
  <si>
    <t>LinkedIn スポンサード InMail 入門</t>
  </si>
  <si>
    <t>SEOツールの基礎</t>
  </si>
  <si>
    <t>SEOの基礎</t>
  </si>
  <si>
    <t>オンラインマーケティングの基礎</t>
  </si>
  <si>
    <t>ソーシャルメディアマーケティングの基礎</t>
  </si>
  <si>
    <t>ソーシャルメディア連携ツール活用法</t>
  </si>
  <si>
    <t>ビジネスのためのInstagram</t>
  </si>
  <si>
    <t>ビジネスのためのTwitter</t>
  </si>
  <si>
    <t>メールマーケティングの基礎</t>
  </si>
  <si>
    <t>中小企業のためのソーシャルメディアマーケティング</t>
  </si>
  <si>
    <t>企業PRのためのFacebook 活用講座</t>
  </si>
  <si>
    <t>企業PRのためのYouTube 活用講座</t>
  </si>
  <si>
    <t>売上UPにつながるSEO講座</t>
  </si>
  <si>
    <t>競争戦略を立てるには</t>
  </si>
  <si>
    <t>創造的思考とイノベーション</t>
  </si>
  <si>
    <t>アーティスト思考をビジネスで活用する</t>
  </si>
  <si>
    <t>クリエイティブな組織を作るには</t>
  </si>
  <si>
    <t>クリエイティブになるための５つのステップ</t>
  </si>
  <si>
    <t>ビジネスに役立つアーティスト思考の概念を理解する</t>
  </si>
  <si>
    <t>ビジネスに役立つアーティスト思考を簡単なワークショップで養う</t>
  </si>
  <si>
    <t>クリティカルシンキング、意思決定と問題解決</t>
  </si>
  <si>
    <t>スマートシンキング：複雑な問題に対処するには</t>
  </si>
  <si>
    <t>判断力の高め方</t>
  </si>
  <si>
    <t>戦略的思考術</t>
  </si>
  <si>
    <t>批判的思考と好奇心を育む質問の使い方</t>
  </si>
  <si>
    <t>経営幹部として意思決定を行うには</t>
  </si>
  <si>
    <t>適切な意思決定をするには</t>
  </si>
  <si>
    <t>顧客重視</t>
  </si>
  <si>
    <t>ビジネスマナーの基礎：接客</t>
  </si>
  <si>
    <t>満足度を高める顧客サービステクニック</t>
  </si>
  <si>
    <t>顧客サービスの基礎</t>
  </si>
  <si>
    <t>顧客に悪い知らせを伝えるには</t>
  </si>
  <si>
    <t>顧客の期待に現場で応えるには</t>
  </si>
  <si>
    <t>顧客ロイヤリティを高めるには</t>
  </si>
  <si>
    <t>データ分析</t>
  </si>
  <si>
    <t>Excel 2016：データ分析</t>
  </si>
  <si>
    <t>Excel 2021 基本講座（Office 2021/LTSC）</t>
  </si>
  <si>
    <t>Excel：データ分析（365/2019）</t>
  </si>
  <si>
    <t>Power BI 実践講座</t>
  </si>
  <si>
    <t>Python：データ構造</t>
  </si>
  <si>
    <t>データサイエンス入門：データをもとに語る</t>
  </si>
  <si>
    <t>データサイエンス入門：基本を理解する</t>
  </si>
  <si>
    <t>データ分析入門</t>
  </si>
  <si>
    <t>ビッグデータの基礎：手法と概念</t>
  </si>
  <si>
    <t>財務会計の知識</t>
  </si>
  <si>
    <t>ビジネスセンスの磨き方</t>
  </si>
  <si>
    <t>企業の財務諸表分析</t>
  </si>
  <si>
    <t>会計の基礎</t>
  </si>
  <si>
    <t>財務の基礎</t>
  </si>
  <si>
    <t>財務部でない人のためのファイナンス</t>
  </si>
  <si>
    <t>人事・労務管理</t>
  </si>
  <si>
    <t>インクルーシブにチームを率いるには</t>
  </si>
  <si>
    <t>これからの人材採用と育成</t>
  </si>
  <si>
    <t>ダイバーシティに配慮した採用戦略</t>
  </si>
  <si>
    <t>マネージャーとして新入社員研修を成功させるには</t>
  </si>
  <si>
    <t>優秀な人材を確保するには</t>
  </si>
  <si>
    <t>異文化理解能力とインクルージョンを育むには</t>
  </si>
  <si>
    <t>職場でのハラスメントを防ぐには</t>
  </si>
  <si>
    <t>職場で声をあげるには：傍観者から一歩踏み出すために</t>
  </si>
  <si>
    <t>チェンジリーダーシップ</t>
  </si>
  <si>
    <t>すぐに変われる組織になるには</t>
  </si>
  <si>
    <t>チェンジマネジメントの基礎</t>
  </si>
  <si>
    <t>リスクを恐れないリーダーになるには</t>
  </si>
  <si>
    <t>変化を活かす企業文化を育むには</t>
  </si>
  <si>
    <t>社内改革をスムーズに進めるには</t>
  </si>
  <si>
    <t>職場での人種差別に取り組むには</t>
  </si>
  <si>
    <t>効果的な部下の指導と変革型リーダーシップ</t>
  </si>
  <si>
    <t>インクルーシブ・リーダーシップ</t>
  </si>
  <si>
    <t>エグゼクティブとしての振る舞い方を身につけるには</t>
  </si>
  <si>
    <t>サーバントリーダーシップとは</t>
  </si>
  <si>
    <t>ストーリーテリングで導くには</t>
  </si>
  <si>
    <t>マネージャーからリーダーに成長するには</t>
  </si>
  <si>
    <t>リーダーシップの基礎</t>
  </si>
  <si>
    <t>リーダーのための創造性を高めるテクニック</t>
  </si>
  <si>
    <t>協力的なリーダーになるには</t>
  </si>
  <si>
    <t>女性のためのリーダーシップ戦略</t>
  </si>
  <si>
    <t>持続可能な地球環境のためにリーダーとして取り組むには</t>
  </si>
  <si>
    <t>新任マネージャーの心得</t>
  </si>
  <si>
    <t>新任マネージャーをスムーズに着任させるには</t>
  </si>
  <si>
    <t>権力と影響力とは</t>
  </si>
  <si>
    <t>自身のリーダーシップ哲学を持つには</t>
  </si>
  <si>
    <t>効果的な部下のマネジメント</t>
  </si>
  <si>
    <t>キーアカウントマネジメントとは</t>
  </si>
  <si>
    <t>チームに仕事を任せるには</t>
  </si>
  <si>
    <t>チームの業績を上げるには</t>
  </si>
  <si>
    <t>パフォーマンス・マネジメント：パフォーマンスレビューの実施</t>
  </si>
  <si>
    <t>マネジメントの基礎</t>
  </si>
  <si>
    <t>一般社員から管理職に成長するには</t>
  </si>
  <si>
    <t>効果的なフィードバックの与え方と受け取り方</t>
  </si>
  <si>
    <t>業績評価を行うには</t>
  </si>
  <si>
    <t>適切なフィードバックの伝え方</t>
  </si>
  <si>
    <t>部下の業績を高めるには</t>
  </si>
  <si>
    <t>部下の業績課題に対処するには</t>
  </si>
  <si>
    <t>オペレーショナル・エクセレンスと業務改善プロセス</t>
  </si>
  <si>
    <t>オペレーションマネジメントの基礎</t>
  </si>
  <si>
    <t>サプライチェーンの基礎</t>
  </si>
  <si>
    <t>シックスシグマ：グリーンベルト</t>
  </si>
  <si>
    <t>シックスシグマの基礎</t>
  </si>
  <si>
    <t>業務プロセスを改善するには</t>
  </si>
  <si>
    <t>プレゼンテーションスキル</t>
  </si>
  <si>
    <t>PowerPoint 2016 ワンランク上の使い方</t>
  </si>
  <si>
    <t>PowerPoint 2016 入門</t>
  </si>
  <si>
    <t>PowerPoint 2016 基本講座：基本操作</t>
  </si>
  <si>
    <t>PowerPoint 2019 基本講座: 基本操作</t>
  </si>
  <si>
    <t>PowerPoint スライドデザインを極める</t>
  </si>
  <si>
    <t>PowerPoint 基本講座：基本操作（Office 365/Microsoft 365）</t>
  </si>
  <si>
    <t>スピーチの基礎</t>
  </si>
  <si>
    <t>ビジネス英語の基礎：プレゼンテーションをする</t>
  </si>
  <si>
    <t>要点を押さえたプレゼンテーションを行う</t>
  </si>
  <si>
    <t>説得力のあるビジネスプレゼンテーションを行うには</t>
  </si>
  <si>
    <t>通る企画書の作り方</t>
  </si>
  <si>
    <t>プロジェクトマネジメント</t>
  </si>
  <si>
    <t>Microsoft Project 2013 基本講座</t>
  </si>
  <si>
    <t>Microsoft Project 2016 基本講座</t>
  </si>
  <si>
    <t>Microsoft Project 2021/Project Online デスクトップクライアント 基本講座</t>
  </si>
  <si>
    <t>Microsoft Project 入門</t>
  </si>
  <si>
    <t>Microsoft Projectでアジャイルプロジェクトを管理する</t>
  </si>
  <si>
    <t>Microsoft Projectでクライアントレポートを活用する</t>
  </si>
  <si>
    <t>Microsoft Projectで進捗を管理する</t>
  </si>
  <si>
    <t>アジャイルプロジェクトマネジメントの基礎</t>
  </si>
  <si>
    <t>ビジネスアナリシスの基礎</t>
  </si>
  <si>
    <t>プロジェクトのためのチェンジマネジメント</t>
  </si>
  <si>
    <t>プロジェクトマネジメントの基礎</t>
  </si>
  <si>
    <t>プロジェクトマネジメントの基礎：コミュニケーション</t>
  </si>
  <si>
    <t>プロジェクトマネジメントの基礎：スケジュール管理</t>
  </si>
  <si>
    <t>プロジェクトマネジメントの基礎：スコープクリープを防ぐには</t>
  </si>
  <si>
    <t>プロジェクトマネジメントの基礎：ステークホルダー</t>
  </si>
  <si>
    <t>プロジェクトマネジメントの基礎：チーム</t>
  </si>
  <si>
    <t>プロジェクトマネジメントの基礎：リスク管理</t>
  </si>
  <si>
    <t>プロジェクトマネジメントの基礎：予算管理</t>
  </si>
  <si>
    <t>プロジェクトマネジメントの基礎：小規模プロジェクト</t>
  </si>
  <si>
    <t>プロジェクトマネジメントの基礎：統合管理</t>
  </si>
  <si>
    <t>プロジェクトを成功に導くには</t>
  </si>
  <si>
    <t>セールスの知識とスキル</t>
  </si>
  <si>
    <t>ソリューション営業の極意</t>
  </si>
  <si>
    <t>営業で的確な質問をするには</t>
  </si>
  <si>
    <t>営業の基礎</t>
  </si>
  <si>
    <t>営業職のためのストーリーテリング１：魅力的なセールストークとは</t>
  </si>
  <si>
    <t>営業職のためのストーリーテリング２：優秀なセールスが語るストーリーとは</t>
  </si>
  <si>
    <t>潜在顧客を獲得するには</t>
  </si>
  <si>
    <t>戦略的な計画立案</t>
  </si>
  <si>
    <t>デジタルトランスフォーメーション</t>
  </si>
  <si>
    <t>戦略的に計画を立てるには</t>
  </si>
  <si>
    <t>人材開発</t>
  </si>
  <si>
    <t>キャリア変革を導く法則</t>
  </si>
  <si>
    <t>これからのパフォーマンスマネジメントとは</t>
  </si>
  <si>
    <t>ジェフ・ウェイナー 会社を成長させながら企業文化を育てるには</t>
  </si>
  <si>
    <t>ストレスに対処するには</t>
  </si>
  <si>
    <t>人材管理</t>
  </si>
  <si>
    <t>先延ばし癖を克服するには</t>
  </si>
  <si>
    <t>成長志向のマインドセットを育むには</t>
  </si>
  <si>
    <t>ダイバーシティー、インクルージョン、所属意識の推進</t>
  </si>
  <si>
    <t>LGBTも働きやすい職場環境を作るには</t>
  </si>
  <si>
    <t>グローバル企業におけるダイバーシティとインクルージョン</t>
  </si>
  <si>
    <t>ダイバーシティ 、インクルージョン、ビロンギング</t>
  </si>
  <si>
    <t>ダイバーシティ、インクルージョン、ビロンギングの戦略を立てるには</t>
  </si>
  <si>
    <t>ビジネスにおける異文化コミュニケーション</t>
  </si>
  <si>
    <t>偏見に立ち向かう：違いを乗り越えて成功するには</t>
  </si>
  <si>
    <t>女性が職場で活躍するための成功戦略</t>
  </si>
  <si>
    <t>文化的にセンシティブな問題について話すには</t>
  </si>
  <si>
    <t>職場でセンシティブなトピックについて話すには</t>
  </si>
  <si>
    <t>文章作成スキルと文章力の向上</t>
  </si>
  <si>
    <t>ビジネスマナーの基礎：ツールとドキュメント</t>
  </si>
  <si>
    <t>ビジネス英語の基礎：メールを作成する</t>
  </si>
  <si>
    <t>セルフケア、幸福、マインドフルネス</t>
  </si>
  <si>
    <t>ストレスとうまく付き合う</t>
  </si>
  <si>
    <t>自分に自信をもつには</t>
  </si>
  <si>
    <t>Competency in English</t>
  </si>
  <si>
    <t>Competency title in Portuguese</t>
  </si>
  <si>
    <t>Portuguese Course ID</t>
  </si>
  <si>
    <t>Portuguese Course Title and hyperlink</t>
  </si>
  <si>
    <t>Autorresponsabilidade e orientação para resultados</t>
  </si>
  <si>
    <t>Agilidade Empresarial: Como Expandir o Scrum</t>
  </si>
  <si>
    <t>Como Desenvolver uma Mentalidade de Crescimento</t>
  </si>
  <si>
    <t>Como Colaborar de Forma Eficaz com sua Equipe</t>
  </si>
  <si>
    <t>Como melhorar a Gestão do Tempo e aumentar a Produtividade</t>
  </si>
  <si>
    <t>Como Conduzir Reuniões Produtivas</t>
  </si>
  <si>
    <t>Trabalho Remoto: Colaboração, Foco e Produtividade</t>
  </si>
  <si>
    <t>Como Criar Equipes de Alto Desempenho</t>
  </si>
  <si>
    <t>Como superar os desafios e se reinventar em tempos difíceis</t>
  </si>
  <si>
    <t>Como Criar Estratégias de Crescimento</t>
  </si>
  <si>
    <t>Como Desenvolver a Colaboração entre a Equipe</t>
  </si>
  <si>
    <t>Como Criar uma Cultura de Alto Desempenho</t>
  </si>
  <si>
    <t>Domine as Competências Pessoais mais requisitadas no Mercado de Trabalho</t>
  </si>
  <si>
    <t>Como Criar uma Cultura de Autorresponsabilidade</t>
  </si>
  <si>
    <t>Como Cultivar uma Mentalidade de Crescimento</t>
  </si>
  <si>
    <t>Como Definir Metas para Equipes e Colaboradores</t>
  </si>
  <si>
    <t>Como Desenvolver a Autoconsciência</t>
  </si>
  <si>
    <t>Como Desenvolver a Resiliência</t>
  </si>
  <si>
    <t>Como Desenvolver sua Autorresponsabilidade no Trabalho</t>
  </si>
  <si>
    <t>Como Desenvolver sua Imagem Profissional</t>
  </si>
  <si>
    <t>Como Desenvolver sua Inteligência Emocional</t>
  </si>
  <si>
    <t>Como Desenvolver uma Mentalidade de Aprendizagem</t>
  </si>
  <si>
    <t>Como Engajar os Colaboradores</t>
  </si>
  <si>
    <t>Como Estabelecer e Atingir Metas Profissionais</t>
  </si>
  <si>
    <t>Como Gerenciar uma Equipe Diversificada</t>
  </si>
  <si>
    <t>Como Identificar seus Pontos Fortes</t>
  </si>
  <si>
    <t>Como Lidar com a Depressão no Trabalho</t>
  </si>
  <si>
    <t>Como Lidar com o Estresse no Trabalho</t>
  </si>
  <si>
    <t>Como Liderar de Forma Eficaz</t>
  </si>
  <si>
    <t>Como Manter uma Atitude Positiva no Trabalho</t>
  </si>
  <si>
    <t>Como Melhorar o Foco</t>
  </si>
  <si>
    <t>Como Melhorar seu Discernimento</t>
  </si>
  <si>
    <t>Como Ser uma Pessoa Assertiva</t>
  </si>
  <si>
    <t>Como Vencer a Procrastinação</t>
  </si>
  <si>
    <t>Cultura Organizacional: Conceito, Tipos e Como Definir a Sua</t>
  </si>
  <si>
    <t>Da Vitimização à Ação: Como Assumir o Controle</t>
  </si>
  <si>
    <t>Desenvolvimento da Inventividade</t>
  </si>
  <si>
    <t>Desenvolvimento de Software Remoto: Como Aumentar sua Produtividade</t>
  </si>
  <si>
    <t>Fundamentos de Gestão de Tempo</t>
  </si>
  <si>
    <t>Gestão Ágil no Trabalho: Como Criar Equipes Ágeis</t>
  </si>
  <si>
    <t>Gestão Ágil no Trabalho: Como Tornar as Reuniões Ágeis mais Produtivas</t>
  </si>
  <si>
    <t>Gestão Ágil no Trabalho: Relatórios com Gráficos e Quadros Ágeis</t>
  </si>
  <si>
    <t>Gestão por Resultados</t>
  </si>
  <si>
    <t>Hábitos de Sucesso</t>
  </si>
  <si>
    <t>O Poder das Perguntas para Estimular o Pensamento Crítico e a Curiosidade</t>
  </si>
  <si>
    <t>Técnicas de Gestão de Tempo para Gerentes</t>
  </si>
  <si>
    <t>Técnicas para Lidar com o Trabalho sob Pressão</t>
  </si>
  <si>
    <t>Truques para mudar ou criar novos hábitos</t>
  </si>
  <si>
    <t>Capacidade de adaptação</t>
  </si>
  <si>
    <t>Como Aprender com o Fracasso</t>
  </si>
  <si>
    <t>Como Comunicar Mudanças em uma Organização em Transformação</t>
  </si>
  <si>
    <t>Como Implementar a Gestão de Mudanças?trk=ondemandfile</t>
  </si>
  <si>
    <t>Como Conciliar o Trabalho Remoto com a Vida Familiar em Tempos de Crise</t>
  </si>
  <si>
    <t>Como Criar uma Cultura de Mudança</t>
  </si>
  <si>
    <t>Como Desenvolver sua Estratégia Digital</t>
  </si>
  <si>
    <t>Como Gerenciar o Estresse para Promover Mudanças Positivas</t>
  </si>
  <si>
    <t>Como Lidar com Mudanças Inesperadas</t>
  </si>
  <si>
    <t>Como Planejar a Comunicação em Tempos de Mudança</t>
  </si>
  <si>
    <t>Como Superar o Luto e Gerenciar o Impacto da Perda e da Mudança no Trabalho</t>
  </si>
  <si>
    <t>Diversidade e Inclusão em uma Empresa Global</t>
  </si>
  <si>
    <t>Fundamentos da Transformação Digital</t>
  </si>
  <si>
    <t>Fundamentos de Gestão Ágil</t>
  </si>
  <si>
    <t>Fundamentos de Inovação Empresarial</t>
  </si>
  <si>
    <t>Gestão Ágil no Trabalho: Como Planejar com Histórias de Usuários Ágeis</t>
  </si>
  <si>
    <t>Gestão Ágil no Trabalho: Retrospectivas Ágeis para a Melhoria de Processos</t>
  </si>
  <si>
    <t>Gestão da Comunicação em Tempos de Crise</t>
  </si>
  <si>
    <t>Janaína Manfredini responde sobre a superação de desafios em tempos incertos</t>
  </si>
  <si>
    <t>Liderança Criativa: Como Estimular o Pensamento Inovador em sua Equipe</t>
  </si>
  <si>
    <t>Liderando Mudanças</t>
  </si>
  <si>
    <t>Pensamento Crítico</t>
  </si>
  <si>
    <t>Técnicas para Desbloquear a Criatividade e Estimular a Inovação</t>
  </si>
  <si>
    <t>Transforme-se com a Inovação Disruptiva</t>
  </si>
  <si>
    <t>Criação e gestão de equipes eficazes</t>
  </si>
  <si>
    <t>A Comunicação entre Equipes Multiculturais</t>
  </si>
  <si>
    <t>Torne-se um Líder</t>
  </si>
  <si>
    <t>Big Data no RH: O Impacto dos Dados no Bem-Estar dos Colaboradores</t>
  </si>
  <si>
    <t>Boas Práticas para o Sucesso em Projetos Internacionais</t>
  </si>
  <si>
    <t>Coaching de Vendas para Motivar sua Equipe a Atingir Resultados</t>
  </si>
  <si>
    <t>Como Apoiar sua Equipe na Gestão da Ansiedade</t>
  </si>
  <si>
    <t>Como Avaliar o Desempenho da Equipe</t>
  </si>
  <si>
    <t>Como Criar Condições Para que as Pessoas Prosperem no Trabalho</t>
  </si>
  <si>
    <t>Como Criar sua Equipe</t>
  </si>
  <si>
    <t>Como Desenvolver a Autoliderança</t>
  </si>
  <si>
    <t>Como Gerenciar Múltiplas Gerações no Ambiente de Trabalho</t>
  </si>
  <si>
    <t>Como Gerenciar sua Equipe em Tempos Difíceis</t>
  </si>
  <si>
    <t>Como Integrar Novos Colaboradores e Colaboradoras à Empresa</t>
  </si>
  <si>
    <t>Como Lidar com Pessoas Difíceis no Trabalho</t>
  </si>
  <si>
    <t>Como Liderar e Incentivar Equipes Virtuais para Estimular a Motivação no Trabalho</t>
  </si>
  <si>
    <t>Como Liderar e Trabalhar em Equipe</t>
  </si>
  <si>
    <t>Como Melhorar o Desempenho dos Colaboradores</t>
  </si>
  <si>
    <t>Como Motivar sua Equipe a Aprender</t>
  </si>
  <si>
    <t>Como Passar da Colaboração à Gerência</t>
  </si>
  <si>
    <t>Como Pedir Feedback no Trabalho para Evoluir na Carreira</t>
  </si>
  <si>
    <t>Como Promover o Envolvimento Emocional de seus Colaboradores</t>
  </si>
  <si>
    <t>Contratação e Desenvolvimento de Futuros Colaboradores e Colaboradoras</t>
  </si>
  <si>
    <t>Delegação de Tarefas à Equipe</t>
  </si>
  <si>
    <t>Dicas Rápidas para Gerentes Seniores</t>
  </si>
  <si>
    <t>Fundamentos do Trabalho em Equipe</t>
  </si>
  <si>
    <t>Gestão de Conflitos: Como Lidar com as Divergências na Empresa</t>
  </si>
  <si>
    <t>Gestão de Equipes de Projetos</t>
  </si>
  <si>
    <t>Gestão de Equipes Virtuais</t>
  </si>
  <si>
    <t>Gestão de Novos Cargos de Gerência</t>
  </si>
  <si>
    <t>Gestão de Problemas de Desempenho dos Colaboradores</t>
  </si>
  <si>
    <t>Gestão Intercultural nas Organizações</t>
  </si>
  <si>
    <t>O Poder do Coaching no Desenvolvimento dos Colaboradores</t>
  </si>
  <si>
    <t>Princípios Básicos para Gerentes Iniciantes</t>
  </si>
  <si>
    <t>Reuniões</t>
  </si>
  <si>
    <t>Técnicas de Entrevista para um Recrutamento de Sucesso</t>
  </si>
  <si>
    <t>Construção de confiança e colaboração com outras pessoas</t>
  </si>
  <si>
    <t>A Comunicação no Trabalho em Equipe</t>
  </si>
  <si>
    <t>Como Dar Feedback aos Colaboradores</t>
  </si>
  <si>
    <t>Como Desenvolver a Autoconfiança</t>
  </si>
  <si>
    <t>Como Escutar de Forma Eficaz</t>
  </si>
  <si>
    <t>Como Estimular o Pensamento Criativo da sua Equipe</t>
  </si>
  <si>
    <t>Como Gerenciar Relacionamentos com Chefes, Colegas e Subordinados</t>
  </si>
  <si>
    <t>Como Gerenciar sua Chefia</t>
  </si>
  <si>
    <t>Como Melhorar suas Competências de Escuta</t>
  </si>
  <si>
    <t>Como Prevenir o Assédio no Trabalho e Criar um Ambiente Seguro</t>
  </si>
  <si>
    <t>Como se Comunicar com Confiança</t>
  </si>
  <si>
    <t>Como se Tornar Mais Acessível aos seus Colaboradores</t>
  </si>
  <si>
    <t>Como Trabalhar e Colaborar On-line</t>
  </si>
  <si>
    <t>Construindo Confiança</t>
  </si>
  <si>
    <t>Desenvolvimento da Inteligência Intercultural</t>
  </si>
  <si>
    <t>Fundamentos da Resolução de Conflitos</t>
  </si>
  <si>
    <t>Fundamentos de Gestão de Projetos: Comunicação</t>
  </si>
  <si>
    <t>Gestão de Projetos Internacionais</t>
  </si>
  <si>
    <t>Liderança Colaborativa</t>
  </si>
  <si>
    <t>Liderança com Inteligência Emocional</t>
  </si>
  <si>
    <t>Comunicação e influência interpessoal</t>
  </si>
  <si>
    <t>Melhore suas Habilidades de Comunicação</t>
  </si>
  <si>
    <t>Como Comunicar Más Notícias aos Clientes</t>
  </si>
  <si>
    <t>Como Conduzir Conversas Difíceis</t>
  </si>
  <si>
    <t>Como Desenvolver a Liderança de Pensamento</t>
  </si>
  <si>
    <t>Como Fazer Perguntas Poderosas para Vendas</t>
  </si>
  <si>
    <t>Como Influenciar as Pessoas</t>
  </si>
  <si>
    <t>Como Responder a Microagressões no Trabalho</t>
  </si>
  <si>
    <t>Como se Comunicar com Empatia</t>
  </si>
  <si>
    <t>Fundamentos de Comunicação</t>
  </si>
  <si>
    <t>Kwame Christian Responde Sobre Como Abordar Assuntos Raciais</t>
  </si>
  <si>
    <t>Negociação Estratégica</t>
  </si>
  <si>
    <t>Técnicas de Comunicação Interpessoal</t>
  </si>
  <si>
    <t>Técnicas de Persuasão em Vendas</t>
  </si>
  <si>
    <t>Gestão e resolução de conflitos</t>
  </si>
  <si>
    <t>Melhore suas Habilidades de Resolução de Problemas</t>
  </si>
  <si>
    <t>Como Dizer Não</t>
  </si>
  <si>
    <t>Como Superar o Assédio no Trabalho</t>
  </si>
  <si>
    <t>Gestão de Projetos: Como Resolver os Problemas Mais Comuns</t>
  </si>
  <si>
    <t>Técnicas de Resolução de Problemas</t>
  </si>
  <si>
    <t>Marketing de conteúdo, marketing digital e estratégias de marketing</t>
  </si>
  <si>
    <t>Competências Interpessoais para Profissionais de Vendas</t>
  </si>
  <si>
    <t>Desenvolvimento da Estratégia Competitiva</t>
  </si>
  <si>
    <t>Fundamentos de Marketing de Mídias Sociais</t>
  </si>
  <si>
    <t>Fundamentos do Funil de Marketing</t>
  </si>
  <si>
    <t>Tendências de Marketing nas Mídias Sociais para Impulsionar as Vendas em sua Empresa</t>
  </si>
  <si>
    <t>Pensamento criativo e inovação</t>
  </si>
  <si>
    <t>Como Criar Organizações Criativas</t>
  </si>
  <si>
    <t>Como Estimular o Potencial Criativo de sua Equipe</t>
  </si>
  <si>
    <t>Como Quebrar a Rotina para Estimular a Criatividade</t>
  </si>
  <si>
    <t>Fundamentos da Criatividade: Como Despertar o Talento de sua Equipe</t>
  </si>
  <si>
    <t>Fundamentos da Criatividade: Como Despertar sua Curiosidade</t>
  </si>
  <si>
    <t>Fundamentos da Criatividade: Como Gerar Ideias Valiosas e Inovar na Prática</t>
  </si>
  <si>
    <t>Fundamentos da Criatividade: Como Soltar sua Imaginação e Encontrar Novas Ideias</t>
  </si>
  <si>
    <t>Fundamentos da Criatividade: O Processo de Criação de Ideias</t>
  </si>
  <si>
    <t>O Processo Criativo em Cinco Etapas</t>
  </si>
  <si>
    <t>Truques Criativos para Líderes</t>
  </si>
  <si>
    <t>Pensamento crítico, tomada de decisões e resolução de problemas</t>
  </si>
  <si>
    <t>Fundamentos da Melhoria de Processos</t>
  </si>
  <si>
    <t>Estratégias de Tomada de Decisão</t>
  </si>
  <si>
    <t>Tomada de Decisões Executivas</t>
  </si>
  <si>
    <t>Pensamento Estratégico</t>
  </si>
  <si>
    <t>Como Obter Aprovação para suas Ideias</t>
  </si>
  <si>
    <t>Como Usar o Pensamento Crítico para Refinar o Julgamento e a Tomada de Decisões</t>
  </si>
  <si>
    <t>Foco no cliente</t>
  </si>
  <si>
    <t>Atendimento ao Cliente: Como Escrever E-mails</t>
  </si>
  <si>
    <t>Torne-se um Especialista em Atendimento ao Cliente</t>
  </si>
  <si>
    <t>Atendimento ao Cliente: Técnicas de Resolução de Problemas e Conflitos</t>
  </si>
  <si>
    <t>Como Estabelecer Padrões de Qualidade no Atendimento ao Cliente</t>
  </si>
  <si>
    <t>Como Lidar com Clientes Insatisfeitos</t>
  </si>
  <si>
    <t>Como Potencializar o Atendimento Telefônico ao Cliente</t>
  </si>
  <si>
    <t>Como Vender Soluções para Conquistar Clientes</t>
  </si>
  <si>
    <t>Fundamentos do Atendimento ao Cliente</t>
  </si>
  <si>
    <t>Gestão de Equipes de Atendimento ao Cliente</t>
  </si>
  <si>
    <t>Gestão de Expectativas dos Clientes para Gerentes</t>
  </si>
  <si>
    <t>Gestão de Expectativas dos Clientes para Pessoal da Linha de Frente</t>
  </si>
  <si>
    <t>Liderança no Atendimento ao Cliente</t>
  </si>
  <si>
    <t>O Poder das Histórias no Contexto das Vendas, Parte 2: Histórias que Fazem Sucesso</t>
  </si>
  <si>
    <t>Quarta Revolução Industrial: Novos Modelos de Vendas</t>
  </si>
  <si>
    <t>Técnicas de Fechamento de Vendas</t>
  </si>
  <si>
    <t>Técnicas Inovadoras para Atendimento ao Cliente</t>
  </si>
  <si>
    <t>Tendências de Comportamento de Consumo: Desvendando o Consumidor Pós-moderno</t>
  </si>
  <si>
    <t>Análise de dados</t>
  </si>
  <si>
    <t>A visualização de Dados para Contar Histórias</t>
  </si>
  <si>
    <t>Torne-se um Cientista de Dados</t>
  </si>
  <si>
    <t>Conformidade com a LGPD: O Impacto em Empresas Brasileiras</t>
  </si>
  <si>
    <t>Descubra a Linguagem de Programação R</t>
  </si>
  <si>
    <t>Excel 2019: Gestão e Análise de Dados</t>
  </si>
  <si>
    <t>Excel: Como Criar um Dashboard Básico (365/2019)</t>
  </si>
  <si>
    <t>Excel: Macros e VBA para Iniciantes</t>
  </si>
  <si>
    <t>Excel: Power Query</t>
  </si>
  <si>
    <t>Fundamentos da Análise de Negócios</t>
  </si>
  <si>
    <t>Fundamentos da Ciência de Dados: Mineração de Dados</t>
  </si>
  <si>
    <t>Fundamentos de Análise de Dados</t>
  </si>
  <si>
    <t>Fundamentos do Big Data: Técnicas e Conceitos</t>
  </si>
  <si>
    <t>Gestão de Contas-Chave</t>
  </si>
  <si>
    <t>Inteligência Artificial para Negócios em Dez Minutos</t>
  </si>
  <si>
    <t>Introdução à Governança de Dados</t>
  </si>
  <si>
    <t>Power BI: Formação Básica</t>
  </si>
  <si>
    <t>Python para Ciência de Dados: Formação Básica</t>
  </si>
  <si>
    <t>Tableau: Formação Básica</t>
  </si>
  <si>
    <t>Técnicas Avançadas de Python</t>
  </si>
  <si>
    <t>Conhecimento financeiro e contábil</t>
  </si>
  <si>
    <t>Avaliação do Desempenho Empresarial</t>
  </si>
  <si>
    <t>Finanças para Gerentes não Financeiros</t>
  </si>
  <si>
    <t>Fundamentos de Contabilidade</t>
  </si>
  <si>
    <t>Fundamentos de Finanças</t>
  </si>
  <si>
    <t>Fundamentos de Fusões e Aquisições</t>
  </si>
  <si>
    <t>Conhecimento e gestão de RH</t>
  </si>
  <si>
    <t>Transforme-se num Líder Disruptivo</t>
  </si>
  <si>
    <t>Como Aproveitar ao Máximo o LinkedIn Recruiter</t>
  </si>
  <si>
    <t>Como Demitir Colaboradores</t>
  </si>
  <si>
    <t>Como Encontrar e Reter Profissionais de Alto Potencial</t>
  </si>
  <si>
    <t>Contratação de Colaboradores: Técnicas para Gerentes</t>
  </si>
  <si>
    <t>Contratação por Desempenho</t>
  </si>
  <si>
    <t>Dez Mitos sobre Diversidade e Inclusão no Trabalho</t>
  </si>
  <si>
    <t>Fundamentos da Avaliação de Desempenho</t>
  </si>
  <si>
    <t>Liderança Global: Como Gerenciar a Complexidade e a Diversidade</t>
  </si>
  <si>
    <t>Mulheres na Liderança: Como Impulsionar a Equidade nas Organizações</t>
  </si>
  <si>
    <t>Recursos Humanos: Estratégias de Remuneração</t>
  </si>
  <si>
    <t>Gestão de mudanças</t>
  </si>
  <si>
    <t>A Linguagem Corporal da Liderança</t>
  </si>
  <si>
    <t>Agilidade de Aprendizagem</t>
  </si>
  <si>
    <t>Como Exercer a Liderança Compassiva: a Perspectiva de Jeff Weiner</t>
  </si>
  <si>
    <t>Como Usar a Agilidade Estratégica</t>
  </si>
  <si>
    <t>Dicas e Estratégias para Exercer uma Liderança de Alto Impacto</t>
  </si>
  <si>
    <t>Fundamentos de Gestão de Projetos: Solicitações de Mudança</t>
  </si>
  <si>
    <t>Liderança com Inovação</t>
  </si>
  <si>
    <t>Tomada de Riscos para Líderes</t>
  </si>
  <si>
    <t>Liderança eficaz de pessoas e liderança transformacional</t>
  </si>
  <si>
    <t>Como Implementar a Gestão de Mudanças</t>
  </si>
  <si>
    <t>Como Identificar os Pontos Cegos da Liderança</t>
  </si>
  <si>
    <t>Como Passar da Gerência à Liderança</t>
  </si>
  <si>
    <t>Competências de Coaching para Líderes e Gerentes</t>
  </si>
  <si>
    <t>Comunicação na Liderança 4.0: O Poder da Síntese</t>
  </si>
  <si>
    <t>Desenvolvendo sua Filosofia de Liderança</t>
  </si>
  <si>
    <t>Desenvolvimento da Presença Executiva</t>
  </si>
  <si>
    <t>Fundamentos de Gestão de Operações</t>
  </si>
  <si>
    <t>Fundamentos de Gestão de Projetos: Como Liderar Projetos</t>
  </si>
  <si>
    <t>Fundamentos de Liderança</t>
  </si>
  <si>
    <t>Gestão de Profissionais de Alto Desempenho</t>
  </si>
  <si>
    <t>Gestão de Profissionais de Alto Potencial</t>
  </si>
  <si>
    <t>Janaína Manfredini responde sobre desafios da liderança em tempos incertos</t>
  </si>
  <si>
    <t>Liderança Executiva</t>
  </si>
  <si>
    <t>Liderança Feminina: Como Superar Desafios no Trabalho e Criar um Ambiente Colaborativo</t>
  </si>
  <si>
    <t>Liderança Remota: Como Gerenciar e Desenvolver Equipes Distribuídas</t>
  </si>
  <si>
    <t>Liderança sem Autoridade Formal</t>
  </si>
  <si>
    <t>Mulheres na Liderança: Estratégias Eficazes para o Sucesso Profissional</t>
  </si>
  <si>
    <t>O Futuro da Gestão de Desempenho</t>
  </si>
  <si>
    <t>O Poder da Autenticidade na Liderança 4.0</t>
  </si>
  <si>
    <t>O Poder das Histórias no Contexto da Liderança</t>
  </si>
  <si>
    <t>Presença Executiva para Mulheres em Cargos de Liderança</t>
  </si>
  <si>
    <t>Resiliência na Liderança: Como Prosperar em Tempos Difíceis</t>
  </si>
  <si>
    <t>Sustentabilidade Ambiental: Um Guia para Líderes Empresariais</t>
  </si>
  <si>
    <t>Técnicas de Coaching para Resultados</t>
  </si>
  <si>
    <t>Gestão eficaz de pessoas</t>
  </si>
  <si>
    <t>Torne-se um Gestor de Projetos</t>
  </si>
  <si>
    <t>Como Desenvolver Novas Habilidades para o Futuro do Trabalho</t>
  </si>
  <si>
    <t>Como Enfrentar a Ansiedade no Trabalho</t>
  </si>
  <si>
    <t>Como Promover a Empatia no Mundo das Tecnologias de Informação</t>
  </si>
  <si>
    <t>Fundamentos de Gestão</t>
  </si>
  <si>
    <t>Princípios Básicos para Novos Cargos de Gestão</t>
  </si>
  <si>
    <t>Excelência operacional e melhoria de processos</t>
  </si>
  <si>
    <t>Fundamentos da Excelência Operacional</t>
  </si>
  <si>
    <t>Fundamentos de DevOps</t>
  </si>
  <si>
    <t>Fundamentos de Gestão de Projetos: Aquisições</t>
  </si>
  <si>
    <t>Fundamentos do Lean Seis Sigma</t>
  </si>
  <si>
    <t>Fundamentos do Seis Sigma</t>
  </si>
  <si>
    <t>Seis Sigma: Black Belt</t>
  </si>
  <si>
    <t>Seis Sigma: Green Belt</t>
  </si>
  <si>
    <t>Competências de apresentação</t>
  </si>
  <si>
    <t>Como Falar em Público</t>
  </si>
  <si>
    <t>Como Fazer Apresentações e se Manter no Assunto</t>
  </si>
  <si>
    <t>Como Preparar e Fazer Apresentações de Negócios</t>
  </si>
  <si>
    <t>PowerPoint 2013: Dicas, Truques e Atalhos</t>
  </si>
  <si>
    <t>PowerPoint 2013: Formação Básica</t>
  </si>
  <si>
    <t>PowerPoint 2016: Atalhos</t>
  </si>
  <si>
    <t>PowerPoint 2016: Formação Básica</t>
  </si>
  <si>
    <t>PowerPoint 2019: Formação Básica</t>
  </si>
  <si>
    <t>Gestão de projetos</t>
  </si>
  <si>
    <t>Arquitetura de Software: Introdução à Análise de Projetos</t>
  </si>
  <si>
    <t>Como Passar do Modelo em Cascata ao Modelo Ágil na Gestão de Projetos</t>
  </si>
  <si>
    <t>Competências Básicas de Gestão de Projetos</t>
  </si>
  <si>
    <t>Descubra o Microsoft Project</t>
  </si>
  <si>
    <t>Execução e Controle com Microsoft Project</t>
  </si>
  <si>
    <t>Fundamentos de Gestão Ágil de Projetos</t>
  </si>
  <si>
    <t>Fundamentos de Gestão de Projetos</t>
  </si>
  <si>
    <t>Fundamentos de Gestão de Projetos Pequenos</t>
  </si>
  <si>
    <t>Fundamentos de Gestão de Projetos: Ética</t>
  </si>
  <si>
    <t>Fundamentos de Gestão de Projetos: Integração</t>
  </si>
  <si>
    <t>Fundamentos de Gestão de Projetos: Partes Interessadas</t>
  </si>
  <si>
    <t>Fundamentos de Gestão de Projetos: Qualidade</t>
  </si>
  <si>
    <t>Fundamentos de Gestão de Projetos: Riscos</t>
  </si>
  <si>
    <t>Fundamentos do Scrum</t>
  </si>
  <si>
    <t>Gerenciamento de Cronogramas de Projetos</t>
  </si>
  <si>
    <t>Gestão Ágil de Projetos com o Microsoft Project</t>
  </si>
  <si>
    <t>Gestão de Orçamentos em Projetos</t>
  </si>
  <si>
    <t>Gestão de Projetos com Microsoft Teams</t>
  </si>
  <si>
    <t>Quarta Revolução Industrial: Gestão de Projetos</t>
  </si>
  <si>
    <t>Técnicas Avançadas de Scrum</t>
  </si>
  <si>
    <t>Conhecimento e competências de vendas</t>
  </si>
  <si>
    <t>A Ciência das Vendas</t>
  </si>
  <si>
    <t>Torne-se um Profissional de Vendas</t>
  </si>
  <si>
    <t>Como Melhorar a Prospecção de Vendas</t>
  </si>
  <si>
    <t>Fundamentos de Vendas</t>
  </si>
  <si>
    <t>O Poder das Histórias no Contexto das Vendas</t>
  </si>
  <si>
    <t>Quarta Revolução Industrial: Estratégias de Negócios</t>
  </si>
  <si>
    <t>Planejamento e pensamento estratégico</t>
  </si>
  <si>
    <t>Fundamentos de Negociação</t>
  </si>
  <si>
    <t>Fundamentos do Planejamento Estratégico</t>
  </si>
  <si>
    <t>Vieses Inconscientes na Tomada de Decisão</t>
  </si>
  <si>
    <t>Desenvolvimento de talentos</t>
  </si>
  <si>
    <t>Como Desenvolver suas Competências de Mentoria</t>
  </si>
  <si>
    <t>Competências Profissionais Imprescindíveis na Carreira de Qualquer Profissional</t>
  </si>
  <si>
    <t>Gestão de talentos</t>
  </si>
  <si>
    <t>Gestão de Gerentes Experientes</t>
  </si>
  <si>
    <t>Diversidade de valores, inclusão e senso de pertencimento</t>
  </si>
  <si>
    <t>Diversidade, Inclusão e Pertencimento para Líderes e Gerentes</t>
  </si>
  <si>
    <t>Ambientes de Trabalho Tóxicos: Da Atitude Passiva à Ação</t>
  </si>
  <si>
    <t>Como fortalecer suas competências interculturais</t>
  </si>
  <si>
    <t>Como Cultivar a Competência Cultural e a Inclusão no Ambiente de Trabalho</t>
  </si>
  <si>
    <t>Como Desenvolver as Competências Necessárias para Abordar Conversas Inclusivas</t>
  </si>
  <si>
    <t>Como Desenvolver um Programa de Diversidade, Inclusão e Senso de Pertencimento</t>
  </si>
  <si>
    <t>Comunicação Inclusiva com Atenção Plena, Empatia e Compaixão</t>
  </si>
  <si>
    <t>Diversidade Cultural nas Comunicações: Como Conversar Sobre Assuntos Delicados</t>
  </si>
  <si>
    <t>Diversidade, Inclusão e Senso de Pertencimento</t>
  </si>
  <si>
    <t>Gestão da Diversidade nas Organizações</t>
  </si>
  <si>
    <t>Histórias de vida: mulheres na tecnologia</t>
  </si>
  <si>
    <t>Liderança Inclusiva</t>
  </si>
  <si>
    <t>Mulheres na Tecnologia: Como Romper a Barreira de Gênero</t>
  </si>
  <si>
    <t>Vieses Inconscientes: Como Lidar com a Diversidade Cultural nas Empresas</t>
  </si>
  <si>
    <t>Proficiência e competências de escrita</t>
  </si>
  <si>
    <t>Como Escrever Artigos com Maestria</t>
  </si>
  <si>
    <t>Inglês Comercial: Como Escrever E-mails Empresariais Bem-Sucedidos / Business English: Writing successful business emails</t>
  </si>
  <si>
    <t>Inglês Comercial: Como Impressionar em Entrevistas de Emprego On-line / Business English: Mastering Your Online Interview</t>
  </si>
  <si>
    <t>Autocuidado, bem-estar, atenção plena</t>
  </si>
  <si>
    <t>Mindfulness: Fundamentos da Atenção Plena</t>
  </si>
  <si>
    <t>Competencies in alphabet order</t>
  </si>
  <si>
    <t>Admin IDs</t>
  </si>
  <si>
    <t>Proficiency Level</t>
  </si>
  <si>
    <t>Aligned Courses</t>
  </si>
  <si>
    <t>Good to Great: Why Some Companies Make the Leap and Others Don't (Blinkist Summary)</t>
  </si>
  <si>
    <t xml:space="preserve">Building Accountability and Becoming Results Oriented </t>
  </si>
  <si>
    <t>Organization Design</t>
  </si>
  <si>
    <t>Become a High Performer</t>
  </si>
  <si>
    <t>Prioritizing Effectively as a Leader</t>
  </si>
  <si>
    <t>Become a Successful Remote Worker</t>
  </si>
  <si>
    <t>Communicating to Drive People to Take Action</t>
  </si>
  <si>
    <t>Improve Your Organizational Skills</t>
  </si>
  <si>
    <t>Goal Setting: Objectives and Key Results (OKRs)</t>
  </si>
  <si>
    <t>Remote Working: Setting Yourself and Your Teams Up for Success</t>
  </si>
  <si>
    <t>General</t>
  </si>
  <si>
    <t>Learning Agility</t>
  </si>
  <si>
    <t>Strategic Focus for Managers</t>
  </si>
  <si>
    <t>Building Resilience as a Leader</t>
  </si>
  <si>
    <t>Building a Trustworthy Reputation</t>
  </si>
  <si>
    <t>Time Management for Managers</t>
  </si>
  <si>
    <t>How to Build Virtual Accountability</t>
  </si>
  <si>
    <t>Holding Your Team Accountable</t>
  </si>
  <si>
    <t>Be More Productive: Take Small Steps, Have Big Goals</t>
  </si>
  <si>
    <t>Developing a Learning Mindset</t>
  </si>
  <si>
    <t>Gaining Skills with LinkedIn Learning</t>
  </si>
  <si>
    <t>Holding Yourself Accountable</t>
  </si>
  <si>
    <t>Monday Productivity Pointers</t>
  </si>
  <si>
    <t>Performing under Pressure</t>
  </si>
  <si>
    <t>Solving Business Problems</t>
  </si>
  <si>
    <t>Tony Schwartz on Managing Your Energy for Sustainable High Performance</t>
  </si>
  <si>
    <t>Proven Tips for Managing Your Time</t>
  </si>
  <si>
    <t>Time Management Tips: Scheduling</t>
  </si>
  <si>
    <t>Time Management Tips: Teamwork</t>
  </si>
  <si>
    <t>Time Management Tips: Following Through</t>
  </si>
  <si>
    <t>Productivity Tips: Finding Your Rhythm</t>
  </si>
  <si>
    <t>Productivity Tips: Using Technology</t>
  </si>
  <si>
    <t>Productivity Tips: Finding Your Productive Mindset</t>
  </si>
  <si>
    <t>Productivity Tips: Setting Up Your Workplace</t>
  </si>
  <si>
    <t>Productivity Tips: Taking Control of Email</t>
  </si>
  <si>
    <t>Building a Better To-Do List</t>
  </si>
  <si>
    <t>15 Secrets Successful People Know About Time Management (getAbstract Summary)</t>
  </si>
  <si>
    <t>How to Slow Down and Be More Productive</t>
  </si>
  <si>
    <t>Productivity Principles to Make Time for What’s Important</t>
  </si>
  <si>
    <t>Making Big Goals Achievable</t>
  </si>
  <si>
    <t>Time Management Tips: Communication</t>
  </si>
  <si>
    <t>Subtle Shifts in Thinking for Tremendous Resilience</t>
  </si>
  <si>
    <t>Productivity: Prioritizing at Work</t>
  </si>
  <si>
    <t>Managing Your Energy</t>
  </si>
  <si>
    <t>Building Better Routines</t>
  </si>
  <si>
    <t>Creating Lasting Habits</t>
  </si>
  <si>
    <t>How to Effectively Deliver Criticism</t>
  </si>
  <si>
    <t>Dealing with Disappointment in Your Role</t>
  </si>
  <si>
    <t>Unlocking Your Potential</t>
  </si>
  <si>
    <t>Prioritizing Tasks for Maximum Impact</t>
  </si>
  <si>
    <t>The Five Conversations That Deliver Accountability and Performance</t>
  </si>
  <si>
    <t>Time Management for Busy People</t>
  </si>
  <si>
    <t>How to Organize Your Time and Your Life</t>
  </si>
  <si>
    <t>Components of Effective Learning</t>
  </si>
  <si>
    <t>Powerful Prioritization with the 80/20 Rule</t>
  </si>
  <si>
    <t>Overcoming Perfectionism</t>
  </si>
  <si>
    <t>How to Get Things Done Ahead of Deadlines</t>
  </si>
  <si>
    <t>The Surprising Upside of Procrastination</t>
  </si>
  <si>
    <t>Secrets of Effective Prioritization</t>
  </si>
  <si>
    <t>How to Manage Your Attention and Your Priorities</t>
  </si>
  <si>
    <t>Focus on What Matters and Minimize Distraction</t>
  </si>
  <si>
    <t>Learn to Control Your Attention</t>
  </si>
  <si>
    <t>Mixtape: Learning Highlights on Personal Effectiveness</t>
  </si>
  <si>
    <t>Overcome Overthinking</t>
  </si>
  <si>
    <t>Building Resilience</t>
  </si>
  <si>
    <t>Delivering Results Effectively</t>
  </si>
  <si>
    <t>Enhancing Resilience</t>
  </si>
  <si>
    <t>Fred Kofman on Accountability</t>
  </si>
  <si>
    <t>Fred Kofman on Making Commitments</t>
  </si>
  <si>
    <t>Getting Things Done</t>
  </si>
  <si>
    <t>Improving Your Focus</t>
  </si>
  <si>
    <t>Overcoming Procrastination</t>
  </si>
  <si>
    <t>Sheryl Sandberg and Adam Grant on Option B: Building Resilience</t>
  </si>
  <si>
    <t>Time Management Fundamentals</t>
  </si>
  <si>
    <t>Personal Effectiveness Tips</t>
  </si>
  <si>
    <t>Powerless to Powerful: Taking Control</t>
  </si>
  <si>
    <t>Prioritizing Your Tasks</t>
  </si>
  <si>
    <t>Stepping Up: How Taking Responsibility Changes Everything (getAbstract Summary)</t>
  </si>
  <si>
    <t>What to Do When There's Too Much to Do (getAbstract Summary)</t>
  </si>
  <si>
    <t>Improving the Value of Your Time</t>
  </si>
  <si>
    <t>Balancing Work and Life as a Work-from-Home Parent</t>
  </si>
  <si>
    <t>Business Ethics</t>
  </si>
  <si>
    <t>Working from Home: Strategies for Success</t>
  </si>
  <si>
    <t>The Power of Lists to Get Stuff Done</t>
  </si>
  <si>
    <t>Asking for Feedback as an Employee</t>
  </si>
  <si>
    <t>Enhance Your Productivity with Effective Note-Taking</t>
  </si>
  <si>
    <t>How to Motivate Yourself to Do What’s Most Important</t>
  </si>
  <si>
    <t>Mastering Self-Leadership</t>
  </si>
  <si>
    <t>Managing Up as an Employee</t>
  </si>
  <si>
    <t>One-Minute Habits for Success</t>
  </si>
  <si>
    <t>Habits to Win Every Day</t>
  </si>
  <si>
    <t>Flexible Working (Blinkist Summary)</t>
  </si>
  <si>
    <t>Hyperfocus (Blinkist Summary)</t>
  </si>
  <si>
    <t>The Three Secrets to Effective Time Investment (Blinkist Summary)</t>
  </si>
  <si>
    <t>The Procrastination Cure (Blinkist Summary)</t>
  </si>
  <si>
    <t>Developing Resourcefulness</t>
  </si>
  <si>
    <t>Demonstrating Accountability as a Leader</t>
  </si>
  <si>
    <t>Using Microsoft Teams and Outlook Together: Maximizing Productivity</t>
  </si>
  <si>
    <t>Creating a Culture of Change</t>
  </si>
  <si>
    <t>Developing Resilience and Grit</t>
  </si>
  <si>
    <t>The New Rules of Work</t>
  </si>
  <si>
    <t>Leading during Times of Change</t>
  </si>
  <si>
    <t>Agile Software Development: Creating an Agile Culture</t>
  </si>
  <si>
    <t>Manage Change and Develop Your Adaptability Skills</t>
  </si>
  <si>
    <t>Aaron Dignan on Transformational Change</t>
  </si>
  <si>
    <t>Master In-Demand Professional Soft Skills</t>
  </si>
  <si>
    <t>Managing Globally</t>
  </si>
  <si>
    <t>The Hard Thing About Hard Things: Building a Business When There Are No Easy Answers (Blinkist Summary)</t>
  </si>
  <si>
    <t>Coaching Yourself and Your Team from Uncertainty to Action</t>
  </si>
  <si>
    <t>Organizational Learning and Development</t>
  </si>
  <si>
    <t>Communicating in Times of Change</t>
  </si>
  <si>
    <t>Developing Adaptable Managers</t>
  </si>
  <si>
    <t>Developing Adaptable Employees</t>
  </si>
  <si>
    <t>Unlock Your Team's Creativity</t>
  </si>
  <si>
    <t>Managing Organizational Change for Managers</t>
  </si>
  <si>
    <t>Developing Adaptability as a Manager</t>
  </si>
  <si>
    <t>Leading Your Team Through Change</t>
  </si>
  <si>
    <t>Leading in the Moment</t>
  </si>
  <si>
    <t>Building the Resources for Resilience</t>
  </si>
  <si>
    <t>Handling Workplace Change as an Employee</t>
  </si>
  <si>
    <t>Staying Positive in the Face of Negativity</t>
  </si>
  <si>
    <t>Improve Cognitive Flexibility at Work</t>
  </si>
  <si>
    <t>Adaptive Leadership for VUCA Challenges</t>
  </si>
  <si>
    <t>Insights on Working from Home’s Largest-Ever Experiment</t>
  </si>
  <si>
    <t>How to Slash Anxiety and Keep Positivity Flowing</t>
  </si>
  <si>
    <t>Negotiating Work Flexibility</t>
  </si>
  <si>
    <t>Managing Stress</t>
  </si>
  <si>
    <t>Avoiding Burnout</t>
  </si>
  <si>
    <t>Get Unstuck from a Career Rut</t>
  </si>
  <si>
    <t>Managing Self-Doubt to Tackle Bigger Challenges</t>
  </si>
  <si>
    <t>Creating Flow</t>
  </si>
  <si>
    <t>Staying Organized While Working Remotely or On-Site</t>
  </si>
  <si>
    <t>Creating Success from Failures</t>
  </si>
  <si>
    <t>Adopting the Habits of Elite Performers</t>
  </si>
  <si>
    <t>How to Use Rejection to Your Advantage</t>
  </si>
  <si>
    <t>Simple Habits for Complex Times (getAbstract Summary)</t>
  </si>
  <si>
    <t>Using Resilience to Overcome the (Seemingly) Impossible</t>
  </si>
  <si>
    <t>Conquering Freak-Outs and the Fear of Failure</t>
  </si>
  <si>
    <t>Preparing to Lead: Developing Mental Toughness in Yourself</t>
  </si>
  <si>
    <t>Real Estate: Developing a Growth Mindset</t>
  </si>
  <si>
    <t>Mixtape: Highlights from LinkedIn Learning Courses</t>
  </si>
  <si>
    <t>Managing Stress for Positive Change</t>
  </si>
  <si>
    <t>Learning from Failure</t>
  </si>
  <si>
    <t>Critical Thinking</t>
  </si>
  <si>
    <t>Cultivating a Growth Mindset</t>
  </si>
  <si>
    <t>Embracing Unexpected Change</t>
  </si>
  <si>
    <t>How to be an Adaptable Employee During Change and Uncertainty</t>
  </si>
  <si>
    <t>What Is Scrum?</t>
  </si>
  <si>
    <t>Managing Career Burnout</t>
  </si>
  <si>
    <t>Enhance Productivity in a Hybrid Work Environment</t>
  </si>
  <si>
    <t>Reframing: The Power of Changing Your Perspective</t>
  </si>
  <si>
    <t>Reshuffle: A Special Series on the New World of Work</t>
  </si>
  <si>
    <t>Taking Charge of Technology for Maximum Productivity</t>
  </si>
  <si>
    <t>Adaptive Project Leadership</t>
  </si>
  <si>
    <t>Cultivating Mental Agility</t>
  </si>
  <si>
    <t>Your L&amp;D Organization as a Competitive Advantage</t>
  </si>
  <si>
    <t>CMO Foundations: Creating a Marketing Culture</t>
  </si>
  <si>
    <t>Build a Company Learning and Development Program</t>
  </si>
  <si>
    <t xml:space="preserve">Build and Manage Effective Teams </t>
  </si>
  <si>
    <t>Reid Hoffman and Chris Yeh on Creating an Alliance with Employees</t>
  </si>
  <si>
    <t>Fostering Collaboration</t>
  </si>
  <si>
    <t>Doing Good to Build a Profitable Business</t>
  </si>
  <si>
    <t>Improve Your Coaching Skills as a Manager</t>
  </si>
  <si>
    <t>Creating a High Performance Culture</t>
  </si>
  <si>
    <t>Managing Performance</t>
  </si>
  <si>
    <t>The Long-Distance Leader (getAbstract Summary)</t>
  </si>
  <si>
    <t>Improve Your Teamwork Skills</t>
  </si>
  <si>
    <t>Rewarding Employee Performance</t>
  </si>
  <si>
    <t>Measuring Team Performance</t>
  </si>
  <si>
    <t>Managing New Managers</t>
  </si>
  <si>
    <t>Building Your Team</t>
  </si>
  <si>
    <t>Setting Team and Employee Goals Using SMART Methodology</t>
  </si>
  <si>
    <t>Culture of Kaizen</t>
  </si>
  <si>
    <t>The Practices of High-Performing Employees</t>
  </si>
  <si>
    <t>How to Give and Receive Useful Feedback Every Month</t>
  </si>
  <si>
    <t>Productive Leadership</t>
  </si>
  <si>
    <t>Identify and Unleash Potential in Your Employees</t>
  </si>
  <si>
    <t>Virtual and Hybrid Meeting Essentials</t>
  </si>
  <si>
    <t>Hiring an Employee for Managers</t>
  </si>
  <si>
    <t>Leading Virtual Meetings</t>
  </si>
  <si>
    <t>Coaching and Developing Employees</t>
  </si>
  <si>
    <t>Improving Employee Performance</t>
  </si>
  <si>
    <t>Managing Teams</t>
  </si>
  <si>
    <t>Managing Virtual Teams</t>
  </si>
  <si>
    <t>Motivating and Engaging Employees</t>
  </si>
  <si>
    <t>Leading Inclusive Teams</t>
  </si>
  <si>
    <t>Becoming a Manager Your Team Loves</t>
  </si>
  <si>
    <t>Building High-Performance Teams</t>
  </si>
  <si>
    <t>Developing Your Team Members</t>
  </si>
  <si>
    <t>Facilitation Skills for Managers and Leaders</t>
  </si>
  <si>
    <t>Leading and Working in Teams</t>
  </si>
  <si>
    <t>Managing a Cross-Functional Team</t>
  </si>
  <si>
    <t>Managing a Diverse Team</t>
  </si>
  <si>
    <t>Managing Team Conflict</t>
  </si>
  <si>
    <t>Practicing Fairness as a Manager</t>
  </si>
  <si>
    <t>Having Career Conversations with Your Team</t>
  </si>
  <si>
    <t>Managing for Better Ideas</t>
  </si>
  <si>
    <t>Succeeding as a First-Time Tech Manager</t>
  </si>
  <si>
    <t>Management Tips</t>
  </si>
  <si>
    <t>Be a Better Manager by Motivating Your Team</t>
  </si>
  <si>
    <t>A Strengths-Based Approach to Managing Your Team</t>
  </si>
  <si>
    <t>Strategies for Effective Leadership Teams</t>
  </si>
  <si>
    <t>Level Up Your Remote Team Experience</t>
  </si>
  <si>
    <t>Work on Purpose</t>
  </si>
  <si>
    <t>Top of Mind: Use Content to Unleash Your Influence (getAbstract Summary)</t>
  </si>
  <si>
    <t>Motivating Your Team to Learn</t>
  </si>
  <si>
    <t>Dealing with the Seven Deadly Wastes</t>
  </si>
  <si>
    <t>The Six Morning Habits of High Performers</t>
  </si>
  <si>
    <t>Teamwork Foundations</t>
  </si>
  <si>
    <t>Creating a Culture of Learning</t>
  </si>
  <si>
    <t>Leading Remote Projects and Virtual Teams</t>
  </si>
  <si>
    <t>Communication within Teams</t>
  </si>
  <si>
    <t>How to Inspire and Develop Your Direct Reports</t>
  </si>
  <si>
    <t>A Navy SEAL's Surprising Key to Building Unstoppable Teams: Caring</t>
  </si>
  <si>
    <t>How to Stop Wasting Time in Meetings</t>
  </si>
  <si>
    <t>The Art of Leadership (getAbstract Summary)</t>
  </si>
  <si>
    <t>Boosting Your Team's Productivity</t>
  </si>
  <si>
    <t>Shane Snow on Dream Teams</t>
  </si>
  <si>
    <t>A Great Place to Work for All (getAbstract Summary)</t>
  </si>
  <si>
    <t>Business Chemistry (Blinkist Summary)</t>
  </si>
  <si>
    <t>Essentials of Team Collaboration</t>
  </si>
  <si>
    <t>Best Practices for New People Leaders</t>
  </si>
  <si>
    <t>Backgrounder: Leadership Conversations with Different Personalities</t>
  </si>
  <si>
    <t>Enhancing Team Innovation</t>
  </si>
  <si>
    <t>Building and Managing a High-Performing Sales Team</t>
  </si>
  <si>
    <t>Creating Winning Teams</t>
  </si>
  <si>
    <t>Creating an Adaptable Team</t>
  </si>
  <si>
    <t>Leading a Customer Service Team</t>
  </si>
  <si>
    <t>Leveraging Virtual and Hybrid Teams for Improved Effectiveness</t>
  </si>
  <si>
    <t>Microsoft Teams: Successful Meetings and Events</t>
  </si>
  <si>
    <t>Creating a Communications Strategy</t>
  </si>
  <si>
    <t>Creating the Environment for Productive Virtual Teams</t>
  </si>
  <si>
    <t>Inclusive Leadership</t>
  </si>
  <si>
    <t>Advance Your Skills as an Individual Contributor</t>
  </si>
  <si>
    <t>Creating a Culture of Collaboration</t>
  </si>
  <si>
    <t>Become an Inclusive Leader</t>
  </si>
  <si>
    <t>Digital Transformation in Practice: Virtual Collaboration Tools</t>
  </si>
  <si>
    <t>Employee Experience</t>
  </si>
  <si>
    <t>Communicating Values</t>
  </si>
  <si>
    <t>Humble Leadership: The Power of Relationships, Openness, and Trust (getAbstract Summary)</t>
  </si>
  <si>
    <t>Supporting a Grieving Employee: A Manager's Guide</t>
  </si>
  <si>
    <t>What Are Your Blind Spots? (getAbstract Summary)</t>
  </si>
  <si>
    <t>The Art of Connection: 7 Relationship-Building Skills Every Leader Needs Now (getAbstract Summary)</t>
  </si>
  <si>
    <t>Managing and Working with a Technical Team for Nontechnical Professionals</t>
  </si>
  <si>
    <t>Igniting Emotional Engagement</t>
  </si>
  <si>
    <t>Connecting with Executives</t>
  </si>
  <si>
    <t>Managing in a Matrixed Organization</t>
  </si>
  <si>
    <t>Building Connection and Engagement in Virtual Teams</t>
  </si>
  <si>
    <t>How to Develop Friendships and Connect Meaningfully with Work Colleagues</t>
  </si>
  <si>
    <t>A Guide to ERGs (Employee Resource Groups)</t>
  </si>
  <si>
    <t>Collaborative Workflows for Editors and Designers</t>
  </si>
  <si>
    <t>Cross-Functional Sales Teams</t>
  </si>
  <si>
    <t>How to Build Rapport Quickly</t>
  </si>
  <si>
    <t>Become a Super-Collaborator</t>
  </si>
  <si>
    <t>Collaboration Principles and Process</t>
  </si>
  <si>
    <t>Communicating with Empathy</t>
  </si>
  <si>
    <t>Developing Self-Awareness</t>
  </si>
  <si>
    <t>Developing Your Emotional Intelligence</t>
  </si>
  <si>
    <t>Interpersonal Communication</t>
  </si>
  <si>
    <t>Working on a Cross-Functional Team</t>
  </si>
  <si>
    <t>Women Transforming Tech: Networking</t>
  </si>
  <si>
    <t>Social Success at Work</t>
  </si>
  <si>
    <t>The Surprising Power of Seeing People as People</t>
  </si>
  <si>
    <t>Inclusive Mindset for Committed Allies</t>
  </si>
  <si>
    <t>Leveraging Your Relationship Capital</t>
  </si>
  <si>
    <t>The Ultimate Guide to Professional Networking</t>
  </si>
  <si>
    <t>21 Opportunities for Better Networking</t>
  </si>
  <si>
    <t>Embracing Conflict as a Gift</t>
  </si>
  <si>
    <t>Mindful Team Building</t>
  </si>
  <si>
    <t>The Value of Employee Resource Groups</t>
  </si>
  <si>
    <t>Connecting and Collaborating in a Virtual or Hybrid Workplace</t>
  </si>
  <si>
    <t>How to Work with a Micromanager</t>
  </si>
  <si>
    <t>Communicating with Transparency</t>
  </si>
  <si>
    <t>Being an Effective Team Member</t>
  </si>
  <si>
    <t>Building Trust</t>
  </si>
  <si>
    <t>Giving and Receiving Feedback</t>
  </si>
  <si>
    <t>Improving Your Listening Skills</t>
  </si>
  <si>
    <t>Microsoft Viva First Look</t>
  </si>
  <si>
    <t>Learning to Say No with Confidence and Grace</t>
  </si>
  <si>
    <t>Effective Listening</t>
  </si>
  <si>
    <t>Developing Your Professional Image</t>
  </si>
  <si>
    <t>Professional Networking</t>
  </si>
  <si>
    <t>Why Trust Matters with Rachel Botsman</t>
  </si>
  <si>
    <t>Dealing with Grief, Loss, and Change as an Employee</t>
  </si>
  <si>
    <t>Skills for Inclusive Conversations</t>
  </si>
  <si>
    <t>Building Relationships While Working from Home</t>
  </si>
  <si>
    <t>Redesigning How We Work in 2021</t>
  </si>
  <si>
    <t>Creating a Connection Culture</t>
  </si>
  <si>
    <t>Business Collaboration in the Modern Workplace</t>
  </si>
  <si>
    <t>Communicating with Diplomacy and Tact</t>
  </si>
  <si>
    <t>Grit: How Teams Persevere to Accomplish Great Goals</t>
  </si>
  <si>
    <t>Empathy at Work</t>
  </si>
  <si>
    <t>Developing Business Partnerships</t>
  </si>
  <si>
    <t>Communicating during Times of Change</t>
  </si>
  <si>
    <t>Create a Successful Pitch for Investors</t>
  </si>
  <si>
    <t>CMO Foundations: Working with Leadership and Board-of-Directors</t>
  </si>
  <si>
    <t>Create and Deliver Engaging Presentations</t>
  </si>
  <si>
    <t>Crisis Communication for HR</t>
  </si>
  <si>
    <t>Develop Conflict Management and Resolution Skills</t>
  </si>
  <si>
    <t>Organizational Thought Leadership</t>
  </si>
  <si>
    <t>Develop, Motivate, and Retain Employees</t>
  </si>
  <si>
    <t>Develop Your Communication and Interpersonal Influence Skills</t>
  </si>
  <si>
    <t>Organization Communication</t>
  </si>
  <si>
    <t>Strategic Negotiation</t>
  </si>
  <si>
    <t>How to Engage Meaningfully in Allyship and Anti-Racism</t>
  </si>
  <si>
    <t>Navigating Politics as a Senior Leader</t>
  </si>
  <si>
    <t>Improve Your Interoffice Politics Skills</t>
  </si>
  <si>
    <t>Leading from the Middle</t>
  </si>
  <si>
    <t>Reputation Risk Management</t>
  </si>
  <si>
    <t>Navigating Election Season at Work</t>
  </si>
  <si>
    <t>Negotiating with Agility</t>
  </si>
  <si>
    <t>Visual Communication for Business Professionals</t>
  </si>
  <si>
    <t>Stories Every Leader Should Tell</t>
  </si>
  <si>
    <t>Becoming a Thought Leader</t>
  </si>
  <si>
    <t>Taking Charge of Your Leadership Conversations</t>
  </si>
  <si>
    <t>Critical Thinking for More Effective Communication</t>
  </si>
  <si>
    <t>Creating a Culture That Inspires Your Employees</t>
  </si>
  <si>
    <t>Communicating In the Language of Leadership</t>
  </si>
  <si>
    <t>Body Language for Leaders</t>
  </si>
  <si>
    <t>Communicating Internally during Times of Uncertainty</t>
  </si>
  <si>
    <t>Leading with Applied Improv</t>
  </si>
  <si>
    <t>Leading with Intelligent Disobedience</t>
  </si>
  <si>
    <t>Executive Presence on Video Conference Calls</t>
  </si>
  <si>
    <t>Improving Your Leadership Communications</t>
  </si>
  <si>
    <t>Compassionate Leadership</t>
  </si>
  <si>
    <t>Integrated Marketing Communication Strategies</t>
  </si>
  <si>
    <t>How to Speak Up Against Racism at Work</t>
  </si>
  <si>
    <t>Communication Foundations</t>
  </si>
  <si>
    <t>Learning to Be Approachable</t>
  </si>
  <si>
    <t>Negotiation Skills</t>
  </si>
  <si>
    <t>Persuading Others</t>
  </si>
  <si>
    <t>Women Transforming Tech: Finding Sponsors</t>
  </si>
  <si>
    <t>Women Transforming Tech: Getting Strategic with Your Career</t>
  </si>
  <si>
    <t>Women Transforming Tech: Voices from the Field</t>
  </si>
  <si>
    <t>Own Your Voice: Improve Presentations and Executive Presence</t>
  </si>
  <si>
    <t>Learning Webex Meetings</t>
  </si>
  <si>
    <t>Find Your Passion: How Padma Lakshmi Found Hers</t>
  </si>
  <si>
    <t>Jeffrey Gitomer’s Little Red Book of Sales Answers (getAbstract Summary)</t>
  </si>
  <si>
    <t>Crucial Conversations (getAbstract Summary)</t>
  </si>
  <si>
    <t>How to Crush Self-Doubt and Build Self-Confidence</t>
  </si>
  <si>
    <t>Becoming an Impactful and Influential Leader</t>
  </si>
  <si>
    <t>The Power of Introverts</t>
  </si>
  <si>
    <t>The Upward Spiral of Compassion</t>
  </si>
  <si>
    <t>The Science of Compassion: An Introduction</t>
  </si>
  <si>
    <t>Inspirational Leadership Skills: Practical Motivational Leadership</t>
  </si>
  <si>
    <t>Constructive Candor: Important Conversations with Coworkers, Family, and Friends</t>
  </si>
  <si>
    <t>How to Win Arguments</t>
  </si>
  <si>
    <t>Media Relations Foundations</t>
  </si>
  <si>
    <t>Practical Influencing Techniques</t>
  </si>
  <si>
    <t>Becoming Assertive: Advocate for Your Interests</t>
  </si>
  <si>
    <t>Centered Communication: Get Better Results from Your Conversations</t>
  </si>
  <si>
    <t>Three Tips for Managing Egos and Difficult Emotions</t>
  </si>
  <si>
    <t>How to Be Both Assertive and Likable</t>
  </si>
  <si>
    <t>Influence Without Authority (getAbstract Summary)</t>
  </si>
  <si>
    <t>Articulating Your Value</t>
  </si>
  <si>
    <t>How to Persuade When Facts Don't Seem to Matter</t>
  </si>
  <si>
    <t>How to Listen and How to Be Heard (getAbstract Summary)</t>
  </si>
  <si>
    <t>How to Speak So People Want to Listen</t>
  </si>
  <si>
    <t>Becoming a Great Conversationalist</t>
  </si>
  <si>
    <t>Talking Boldly: When Inclusion Meets Politics at the Office</t>
  </si>
  <si>
    <t>Building Inclusive Work Communities</t>
  </si>
  <si>
    <t>Negotiation Foundations</t>
  </si>
  <si>
    <t>Presenting Technical Information with Stories</t>
  </si>
  <si>
    <t>Building Business Relationships</t>
  </si>
  <si>
    <t>Selling to Executives</t>
  </si>
  <si>
    <t>Preparing for Successful Communication</t>
  </si>
  <si>
    <t>Leading with Kindness and Strength</t>
  </si>
  <si>
    <t>Successful Networking</t>
  </si>
  <si>
    <t>Building Your Visibility as a Leader</t>
  </si>
  <si>
    <t>Media Training Essentials</t>
  </si>
  <si>
    <t>Advanced Business Development: Communication and Negotiation</t>
  </si>
  <si>
    <t>Managing Office Politics</t>
  </si>
  <si>
    <t>Communicating with Confidence</t>
  </si>
  <si>
    <t>Starting a Memorable Conversation</t>
  </si>
  <si>
    <t>Asserting Yourself, an Empowered Choice</t>
  </si>
  <si>
    <t>How to Create and Run a Brilliant Remote Workshop</t>
  </si>
  <si>
    <t>Zoom: Leading Effective and Engaging Calls</t>
  </si>
  <si>
    <t>Complete Confidence in Minutes: Weekly</t>
  </si>
  <si>
    <t>Preparing to Interview for a Creative Role</t>
  </si>
  <si>
    <t>How to Own a Room</t>
  </si>
  <si>
    <t>Difficult Conversations: Talking About Race at Work</t>
  </si>
  <si>
    <t>Speaking Up At Work</t>
  </si>
  <si>
    <t>Difficult Conversations about Politics at Work</t>
  </si>
  <si>
    <t>17 PR Mistakes to Avoid</t>
  </si>
  <si>
    <t>The Step-by-Step Guide to Building your Thought Leadership on LinkedIn</t>
  </si>
  <si>
    <t>Listen to Lead</t>
  </si>
  <si>
    <t>Having Powerful, Advanced Conversations</t>
  </si>
  <si>
    <t>Managing Your Emotions at Work</t>
  </si>
  <si>
    <t>Complex Negotiation Tips</t>
  </si>
  <si>
    <t>Backgrounder: Netiquette</t>
  </si>
  <si>
    <t>The 10 Essentials of Influence and Persuasion</t>
  </si>
  <si>
    <t>Writing and Delivering Speeches</t>
  </si>
  <si>
    <t>How to Stand Out Remotely</t>
  </si>
  <si>
    <t>Communicating with Emotional Intelligence</t>
  </si>
  <si>
    <t>Uncovering Your Authentic Self at Work</t>
  </si>
  <si>
    <t>Influencing Others</t>
  </si>
  <si>
    <t>Communicating Across Cultures Virtually</t>
  </si>
  <si>
    <t>Unlocking Authentic Communication in a Culturally-Diverse Workplace</t>
  </si>
  <si>
    <t>Managing in Difficult Times</t>
  </si>
  <si>
    <t xml:space="preserve">Develop Conflict Management and Resolution Skills </t>
  </si>
  <si>
    <t>Managing Conflict: A Practical Guide to Resolution in the Workplace (getAbstract Summary)</t>
  </si>
  <si>
    <t>Crisis Communication</t>
  </si>
  <si>
    <t>Succeeding in Sales During Times of Volatility</t>
  </si>
  <si>
    <t>Difficult Situations: Solutions for Managers</t>
  </si>
  <si>
    <t>Jeff Weiner on Managing Compassionately</t>
  </si>
  <si>
    <t>Going to Extremes: How Like Minds Unite and Divide (getAbstract Summary)</t>
  </si>
  <si>
    <t>Human Resources: Managing Employee Problems</t>
  </si>
  <si>
    <t>Leading through Relationships</t>
  </si>
  <si>
    <t>Managing Employee Performance Problems</t>
  </si>
  <si>
    <t>Having Difficult Conversations: A Guide for Managers</t>
  </si>
  <si>
    <t>Radical Candor (Blinkist Summary)</t>
  </si>
  <si>
    <t>Dealing with Microaggression as an Employee</t>
  </si>
  <si>
    <t>De-Escalating Conversations for Customer Service</t>
  </si>
  <si>
    <t>How to Resolve Conflicts</t>
  </si>
  <si>
    <t>How to Proactively Manage Conflict as an Employee</t>
  </si>
  <si>
    <t>Conflict Resolution Foundations</t>
  </si>
  <si>
    <t>Dealing with Difficult People in Your Office</t>
  </si>
  <si>
    <t>How to Manage High-Stakes Conflict</t>
  </si>
  <si>
    <t>How to Use Negotiation Jiu Jitsu to Resolve Conflicts and Persuade</t>
  </si>
  <si>
    <t>Delivering Bad News Effectively</t>
  </si>
  <si>
    <t>Fred Kofman on Managing Conflict</t>
  </si>
  <si>
    <t>Having Difficult Conversations</t>
  </si>
  <si>
    <t>Improving Your Conflict Competence</t>
  </si>
  <si>
    <t>Leading in Crisis</t>
  </si>
  <si>
    <t>Marketing During a Crisis</t>
  </si>
  <si>
    <t>How to Give Negative Feedback to Senior Colleagues</t>
  </si>
  <si>
    <t>Managing Misconduct in the Workplace</t>
  </si>
  <si>
    <t>Pricing Strategy: Value-Based Pricing</t>
  </si>
  <si>
    <t>Become an AMA Professional Certified Marketer in Digital Marketing</t>
  </si>
  <si>
    <t>Become a Content Strategist</t>
  </si>
  <si>
    <t>CMO Foundations: Measuring Marketing Effectiveness (ROI)</t>
  </si>
  <si>
    <t>Become a Digital Advertising Specialist</t>
  </si>
  <si>
    <t>Blue Ocean Shift: Beyond Competing (Blinkist Summary)</t>
  </si>
  <si>
    <t>Become a Digital Marketing Specialist</t>
  </si>
  <si>
    <t>Brand Leadership: Building Brand and Culture</t>
  </si>
  <si>
    <t>Become a Digital Marketer</t>
  </si>
  <si>
    <t>Leading a Marketing Team</t>
  </si>
  <si>
    <t>Become a Marketing Coordinator</t>
  </si>
  <si>
    <t>SEO: Link Building</t>
  </si>
  <si>
    <t>Become a Marketing Specialist</t>
  </si>
  <si>
    <t>Marketing Tools: Growth Marketing</t>
  </si>
  <si>
    <t>Become an Online Marketing Manager</t>
  </si>
  <si>
    <t>Social Media Marketing Tips</t>
  </si>
  <si>
    <t>Become a Public Relations Specialist</t>
  </si>
  <si>
    <t>Job Interview Tips for Marketing Managers</t>
  </si>
  <si>
    <t>Become a Social Media Advertising Specialist</t>
  </si>
  <si>
    <t>Advertising on LinkedIn</t>
  </si>
  <si>
    <t>Become a Social Media Marketer</t>
  </si>
  <si>
    <t>Become a Marketing Manager</t>
  </si>
  <si>
    <t>SEO: Competitive Analysis</t>
  </si>
  <si>
    <t>Develop Your Marketing Skills</t>
  </si>
  <si>
    <t>Marketing Tools: SEO</t>
  </si>
  <si>
    <t>Improve your Digital Marketing Skills</t>
  </si>
  <si>
    <t>Building an Integrated Online Marketing Plan</t>
  </si>
  <si>
    <t>Master Digital Marketing</t>
  </si>
  <si>
    <t>Advanced SEO: Search Factors</t>
  </si>
  <si>
    <t>Advanced Product Marketing</t>
  </si>
  <si>
    <t>Lead Generation: Social Media</t>
  </si>
  <si>
    <t>Advanced Google Analytics</t>
  </si>
  <si>
    <t>Advertising on Facebook: Advanced</t>
  </si>
  <si>
    <t>Advanced Content Marketing</t>
  </si>
  <si>
    <t>Advanced Google Ads</t>
  </si>
  <si>
    <t>Advanced Facebook Advertising</t>
  </si>
  <si>
    <t>Digital Marketing Trends</t>
  </si>
  <si>
    <t>Growth Hacking Foundations</t>
  </si>
  <si>
    <t>Lifecycle Marketing Foundations</t>
  </si>
  <si>
    <t>Marketing Your Side Hustle</t>
  </si>
  <si>
    <t>Marketing Tips</t>
  </si>
  <si>
    <t>Marketing to Humans</t>
  </si>
  <si>
    <t>Marketing on LinkedIn: The Sophisticated Marketer's Guide</t>
  </si>
  <si>
    <t>Building a Creative Online Community</t>
  </si>
  <si>
    <t>Social Media Video for Business and Marketing</t>
  </si>
  <si>
    <t>Creating Marketing Objectives</t>
  </si>
  <si>
    <t>Determining Market Size for Your Product or Service</t>
  </si>
  <si>
    <t>Social Media Marketing Tips(2019)</t>
  </si>
  <si>
    <t>Marketing Foundations: Automation</t>
  </si>
  <si>
    <t>Content Marketing: Newsletters</t>
  </si>
  <si>
    <t>Identifying Your Target Market</t>
  </si>
  <si>
    <t>Market Research Foundations</t>
  </si>
  <si>
    <t>Marketing Foundations</t>
  </si>
  <si>
    <t>Shopify Ecommerce for Marketers</t>
  </si>
  <si>
    <t>Marketing and Monetizing on YouTube</t>
  </si>
  <si>
    <t>Content Marketing Foundations</t>
  </si>
  <si>
    <t>Learning Google AdSense</t>
  </si>
  <si>
    <t>Advertising on Twitter</t>
  </si>
  <si>
    <t>Social Media Marketing Foundations</t>
  </si>
  <si>
    <t>Branding Foundations</t>
  </si>
  <si>
    <t>Marketing to Generation Z</t>
  </si>
  <si>
    <t>Marketing Tools: Digital Marketing Tools and Services</t>
  </si>
  <si>
    <t>Content Marketing for Social Media</t>
  </si>
  <si>
    <t>Introduction to Social Media Strategy</t>
  </si>
  <si>
    <t>Small Business Marketing</t>
  </si>
  <si>
    <t>Marketing Analytics: Setting and Measuring KPIs</t>
  </si>
  <si>
    <t>Building a Winning Enterprise Marketing Strategy</t>
  </si>
  <si>
    <t>Marketing Foundations: Consumer Behavior</t>
  </si>
  <si>
    <t>Creating and Managing a YouTube Channel</t>
  </si>
  <si>
    <t>Business Analytics: Marketing Data</t>
  </si>
  <si>
    <t>Creating an Editorial Calendar</t>
  </si>
  <si>
    <t>Affiliate Marketing Foundations</t>
  </si>
  <si>
    <t>Programmatic Advertising Foundations</t>
  </si>
  <si>
    <t>International SEO</t>
  </si>
  <si>
    <t>Marketing: Customer Segmentation</t>
  </si>
  <si>
    <t>Marketing on Facebook</t>
  </si>
  <si>
    <t>Direct Mail Marketing</t>
  </si>
  <si>
    <t>Developing a YouTube Strategy</t>
  </si>
  <si>
    <t>Designing an Authentic Brand</t>
  </si>
  <si>
    <t>Marketing on Twitter</t>
  </si>
  <si>
    <t>International Marketing Foundations</t>
  </si>
  <si>
    <t>Learning Logo Design</t>
  </si>
  <si>
    <t>Marketing Virtual Events</t>
  </si>
  <si>
    <t>The 22 Immutable Laws of Branding (Blinkist Summary)</t>
  </si>
  <si>
    <t>How to Build a Following Online</t>
  </si>
  <si>
    <t>Marketing Tools: Social Media</t>
  </si>
  <si>
    <t>Learning Local SEO</t>
  </si>
  <si>
    <t>Learning Instagram</t>
  </si>
  <si>
    <t>Jump-Start Your LinkedIn Live Channel</t>
  </si>
  <si>
    <t>Marketing: Messaging with Purpose</t>
  </si>
  <si>
    <t>Getting Started with Facebook Shop for Creators</t>
  </si>
  <si>
    <t>Building and Engaging with Your Online Following for Creators</t>
  </si>
  <si>
    <t>Advertising on Instagram</t>
  </si>
  <si>
    <t>Marketing Tools: Automation</t>
  </si>
  <si>
    <t>Jump-Start Your Twitch Channel</t>
  </si>
  <si>
    <t>Building an Audience on Instagram for Creators</t>
  </si>
  <si>
    <t>Making Money with Branded Content for Creators</t>
  </si>
  <si>
    <t>Marketing Foundations: Analytics</t>
  </si>
  <si>
    <t>Diversity and Inclusion in Marketing: Inclusive Language for Marketers</t>
  </si>
  <si>
    <t>LinkedIn Creator Mode</t>
  </si>
  <si>
    <t>Advertising on Facebook</t>
  </si>
  <si>
    <t>Content Marketing: Online Reviews in Social Media</t>
  </si>
  <si>
    <t>Marketing Foundations: Ecommerce</t>
  </si>
  <si>
    <t>The Habits of Successful Marketers</t>
  </si>
  <si>
    <t>Social Media Marketing Strategy: TikTok and Instagram Reels</t>
  </si>
  <si>
    <t>Social Media for Working Professionals</t>
  </si>
  <si>
    <t>Brand Design Foundations</t>
  </si>
  <si>
    <t>Designing for Business</t>
  </si>
  <si>
    <t>Creating Social Content with Adobe Animate CC</t>
  </si>
  <si>
    <t>Social Media for Video Pros</t>
  </si>
  <si>
    <t>Social Media Marketing for Small Business</t>
  </si>
  <si>
    <t>Jonah Berger on Viral Marketing</t>
  </si>
  <si>
    <t>SEO Foundations</t>
  </si>
  <si>
    <t>Introduction to Content Marketing</t>
  </si>
  <si>
    <t>Disruptive Branding (Blinkist Summary)</t>
  </si>
  <si>
    <t>Artificial Intelligence for Marketing</t>
  </si>
  <si>
    <t>Social Media Marketing Trends</t>
  </si>
  <si>
    <t>B2B Marketing Foundations: Positioning</t>
  </si>
  <si>
    <t>Social Media Marketing: Social CRM</t>
  </si>
  <si>
    <t>Advertising on Pinterest</t>
  </si>
  <si>
    <t>Social Media Monitoring: Strategies and Skills</t>
  </si>
  <si>
    <t>Content Marketing: ROI</t>
  </si>
  <si>
    <t>Email Marketing: Strategy and Optimization</t>
  </si>
  <si>
    <t>Advertising on YouTube</t>
  </si>
  <si>
    <t>Create a Go-to-Market Plan</t>
  </si>
  <si>
    <t>Growth Hacking Tips</t>
  </si>
  <si>
    <t>Improve SEO for Your Ecommerce Site</t>
  </si>
  <si>
    <t>Social Media Marketing: Strategy and Optimization</t>
  </si>
  <si>
    <t>SEO: Keyword Strategy</t>
  </si>
  <si>
    <t>SEO: Videos</t>
  </si>
  <si>
    <t>Aligning Sales and Marketing</t>
  </si>
  <si>
    <t>Python for Marketing</t>
  </si>
  <si>
    <t>17 Questions to Help Improve Your Marketing</t>
  </si>
  <si>
    <t>Employer Branding on LinkedIn</t>
  </si>
  <si>
    <t>Become a Marketing Entrepreneur</t>
  </si>
  <si>
    <t>Market Research: Qualitative</t>
  </si>
  <si>
    <t>Social Selling: Reaching Prospects</t>
  </si>
  <si>
    <t>SEO: Ecommerce Strategies</t>
  </si>
  <si>
    <t>Remarketing Strategies with Google Ads and Analytics</t>
  </si>
  <si>
    <t>Technical SEO</t>
  </si>
  <si>
    <t>Social Media Marketing: ROI</t>
  </si>
  <si>
    <t>Consumer Behavior Trends: Meet the Postmodern Consumer</t>
  </si>
  <si>
    <t>Marketing: Copywriting for Social Media</t>
  </si>
  <si>
    <t>Augmented Reality Marketing</t>
  </si>
  <si>
    <t>Lead Generation: Multichannel PPC Strategy</t>
  </si>
  <si>
    <t>Marketing Attribution and Mix Modeling</t>
  </si>
  <si>
    <t>Building Creative Organizations</t>
  </si>
  <si>
    <t>Fostering Innovation</t>
  </si>
  <si>
    <t>Develop Your Creative Thinking and Innovation Skills</t>
  </si>
  <si>
    <t>Leading with Innovation</t>
  </si>
  <si>
    <t>Improve Your Creativity Skills</t>
  </si>
  <si>
    <t>Jeff Dyer on Innovation</t>
  </si>
  <si>
    <t>Improve Your Problem Solving Skills</t>
  </si>
  <si>
    <t>Mapping Innovation: A Playbook for Navigating a Disruptive Age (getAbstract Summary)</t>
  </si>
  <si>
    <t>Stay Competitive Using Design Thinking</t>
  </si>
  <si>
    <t>Built to Last: Successful Habits of Visionary Companies (Blinkist Summary)</t>
  </si>
  <si>
    <t>Working with Creatives</t>
  </si>
  <si>
    <t>Lean Technology Strategy: Managing the Innovation Portfolio</t>
  </si>
  <si>
    <t>Service Innovation</t>
  </si>
  <si>
    <t>Innovating Out of Crisis</t>
  </si>
  <si>
    <t>Executing on Innovation: A Process That Scales</t>
  </si>
  <si>
    <t>Leading like a Futurist</t>
  </si>
  <si>
    <t>Balancing Innovation and Risk</t>
  </si>
  <si>
    <t>Using Questions to Foster Critical Thinking and Curiosity</t>
  </si>
  <si>
    <t>The Business Case for Creativity</t>
  </si>
  <si>
    <t>Creative Thinking Strategies for Leaders</t>
  </si>
  <si>
    <t>Developing Your Creativity as a Leader</t>
  </si>
  <si>
    <t>Thinking Creatively</t>
  </si>
  <si>
    <t>Learning Brainstorming</t>
  </si>
  <si>
    <t>Take a More Creative Approach to Problem-Solving</t>
  </si>
  <si>
    <t>The Five-Step Creative Process</t>
  </si>
  <si>
    <t>Icebreakers for Teams, Meetings, and Groups</t>
  </si>
  <si>
    <t>How Getting Curious Helps You Achieve Everything</t>
  </si>
  <si>
    <t>The 4 Lenses of Innovation (getAbstract Summary)</t>
  </si>
  <si>
    <t>Four Simple Strategies to Boost Creativity and Productivity</t>
  </si>
  <si>
    <t>Business Innovation Foundations</t>
  </si>
  <si>
    <t>Introduction to Responsible AI Algorithm Design</t>
  </si>
  <si>
    <t>How Blockchains Will Change Business</t>
  </si>
  <si>
    <t>Design Thinking: Implementing the Process</t>
  </si>
  <si>
    <t>Charles Adler: A Story of Kickstarting an Idea</t>
  </si>
  <si>
    <t>Practical Creativity for Everyone</t>
  </si>
  <si>
    <t>Graphic Design Foundations: Ideas, Concepts, and Form</t>
  </si>
  <si>
    <t>Applied Curiosity</t>
  </si>
  <si>
    <t>Creativity: Generate Ideas in Greater Quantity and Quality</t>
  </si>
  <si>
    <t>Creativity Tips for All Weekly</t>
  </si>
  <si>
    <t>How to Boost Your Creativity at Home in 10 Days</t>
  </si>
  <si>
    <t>21-Day Creative Exercise Desk Challenge</t>
  </si>
  <si>
    <t>Banish Your Inner Critic to Unleash Creativity</t>
  </si>
  <si>
    <t>Implementing Creative Feedback the Win-Win Way</t>
  </si>
  <si>
    <t>Branding Strategy: Define Your Creative Edge</t>
  </si>
  <si>
    <t>Unlocking Creativity (Blinkist Summary)</t>
  </si>
  <si>
    <t>Design Thinking: Understanding the Process</t>
  </si>
  <si>
    <t>Smarter Cities: Using Data to Drive Urban Innovation</t>
  </si>
  <si>
    <t>Conducting a SWOT Analysis</t>
  </si>
  <si>
    <t>Creativity at Work: A Short Course from Seth Godin</t>
  </si>
  <si>
    <t>Creative Confidence (Blinkist Summary)</t>
  </si>
  <si>
    <t>Productive Creativity</t>
  </si>
  <si>
    <t>Unique Ways to Generate Creative Ideas</t>
  </si>
  <si>
    <t>Finding Creativity in Uncertain Times</t>
  </si>
  <si>
    <t>UX Deep Dive: Remote Research</t>
  </si>
  <si>
    <t>Psychological Safety: Clear Blocks to Innovation, Collaboration, and Risk-Taking</t>
  </si>
  <si>
    <t>Managing Innovation</t>
  </si>
  <si>
    <t>The Definitive Drucker (getAbstract Summary)</t>
  </si>
  <si>
    <t xml:space="preserve">Develop Critical-Thinking, Decision-Making, and Problem-Solving Skills </t>
  </si>
  <si>
    <t>Reid Hoffman and Chris Yeh on Blitzscaling</t>
  </si>
  <si>
    <t>Improve Your Problem-Solving Skills</t>
  </si>
  <si>
    <t>Executive Decision-Making</t>
  </si>
  <si>
    <t>Start with Why: How Great Leaders Inspire Everyone to Take Action (Blinkist Summary)</t>
  </si>
  <si>
    <t>Overcoming Decision-Making Traps</t>
  </si>
  <si>
    <t>Developing a Critical Thinking Mindset</t>
  </si>
  <si>
    <t>Making Key Decisions as a Manager</t>
  </si>
  <si>
    <t>Crafting Questions to Make Better Decisions</t>
  </si>
  <si>
    <t>The Secret to Better Decisions: Stop Hoarding Chips</t>
  </si>
  <si>
    <t>Critical Thinking for Better Judgment and Decision-Making</t>
  </si>
  <si>
    <t>Privacy in the New World of Work</t>
  </si>
  <si>
    <t>Problem Solving Techniques</t>
  </si>
  <si>
    <t>Process Improvement Foundations</t>
  </si>
  <si>
    <t>Crafting Problem and Solution Statements</t>
  </si>
  <si>
    <t>Improving Your Judgment for Better Decision-Making</t>
  </si>
  <si>
    <t>Overcoming Cognitive Bias</t>
  </si>
  <si>
    <t>Improving Your Thinking</t>
  </si>
  <si>
    <t>How to Use Data Visualization to Make Better Decisions—Faster</t>
  </si>
  <si>
    <t>Emotional Intelligence as an Inclusivity Booster</t>
  </si>
  <si>
    <t>Successful Goal Setting</t>
  </si>
  <si>
    <t>Making Quick Decisions</t>
  </si>
  <si>
    <t>The Undercover Economist: The Economics behind Everyday Decisions (Blinkist Summary)</t>
  </si>
  <si>
    <t>The Decision Makeover (getAbstract Summary)</t>
  </si>
  <si>
    <t>Critical Thinking and Problem Solving</t>
  </si>
  <si>
    <t>Think Like a Lawyer to Make Decisions and Solve Problems</t>
  </si>
  <si>
    <t>Smarter Faster Better (Blinkist Summary)</t>
  </si>
  <si>
    <t>Thinking, Fast and Slow (Blinkist Summary)</t>
  </si>
  <si>
    <t>Decision-Making in High-Stress Situations</t>
  </si>
  <si>
    <t>How to Fix Bad Agile</t>
  </si>
  <si>
    <t>Become a Customer Service Manager</t>
  </si>
  <si>
    <t>Customer Experience Leadership</t>
  </si>
  <si>
    <t>Become a Customer Service Specialist</t>
  </si>
  <si>
    <t>Creating a Culture of Privacy</t>
  </si>
  <si>
    <t>Become a Customer Support Specialist</t>
  </si>
  <si>
    <t>Business Fundamentals for Customer Success Managers</t>
  </si>
  <si>
    <t xml:space="preserve">Develop Your Customer Service Skills </t>
  </si>
  <si>
    <t>Customer Service: Preventing Turnover</t>
  </si>
  <si>
    <t>Creating a Positive Customer Experience</t>
  </si>
  <si>
    <t>Customer Service and Support During Economic Downturns</t>
  </si>
  <si>
    <t>Serving Customers in a Continuously Changing World</t>
  </si>
  <si>
    <t>Calculating the Value and ROI of Customer Service</t>
  </si>
  <si>
    <t>Winning Back a Lost Customer</t>
  </si>
  <si>
    <t>Journey Mapping: Case Study in Action</t>
  </si>
  <si>
    <t>Customer Service: Creating Customer Value</t>
  </si>
  <si>
    <t>Using Assessments to Hire Customer Service Reps</t>
  </si>
  <si>
    <t>Talking to Customers</t>
  </si>
  <si>
    <t>Customer Service Foundations</t>
  </si>
  <si>
    <t>Delivering Bad News to a Customer</t>
  </si>
  <si>
    <t>Ecommerce Fundamentals (2020)</t>
  </si>
  <si>
    <t>Empathy for Customer Service Professionals</t>
  </si>
  <si>
    <t>Customer Success Management Fundamentals</t>
  </si>
  <si>
    <t>Value Realization Best Practices for Customer Success Management</t>
  </si>
  <si>
    <t>Avoiding Common Pitfalls in Customer Success Management</t>
  </si>
  <si>
    <t>Onboarding and Adoption Best Practices for Customer Success Management</t>
  </si>
  <si>
    <t>Engagement Preparation Best Practices for Customer Success Management</t>
  </si>
  <si>
    <t>Product Management: Customer Development</t>
  </si>
  <si>
    <t>Making Business Videos for Customers</t>
  </si>
  <si>
    <t>Aftersale: Maintaining Relationships</t>
  </si>
  <si>
    <t>Data Ethics: Managing Your Private Customer Data</t>
  </si>
  <si>
    <t>Empathy in UX Design</t>
  </si>
  <si>
    <t>Customer Service: Handling Abusive Customers</t>
  </si>
  <si>
    <t>Customer Service: Managing Customer Feedback</t>
  </si>
  <si>
    <t>Customer Service: Problem Solving and Troubleshooting</t>
  </si>
  <si>
    <t>Developing a Service Mindset</t>
  </si>
  <si>
    <t>Building Rapport with Customers</t>
  </si>
  <si>
    <t>Customer Service: Managing Customer Expectations</t>
  </si>
  <si>
    <t>Providing Legendary Customer Service</t>
  </si>
  <si>
    <t>Data Driven: Harnessing Data and AI to Reinvent Customer Engagement (getAbstract Summary)</t>
  </si>
  <si>
    <t>Just Ask: Dean Karrel on Sales</t>
  </si>
  <si>
    <t>Building Customer Loyalty</t>
  </si>
  <si>
    <t>Creating Positive Conversations with Challenging Customers</t>
  </si>
  <si>
    <t>Customer Experience: Journey Mapping</t>
  </si>
  <si>
    <t>Customer Experience: Service Blueprinting</t>
  </si>
  <si>
    <t>Customer Service: Motivating Your Team</t>
  </si>
  <si>
    <t>Innovative Customer Service Techniques</t>
  </si>
  <si>
    <t>Leading a Customer-Centric Culture</t>
  </si>
  <si>
    <t>Managing a Customer Service Team</t>
  </si>
  <si>
    <t>Working with Upset Customers</t>
  </si>
  <si>
    <t>Aligning Customer Experience with Company Culture</t>
  </si>
  <si>
    <t>Customer Service Using AI and Machine Learning</t>
  </si>
  <si>
    <t>Customer Service: Serving Customers Through Chat and Text</t>
  </si>
  <si>
    <t>Serving Customers Using Social Media</t>
  </si>
  <si>
    <t>A Design Thinking Approach to Putting the Customer First</t>
  </si>
  <si>
    <t>Business Development Foundations: Researching Market and Customer Needs</t>
  </si>
  <si>
    <t>Customer Service: Knowledge Management</t>
  </si>
  <si>
    <t>Data Strategy</t>
  </si>
  <si>
    <t>Advance Your Data Science Skills in Health Sciences</t>
  </si>
  <si>
    <t>Advance Your Skills in Predictive Analytics</t>
  </si>
  <si>
    <t>Leading Teams Working with Data: Pitfalls and Best Practices</t>
  </si>
  <si>
    <t>Become a Business Analyst</t>
  </si>
  <si>
    <t>Measuring Business Performance</t>
  </si>
  <si>
    <t>Become a Business Analytics Expert</t>
  </si>
  <si>
    <t>Learning Data Governance</t>
  </si>
  <si>
    <t>Become a Data Analyst</t>
  </si>
  <si>
    <t>Data Visualization: Best Practices</t>
  </si>
  <si>
    <t>Become a Data Visualization Specialist: Concepts</t>
  </si>
  <si>
    <t>15 Mistakes to Avoid in Data Science</t>
  </si>
  <si>
    <t>Become a Data Visualization Specialist: Tools</t>
  </si>
  <si>
    <t>Lessons from Data Scientists</t>
  </si>
  <si>
    <t>Become a Data Analytics Specialist</t>
  </si>
  <si>
    <t>Excel VBA: Managing Files and Data</t>
  </si>
  <si>
    <t>Become a Data Scientist</t>
  </si>
  <si>
    <t>Business Analytics: Forecasting with Exponential Smoothing</t>
  </si>
  <si>
    <t>Build Essential Data Skills</t>
  </si>
  <si>
    <t>Cert Prep: Excel Expert - Microsoft Office Specialist for Office 2019 and Office 365</t>
  </si>
  <si>
    <t>Become a Business Intelligence Specialist</t>
  </si>
  <si>
    <t>Machine Learning &amp; AI: Advanced Decision Trees</t>
  </si>
  <si>
    <t xml:space="preserve">Develop Your Data Analysis Skills </t>
  </si>
  <si>
    <t>People Analytics</t>
  </si>
  <si>
    <t>Get Ahead In Data Science</t>
  </si>
  <si>
    <t>Apache Flink: Exploratory Data Analytics with SQL</t>
  </si>
  <si>
    <t>Master Advanced Excel Data &amp; Analytics Skills</t>
  </si>
  <si>
    <t>Data-Driven Learning Design</t>
  </si>
  <si>
    <t>Master Excel for Data Science</t>
  </si>
  <si>
    <t>Business Analysis Foundations: Business Process Modeling</t>
  </si>
  <si>
    <t>Master Python for Data Science</t>
  </si>
  <si>
    <t>Business Analysis Foundations: Competencies</t>
  </si>
  <si>
    <t>Data Fluency: Exploring and Describing Data</t>
  </si>
  <si>
    <t>Data Science Tools of the Trade: First Steps</t>
  </si>
  <si>
    <t>Learning Excel: Data Analysis</t>
  </si>
  <si>
    <t>SQL for Exploratory Data Analysis Essential Training</t>
  </si>
  <si>
    <t>Studying for the Certified Business Analysis Professional (CBAP)®</t>
  </si>
  <si>
    <t>Introducing AI to Your Organization</t>
  </si>
  <si>
    <t>SAS® 9.4 Cert Prep: Part 05 Analyzing and Reporting on Data</t>
  </si>
  <si>
    <t>Introduction to Business Analytics</t>
  </si>
  <si>
    <t>Data Ethics: Making Data-Driven Decisions</t>
  </si>
  <si>
    <t>Business Analytics: Sales Data</t>
  </si>
  <si>
    <t>Ethics and Law in Data Analytics</t>
  </si>
  <si>
    <t>Power BI: Dashboards for Beginners</t>
  </si>
  <si>
    <t>15 Tips for Landing a Data Science Job</t>
  </si>
  <si>
    <t>Data Ethics: Watching Out for Data Misuse</t>
  </si>
  <si>
    <t>Presenting Data Effectively to Inform and Inspire</t>
  </si>
  <si>
    <t>Blockchain Basics</t>
  </si>
  <si>
    <t>Data Science Foundations: Fundamentals</t>
  </si>
  <si>
    <t>Excel Statistics Essential Training: 1</t>
  </si>
  <si>
    <t>Learning Data Visualization</t>
  </si>
  <si>
    <t>The Data Game of Fantasy Football</t>
  </si>
  <si>
    <t>Learning Public Data Sets</t>
  </si>
  <si>
    <t>SPSS Statistics Essential Training</t>
  </si>
  <si>
    <t>R Essential Training: Wrangling and Visualizing Data</t>
  </si>
  <si>
    <t>Cloud Hadoop: Scaling Apache Spark</t>
  </si>
  <si>
    <t>The Non-Technical Skills of Effective Data Scientists</t>
  </si>
  <si>
    <t>R Essential Training Part 2: Modeling Data</t>
  </si>
  <si>
    <t>How to Perform Business Analysis in a Virtual Environment</t>
  </si>
  <si>
    <t>LinkedIn Learning Highlights: Data Science and Analytics</t>
  </si>
  <si>
    <t>Tech Ethics: Avoiding Unintended Consequences</t>
  </si>
  <si>
    <t>The Data Science of Media and Entertainment with Barton Poulson</t>
  </si>
  <si>
    <t>The Data Science of Government and Political Science, with Barton Poulson</t>
  </si>
  <si>
    <t>The Data Science of Retail, Sales, and Commerce</t>
  </si>
  <si>
    <t>Skills That Set Data Scientists Apart</t>
  </si>
  <si>
    <t>Hiring a Chief Data Officer</t>
  </si>
  <si>
    <t>Best Languages for Data Science</t>
  </si>
  <si>
    <t>Giving Computers Vision</t>
  </si>
  <si>
    <t>Excel Statistics Essential Training: 2</t>
  </si>
  <si>
    <t>Business Analytics Foundations: Descriptive, Exploratory, and Explanatory Analytics</t>
  </si>
  <si>
    <t>Business Analytics Foundations: Predictive, Prescriptive, and Experimental Analytics</t>
  </si>
  <si>
    <t>Design Thinking: Data Intelligence</t>
  </si>
  <si>
    <t>Excel: Charts in Depth</t>
  </si>
  <si>
    <t>UX Deep Dive: Analyzing Data</t>
  </si>
  <si>
    <t>Data Visualization: Storytelling</t>
  </si>
  <si>
    <t>Excel Supply Chain Analysis: Solving Transportation Problems</t>
  </si>
  <si>
    <t>NoSQL Data Modeling Essential Training</t>
  </si>
  <si>
    <t>Telling Stories with Data</t>
  </si>
  <si>
    <t>Power BI Data Modeling with DAX</t>
  </si>
  <si>
    <t>Big Data Analytics with Hadoop and Apache Spark</t>
  </si>
  <si>
    <t>Text Analytics and Predictions with R Essential Training</t>
  </si>
  <si>
    <t>Data Dashboards in Power BI</t>
  </si>
  <si>
    <t>Power BI Data Methods</t>
  </si>
  <si>
    <t>Using Python with Excel</t>
  </si>
  <si>
    <t>Python for Data Visualization</t>
  </si>
  <si>
    <t>SQL: Data Reporting and Analysis</t>
  </si>
  <si>
    <t>Power BI Dataflows Essential Training</t>
  </si>
  <si>
    <t>SAP ERP: Beyond the Basics</t>
  </si>
  <si>
    <t>Tableau and R for Analytics Projects</t>
  </si>
  <si>
    <t>ABAP for SAP Users</t>
  </si>
  <si>
    <t>Review and Manage the SAP MRP List</t>
  </si>
  <si>
    <t>AI in Business Essential Training</t>
  </si>
  <si>
    <t>AI in Fintech Essential Training</t>
  </si>
  <si>
    <t>Excel: Avoiding Common Mistakes (Office 365/Excel 2019)</t>
  </si>
  <si>
    <t>The Data Science of Experimental Design</t>
  </si>
  <si>
    <t>Side Hustle Strategies for Data Science and Analytics Experts</t>
  </si>
  <si>
    <t>PostgreSQL Essential Training</t>
  </si>
  <si>
    <t>Data Visualization for Data Analysis and Analytics</t>
  </si>
  <si>
    <t>Learning Digital Business Analysis</t>
  </si>
  <si>
    <t>Agile Analysis Weekly Tips</t>
  </si>
  <si>
    <t>Cert Prep: Agile Analysis (IIBA®-AAC)</t>
  </si>
  <si>
    <t>Business Analyst and Project Manager Collaboration</t>
  </si>
  <si>
    <t>Microsoft Power Apps: Using the Dataverse (Formerly the Common Data Service)</t>
  </si>
  <si>
    <t>Designing, Training, and Instructing Courses</t>
  </si>
  <si>
    <t>Reinforcement Learning Foundations</t>
  </si>
  <si>
    <t>Advance Your Skills as a User Experience Researcher</t>
  </si>
  <si>
    <t>Connecting LinkedIn Learning with Your Organization's Systems</t>
  </si>
  <si>
    <t>Become an L&amp;D Professional</t>
  </si>
  <si>
    <t>Camtasia Essential Training: Advanced Techniques</t>
  </si>
  <si>
    <t>Become an Instructional Designer</t>
  </si>
  <si>
    <t>Creating Inclusive Learning Experiences</t>
  </si>
  <si>
    <t>Become an Instructional Developer</t>
  </si>
  <si>
    <t>Corporate Instruction Foundations</t>
  </si>
  <si>
    <t>Become an Online Instructor</t>
  </si>
  <si>
    <t>Learning Articulate Rise</t>
  </si>
  <si>
    <t>Become a User Experience Designer</t>
  </si>
  <si>
    <t>Camtasia 2019 for Mac Essential Training</t>
  </si>
  <si>
    <t>Build Your Own Professional Training</t>
  </si>
  <si>
    <t>Teaching with LinkedIn Learning</t>
  </si>
  <si>
    <t>Create LinkedIn Mobile Videos</t>
  </si>
  <si>
    <t>Instructional Design Essentials: Models of ID</t>
  </si>
  <si>
    <t>Develop Your Course Design and Instructional Skills</t>
  </si>
  <si>
    <t>Foundations of Corporate Training</t>
  </si>
  <si>
    <t>Improve Your UX Design Skills</t>
  </si>
  <si>
    <t>Graphic Design Careers: First Steps</t>
  </si>
  <si>
    <t>Managing your Career as a Developer</t>
  </si>
  <si>
    <t>Training with Stories</t>
  </si>
  <si>
    <t>Creating Fun and Engaging Video Training: The How</t>
  </si>
  <si>
    <t>Creating Fun and Engaging Video Training: The Why</t>
  </si>
  <si>
    <t>Build Your Own Professional Training: Quick Start Guide</t>
  </si>
  <si>
    <t>Using Humor In Training to Engage Your Audience</t>
  </si>
  <si>
    <t>Learning to Teach Online</t>
  </si>
  <si>
    <t>Learning Moodle 3.9</t>
  </si>
  <si>
    <t>How to Turn Your Entrepreneur Journey into a Successful Keynote Talk</t>
  </si>
  <si>
    <t>Empathy in Business: Design for Success</t>
  </si>
  <si>
    <t>Pivoting to Virtual Events</t>
  </si>
  <si>
    <t>Producing Screencast Videos on a PC</t>
  </si>
  <si>
    <t>Getting Started as a LinkedIn Learning Hub Admin</t>
  </si>
  <si>
    <t>Foundations of Learning Management Systems (LMS)</t>
  </si>
  <si>
    <t>Cert Prep: Adobe Certified Associate - InDesign</t>
  </si>
  <si>
    <t>Articulate 360: Interactive Learning</t>
  </si>
  <si>
    <t>Gaining Internal Buy-In for Elearning Training</t>
  </si>
  <si>
    <t>The Future of Workplace Learning</t>
  </si>
  <si>
    <t>Articulate Storyline 360: Advanced Elearning</t>
  </si>
  <si>
    <t>Camtasia 2019 Essential Training: Advanced Techniques</t>
  </si>
  <si>
    <t>Designing a Training Program: Setting Goals, Objectives, and Mediums</t>
  </si>
  <si>
    <t>Elearning Tips</t>
  </si>
  <si>
    <t>Practical Success Metrics in Your Training Program</t>
  </si>
  <si>
    <t>Interaction Design: Interface</t>
  </si>
  <si>
    <t>Applied Interaction Design: Managing Comments</t>
  </si>
  <si>
    <t>Adobe Captivate: Advanced Actions</t>
  </si>
  <si>
    <t>Converting Face-to-Face Training into Digital Learning</t>
  </si>
  <si>
    <t>Articulate Storyline Quick Tips</t>
  </si>
  <si>
    <t>20 Questions to Improve Learning at Your Organization</t>
  </si>
  <si>
    <t>Applying Analytics to Your Learning Program</t>
  </si>
  <si>
    <t>Leveraging Neuroscience in the Workplace</t>
  </si>
  <si>
    <t>Using Neuroscience for More Effective L&amp;D</t>
  </si>
  <si>
    <t>Design Thinking at Work (getAbstract Summary)</t>
  </si>
  <si>
    <t>Color Trends</t>
  </si>
  <si>
    <t>Technology and Design Ethics</t>
  </si>
  <si>
    <t>Running a Design Business: Writing and Pricing Winning Proposals</t>
  </si>
  <si>
    <t>Corporate Finance: Profitability in a Financial Downturn</t>
  </si>
  <si>
    <t>Become an Accounts Payable Officer</t>
  </si>
  <si>
    <t>Lean Technology Strategy: Financial Management to Support Business Agility</t>
  </si>
  <si>
    <t>Become a Bookkeeper</t>
  </si>
  <si>
    <t>Nonprofit Management Foundations</t>
  </si>
  <si>
    <t>Become a Corporate Financial Planning Analyst</t>
  </si>
  <si>
    <t>Accounting for Managers</t>
  </si>
  <si>
    <t>Become an Economist</t>
  </si>
  <si>
    <t>Job Interview Tips for Accountants</t>
  </si>
  <si>
    <t>Become a Financial Analyst</t>
  </si>
  <si>
    <t>S/4 Finance: Fiori Accounts Receivable Analytics</t>
  </si>
  <si>
    <t>Become a Small Business Owner</t>
  </si>
  <si>
    <t>S/4 Finance: Fiori Accounts Payable Analytics</t>
  </si>
  <si>
    <t>Develop Your Finance and Accounting Skills</t>
  </si>
  <si>
    <t>Advanced Bookkeeping Techniques</t>
  </si>
  <si>
    <t>Get Ahead in the On-Demand Gig Economy</t>
  </si>
  <si>
    <t>Focusing on the Bottom Line as an Employee</t>
  </si>
  <si>
    <t>Stay Ahead in Personal Finance</t>
  </si>
  <si>
    <t>Business Analytics: Forecasting with Seasonal Baseline Smoothing</t>
  </si>
  <si>
    <t>Business Intelligence for Consultants</t>
  </si>
  <si>
    <t>Accounting Foundations: Asset Impairment</t>
  </si>
  <si>
    <t>Financial Adulting</t>
  </si>
  <si>
    <t>SAP ERP Essential Training</t>
  </si>
  <si>
    <t>Accounting Foundations</t>
  </si>
  <si>
    <t>Accounting Foundations: Bookkeeping</t>
  </si>
  <si>
    <t>Accounting Foundations: Budgeting</t>
  </si>
  <si>
    <t>Audit and Due Diligence Foundations</t>
  </si>
  <si>
    <t>Business Tax Foundations</t>
  </si>
  <si>
    <t>Finance Foundations</t>
  </si>
  <si>
    <t>Finance Foundations: Income Taxes</t>
  </si>
  <si>
    <t>Running a Profitable Business: Understanding Financial Ratios</t>
  </si>
  <si>
    <t>Teaching Your Kids About Finance</t>
  </si>
  <si>
    <t>Finance Foundations for Solopreneurs</t>
  </si>
  <si>
    <t>Understanding Capital Markets</t>
  </si>
  <si>
    <t>How to Analyze a Wholesale Deal in Real Estate</t>
  </si>
  <si>
    <t>Consulting Foundations</t>
  </si>
  <si>
    <t>Applying Agile MoSCoW Prioritization</t>
  </si>
  <si>
    <t>Picking the Right Chart for Your Data</t>
  </si>
  <si>
    <t>Applying Managerial Accounting</t>
  </si>
  <si>
    <t>Corporate Finance Foundations</t>
  </si>
  <si>
    <t>Financial Accounting Foundations</t>
  </si>
  <si>
    <t>Behavioral Finance Foundations</t>
  </si>
  <si>
    <t>Using the Time Value of Money to Make Financial Decisions</t>
  </si>
  <si>
    <t>Finance Essentials for Small Business</t>
  </si>
  <si>
    <t>Managing Your Personal Finances</t>
  </si>
  <si>
    <t>First Five Things You Have to Do to Start a Business as a Creator</t>
  </si>
  <si>
    <t>Build Your Financial Literacy</t>
  </si>
  <si>
    <t>Managerial Finance Foundations</t>
  </si>
  <si>
    <t>Accounting Foundations: Understanding the GAAP (Generally Accepted Accounting Principles)</t>
  </si>
  <si>
    <t>QuickBooks Online Essential Training</t>
  </si>
  <si>
    <t>QuickBooks Pro 2019 Essential Training</t>
  </si>
  <si>
    <t>Financial Accounting Part 2</t>
  </si>
  <si>
    <t>Finance Foundations: Risk Management</t>
  </si>
  <si>
    <t>Financial Accounting Part 1</t>
  </si>
  <si>
    <t>Analyzing a Real Estate Deal</t>
  </si>
  <si>
    <t>Economics for Everyone: Understanding a Recession</t>
  </si>
  <si>
    <t>Developing Investment Acumen</t>
  </si>
  <si>
    <t>Finance and Accounting Tips</t>
  </si>
  <si>
    <t>Financial Record Keeping</t>
  </si>
  <si>
    <t>Financial Modeling Foundations</t>
  </si>
  <si>
    <t>Statistics Foundations: 2</t>
  </si>
  <si>
    <t>Activity-Based Costing</t>
  </si>
  <si>
    <t>Corporate Financial Statement Analysis</t>
  </si>
  <si>
    <t>Finance Strategies for Business Leaders</t>
  </si>
  <si>
    <t>SAP Business One: Finance and Banking</t>
  </si>
  <si>
    <t>Finance for Non-Financial Managers</t>
  </si>
  <si>
    <t>Financial Forecasting with Big Data</t>
  </si>
  <si>
    <t>Forecasting Using Financial Statements</t>
  </si>
  <si>
    <t>Protecting Profitability by Reducing Financial Risk</t>
  </si>
  <si>
    <t>SAP Accounts Payable Boot Camp</t>
  </si>
  <si>
    <t>Excel: Economic Analysis and Data Analytics</t>
  </si>
  <si>
    <t>Contracting for Consultants</t>
  </si>
  <si>
    <t>Consulting Foundations: Client Management and Relationships</t>
  </si>
  <si>
    <t>Critical Roles Consultants Play (and the Skills You Need to Fill Them)</t>
  </si>
  <si>
    <t>Excel for Investment Professionals</t>
  </si>
  <si>
    <t>Excel 2016: Financial Functions in Depth</t>
  </si>
  <si>
    <t>Excel for Corporate Finance Professionals</t>
  </si>
  <si>
    <t>Corporate Finance: Robust Financial Modeling</t>
  </si>
  <si>
    <t>Increasing Engagement with Elearning Programs</t>
  </si>
  <si>
    <t>Data Analytics for Business Professionals</t>
  </si>
  <si>
    <t>Algorithmic Trading and Stocks Essential Training</t>
  </si>
  <si>
    <t>Data Analytics for Pricing Analysts in Excel</t>
  </si>
  <si>
    <t>SQL for Statistics Essential Training</t>
  </si>
  <si>
    <t>Financial Modeling and Forecasting Financial Statements</t>
  </si>
  <si>
    <t>Accounting Foundations: Leases</t>
  </si>
  <si>
    <t>Excel: Implementing Balanced Scorecards with KPIs</t>
  </si>
  <si>
    <t>Accounting Foundations: Internal Controls</t>
  </si>
  <si>
    <t>Evaluating Business Investment Decisions</t>
  </si>
  <si>
    <t>Accounting Foundations: Cost-Based Pricing Strategies</t>
  </si>
  <si>
    <t>Economics for Business Leaders</t>
  </si>
  <si>
    <t>Accounting Foundations: Global Finance and Accounting</t>
  </si>
  <si>
    <t>Audit and Due Diligence: Priorities and Best Practices</t>
  </si>
  <si>
    <t>Excel Modeling Tips and Tricks</t>
  </si>
  <si>
    <t>The Future of Audit</t>
  </si>
  <si>
    <t>QuickBooks Online Tips and Tricks</t>
  </si>
  <si>
    <t>The Business of Accounting</t>
  </si>
  <si>
    <t>Accounting Foundations: Statement of Cash Flows</t>
  </si>
  <si>
    <t>Finance Foundations: Corporate Governanace</t>
  </si>
  <si>
    <t>Preparing for an Audit</t>
  </si>
  <si>
    <t>Introduction to NFTs: Non-fungible Tokens</t>
  </si>
  <si>
    <t>Accounting Ethics</t>
  </si>
  <si>
    <t>The Data Science of Economics, Banking, and Finance, with Barton Poulson</t>
  </si>
  <si>
    <t>Agile Foundations</t>
  </si>
  <si>
    <t>Project Management: International Projects</t>
  </si>
  <si>
    <t>Recovering from a Financial Setback</t>
  </si>
  <si>
    <t>Financial Basics Everyone Should Know</t>
  </si>
  <si>
    <t>Economics for Everyone: Housing Markets in Crisis</t>
  </si>
  <si>
    <t>What Is Business Analysis?</t>
  </si>
  <si>
    <t>Succession Planning</t>
  </si>
  <si>
    <t>Organizational Culture</t>
  </si>
  <si>
    <t>Become a Corporate Recruiter</t>
  </si>
  <si>
    <t>Become an External Recruiter</t>
  </si>
  <si>
    <t>Communicating Employee Rewards</t>
  </si>
  <si>
    <t>Become a Technical Recruiter</t>
  </si>
  <si>
    <t>Become an HR Business Partner</t>
  </si>
  <si>
    <t>Creating a Leadership Development Program</t>
  </si>
  <si>
    <t>Build a More Equitable and Inclusive Workplace</t>
  </si>
  <si>
    <t>Build Your Skills in Recruiting</t>
  </si>
  <si>
    <t>360-Degree Feedback</t>
  </si>
  <si>
    <t>Develop Your HR Management and Leadership Skills</t>
  </si>
  <si>
    <t>Developing Managers in Organizations</t>
  </si>
  <si>
    <t>Diversity, Inclusion, and Belonging for HR Professionals and Leaders</t>
  </si>
  <si>
    <t>HR and Digital Transformation</t>
  </si>
  <si>
    <t>Finding and Retaining Talent</t>
  </si>
  <si>
    <t>The Future of Performance Management</t>
  </si>
  <si>
    <t>HR Leadership as We Move Back into the Office</t>
  </si>
  <si>
    <t>Finding and Retaining High Potentials</t>
  </si>
  <si>
    <t>HR: Providing Flexible Work Options</t>
  </si>
  <si>
    <t>Employee Engagement</t>
  </si>
  <si>
    <t>Human Resources: Building a Performance Management System</t>
  </si>
  <si>
    <t>Planning for Your Hybrid Organization</t>
  </si>
  <si>
    <t>Employer Branding to Attract Talent</t>
  </si>
  <si>
    <t>Onboarding New Hires as a Manager</t>
  </si>
  <si>
    <t>Managing Temporary and Contract Employees</t>
  </si>
  <si>
    <t>Virtual Interviewing for HR</t>
  </si>
  <si>
    <t>Hire, Retain, and Grow Top Millennial Talent</t>
  </si>
  <si>
    <t>Hiring, Managing, and Separating from Employees</t>
  </si>
  <si>
    <t>Hiring and Supporting Neurodiversity in the Workplace</t>
  </si>
  <si>
    <t>HR Communication in Today's Fluid Workplace</t>
  </si>
  <si>
    <t>HR Recruiting Communication Strategies to Attract and Retain Top Talent</t>
  </si>
  <si>
    <t>Performance Management: Employee Engagement</t>
  </si>
  <si>
    <t>People Success: Employee Assessments</t>
  </si>
  <si>
    <t>Letting an Employee Go</t>
  </si>
  <si>
    <t>Establishing Work from Home Policies</t>
  </si>
  <si>
    <t>Tech Recruiting Foundations: 5 Waterfall, Agile, and DevOps for Recruiters</t>
  </si>
  <si>
    <t>Tech Recruiting Foundations: 4 Recruiting for the IT Department</t>
  </si>
  <si>
    <t>Handling Workplace Bullying</t>
  </si>
  <si>
    <t>How to Design and Deliver Training Programs</t>
  </si>
  <si>
    <t>Human Resources Foundations</t>
  </si>
  <si>
    <t>Human Resources: Protecting Confidentiality</t>
  </si>
  <si>
    <t>Teaching Civility in the Workplace</t>
  </si>
  <si>
    <t>Connecting with Your Millennial Manager</t>
  </si>
  <si>
    <t>Introduction to Employee Relations</t>
  </si>
  <si>
    <t>Empathy Tips for HR Professionals</t>
  </si>
  <si>
    <t>HR Guidelines Everyone Should Know</t>
  </si>
  <si>
    <t>Inclusion During Difficult Times</t>
  </si>
  <si>
    <t>Recruiting Foundations: Recruiting for External Recruiters</t>
  </si>
  <si>
    <t>Recruiting Foundations: Recruiting for In-House Recruiters</t>
  </si>
  <si>
    <t>Learning LinkedIn Recruiter</t>
  </si>
  <si>
    <t>Demystifying Company Culture</t>
  </si>
  <si>
    <t>Business Benefits Realization Foundations</t>
  </si>
  <si>
    <t>Preparing for the SHRM-CP Exam</t>
  </si>
  <si>
    <t>Fair and Effective Interviewing for Diversity and Inclusion</t>
  </si>
  <si>
    <t>Hiring and Managing UX Professionals</t>
  </si>
  <si>
    <t>Understanding Organisations and the Role of HR</t>
  </si>
  <si>
    <t>Human Resources: Creating an Employee Handbook</t>
  </si>
  <si>
    <t>Human Resources: Working with Vendors</t>
  </si>
  <si>
    <t>Introduction to the PHR Certification Exam</t>
  </si>
  <si>
    <t>Creating a Compelling Job Description</t>
  </si>
  <si>
    <t>Driving Workplace Happiness</t>
  </si>
  <si>
    <t>Hiring a Recruiting Firm</t>
  </si>
  <si>
    <t>Hiring Contract Employees</t>
  </si>
  <si>
    <t>HR as a Business Partner</t>
  </si>
  <si>
    <t>Human Resources: Compensation and Benefits</t>
  </si>
  <si>
    <t>Human Resources: Job Structure and Design</t>
  </si>
  <si>
    <t>Human Resources: Payroll</t>
  </si>
  <si>
    <t>Human Resources: Using Metrics to Drive HR Strategy</t>
  </si>
  <si>
    <t>Performance-Based Hiring</t>
  </si>
  <si>
    <t>Strategic Human Resources</t>
  </si>
  <si>
    <t>Interviewing Techniques</t>
  </si>
  <si>
    <t>Diversity Recruiting</t>
  </si>
  <si>
    <t>Interviewing a Job Candidate for Recruiters</t>
  </si>
  <si>
    <t>Setting and Managing Realistic Expectations for Your L&amp;D Program</t>
  </si>
  <si>
    <t>Rolling Out a Diversity and Inclusion Training Program in Your Company</t>
  </si>
  <si>
    <t>Leadership Mindsets</t>
  </si>
  <si>
    <t>Running a Design Business: The Staffing Rule Book</t>
  </si>
  <si>
    <t>Hiring and Developing Your Future Workforce</t>
  </si>
  <si>
    <t>Human Resources: Leadership and Strategic Impact</t>
  </si>
  <si>
    <t>Human Resources: Selecting an HR System</t>
  </si>
  <si>
    <t>Human Resources: Strategic Workforce Planning</t>
  </si>
  <si>
    <t>Human Resources: Understanding HR Systems Features and Benefits</t>
  </si>
  <si>
    <t>Human Resources: Pay Strategy</t>
  </si>
  <si>
    <t>Bystander Training: From Bystander to Upstander</t>
  </si>
  <si>
    <t>Preventing Harassment in the Workplace</t>
  </si>
  <si>
    <t>Adding Value through Diversity</t>
  </si>
  <si>
    <t>Addiction: A Community Issue</t>
  </si>
  <si>
    <t>IT, Machine Learning, &amp; Technology Foundational Knowledge</t>
  </si>
  <si>
    <t>RPA, AI, and Cognitive Tech for Leaders</t>
  </si>
  <si>
    <t>Applying Lean, DevOps, and Agile to your IT Organization</t>
  </si>
  <si>
    <t>Artificial Intelligence Foundations: Thinking Machines</t>
  </si>
  <si>
    <t>Advance Your Skills in the Blockchain</t>
  </si>
  <si>
    <t>Artificial Intelligence Foundations: Machine Learning</t>
  </si>
  <si>
    <t>Advance Your Skills as an Azure IT Administrator</t>
  </si>
  <si>
    <t>Artificial Intelligence Foundations: Neural Networks</t>
  </si>
  <si>
    <t>Advance your Skills as an IT Help Desk Specialist</t>
  </si>
  <si>
    <t>Agile Software Development: Transforming your Organization</t>
  </si>
  <si>
    <t>Advance Your Skills in AI and Machine Learning</t>
  </si>
  <si>
    <t>Accelerating Digital Transformation as Offices Reopen</t>
  </si>
  <si>
    <t>Advance Your Skills as a Computer Forensics Specialist</t>
  </si>
  <si>
    <t>Foundations of The Fourth Industrial Revolution (Industry 4.0)</t>
  </si>
  <si>
    <t>Advance Your Skills in Deep Learning and Neural Networks</t>
  </si>
  <si>
    <t>Become an AI and Machine Learning Specialist Part 2</t>
  </si>
  <si>
    <t>DevOps Foundations: Transforming the Enterprise</t>
  </si>
  <si>
    <t>Become an AWS Data and DevOps Specialist</t>
  </si>
  <si>
    <t>Make IT Work in Your Business</t>
  </si>
  <si>
    <t>Become a C++ Developer</t>
  </si>
  <si>
    <t>Implementing Your IT Strategy</t>
  </si>
  <si>
    <t>Become a Cloud Administrator</t>
  </si>
  <si>
    <t>Creating Your IT Strategy</t>
  </si>
  <si>
    <t>Become an Excel 2013 Microsoft Office Specialist</t>
  </si>
  <si>
    <t>Assessing Digital Maturity</t>
  </si>
  <si>
    <t>Become a FileMaker Custom App Developer</t>
  </si>
  <si>
    <t>Cybersecurity for Executives</t>
  </si>
  <si>
    <t>Become an IT Security Specialist</t>
  </si>
  <si>
    <t>Understanding and Prioritizing Data Privacy</t>
  </si>
  <si>
    <t>Become an IT Technician</t>
  </si>
  <si>
    <t>Introduction to Quantum Computing</t>
  </si>
  <si>
    <t>Become an Outlook 2013 Microsoft Office Specialist</t>
  </si>
  <si>
    <t>Introduction to Digital Twins</t>
  </si>
  <si>
    <t>Become a PowerPoint 2013 Microsoft Office Specialist</t>
  </si>
  <si>
    <t>Become a Python Developer</t>
  </si>
  <si>
    <t>Implementing an Information Security Program</t>
  </si>
  <si>
    <t>Become an SEO Expert</t>
  </si>
  <si>
    <t>IT Service Desk: Management Fundamentals</t>
  </si>
  <si>
    <t>Become a SharePoint 2013 Microsoft Office Specialist</t>
  </si>
  <si>
    <t>Intro to Service Management with ITIL® 4</t>
  </si>
  <si>
    <t>Become a Word 2013 Microsoft Office Specialist</t>
  </si>
  <si>
    <t>Transitioning from Technical Professional to Manager</t>
  </si>
  <si>
    <t>Get Ahead in iOS App Development</t>
  </si>
  <si>
    <t>Inclusive Tech: The Case for Inclusive Leadership</t>
  </si>
  <si>
    <t>Getting Started with Microsoft Excel</t>
  </si>
  <si>
    <t>Managing Technical Professionals</t>
  </si>
  <si>
    <t>Getting Started with Microsoft OneNote</t>
  </si>
  <si>
    <t>Learning XAI: Explainable Artificial Intelligence</t>
  </si>
  <si>
    <t>Getting Started with Microsoft Outlook</t>
  </si>
  <si>
    <t>DevOps Foundations: Going Cloud Native</t>
  </si>
  <si>
    <t>Getting Started with Microsoft Word</t>
  </si>
  <si>
    <t>Tech Career Skills: Interviewing Developers</t>
  </si>
  <si>
    <t>Improve Your Continuous Delivery Skills</t>
  </si>
  <si>
    <t>IT Service Management Foundations: Measures and Metrics</t>
  </si>
  <si>
    <t>Improve Your ITIL Skills</t>
  </si>
  <si>
    <t>CCSP Cert Prep: 1 Cloud Concepts, Architecture, and Design Audio Review</t>
  </si>
  <si>
    <t>Improve Your Microsoft Excel Skills</t>
  </si>
  <si>
    <t>Improve Your Tableau Skills</t>
  </si>
  <si>
    <t>CompTIA Security+ (SY0-601) Cert Prep: 8 Network Security Design and Implementation</t>
  </si>
  <si>
    <t>Master Cloud-Native Infrastructure with Kubernetes</t>
  </si>
  <si>
    <t>Learning Claris Connect</t>
  </si>
  <si>
    <t>Master Digital Transformation</t>
  </si>
  <si>
    <t>Microsoft Dynamics 365 Sales Essential Training</t>
  </si>
  <si>
    <t>Master Microsoft Excel</t>
  </si>
  <si>
    <t>Conversations on Cryptography</t>
  </si>
  <si>
    <t>Master Microsoft OneNote</t>
  </si>
  <si>
    <t>IoT Foundations: Standards and Ecosystems</t>
  </si>
  <si>
    <t>Master Microsoft Outlook</t>
  </si>
  <si>
    <t>Facilitating Remote Design Thinking</t>
  </si>
  <si>
    <t>Master Microsoft Word</t>
  </si>
  <si>
    <t>Creating Accessible PDFs</t>
  </si>
  <si>
    <t>Prepare for the Excel 2013 Microsoft Office Specialist (MOS) Expert Exam</t>
  </si>
  <si>
    <t>Asset Accounting: Acquisitions in SAP S/4HANA</t>
  </si>
  <si>
    <t>Prepare for the Word 2013 Microsoft Office Specialist (MOS) Expert Exam</t>
  </si>
  <si>
    <t>SAP SuccessFactors Performance and Goals Management</t>
  </si>
  <si>
    <t>Succeed as a Remote IT Administrator</t>
  </si>
  <si>
    <t>CRISC Cert Prep: 1 IT Risk Identification</t>
  </si>
  <si>
    <t>Succeed as a Remote Software Developer</t>
  </si>
  <si>
    <t>Scrollytelling: Creating a One-Page Web Experience</t>
  </si>
  <si>
    <t>Working Smarter with Microsoft 365</t>
  </si>
  <si>
    <t>Framing Cloud Discussions for the C-Suite</t>
  </si>
  <si>
    <t>SAP Business One: Production and Logistics</t>
  </si>
  <si>
    <t>Craft a Great GitHub Profile</t>
  </si>
  <si>
    <t>Planning Basics in SAP</t>
  </si>
  <si>
    <t>Learning System Center Configuration Manager</t>
  </si>
  <si>
    <t>Learning Java Applications</t>
  </si>
  <si>
    <t>Test Automation Foundations</t>
  </si>
  <si>
    <t>Introducing Robotic Process Automation</t>
  </si>
  <si>
    <t>AWS Administration: Tips and Tricks</t>
  </si>
  <si>
    <t>Applied Machine Learning: Algorithms</t>
  </si>
  <si>
    <t>Machine Learning in Mobile Applications</t>
  </si>
  <si>
    <t>Machine Learning and AI Foundations: Predictive Modeling Strategy at Scale</t>
  </si>
  <si>
    <t>Succeeding in Web Development: Full Stack and Front End</t>
  </si>
  <si>
    <t>Software Development Life Cycle (SDLC)</t>
  </si>
  <si>
    <t>Working and Collaborating Online</t>
  </si>
  <si>
    <t>Working with Computers and Devices</t>
  </si>
  <si>
    <t>Foundations of Enterprise Content Management</t>
  </si>
  <si>
    <t>Getting Started with Live Streaming</t>
  </si>
  <si>
    <t>Excel: Macros and VBA for Beginners</t>
  </si>
  <si>
    <t>Excel: Power Query for Beginners</t>
  </si>
  <si>
    <t>Learning Cloud Computing: The Cloud and DevOps</t>
  </si>
  <si>
    <t>Learning Lucidchart</t>
  </si>
  <si>
    <t>Learning PowerPoint for the Web (Office 365/Microsoft 365)</t>
  </si>
  <si>
    <t>Learning Word for the web (Office 365/Microsoft 365)</t>
  </si>
  <si>
    <t>Buying on Ariba Discovery</t>
  </si>
  <si>
    <t>Introduction to Network Routing</t>
  </si>
  <si>
    <t>Gmail Essential Training</t>
  </si>
  <si>
    <t>Agile Testing</t>
  </si>
  <si>
    <t>Applied Machine Learning: Foundations</t>
  </si>
  <si>
    <t>Building Recommender Systems with Machine Learning and AI</t>
  </si>
  <si>
    <t>Introduction to Deep Learning with OpenCV</t>
  </si>
  <si>
    <t>Google Sheets Essential Training</t>
  </si>
  <si>
    <t>Simple Statistics for User Experience Projects</t>
  </si>
  <si>
    <t>Systems Thinking for Product Designers</t>
  </si>
  <si>
    <t>Google Analytics (GA4): Audience-Building and Segmentation</t>
  </si>
  <si>
    <t>Migrating from Universal Analytics to Google Analytics 4 (GA4)</t>
  </si>
  <si>
    <t>Learning SAP Production Planning</t>
  </si>
  <si>
    <t>Learning SAP MM (Materials Management)</t>
  </si>
  <si>
    <t>Access 2019: Building Dashboards for Excel</t>
  </si>
  <si>
    <t>Learning SAP SD (Sales and Distribution)</t>
  </si>
  <si>
    <t>Scaling Applications with Microsoft Azure</t>
  </si>
  <si>
    <t>PowerPoint: Eight Easy Ways to Make Your Presentation Stand Out</t>
  </si>
  <si>
    <t>Applied AI for Human Resources</t>
  </si>
  <si>
    <t>Business Apps for SharePoint Monthly</t>
  </si>
  <si>
    <t>Applied AI for IT Operations</t>
  </si>
  <si>
    <t>Manage Apps with Configuration Manager</t>
  </si>
  <si>
    <t>SSCP Cert Prep: 7 Systems and Application Security</t>
  </si>
  <si>
    <t>API Testing Foundations</t>
  </si>
  <si>
    <t>Software Testing: Exploratory Testing</t>
  </si>
  <si>
    <t>Python Automation and Testing</t>
  </si>
  <si>
    <t>Jenkins Essential Training</t>
  </si>
  <si>
    <t>AWS: Automation and Optimization</t>
  </si>
  <si>
    <t>API Test Automation with SoapUI</t>
  </si>
  <si>
    <t>Cisco Network Security: Secure Routing and Switching</t>
  </si>
  <si>
    <t>Configuration Manager: Configure and Maintain a Management Infrastructure</t>
  </si>
  <si>
    <t>Network Virtualization: SDN Overlay Solutions</t>
  </si>
  <si>
    <t>Azure Administration: Manage Subscriptions and Resources</t>
  </si>
  <si>
    <t>Azure Administration: Deploy and Manage Virtual Machines</t>
  </si>
  <si>
    <t>Text Analytics and Predictions with Python Essential Training</t>
  </si>
  <si>
    <t>AI Accountability Essential Training</t>
  </si>
  <si>
    <t>Deep Learning: Image Recognition</t>
  </si>
  <si>
    <t>Deep Learning: Face Recognition</t>
  </si>
  <si>
    <t>Algorithmic Trading and Finance Models with Python, R, and Stata Essential Training</t>
  </si>
  <si>
    <t>Artificial Intelligence: How Project Managers Can Leverage AI</t>
  </si>
  <si>
    <t>Machine Learning for Marketing: Essential Training</t>
  </si>
  <si>
    <t>Running Microsoft 365 Live Events: Teams, Yammer, and Stream</t>
  </si>
  <si>
    <t>Excel for Mac: Advanced Formulas and Functions (365/2019)</t>
  </si>
  <si>
    <t>Excel for Banking Professionals</t>
  </si>
  <si>
    <t>Penetration Testing: Advanced Web Testing</t>
  </si>
  <si>
    <t>Advanced NLP with Python for Machine Learning</t>
  </si>
  <si>
    <t>Microsoft Power Apps: AI Builder</t>
  </si>
  <si>
    <t>Evil by Design: Persuasion in UX</t>
  </si>
  <si>
    <t>First Look: Python 3.9</t>
  </si>
  <si>
    <t>Agile Development in the New World of Work</t>
  </si>
  <si>
    <t>Microsoft 365: Choose the Right Tool for the Job</t>
  </si>
  <si>
    <t>Trending Tools</t>
  </si>
  <si>
    <t>Become a Thought Leader</t>
  </si>
  <si>
    <t>Digital Transformation for Leaders</t>
  </si>
  <si>
    <t>Digital Transformation for Tech Leaders</t>
  </si>
  <si>
    <t>Sustainability Strategies</t>
  </si>
  <si>
    <t>Leading During Times of Change</t>
  </si>
  <si>
    <t>Managing Change</t>
  </si>
  <si>
    <t>Women in Leadership</t>
  </si>
  <si>
    <t>Counterintuitive Leadership Strategies for a VUCA (Volatile, Uncertain, Complex, Ambiguous) Environment</t>
  </si>
  <si>
    <t>Leading Organizations: Ten Timeless Truths (getAbstract Summary)</t>
  </si>
  <si>
    <t>Strategic Agility</t>
  </si>
  <si>
    <t>Using Emotions to Leverage and Accelerate Change: A Guide for Leaders</t>
  </si>
  <si>
    <t>How to Be an Inclusive Leader (getAbstract Summary)</t>
  </si>
  <si>
    <t>Becoming an AI-First Product Leader</t>
  </si>
  <si>
    <t>The Purpose Effect (getAbstract Summary)</t>
  </si>
  <si>
    <t>Navigating Environmental Sustainability: A Guide for Leaders</t>
  </si>
  <si>
    <t>Leading with Values</t>
  </si>
  <si>
    <t>Moving Past Change Fatigue to the Growth Edge</t>
  </si>
  <si>
    <t>Change Leadership</t>
  </si>
  <si>
    <t>Reorganize and Transition Your Team for Change</t>
  </si>
  <si>
    <t>Leading with Fearless Mindfulness</t>
  </si>
  <si>
    <t>Supporting Workers with Disabilities</t>
  </si>
  <si>
    <t>Building Change Capability for Managers</t>
  </si>
  <si>
    <t>How to Support Your Employees' Well-Being</t>
  </si>
  <si>
    <t>Change Management Tips for Leaders</t>
  </si>
  <si>
    <t>Learning Design for Sustainability</t>
  </si>
  <si>
    <t>Women Transforming Tech: Breaking Bias</t>
  </si>
  <si>
    <t>Guy Kawasaki on Turning Life Wisdom into Business Success</t>
  </si>
  <si>
    <t>Advocating for Change in Your Organization</t>
  </si>
  <si>
    <t>Creating a Great Place to Work for All</t>
  </si>
  <si>
    <t>Change Management Tips for Individuals</t>
  </si>
  <si>
    <t>How to Lead and Inspire Change</t>
  </si>
  <si>
    <t>Creating Safe Spaces for Tough Conversations at Work</t>
  </si>
  <si>
    <t>Strategies to Foster Inclusive Language at Work</t>
  </si>
  <si>
    <t>Being Your Own Fierce Self-Advocate</t>
  </si>
  <si>
    <t>Communicating Change in an Enterprise-Wide Transformation</t>
  </si>
  <si>
    <t>How to Innovate and Stay Relevant in Times of Change and Uncertainty</t>
  </si>
  <si>
    <t>Leading in Uncertain Times</t>
  </si>
  <si>
    <t>The Employee's Guide to Sustainability</t>
  </si>
  <si>
    <t>Emily Cohen: Brutal Honesty as a Business Strategy</t>
  </si>
  <si>
    <t>Reframing Organizations (Blinkist Summary)</t>
  </si>
  <si>
    <t>Driving Change and Anti-Racism</t>
  </si>
  <si>
    <t>Preparing Yourself for Change</t>
  </si>
  <si>
    <t>Change Management: Plan on a Page</t>
  </si>
  <si>
    <t>Change Management: Roadmap to Execution</t>
  </si>
  <si>
    <t>How to Be More Inclusive</t>
  </si>
  <si>
    <t>Privacy for Executives and Aspiring Executives</t>
  </si>
  <si>
    <t>Ryan Holmes on Social Leadership</t>
  </si>
  <si>
    <t>Leadership Stories: 5-Minute Lessons in Leading People</t>
  </si>
  <si>
    <t>Become a Leader</t>
  </si>
  <si>
    <t>Diversity, Inclusion, and Belonging for Leaders and Managers</t>
  </si>
  <si>
    <t>Leading Others Effectively</t>
  </si>
  <si>
    <t>Manager to Leader</t>
  </si>
  <si>
    <t>Lean Technology Strategy: Purposeful Organizations</t>
  </si>
  <si>
    <t>Master In-Demand Skills for Technology Leadership</t>
  </si>
  <si>
    <t>Vision in Action: Leaders Live Case Studies</t>
  </si>
  <si>
    <t>Leading the Organization Monthly</t>
  </si>
  <si>
    <t>The 7 Secrets of Responsive Leadership (getAbstract Summary)</t>
  </si>
  <si>
    <t>Transitioning from Manager to Leader</t>
  </si>
  <si>
    <t>Transformational Leadership</t>
  </si>
  <si>
    <t>Managing Experienced Managers</t>
  </si>
  <si>
    <t>Collaborative Leadership</t>
  </si>
  <si>
    <t>Developing Your Leadership Philosophy</t>
  </si>
  <si>
    <t>Executive Leadership</t>
  </si>
  <si>
    <t>Human-Centered Leadership</t>
  </si>
  <si>
    <t>Leading with Purpose</t>
  </si>
  <si>
    <t>Executive Influence</t>
  </si>
  <si>
    <t>Leading with Vision</t>
  </si>
  <si>
    <t>Sanyin Siang on Strategic Mentoring</t>
  </si>
  <si>
    <t>Ken Blanchard on Servant Leadership</t>
  </si>
  <si>
    <t>Emerging Leader Foundations</t>
  </si>
  <si>
    <t>Leadership Foundations: Leadership Styles and Models</t>
  </si>
  <si>
    <t>Leadership: Practical Skills</t>
  </si>
  <si>
    <t>Leadership Foundations</t>
  </si>
  <si>
    <t>Management Foundations</t>
  </si>
  <si>
    <t>Implementing Continuous Improvement: A Case Study</t>
  </si>
  <si>
    <t>Developing Assertive Leadership</t>
  </si>
  <si>
    <t>Leadership Tips, Tactics and Advice</t>
  </si>
  <si>
    <t>Key Mental Shifts for Servant Leadership</t>
  </si>
  <si>
    <t>Developing Credibility as a Leader</t>
  </si>
  <si>
    <t>Leading at a Distance</t>
  </si>
  <si>
    <t>Leading with Emotional Intelligence</t>
  </si>
  <si>
    <t>Leading with Stories</t>
  </si>
  <si>
    <t>Coaching Skills for Leaders and Managers</t>
  </si>
  <si>
    <t>Lead Like a Boss</t>
  </si>
  <si>
    <t>Leading Effectively</t>
  </si>
  <si>
    <t>Business Ethics for Managers and Leaders</t>
  </si>
  <si>
    <t>Lessons in Enlightened Leadership</t>
  </si>
  <si>
    <t>Leading and Motivating People with Different Personalities</t>
  </si>
  <si>
    <t>Coaching Virtually</t>
  </si>
  <si>
    <t>The Secret: What Great Leaders Know and Do (getAbstract Summary)</t>
  </si>
  <si>
    <t>Conducting Motivational 1-on-1 Reviews</t>
  </si>
  <si>
    <t>Jeff Weiner on Leading like a CEO</t>
  </si>
  <si>
    <t>The Leader’s Guide to Mindfulness (getAbstract Summary)</t>
  </si>
  <si>
    <t>Supporting Your Team as Offices Reopen</t>
  </si>
  <si>
    <t>Leading Yourself (2017)</t>
  </si>
  <si>
    <t>Become a Courageous Female Leader</t>
  </si>
  <si>
    <t>Superhuman Innovation (Blinkist Summary)</t>
  </si>
  <si>
    <t>Inclusive Mindset</t>
  </si>
  <si>
    <t>Project Leadership</t>
  </si>
  <si>
    <t>Navigating Complexity in Your Organization</t>
  </si>
  <si>
    <t>Leading through Chaos</t>
  </si>
  <si>
    <t>Overcoming Obstacles to Leading with Confidence</t>
  </si>
  <si>
    <t>Effective Sponsorship Across Difference (for Sponsors)</t>
  </si>
  <si>
    <t>Leading with a Growth Mindset</t>
  </si>
  <si>
    <t>Fostering Belonging as a Leader</t>
  </si>
  <si>
    <t>Leadership Skills for The Future</t>
  </si>
  <si>
    <t>How to Successfully Lead a PMO</t>
  </si>
  <si>
    <t>Leading Projects</t>
  </si>
  <si>
    <t>Negotiating Your Leadership Success</t>
  </si>
  <si>
    <t>Predictive Analytics Essential Training for Executives</t>
  </si>
  <si>
    <t>How Leaders Can Motivate Others by Creating Meaning</t>
  </si>
  <si>
    <t>Mastering Organizational Chaos</t>
  </si>
  <si>
    <t>Bill George on Self-Awareness, Authenticity, and Leadership</t>
  </si>
  <si>
    <t>The Fearless Organization (Blinkist Summary)</t>
  </si>
  <si>
    <t>What's Next: Reinventing Work in the New Normal</t>
  </si>
  <si>
    <t>Advice for Leaders During a Crisis</t>
  </si>
  <si>
    <t>Leadership in Tech</t>
  </si>
  <si>
    <t>Leading with a Heavy Heart</t>
  </si>
  <si>
    <t>Advance Your Skills as a Manager</t>
  </si>
  <si>
    <t>Become a Manager</t>
  </si>
  <si>
    <t>Become a Senior Manager</t>
  </si>
  <si>
    <t>Grow Your Impact as a Mentor</t>
  </si>
  <si>
    <t>Creating the Conditions for Others to Thrive</t>
  </si>
  <si>
    <t>Managing and Leading Developers</t>
  </si>
  <si>
    <t xml:space="preserve">Managing Others Effectively </t>
  </si>
  <si>
    <t>Coaching New Managers</t>
  </si>
  <si>
    <t>Managing High Performers</t>
  </si>
  <si>
    <t>Managing High Potentials</t>
  </si>
  <si>
    <t>Simple Manager Tools that Cure the Under-Management Epidemic</t>
  </si>
  <si>
    <t>The Benefits of Standardization and Standard Work</t>
  </si>
  <si>
    <t>Managers as Multipliers of Well-Being</t>
  </si>
  <si>
    <t>Motivate Remote Teams</t>
  </si>
  <si>
    <t>New Manager Foundations</t>
  </si>
  <si>
    <t>Performance Management: Setting Goals and Managing Performance</t>
  </si>
  <si>
    <t>Management: Top Tips</t>
  </si>
  <si>
    <t>Managing Introverts</t>
  </si>
  <si>
    <t>Coaching New Hires</t>
  </si>
  <si>
    <t>Be the Manager People Won't Leave</t>
  </si>
  <si>
    <t>Managing Up, Down, and Across the Organization</t>
  </si>
  <si>
    <t>Delegating Tasks</t>
  </si>
  <si>
    <t>Managing Generation Z</t>
  </si>
  <si>
    <t>Coaching Employees through Difficult Situations</t>
  </si>
  <si>
    <t>Developing Executive Presence</t>
  </si>
  <si>
    <t>Managing Skills for Remote Leaders</t>
  </si>
  <si>
    <t>Leadership through Feedback</t>
  </si>
  <si>
    <t>How to Be an Effective Remote Manager</t>
  </si>
  <si>
    <t>Delegating from a Distance</t>
  </si>
  <si>
    <t>Become a Better Coach for Your Team</t>
  </si>
  <si>
    <t>Configure and Manage Office 365 Workload Integrations (Office 365/Microsoft 365)</t>
  </si>
  <si>
    <t>Mindful Leadership</t>
  </si>
  <si>
    <t>Just Ask: Todd Dewett on Management and Leadership</t>
  </si>
  <si>
    <t>Recognizing and Rewarding Your Workers</t>
  </si>
  <si>
    <t>Building a Coaching Culture: Improving Performance Through Timely Feedback</t>
  </si>
  <si>
    <t>The Superbosses Playbook</t>
  </si>
  <si>
    <t>Foundations of Performance Management</t>
  </si>
  <si>
    <t>Sales Management. Simplified. (Blinkist Summary)</t>
  </si>
  <si>
    <t>Become a Business Operations Associate</t>
  </si>
  <si>
    <t>Mergers &amp; Acquisitions</t>
  </si>
  <si>
    <t>Becoming a Six Sigma Black Belt</t>
  </si>
  <si>
    <t>Becoming a Six Sigma Green Belt</t>
  </si>
  <si>
    <t>Become a Six Sigma Yellow Belt</t>
  </si>
  <si>
    <t>Build a Privacy Program</t>
  </si>
  <si>
    <t>Digital Transformation</t>
  </si>
  <si>
    <t xml:space="preserve">Improve Processes and Deliver Operational Excellence </t>
  </si>
  <si>
    <t>Creating a Product-Centric Organization</t>
  </si>
  <si>
    <t>Stay Ahead in Sustainability and Green Building</t>
  </si>
  <si>
    <t>Skip-Level Meetings</t>
  </si>
  <si>
    <t>Understand GDPR and Data Privacy</t>
  </si>
  <si>
    <t>Scaling Up Excellence: Getting to More Without Settling for Less (Blinkist Summary)</t>
  </si>
  <si>
    <t>Workplace Visualization</t>
  </si>
  <si>
    <t>DevOps Foundations: Lean and Agile</t>
  </si>
  <si>
    <t>DevOps Foundations: Accelerating Continuous Delivery in the Enterprise</t>
  </si>
  <si>
    <t>Microsoft Power Automate: Advanced Business Automation</t>
  </si>
  <si>
    <t>A3 Problem Solving for Continuous Improvement</t>
  </si>
  <si>
    <t>Cost Reduction: Cut Costs and Maximize Profits</t>
  </si>
  <si>
    <t>DevOps Foundations</t>
  </si>
  <si>
    <t>Inventory Management Foundations</t>
  </si>
  <si>
    <t>Job Skills: Supply Chain and Operations</t>
  </si>
  <si>
    <t>Lean Foundations</t>
  </si>
  <si>
    <t>Lean Inventory Management</t>
  </si>
  <si>
    <t>Lean Six Sigma Foundations</t>
  </si>
  <si>
    <t>Operations Management Foundations</t>
  </si>
  <si>
    <t>Supply Chain Foundations</t>
  </si>
  <si>
    <t>Understanding Business</t>
  </si>
  <si>
    <t>Lean Deep Dive: Job Instruction</t>
  </si>
  <si>
    <t>Implementing Lean: A Case Study</t>
  </si>
  <si>
    <t>From Resisting to Embracing Lean: A Case Study</t>
  </si>
  <si>
    <t>5S Workplace Productivity</t>
  </si>
  <si>
    <t>Outsourcing Fundamentals</t>
  </si>
  <si>
    <t>Outsourcing: Managing Service Transition</t>
  </si>
  <si>
    <t>The Most Important Content KPIs for Creators</t>
  </si>
  <si>
    <t>Revenue, Staffing, and Expense Models Explained</t>
  </si>
  <si>
    <t>Pricing Strategy Explained</t>
  </si>
  <si>
    <t>Quality Management Foundations</t>
  </si>
  <si>
    <t>Supply Chain and Operations Management Tips</t>
  </si>
  <si>
    <t>Understanding Logistics</t>
  </si>
  <si>
    <t>Implementing a Vulnerability Management Lifecycle</t>
  </si>
  <si>
    <t>Business Process Improvement</t>
  </si>
  <si>
    <t>Enterprise Agile: Changing Your Culture</t>
  </si>
  <si>
    <t>Implementing Supply Chain Management</t>
  </si>
  <si>
    <t>Lean Six Sigma: Analyze, Improve, and Control Tools</t>
  </si>
  <si>
    <t>Lean Six Sigma: Define and Measure Tools</t>
  </si>
  <si>
    <t>Lean Technology Strategy: Starting Your Business Transformation</t>
  </si>
  <si>
    <t>Operational Excellence Work-Out and Kaizen Facilitator</t>
  </si>
  <si>
    <t>Product Management: Building a Product Strategy</t>
  </si>
  <si>
    <t>Purchasing Foundations</t>
  </si>
  <si>
    <t>Six Sigma: Black Belt</t>
  </si>
  <si>
    <t>Six Sigma: Green Belt</t>
  </si>
  <si>
    <t>Managing Logistics</t>
  </si>
  <si>
    <t>Agile Software Development: Clean Coding Practices</t>
  </si>
  <si>
    <t>SAP Ariba Supply Chain Collaboration Overview</t>
  </si>
  <si>
    <t>Introduction to SAP BI/BW</t>
  </si>
  <si>
    <t>SAP BI/BW: Project Design and Implementation</t>
  </si>
  <si>
    <t>Following the Digital Thread</t>
  </si>
  <si>
    <t>Supply Chain Basics For Everyone</t>
  </si>
  <si>
    <t>Operational Excellence Foundations</t>
  </si>
  <si>
    <t>Supply Chain and Operations Careers: Certification Tips and Tricks</t>
  </si>
  <si>
    <t>How to Make Strategic Thinking a Habit</t>
  </si>
  <si>
    <t>Outsourcing Critical Success Factors</t>
  </si>
  <si>
    <t>Outsourcing Management</t>
  </si>
  <si>
    <t>Presentation Tips for Pitching to Investors</t>
  </si>
  <si>
    <t>Common Meeting Problems</t>
  </si>
  <si>
    <t>Creating a Meeting Agenda</t>
  </si>
  <si>
    <t>Develop Your Presentation Skills</t>
  </si>
  <si>
    <t>Leading Productive Meetings</t>
  </si>
  <si>
    <t>Getting Started with Microsoft PowerPoint</t>
  </si>
  <si>
    <t>Improve Your Presentation Skills</t>
  </si>
  <si>
    <t>Graphic Facilitation for Productive Team Meetings</t>
  </si>
  <si>
    <t>Master Microsoft PowerPoint</t>
  </si>
  <si>
    <t>Establishing Credibility as a Speaker</t>
  </si>
  <si>
    <t>Learning PowerPoint 2019</t>
  </si>
  <si>
    <t>Managing Meetings</t>
  </si>
  <si>
    <t>Overcoming Your Fear of Public Speaking</t>
  </si>
  <si>
    <t>Public Speaking Foundations</t>
  </si>
  <si>
    <t>Public Speaking: Energize and Engage Your Audience</t>
  </si>
  <si>
    <t>How to Present and Stay on Point</t>
  </si>
  <si>
    <t>How to Project Vocal Confidence</t>
  </si>
  <si>
    <t>Speaking Confidently and Effectively</t>
  </si>
  <si>
    <t>Boosting Your Confidence, Public Speaking and Performance</t>
  </si>
  <si>
    <t>Stepping Up Your Webcam Video Presence</t>
  </si>
  <si>
    <t>Business Analysis: Essential Facilitation and Workshop Skills</t>
  </si>
  <si>
    <t>Engaging Your Virtual Audience</t>
  </si>
  <si>
    <t>PowerPoint 2019 Essential Training</t>
  </si>
  <si>
    <t>Impromptu Speaking</t>
  </si>
  <si>
    <t>Data-Driven Presentations with Excel and PowerPoint (365/2019)</t>
  </si>
  <si>
    <t>Creating and Giving Business Presentations</t>
  </si>
  <si>
    <t>Making Great Sales Presentations</t>
  </si>
  <si>
    <t>Meeting Facilitation</t>
  </si>
  <si>
    <t>Workshop Facilitation</t>
  </si>
  <si>
    <t>Managing Your Anxiety While Presenting</t>
  </si>
  <si>
    <t>Connecting with Your Audience Using Video</t>
  </si>
  <si>
    <t>Finding Your Idea Hook</t>
  </si>
  <si>
    <t>Presenting to Senior Executives</t>
  </si>
  <si>
    <t>Master Confident Presentations</t>
  </si>
  <si>
    <t>PowerPoint: Designing Better Slides</t>
  </si>
  <si>
    <t>Shane Snow on Storytelling</t>
  </si>
  <si>
    <t>Delivery Tips for Speaking in Public</t>
  </si>
  <si>
    <t>Presentation Tips Weekly</t>
  </si>
  <si>
    <t>Lean Technology Strategy: Economic Frameworks for Portfolio and Product Management</t>
  </si>
  <si>
    <t>Become an Agile Project Manager</t>
  </si>
  <si>
    <t>How to Be an Effective Project Sponsor</t>
  </si>
  <si>
    <t>Delivering Results with a Business-focused PMO</t>
  </si>
  <si>
    <t>Creating a Culture of Service</t>
  </si>
  <si>
    <t>Become a Government Project Manager</t>
  </si>
  <si>
    <t>Become a Healthcare Project Manager</t>
  </si>
  <si>
    <t>Become a Portfolio Manager</t>
  </si>
  <si>
    <t>Become an Outsourcing Specialist</t>
  </si>
  <si>
    <t>Agile Project Leadership</t>
  </si>
  <si>
    <t>Become a Product Manager</t>
  </si>
  <si>
    <t>Become a Program Manager</t>
  </si>
  <si>
    <t>Project Management: Choosing the Right Online Tool</t>
  </si>
  <si>
    <t>Become a Project Coordinator</t>
  </si>
  <si>
    <t>Project Management Foundations: Lessons Learned</t>
  </si>
  <si>
    <t>Become a Project Manager</t>
  </si>
  <si>
    <t>Job Interview Tips for Project Managers</t>
  </si>
  <si>
    <t>Become a Project Scheduler</t>
  </si>
  <si>
    <t>Complex Project Tips and Tricks</t>
  </si>
  <si>
    <t>Become a Six Sigma Black Belt</t>
  </si>
  <si>
    <t>Project Management for Creative Projects</t>
  </si>
  <si>
    <t>Become a Six Sigma Green Belt</t>
  </si>
  <si>
    <t>Becoming an Agile Coach</t>
  </si>
  <si>
    <t>Project Management Foundations: Integration</t>
  </si>
  <si>
    <t>Become a Software Project Manager</t>
  </si>
  <si>
    <t>Project Management Foundations: Small Projects</t>
  </si>
  <si>
    <t>Become a Supply Chain Manager</t>
  </si>
  <si>
    <t>Project Management: Preventing Scope Creep</t>
  </si>
  <si>
    <t>Become a Technical Program Manager</t>
  </si>
  <si>
    <t>Project Management Foundations: Ethics</t>
  </si>
  <si>
    <t xml:space="preserve">Develop Your Project Management Skills </t>
  </si>
  <si>
    <t>Skilled Trades: Resumes and Portfolios</t>
  </si>
  <si>
    <t>Improve Your Business Analysis Skills</t>
  </si>
  <si>
    <t>Project Management Foundations: Requirements</t>
  </si>
  <si>
    <t>Prepare for the PMI ACP Certification</t>
  </si>
  <si>
    <t>Project Management Foundations: Teams</t>
  </si>
  <si>
    <t>Stay Ahead in Construction Management</t>
  </si>
  <si>
    <t>Software Project Management Foundations</t>
  </si>
  <si>
    <t>Project Management Simplified</t>
  </si>
  <si>
    <t>Hoshin Planning</t>
  </si>
  <si>
    <t>Project Management Tips</t>
  </si>
  <si>
    <t>Introducing the PMBOK® Guide—Seventh Edition</t>
  </si>
  <si>
    <t>Project Management Foundations: Quality</t>
  </si>
  <si>
    <t>Project Manager to Project Motivator: Unlock the Secrets of Strengths-Based Project Management</t>
  </si>
  <si>
    <t>Agile: It's Not Just for Software</t>
  </si>
  <si>
    <t>Managing Projects as Offices Reopen</t>
  </si>
  <si>
    <t>Mindfulness: A Critical Skill for Project Managers</t>
  </si>
  <si>
    <t>Build a Successful Career in Project Management</t>
  </si>
  <si>
    <t>Project Management Reinvented for Non-Project Managers</t>
  </si>
  <si>
    <t>Transition Management for Agile Environments</t>
  </si>
  <si>
    <t>Project Management Foundations</t>
  </si>
  <si>
    <t>Product Management Tips</t>
  </si>
  <si>
    <t>Managing Project Stakeholders</t>
  </si>
  <si>
    <t>Transitioning from Waterfall to Agile Project Management</t>
  </si>
  <si>
    <t>Construction Industry: Safety</t>
  </si>
  <si>
    <t>Introduction to Disciplined Agile</t>
  </si>
  <si>
    <t>Project Management Foundations: Communication</t>
  </si>
  <si>
    <t>What Is a PMO?</t>
  </si>
  <si>
    <t>Comparing Agile versus Waterfall Project Management</t>
  </si>
  <si>
    <t>LinkedIn Learning Highlights: Project Management</t>
  </si>
  <si>
    <t>Emotional Intelligence for Project Managers (Blinkist Summary)</t>
  </si>
  <si>
    <t>Gemba Kaizen: A Commonsense Approach to Continuous Improvement (Blinkist Summary)</t>
  </si>
  <si>
    <t>Become a Project Management Entrepreneur</t>
  </si>
  <si>
    <t>Managing Change on an Agile Project</t>
  </si>
  <si>
    <t>Why Projects Fail and How to Improve Their Success</t>
  </si>
  <si>
    <t>Change Management with Limited Resources</t>
  </si>
  <si>
    <t>Data-Driven Project Management: Project Metrics That Matter</t>
  </si>
  <si>
    <t>Creating a Program Strategy</t>
  </si>
  <si>
    <t>Blending Project Management Methods</t>
  </si>
  <si>
    <t>Exam Tips: Certified Associate in Project Management (CAPM)®</t>
  </si>
  <si>
    <t>Product Management: Building a Product Roadmap</t>
  </si>
  <si>
    <t>Learning Program Management</t>
  </si>
  <si>
    <t>Project Management Foundations: Budgets</t>
  </si>
  <si>
    <t>Project Management Foundations: Procurement</t>
  </si>
  <si>
    <t>Project Management Foundations: Risk</t>
  </si>
  <si>
    <t>The Top PMO Challenges</t>
  </si>
  <si>
    <t>Managing Projects with Microsoft Teams</t>
  </si>
  <si>
    <t>Trello for Agile Teams</t>
  </si>
  <si>
    <t>Jira: Basic Administration</t>
  </si>
  <si>
    <t>Agile Rebranding</t>
  </si>
  <si>
    <t>What Is Disciplined Agile?</t>
  </si>
  <si>
    <t>Basecamp: Project Management Best Practices</t>
  </si>
  <si>
    <t>Tailoring Project Delivery</t>
  </si>
  <si>
    <t>Hybrid Project Management: Do What Works</t>
  </si>
  <si>
    <t>Agile Project Management with Microsoft Project</t>
  </si>
  <si>
    <t>Project Management: Technical Projects</t>
  </si>
  <si>
    <t>How to Manage Lean Six Sigma Projects: Part I</t>
  </si>
  <si>
    <t>Project Resource Management</t>
  </si>
  <si>
    <t>Advanced Agile: The Team's Mindset</t>
  </si>
  <si>
    <t>How to Manage Lean Six Sigma Projects: Part II</t>
  </si>
  <si>
    <t>Become a Sales Manager</t>
  </si>
  <si>
    <t>Become a Sales Representative</t>
  </si>
  <si>
    <t>Retail Sales Management</t>
  </si>
  <si>
    <t>Become a Retail Sales Associate</t>
  </si>
  <si>
    <t>Sales Leadership: Building a Thriving Coaching Culture</t>
  </si>
  <si>
    <t>Build Your Skills in Customer Billing Support</t>
  </si>
  <si>
    <t>Sales Coaching</t>
  </si>
  <si>
    <t>Build Your Skills in Sales Development</t>
  </si>
  <si>
    <t>Inside Sales: Managing Sales Rep Personas</t>
  </si>
  <si>
    <t>The Neuroscience of Selling Remotely</t>
  </si>
  <si>
    <t>Develop Your Customer Service Skills</t>
  </si>
  <si>
    <t xml:space="preserve">Develop Your Sales Knowledge and Skills </t>
  </si>
  <si>
    <t>Salesforce Essential Training</t>
  </si>
  <si>
    <t>Purpose-Driven Sales</t>
  </si>
  <si>
    <t>Sales Strategies and Approaches in a New World of Selling</t>
  </si>
  <si>
    <t>Inclusive Selling: Selling Across Culture, Race, and Gender Differences</t>
  </si>
  <si>
    <t>Delivering a Great Virtual Sales Pitch</t>
  </si>
  <si>
    <t>Sales Foundations</t>
  </si>
  <si>
    <t>Sales Management Foundations</t>
  </si>
  <si>
    <t>Networking for Sales Professionals</t>
  </si>
  <si>
    <t>Following Up after a Sales Meeting</t>
  </si>
  <si>
    <t>Sales Discovery</t>
  </si>
  <si>
    <t>Social Selling Foundations</t>
  </si>
  <si>
    <t>Cold Calling Mastery</t>
  </si>
  <si>
    <t>Prepare Yourself for a Career in Sales</t>
  </si>
  <si>
    <t>Creating Your Sales Process</t>
  </si>
  <si>
    <t>Sales Fundamentals</t>
  </si>
  <si>
    <t>Cold Calling: Overcoming Sales Objections</t>
  </si>
  <si>
    <t>Selling with Authenticity</t>
  </si>
  <si>
    <t>Cold-Calling Directors and Executives</t>
  </si>
  <si>
    <t>Mastering Authentic Influence for Highly Successful Sales</t>
  </si>
  <si>
    <t>How to Make Work More Meaningful</t>
  </si>
  <si>
    <t>Mindful Productivity</t>
  </si>
  <si>
    <t>Embracing Change with Mindfulness</t>
  </si>
  <si>
    <t>Winding Down: Get a Better Night’s Sleep</t>
  </si>
  <si>
    <t>Mindful Stress Management</t>
  </si>
  <si>
    <t>Introduction to Gratitude Meditation</t>
  </si>
  <si>
    <t>Introduction to Mind Like Sky Meditation</t>
  </si>
  <si>
    <t>Introduction to Loving-Kindness Meditation</t>
  </si>
  <si>
    <t>Introduction to Forgiveness Meditation</t>
  </si>
  <si>
    <t>Introduction to Visualization Meditation</t>
  </si>
  <si>
    <t>Overcoming Rejection</t>
  </si>
  <si>
    <t>The 52 Best Sales Prospecting Tips</t>
  </si>
  <si>
    <t>Sales Time Management</t>
  </si>
  <si>
    <t>How to Prepare for Your Negotiations</t>
  </si>
  <si>
    <t>Three Tips for Dealing with Deception in Negotiations</t>
  </si>
  <si>
    <t>The Top Three Negotiation Myths</t>
  </si>
  <si>
    <t>How to Save Face in a Negotiation</t>
  </si>
  <si>
    <t>Mindsets and Strategies for Negotiation Success</t>
  </si>
  <si>
    <t>Sales Well-being: Managing Anxiety, Burnout, and Rejection</t>
  </si>
  <si>
    <t>Startup Stories: Clothing Salesman Invents Baby Harness</t>
  </si>
  <si>
    <t>Reframing to Overcome Sales Objections</t>
  </si>
  <si>
    <t>How to Overcome a Sales Slump</t>
  </si>
  <si>
    <t>Creating Powerful Sales Proposals</t>
  </si>
  <si>
    <t>Transitioning to Management for Salespeople</t>
  </si>
  <si>
    <t>Customer Retention</t>
  </si>
  <si>
    <t>Business-to-Business Sales</t>
  </si>
  <si>
    <t>The Science of Sales</t>
  </si>
  <si>
    <t>Sales Prospecting</t>
  </si>
  <si>
    <t>Identify Sales Growth Opportunities</t>
  </si>
  <si>
    <t>Sales Negotiation</t>
  </si>
  <si>
    <t>Persuasive Selling</t>
  </si>
  <si>
    <t>Sales Forecasting</t>
  </si>
  <si>
    <t>Key Account Management</t>
  </si>
  <si>
    <t>Sales Channel Management</t>
  </si>
  <si>
    <t>Sales Performance Measurement and Reporting</t>
  </si>
  <si>
    <t>Develop a Service Orientation</t>
  </si>
  <si>
    <t>Sales: Customer Success</t>
  </si>
  <si>
    <t>Sales: Closing a Complex Sale</t>
  </si>
  <si>
    <t>Sales Pipeline Management</t>
  </si>
  <si>
    <t>Sales: Data-Driven Sales Management</t>
  </si>
  <si>
    <t>Social Selling Benchmarks and Scorecard</t>
  </si>
  <si>
    <t>Cross-Selling</t>
  </si>
  <si>
    <t>Sales: Handling Objections</t>
  </si>
  <si>
    <t>Sales Enablement</t>
  </si>
  <si>
    <t>Empathy for Sales Professionals</t>
  </si>
  <si>
    <t>Asking Great Sales Questions</t>
  </si>
  <si>
    <t>Selling with Empathy during Uncertain Times</t>
  </si>
  <si>
    <t>Cold Email Prospecting</t>
  </si>
  <si>
    <t>Managing Your Sales Process</t>
  </si>
  <si>
    <t>Sales and the Science of Trust</t>
  </si>
  <si>
    <t>The Persuasion Code: The Neuroscience of Sales</t>
  </si>
  <si>
    <t>Sales: Closing Strategies</t>
  </si>
  <si>
    <t>Advanced Persuasive Selling: Persuading Different Personality Types</t>
  </si>
  <si>
    <t>Selling to the C-Suite</t>
  </si>
  <si>
    <t>Advanced Lead Generation</t>
  </si>
  <si>
    <t>Flip the Script: A Toolkit for Sellers and Negotiators (Blinkist Summary)</t>
  </si>
  <si>
    <t>How to Create a Life of Meaning and Purpose</t>
  </si>
  <si>
    <t>Applying Lean, DevOps, and Agile to Your IT Organization</t>
  </si>
  <si>
    <t>Creating a Culture of Strategy Execution</t>
  </si>
  <si>
    <t>Global Strategy</t>
  </si>
  <si>
    <t>Digital Strategy</t>
  </si>
  <si>
    <t>Become a Business Unit Manager</t>
  </si>
  <si>
    <t xml:space="preserve">Develop Your Strategic Planning Skills </t>
  </si>
  <si>
    <t>Developing a Competitive Strategy</t>
  </si>
  <si>
    <t>Designing Growth Strategies</t>
  </si>
  <si>
    <t>Strategic Partnerships: Ecosystems and Platforms</t>
  </si>
  <si>
    <t>Digital Technologies Case Studies: AI, IOT, Robotics, Blockchain</t>
  </si>
  <si>
    <t>Strategic Partnerships</t>
  </si>
  <si>
    <t>Assessing and Improving Strategic Plans</t>
  </si>
  <si>
    <t>Setting Business Unit Goals</t>
  </si>
  <si>
    <t>Strategic Planning Foundations</t>
  </si>
  <si>
    <t>Strategic Planning: Case Studies</t>
  </si>
  <si>
    <t>Business Leadership, Social Change, and Movements</t>
  </si>
  <si>
    <t>Planning for the Remote-First, Work-from-Anywhere Organization</t>
  </si>
  <si>
    <t>Management Foundations: Advanced Applications</t>
  </si>
  <si>
    <t>How to Be More Strategic in Six Steps</t>
  </si>
  <si>
    <t>Business Law for Managers</t>
  </si>
  <si>
    <t>Everything as a Service (XaaS) is the Future of Business</t>
  </si>
  <si>
    <t>Multipliers: How the Best Leaders Make Everyone Smarter (Blinkist Summary)</t>
  </si>
  <si>
    <t>Business Development Foundations</t>
  </si>
  <si>
    <t>How to Become a Thought Leader and Advance Your Career</t>
  </si>
  <si>
    <t>Business Development: Strategic Planning</t>
  </si>
  <si>
    <t>Strategic Thinking</t>
  </si>
  <si>
    <t>Defining and Segmenting Competition</t>
  </si>
  <si>
    <t>Creating a Unique Competitive Advantage</t>
  </si>
  <si>
    <t>Azure: Understanding the Big Picture (2020)</t>
  </si>
  <si>
    <t>Business Lessons from a Chess Champion</t>
  </si>
  <si>
    <t>Supply Chain Analytics Foundations</t>
  </si>
  <si>
    <t>International Business Foundations</t>
  </si>
  <si>
    <t>Safeguarding AI</t>
  </si>
  <si>
    <t>The 45-Minute Business Plan</t>
  </si>
  <si>
    <t>Business Analysis: Essential Tools and Techniques</t>
  </si>
  <si>
    <t>Business Analysis for Busy Professionals</t>
  </si>
  <si>
    <t>The New Age of Risk Management Strategy for Business</t>
  </si>
  <si>
    <t>Thinking In New Boxes: A New Paradigm for Business Creativity</t>
  </si>
  <si>
    <t>Azure for Architects: Design a Migration Strategy</t>
  </si>
  <si>
    <t>Ethical Hacking: Cryptography</t>
  </si>
  <si>
    <t>Azure for Architects: Design a Business Continuity Strategy</t>
  </si>
  <si>
    <t>Cybersecurity Foundations</t>
  </si>
  <si>
    <t>The Future of Work: The Necessary Skills of Your Future Workforce</t>
  </si>
  <si>
    <t>Become an Administrative Professional</t>
  </si>
  <si>
    <t xml:space="preserve">Develop, Motivate, and Retain Employees </t>
  </si>
  <si>
    <t>Diversity, Inclusion and Belonging for Leaders and Managers</t>
  </si>
  <si>
    <t>Creating a Positive and Healthy Work Environment</t>
  </si>
  <si>
    <t>Ram Charan on Coaching High Potentials</t>
  </si>
  <si>
    <t>Managing Multiple Generations</t>
  </si>
  <si>
    <t>Working with an Executive Coach</t>
  </si>
  <si>
    <t>Developing a Mentoring Program</t>
  </si>
  <si>
    <t>Virtual Performance Reviews and Feedback</t>
  </si>
  <si>
    <t>Lean Technology Strategy: Building High-Performing Teams</t>
  </si>
  <si>
    <t>Delivering Employee Feedback</t>
  </si>
  <si>
    <t>Coaching for Results</t>
  </si>
  <si>
    <t>Persuasive Coaching</t>
  </si>
  <si>
    <t>Make the Move from Individual Contributor to Manager</t>
  </si>
  <si>
    <t>Women Transforming Tech: Tips for Career Success</t>
  </si>
  <si>
    <t>Effective Sponsorship Across Difference (for Protégés)</t>
  </si>
  <si>
    <t>The Secrets to Success at Work</t>
  </si>
  <si>
    <t>Increase Visibility to Advance Your Career</t>
  </si>
  <si>
    <t>How to Be a Good Mentee and Mentor</t>
  </si>
  <si>
    <t>Executive Coaching</t>
  </si>
  <si>
    <t>All You Have to Do Is Ask: How to Ask for Help When You Need It</t>
  </si>
  <si>
    <t>How to Succeed in a Case Study Interview</t>
  </si>
  <si>
    <t>A Toolkit for Giving and Receiving Better Feedback</t>
  </si>
  <si>
    <t>Jeff Weiner on Establishing a Culture and a Plan for Scaling</t>
  </si>
  <si>
    <t>Ideation for Leaders</t>
  </si>
  <si>
    <t>Recruit and Maximize Talent</t>
  </si>
  <si>
    <t>Managing Experts</t>
  </si>
  <si>
    <t>Recruiting Diverse Talent as a Hiring Manager</t>
  </si>
  <si>
    <t>Performance Management: Conducting Performance Reviews</t>
  </si>
  <si>
    <t>Using Feedback to Drive Performance</t>
  </si>
  <si>
    <t>Managing for Results</t>
  </si>
  <si>
    <t>The Upskilling Imperative (Blinkist Summary)</t>
  </si>
  <si>
    <t>Leading Globally</t>
  </si>
  <si>
    <t>Diversity, Inclusion and Belonging for All</t>
  </si>
  <si>
    <t>Managing a Multigenerational Workforce</t>
  </si>
  <si>
    <t>Stay Ahead in All Things DIBs</t>
  </si>
  <si>
    <t>Transition from Military to Civilian Employment</t>
  </si>
  <si>
    <t>Developing a Diversity, Inclusion, and Belonging Program</t>
  </si>
  <si>
    <t>Transition from Military to Student Life</t>
  </si>
  <si>
    <t>Digital Accessibility for the Modern Workplace</t>
  </si>
  <si>
    <t>Be an Inclusive Organization People Won't Leave</t>
  </si>
  <si>
    <t>Women Transforming Tech: Navigating Your Career</t>
  </si>
  <si>
    <t>Leading Your Org on a Journey of Allyship</t>
  </si>
  <si>
    <t>Managing Someone Older Than You</t>
  </si>
  <si>
    <t>A Manager's Guide to Inclusive Teams</t>
  </si>
  <si>
    <t>Empowering BIPOC through Mentorship</t>
  </si>
  <si>
    <t>Supporting Allyship and Anti-Racism at Work</t>
  </si>
  <si>
    <t>Diversity and Inclusion in a Global Enterprise</t>
  </si>
  <si>
    <t>Out and Proud: Approaching LGBT Issues in the Workplace</t>
  </si>
  <si>
    <t>Diversity, Inclusion, and Belonging</t>
  </si>
  <si>
    <t>Marketing to Diverse Audiences</t>
  </si>
  <si>
    <t>Overcoming Imposter Syndrome</t>
  </si>
  <si>
    <t>Women Transforming Tech: Building Your Brand</t>
  </si>
  <si>
    <t>Finding and Doing the One Thing</t>
  </si>
  <si>
    <t>Own It: The Power of Women at Work</t>
  </si>
  <si>
    <t>Podcast Pioneer: Jad Abumrad and His Radiolab Journey</t>
  </si>
  <si>
    <t>CEO Mona Ataya Redefines the Working Mother</t>
  </si>
  <si>
    <t>Multinational Communication in the Workplace</t>
  </si>
  <si>
    <t>Unconscious Bias</t>
  </si>
  <si>
    <t>Connecting Engagement and Inclusion to a Culture of Performance</t>
  </si>
  <si>
    <t>Branding Your Authentic Self</t>
  </si>
  <si>
    <t>Mentorship, Sponsorship, and Lifting Others as You Climb</t>
  </si>
  <si>
    <t>Mindfulness, Diversity, and the Quest for Inclusion</t>
  </si>
  <si>
    <t>Developing Your Authentic Self to Ignite Change</t>
  </si>
  <si>
    <t>How to Succeed as a Latina in a Global Work Environment</t>
  </si>
  <si>
    <t>Gender in Negotiation</t>
  </si>
  <si>
    <t>Proven Success Strategies for Women at Work</t>
  </si>
  <si>
    <t>Communicating about Culturally Sensitive Issues</t>
  </si>
  <si>
    <t>Understanding and Supporting Asian Employees</t>
  </si>
  <si>
    <t>Communicating Across Cultures</t>
  </si>
  <si>
    <t>Confronting Bias: Thriving Across Our Differences</t>
  </si>
  <si>
    <t>Creating Change: Diversity and Inclusion in the Tech Industry</t>
  </si>
  <si>
    <t>Developing Cross-Cultural Intelligence</t>
  </si>
  <si>
    <t>Social Interactions for Multinational Teams</t>
  </si>
  <si>
    <t>Cultivating Cultural Competence and Inclusion</t>
  </si>
  <si>
    <t>Fighting Gender Bias at Work</t>
  </si>
  <si>
    <t>Awakening Compassion at Work (Blinkist Summary)</t>
  </si>
  <si>
    <t>Just Ask: Kwame Christian on Discussing Race</t>
  </si>
  <si>
    <t>Color and Cultural Connections</t>
  </si>
  <si>
    <t>Becoming a Male Ally at Work</t>
  </si>
  <si>
    <t>John Maeda on Design, Business, and Inclusion</t>
  </si>
  <si>
    <t>Digital Accessibility for the Modern Workplace (with Audio Descriptions)</t>
  </si>
  <si>
    <t>Succeeding as an LGBT Professional</t>
  </si>
  <si>
    <t>Discussing Racism with Dr. Christina Greer</t>
  </si>
  <si>
    <t>Becoming an Ally to All</t>
  </si>
  <si>
    <t>Architectural Design: The WE Way for Workplace Inclusivity</t>
  </si>
  <si>
    <t>Success Strategies for Women in the Workplace</t>
  </si>
  <si>
    <t>Leadership Strategies for Women</t>
  </si>
  <si>
    <t>Recruiting Veterans</t>
  </si>
  <si>
    <t>Uncovering Unconscious Bias in Recruiting and Interviewing</t>
  </si>
  <si>
    <t>Advanced Grammar</t>
  </si>
  <si>
    <t>Editing Mastery: How to Edit Writing to Perfection</t>
  </si>
  <si>
    <t xml:space="preserve">Develop Your Writing Skills </t>
  </si>
  <si>
    <t>Writing Case Studies</t>
  </si>
  <si>
    <t>Writing White Papers</t>
  </si>
  <si>
    <t>Grammar Girl’s Quick and Dirty Tips for Better Writing</t>
  </si>
  <si>
    <t>Tips for Better Business Writing</t>
  </si>
  <si>
    <t>Writing a Marketing Plan</t>
  </si>
  <si>
    <t>Writing Emails People Want to Read</t>
  </si>
  <si>
    <t>Is There A Book In You? Learn to Create Your Own Masterpiece</t>
  </si>
  <si>
    <t>Technical Writing: Quick Start Guides</t>
  </si>
  <si>
    <t>Writing Articles</t>
  </si>
  <si>
    <t>Writing a Tech Resume</t>
  </si>
  <si>
    <t>Writing in Plain Language</t>
  </si>
  <si>
    <t>Productivity Hacks for Writers</t>
  </si>
  <si>
    <t>Writing a Business Case</t>
  </si>
  <si>
    <t>Writing a Compelling Blog Post</t>
  </si>
  <si>
    <t>Writing Formal Business Letters and Emails</t>
  </si>
  <si>
    <t>Writing in Plain English</t>
  </si>
  <si>
    <t>Writing Under a Deadline</t>
  </si>
  <si>
    <t>Writing with Flair: How to Become an Exceptional Writer</t>
  </si>
  <si>
    <t>Writing with Impact</t>
  </si>
  <si>
    <t>Writing: The Craft of Story</t>
  </si>
  <si>
    <t>Conquering Writer's Block</t>
  </si>
  <si>
    <t>Tips for Writing Business Emails</t>
  </si>
  <si>
    <t>Writing with Commonly Confused Words</t>
  </si>
  <si>
    <t>Sell Your Novel to a Major Publisher</t>
  </si>
  <si>
    <t>The Foundations of Fiction</t>
  </si>
  <si>
    <t>Ninja Writing: The Four Levels of Writing Mastery</t>
  </si>
  <si>
    <t>Writing Headlines</t>
  </si>
  <si>
    <t>Staying Positive and Productive during Uncertainty</t>
  </si>
  <si>
    <t>Career Wellness Nano Tips with Shadé Zahrai</t>
  </si>
  <si>
    <t>Support your Mental Health During Challenging Times</t>
  </si>
  <si>
    <t>Overcoming Overwhelm</t>
  </si>
  <si>
    <t>Supporting Your Well-Being during Times of Change and Uncertainty</t>
  </si>
  <si>
    <t>Finding Your Introvert/Extrovert Balance in the Workplace</t>
  </si>
  <si>
    <t>Well-being in the Workplace</t>
  </si>
  <si>
    <t>Using Your Mind to Change Your Brain</t>
  </si>
  <si>
    <t>Chair Work: Yoga Fitness and Stretching at Your Desk</t>
  </si>
  <si>
    <t>De-stress: Meditation and Movement for Stress Management</t>
  </si>
  <si>
    <t>Stop Stressing and Keep Moving Forward</t>
  </si>
  <si>
    <t>Anger Management</t>
  </si>
  <si>
    <t>How to Have Compassionate Presence</t>
  </si>
  <si>
    <t>Mindfulness for Beginners</t>
  </si>
  <si>
    <t>Computer and Text Neck Stretching Exercises</t>
  </si>
  <si>
    <t>The Mindful Workday</t>
  </si>
  <si>
    <t>Taking a Break from Your Phone</t>
  </si>
  <si>
    <t>Ergonomics 101</t>
  </si>
  <si>
    <t>Meditations to Change Your Brain</t>
  </si>
  <si>
    <t>Sky Yogi: Relax and Stretch for a Better Flight</t>
  </si>
  <si>
    <t>Boost Emotional Intelligence with Mindfulness</t>
  </si>
  <si>
    <t>Being Positive at Work</t>
  </si>
  <si>
    <t>Pushing Past Your Prior Limits</t>
  </si>
  <si>
    <t>Establishing Evening Routines to Optimize the Day Ahead</t>
  </si>
  <si>
    <t>Achieving More through Smart Energy Management</t>
  </si>
  <si>
    <t>Confidence: How to Overcome Self-Doubt, Insecurity, and Fears</t>
  </si>
  <si>
    <t>Strategies to Improve Self-Awareness</t>
  </si>
  <si>
    <t>Lose Your Fear of Asking Questions at Work</t>
  </si>
  <si>
    <t>Vulnerability: The Workplace Superpower Disguised as a Weakness</t>
  </si>
  <si>
    <t>Prepare for Returning to the Workplace</t>
  </si>
  <si>
    <t>Aligning Your Values with Work, Life, and Everything In Between</t>
  </si>
  <si>
    <t>Improving Emotional Intelligence with Mindfulness</t>
  </si>
  <si>
    <t>Mindful Eating</t>
  </si>
  <si>
    <t>Habits for Becoming Your Most Effective Self</t>
  </si>
  <si>
    <t>Manage Burnout at Work with These Simple Strategies</t>
  </si>
  <si>
    <t>Don't Take Yes for an Answer (Blinkist Summary)</t>
  </si>
  <si>
    <t>Strategies to Get (and Stay) Unstuck</t>
  </si>
  <si>
    <t>Mindset (Blinkist Summary)</t>
  </si>
  <si>
    <t>Upgrading Your Confidence and Courage at Work</t>
  </si>
  <si>
    <t>How to Have a Happier Workweek</t>
  </si>
  <si>
    <t>How to Find and Use Your Strengths</t>
  </si>
  <si>
    <t>Increasing Confidence by Increasing Self-Awareness</t>
  </si>
  <si>
    <t>Facilities Management: Social Distancing and PPE</t>
  </si>
  <si>
    <t>Mindful Meditations for Work and Life</t>
  </si>
  <si>
    <t>Sharing Your Best Self at Work</t>
  </si>
  <si>
    <t>Use an Entrepreneurial Mindset to Find Success and Fulfillment at Work</t>
  </si>
  <si>
    <t>Practices for Regulating Your Nervous System and Reducing Stress</t>
  </si>
  <si>
    <t>Cultivate Healthy Ambition</t>
  </si>
  <si>
    <t>Gretchen Rubin on Creating Great Workplace Habits</t>
  </si>
  <si>
    <t>Arianna Huffington's Thrive 01: Discovering Meditation and Sleep</t>
  </si>
  <si>
    <t>Arianna Huffington's Thrive 02: Learning How to Unplug and Recharge</t>
  </si>
  <si>
    <t>Arianna Huffington's Thrive 05: Igniting Joy through Presence and Wonder</t>
  </si>
  <si>
    <t>Being the Best You: Self-Improvement Modeling</t>
  </si>
  <si>
    <t>Supporting Your Mental Health While Working from Home</t>
  </si>
  <si>
    <t>Life Mastery: Achieving Happiness and Success</t>
  </si>
  <si>
    <t>Arianna Huffington's Thrive 06: Understanding the Link between Giving and Success</t>
  </si>
  <si>
    <t>Learning to Say No</t>
  </si>
  <si>
    <t>The Five Thieves of Happiness (getAbstract Summary)</t>
  </si>
  <si>
    <t>Essentials of Mindfulness and Compassion with Scott Shute</t>
  </si>
  <si>
    <t>How to Manage Feeling Overwhelmed</t>
  </si>
  <si>
    <t>Arianna Huffington's Thrive 03: Setting Priorities and Letting Go</t>
  </si>
  <si>
    <t>Managing Depression in the Workplace</t>
  </si>
  <si>
    <t>Arianna Huffington's Thrive 04: Facing Challenges with Gratitude and Forgiveness</t>
  </si>
  <si>
    <t>Recharge Your Energy for Peak Performance</t>
  </si>
  <si>
    <t>Managing Anxiety in the Workplace</t>
  </si>
  <si>
    <t>Mindfulness Practices</t>
  </si>
  <si>
    <t>Beating Procrastination</t>
  </si>
  <si>
    <t>How to Have a Great Day at Work With Caroline Webb</t>
  </si>
  <si>
    <t>Confidence-Building Strategies for Work and Life</t>
  </si>
  <si>
    <t>The Step-By-Step Guide to Reinventing Yourself</t>
  </si>
  <si>
    <t>Mel Robbins on Confidence</t>
  </si>
  <si>
    <t>The Miracle Morning (Blinkist Summary)</t>
  </si>
  <si>
    <t>The Power of Habit (Blinkist Summary)</t>
  </si>
  <si>
    <t>Balancing Multiple Roles as a Leader</t>
  </si>
  <si>
    <t>The Culture Code (Blinkist Summary)</t>
  </si>
  <si>
    <t>How to Be a Positive Leader (Blinkist Summary)</t>
  </si>
  <si>
    <t>Managing Your Well-Being as a Leader</t>
  </si>
  <si>
    <t>Leading with Empathy</t>
  </si>
  <si>
    <t>Thriving @ Work: Leveraging the Connection between Well-Being and Productivity</t>
  </si>
  <si>
    <t>Unsubscribe: How to Kill Email Anxiety, Avoid Distractions, and Get Real Work Done (Blinkist Summary)</t>
  </si>
  <si>
    <t>Leadership Skills</t>
  </si>
  <si>
    <t>Become a Leader People Love</t>
  </si>
  <si>
    <t>Risk-Taking for Leaders</t>
  </si>
  <si>
    <t>Leading Global Organisations</t>
  </si>
  <si>
    <t>10 Mistakes Leaders Should Avoid</t>
  </si>
  <si>
    <t>Leading in Government</t>
  </si>
  <si>
    <t>Leading and Managing the Whole Self</t>
  </si>
  <si>
    <t>Leaders Eat Last: Why Some Teams Pull Together and Others Don't (Blinkist Summary)</t>
  </si>
  <si>
    <t>Learn the Process of Effective Leadership</t>
  </si>
  <si>
    <t>Understanding the Leadership Behaviors That Can Sabotage Your Success</t>
  </si>
  <si>
    <t>Leadership Presence in Action</t>
  </si>
  <si>
    <t>Competency title in German</t>
  </si>
  <si>
    <t>German Course ID</t>
  </si>
  <si>
    <t>German Course Title and hyperlink</t>
  </si>
  <si>
    <t>Verantwortungsbewusstsein und Ergebnisorientiertierung</t>
  </si>
  <si>
    <t>Achtsamkeit kennenlernen und entwickeln</t>
  </si>
  <si>
    <t>Die Selbstorganisation verbessern</t>
  </si>
  <si>
    <t>Agile Strategieumsetzung mit OKR (Objectives and Key Results)</t>
  </si>
  <si>
    <t>Erfolgreich im Home-Office arbeiten</t>
  </si>
  <si>
    <t>Arbeitsmethodik für Führungskräfte</t>
  </si>
  <si>
    <t>Leichter lernen</t>
  </si>
  <si>
    <t>Aufschieberitis überwinden</t>
  </si>
  <si>
    <t>Stärken Sie Ihre Schlüsselkompetenzen</t>
  </si>
  <si>
    <t>Außerhalb des Büros arbeiten</t>
  </si>
  <si>
    <t>Berufliche Ziele setzen und erreichen</t>
  </si>
  <si>
    <t>Besprechungen moderieren</t>
  </si>
  <si>
    <t>Businessprobleme lösen</t>
  </si>
  <si>
    <t>Die 7 Wege zur Effektivität (Blinkist Kernaussagen)</t>
  </si>
  <si>
    <t>Die Leistung der Mitarbeiter:innen steigern</t>
  </si>
  <si>
    <t>Eine Hochleistungskultur schaffen</t>
  </si>
  <si>
    <t>Eine nachhaltige Work-Life-Balance etablieren</t>
  </si>
  <si>
    <t>Entscheidungsfindung im Businessumfeld</t>
  </si>
  <si>
    <t>Ergebnisorientiertes Management</t>
  </si>
  <si>
    <t>Fokus! (Blinkist Kernaussagen)</t>
  </si>
  <si>
    <t>Hochleistungsteams aufbauen</t>
  </si>
  <si>
    <t>Ihre Führungsphilosophie entwickeln</t>
  </si>
  <si>
    <t>Künstliche Intelligenz und Menschlichkeit</t>
  </si>
  <si>
    <t>Meditieren lernen in praktischen Schritten</t>
  </si>
  <si>
    <t>Mit Depressionen am Arbeitsplatz umgehen</t>
  </si>
  <si>
    <t>Modernes Leistungsmanagement</t>
  </si>
  <si>
    <t>Nachhaltigkeit im Unternehmen: Grundlagen des nachhaltigen Wirtschaftens</t>
  </si>
  <si>
    <t>Ortsunabhängig arbeiten</t>
  </si>
  <si>
    <t>Produktiv mit iPhone und iPad</t>
  </si>
  <si>
    <t>Produktivitäts-Tipps: Mehr Effizienz im Büro</t>
  </si>
  <si>
    <t>Resilienz entwickeln</t>
  </si>
  <si>
    <t>Resilienz in Krisenzeiten</t>
  </si>
  <si>
    <t>Selbstmanagement mit macOS</t>
  </si>
  <si>
    <t>Selbstmanagement-Tipps für Führungskräfte</t>
  </si>
  <si>
    <t>Selbstmotivation</t>
  </si>
  <si>
    <t>Sich besser konzentrieren – effizienter und entspannter arbeiten</t>
  </si>
  <si>
    <t>Sich selbst führen</t>
  </si>
  <si>
    <t>Tipps für kreatives Zeitmanagement</t>
  </si>
  <si>
    <t>Typische Probleme in Projekten lösen</t>
  </si>
  <si>
    <t>Veränderungen im Beruf erfolgreich bewältigen</t>
  </si>
  <si>
    <t>Verantwortung als Teil der Unternehmenskultur</t>
  </si>
  <si>
    <t>Videokonferenzen moderieren</t>
  </si>
  <si>
    <t>Von Ohnmacht zu Macht: Kontrolle übernehmen</t>
  </si>
  <si>
    <t>Werteorientiertes Management</t>
  </si>
  <si>
    <t>Wie ich die Dinge geregelt kriege (Blinkist Kernaussagen)</t>
  </si>
  <si>
    <t>Zeitmanagement mit Outlook (365/2019)</t>
  </si>
  <si>
    <t>Zeitmanagement mit Outlook 2016</t>
  </si>
  <si>
    <t>Ziele für Mitarbeiter:innen und Teams setzen</t>
  </si>
  <si>
    <t>Zielvereinbarungsgespräche führen</t>
  </si>
  <si>
    <t>Anpassungsfähigkeit</t>
  </si>
  <si>
    <t>Durch Veränderungsprozesse führen</t>
  </si>
  <si>
    <t>Agile und digitale Transformation</t>
  </si>
  <si>
    <t>Die interkulturelle Kompetenz erweitern</t>
  </si>
  <si>
    <t>Agiles Lernen in Organisationen</t>
  </si>
  <si>
    <t>Innovation fördern</t>
  </si>
  <si>
    <t>Agilität mit Strategie</t>
  </si>
  <si>
    <t>Als Führungskraft das agile Lernen im Team unterstützen</t>
  </si>
  <si>
    <t>Aus Misserfolgen lernen</t>
  </si>
  <si>
    <t>Change Management – Grundlagen</t>
  </si>
  <si>
    <t>Disrupt yourself – Erfinden Sie sich neu</t>
  </si>
  <si>
    <t>Ein agiles Mindset entwickeln</t>
  </si>
  <si>
    <t>Emotionale Intelligenz entwickeln</t>
  </si>
  <si>
    <t>Empathie und Kreativität als neue Schlüsselkompetenzen</t>
  </si>
  <si>
    <t>Freude am Lernen entwickeln</t>
  </si>
  <si>
    <t>Führen mit Innovation</t>
  </si>
  <si>
    <t>Gehirngerechtes Lernen</t>
  </si>
  <si>
    <t>Growth Mindset – Persönlicher Erfolg und Wachstum durch ein dynamisches Selbstbild</t>
  </si>
  <si>
    <t>Grundlagen der Prozessverbesserung</t>
  </si>
  <si>
    <t>Ihr Urteilsvermögen verbessern</t>
  </si>
  <si>
    <t>Innovation in Unternehmen</t>
  </si>
  <si>
    <t>Interkulturelle Kompetenz</t>
  </si>
  <si>
    <t>Kommunikation in Zeiten der Veränderung</t>
  </si>
  <si>
    <t>Kritisches Denken</t>
  </si>
  <si>
    <t>Künstliche Intelligenz und Psychologie – Ängste und Hürden überwinden</t>
  </si>
  <si>
    <t>Lerntipps</t>
  </si>
  <si>
    <t>Mentale Stärke für mehr Erfolg im Beruf</t>
  </si>
  <si>
    <t>Mit einem schwierigen Chef zurechtkommen</t>
  </si>
  <si>
    <t>Multikulturelle Teams führen</t>
  </si>
  <si>
    <t>Optimistisch bleiben im Job</t>
  </si>
  <si>
    <t>Stress bewältigen 1: Ursachen verstehen und Druck senken</t>
  </si>
  <si>
    <t>Stress bewältigen 2: Für mehr Balance und Gesundheit</t>
  </si>
  <si>
    <t>Unerwartete Veränderungen annehmen</t>
  </si>
  <si>
    <t>Veränderung vorantreiben</t>
  </si>
  <si>
    <t>Teams aufbauen und wirksam managen</t>
  </si>
  <si>
    <t>Agil arbeiten: Agile Meetings produktiv durchführen</t>
  </si>
  <si>
    <t>Die Zusammenarbeit fördern</t>
  </si>
  <si>
    <t>Agil arbeiten: Ein agiles Team aufbauen</t>
  </si>
  <si>
    <t>Führungskompetenz weiterentwickeln</t>
  </si>
  <si>
    <t>Agiler führen – eine Einführung</t>
  </si>
  <si>
    <t>Führungskraft werden</t>
  </si>
  <si>
    <t>Leader:in werden</t>
  </si>
  <si>
    <t>Als Ingenieur:in oder IT-Expert:in Mitarbeiter führen</t>
  </si>
  <si>
    <t>Leistungsorientiertes Management</t>
  </si>
  <si>
    <t>Bereit zur Führung?</t>
  </si>
  <si>
    <t>Mitarbeiter finden und halten</t>
  </si>
  <si>
    <t>Teams aufbauen und führen</t>
  </si>
  <si>
    <t>Das Personal der Zukunft</t>
  </si>
  <si>
    <t>Den eigenen Führungsstil entwickeln</t>
  </si>
  <si>
    <t>Die ersten 100 Tage als Führungskraft</t>
  </si>
  <si>
    <t>Die Teamkreativität steigern</t>
  </si>
  <si>
    <t>Durch 360-Grad-Führung aufsteigen</t>
  </si>
  <si>
    <t>Erfahrene Führungskräfte führen</t>
  </si>
  <si>
    <t>Expert:innen führen</t>
  </si>
  <si>
    <t>Führen ohne Weisungsbefugnis</t>
  </si>
  <si>
    <t>Führung im 21. Jahrhundert</t>
  </si>
  <si>
    <t>Führung im Team: Warum Teams die besseren Führungskräfte sind</t>
  </si>
  <si>
    <t>Führung im Vertrieb – Limbecks Leadership-Lektionen</t>
  </si>
  <si>
    <t>Führungsfallen vermeiden</t>
  </si>
  <si>
    <t>Führungsqualitäten für Topmanager:innen</t>
  </si>
  <si>
    <t>Führungsstärke ausstrahlen</t>
  </si>
  <si>
    <t>Führungsstärke ausstrahlen: Tipps für Frauen</t>
  </si>
  <si>
    <t>Gesund führen</t>
  </si>
  <si>
    <t>Grundlagen von Führung</t>
  </si>
  <si>
    <t>Hybride Teams führen</t>
  </si>
  <si>
    <t>Im Team arbeiten</t>
  </si>
  <si>
    <t>Im Team kommunizieren</t>
  </si>
  <si>
    <t>Jeff Weiner über anteilnehmendes Management</t>
  </si>
  <si>
    <t>Körpersprache für Frauen</t>
  </si>
  <si>
    <t>Körpersprache für Führungskräfte</t>
  </si>
  <si>
    <t>Leistungsträger führen</t>
  </si>
  <si>
    <t>Mit schwierigen Mitarbeiter:innen umgehen</t>
  </si>
  <si>
    <t>Mitarbeiter entwickeln</t>
  </si>
  <si>
    <t>Mitarbeiter:innen Feedback geben</t>
  </si>
  <si>
    <t>Mitarbeiter:innen motivieren</t>
  </si>
  <si>
    <t>Mitarbeiterzufriedenheit durch Feel-Good-Management</t>
  </si>
  <si>
    <t>Neue Führungskräfte führen</t>
  </si>
  <si>
    <t>Onboarding neuer Mitarbeiter:innen</t>
  </si>
  <si>
    <t>Personalwesen: Onboarding-Programme durchführen</t>
  </si>
  <si>
    <t>Servant Leadership – Dienende Führung</t>
  </si>
  <si>
    <t>Spitzentalente führen</t>
  </si>
  <si>
    <t>Storytelling für Führungskräfte</t>
  </si>
  <si>
    <t>Systemisch führen</t>
  </si>
  <si>
    <t>Talente finden und binden</t>
  </si>
  <si>
    <t>Teamleistungen mit Kennzahlen messen</t>
  </si>
  <si>
    <t>Teams aufbauen, entwickeln und zum Erfolg führen</t>
  </si>
  <si>
    <t>Technische Fachkräfte führen</t>
  </si>
  <si>
    <t>Tipps für den Führungsalltag</t>
  </si>
  <si>
    <t>Vertrauen aufbauen, aufrechterhalten und wiederherstellen</t>
  </si>
  <si>
    <t>Virtuelle Teams führen</t>
  </si>
  <si>
    <t>Vom Manager zum Leader</t>
  </si>
  <si>
    <t>Vertrauen schaffen und mit anderen zusammenarbeiten</t>
  </si>
  <si>
    <t>Digitaler Arbeitsplatz: Tools für die Zusammenarbeit</t>
  </si>
  <si>
    <t>Besser zuhören</t>
  </si>
  <si>
    <t>Das Homeoffice sicher machen</t>
  </si>
  <si>
    <t>Die 10 Stufen des Zuhörens: Die eigene Zuhörkompetenz ausbauen</t>
  </si>
  <si>
    <t>Die Assistenz der Zukunft: Schlüsselkompetenzen für das moderne Office-Management</t>
  </si>
  <si>
    <t>Digital auf Distanz führen und Ergebnisse erzielen</t>
  </si>
  <si>
    <t>Ein erfolgreiches Teammitglied sein</t>
  </si>
  <si>
    <t>Erfolgreich zuhören</t>
  </si>
  <si>
    <t>Firmeninterne Gesprächssituationen meistern</t>
  </si>
  <si>
    <t>Fred Kofman über Konfliktmanagement</t>
  </si>
  <si>
    <t>Git: Workflows im Team optimieren</t>
  </si>
  <si>
    <t>Grundlagen der Mediation</t>
  </si>
  <si>
    <t>Im Team zusammenarbeiten mit Microsoft Office 365</t>
  </si>
  <si>
    <t>Kollaborative Führung</t>
  </si>
  <si>
    <t>Konfliktlösung – Grundlagen</t>
  </si>
  <si>
    <t>Konfliktmanagement in Projekten</t>
  </si>
  <si>
    <t>Kreativnetzwerke aufbauen</t>
  </si>
  <si>
    <t>Meine Rechte und Pflichten in sozialen Netzwerken</t>
  </si>
  <si>
    <t>Mentor:in werden</t>
  </si>
  <si>
    <t>Microsoft Teams Grundkurs</t>
  </si>
  <si>
    <t>Microsoft Teams: Besprechungen, Webinare, Liveereignisse</t>
  </si>
  <si>
    <t>Offen und ansprechbar für andere sein</t>
  </si>
  <si>
    <t>OneDrive Grundkurs</t>
  </si>
  <si>
    <t>Online arbeiten: allein und im Team</t>
  </si>
  <si>
    <t>Premiere Pro: Cloud- und netzwerkbasierte Teamarbeit mit "Produktion" und Team Projects</t>
  </si>
  <si>
    <t>Professionell netzwerken</t>
  </si>
  <si>
    <t>Projektmanagement: Ethik und Compliance</t>
  </si>
  <si>
    <t>Projektmanagement: Team, Führung, Zusammenarbeit</t>
  </si>
  <si>
    <t>SharePoint 2019 Grundkurs</t>
  </si>
  <si>
    <t>SharePoint Online für Power User</t>
  </si>
  <si>
    <t>SharePoint Online Grundkurs (Office 365/Microsoft 365)</t>
  </si>
  <si>
    <t>Sich und andere besser verstehen</t>
  </si>
  <si>
    <t>Probleme konfliktfrei lösen mit Inspektor Columbo (Columbos Regeln®)</t>
  </si>
  <si>
    <t>Kommunikation und Einfluss auf andere</t>
  </si>
  <si>
    <t>Andere beeinflussen und überzeugen</t>
  </si>
  <si>
    <t>Besser kommunizieren</t>
  </si>
  <si>
    <t>Argumentative Rhetorik, manipulative Rhetorik – zwei Wege, Menschen zu beeinflussen</t>
  </si>
  <si>
    <t>Bessere Texte schreiben</t>
  </si>
  <si>
    <t>Berichte schreiben</t>
  </si>
  <si>
    <t>Besser präsentieren</t>
  </si>
  <si>
    <t>Überzeugend auftreten</t>
  </si>
  <si>
    <t>Business Englisch: Erfolgreiche E-Mails verfassen</t>
  </si>
  <si>
    <t>Business Englisch: Online-Vorstellungsgespräche meistern</t>
  </si>
  <si>
    <t>Business Visualisierung – agil und kreativ</t>
  </si>
  <si>
    <t>Corporate Blogs – Grundlagen</t>
  </si>
  <si>
    <t>Data Science lernen: Storytelling mit Daten</t>
  </si>
  <si>
    <t>Die 7 schlimmsten Kommunikationsfehler</t>
  </si>
  <si>
    <t>Digital Nudging: User Experience positiv beeinflussen</t>
  </si>
  <si>
    <t>E-Mails schreiben</t>
  </si>
  <si>
    <t>Erfolgreich verhandeln mit dem Harvard-Konzept</t>
  </si>
  <si>
    <t>Erfolgreiche Einzelgespräche führen</t>
  </si>
  <si>
    <t>Erfolgreiche Kommunikation</t>
  </si>
  <si>
    <t>Female Empowerment: Selbstbewusstes Auftreten</t>
  </si>
  <si>
    <t>Führen mit emotionaler Intelligenz</t>
  </si>
  <si>
    <t>Ihr persönlicher Elevator Pitch</t>
  </si>
  <si>
    <t>Ihre Ideen durchsetzen</t>
  </si>
  <si>
    <t>Ihre Kompetenz sichtbar machen</t>
  </si>
  <si>
    <t>In der Videokonferenz souverän auftreten</t>
  </si>
  <si>
    <t>In der Videokonferenz überzeugen</t>
  </si>
  <si>
    <t>In Medieninterviews überzeugen</t>
  </si>
  <si>
    <t>Influencer-Marketing – Grundlagen</t>
  </si>
  <si>
    <t>Intros und Extros (Blinkist Kernaussagen)</t>
  </si>
  <si>
    <t>Kommunikation mit Empathie</t>
  </si>
  <si>
    <t>Kommunikation verstehen</t>
  </si>
  <si>
    <t>Kommunikationstipps</t>
  </si>
  <si>
    <t>Kreatives Texten: Wortspiele, Metaphern &amp; Co.</t>
  </si>
  <si>
    <t>Krisenkommunikation</t>
  </si>
  <si>
    <t>Kundenkommunikation mit WhatsApp Business</t>
  </si>
  <si>
    <t>Künstliche Intelligenz: Strategie und Kommunikation im Unternehmen</t>
  </si>
  <si>
    <t>Manipulation erkennen und abwehren</t>
  </si>
  <si>
    <t>Mehr Ausstrahlung mit dem Charisma-Code</t>
  </si>
  <si>
    <t>Meinungsführer:in werden</t>
  </si>
  <si>
    <t>Mit dem ersten Eindruck überzeugen</t>
  </si>
  <si>
    <t>Nein sagen und gesunde Grenzen setzen</t>
  </si>
  <si>
    <t>Neuro-Linguistisches Programmieren (NLP) für Einsteiger und Neugierige</t>
  </si>
  <si>
    <t>Presse- und Öffentlichkeitsarbeit für kleine und mittlere Unternehmen</t>
  </si>
  <si>
    <t>Projektmanagement: Kommunikation</t>
  </si>
  <si>
    <t>Rhetorik: Mit guten Argumenten überzeugen</t>
  </si>
  <si>
    <t>Schlagfertigkeit: Nie wieder sprachlos</t>
  </si>
  <si>
    <t>Schwierige Sachverhalte einfach vermitteln</t>
  </si>
  <si>
    <t>Souverän auftreten und überzeugend kommunizieren</t>
  </si>
  <si>
    <t>Storytelling für Marketing und PR</t>
  </si>
  <si>
    <t>Strategisch verhandeln</t>
  </si>
  <si>
    <t>Treffende Texte</t>
  </si>
  <si>
    <t>Überzeugend auftreten: Selbstbewusstsein, Selbstvertrauen, Selbstsicherheit</t>
  </si>
  <si>
    <t>Visual Storytelling für Marketing und PR</t>
  </si>
  <si>
    <t>Wertschätzende Kommunikation – Trotz Unterschieden erfolgreich kommunizieren</t>
  </si>
  <si>
    <t>Konfliktmanagement und Konfliktlösung</t>
  </si>
  <si>
    <t>Mit schwierigen Kunden umgehen</t>
  </si>
  <si>
    <t>Projektmanagement: Krisen und Erfolg</t>
  </si>
  <si>
    <t>Unconscious Bias – Unbewusste Denkmuster erkennen und ändern</t>
  </si>
  <si>
    <t>Content Marketing, Digitales Marketing und Marketing Strategien</t>
  </si>
  <si>
    <t>10-Minuten-Tipps: Neue Ideen für Ihr Marketing</t>
  </si>
  <si>
    <t>Online-Marketing-Expert:in werden</t>
  </si>
  <si>
    <t>A/B-Testing – Grundlagen</t>
  </si>
  <si>
    <t>SEO-Expert:in werden</t>
  </si>
  <si>
    <t>Adobe Spark Post für Content Management</t>
  </si>
  <si>
    <t>Sich weiterentwickeln als Online-Marketing-Spezialist – Ideen, Tipps und Tricks für Fortgeschrittene</t>
  </si>
  <si>
    <t>Branding und Markenmanagement – Grundlagen</t>
  </si>
  <si>
    <t>Social Media-Marketing-Expert:in werden</t>
  </si>
  <si>
    <t>C.C. Chapman: Content Marketing und die Kunst des Storytelling</t>
  </si>
  <si>
    <t>Chatbots: Anwendungsfelder und Konzeption</t>
  </si>
  <si>
    <t>Content Creation für Social Media in 10 Minuten</t>
  </si>
  <si>
    <t>Content First Publishing</t>
  </si>
  <si>
    <t>Content-Marketing – Grundlagen</t>
  </si>
  <si>
    <t>Corporate Design für Online-Marketing-Projekte</t>
  </si>
  <si>
    <t>Corporate Influencer:in – Mitarbeitende als Werte- und Markenbotschafter:innen einsetzen</t>
  </si>
  <si>
    <t>Creator Studio für Facebook und Instagram Grundkurs</t>
  </si>
  <si>
    <t>Digitale Kampagnen durchführen</t>
  </si>
  <si>
    <t>Eine Wettbewerbsstrategie entwickeln</t>
  </si>
  <si>
    <t>Einen Marketingplan schreiben</t>
  </si>
  <si>
    <t>E-Mail-Marketing – Grundlagen</t>
  </si>
  <si>
    <t>Executive Summary: Personal Branding mit LinkedIn</t>
  </si>
  <si>
    <t>Facebook-Marketing: Anzeigen- und Werbe-Kampagnen</t>
  </si>
  <si>
    <t>Google Ads (AdWords) Grundkurs</t>
  </si>
  <si>
    <t>Google Ads (AdWords): Optimierung, Tools, Berichte</t>
  </si>
  <si>
    <t>Google Ads-Tipps</t>
  </si>
  <si>
    <t>Google Universal Analytics Grundkurs 1: Planen, Implementieren, Verwalten</t>
  </si>
  <si>
    <t>Google Universal Analytics Grundkurs 2: Bericht, Erkenntnis, Handlung</t>
  </si>
  <si>
    <t>Growth Hacking – Grundlagen</t>
  </si>
  <si>
    <t>Human Branding: Ihre persönliche Marke entwickeln</t>
  </si>
  <si>
    <t>Ihr optimales LinkedIn Unternehmensprofil</t>
  </si>
  <si>
    <t>InDesign: Content First mit Cloudpublishing</t>
  </si>
  <si>
    <t>Instagram für Kreative</t>
  </si>
  <si>
    <t>Instagram kennenlernen</t>
  </si>
  <si>
    <t>Internationales Marketing – Grundlagen</t>
  </si>
  <si>
    <t>Kreative Methoden für Marketing und PR</t>
  </si>
  <si>
    <t>Lean Digital Marketing</t>
  </si>
  <si>
    <t>LinkedIn Sponsored Content lernen</t>
  </si>
  <si>
    <t>LinkedIn Sponsored InMail lernen</t>
  </si>
  <si>
    <t>LinkedIn Sponsored Updates kennenlernen</t>
  </si>
  <si>
    <t>Marketing Automation – Grundlagen</t>
  </si>
  <si>
    <t>Marketing in Zeiten der Veränderung</t>
  </si>
  <si>
    <t>Marketing mit Facebook Grundkurs</t>
  </si>
  <si>
    <t>Marketing mit Facebook: Werbeanzeigenmanager</t>
  </si>
  <si>
    <t>Marketing mit Instagram</t>
  </si>
  <si>
    <t>Marketing mit kleinem Budget</t>
  </si>
  <si>
    <t>Marketing mit Snapchat – Grundlagen</t>
  </si>
  <si>
    <t>Marketing mit Social Media Stories</t>
  </si>
  <si>
    <t>Marketing mit Twitter Grundkurs</t>
  </si>
  <si>
    <t>Marketing-Strategien: Das Online-Marketing-Cockpit</t>
  </si>
  <si>
    <t>Mehr Aufmerksamkeit in Verkauf und Vertrieb</t>
  </si>
  <si>
    <t>Neuromarketing – Grundlagen</t>
  </si>
  <si>
    <t>Personal Branding mit LinkedIn</t>
  </si>
  <si>
    <t>Photoshop für PR und Marketing</t>
  </si>
  <si>
    <t>Photoshop für Social Media</t>
  </si>
  <si>
    <t>Rechtsgrundlagen für Blogger:innen und Online-Redakteur:innen</t>
  </si>
  <si>
    <t>Rechtsgrundlagen: E-Mail-Marketing</t>
  </si>
  <si>
    <t>Rechtsgrundlagen: Online-Impressum</t>
  </si>
  <si>
    <t>SEO – Grundlagen</t>
  </si>
  <si>
    <t>SEO in TYPO3 CMS Grundkurs</t>
  </si>
  <si>
    <t>SEO in WordPress – Grundlagen</t>
  </si>
  <si>
    <t>SEO: International ausgerichtete Suchmaschinenoptimierung</t>
  </si>
  <si>
    <t>SEO: Onpage-Optimierung</t>
  </si>
  <si>
    <t>SEO: Optimierung für sprachbasierte Suche</t>
  </si>
  <si>
    <t>SEO: Praktische Tipps für Online-Marketing-Manager:innen</t>
  </si>
  <si>
    <t>SEO: Site-Clinics – Suchmaschinenoptimierung für bestehende Websites in der Praxis</t>
  </si>
  <si>
    <t>SEO-gerechte Texte</t>
  </si>
  <si>
    <t>SEO-Strategien: Das SEO-Cockpit</t>
  </si>
  <si>
    <t>Snapchat für Kreative</t>
  </si>
  <si>
    <t>Social Commerce: E-Commerce mit Social Media kennenlernen</t>
  </si>
  <si>
    <t>Social Media-Grundlagen: Business-Perspektive</t>
  </si>
  <si>
    <t>Social Media-Marketing – Grundlagen</t>
  </si>
  <si>
    <t>Social Media-Marketing – Grundlagen: Netzwerke, Tools, Tipps und Tricks</t>
  </si>
  <si>
    <t>Strategieentwicklung: Ein Überblick</t>
  </si>
  <si>
    <t>TikTok für Unternehmen und Start-Ups</t>
  </si>
  <si>
    <t>Twitter-Marketing: Anzeigen- und Werbe-Kampagnen</t>
  </si>
  <si>
    <t>Vermarktung und Präsentation für Fotograf:innen</t>
  </si>
  <si>
    <t>Video-SEO mit YouTube – Grundlagen</t>
  </si>
  <si>
    <t>Wachstumsstrategien entwickeln</t>
  </si>
  <si>
    <t>Website-Konzeption mit Storymap und Kanban</t>
  </si>
  <si>
    <t>Werbung auf Instagram</t>
  </si>
  <si>
    <t>Werbung auf LinkedIn</t>
  </si>
  <si>
    <t>WordPress: Professionelles Blog betreiben</t>
  </si>
  <si>
    <t>Kreatives Denken und Innovation</t>
  </si>
  <si>
    <t>1-Minuten-Tipps für mehr Kreativität</t>
  </si>
  <si>
    <t>Erweitern Sie Ihre Kreativitäts-Skills</t>
  </si>
  <si>
    <t>Der kreative Prozess in fünf Schritten</t>
  </si>
  <si>
    <t>Design Thinking – Grundlagen</t>
  </si>
  <si>
    <t>Design Thinking am Praxisbeispiel</t>
  </si>
  <si>
    <t>Die kreative Organisation</t>
  </si>
  <si>
    <t>Ideation: Visuelles Denken und Ideenfindung</t>
  </si>
  <si>
    <t>Innovative Techniken im Kundenservice</t>
  </si>
  <si>
    <t>Kreative Ideen entwickeln: Arten von Kreativität</t>
  </si>
  <si>
    <t>Kreative Ideen entwickeln: Basiswissen</t>
  </si>
  <si>
    <t>Kreative Ideen entwickeln: Die kreative Persönlichkeit</t>
  </si>
  <si>
    <t>Kreative Ideen entwickeln: Ideen bewerten</t>
  </si>
  <si>
    <t>Kreative Ideen entwickeln: innere und äußere Blockaden überwinden</t>
  </si>
  <si>
    <t>Kreative Ideen entwickeln: Tipps &amp; Tricks</t>
  </si>
  <si>
    <t>Kreative Ideen in 10 Minuten</t>
  </si>
  <si>
    <t>Visuelles Denken im Business-Umfeld</t>
  </si>
  <si>
    <t>Kritisch denken, Entscheidungen treffen, Probleme lösen</t>
  </si>
  <si>
    <t>Ihre Problemlösungsfähigkeiten verbessern</t>
  </si>
  <si>
    <t>Entscheidungen auf Führungsebene treffen</t>
  </si>
  <si>
    <t>Grundlagen der User Experience für Entscheider:innen</t>
  </si>
  <si>
    <t>Kritisches Denken für besseres Urteilsvermögen und bessere Entscheidungsfindung</t>
  </si>
  <si>
    <t>Mit Fragen kritisches Denken und Neugierde fördern</t>
  </si>
  <si>
    <t>Strategisches Denken und Handeln für Führungskräfte</t>
  </si>
  <si>
    <t>Systemisch denken, fragen und handeln – eine Einführung</t>
  </si>
  <si>
    <t>Techniken zur Problemlösung</t>
  </si>
  <si>
    <t>Kundenorientierung</t>
  </si>
  <si>
    <t>Als Kundenservice-Manager:in die Erwartung der Kundschaft steuern</t>
  </si>
  <si>
    <t>Als Kundenservice-Mitarbeiter:in die Erwartung der Kundschaft steuern</t>
  </si>
  <si>
    <t>Kundenservice-Spezialist:in werden</t>
  </si>
  <si>
    <t>Customer Centricity – Unternehmerisches Handeln an Kund:innen ausrichten</t>
  </si>
  <si>
    <t>Ein Team im Kundenservice leiten</t>
  </si>
  <si>
    <t>Führung im Kundenservice</t>
  </si>
  <si>
    <t>Kunden begeistern mit System (Blinkist Kernaussagen)</t>
  </si>
  <si>
    <t>Kundenservice – Grundlagen</t>
  </si>
  <si>
    <t>Künstliche Intelligenz: UX-Prinzipien und Anwendungen</t>
  </si>
  <si>
    <t>Neue Kunden finden</t>
  </si>
  <si>
    <t>Neukundengeschäft im Lizenzverkauf (B2B)</t>
  </si>
  <si>
    <t>Qualitätsstandards im Kundenservice</t>
  </si>
  <si>
    <t>Telefonischer Kundenservice</t>
  </si>
  <si>
    <t>Datenanalyse</t>
  </si>
  <si>
    <t>Apache Kafka: erweiterte Konzepte lernen</t>
  </si>
  <si>
    <t>Excel-Expert:in werden</t>
  </si>
  <si>
    <t>Big-Data-Grundlagen: Methoden und Konzepte im Zeitalter von KI</t>
  </si>
  <si>
    <t>Mit Excel 216 Daten auswerten und präsentieren</t>
  </si>
  <si>
    <t>Blockchain – Grundlagen</t>
  </si>
  <si>
    <t>Python-Entwickler:in werden</t>
  </si>
  <si>
    <t>Cybersecurity-Tipps: Jede Woche neu</t>
  </si>
  <si>
    <t>Data Governance mit Microsoft Office 365</t>
  </si>
  <si>
    <t>Data Mining Grundlagen: Einführung in die Datenvorbereitung mit Data Cleansing, Data Transformation und Feature Engineering</t>
  </si>
  <si>
    <t>Data Science Grundlagen: Eine Einführung</t>
  </si>
  <si>
    <t>Data Science Grundlagen: Knowledge Graphen</t>
  </si>
  <si>
    <t>Data Science lernen: Die Grundlagen verstehen</t>
  </si>
  <si>
    <t>Daten visualisieren mit Chart.js</t>
  </si>
  <si>
    <t>Daten visualisieren mit D3.js</t>
  </si>
  <si>
    <t>Datenanalyse mit R: Datenimport und -handling</t>
  </si>
  <si>
    <t>Datenanalyse mit R: Datenvisualisierung</t>
  </si>
  <si>
    <t>Datenbankentwicklung mit PHP</t>
  </si>
  <si>
    <t>Deep Learning: Grundlagen, Tools und Anwendungen</t>
  </si>
  <si>
    <t>Einführung in die Formelsprache DAX (Excel und Power BI Desktop; 365/2019)</t>
  </si>
  <si>
    <t>Excel 2010: Power Pivot</t>
  </si>
  <si>
    <t>Excel 2013: Power Query</t>
  </si>
  <si>
    <t>Excel 2016: Daten abrufen und transformieren</t>
  </si>
  <si>
    <t>Excel 2016: Daten importieren, modellieren, auswerten</t>
  </si>
  <si>
    <t>Excel 2016: Datenanalyse</t>
  </si>
  <si>
    <t>Excel 2016: Management-Reports</t>
  </si>
  <si>
    <t>Excel 2016: Pivot-Tabellen</t>
  </si>
  <si>
    <t>Excel 2016: Power Pivot</t>
  </si>
  <si>
    <t>Excel: Cubefunktionen</t>
  </si>
  <si>
    <t>Excel: Dashboards (365/2019)</t>
  </si>
  <si>
    <t>Excel: Daten abrufen und transformieren (Power Query; 365/2019)</t>
  </si>
  <si>
    <t>Excel: Dynamische Array-Funktionen (Office 365/Microsoft 365)</t>
  </si>
  <si>
    <t>Excel: Pivot-Berichte mit Datenmodell verbessern</t>
  </si>
  <si>
    <t>Excel: Pivot-Tabellen für Einsteiger</t>
  </si>
  <si>
    <t>Excel: Power Query für Einsteiger</t>
  </si>
  <si>
    <t>Excel: Spezialfilter</t>
  </si>
  <si>
    <t>Excel: Statistische Funktionen</t>
  </si>
  <si>
    <t>Grundlagen der Datenvisualisierung und Datenpräsentation</t>
  </si>
  <si>
    <t>Machine Learning Grundlagen</t>
  </si>
  <si>
    <t>Mathematica und Wolfram Language Grundkurs</t>
  </si>
  <si>
    <t>Mathematik-Grundbegriffe für Programmierer:innen</t>
  </si>
  <si>
    <t>MATLAB Grundkurs</t>
  </si>
  <si>
    <t>Microsoft Power BI: Ein Überblick</t>
  </si>
  <si>
    <t>Minitab lernen</t>
  </si>
  <si>
    <t>Modern Workplace mit Microsoft 365</t>
  </si>
  <si>
    <t>PostgreSQL Grundkurs</t>
  </si>
  <si>
    <t>Power BI Desktop für Fortgeschrittene</t>
  </si>
  <si>
    <t>Power BI Desktop Grundkurs</t>
  </si>
  <si>
    <t>Power BI: Datenmodellierung</t>
  </si>
  <si>
    <t>Power Query für Fortgeschrittene (Excel und Power BI Desktop; 365/2019)</t>
  </si>
  <si>
    <t>Python 3 Grundkurs</t>
  </si>
  <si>
    <t>Python für C++-, Java- und C#-Entwickler:innen</t>
  </si>
  <si>
    <t>Python lernen</t>
  </si>
  <si>
    <t>Python und Excel: Strukturierte Daten bearbeiten</t>
  </si>
  <si>
    <t>Python: Geometrische Berechnungen</t>
  </si>
  <si>
    <t>Python: Statistische Auswertungen</t>
  </si>
  <si>
    <t>R und RStudio Grundkurs</t>
  </si>
  <si>
    <t>Rechtsgrundlagen: Industrie 4.0 und Internet of Things (IoT)</t>
  </si>
  <si>
    <t>Relationale Algebra mit MySQL</t>
  </si>
  <si>
    <t>SAP Business One: Stammdaten</t>
  </si>
  <si>
    <t>SAP Crystal Reports 2020 Grundkurs</t>
  </si>
  <si>
    <t>SPSS lernen</t>
  </si>
  <si>
    <t>SQL Grundkurs 3: Data Manipulation Language (DML)</t>
  </si>
  <si>
    <t>SQL Grundkurs 4: Data Definition Language (DDL) und Data Control Language (DCL)</t>
  </si>
  <si>
    <t>SQL lernen</t>
  </si>
  <si>
    <t>SQL Server Analysis Services im mehrdimensionalen Modus Grundkurs</t>
  </si>
  <si>
    <t>SQL Server Analysis Services im tabellarischen Modus Grundkurs</t>
  </si>
  <si>
    <t>SQL Server Reporting Services Grundkurs</t>
  </si>
  <si>
    <t>SQL Server Reporting Services: Visualisierung</t>
  </si>
  <si>
    <t>Statistik-Grundlagen 1: Grundbegriffe und deskriptive Statistik</t>
  </si>
  <si>
    <t>Statistik-Grundlagen 2: Mehrere Variablen und Wahrscheinlichkeiten</t>
  </si>
  <si>
    <t>Tableau 10 Grundkurs</t>
  </si>
  <si>
    <t>Webanalyse – Grundlagen</t>
  </si>
  <si>
    <t>Zahlen spannend präsentieren</t>
  </si>
  <si>
    <t>Finanzen und Rechnungswesen</t>
  </si>
  <si>
    <t>Bilanzen lesen und verstehen</t>
  </si>
  <si>
    <t>Bitcoins und Kryptowährungen – Grundlagen</t>
  </si>
  <si>
    <t>Businessplan für Ihr Unternehmen</t>
  </si>
  <si>
    <t>Die Unternehmensleistung messen</t>
  </si>
  <si>
    <t>Finanzwesen – Grundlagen</t>
  </si>
  <si>
    <t>Finanzwissen für Gründer:innen, Selbstständige und Kleinunternehmer:innen</t>
  </si>
  <si>
    <t>Finanzwissen für nicht kaufmännische Führungskräfte</t>
  </si>
  <si>
    <t>Geld am Aktienmarkt anlegen</t>
  </si>
  <si>
    <t>Grundlagen des E-Commerce: Kosten- und Erfolgskontrolle</t>
  </si>
  <si>
    <t>Grundlagen des E-Commerce: Payment</t>
  </si>
  <si>
    <t>Kassenbuch mit Excel</t>
  </si>
  <si>
    <t>SAP Business One Finanzbuchhaltung Grundkurs</t>
  </si>
  <si>
    <t>Unternehmerische Fähigkeiten entwickeln</t>
  </si>
  <si>
    <t>Wirtschaftlichkeitsrechnung lernen</t>
  </si>
  <si>
    <t>Personalwesen und HR Management</t>
  </si>
  <si>
    <t>10 Mythen über Diversity, Inclusion und Zugehörigkeit am Arbeitsplatz</t>
  </si>
  <si>
    <t>Agile Lernformate in Organisationen</t>
  </si>
  <si>
    <t>Recruiter:in werden</t>
  </si>
  <si>
    <t>Agiles Personalmanagement</t>
  </si>
  <si>
    <t>Beurteilungsgespräche führen</t>
  </si>
  <si>
    <t>Diversität und Inklusion in globalen Unternehmen</t>
  </si>
  <si>
    <t>Einführung ins E-Learning</t>
  </si>
  <si>
    <t>E-Learning: Technologien und Systeme</t>
  </si>
  <si>
    <t>Employer Branding – Grundlagen</t>
  </si>
  <si>
    <t>Gespräche strukturieren und steuern</t>
  </si>
  <si>
    <t>Ihre wirkungsvolle Diversity-Strategie entwickeln</t>
  </si>
  <si>
    <t>Internationale Personalentwicklung</t>
  </si>
  <si>
    <t>LinkedIn Recruiter lernen</t>
  </si>
  <si>
    <t>Personalstrategie – Grundlagen</t>
  </si>
  <si>
    <t>Personalverwaltung – Grundlagen</t>
  </si>
  <si>
    <t>Raumgestaltung für Innovation, Kreativität und Agilität</t>
  </si>
  <si>
    <t>Recruiting – Grundlagen</t>
  </si>
  <si>
    <t>Recruiting: Active Sourcing – Proaktive Suche nach Bewerber:innen</t>
  </si>
  <si>
    <t>Recruiting: Fachkräfte und Spezialist:innen gewinnen</t>
  </si>
  <si>
    <t>Recruiting: Job-Interviews führen</t>
  </si>
  <si>
    <t>Als Führungskraft Risiken eingehen</t>
  </si>
  <si>
    <t>Digitale Transformation im Publishing</t>
  </si>
  <si>
    <t>Disruption und Transformation erfolgreich nutzen: zukunftssichere Unternehmensführung</t>
  </si>
  <si>
    <t>Eine Veränderungskultur schaffen</t>
  </si>
  <si>
    <t>Führung in Zeiten von Unsicherheit</t>
  </si>
  <si>
    <t>Führung und Kommunikation im digitalen Zeitalter</t>
  </si>
  <si>
    <t>Projektmanagement: Änderungsmanagement</t>
  </si>
  <si>
    <t>Andere wirksam führen und transformative Führung</t>
  </si>
  <si>
    <t>Führen im Zeitalter der Digitalen Transformation</t>
  </si>
  <si>
    <t>Führungsqualitäten entwickeln</t>
  </si>
  <si>
    <t>Blinde Flecke in der Führung erkennen und überwinden</t>
  </si>
  <si>
    <t>Coaching-Skills für Führungskräfte</t>
  </si>
  <si>
    <t>Den eigenen Chef führen</t>
  </si>
  <si>
    <t>Der Führungs-Talk</t>
  </si>
  <si>
    <t>Die 5 Rollen einer Führungskraft</t>
  </si>
  <si>
    <t>Erfolgsstrategien für Frauen in Führungspositionen</t>
  </si>
  <si>
    <t>Fair Führen – Inclusive Leadership im Unternehmen fördern</t>
  </si>
  <si>
    <t>Fair führen (Blinkist Kernaussagen)</t>
  </si>
  <si>
    <t>Mehrere Generationen managen</t>
  </si>
  <si>
    <t>Mentoring – im Tandem zum Erfolg (Blinkist Kernaussagen)</t>
  </si>
  <si>
    <t>Social Media für Führungskräfte</t>
  </si>
  <si>
    <t>Andere wirksam managen</t>
  </si>
  <si>
    <t>Operative Exzellenz und Prozessverbesserungen</t>
  </si>
  <si>
    <t>Azure DevOps Grundkurs</t>
  </si>
  <si>
    <t>Six Sigma Green Belt werden</t>
  </si>
  <si>
    <t>Betriebsmanagement – Grundlagen</t>
  </si>
  <si>
    <t>Six Sigma Black Belt werden</t>
  </si>
  <si>
    <t>DevOps – Grundlagen</t>
  </si>
  <si>
    <t>Ihr Weg zum Devops-Engineer</t>
  </si>
  <si>
    <t>Lean Six Sigma – Grundlagen</t>
  </si>
  <si>
    <t>Microsoft Azure: Policy für DevOps</t>
  </si>
  <si>
    <t>Operative Exzellenz – Grundlagen</t>
  </si>
  <si>
    <t>Six Sigma – Grundlagen</t>
  </si>
  <si>
    <t>Präsentationsfähigkeiten</t>
  </si>
  <si>
    <t>Bessere Foliengestaltung in PowerPoint: Tipps und Tricks</t>
  </si>
  <si>
    <t>Ihr gestalterisches Auge schärfen</t>
  </si>
  <si>
    <t>Das Deuser-ABC: Auftritts-Tipps vom Bühnenprofi</t>
  </si>
  <si>
    <t>PowerPoint 216-Expert:in werden</t>
  </si>
  <si>
    <t>Die erfolgreiche Verkaufspräsentation</t>
  </si>
  <si>
    <t>Eloquenz für Führungskräfte</t>
  </si>
  <si>
    <t>Geschäftliche Präsentationen erstellen und halten</t>
  </si>
  <si>
    <t>Grafikdesign lernen: Präsentationen</t>
  </si>
  <si>
    <t>PowerPoint für das Web lernen (Office 365/Microsoft 365)</t>
  </si>
  <si>
    <t>PowerPoint Grundkurs (Office 365/Microsoft 365)</t>
  </si>
  <si>
    <t>PowerPoint lernen (Office 365/Microsoft 365)</t>
  </si>
  <si>
    <t>PowerPoint: 3D-Grafiken (365/2019)</t>
  </si>
  <si>
    <t>PowerPoint: Animationen und Übergänge (365/2019)</t>
  </si>
  <si>
    <t>PowerPoint: Audio und Video (365/2019)</t>
  </si>
  <si>
    <t>PowerPoint: Daten aus Excel übernehmen</t>
  </si>
  <si>
    <t>PowerPoint: Diagramme (365/2019)</t>
  </si>
  <si>
    <t>PowerPoint: Tabellen (365/2019)</t>
  </si>
  <si>
    <t>PowerPoint: Tipps, Tricks, Techniken (365/2019)</t>
  </si>
  <si>
    <t>PowerPoint: Visualisierung (365/2019)</t>
  </si>
  <si>
    <t>PowerPoint-Tipps für Eilige</t>
  </si>
  <si>
    <t>Präsentationen: Mit Fragen souverän umgehen</t>
  </si>
  <si>
    <t>Präsentieren: Vorbereiten, Vortragen, Fokussieren</t>
  </si>
  <si>
    <t>Psychologisch geschickt und überzeugend präsentieren</t>
  </si>
  <si>
    <t>Rede, Vortrag, Präsentation: Die Bühnen-Basics</t>
  </si>
  <si>
    <t>Rede, Vortrag, Präsentation: Die magische erste Minute</t>
  </si>
  <si>
    <t>Rede, Vortrag, Präsentation: Mentale Stärke</t>
  </si>
  <si>
    <t>Schlagfertigkeit für Fortgeschrittene</t>
  </si>
  <si>
    <t>Spannung erzeugen in Vorträgen und Präsentationen</t>
  </si>
  <si>
    <t>Sprechen wie ein Profi</t>
  </si>
  <si>
    <t>Webinare gestalten und durchführen</t>
  </si>
  <si>
    <t>Projektmanagement</t>
  </si>
  <si>
    <t>Agile Methoden einsetzen</t>
  </si>
  <si>
    <t>Agil arbeiten: Besser werden mit agilen Retrospektiven</t>
  </si>
  <si>
    <t>Agile:r Projektmanager:in werden</t>
  </si>
  <si>
    <t>Projektkoordinator:in werden</t>
  </si>
  <si>
    <t>Agil arbeiten: Mit User Stories planen</t>
  </si>
  <si>
    <t>Projektmanager:in werden</t>
  </si>
  <si>
    <t>Agil arbeiten: Reporting mit agilen Boards und Charts</t>
  </si>
  <si>
    <t>Agil arbeiten: Vom Wasserfall zum agilen Projektmanagement</t>
  </si>
  <si>
    <t>Agiles Projektmanagement</t>
  </si>
  <si>
    <t>Agiles Projektmanagement mit Microsoft Project</t>
  </si>
  <si>
    <t>Arduino: Kleine Projekte spielerisch umsetzen</t>
  </si>
  <si>
    <t>Berufsbild: Agiles Projektmanagement</t>
  </si>
  <si>
    <t>Berufsbild: Projektmanagement</t>
  </si>
  <si>
    <t>Business-Analyse – Grundlagen</t>
  </si>
  <si>
    <t>Design Sprint – Grundlagen</t>
  </si>
  <si>
    <t>Die Scrum-Revolution (Blinkist Kernaussagen)</t>
  </si>
  <si>
    <t>Einführung ins Projektmanagement</t>
  </si>
  <si>
    <t>Gantt-Diagramme nutzen</t>
  </si>
  <si>
    <t>Grundlagen der Programmierung: Agile Softwareentwicklung</t>
  </si>
  <si>
    <t>Microsoft 365-Rollout für Projektleiter</t>
  </si>
  <si>
    <t>Microsoft Project 2019 und Project Online Desktop Grundkurs</t>
  </si>
  <si>
    <t>Office 365: Project Online in Betrieb nehmen (Microsoft 365)</t>
  </si>
  <si>
    <t>Programmmanagement – Grundlagen</t>
  </si>
  <si>
    <t>Project 2013 Grundkurs</t>
  </si>
  <si>
    <t>Project 2016 Grundkurs</t>
  </si>
  <si>
    <t>Projekt-Kompass (Blinkist Kernaussagen)</t>
  </si>
  <si>
    <t>Projektmanagement: Initiierung und Setup</t>
  </si>
  <si>
    <t>Projektmanagement: Integration</t>
  </si>
  <si>
    <t>Projektmanagement: Kosten und Nutzen</t>
  </si>
  <si>
    <t>Projektmanagement: Planung und Strukturierung</t>
  </si>
  <si>
    <t>Projektmanagement: Projektabschluss</t>
  </si>
  <si>
    <t>Projektmanagement: Qualität</t>
  </si>
  <si>
    <t>Projektmanagement: Risiko und Unsicherheit</t>
  </si>
  <si>
    <t>Projektmanagement: Steuerung und Controlling</t>
  </si>
  <si>
    <t>Projektmanagement: Werkzeuge und Hilfsmittel</t>
  </si>
  <si>
    <t>Scope Creep – Schleichende Umfangserweiterungen in Projekten vermeiden</t>
  </si>
  <si>
    <t>Scrum-Grundlagen: Der Product Owner</t>
  </si>
  <si>
    <t>Scrum-Grundlagen: Der Scrum Master</t>
  </si>
  <si>
    <t>Scrum-Projekte mit Azure DevOps</t>
  </si>
  <si>
    <t>Stakeholdermanagement</t>
  </si>
  <si>
    <t>Trello Grundkurs</t>
  </si>
  <si>
    <t>Vereinfachtes Projektmanagement</t>
  </si>
  <si>
    <t>Fähigkeiten in Vertrieb und Verkauf</t>
  </si>
  <si>
    <t>Verkäufer:in werden</t>
  </si>
  <si>
    <t>Rechtssicher handeln im E-Commerce</t>
  </si>
  <si>
    <t>An Topmanager:innen verkaufen</t>
  </si>
  <si>
    <t>Das Verkaufsgespräch</t>
  </si>
  <si>
    <t>Die Wissenschaft des Verkaufens</t>
  </si>
  <si>
    <t>Dynamics 365 Business Central Grundkurs</t>
  </si>
  <si>
    <t>Dynamics 365 for Sales: Anpassung</t>
  </si>
  <si>
    <t>E-Commerce-Recht - Grundlagen</t>
  </si>
  <si>
    <t>Einwandbehandlung im Verkauf</t>
  </si>
  <si>
    <t>Erfolgreich im Vertrieb: Bei Anruf Termin!</t>
  </si>
  <si>
    <t>Erfolgreich verkaufen</t>
  </si>
  <si>
    <t>Fragetechniken im Verkauf</t>
  </si>
  <si>
    <t>Key-Account-Management</t>
  </si>
  <si>
    <t>Kunden gewinnen mit Online-Präsentationen</t>
  </si>
  <si>
    <t>Magento für Entwickler:innen</t>
  </si>
  <si>
    <t>Magento Grundkurs</t>
  </si>
  <si>
    <t>Preisgespräche im Verkauf</t>
  </si>
  <si>
    <t>Preisheiten: Alles, was Sie über Preise wissen müssen (Blinkist Kernaussagen)</t>
  </si>
  <si>
    <t>Salesforce kennenlernen</t>
  </si>
  <si>
    <t>Shopware 5 Grundkurs</t>
  </si>
  <si>
    <t>Social Selling mit LinkedIn Sales Navigator kennenlernen</t>
  </si>
  <si>
    <t>Storytelling für Vertrieb und Verkauf – Grundlagen</t>
  </si>
  <si>
    <t>Storytelling für Vertrieb und Verkauf – Praxistipps</t>
  </si>
  <si>
    <t>Überzeugendes Verkaufen</t>
  </si>
  <si>
    <t>Verkaufen – Grundlagen</t>
  </si>
  <si>
    <t>Verkaufsprognosen</t>
  </si>
  <si>
    <t>Vertrieb für Selbstständige und Freiberufler:innen</t>
  </si>
  <si>
    <t>Vertrieb geht heute anders (Blinkist Kernaussagen)</t>
  </si>
  <si>
    <t>Strategische Planung und Strategisches Denken</t>
  </si>
  <si>
    <t>Ins strategische Controlling einsteigen</t>
  </si>
  <si>
    <t>Der Weg zu den Besten (Blinkist Kernaussagen)</t>
  </si>
  <si>
    <t>Die Orbit-Organisation (Blinkist Kernaussagen)</t>
  </si>
  <si>
    <t>Fit für die Geschäftsführung im digitalen Zeitalter (Blinkist Kernaussagen)</t>
  </si>
  <si>
    <t>Geschäftsmodelle mit dem Business Model Canvas entwickeln</t>
  </si>
  <si>
    <t>Industrie 4.0: Grundlagen und Ökosysteme</t>
  </si>
  <si>
    <t>IoT-Grundlagen: Technologie und Anwendungsmodelle</t>
  </si>
  <si>
    <t>Künstliche Intelligenz – Grundwissen für Manager und Führungskräfte</t>
  </si>
  <si>
    <t>Management Y: Agile, Scrum, Design Thinking &amp; Co. (Blinkist Kernaussagen)</t>
  </si>
  <si>
    <t>Strategische Analysen – Grundlagen</t>
  </si>
  <si>
    <t>Strategische Planung – Grundlagen</t>
  </si>
  <si>
    <t>Strategisches Controlling: Ein Überblick</t>
  </si>
  <si>
    <t>Personalentwicklung</t>
  </si>
  <si>
    <t>Coaching für mehr Wachstum</t>
  </si>
  <si>
    <t>Gewohnheiten verändern oder entwickeln</t>
  </si>
  <si>
    <t>Ihre Stärken finden</t>
  </si>
  <si>
    <t>Jeff Weiner über Unternehmenskultur und Skalierungspläne</t>
  </si>
  <si>
    <t>Tipps für mehr Erfolg: Jede Woche neu</t>
  </si>
  <si>
    <t>Personalmanagement</t>
  </si>
  <si>
    <t>Handwerkszeug für Führungskräfte</t>
  </si>
  <si>
    <t>Die Werte Diversität, Inklusion und Zugehörigkeit</t>
  </si>
  <si>
    <t>Diversität, Inklusion und Zugehörigkeit im Unternehmen schaffen</t>
  </si>
  <si>
    <t>Einfach gendern: gendersensible Sprache in der Unternehmenspraxis</t>
  </si>
  <si>
    <t>Frauen in Führungspositionen</t>
  </si>
  <si>
    <t>Erfolgsstrategien für Frauen im Beruf</t>
  </si>
  <si>
    <t>Social Diversity - Unternehmenserfolg durch soziale Vielfalt</t>
  </si>
  <si>
    <t>Unconscious Bias entgegenwirken – Diversität und Inklusion in der Arbeitswelt fördern</t>
  </si>
  <si>
    <t>Schreibfähigkeiten</t>
  </si>
  <si>
    <t>Content Creation: Ihr Redaktionsplan für Blogs und Social Media</t>
  </si>
  <si>
    <t>Deutsch – aber richtig</t>
  </si>
  <si>
    <t>Drehbücher schreiben</t>
  </si>
  <si>
    <t>Ihre Kompetenz mit einem Buch zeigen</t>
  </si>
  <si>
    <t>Professionelle Bewerbungsunterlagen erstellen</t>
  </si>
  <si>
    <t>Wie Rechtschreibung auf die Reputation einzahlt</t>
  </si>
  <si>
    <t>Wissenschaftliche Arbeiten schreiben</t>
  </si>
  <si>
    <t>Selbstfürsorge, Wohlbefinden, Achtsamkeit</t>
  </si>
  <si>
    <t>Achtsamkeit im Beruf durch Meditation: Achtsame Interaktion</t>
  </si>
  <si>
    <t>Achtsamkeit im Beruf durch Meditation: Innere Haltung</t>
  </si>
  <si>
    <t>Achtsamkeit im Beruf durch Meditation: Präsenz und Offenheit</t>
  </si>
  <si>
    <t>Achtsamkeit im Beruf durch Meditation: Resilienz</t>
  </si>
  <si>
    <t>Das Frustjobkillerbuch (Blinkist Kernaussagen)</t>
  </si>
  <si>
    <t>Finde den Job, der dich glücklich macht (Blinkist Kernaussagen)</t>
  </si>
  <si>
    <t>Kurze Meditationen für Beruf und Alltag</t>
  </si>
  <si>
    <t>Mit dem inneren Kritiker besser leben</t>
  </si>
  <si>
    <t>Competency title in French</t>
  </si>
  <si>
    <t>French Course ID</t>
  </si>
  <si>
    <t>French Course Title w/hyperlinks</t>
  </si>
  <si>
    <t>Responsabilité et focus sur les résultats</t>
  </si>
  <si>
    <t>10 minutes, un livre : Adopter une mentalité de champion/championne</t>
  </si>
  <si>
    <t>Améliorer ses compétences en gestion du temps</t>
  </si>
  <si>
    <t>10 minutes, un livre : Apprendre à prioriser</t>
  </si>
  <si>
    <t>Améliorer ses compétences organisationnelles</t>
  </si>
  <si>
    <t>10 minutes, un livre : Créer son temps infini</t>
  </si>
  <si>
    <t>Améliorer sa productivité et son efficacité en entreprise</t>
  </si>
  <si>
    <t>10 minutes, un livre : Maximiser son efficacité</t>
  </si>
  <si>
    <t>Maîtriser les soft skills les plus demandés</t>
  </si>
  <si>
    <t>10 minutes, un livre : Optimiser quotidiennement son temps</t>
  </si>
  <si>
    <t>Devenir un employé ultraperformant</t>
  </si>
  <si>
    <t>Améliorer sa concentration</t>
  </si>
  <si>
    <t>Améliorer sa faculté de juger</t>
  </si>
  <si>
    <t>Améliorer sa mémoire</t>
  </si>
  <si>
    <t>Apprendre à mieux se connaître</t>
  </si>
  <si>
    <t>Booster ses compétences par le codéveloppement</t>
  </si>
  <si>
    <t>Booster son efficacité pour atteindre ses objectifs</t>
  </si>
  <si>
    <t>Coacher pour générer des résultats</t>
  </si>
  <si>
    <t>Constituer des équipes ultraperformantes</t>
  </si>
  <si>
    <t>Construire la résilience en tant que leader</t>
  </si>
  <si>
    <t>Cultiver une perspective de développement</t>
  </si>
  <si>
    <t>De l’impuissance au pouvoir : La prise de contrôle</t>
  </si>
  <si>
    <t>Découvrir ses forces</t>
  </si>
  <si>
    <t>Définir les objectifs d’une unité d’affaires</t>
  </si>
  <si>
    <t>Développer la résilience</t>
  </si>
  <si>
    <t>Développer son ingéniosité</t>
  </si>
  <si>
    <t>Développer un état d'esprit d'apprenant</t>
  </si>
  <si>
    <t>Diriger pour obtenir des résultats</t>
  </si>
  <si>
    <t>Établir des objectifs pour son équipe et ses employés / employées</t>
  </si>
  <si>
    <t>Être un leader efficace</t>
  </si>
  <si>
    <t>Fred Kofman – La responsabilisation</t>
  </si>
  <si>
    <t>Instaurer une culture de la performance</t>
  </si>
  <si>
    <t>La gestion du temps pour les managers</t>
  </si>
  <si>
    <t>L'analyse marketing : Établir et mesurer des indicateurs clés de performance (KPI)</t>
  </si>
  <si>
    <t>Les fondements de la gestion du temps</t>
  </si>
  <si>
    <t>Les habitudes menant à la réussite</t>
  </si>
  <si>
    <t>Lutter contre la procrastination</t>
  </si>
  <si>
    <t>Mener des réunions productives</t>
  </si>
  <si>
    <t>Placer la responsabilisation au cœur de la culture d'entreprise</t>
  </si>
  <si>
    <t>Résoudre des problèmes métier</t>
  </si>
  <si>
    <t>Résoudre les problèmes de gestion de projet les plus fréquents</t>
  </si>
  <si>
    <t>S’autodiriger</t>
  </si>
  <si>
    <t>Savoir gérer son temps</t>
  </si>
  <si>
    <t>Se responsabiliser</t>
  </si>
  <si>
    <t>Adaptabilité</t>
  </si>
  <si>
    <t>10 minutes, un livre : Comment apprendre vite ?</t>
  </si>
  <si>
    <t>Accueillir le changement</t>
  </si>
  <si>
    <t>Gérer le changement</t>
  </si>
  <si>
    <t>Apprendre à être accessible</t>
  </si>
  <si>
    <t>Promouvoir le bien-être en période de changement et d'incertitude</t>
  </si>
  <si>
    <t>Apprendre de ses échecs</t>
  </si>
  <si>
    <t>Surmonter les épreuves du monde du travail</t>
  </si>
  <si>
    <t>Changement et communication</t>
  </si>
  <si>
    <t>Communiquer en environnement multiculturel</t>
  </si>
  <si>
    <t>Communiquer en situation de crise</t>
  </si>
  <si>
    <t>Conduire le changement</t>
  </si>
  <si>
    <t>Créer des conversations constructives avec des clients exigeants / clientes exigeantes</t>
  </si>
  <si>
    <t>Créer une culture du changement</t>
  </si>
  <si>
    <t>Cultiver la pensée critique et la créativité avec des questions</t>
  </si>
  <si>
    <t>Développer son assertivité</t>
  </si>
  <si>
    <t>Développer son esprit critique</t>
  </si>
  <si>
    <t>Développer son intelligence interculturelle</t>
  </si>
  <si>
    <t>Être à la pointe de l'innovation</t>
  </si>
  <si>
    <t>Gérer le stress pour un changement positif</t>
  </si>
  <si>
    <t>Gérer ses relations avec son chef / sa cheffe, ses collègues et ses employés / employées</t>
  </si>
  <si>
    <t>La transformation digitale pour les décideurs / décideuses</t>
  </si>
  <si>
    <t>Le leadership transformationnel</t>
  </si>
  <si>
    <t>Le service client en période de crise</t>
  </si>
  <si>
    <t>Les fondements de l'innovation commerciale</t>
  </si>
  <si>
    <t>Manager à distance</t>
  </si>
  <si>
    <t>Manager en environnement multiculturel</t>
  </si>
  <si>
    <t>Manager les nouvelles générations</t>
  </si>
  <si>
    <t>Penser et intégrer la diversité en entreprise</t>
  </si>
  <si>
    <t>Repenser la gestion de la performance</t>
  </si>
  <si>
    <t>Sortir de la routine</t>
  </si>
  <si>
    <t>Sortir du cadre</t>
  </si>
  <si>
    <t>Vendre en période de crise</t>
  </si>
  <si>
    <t>Créer et gérer des équipes efficaces</t>
  </si>
  <si>
    <t>10 minutes, un livre : Constituer son équipe pour atteindre le succès</t>
  </si>
  <si>
    <t>Créer et gérer une équipe</t>
  </si>
  <si>
    <t>Accroître la sécurité psychologique de votre équipe</t>
  </si>
  <si>
    <t>Promouvoir la collaboration</t>
  </si>
  <si>
    <t>Améliorer les performances des employés / employées</t>
  </si>
  <si>
    <t>Améliorer ses compétences en travail d'équipe</t>
  </si>
  <si>
    <t>Bien travailler en équipe</t>
  </si>
  <si>
    <t>Coacher, développer et motiver son équipe</t>
  </si>
  <si>
    <t>Choisir d'être un bon manager</t>
  </si>
  <si>
    <t>Collaborer avec Microsoft 365</t>
  </si>
  <si>
    <t>Coacher et aider ses employés / employées à se développer</t>
  </si>
  <si>
    <t>Communiquer au sein d'une équipe</t>
  </si>
  <si>
    <t>Conseils d’experte : Manager la Génération Z</t>
  </si>
  <si>
    <t>Constituer son équipe</t>
  </si>
  <si>
    <t>Créer une culture de l'apprentissage</t>
  </si>
  <si>
    <t>Débloquer la créativité de son équipe</t>
  </si>
  <si>
    <t>Déléguer des tâches aux membres de son équipe</t>
  </si>
  <si>
    <t>Développer la créativité d'une équipe</t>
  </si>
  <si>
    <t>Développer la motivation et l'engagement des employés / employées</t>
  </si>
  <si>
    <t>Développer l'engagement des employés / employées</t>
  </si>
  <si>
    <t>Diriger et travailler en équipe</t>
  </si>
  <si>
    <t>Embaucher et développer sa future force de travail</t>
  </si>
  <si>
    <t>Encourager son équipe à apprendre</t>
  </si>
  <si>
    <t>Gérer des équipes</t>
  </si>
  <si>
    <t>Gérer des équipes virtuelles</t>
  </si>
  <si>
    <t>Gérer les problèmes de performance de ses employés / employées</t>
  </si>
  <si>
    <t>Intégrer les nouvelles recrues</t>
  </si>
  <si>
    <t>La minute de formation : Bien travailler en équipe</t>
  </si>
  <si>
    <t>La minute de formation : Favoriser l'engagement des employés</t>
  </si>
  <si>
    <t>Le leadership collaboratif</t>
  </si>
  <si>
    <t>Le recrutement axé sur la performance</t>
  </si>
  <si>
    <t>Les fondements de la gestion de projet : Les équipes</t>
  </si>
  <si>
    <t>Mesurer les performances d’équipe</t>
  </si>
  <si>
    <t>Motiver ses équipes quand on est soi même épuisé et stressé</t>
  </si>
  <si>
    <t>Recruter une équipe</t>
  </si>
  <si>
    <t>Travailler dans des équipes transverses</t>
  </si>
  <si>
    <t>Travailler en équipe</t>
  </si>
  <si>
    <t>Travailler et collaborer en ligne</t>
  </si>
  <si>
    <t>Trouver, embaucher et fidéliser des hauts potentiels</t>
  </si>
  <si>
    <t>Bâtir la confiance et collaborer avec les autres</t>
  </si>
  <si>
    <t>Améliorer sa capacité d'écoute</t>
  </si>
  <si>
    <t>Rester à l'écoute</t>
  </si>
  <si>
    <t>Bâtir la confiance</t>
  </si>
  <si>
    <t>Communiquer avec confiance</t>
  </si>
  <si>
    <t>Communiquer avec diplomatie et tact</t>
  </si>
  <si>
    <t>Créer un environnement de travail positif et sain</t>
  </si>
  <si>
    <t>Découvrir le réseautage professionnel</t>
  </si>
  <si>
    <t>Demander un feedback au travail</t>
  </si>
  <si>
    <t>Développer des relations professionnelles</t>
  </si>
  <si>
    <t>Développer son intelligence émotionnelle</t>
  </si>
  <si>
    <t>Devenir un manager bienveillant / une manager bienveillante</t>
  </si>
  <si>
    <t>Diriger grâce à l’intelligence émotionnelle</t>
  </si>
  <si>
    <t>Donner des feedbacks aux employés / employées</t>
  </si>
  <si>
    <t>Donner et recevoir du feedback</t>
  </si>
  <si>
    <t>Écouter efficacement</t>
  </si>
  <si>
    <t>Être positif au travail</t>
  </si>
  <si>
    <t>Gérer les conflits grâce à la médiation</t>
  </si>
  <si>
    <t>Gérer son supérieur / sa supérieure hiérarchique</t>
  </si>
  <si>
    <t>Jeff Weiner – Le management compassionnel</t>
  </si>
  <si>
    <t>La minute de formation : Gérer les problèmes et conflits avec les employés</t>
  </si>
  <si>
    <t>Les fondements de la gestion de projet : La communication</t>
  </si>
  <si>
    <t>Les fondements de la résolution de conflits</t>
  </si>
  <si>
    <t>Mener des conversations difficiles</t>
  </si>
  <si>
    <t>Microsoft Teams : Utiliser les applications de collaboration</t>
  </si>
  <si>
    <t>Susciter un engagement émotionnel</t>
  </si>
  <si>
    <t>Tisser des liens avec ses collègues de travail</t>
  </si>
  <si>
    <t>Travailler avec des personnes difficiles</t>
  </si>
  <si>
    <t>Communication et influence interpersonnelle</t>
  </si>
  <si>
    <t>Améliorer sa communication en entreprise</t>
  </si>
  <si>
    <t>Communiquer avec empathie</t>
  </si>
  <si>
    <t>Communiquer sur des sujets culturellement sensibles</t>
  </si>
  <si>
    <t>Conduire une négociation</t>
  </si>
  <si>
    <t>Développer son image professionnelle</t>
  </si>
  <si>
    <t>Devenir un leader d'opinion</t>
  </si>
  <si>
    <t>Devenir une personne charismatique et influente</t>
  </si>
  <si>
    <t>Faire preuve d'humour au travail</t>
  </si>
  <si>
    <t>Influencer les autres</t>
  </si>
  <si>
    <t>La communication : Série</t>
  </si>
  <si>
    <t>Mener des négociations stratégiques</t>
  </si>
  <si>
    <t>Pause-café : La communication interpersonnelle</t>
  </si>
  <si>
    <t>Persuader et convaincre : Mieux communiquer avec les autres grâce à l'outil DISC</t>
  </si>
  <si>
    <t>Poser des questions de vente pertinentes</t>
  </si>
  <si>
    <t>Repérer et gérer des personnes toxiques</t>
  </si>
  <si>
    <t>Répondre aux objections de ses clients / clientes</t>
  </si>
  <si>
    <t>S'affirmer par le travail de la voix</t>
  </si>
  <si>
    <t>Travailler sa répartie</t>
  </si>
  <si>
    <t>Vendre à des cadres supérieurs / supérieures</t>
  </si>
  <si>
    <t>Gestion et résolution de conflits</t>
  </si>
  <si>
    <t>Adopter la pensée critique pour mieux juger et mieux décider</t>
  </si>
  <si>
    <t>Améliorer ses compétences en gestion de conflits</t>
  </si>
  <si>
    <t>Apprendre à dire « non »</t>
  </si>
  <si>
    <t>Découvrir les biais cognitifs</t>
  </si>
  <si>
    <t>Laisser partir un employé / une employée</t>
  </si>
  <si>
    <t>Techniques de résolution de problèmes</t>
  </si>
  <si>
    <t>Traiter avec des clients mécontents / clientes mécontentes</t>
  </si>
  <si>
    <t>Travailler avec un supérieur / une supérieure hiérarchique difficile</t>
  </si>
  <si>
    <t>Marketing numérique, marketing de contenu et stratégies marketing</t>
  </si>
  <si>
    <t>Activer et concevoir sa stratégie média digitale</t>
  </si>
  <si>
    <t>Devenir un directeur du marketing</t>
  </si>
  <si>
    <t>Améliorer sa webperf</t>
  </si>
  <si>
    <t>Devenir un expert en stratégie de contenu</t>
  </si>
  <si>
    <t>Construire une stratégie de link building</t>
  </si>
  <si>
    <t>Devenir un responsable marketing numérique</t>
  </si>
  <si>
    <t>Construire une stratégie réseaux sociaux en 7 étapes</t>
  </si>
  <si>
    <t>Devenir un spécialiste du marketing sur les médias sociaux</t>
  </si>
  <si>
    <t>Créer des campagnes marketing d'e-mailing</t>
  </si>
  <si>
    <t>Devenir un spécialiste du SEO</t>
  </si>
  <si>
    <t>Créer un plan de marketing intégré en ligne</t>
  </si>
  <si>
    <t>Devenir un marketeur de contenu</t>
  </si>
  <si>
    <t>Créer un profil LinkedIn efficace</t>
  </si>
  <si>
    <t>Devenir un chef du marketing en ligne</t>
  </si>
  <si>
    <t>Découvrir les outils du référencement</t>
  </si>
  <si>
    <t>Diriger une équipe marketing</t>
  </si>
  <si>
    <t>Exploiter les leviers du web marketing pour booster son activité</t>
  </si>
  <si>
    <t>Gérer la communication marketing intégrée en ligne</t>
  </si>
  <si>
    <t>Instagram pour les entreprises</t>
  </si>
  <si>
    <t>Le marketing digital en point de vente</t>
  </si>
  <si>
    <t>Le référencement : Crawl, indexation et maillage interne</t>
  </si>
  <si>
    <t>Le référencement : La recherche de mots-clés</t>
  </si>
  <si>
    <t>Le référencement : Les audits</t>
  </si>
  <si>
    <t>Le RGPD pour les marketeurs / marketeuses</t>
  </si>
  <si>
    <t>Les fondements de l'automation en marketing</t>
  </si>
  <si>
    <t>Les fondements de l'e-mail marketing</t>
  </si>
  <si>
    <t>Les fondements des bases de données marketing</t>
  </si>
  <si>
    <t>Les fondements du copywriting marketing</t>
  </si>
  <si>
    <t>Les fondements du growth hacking</t>
  </si>
  <si>
    <t>Les fondements du marketing</t>
  </si>
  <si>
    <t>Les fondements du marketing : Établir une proposition de valeur</t>
  </si>
  <si>
    <t>Les fondements du marketing : La gamification</t>
  </si>
  <si>
    <t>Les fondements du marketing : L'attribution et le mix modeling</t>
  </si>
  <si>
    <t>Les fondements du marketing : Le comportement des utilisateurs / utilisatrices</t>
  </si>
  <si>
    <t>Les fondements du marketing : Les techniques d’idéation</t>
  </si>
  <si>
    <t>Les fondements du marketing de contenu</t>
  </si>
  <si>
    <t>Les fondements du marketing en ligne</t>
  </si>
  <si>
    <t>Les fondements du marketing mobile</t>
  </si>
  <si>
    <t>Les fondements du marketing pour les entreprises de services</t>
  </si>
  <si>
    <t>Les fondements du référencement</t>
  </si>
  <si>
    <t>Les fondements du SEO international</t>
  </si>
  <si>
    <t>Les fondements du SEO local</t>
  </si>
  <si>
    <t>Les outils du marketing digital</t>
  </si>
  <si>
    <t>Les réseaux sociaux pour les entreprises</t>
  </si>
  <si>
    <t>Les tendances du marketing numérique</t>
  </si>
  <si>
    <t>L'essentiel de Google Ads</t>
  </si>
  <si>
    <t>L'essentiel de Google Search Console</t>
  </si>
  <si>
    <t>L'essentiel de YouTube</t>
  </si>
  <si>
    <t>L'image de marque en marketing</t>
  </si>
  <si>
    <t>Maîtriser le real-time bidding</t>
  </si>
  <si>
    <t>Maîtriser les crawlers et l'analyse de logs</t>
  </si>
  <si>
    <t>Marketing de contenu : Blogs</t>
  </si>
  <si>
    <t>Marketing des médias sociaux : Le B2B</t>
  </si>
  <si>
    <t>Marketing des médias sociaux : Le ROI</t>
  </si>
  <si>
    <t>Mettre en place une stratégie de marketing digital en B2B</t>
  </si>
  <si>
    <t>Mettre en place une stratégie SEO sémantique</t>
  </si>
  <si>
    <t>Pinterest pour le marketing</t>
  </si>
  <si>
    <t>Rédiger un plan marketing</t>
  </si>
  <si>
    <t>TikTok pour le marketing</t>
  </si>
  <si>
    <t>Word : Créer une newsletter (Microsoft 365/Office 365)</t>
  </si>
  <si>
    <t>WordPress : Optimisation du référencement</t>
  </si>
  <si>
    <t>Pensée créative et innovation</t>
  </si>
  <si>
    <t>Comprendre le processus créatif en cinq étapes</t>
  </si>
  <si>
    <t>Innover et partager ses idées en entreprise</t>
  </si>
  <si>
    <t>Créer des organisations créatives</t>
  </si>
  <si>
    <t>Promouvoir l'innovation</t>
  </si>
  <si>
    <t>Rester compétitif grâce au design thinking</t>
  </si>
  <si>
    <t>Découvrir le design thinking</t>
  </si>
  <si>
    <t>Découvrir le mind mapping</t>
  </si>
  <si>
    <t>Design thinking : Le prototypage</t>
  </si>
  <si>
    <t>Design thinking : L'empathie</t>
  </si>
  <si>
    <t>Développer sa créativité pour innover</t>
  </si>
  <si>
    <t>La créativité pour tous : Série hebdomadaire</t>
  </si>
  <si>
    <t>La minute créative pour les leaders : Série</t>
  </si>
  <si>
    <t>Pensée critique, prise de décision et résolution de problèmes</t>
  </si>
  <si>
    <t>Trouver des solutions et prendre de bonnes decisions</t>
  </si>
  <si>
    <t>Développer son agilité cérébrale</t>
  </si>
  <si>
    <t>Faire approuver ses idées</t>
  </si>
  <si>
    <t>La minute de formation : L'amélioration des processus</t>
  </si>
  <si>
    <t>La réflexion stratégique</t>
  </si>
  <si>
    <t>Les fondements de l'amélioration des processus</t>
  </si>
  <si>
    <t>Prendre de bonnes décisions</t>
  </si>
  <si>
    <t>Prendre des décisions exécutives</t>
  </si>
  <si>
    <t>Prendre des décisions stratégiques</t>
  </si>
  <si>
    <t>Focus sur le client</t>
  </si>
  <si>
    <t>Annoncer une mauvaise nouvelle à un client / une cliente</t>
  </si>
  <si>
    <t>Devenir un spécialiste du service client</t>
  </si>
  <si>
    <t>Découvrir les techniques innovantes de service à la clientèle</t>
  </si>
  <si>
    <t>Diriger une équipe de service client</t>
  </si>
  <si>
    <t>Fidéliser la clientèle</t>
  </si>
  <si>
    <t>Gérer les attentes des clients pour les managers</t>
  </si>
  <si>
    <t>Gérer les besoins de la clientèle en tant qu’employés / employées de première ligne</t>
  </si>
  <si>
    <t>Le leadership dans le service client</t>
  </si>
  <si>
    <t>Le service client par téléphone</t>
  </si>
  <si>
    <t>Les fondements du service client</t>
  </si>
  <si>
    <t>Les standards qualité du service client</t>
  </si>
  <si>
    <t>Prospecter sur LinkedIn</t>
  </si>
  <si>
    <t>Analyse de données</t>
  </si>
  <si>
    <t>Découvrir Google BigQuery</t>
  </si>
  <si>
    <t>Devenir un analyste de données</t>
  </si>
  <si>
    <t>Découvrir IBM SPSS Statistics 2014</t>
  </si>
  <si>
    <t>Devenir un data scientist</t>
  </si>
  <si>
    <t>Découvrir la data science : Comprendre les bases</t>
  </si>
  <si>
    <t>Devenir un developpeur en informatique decisionnelle</t>
  </si>
  <si>
    <t>Découvrir la data science : Raconter des histoires grâce aux données</t>
  </si>
  <si>
    <t>Maîtriser l'analyse de données avec Power BI</t>
  </si>
  <si>
    <t>Découvrir l'analyse de données</t>
  </si>
  <si>
    <t>Maîtriser l'analyse de données avec Excel 219</t>
  </si>
  <si>
    <t>Découvrir Minitab 17</t>
  </si>
  <si>
    <t>Découvrir R</t>
  </si>
  <si>
    <t>Développer une solution big data avec Azure</t>
  </si>
  <si>
    <t>Excel : Analyse de données avec Power Pivot</t>
  </si>
  <si>
    <t>Excel : Analyse de données avec Power Query (Microsoft 365/Office 365)</t>
  </si>
  <si>
    <t>Excel : Créer un tableau de bord interactif</t>
  </si>
  <si>
    <t>Excel : L'analyse de données</t>
  </si>
  <si>
    <t>Excel : Le nettoyage de données</t>
  </si>
  <si>
    <t>Excel : Les fonctions du groupe Statistiques</t>
  </si>
  <si>
    <t>Excel : Les tableaux croisés dynamiques</t>
  </si>
  <si>
    <t>Go pour la data science</t>
  </si>
  <si>
    <t>Google Sheets : Nettoyer une base de données</t>
  </si>
  <si>
    <t>Google Sheets : Travailler avec une base de données</t>
  </si>
  <si>
    <t>La visualisation de données : Le storytelling</t>
  </si>
  <si>
    <t>Les fondements de la visualisation de données</t>
  </si>
  <si>
    <t>Les fondements des bases de données relationnelles</t>
  </si>
  <si>
    <t>Les fondements des statistiques</t>
  </si>
  <si>
    <t>Les fondements du Big Data</t>
  </si>
  <si>
    <t>Les fondements du text mining</t>
  </si>
  <si>
    <t>L'essentiel de Clarity</t>
  </si>
  <si>
    <t>L'essentiel de Hive</t>
  </si>
  <si>
    <t>L'essentiel de Power BI</t>
  </si>
  <si>
    <t>Migrer une base de données SQL Server sur Azure Database</t>
  </si>
  <si>
    <t>Minitab : Les statistiques paramétriques</t>
  </si>
  <si>
    <t>Pause-café : Le big data</t>
  </si>
  <si>
    <t>Power BI : La comparaison de données réelles avec des données budgétées</t>
  </si>
  <si>
    <t>Power BI : Visualisations avancées et notions clés du DAX</t>
  </si>
  <si>
    <t>Power BI avancé : L'analyse de données avec DAX</t>
  </si>
  <si>
    <t>Python : L'analyse de données</t>
  </si>
  <si>
    <t>Python pour la data science : Série</t>
  </si>
  <si>
    <t>R : Les statistiques paramétriques</t>
  </si>
  <si>
    <t>Finances et comptabilité</t>
  </si>
  <si>
    <t>Blockchain : Créer et déployer un smart contract</t>
  </si>
  <si>
    <t>Blockchain : Prise en main de Solidity</t>
  </si>
  <si>
    <t>Excel : Les fonctions du groupe Finance</t>
  </si>
  <si>
    <t>Excel pour Mac : Préparer des écritures comptables</t>
  </si>
  <si>
    <t>Financer son entreprise</t>
  </si>
  <si>
    <t>La finance pour les managers</t>
  </si>
  <si>
    <t>La finance pour les petites entreprises</t>
  </si>
  <si>
    <t>L'intelligence artificielle dans le secteur de la banque et de l'assurance</t>
  </si>
  <si>
    <t>Ressources humaines et gestion des RH</t>
  </si>
  <si>
    <t>10 conseils pour mener des entretiens d'embauche efficaces</t>
  </si>
  <si>
    <t>Devenir recruteur de talents</t>
  </si>
  <si>
    <t>Améliorer son index d'égalité professionnelle</t>
  </si>
  <si>
    <t>Attirer et garder ses talents</t>
  </si>
  <si>
    <t>Bien-être au travail avec la méthode Yogist</t>
  </si>
  <si>
    <t>Bien-être au travail et prévention des risques psychosociaux</t>
  </si>
  <si>
    <t>Bonheur et bien-être au travail : Série</t>
  </si>
  <si>
    <t>Demander une augmentation de salaire</t>
  </si>
  <si>
    <t>Faire face aux microagressions au travail</t>
  </si>
  <si>
    <t>Favoriser l’inclusion LGBTQ+ au travail</t>
  </si>
  <si>
    <t>Former les managers dans une organisation</t>
  </si>
  <si>
    <t>Gérer une demande d'augmentation de salaire</t>
  </si>
  <si>
    <t>Jeff Weiner – Définir une culture et un plan d'évolution</t>
  </si>
  <si>
    <t>La minute de formation : Gérer les situations RH difficiles</t>
  </si>
  <si>
    <t>La minute de formation : Instaurer le bien-être et la santé dans son organisation</t>
  </si>
  <si>
    <t>La minute de formation : Réussir un recrutement</t>
  </si>
  <si>
    <t>La transformation numérique pour les ressources humaines</t>
  </si>
  <si>
    <t>Le leadership inclusif : Devenir un allié / une alliée</t>
  </si>
  <si>
    <t>Les entretiens à distance pour les HR</t>
  </si>
  <si>
    <t>Les fondements de la gestion des ressources humaines</t>
  </si>
  <si>
    <t>Les fondements du bilan de performance</t>
  </si>
  <si>
    <t>L'essentiel de LinkedIn Job Slots</t>
  </si>
  <si>
    <t>L'essentiel de LinkedIn Recruiter</t>
  </si>
  <si>
    <t>Maîtriser le contrat de travail de l'embauche à la rupture</t>
  </si>
  <si>
    <t>Préparer son entretien de développement informatique</t>
  </si>
  <si>
    <t>Promouvoir la neurodiversité au travail</t>
  </si>
  <si>
    <t>Recruter des profils Techs</t>
  </si>
  <si>
    <t>Recruter en pensant à la diversité</t>
  </si>
  <si>
    <t>Réussir un entretien pour un emploi ou un stage dans le design</t>
  </si>
  <si>
    <t>S'exprimer contre les discriminations au travail</t>
  </si>
  <si>
    <t>Être un manager à l'heure de la transformation numérique</t>
  </si>
  <si>
    <t>Être un leader IT à l'heure de la transformation numérique</t>
  </si>
  <si>
    <t>Faire face au deuil, à la perte et au changement</t>
  </si>
  <si>
    <t>L’agilité stratégique</t>
  </si>
  <si>
    <t>Les fondements de la prise de risque pour les dirigeants / dirigeantes</t>
  </si>
  <si>
    <t>Leadership efficace et leadership transformationnel</t>
  </si>
  <si>
    <t>10 minutes, un livre : Comment trouver le leader en vous</t>
  </si>
  <si>
    <t>Devenir un leader</t>
  </si>
  <si>
    <t>Démontrer son leadership en tant que dirigeant</t>
  </si>
  <si>
    <t>Compétences en coaching pour les leaders et les managers</t>
  </si>
  <si>
    <t>Exécuter sa stratégie</t>
  </si>
  <si>
    <t>Conseils d’expert : Créer une culture de coaching entre pairs</t>
  </si>
  <si>
    <t>Conseils et astuces pour les dirigeants / dirigeantes</t>
  </si>
  <si>
    <t>Créer une culture d’exécution de la stratégie</t>
  </si>
  <si>
    <t>Développer sa philosophie du leadership</t>
  </si>
  <si>
    <t>Diriger avec des histoires</t>
  </si>
  <si>
    <t>Diriger sans autorité formelle</t>
  </si>
  <si>
    <t>Évoluer de Manager à Leader</t>
  </si>
  <si>
    <t>La minute de formation : Le leadership moderne</t>
  </si>
  <si>
    <t>Le langage corporel pour les leaders</t>
  </si>
  <si>
    <t>Les angles morts du leadership</t>
  </si>
  <si>
    <t>Les fondements de la gestion de projet : La conduite de projets</t>
  </si>
  <si>
    <t>Les fondements du leadership</t>
  </si>
  <si>
    <t>Les fondements du leadership exécutif</t>
  </si>
  <si>
    <t>Les meilleures pratiques du leadership</t>
  </si>
  <si>
    <t>Maîtriser la facilitation pour les leaders et managers</t>
  </si>
  <si>
    <t>Penser comme un leader</t>
  </si>
  <si>
    <t>Manager avec efficacité</t>
  </si>
  <si>
    <t>Devenir un manager</t>
  </si>
  <si>
    <t>10 minutes, un livre : Soignez la réunionite</t>
  </si>
  <si>
    <t>Devenir un cadre supérieur</t>
  </si>
  <si>
    <t>Être un manager efficace et productif</t>
  </si>
  <si>
    <t>Gérer la performance</t>
  </si>
  <si>
    <t>Astuces sur le management : Série</t>
  </si>
  <si>
    <t>Atteindre ses objectifs en tant que manager</t>
  </si>
  <si>
    <t>Devenir manager d'unité d'affaires</t>
  </si>
  <si>
    <t>Développer son leadership de manager</t>
  </si>
  <si>
    <t>Diriger comme un patron / une patronne</t>
  </si>
  <si>
    <t>Évoluer de collaborateur / collaboratrice à manager</t>
  </si>
  <si>
    <t>Gérer les employés très performants / employées très performantes</t>
  </si>
  <si>
    <t>Gérer les experts / expertes</t>
  </si>
  <si>
    <t>Gérer les hauts potentiels</t>
  </si>
  <si>
    <t>Gérer les managers expérimentés / expérimentées</t>
  </si>
  <si>
    <t>Gérer les techniciens / techniciennes</t>
  </si>
  <si>
    <t>ITIL® en pratique : Appliquer les concepts d'ITIL® 4 Foundation</t>
  </si>
  <si>
    <t>Les fondements du management</t>
  </si>
  <si>
    <t>Les fondements du nouveau et de la nouvelle manager</t>
  </si>
  <si>
    <t>Excellence opérationnelle et amélioration des processus</t>
  </si>
  <si>
    <t>Introduction à la supply chain</t>
  </si>
  <si>
    <t>Devenir une ceinture noire Six Sigma</t>
  </si>
  <si>
    <t>Devenir une ceinture verte Six Sigma</t>
  </si>
  <si>
    <t>Les fondements de l’excellence opérationnelle</t>
  </si>
  <si>
    <t>Les fondements de la gestion des opérations</t>
  </si>
  <si>
    <t>Les fondements du Lean Six Sigma</t>
  </si>
  <si>
    <t>Six Sigma : La Ceinture noire</t>
  </si>
  <si>
    <t>Six Sigma : La ceinture verte</t>
  </si>
  <si>
    <t>Présentations</t>
  </si>
  <si>
    <t>10 astuces pour réduire le trac</t>
  </si>
  <si>
    <t>Realiser des presentations professionnelles</t>
  </si>
  <si>
    <t>Améliorer ses compétences en présentation</t>
  </si>
  <si>
    <t>Concevoir des présentations professionnelles</t>
  </si>
  <si>
    <t>Maîtriser PowerPoint (Office 365)</t>
  </si>
  <si>
    <t>Découvrir PowerPoint (Office 365)</t>
  </si>
  <si>
    <t>Améliorer sa prise de parole en public</t>
  </si>
  <si>
    <t>Découvrir PowerPoint 2019</t>
  </si>
  <si>
    <t>Créer des mises en page professionnelles et percutantes</t>
  </si>
  <si>
    <t>Découvrir PowerPoint Online</t>
  </si>
  <si>
    <t>Découvrir Sway</t>
  </si>
  <si>
    <t>Faire un bon pitch</t>
  </si>
  <si>
    <t>La minute de formation : Concevoir et animer des formations</t>
  </si>
  <si>
    <t>Les fondements de la présentation</t>
  </si>
  <si>
    <t>Les fondements de l'anglais des affaires : Structurer une présentation</t>
  </si>
  <si>
    <t>L'essentiel de Keynote 9</t>
  </si>
  <si>
    <t>L'essentiel de PowerPoint (Microsoft 365/Office 365)</t>
  </si>
  <si>
    <t>L'essentiel de PowerPoint 2016</t>
  </si>
  <si>
    <t>L'essentiel de PowerPoint 2019</t>
  </si>
  <si>
    <t>L'essentiel de PowerPoint 2019 pour Mac</t>
  </si>
  <si>
    <t>Parler en public</t>
  </si>
  <si>
    <t>Persuader et convaincre : 5 erreurs à éviter lors d'une présentation</t>
  </si>
  <si>
    <t>PowerPoint : 10 astuces pour adapter une présentation à son audience (Microsoft 365)</t>
  </si>
  <si>
    <t>PowerPoint : Astuces et techniques</t>
  </si>
  <si>
    <t>PowerPoint : Astuces rapides (Microsoft 365/Office 365)</t>
  </si>
  <si>
    <t>PowerPoint : Créer des graphiques pour les réseaux sociaux (Microsoft 365/Office 365)</t>
  </si>
  <si>
    <t>PowerPoint : Créer des présentations interactives (Microsoft 365/Office 365)</t>
  </si>
  <si>
    <t>PowerPoint : L'audio et la vidéo</t>
  </si>
  <si>
    <t>PowerPoint : Les animations</t>
  </si>
  <si>
    <t>PowerPoint : Rendre ses présentations accessibles à tous</t>
  </si>
  <si>
    <t>PowerPoint : Réussir ses présentations à distance avec Teams (Microsoft 365/Office 365)</t>
  </si>
  <si>
    <t>Rendre ses présentations PowerPoint plus percutantes</t>
  </si>
  <si>
    <t>Réussir sa présentation et captiver son auditoire</t>
  </si>
  <si>
    <t>Réussir ses présentations commerciales</t>
  </si>
  <si>
    <t>Surmonter sa peur de parler en public</t>
  </si>
  <si>
    <t>Gestion de projet</t>
  </si>
  <si>
    <t>Agile au travail : Constituer une équipe agile</t>
  </si>
  <si>
    <t>Devenir un chef de projet</t>
  </si>
  <si>
    <t>Agile au travail : Organiser des rétrospectives agiles efficaces</t>
  </si>
  <si>
    <t>Devenir un assistant de chef de projet</t>
  </si>
  <si>
    <t>Agile au travail : Organiser des réunions agiles productives</t>
  </si>
  <si>
    <t>Devenir un planificateur de projet</t>
  </si>
  <si>
    <t>Agile au travail : Planifier avec des user stories agiles</t>
  </si>
  <si>
    <t>Créer un planning avec Excel (Microsoft 365/Office 365)</t>
  </si>
  <si>
    <t>Devenir un chef de projet agile</t>
  </si>
  <si>
    <t>Découvrir la gestion de projet simplifiée</t>
  </si>
  <si>
    <t>Découvrir les diagrammes de Gantt</t>
  </si>
  <si>
    <t>Découvrir MindView</t>
  </si>
  <si>
    <t>Devenir un bon Scrum Master</t>
  </si>
  <si>
    <t>Gérer des plannings de projet</t>
  </si>
  <si>
    <t>Gérer les contretemps d'un projet avec Microsoft Project</t>
  </si>
  <si>
    <t>Google Sheets : Créer un planning</t>
  </si>
  <si>
    <t>La gestion de projet : La dérive des objectifs</t>
  </si>
  <si>
    <t>La gestion de projet : Le calcul de la valeur acquise</t>
  </si>
  <si>
    <t>Les fondements de la gestion de programme</t>
  </si>
  <si>
    <t>Les fondements de la gestion de projet</t>
  </si>
  <si>
    <t>Les fondements de la gestion de projet : La qualité</t>
  </si>
  <si>
    <t>Les fondements de la gestion de projet : Le changement</t>
  </si>
  <si>
    <t>Les fondements de la gestion de projet : Les achats</t>
  </si>
  <si>
    <t>Les fondements de la gestion de projet : Les acteurs</t>
  </si>
  <si>
    <t>Les fondements de la gestion de projet : Les budgets</t>
  </si>
  <si>
    <t>Les fondements de la gestion de projet : Les petits projets</t>
  </si>
  <si>
    <t>Les fondements de la gestion de projet : Les questions éthiques</t>
  </si>
  <si>
    <t>Les fondements de la gestion de projet : Les risques</t>
  </si>
  <si>
    <t>Les fondements de la gestion de projet : L'intégration</t>
  </si>
  <si>
    <t>Les fondements de la gestion de projet agile</t>
  </si>
  <si>
    <t>Les fondements de la supply chain</t>
  </si>
  <si>
    <t>L'intelligence artificielle pour les chefs / cheffes de projet</t>
  </si>
  <si>
    <t>Microsoft Project : La gestion de projet agile</t>
  </si>
  <si>
    <t>Passer de l'approche en cascade à la gestion de projet agile</t>
  </si>
  <si>
    <t>Ventes</t>
  </si>
  <si>
    <t>3 conseils pour avoir le bon état d’esprit lors d'une vente</t>
  </si>
  <si>
    <t>Devenir un représentant commercial</t>
  </si>
  <si>
    <t>Devenir un directeur des ventes</t>
  </si>
  <si>
    <t>Découvrir le coaching de vente</t>
  </si>
  <si>
    <t>Évoluer de commercial / commerciale à responsable des ventes</t>
  </si>
  <si>
    <t>Faire croître son chiffre d'affaires</t>
  </si>
  <si>
    <t>Gérer la force de vente pour les directeurs / directrices des ventes</t>
  </si>
  <si>
    <t>Gérer les canaux de vente</t>
  </si>
  <si>
    <t>La gestion des grands comptes</t>
  </si>
  <si>
    <t>La science de la vente</t>
  </si>
  <si>
    <t>La vente persuasive</t>
  </si>
  <si>
    <t>Les fondements de la gestion commerciale</t>
  </si>
  <si>
    <t>Les fondements de la négociation</t>
  </si>
  <si>
    <t>Les fondements de la prévision commerciale</t>
  </si>
  <si>
    <t>Les fondements de la vente</t>
  </si>
  <si>
    <t>Les soft skills pour les commerciaux / commerciales</t>
  </si>
  <si>
    <t>Mesurer la performance des ventes et créer des rapports</t>
  </si>
  <si>
    <t>Négocier ses ventes</t>
  </si>
  <si>
    <t>Perfectionner ses techniques de vente avec le SPIN Selling</t>
  </si>
  <si>
    <t>Réaliser des reportings et des budgets pour convaincre</t>
  </si>
  <si>
    <t>Réussir sa prospection téléphonique</t>
  </si>
  <si>
    <t>Vendre avec des histoires</t>
  </si>
  <si>
    <t>Vendre avec des histoires : Les grandes histoires commerciales</t>
  </si>
  <si>
    <t>Vendre des solutions</t>
  </si>
  <si>
    <t>Vendre sur les réseaux sociaux : Le social commerce</t>
  </si>
  <si>
    <t>Planification stratégique et pensée stratégique</t>
  </si>
  <si>
    <t>Concevoir des stratégies de développement</t>
  </si>
  <si>
    <t>Créer un business plan</t>
  </si>
  <si>
    <t>Évaluer et améliorer un plan stratégique</t>
  </si>
  <si>
    <t>La minute de formation : La planification stratégique</t>
  </si>
  <si>
    <t>Le marketing éthique : Doter l'entreprise d'une stratégie responsable</t>
  </si>
  <si>
    <t>Les fondements de la planification stratégique</t>
  </si>
  <si>
    <t>Mesurer les performances de son business</t>
  </si>
  <si>
    <t>Mettre en place une stratégie compétitive</t>
  </si>
  <si>
    <t>Rédiger un business case</t>
  </si>
  <si>
    <t>Développement des talents</t>
  </si>
  <si>
    <t>Découvrir le mentorat</t>
  </si>
  <si>
    <t>Devenir un bon mentor</t>
  </si>
  <si>
    <t>Gestion des talents</t>
  </si>
  <si>
    <t>Gérer son stress au travail</t>
  </si>
  <si>
    <t>Se distinguer au travail grâce au savoir-être</t>
  </si>
  <si>
    <t>Diversité, inclusion et appartenance</t>
  </si>
  <si>
    <t>Affronter les préjugés : s'épanouir au-delà de nos différences</t>
  </si>
  <si>
    <t>Instaurer une culture du respect au sein de l'entreprise</t>
  </si>
  <si>
    <t>Améliorer son leadership en tant que femme</t>
  </si>
  <si>
    <t>Construire un programme d’inclusion de la maladie au travail</t>
  </si>
  <si>
    <t>Développer un programme de diversité, d'inclusion et d'appartenance</t>
  </si>
  <si>
    <t>La minute de formation : L'inclusion et la diversité intergénérationnelle au travail</t>
  </si>
  <si>
    <t>La présence exécutive pour les femmes</t>
  </si>
  <si>
    <t>Les femmes transforment la Tech : Déjouer les biais</t>
  </si>
  <si>
    <t>Les fondements de l'outil MBTI</t>
  </si>
  <si>
    <t>Les fondements du graphisme inclusif</t>
  </si>
  <si>
    <t>Mixité et carrière au féminin</t>
  </si>
  <si>
    <t>Réussir en entreprise en tant que femme</t>
  </si>
  <si>
    <t>Compétences rédactionnelles</t>
  </si>
  <si>
    <t>10 conseils pour construire un CV percutant</t>
  </si>
  <si>
    <t>Maîtriser la grammaire et l'orthographe française</t>
  </si>
  <si>
    <t>Déjouer les principaux pièges de la langue française</t>
  </si>
  <si>
    <t>Écrire des e-mails professionnels</t>
  </si>
  <si>
    <t>Écrire pour le web</t>
  </si>
  <si>
    <t>L'anglais des affaires : Écrire des e-mails professionnels (cours en anglais)</t>
  </si>
  <si>
    <t>Les fondements de la langue française : La ponctuation</t>
  </si>
  <si>
    <t>Les fondements de l'anglais des affaires : Écrire des e-mails</t>
  </si>
  <si>
    <t>Optimiser la prise de notes</t>
  </si>
  <si>
    <t>Préparer la certification Voltaire</t>
  </si>
  <si>
    <t>Rédiger un compte rendu de réunion</t>
  </si>
  <si>
    <t>Rédiger un rapport de stage</t>
  </si>
  <si>
    <t>Relire et corriger des textes</t>
  </si>
  <si>
    <t>Soin de soi, Bien-être, Pleine conscience</t>
  </si>
  <si>
    <t>10 minutes, un livre : Cultiver la pleine conscience</t>
  </si>
  <si>
    <t>10 minutes, un livre : En finir avec les auto-sabotages</t>
  </si>
  <si>
    <t>10 minutes, un livre : L'art de la Méditation</t>
  </si>
  <si>
    <t>Avoir confiance en soi</t>
  </si>
  <si>
    <t>La minute de formation : Le développement personnel par la meilleure connaissance de soi</t>
  </si>
  <si>
    <t>Les fondements de la pleine conscience</t>
  </si>
  <si>
    <t>Lucile Woodward : Ménager son dos en télétravail ou au bureau</t>
  </si>
  <si>
    <t>Persuader et convaincre : 5 techniques efficaces pour canaliser votre stress</t>
  </si>
  <si>
    <t>English</t>
  </si>
  <si>
    <t>French</t>
  </si>
  <si>
    <t>Spanish</t>
  </si>
  <si>
    <t>German</t>
  </si>
  <si>
    <t>Japanese</t>
  </si>
  <si>
    <t>Portuguese</t>
  </si>
  <si>
    <t>Mandarin</t>
  </si>
  <si>
    <r>
      <t xml:space="preserve">How to use this multilingual on-demand mapping document
</t>
    </r>
    <r>
      <rPr>
        <b/>
        <sz val="14"/>
        <color rgb="FF434343"/>
        <rFont val="Century Gothic"/>
        <family val="1"/>
      </rPr>
      <t xml:space="preserve">Content is refreshed quarterly - </t>
    </r>
    <r>
      <rPr>
        <b/>
        <sz val="14"/>
        <color rgb="FF0563C1"/>
        <rFont val="Century Gothic"/>
        <family val="1"/>
      </rPr>
      <t>last updated: July 1st, 2022</t>
    </r>
  </si>
  <si>
    <r>
      <t xml:space="preserve">We define a </t>
    </r>
    <r>
      <rPr>
        <b/>
        <sz val="12"/>
        <color theme="1"/>
        <rFont val="Century Gothic"/>
        <family val="1"/>
      </rPr>
      <t>competency</t>
    </r>
    <r>
      <rPr>
        <sz val="12"/>
        <color theme="1"/>
        <rFont val="Century Gothic"/>
        <family val="1"/>
      </rPr>
      <t xml:space="preserve"> as the capability to apply a set of related knowledge, skills, and abilities to successfully perform critical tasks or functions in a specific setting.</t>
    </r>
  </si>
  <si>
    <r>
      <t xml:space="preserve">Each competency tab contains a full list of courses and suggested learning paths for all languages </t>
    </r>
    <r>
      <rPr>
        <b/>
        <i/>
        <sz val="12"/>
        <color rgb="FF4472C4"/>
        <rFont val="Century Gothic"/>
        <family val="1"/>
      </rPr>
      <t xml:space="preserve">English, French, Spanish, German, Japanese, Portuguese, Mandarin
 </t>
    </r>
    <r>
      <rPr>
        <sz val="12"/>
        <color theme="1"/>
        <rFont val="Century Gothic"/>
        <family val="1"/>
      </rPr>
      <t xml:space="preserve">
In your chosen competency tab, you can click on any course title or learning path to go directly to that resource in your LinkedIn Learning account.</t>
    </r>
  </si>
  <si>
    <r>
      <t xml:space="preserve">Competencies
</t>
    </r>
    <r>
      <rPr>
        <b/>
        <sz val="13"/>
        <color rgb="FF434343"/>
        <rFont val="Century Gothic"/>
        <family val="1"/>
      </rPr>
      <t>click on title below to go directly to the tab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</si>
</sst>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9">
    <font>
      <sz val="12"/>
      <color theme="1"/>
      <name val="Calibri"/>
      <scheme val="minor"/>
    </font>
    <font>
      <sz val="12"/>
      <color rgb="FF000000"/>
      <name val="Calibri"/>
      <family val="2"/>
    </font>
    <font>
      <sz val="12"/>
      <color theme="1"/>
      <name val="Century Gothic"/>
      <family val="1"/>
    </font>
    <font>
      <b/>
      <sz val="20"/>
      <color rgb="FF434343"/>
      <name val="Century Gothic"/>
      <family val="1"/>
    </font>
    <font>
      <sz val="13"/>
      <color theme="1"/>
      <name val="Century Gothic"/>
      <family val="1"/>
    </font>
    <font>
      <sz val="12"/>
      <color rgb="FF0000FF"/>
      <name val="Century Gothic"/>
      <family val="1"/>
    </font>
    <font>
      <b/>
      <sz val="24"/>
      <color rgb="FF000000"/>
      <name val="Century Gothic"/>
      <family val="1"/>
    </font>
    <font>
      <b/>
      <sz val="14"/>
      <color rgb="FF434343"/>
      <name val="Century Gothic"/>
      <family val="1"/>
    </font>
    <font>
      <b/>
      <sz val="14"/>
      <color theme="1"/>
      <name val="Century Gothic"/>
      <family val="1"/>
    </font>
    <font>
      <b/>
      <sz val="13"/>
      <color rgb="FF000000"/>
      <name val="Century Gothic"/>
      <family val="1"/>
    </font>
    <font>
      <b/>
      <sz val="14"/>
      <color rgb="FF000000"/>
      <name val="Century Gothic"/>
      <family val="1"/>
    </font>
    <font>
      <b/>
      <sz val="12"/>
      <color rgb="FF0B5394"/>
      <name val="Century Gothic"/>
      <family val="1"/>
    </font>
    <font>
      <b/>
      <u/>
      <sz val="12"/>
      <color rgb="FF1155CC"/>
      <name val="Century Gothic"/>
      <family val="1"/>
    </font>
    <font>
      <sz val="12"/>
      <color rgb="FF434343"/>
      <name val="Century Gothic"/>
      <family val="1"/>
    </font>
    <font>
      <sz val="12"/>
      <color rgb="FF000000"/>
      <name val="Century Gothic"/>
      <family val="1"/>
    </font>
    <font>
      <b/>
      <sz val="14"/>
      <color rgb="FF000000"/>
      <name val="Trebuchet MS"/>
      <family val="2"/>
    </font>
    <font>
      <b/>
      <sz val="14"/>
      <color theme="1"/>
      <name val="Trebuchet MS"/>
      <family val="2"/>
    </font>
    <font>
      <sz val="12"/>
      <color theme="1"/>
      <name val="Calibri"/>
      <family val="2"/>
    </font>
    <font>
      <sz val="12"/>
      <color rgb="FF0000FF"/>
      <name val="Calibri"/>
      <family val="2"/>
    </font>
    <font>
      <u/>
      <sz val="12"/>
      <color rgb="FF0000FF"/>
      <name val="Calibri"/>
      <family val="2"/>
      <scheme val="minor"/>
    </font>
    <font>
      <sz val="12"/>
      <color theme="1"/>
      <name val="Calibri"/>
      <family val="2"/>
      <scheme val="minor"/>
    </font>
    <font>
      <sz val="12"/>
      <color rgb="FF999999"/>
      <name val="Calibri"/>
      <family val="2"/>
    </font>
    <font>
      <u/>
      <sz val="11"/>
      <color rgb="FF0563C1"/>
      <name val="Calibri"/>
      <family val="2"/>
    </font>
    <font>
      <u/>
      <sz val="12"/>
      <color theme="10"/>
      <name val="Calibri"/>
      <family val="2"/>
      <scheme val="minor"/>
    </font>
    <font>
      <u/>
      <sz val="12"/>
      <color rgb="FF1155CC"/>
      <name val="Calibri"/>
      <family val="2"/>
    </font>
    <font>
      <u/>
      <sz val="12"/>
      <color rgb="FF0563C1"/>
      <name val="Calibri"/>
      <family val="2"/>
    </font>
    <font>
      <u/>
      <sz val="11"/>
      <color rgb="FF0563C1"/>
      <name val="Calibri"/>
      <family val="2"/>
    </font>
    <font>
      <u/>
      <sz val="12"/>
      <color rgb="FF0563C1"/>
      <name val="Calibri"/>
      <family val="2"/>
    </font>
    <font>
      <sz val="11"/>
      <color theme="1"/>
      <name val="Calibri"/>
      <family val="2"/>
    </font>
    <font>
      <u/>
      <sz val="11"/>
      <color rgb="FF0563C1"/>
      <name val="Calibri"/>
      <family val="2"/>
    </font>
    <font>
      <u/>
      <sz val="12"/>
      <color rgb="FF0000FF"/>
      <name val="Calibri"/>
      <family val="2"/>
      <scheme val="minor"/>
    </font>
    <font>
      <u/>
      <sz val="12"/>
      <color rgb="FF0563C1"/>
      <name val="Calibri"/>
      <family val="2"/>
    </font>
    <font>
      <sz val="12"/>
      <color rgb="FF222222"/>
      <name val="Calibri"/>
      <family val="2"/>
    </font>
    <font>
      <u/>
      <sz val="12"/>
      <color rgb="FF0000FF"/>
      <name val="Calibri"/>
      <family val="2"/>
      <scheme val="minor"/>
    </font>
    <font>
      <u/>
      <sz val="11"/>
      <color rgb="FF0563C1"/>
      <name val="Calibri"/>
      <family val="2"/>
    </font>
    <font>
      <u/>
      <sz val="11"/>
      <color rgb="FF0563C1"/>
      <name val="Calibri"/>
      <family val="2"/>
    </font>
    <font>
      <u/>
      <sz val="12"/>
      <color rgb="FF0000FF"/>
      <name val="Calibri"/>
      <family val="2"/>
      <scheme val="minor"/>
    </font>
    <font>
      <u/>
      <sz val="12"/>
      <color rgb="FF0000FF"/>
      <name val="Calibri"/>
      <family val="2"/>
      <scheme val="minor"/>
    </font>
    <font>
      <u/>
      <sz val="12"/>
      <color rgb="FF0000FF"/>
      <name val="Calibri"/>
      <family val="2"/>
      <scheme val="minor"/>
    </font>
    <font>
      <u/>
      <sz val="12"/>
      <color rgb="FF0000FF"/>
      <name val="Calibri"/>
      <family val="2"/>
      <scheme val="minor"/>
    </font>
    <font>
      <u/>
      <sz val="12"/>
      <color rgb="FF0000FF"/>
      <name val="Calibri"/>
      <family val="2"/>
      <scheme val="minor"/>
    </font>
    <font>
      <sz val="12"/>
      <color rgb="FF201F1E"/>
      <name val="Calibri"/>
      <family val="2"/>
    </font>
    <font>
      <u/>
      <sz val="12"/>
      <color rgb="FF0000FF"/>
      <name val="Calibri"/>
      <family val="2"/>
      <scheme val="minor"/>
    </font>
    <font>
      <u/>
      <sz val="12"/>
      <color rgb="FF0000FF"/>
      <name val="Calibri"/>
      <family val="2"/>
      <scheme val="minor"/>
    </font>
    <font>
      <sz val="11"/>
      <color rgb="FF000000"/>
      <name val="Calibri"/>
      <family val="2"/>
    </font>
    <font>
      <sz val="12"/>
      <color rgb="FF000000"/>
      <name val="Calibri"/>
      <family val="2"/>
      <scheme val="minor"/>
    </font>
    <font>
      <b/>
      <sz val="14"/>
      <color theme="0"/>
      <name val="Trebuchet MS"/>
      <family val="2"/>
    </font>
    <font>
      <b/>
      <sz val="14"/>
      <color rgb="FFFFFFFF"/>
      <name val="Trebuchet MS"/>
      <family val="2"/>
    </font>
    <font>
      <b/>
      <sz val="12"/>
      <color rgb="FF0563C1"/>
      <name val="Calibri"/>
      <family val="2"/>
      <scheme val="minor"/>
    </font>
    <font>
      <b/>
      <sz val="12"/>
      <color rgb="FF0563C1"/>
      <name val="Calibri"/>
      <family val="2"/>
    </font>
    <font>
      <u/>
      <sz val="12"/>
      <color rgb="FF0563C1"/>
      <name val="Calibri"/>
      <family val="2"/>
    </font>
    <font>
      <sz val="12"/>
      <color rgb="FF0563C1"/>
      <name val="Calibri"/>
      <family val="2"/>
      <scheme val="minor"/>
    </font>
    <font>
      <sz val="12"/>
      <color rgb="FF202124"/>
      <name val="&quot;Google Sans&quot;"/>
    </font>
    <font>
      <sz val="12"/>
      <color theme="10"/>
      <name val="Calibri"/>
      <family val="2"/>
      <scheme val="minor"/>
    </font>
    <font>
      <sz val="11"/>
      <color theme="1"/>
      <name val="Arial"/>
      <family val="2"/>
    </font>
    <font>
      <u/>
      <sz val="12"/>
      <color rgb="FF0563C1"/>
      <name val="Calibri"/>
      <family val="2"/>
    </font>
    <font>
      <u/>
      <sz val="12"/>
      <color rgb="FF0563C1"/>
      <name val="Calibri"/>
      <family val="2"/>
    </font>
    <font>
      <u/>
      <sz val="11"/>
      <color rgb="FF0563C1"/>
      <name val="Calibri"/>
      <family val="2"/>
    </font>
    <font>
      <u/>
      <sz val="12"/>
      <color rgb="FF0563C1"/>
      <name val="Calibri"/>
      <family val="2"/>
    </font>
    <font>
      <sz val="12"/>
      <color rgb="FF000000"/>
      <name val="Calibri"/>
      <family val="2"/>
    </font>
    <font>
      <b/>
      <sz val="12"/>
      <color rgb="FFFFFFFF"/>
      <name val="&quot;Century Gothic&quot;"/>
    </font>
    <font>
      <b/>
      <sz val="12"/>
      <color rgb="FF38761D"/>
      <name val="Calibri"/>
      <family val="2"/>
    </font>
    <font>
      <b/>
      <u/>
      <sz val="12"/>
      <color rgb="FF38761D"/>
      <name val="Calibri"/>
      <family val="2"/>
    </font>
    <font>
      <b/>
      <u/>
      <sz val="12"/>
      <color rgb="FF38761D"/>
      <name val="Calibri"/>
      <family val="2"/>
    </font>
    <font>
      <u/>
      <sz val="12"/>
      <color rgb="FF0563C1"/>
      <name val="Calibri"/>
      <family val="2"/>
    </font>
    <font>
      <u/>
      <sz val="12"/>
      <color rgb="FF1155CC"/>
      <name val="Calibri"/>
      <family val="2"/>
    </font>
    <font>
      <u/>
      <sz val="12"/>
      <color rgb="FF1155CC"/>
      <name val="Calibri"/>
      <family val="2"/>
    </font>
    <font>
      <u/>
      <sz val="12"/>
      <color rgb="FF1155CC"/>
      <name val="Arial"/>
      <family val="2"/>
    </font>
    <font>
      <sz val="12"/>
      <color theme="1"/>
      <name val="Arial"/>
      <family val="2"/>
    </font>
    <font>
      <u/>
      <sz val="12"/>
      <color rgb="FF1155CC"/>
      <name val="Calibri"/>
      <family val="2"/>
    </font>
    <font>
      <u/>
      <sz val="12"/>
      <color rgb="FF0563C1"/>
      <name val="Calibri"/>
      <family val="2"/>
    </font>
    <font>
      <b/>
      <u/>
      <sz val="12"/>
      <color rgb="FF38761D"/>
      <name val="Calibri"/>
      <family val="2"/>
    </font>
    <font>
      <u/>
      <sz val="12"/>
      <color rgb="FF1155CC"/>
      <name val="Calibri"/>
      <family val="2"/>
    </font>
    <font>
      <u/>
      <sz val="12"/>
      <color rgb="FF999999"/>
      <name val="Calibri"/>
      <family val="2"/>
    </font>
    <font>
      <u/>
      <sz val="12"/>
      <color rgb="FF000000"/>
      <name val="Calibri"/>
      <family val="2"/>
    </font>
    <font>
      <u/>
      <sz val="12"/>
      <color rgb="FF0000FF"/>
      <name val="Arial"/>
      <family val="2"/>
    </font>
    <font>
      <u/>
      <sz val="12"/>
      <color rgb="FF1155CC"/>
      <name val="Arial"/>
      <family val="2"/>
    </font>
    <font>
      <u/>
      <sz val="12"/>
      <color rgb="FF1155CC"/>
      <name val="Arial"/>
      <family val="2"/>
    </font>
    <font>
      <u/>
      <sz val="12"/>
      <color rgb="FF1155CC"/>
      <name val="Calibri"/>
      <family val="2"/>
    </font>
    <font>
      <b/>
      <sz val="12"/>
      <color theme="1"/>
      <name val="Calibri"/>
      <family val="2"/>
    </font>
    <font>
      <b/>
      <sz val="12"/>
      <color rgb="FF000000"/>
      <name val="Calibri"/>
      <family val="2"/>
    </font>
    <font>
      <b/>
      <sz val="12"/>
      <color rgb="FF222222"/>
      <name val="Calibri"/>
      <family val="2"/>
    </font>
    <font>
      <u/>
      <sz val="12"/>
      <color theme="10"/>
      <name val="Calibri"/>
      <family val="2"/>
    </font>
    <font>
      <sz val="12"/>
      <color rgb="FF0563C1"/>
      <name val="Calibri"/>
      <family val="2"/>
      <scheme val="minor"/>
    </font>
    <font>
      <u/>
      <sz val="11"/>
      <color rgb="FF0563C1"/>
      <name val="Calibri"/>
      <family val="2"/>
    </font>
    <font>
      <u/>
      <sz val="12"/>
      <color rgb="FF0563C1"/>
      <name val="Calibri"/>
      <family val="2"/>
    </font>
    <font>
      <u/>
      <sz val="12"/>
      <color rgb="FF0563C1"/>
      <name val="Calibri"/>
      <family val="2"/>
      <scheme val="minor"/>
    </font>
    <font>
      <u/>
      <sz val="12"/>
      <color rgb="FF0563C1"/>
      <name val="Calibri"/>
      <family val="2"/>
    </font>
    <font>
      <u/>
      <sz val="12"/>
      <color rgb="FF0563C1"/>
      <name val="Calibri"/>
      <family val="2"/>
    </font>
    <font>
      <sz val="12"/>
      <color rgb="FF222222"/>
      <name val="Calibri"/>
      <family val="2"/>
      <scheme val="minor"/>
    </font>
    <font>
      <sz val="12"/>
      <color rgb="FF000000"/>
      <name val="Calibri"/>
      <family val="2"/>
      <scheme val="minor"/>
    </font>
    <font>
      <b/>
      <sz val="12"/>
      <color rgb="FF000000"/>
      <name val="Calibri"/>
      <family val="2"/>
      <scheme val="minor"/>
    </font>
    <font>
      <sz val="12"/>
      <color rgb="FF201F1E"/>
      <name val="Calibri"/>
      <family val="2"/>
      <scheme val="minor"/>
    </font>
    <font>
      <sz val="15"/>
      <color theme="1"/>
      <name val="Century Gothic"/>
      <family val="1"/>
    </font>
    <font>
      <b/>
      <sz val="15"/>
      <color rgb="FF434343"/>
      <name val="Century Gothic"/>
      <family val="1"/>
    </font>
    <font>
      <sz val="16"/>
      <color theme="1"/>
      <name val="Century Gothic"/>
      <family val="1"/>
    </font>
    <font>
      <b/>
      <sz val="16"/>
      <color rgb="FFFFFFFF"/>
      <name val="Century Gothic"/>
      <family val="1"/>
    </font>
    <font>
      <b/>
      <sz val="16"/>
      <color rgb="FF434343"/>
      <name val="Century Gothic"/>
      <family val="1"/>
    </font>
    <font>
      <b/>
      <sz val="18"/>
      <color rgb="FFFFFFFF"/>
      <name val="Century Gothic"/>
      <family val="1"/>
    </font>
    <font>
      <b/>
      <sz val="12"/>
      <color theme="1"/>
      <name val="Century Gothic"/>
      <family val="1"/>
    </font>
    <font>
      <b/>
      <sz val="12"/>
      <color rgb="FF0563C1"/>
      <name val="Century Gothic"/>
      <family val="1"/>
    </font>
    <font>
      <sz val="11"/>
      <color rgb="FF434343"/>
      <name val="Century Gothic"/>
      <family val="1"/>
    </font>
    <font>
      <u/>
      <sz val="11"/>
      <color rgb="FF1155CC"/>
      <name val="Century Gothic"/>
      <family val="1"/>
    </font>
    <font>
      <u/>
      <sz val="11"/>
      <color rgb="FF1155CC"/>
      <name val="Century Gothic"/>
      <family val="1"/>
    </font>
    <font>
      <u/>
      <sz val="11"/>
      <color rgb="FF434343"/>
      <name val="Century Gothic"/>
      <family val="1"/>
    </font>
    <font>
      <b/>
      <sz val="14"/>
      <color rgb="FF0563C1"/>
      <name val="Century Gothic"/>
      <family val="1"/>
    </font>
    <font>
      <sz val="12"/>
      <name val="Century Gothic"/>
      <family val="1"/>
    </font>
    <font>
      <b/>
      <i/>
      <sz val="12"/>
      <color rgb="FF4472C4"/>
      <name val="Century Gothic"/>
      <family val="1"/>
    </font>
    <font>
      <b/>
      <sz val="24"/>
      <color rgb="FF134F5C"/>
      <name val="Century Gothic"/>
      <family val="1"/>
    </font>
    <font>
      <b/>
      <sz val="15"/>
      <color rgb="FF0B5394"/>
      <name val="Century Gothic"/>
      <family val="1"/>
    </font>
    <font>
      <b/>
      <sz val="15"/>
      <color rgb="FF666666"/>
      <name val="Century Gothic"/>
      <family val="1"/>
    </font>
    <font>
      <b/>
      <sz val="15"/>
      <color rgb="FF3D85C6"/>
      <name val="Century Gothic"/>
      <family val="1"/>
    </font>
    <font>
      <b/>
      <sz val="15"/>
      <color rgb="FFBF9000"/>
      <name val="Century Gothic"/>
      <family val="1"/>
    </font>
    <font>
      <b/>
      <sz val="15"/>
      <color rgb="FF38761D"/>
      <name val="Century Gothic"/>
      <family val="1"/>
    </font>
    <font>
      <b/>
      <sz val="15"/>
      <color rgb="FFA64D79"/>
      <name val="Century Gothic"/>
      <family val="1"/>
    </font>
    <font>
      <b/>
      <sz val="15"/>
      <color rgb="FF134F5C"/>
      <name val="Century Gothic"/>
      <family val="1"/>
    </font>
    <font>
      <b/>
      <sz val="15"/>
      <color rgb="FFB45F06"/>
      <name val="Century Gothic"/>
      <family val="1"/>
    </font>
    <font>
      <b/>
      <sz val="13"/>
      <color rgb="FF434343"/>
      <name val="Century Gothic"/>
      <family val="1"/>
    </font>
    <font>
      <b/>
      <sz val="13"/>
      <color theme="1"/>
      <name val="Century Gothic"/>
      <family val="1"/>
    </font>
  </fonts>
  <fills count="31">
    <fill>
      <patternFill patternType="none"/>
    </fill>
    <fill>
      <patternFill patternType="gray125"/>
    </fill>
    <fill>
      <patternFill patternType="solid">
        <fgColor rgb="FFFFFFFF"/>
        <bgColor rgb="FFFFFFFF"/>
      </patternFill>
    </fill>
    <fill>
      <patternFill patternType="solid">
        <fgColor rgb="FF134F5C"/>
        <bgColor rgb="FF134F5C"/>
      </patternFill>
    </fill>
    <fill>
      <patternFill patternType="solid">
        <fgColor rgb="FFF1C232"/>
        <bgColor rgb="FFF1C232"/>
      </patternFill>
    </fill>
    <fill>
      <patternFill patternType="solid">
        <fgColor rgb="FFF4B083"/>
        <bgColor rgb="FFF4B083"/>
      </patternFill>
    </fill>
    <fill>
      <patternFill patternType="solid">
        <fgColor rgb="FFE6B8AF"/>
        <bgColor rgb="FFE6B8AF"/>
      </patternFill>
    </fill>
    <fill>
      <patternFill patternType="solid">
        <fgColor rgb="FFF4CCCC"/>
        <bgColor rgb="FFF4CCCC"/>
      </patternFill>
    </fill>
    <fill>
      <patternFill patternType="solid">
        <fgColor rgb="FFFCE5CD"/>
        <bgColor rgb="FFFCE5CD"/>
      </patternFill>
    </fill>
    <fill>
      <patternFill patternType="solid">
        <fgColor rgb="FFFFF2CC"/>
        <bgColor rgb="FFFFF2CC"/>
      </patternFill>
    </fill>
    <fill>
      <patternFill patternType="solid">
        <fgColor rgb="FFD9EAD3"/>
        <bgColor rgb="FFD9EAD3"/>
      </patternFill>
    </fill>
    <fill>
      <patternFill patternType="solid">
        <fgColor rgb="FFD0E0E3"/>
        <bgColor rgb="FFD0E0E3"/>
      </patternFill>
    </fill>
    <fill>
      <patternFill patternType="solid">
        <fgColor rgb="FFC9DAF8"/>
        <bgColor rgb="FFC9DAF8"/>
      </patternFill>
    </fill>
    <fill>
      <patternFill patternType="solid">
        <fgColor rgb="FFCFE2F3"/>
        <bgColor rgb="FFCFE2F3"/>
      </patternFill>
    </fill>
    <fill>
      <patternFill patternType="solid">
        <fgColor rgb="FFD9D2E9"/>
        <bgColor rgb="FFD9D2E9"/>
      </patternFill>
    </fill>
    <fill>
      <patternFill patternType="solid">
        <fgColor rgb="FFEAD1DC"/>
        <bgColor rgb="FFEAD1DC"/>
      </patternFill>
    </fill>
    <fill>
      <patternFill patternType="solid">
        <fgColor rgb="FFD9D9D9"/>
        <bgColor rgb="FFD9D9D9"/>
      </patternFill>
    </fill>
    <fill>
      <patternFill patternType="solid">
        <fgColor rgb="FFF9CB9C"/>
        <bgColor rgb="FFF9CB9C"/>
      </patternFill>
    </fill>
    <fill>
      <patternFill patternType="solid">
        <fgColor rgb="FFF6B26B"/>
        <bgColor rgb="FFF6B26B"/>
      </patternFill>
    </fill>
    <fill>
      <patternFill patternType="solid">
        <fgColor rgb="FFF8F9FA"/>
        <bgColor rgb="FFF8F9FA"/>
      </patternFill>
    </fill>
    <fill>
      <patternFill patternType="solid">
        <fgColor rgb="FF9437FF"/>
        <bgColor rgb="FF9437FF"/>
      </patternFill>
    </fill>
    <fill>
      <patternFill patternType="solid">
        <fgColor rgb="FF45818E"/>
        <bgColor rgb="FF45818E"/>
      </patternFill>
    </fill>
    <fill>
      <patternFill patternType="solid">
        <fgColor rgb="FFC6E0B4"/>
        <bgColor rgb="FFC6E0B4"/>
      </patternFill>
    </fill>
    <fill>
      <patternFill patternType="solid">
        <fgColor rgb="FFB7B7B7"/>
        <bgColor rgb="FFB7B7B7"/>
      </patternFill>
    </fill>
    <fill>
      <patternFill patternType="solid">
        <fgColor rgb="FFA8D08D"/>
        <bgColor rgb="FFA8D08D"/>
      </patternFill>
    </fill>
    <fill>
      <patternFill patternType="solid">
        <fgColor rgb="FF8EAADB"/>
        <bgColor rgb="FF8EAADB"/>
      </patternFill>
    </fill>
    <fill>
      <patternFill patternType="solid">
        <fgColor rgb="FF3C78D8"/>
        <bgColor rgb="FF3C78D8"/>
      </patternFill>
    </fill>
    <fill>
      <patternFill patternType="solid">
        <fgColor rgb="FF9FC5E8"/>
        <bgColor rgb="FF9FC5E8"/>
      </patternFill>
    </fill>
    <fill>
      <patternFill patternType="solid">
        <fgColor rgb="FFB6D7A8"/>
        <bgColor rgb="FFB6D7A8"/>
      </patternFill>
    </fill>
    <fill>
      <patternFill patternType="solid">
        <fgColor rgb="FFD5A6BD"/>
        <bgColor rgb="FFD5A6BD"/>
      </patternFill>
    </fill>
    <fill>
      <patternFill patternType="solid">
        <fgColor rgb="FFE69138"/>
        <bgColor rgb="FFE69138"/>
      </patternFill>
    </fill>
  </fills>
  <borders count="33">
    <border>
      <left/>
      <right/>
      <top/>
      <bottom/>
      <diagonal/>
    </border>
    <border>
      <left style="hair">
        <color rgb="FF4472C4"/>
      </left>
      <right/>
      <top style="hair">
        <color rgb="FF4472C4"/>
      </top>
      <bottom style="hair">
        <color rgb="FF4472C4"/>
      </bottom>
      <diagonal/>
    </border>
    <border>
      <left/>
      <right/>
      <top style="hair">
        <color rgb="FF4472C4"/>
      </top>
      <bottom style="hair">
        <color rgb="FF4472C4"/>
      </bottom>
      <diagonal/>
    </border>
    <border>
      <left/>
      <right style="hair">
        <color rgb="FF4472C4"/>
      </right>
      <top style="hair">
        <color rgb="FF4472C4"/>
      </top>
      <bottom style="hair">
        <color rgb="FF4472C4"/>
      </bottom>
      <diagonal/>
    </border>
    <border>
      <left style="hair">
        <color rgb="FF4472C4"/>
      </left>
      <right/>
      <top/>
      <bottom/>
      <diagonal/>
    </border>
    <border>
      <left/>
      <right style="hair">
        <color rgb="FF4472C4"/>
      </right>
      <top/>
      <bottom/>
      <diagonal/>
    </border>
    <border>
      <left style="hair">
        <color rgb="FF0563C1"/>
      </left>
      <right/>
      <top style="hair">
        <color rgb="FF0563C1"/>
      </top>
      <bottom/>
      <diagonal/>
    </border>
    <border>
      <left/>
      <right/>
      <top style="hair">
        <color rgb="FF0563C1"/>
      </top>
      <bottom/>
      <diagonal/>
    </border>
    <border>
      <left/>
      <right style="hair">
        <color rgb="FF0563C1"/>
      </right>
      <top style="hair">
        <color rgb="FF0563C1"/>
      </top>
      <bottom/>
      <diagonal/>
    </border>
    <border>
      <left style="hair">
        <color rgb="FF0563C1"/>
      </left>
      <right/>
      <top/>
      <bottom/>
      <diagonal/>
    </border>
    <border>
      <left/>
      <right style="hair">
        <color rgb="FF0563C1"/>
      </right>
      <top/>
      <bottom/>
      <diagonal/>
    </border>
    <border>
      <left style="hair">
        <color rgb="FF0563C1"/>
      </left>
      <right/>
      <top/>
      <bottom style="hair">
        <color rgb="FF0563C1"/>
      </bottom>
      <diagonal/>
    </border>
    <border>
      <left/>
      <right/>
      <top/>
      <bottom style="hair">
        <color rgb="FF0563C1"/>
      </bottom>
      <diagonal/>
    </border>
    <border>
      <left/>
      <right style="hair">
        <color rgb="FF0563C1"/>
      </right>
      <top/>
      <bottom style="hair">
        <color rgb="FF0563C1"/>
      </bottom>
      <diagonal/>
    </border>
    <border>
      <left/>
      <right/>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style="thin">
        <color rgb="FFFFFFFF"/>
      </right>
      <top/>
      <bottom/>
      <diagonal/>
    </border>
    <border>
      <left/>
      <right style="thin">
        <color rgb="FFFFFFFF"/>
      </right>
      <top/>
      <bottom style="thin">
        <color rgb="FFF3F3F3"/>
      </bottom>
      <diagonal/>
    </border>
    <border>
      <left/>
      <right/>
      <top/>
      <bottom style="thin">
        <color rgb="FFF3F3F3"/>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right/>
      <top/>
      <bottom/>
      <diagonal/>
    </border>
    <border>
      <left style="thin">
        <color rgb="FFD9D9D9"/>
      </left>
      <right style="thin">
        <color rgb="FFD9D9D9"/>
      </right>
      <top style="thin">
        <color rgb="FFD9D9D9"/>
      </top>
      <bottom style="thin">
        <color rgb="FFD9D9D9"/>
      </bottom>
      <diagonal/>
    </border>
    <border>
      <left style="thin">
        <color rgb="FF000000"/>
      </left>
      <right style="medium">
        <color rgb="FF000000"/>
      </right>
      <top style="medium">
        <color rgb="FF000000"/>
      </top>
      <bottom/>
      <diagonal/>
    </border>
    <border>
      <left/>
      <right/>
      <top/>
      <bottom style="thin">
        <color rgb="FFD9D9D9"/>
      </bottom>
      <diagonal/>
    </border>
    <border>
      <left style="thin">
        <color rgb="FFF3F3F3"/>
      </left>
      <right style="thin">
        <color rgb="FFF3F3F3"/>
      </right>
      <top style="thin">
        <color rgb="FFF3F3F3"/>
      </top>
      <bottom style="thin">
        <color rgb="FFF3F3F3"/>
      </bottom>
      <diagonal/>
    </border>
    <border>
      <left/>
      <right style="thin">
        <color rgb="FFF3F3F3"/>
      </right>
      <top style="thin">
        <color rgb="FFF3F3F3"/>
      </top>
      <bottom style="thin">
        <color rgb="FFF3F3F3"/>
      </bottom>
      <diagonal/>
    </border>
    <border>
      <left/>
      <right style="thin">
        <color rgb="FFD9D9D9"/>
      </right>
      <top/>
      <bottom style="thin">
        <color rgb="FFD9D9D9"/>
      </bottom>
      <diagonal/>
    </border>
    <border>
      <left style="thin">
        <color rgb="FFD9D9D9"/>
      </left>
      <right style="thin">
        <color rgb="FFD9D9D9"/>
      </right>
      <top/>
      <bottom style="thin">
        <color rgb="FFD9D9D9"/>
      </bottom>
      <diagonal/>
    </border>
  </borders>
  <cellStyleXfs count="1">
    <xf numFmtId="0" fontId="0" fillId="0" borderId="0"/>
  </cellStyleXfs>
  <cellXfs count="252">
    <xf numFmtId="0" fontId="0" fillId="0" borderId="0" xfId="0"/>
    <xf numFmtId="0" fontId="1" fillId="0" borderId="0" xfId="0" applyFont="1"/>
    <xf numFmtId="0" fontId="2" fillId="0" borderId="0" xfId="0" applyFont="1"/>
    <xf numFmtId="0" fontId="2" fillId="0" borderId="4" xfId="0" applyFont="1" applyBorder="1" applyAlignment="1">
      <alignment vertical="top"/>
    </xf>
    <xf numFmtId="0" fontId="4" fillId="0" borderId="0" xfId="0" applyFont="1" applyAlignment="1">
      <alignment vertical="center" wrapText="1"/>
    </xf>
    <xf numFmtId="0" fontId="2" fillId="0" borderId="5" xfId="0" applyFont="1" applyBorder="1"/>
    <xf numFmtId="0" fontId="2" fillId="0" borderId="6" xfId="0" applyFont="1" applyBorder="1" applyAlignment="1">
      <alignment vertical="top"/>
    </xf>
    <xf numFmtId="0" fontId="4" fillId="0" borderId="7" xfId="0" applyFont="1" applyBorder="1" applyAlignment="1">
      <alignment vertical="center" wrapText="1"/>
    </xf>
    <xf numFmtId="0" fontId="2" fillId="0" borderId="8" xfId="0" applyFont="1" applyBorder="1"/>
    <xf numFmtId="0" fontId="2" fillId="0" borderId="9" xfId="0" applyFont="1" applyBorder="1" applyAlignment="1">
      <alignment vertical="top"/>
    </xf>
    <xf numFmtId="0" fontId="2" fillId="0" borderId="10" xfId="0" applyFont="1" applyBorder="1"/>
    <xf numFmtId="0" fontId="2" fillId="0" borderId="9" xfId="0" applyFont="1" applyBorder="1"/>
    <xf numFmtId="0" fontId="2" fillId="0" borderId="0" xfId="0" applyFont="1" applyAlignment="1">
      <alignment vertical="center"/>
    </xf>
    <xf numFmtId="0" fontId="2" fillId="0" borderId="9" xfId="0" applyFont="1" applyBorder="1" applyAlignment="1">
      <alignment vertical="center"/>
    </xf>
    <xf numFmtId="0" fontId="2" fillId="0" borderId="10" xfId="0" applyFont="1" applyBorder="1" applyAlignment="1">
      <alignment vertical="center"/>
    </xf>
    <xf numFmtId="0" fontId="2" fillId="0" borderId="11" xfId="0" applyFont="1" applyBorder="1"/>
    <xf numFmtId="0" fontId="2" fillId="0" borderId="13" xfId="0" applyFont="1" applyBorder="1"/>
    <xf numFmtId="0" fontId="2" fillId="2" borderId="0" xfId="0" applyFont="1" applyFill="1" applyAlignment="1">
      <alignment vertical="center"/>
    </xf>
    <xf numFmtId="0" fontId="2" fillId="2" borderId="14" xfId="0" applyFont="1" applyFill="1" applyBorder="1" applyAlignment="1">
      <alignment vertical="center"/>
    </xf>
    <xf numFmtId="0" fontId="2" fillId="2" borderId="17" xfId="0" applyFont="1" applyFill="1" applyBorder="1"/>
    <xf numFmtId="0" fontId="8" fillId="2" borderId="17" xfId="0" applyFont="1" applyFill="1" applyBorder="1" applyAlignment="1">
      <alignment horizontal="center"/>
    </xf>
    <xf numFmtId="0" fontId="9" fillId="2" borderId="17" xfId="0" applyFont="1" applyFill="1" applyBorder="1" applyAlignment="1">
      <alignment horizontal="center" vertical="center" wrapText="1"/>
    </xf>
    <xf numFmtId="0" fontId="2" fillId="2" borderId="0" xfId="0" applyFont="1" applyFill="1"/>
    <xf numFmtId="0" fontId="2" fillId="3" borderId="0" xfId="0" applyFont="1" applyFill="1"/>
    <xf numFmtId="0" fontId="2" fillId="3" borderId="0" xfId="0" applyFont="1" applyFill="1" applyAlignment="1">
      <alignment horizontal="center"/>
    </xf>
    <xf numFmtId="0" fontId="2" fillId="2" borderId="17" xfId="0" applyFont="1" applyFill="1" applyBorder="1" applyAlignment="1">
      <alignment vertical="center"/>
    </xf>
    <xf numFmtId="0" fontId="11" fillId="0" borderId="18" xfId="0" applyFont="1" applyBorder="1" applyAlignment="1">
      <alignment horizontal="center" vertical="center"/>
    </xf>
    <xf numFmtId="0" fontId="12" fillId="0" borderId="18" xfId="0" applyFont="1" applyBorder="1" applyAlignment="1">
      <alignment vertical="center" wrapText="1"/>
    </xf>
    <xf numFmtId="0" fontId="14" fillId="2" borderId="17" xfId="0" applyFont="1" applyFill="1" applyBorder="1" applyAlignment="1">
      <alignment vertical="center"/>
    </xf>
    <xf numFmtId="0" fontId="15" fillId="4" borderId="20" xfId="0" applyFont="1" applyFill="1" applyBorder="1" applyAlignment="1">
      <alignment horizontal="center" vertical="center"/>
    </xf>
    <xf numFmtId="0" fontId="16" fillId="4" borderId="21" xfId="0" applyFont="1" applyFill="1" applyBorder="1" applyAlignment="1">
      <alignment horizontal="center" vertical="center"/>
    </xf>
    <xf numFmtId="0" fontId="16" fillId="4" borderId="22" xfId="0" applyFont="1" applyFill="1" applyBorder="1" applyAlignment="1">
      <alignment horizontal="center"/>
    </xf>
    <xf numFmtId="0" fontId="16" fillId="4" borderId="22" xfId="0" applyFont="1" applyFill="1" applyBorder="1" applyAlignment="1">
      <alignment horizontal="center" vertical="center"/>
    </xf>
    <xf numFmtId="0" fontId="16" fillId="4" borderId="23" xfId="0" applyFont="1" applyFill="1" applyBorder="1" applyAlignment="1">
      <alignment horizontal="center" vertical="center"/>
    </xf>
    <xf numFmtId="0" fontId="16" fillId="5" borderId="23" xfId="0" applyFont="1" applyFill="1" applyBorder="1" applyAlignment="1">
      <alignment horizontal="center" vertical="center"/>
    </xf>
    <xf numFmtId="0" fontId="17" fillId="6" borderId="0" xfId="0" applyFont="1" applyFill="1"/>
    <xf numFmtId="0" fontId="1" fillId="6" borderId="0" xfId="0" applyFont="1" applyFill="1"/>
    <xf numFmtId="0" fontId="18" fillId="6" borderId="0" xfId="0" applyFont="1" applyFill="1" applyAlignment="1">
      <alignment horizontal="center"/>
    </xf>
    <xf numFmtId="0" fontId="18" fillId="6" borderId="0" xfId="0" applyFont="1" applyFill="1" applyAlignment="1">
      <alignment horizontal="center" vertical="center"/>
    </xf>
    <xf numFmtId="0" fontId="18" fillId="0" borderId="0" xfId="0" applyFont="1" applyAlignment="1">
      <alignment horizontal="left"/>
    </xf>
    <xf numFmtId="0" fontId="19" fillId="6" borderId="0" xfId="0" applyFont="1" applyFill="1" applyAlignment="1">
      <alignment horizontal="center" vertical="center"/>
    </xf>
    <xf numFmtId="0" fontId="20" fillId="6" borderId="0" xfId="0" applyFont="1" applyFill="1"/>
    <xf numFmtId="0" fontId="17" fillId="0" borderId="0" xfId="0" applyFont="1"/>
    <xf numFmtId="0" fontId="21" fillId="0" borderId="0" xfId="0" applyFont="1" applyAlignment="1">
      <alignment horizontal="center"/>
    </xf>
    <xf numFmtId="0" fontId="1" fillId="0" borderId="0" xfId="0" applyFont="1" applyAlignment="1">
      <alignment horizontal="left"/>
    </xf>
    <xf numFmtId="0" fontId="22" fillId="0" borderId="0" xfId="0" applyFont="1"/>
    <xf numFmtId="0" fontId="23" fillId="0" borderId="0" xfId="0" applyFont="1"/>
    <xf numFmtId="0" fontId="24" fillId="0" borderId="0" xfId="0" applyFont="1"/>
    <xf numFmtId="0" fontId="25" fillId="0" borderId="0" xfId="0" applyFont="1"/>
    <xf numFmtId="0" fontId="26" fillId="0" borderId="0" xfId="0" applyFont="1"/>
    <xf numFmtId="0" fontId="27" fillId="0" borderId="0" xfId="0" applyFont="1" applyAlignment="1">
      <alignment horizontal="right"/>
    </xf>
    <xf numFmtId="0" fontId="28" fillId="0" borderId="0" xfId="0" applyFont="1" applyAlignment="1">
      <alignment horizontal="left"/>
    </xf>
    <xf numFmtId="0" fontId="17" fillId="7" borderId="0" xfId="0" applyFont="1" applyFill="1"/>
    <xf numFmtId="0" fontId="1" fillId="7" borderId="0" xfId="0" applyFont="1" applyFill="1"/>
    <xf numFmtId="0" fontId="18" fillId="7" borderId="0" xfId="0" applyFont="1" applyFill="1" applyAlignment="1">
      <alignment horizontal="center"/>
    </xf>
    <xf numFmtId="0" fontId="18" fillId="7" borderId="0" xfId="0" applyFont="1" applyFill="1" applyAlignment="1">
      <alignment horizontal="center" vertical="center"/>
    </xf>
    <xf numFmtId="0" fontId="29" fillId="0" borderId="0" xfId="0" applyFont="1" applyAlignment="1">
      <alignment horizontal="left"/>
    </xf>
    <xf numFmtId="0" fontId="30" fillId="7" borderId="0" xfId="0" applyFont="1" applyFill="1" applyAlignment="1">
      <alignment horizontal="center" vertical="center"/>
    </xf>
    <xf numFmtId="0" fontId="20" fillId="7" borderId="0" xfId="0" applyFont="1" applyFill="1"/>
    <xf numFmtId="0" fontId="31" fillId="0" borderId="0" xfId="0" applyFont="1" applyAlignment="1">
      <alignment horizontal="right"/>
    </xf>
    <xf numFmtId="0" fontId="17" fillId="8" borderId="0" xfId="0" applyFont="1" applyFill="1"/>
    <xf numFmtId="0" fontId="32" fillId="8" borderId="0" xfId="0" applyFont="1" applyFill="1"/>
    <xf numFmtId="0" fontId="18" fillId="8" borderId="0" xfId="0" applyFont="1" applyFill="1" applyAlignment="1">
      <alignment horizontal="center"/>
    </xf>
    <xf numFmtId="0" fontId="18" fillId="8" borderId="0" xfId="0" applyFont="1" applyFill="1" applyAlignment="1">
      <alignment horizontal="center" vertical="center"/>
    </xf>
    <xf numFmtId="0" fontId="33" fillId="8" borderId="0" xfId="0" applyFont="1" applyFill="1" applyAlignment="1">
      <alignment horizontal="center" vertical="center"/>
    </xf>
    <xf numFmtId="0" fontId="20" fillId="8" borderId="0" xfId="0" applyFont="1" applyFill="1"/>
    <xf numFmtId="0" fontId="34" fillId="0" borderId="0" xfId="0" applyFont="1" applyAlignment="1">
      <alignment horizontal="left"/>
    </xf>
    <xf numFmtId="0" fontId="35" fillId="0" borderId="0" xfId="0" applyFont="1" applyAlignment="1">
      <alignment horizontal="left"/>
    </xf>
    <xf numFmtId="0" fontId="17" fillId="9" borderId="0" xfId="0" applyFont="1" applyFill="1"/>
    <xf numFmtId="0" fontId="1" fillId="9" borderId="0" xfId="0" applyFont="1" applyFill="1"/>
    <xf numFmtId="0" fontId="18" fillId="9" borderId="0" xfId="0" applyFont="1" applyFill="1" applyAlignment="1">
      <alignment horizontal="center"/>
    </xf>
    <xf numFmtId="0" fontId="18" fillId="9" borderId="0" xfId="0" applyFont="1" applyFill="1" applyAlignment="1">
      <alignment horizontal="center" vertical="center"/>
    </xf>
    <xf numFmtId="0" fontId="36" fillId="9" borderId="0" xfId="0" applyFont="1" applyFill="1" applyAlignment="1">
      <alignment horizontal="center" vertical="center"/>
    </xf>
    <xf numFmtId="0" fontId="20" fillId="9" borderId="0" xfId="0" applyFont="1" applyFill="1"/>
    <xf numFmtId="0" fontId="17" fillId="10" borderId="0" xfId="0" applyFont="1" applyFill="1"/>
    <xf numFmtId="0" fontId="18" fillId="10" borderId="0" xfId="0" applyFont="1" applyFill="1" applyAlignment="1">
      <alignment horizontal="center"/>
    </xf>
    <xf numFmtId="0" fontId="18" fillId="10" borderId="0" xfId="0" applyFont="1" applyFill="1" applyAlignment="1">
      <alignment horizontal="center" vertical="center"/>
    </xf>
    <xf numFmtId="0" fontId="37" fillId="10" borderId="0" xfId="0" applyFont="1" applyFill="1" applyAlignment="1">
      <alignment horizontal="center" vertical="center"/>
    </xf>
    <xf numFmtId="0" fontId="20" fillId="10" borderId="0" xfId="0" applyFont="1" applyFill="1"/>
    <xf numFmtId="0" fontId="17" fillId="11" borderId="0" xfId="0" applyFont="1" applyFill="1"/>
    <xf numFmtId="0" fontId="1" fillId="11" borderId="0" xfId="0" applyFont="1" applyFill="1"/>
    <xf numFmtId="0" fontId="18" fillId="11" borderId="0" xfId="0" applyFont="1" applyFill="1" applyAlignment="1">
      <alignment horizontal="center"/>
    </xf>
    <xf numFmtId="0" fontId="18" fillId="11" borderId="0" xfId="0" applyFont="1" applyFill="1" applyAlignment="1">
      <alignment horizontal="center" vertical="center"/>
    </xf>
    <xf numFmtId="0" fontId="38" fillId="11" borderId="0" xfId="0" applyFont="1" applyFill="1" applyAlignment="1">
      <alignment horizontal="center" vertical="center"/>
    </xf>
    <xf numFmtId="0" fontId="20" fillId="11" borderId="0" xfId="0" applyFont="1" applyFill="1"/>
    <xf numFmtId="0" fontId="17" fillId="12" borderId="0" xfId="0" applyFont="1" applyFill="1"/>
    <xf numFmtId="0" fontId="1" fillId="12" borderId="0" xfId="0" applyFont="1" applyFill="1"/>
    <xf numFmtId="0" fontId="18" fillId="12" borderId="0" xfId="0" applyFont="1" applyFill="1" applyAlignment="1">
      <alignment horizontal="center"/>
    </xf>
    <xf numFmtId="0" fontId="18" fillId="12" borderId="0" xfId="0" applyFont="1" applyFill="1" applyAlignment="1">
      <alignment horizontal="center" vertical="center"/>
    </xf>
    <xf numFmtId="0" fontId="39" fillId="12" borderId="0" xfId="0" applyFont="1" applyFill="1" applyAlignment="1">
      <alignment horizontal="center" vertical="center"/>
    </xf>
    <xf numFmtId="0" fontId="20" fillId="12" borderId="0" xfId="0" applyFont="1" applyFill="1"/>
    <xf numFmtId="0" fontId="17" fillId="13" borderId="0" xfId="0" applyFont="1" applyFill="1"/>
    <xf numFmtId="0" fontId="1" fillId="13" borderId="0" xfId="0" applyFont="1" applyFill="1"/>
    <xf numFmtId="0" fontId="18" fillId="13" borderId="0" xfId="0" applyFont="1" applyFill="1" applyAlignment="1">
      <alignment horizontal="center"/>
    </xf>
    <xf numFmtId="0" fontId="18" fillId="13" borderId="0" xfId="0" applyFont="1" applyFill="1" applyAlignment="1">
      <alignment horizontal="center" vertical="center"/>
    </xf>
    <xf numFmtId="0" fontId="40" fillId="13" borderId="0" xfId="0" applyFont="1" applyFill="1" applyAlignment="1">
      <alignment horizontal="center" vertical="center"/>
    </xf>
    <xf numFmtId="0" fontId="20" fillId="13" borderId="0" xfId="0" applyFont="1" applyFill="1"/>
    <xf numFmtId="0" fontId="17" fillId="14" borderId="0" xfId="0" applyFont="1" applyFill="1"/>
    <xf numFmtId="0" fontId="41" fillId="14" borderId="0" xfId="0" applyFont="1" applyFill="1"/>
    <xf numFmtId="0" fontId="18" fillId="14" borderId="0" xfId="0" applyFont="1" applyFill="1" applyAlignment="1">
      <alignment horizontal="center"/>
    </xf>
    <xf numFmtId="0" fontId="18" fillId="14" borderId="0" xfId="0" applyFont="1" applyFill="1" applyAlignment="1">
      <alignment horizontal="center" vertical="center"/>
    </xf>
    <xf numFmtId="0" fontId="42" fillId="14" borderId="0" xfId="0" applyFont="1" applyFill="1" applyAlignment="1">
      <alignment horizontal="center" vertical="center"/>
    </xf>
    <xf numFmtId="0" fontId="20" fillId="14" borderId="0" xfId="0" applyFont="1" applyFill="1"/>
    <xf numFmtId="0" fontId="17" fillId="15" borderId="0" xfId="0" applyFont="1" applyFill="1"/>
    <xf numFmtId="0" fontId="1" fillId="15" borderId="0" xfId="0" applyFont="1" applyFill="1"/>
    <xf numFmtId="0" fontId="18" fillId="15" borderId="0" xfId="0" applyFont="1" applyFill="1" applyAlignment="1">
      <alignment horizontal="center"/>
    </xf>
    <xf numFmtId="0" fontId="18" fillId="15" borderId="0" xfId="0" applyFont="1" applyFill="1" applyAlignment="1">
      <alignment horizontal="center" vertical="center"/>
    </xf>
    <xf numFmtId="0" fontId="43" fillId="15" borderId="0" xfId="0" applyFont="1" applyFill="1" applyAlignment="1">
      <alignment horizontal="center" vertical="center"/>
    </xf>
    <xf numFmtId="0" fontId="20" fillId="15" borderId="0" xfId="0" applyFont="1" applyFill="1"/>
    <xf numFmtId="0" fontId="28" fillId="16" borderId="0" xfId="0" applyFont="1" applyFill="1" applyAlignment="1">
      <alignment horizontal="left"/>
    </xf>
    <xf numFmtId="0" fontId="1" fillId="8" borderId="0" xfId="0" applyFont="1" applyFill="1"/>
    <xf numFmtId="0" fontId="1" fillId="10" borderId="0" xfId="0" applyFont="1" applyFill="1"/>
    <xf numFmtId="0" fontId="32" fillId="14" borderId="0" xfId="0" applyFont="1" applyFill="1"/>
    <xf numFmtId="0" fontId="20" fillId="17" borderId="0" xfId="0" applyFont="1" applyFill="1"/>
    <xf numFmtId="0" fontId="28" fillId="9" borderId="0" xfId="0" applyFont="1" applyFill="1"/>
    <xf numFmtId="0" fontId="32" fillId="11" borderId="0" xfId="0" applyFont="1" applyFill="1"/>
    <xf numFmtId="0" fontId="32" fillId="12" borderId="0" xfId="0" applyFont="1" applyFill="1"/>
    <xf numFmtId="0" fontId="32" fillId="13" borderId="0" xfId="0" applyFont="1" applyFill="1"/>
    <xf numFmtId="0" fontId="1" fillId="14" borderId="0" xfId="0" applyFont="1" applyFill="1"/>
    <xf numFmtId="0" fontId="44" fillId="15" borderId="0" xfId="0" applyFont="1" applyFill="1"/>
    <xf numFmtId="0" fontId="17" fillId="0" borderId="0" xfId="0" applyFont="1" applyAlignment="1">
      <alignment wrapText="1"/>
    </xf>
    <xf numFmtId="0" fontId="45" fillId="0" borderId="0" xfId="0" applyFont="1"/>
    <xf numFmtId="0" fontId="46" fillId="18" borderId="20" xfId="0" applyFont="1" applyFill="1" applyBorder="1" applyAlignment="1">
      <alignment horizontal="center" vertical="center"/>
    </xf>
    <xf numFmtId="0" fontId="47" fillId="18" borderId="21" xfId="0" applyFont="1" applyFill="1" applyBorder="1" applyAlignment="1">
      <alignment horizontal="center" vertical="center"/>
    </xf>
    <xf numFmtId="0" fontId="47" fillId="18" borderId="22" xfId="0" applyFont="1" applyFill="1" applyBorder="1" applyAlignment="1">
      <alignment horizontal="center" vertical="center"/>
    </xf>
    <xf numFmtId="0" fontId="46" fillId="18" borderId="22" xfId="0" applyFont="1" applyFill="1" applyBorder="1" applyAlignment="1">
      <alignment horizontal="center" vertical="center"/>
    </xf>
    <xf numFmtId="0" fontId="46" fillId="18" borderId="23" xfId="0" applyFont="1" applyFill="1" applyBorder="1" applyAlignment="1">
      <alignment horizontal="center" vertical="center"/>
    </xf>
    <xf numFmtId="0" fontId="20" fillId="18" borderId="0" xfId="0" applyFont="1" applyFill="1"/>
    <xf numFmtId="0" fontId="48" fillId="0" borderId="0" xfId="0" applyFont="1" applyAlignment="1">
      <alignment horizontal="center" vertical="center"/>
    </xf>
    <xf numFmtId="0" fontId="49" fillId="0" borderId="0" xfId="0" applyFont="1" applyAlignment="1">
      <alignment horizontal="left"/>
    </xf>
    <xf numFmtId="0" fontId="48" fillId="0" borderId="0" xfId="0" applyFont="1" applyAlignment="1">
      <alignment horizontal="center"/>
    </xf>
    <xf numFmtId="0" fontId="50" fillId="0" borderId="0" xfId="0" applyFont="1" applyAlignment="1">
      <alignment horizontal="right"/>
    </xf>
    <xf numFmtId="0" fontId="32" fillId="0" borderId="0" xfId="0" applyFont="1"/>
    <xf numFmtId="0" fontId="51" fillId="0" borderId="0" xfId="0" applyFont="1"/>
    <xf numFmtId="0" fontId="41" fillId="0" borderId="0" xfId="0" applyFont="1"/>
    <xf numFmtId="0" fontId="20" fillId="0" borderId="0" xfId="0" applyFont="1" applyAlignment="1">
      <alignment horizontal="center"/>
    </xf>
    <xf numFmtId="0" fontId="20" fillId="0" borderId="0" xfId="0" applyFont="1"/>
    <xf numFmtId="0" fontId="52" fillId="19" borderId="0" xfId="0" applyFont="1" applyFill="1" applyAlignment="1">
      <alignment horizontal="left"/>
    </xf>
    <xf numFmtId="0" fontId="46" fillId="20" borderId="20" xfId="0" applyFont="1" applyFill="1" applyBorder="1" applyAlignment="1">
      <alignment horizontal="center" vertical="center"/>
    </xf>
    <xf numFmtId="0" fontId="47" fillId="20" borderId="21" xfId="0" applyFont="1" applyFill="1" applyBorder="1" applyAlignment="1">
      <alignment horizontal="center" vertical="center"/>
    </xf>
    <xf numFmtId="0" fontId="46" fillId="20" borderId="22" xfId="0" applyFont="1" applyFill="1" applyBorder="1" applyAlignment="1">
      <alignment horizontal="center" vertical="center"/>
    </xf>
    <xf numFmtId="0" fontId="46" fillId="20" borderId="23" xfId="0" applyFont="1" applyFill="1" applyBorder="1" applyAlignment="1">
      <alignment horizontal="center" vertical="center"/>
    </xf>
    <xf numFmtId="0" fontId="41" fillId="2" borderId="0" xfId="0" applyFont="1" applyFill="1"/>
    <xf numFmtId="0" fontId="45" fillId="0" borderId="0" xfId="0" applyFont="1" applyAlignment="1">
      <alignment horizontal="left"/>
    </xf>
    <xf numFmtId="0" fontId="53" fillId="0" borderId="0" xfId="0" applyFont="1"/>
    <xf numFmtId="0" fontId="47" fillId="21" borderId="20" xfId="0" applyFont="1" applyFill="1" applyBorder="1" applyAlignment="1">
      <alignment horizontal="center" vertical="center"/>
    </xf>
    <xf numFmtId="0" fontId="47" fillId="21" borderId="24" xfId="0" applyFont="1" applyFill="1" applyBorder="1" applyAlignment="1">
      <alignment horizontal="center" vertical="center"/>
    </xf>
    <xf numFmtId="0" fontId="47" fillId="21" borderId="22" xfId="0" applyFont="1" applyFill="1" applyBorder="1" applyAlignment="1">
      <alignment horizontal="center" vertical="center"/>
    </xf>
    <xf numFmtId="0" fontId="46" fillId="21" borderId="22" xfId="0" applyFont="1" applyFill="1" applyBorder="1" applyAlignment="1">
      <alignment horizontal="center" vertical="center"/>
    </xf>
    <xf numFmtId="0" fontId="46" fillId="21" borderId="23" xfId="0" applyFont="1" applyFill="1" applyBorder="1" applyAlignment="1">
      <alignment horizontal="center" vertical="center"/>
    </xf>
    <xf numFmtId="0" fontId="20" fillId="21" borderId="0" xfId="0" applyFont="1" applyFill="1"/>
    <xf numFmtId="0" fontId="54" fillId="10" borderId="0" xfId="0" applyFont="1" applyFill="1"/>
    <xf numFmtId="0" fontId="48" fillId="10" borderId="0" xfId="0" applyFont="1" applyFill="1" applyAlignment="1">
      <alignment horizontal="center" vertical="center"/>
    </xf>
    <xf numFmtId="0" fontId="48" fillId="10" borderId="0" xfId="0" applyFont="1" applyFill="1" applyAlignment="1">
      <alignment horizontal="center"/>
    </xf>
    <xf numFmtId="0" fontId="54" fillId="0" borderId="0" xfId="0" applyFont="1"/>
    <xf numFmtId="0" fontId="55" fillId="0" borderId="0" xfId="0" applyFont="1"/>
    <xf numFmtId="0" fontId="56" fillId="22" borderId="0" xfId="0" applyFont="1" applyFill="1"/>
    <xf numFmtId="0" fontId="57" fillId="0" borderId="25" xfId="0" applyFont="1" applyBorder="1"/>
    <xf numFmtId="0" fontId="20" fillId="0" borderId="0" xfId="0" applyFont="1" applyAlignment="1">
      <alignment horizontal="left" vertical="center"/>
    </xf>
    <xf numFmtId="0" fontId="58" fillId="0" borderId="0" xfId="0" applyFont="1"/>
    <xf numFmtId="0" fontId="59" fillId="22" borderId="0" xfId="0" applyFont="1" applyFill="1" applyAlignment="1">
      <alignment horizontal="left"/>
    </xf>
    <xf numFmtId="0" fontId="60" fillId="23" borderId="26" xfId="0" applyFont="1" applyFill="1" applyBorder="1" applyAlignment="1">
      <alignment wrapText="1"/>
    </xf>
    <xf numFmtId="0" fontId="60" fillId="23" borderId="0" xfId="0" applyFont="1" applyFill="1" applyAlignment="1">
      <alignment horizontal="center"/>
    </xf>
    <xf numFmtId="0" fontId="60" fillId="23" borderId="0" xfId="0" applyFont="1" applyFill="1" applyAlignment="1">
      <alignment horizontal="center" wrapText="1"/>
    </xf>
    <xf numFmtId="0" fontId="60" fillId="23" borderId="26" xfId="0" applyFont="1" applyFill="1" applyBorder="1" applyAlignment="1">
      <alignment horizontal="center"/>
    </xf>
    <xf numFmtId="0" fontId="61" fillId="0" borderId="0" xfId="0" applyFont="1" applyAlignment="1">
      <alignment horizontal="center"/>
    </xf>
    <xf numFmtId="0" fontId="62" fillId="0" borderId="0" xfId="0" applyFont="1" applyAlignment="1">
      <alignment horizontal="center"/>
    </xf>
    <xf numFmtId="0" fontId="63" fillId="0" borderId="0" xfId="0" applyFont="1"/>
    <xf numFmtId="0" fontId="1" fillId="0" borderId="0" xfId="0" applyFont="1" applyAlignment="1">
      <alignment horizontal="center"/>
    </xf>
    <xf numFmtId="21" fontId="64" fillId="0" borderId="0" xfId="0" applyNumberFormat="1" applyFont="1"/>
    <xf numFmtId="0" fontId="65" fillId="0" borderId="0" xfId="0" applyFont="1"/>
    <xf numFmtId="0" fontId="66" fillId="0" borderId="0" xfId="0" applyFont="1"/>
    <xf numFmtId="0" fontId="67" fillId="0" borderId="0" xfId="0" applyFont="1" applyAlignment="1">
      <alignment wrapText="1"/>
    </xf>
    <xf numFmtId="0" fontId="68" fillId="0" borderId="0" xfId="0" applyFont="1"/>
    <xf numFmtId="21" fontId="69" fillId="0" borderId="0" xfId="0" applyNumberFormat="1" applyFont="1"/>
    <xf numFmtId="0" fontId="70" fillId="0" borderId="0" xfId="0" applyFont="1"/>
    <xf numFmtId="21" fontId="71" fillId="0" borderId="0" xfId="0" applyNumberFormat="1" applyFont="1"/>
    <xf numFmtId="0" fontId="68" fillId="2" borderId="0" xfId="0" applyFont="1" applyFill="1"/>
    <xf numFmtId="0" fontId="72" fillId="9" borderId="0" xfId="0" applyFont="1" applyFill="1"/>
    <xf numFmtId="0" fontId="73" fillId="0" borderId="0" xfId="0" applyFont="1" applyAlignment="1">
      <alignment horizontal="center"/>
    </xf>
    <xf numFmtId="0" fontId="74" fillId="0" borderId="0" xfId="0" applyFont="1" applyAlignment="1">
      <alignment horizontal="center"/>
    </xf>
    <xf numFmtId="0" fontId="75" fillId="2" borderId="0" xfId="0" applyFont="1" applyFill="1"/>
    <xf numFmtId="0" fontId="76" fillId="9" borderId="0" xfId="0" applyFont="1" applyFill="1" applyAlignment="1">
      <alignment wrapText="1"/>
    </xf>
    <xf numFmtId="0" fontId="77" fillId="2" borderId="0" xfId="0" applyFont="1" applyFill="1" applyAlignment="1">
      <alignment wrapText="1"/>
    </xf>
    <xf numFmtId="0" fontId="78" fillId="0" borderId="0" xfId="0" applyFont="1"/>
    <xf numFmtId="21" fontId="68" fillId="0" borderId="0" xfId="0" applyNumberFormat="1" applyFont="1"/>
    <xf numFmtId="0" fontId="15" fillId="24" borderId="21" xfId="0" applyFont="1" applyFill="1" applyBorder="1" applyAlignment="1">
      <alignment horizontal="center" vertical="center"/>
    </xf>
    <xf numFmtId="0" fontId="16" fillId="24" borderId="23" xfId="0" applyFont="1" applyFill="1" applyBorder="1" applyAlignment="1">
      <alignment horizontal="center" vertical="center"/>
    </xf>
    <xf numFmtId="0" fontId="79" fillId="0" borderId="0" xfId="0" applyFont="1"/>
    <xf numFmtId="0" fontId="80" fillId="0" borderId="0" xfId="0" applyFont="1"/>
    <xf numFmtId="0" fontId="49" fillId="0" borderId="0" xfId="0" applyFont="1" applyAlignment="1">
      <alignment horizontal="center"/>
    </xf>
    <xf numFmtId="0" fontId="81" fillId="0" borderId="0" xfId="0" applyFont="1"/>
    <xf numFmtId="0" fontId="82" fillId="0" borderId="0" xfId="0" applyFont="1"/>
    <xf numFmtId="0" fontId="83" fillId="0" borderId="0" xfId="0" applyFont="1"/>
    <xf numFmtId="0" fontId="16" fillId="25" borderId="20" xfId="0" applyFont="1" applyFill="1" applyBorder="1" applyAlignment="1">
      <alignment horizontal="center" vertical="center"/>
    </xf>
    <xf numFmtId="0" fontId="16" fillId="25" borderId="21" xfId="0" applyFont="1" applyFill="1" applyBorder="1" applyAlignment="1">
      <alignment horizontal="center" vertical="center"/>
    </xf>
    <xf numFmtId="0" fontId="16" fillId="25" borderId="22" xfId="0" applyFont="1" applyFill="1" applyBorder="1" applyAlignment="1">
      <alignment horizontal="center" vertical="center"/>
    </xf>
    <xf numFmtId="0" fontId="16" fillId="25" borderId="23" xfId="0" applyFont="1" applyFill="1" applyBorder="1" applyAlignment="1">
      <alignment horizontal="center" vertical="center"/>
    </xf>
    <xf numFmtId="0" fontId="16" fillId="25" borderId="27" xfId="0" applyFont="1" applyFill="1" applyBorder="1" applyAlignment="1">
      <alignment horizontal="center" vertical="center"/>
    </xf>
    <xf numFmtId="0" fontId="84" fillId="0" borderId="0" xfId="0" applyFont="1"/>
    <xf numFmtId="0" fontId="85" fillId="0" borderId="0" xfId="0" applyFont="1"/>
    <xf numFmtId="0" fontId="86" fillId="0" borderId="0" xfId="0" applyFont="1"/>
    <xf numFmtId="0" fontId="87" fillId="0" borderId="0" xfId="0" applyFont="1"/>
    <xf numFmtId="0" fontId="88" fillId="0" borderId="0" xfId="0" applyFont="1"/>
    <xf numFmtId="0" fontId="89" fillId="0" borderId="0" xfId="0" applyFont="1"/>
    <xf numFmtId="0" fontId="90" fillId="0" borderId="0" xfId="0" applyFont="1"/>
    <xf numFmtId="0" fontId="91" fillId="0" borderId="0" xfId="0" applyFont="1"/>
    <xf numFmtId="0" fontId="92" fillId="0" borderId="0" xfId="0" applyFont="1"/>
    <xf numFmtId="0" fontId="93" fillId="16" borderId="0" xfId="0" applyFont="1" applyFill="1" applyAlignment="1">
      <alignment vertical="center"/>
    </xf>
    <xf numFmtId="0" fontId="95" fillId="16" borderId="0" xfId="0" applyFont="1" applyFill="1" applyAlignment="1">
      <alignment vertical="center"/>
    </xf>
    <xf numFmtId="0" fontId="99" fillId="16" borderId="28" xfId="0" applyFont="1" applyFill="1" applyBorder="1" applyAlignment="1">
      <alignment vertical="center"/>
    </xf>
    <xf numFmtId="0" fontId="100" fillId="16" borderId="29" xfId="0" applyFont="1" applyFill="1" applyBorder="1" applyAlignment="1">
      <alignment horizontal="center" vertical="center"/>
    </xf>
    <xf numFmtId="0" fontId="100" fillId="16" borderId="30" xfId="0" applyFont="1" applyFill="1" applyBorder="1" applyAlignment="1">
      <alignment horizontal="center" vertical="center"/>
    </xf>
    <xf numFmtId="0" fontId="2" fillId="16" borderId="31" xfId="0" applyFont="1" applyFill="1" applyBorder="1" applyAlignment="1">
      <alignment vertical="center"/>
    </xf>
    <xf numFmtId="0" fontId="101" fillId="0" borderId="32" xfId="0" applyFont="1" applyBorder="1" applyAlignment="1">
      <alignment horizontal="center" vertical="center" wrapText="1"/>
    </xf>
    <xf numFmtId="0" fontId="101" fillId="0" borderId="31" xfId="0" applyFont="1" applyBorder="1" applyAlignment="1">
      <alignment horizontal="center" vertical="center" wrapText="1"/>
    </xf>
    <xf numFmtId="21" fontId="102" fillId="0" borderId="31" xfId="0" applyNumberFormat="1" applyFont="1" applyBorder="1" applyAlignment="1">
      <alignment vertical="center" wrapText="1"/>
    </xf>
    <xf numFmtId="0" fontId="103" fillId="0" borderId="31" xfId="0" applyFont="1" applyBorder="1" applyAlignment="1">
      <alignment vertical="center" wrapText="1"/>
    </xf>
    <xf numFmtId="0" fontId="2" fillId="0" borderId="31" xfId="0" applyFont="1" applyBorder="1" applyAlignment="1">
      <alignment horizontal="left" vertical="center"/>
    </xf>
    <xf numFmtId="0" fontId="2" fillId="0" borderId="31" xfId="0" applyFont="1" applyBorder="1" applyAlignment="1">
      <alignment horizontal="center" vertical="center"/>
    </xf>
    <xf numFmtId="0" fontId="2" fillId="0" borderId="31" xfId="0" applyFont="1" applyBorder="1" applyAlignment="1">
      <alignment vertical="center"/>
    </xf>
    <xf numFmtId="0" fontId="104" fillId="0" borderId="31" xfId="0" applyFont="1" applyBorder="1" applyAlignment="1">
      <alignment vertical="center" wrapText="1"/>
    </xf>
    <xf numFmtId="0" fontId="0" fillId="0" borderId="0" xfId="0"/>
    <xf numFmtId="0" fontId="5" fillId="0" borderId="0" xfId="0" applyFont="1" applyAlignment="1">
      <alignment vertical="center" wrapText="1"/>
    </xf>
    <xf numFmtId="0" fontId="2" fillId="0" borderId="0" xfId="0" applyFont="1" applyAlignment="1">
      <alignment horizontal="center" vertical="center"/>
    </xf>
    <xf numFmtId="0" fontId="2" fillId="0" borderId="12" xfId="0" applyFont="1" applyBorder="1"/>
    <xf numFmtId="0" fontId="6" fillId="2" borderId="14" xfId="0" applyFont="1" applyFill="1" applyBorder="1" applyAlignment="1">
      <alignment vertical="center" wrapText="1"/>
    </xf>
    <xf numFmtId="0" fontId="7" fillId="2" borderId="15" xfId="0" applyFont="1" applyFill="1" applyBorder="1" applyAlignment="1">
      <alignment horizontal="center" vertical="center" wrapText="1"/>
    </xf>
    <xf numFmtId="0" fontId="10" fillId="2" borderId="0" xfId="0" applyFont="1" applyFill="1" applyAlignment="1">
      <alignment horizontal="center" vertical="center" wrapText="1"/>
    </xf>
    <xf numFmtId="0" fontId="13" fillId="0" borderId="19" xfId="0" applyFont="1" applyBorder="1" applyAlignment="1">
      <alignment vertical="center" wrapText="1"/>
    </xf>
    <xf numFmtId="0" fontId="94" fillId="16" borderId="0" xfId="0" applyFont="1" applyFill="1" applyAlignment="1">
      <alignment horizontal="center" vertical="center" wrapText="1"/>
    </xf>
    <xf numFmtId="0" fontId="97" fillId="27" borderId="0" xfId="0" applyFont="1" applyFill="1" applyAlignment="1">
      <alignment horizontal="center" vertical="center" wrapText="1"/>
    </xf>
    <xf numFmtId="0" fontId="97" fillId="28" borderId="0" xfId="0" applyFont="1" applyFill="1" applyAlignment="1">
      <alignment horizontal="center" vertical="center" wrapText="1"/>
    </xf>
    <xf numFmtId="0" fontId="96" fillId="21" borderId="0" xfId="0" applyFont="1" applyFill="1" applyAlignment="1">
      <alignment horizontal="center" vertical="center" wrapText="1"/>
    </xf>
    <xf numFmtId="0" fontId="96" fillId="26" borderId="0" xfId="0" applyFont="1" applyFill="1" applyAlignment="1">
      <alignment horizontal="center" vertical="center" wrapText="1"/>
    </xf>
    <xf numFmtId="0" fontId="97" fillId="4" borderId="0" xfId="0" applyFont="1" applyFill="1" applyAlignment="1">
      <alignment horizontal="center" vertical="center" wrapText="1"/>
    </xf>
    <xf numFmtId="0" fontId="97" fillId="29" borderId="0" xfId="0" applyFont="1" applyFill="1" applyAlignment="1">
      <alignment horizontal="center" vertical="center" wrapText="1"/>
    </xf>
    <xf numFmtId="0" fontId="98" fillId="30" borderId="0" xfId="0" applyFont="1" applyFill="1" applyAlignment="1">
      <alignment horizontal="center" vertical="center" wrapText="1"/>
    </xf>
    <xf numFmtId="0" fontId="106" fillId="0" borderId="2" xfId="0" applyFont="1" applyBorder="1"/>
    <xf numFmtId="0" fontId="106" fillId="0" borderId="3" xfId="0" applyFont="1" applyBorder="1"/>
    <xf numFmtId="0" fontId="118" fillId="0" borderId="0" xfId="0" applyFont="1" applyAlignment="1">
      <alignment vertical="top"/>
    </xf>
    <xf numFmtId="0" fontId="2" fillId="0" borderId="0" xfId="0" applyFont="1"/>
    <xf numFmtId="0" fontId="2" fillId="0" borderId="0" xfId="0" applyFont="1" applyAlignment="1">
      <alignment vertical="top" wrapText="1"/>
    </xf>
    <xf numFmtId="0" fontId="2" fillId="0" borderId="0" xfId="0" applyFont="1" applyAlignment="1">
      <alignment horizontal="left" vertical="center" wrapText="1"/>
    </xf>
    <xf numFmtId="0" fontId="106" fillId="0" borderId="12" xfId="0" applyFont="1" applyBorder="1"/>
    <xf numFmtId="0" fontId="3" fillId="0" borderId="1" xfId="0" applyFont="1" applyBorder="1" applyAlignment="1">
      <alignment horizontal="center" vertical="center" wrapText="1"/>
    </xf>
    <xf numFmtId="0" fontId="106" fillId="0" borderId="14" xfId="0" applyFont="1" applyBorder="1"/>
    <xf numFmtId="0" fontId="106" fillId="0" borderId="16" xfId="0" applyFont="1" applyBorder="1"/>
    <xf numFmtId="0" fontId="106" fillId="0" borderId="17" xfId="0" applyFont="1" applyBorder="1"/>
    <xf numFmtId="0" fontId="106" fillId="0" borderId="19" xfId="0" applyFont="1" applyBorder="1"/>
    <xf numFmtId="0" fontId="106" fillId="0" borderId="18" xfId="0" applyFont="1" applyBorder="1"/>
    <xf numFmtId="0" fontId="13"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95250</xdr:colOff>
      <xdr:row>1</xdr:row>
      <xdr:rowOff>171450</xdr:rowOff>
    </xdr:from>
    <xdr:ext cx="1352550" cy="298450"/>
    <xdr:pic>
      <xdr:nvPicPr>
        <xdr:cNvPr id="2" name="image2.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946150" y="374650"/>
          <a:ext cx="1352550" cy="298450"/>
        </a:xfrm>
        <a:prstGeom prst="rect">
          <a:avLst/>
        </a:prstGeom>
        <a:noFill/>
      </xdr:spPr>
    </xdr:pic>
    <xdr:clientData fLocksWithSheet="0"/>
  </xdr:oneCellAnchor>
  <xdr:oneCellAnchor>
    <xdr:from>
      <xdr:col>1</xdr:col>
      <xdr:colOff>254000</xdr:colOff>
      <xdr:row>10</xdr:row>
      <xdr:rowOff>2397125</xdr:rowOff>
    </xdr:from>
    <xdr:ext cx="10687050" cy="2647950"/>
    <xdr:pic>
      <xdr:nvPicPr>
        <xdr:cNvPr id="3" name="image1.png" title="Image">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xfrm>
          <a:off x="1104900" y="10194925"/>
          <a:ext cx="10687050" cy="2647950"/>
        </a:xfrm>
        <a:prstGeom prst="rect">
          <a:avLst/>
        </a:prstGeom>
        <a:noFill/>
      </xdr:spPr>
    </xdr:pic>
    <xdr:clientData fLocksWithSheet="0"/>
  </xdr:oneCellAnchor>
  <xdr:oneCellAnchor>
    <xdr:from>
      <xdr:col>1</xdr:col>
      <xdr:colOff>787400</xdr:colOff>
      <xdr:row>8</xdr:row>
      <xdr:rowOff>1295400</xdr:rowOff>
    </xdr:from>
    <xdr:ext cx="8788400" cy="3949073"/>
    <xdr:pic>
      <xdr:nvPicPr>
        <xdr:cNvPr id="4" name="image3.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xfrm>
          <a:off x="1638300" y="4419600"/>
          <a:ext cx="8788400" cy="3949073"/>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17" Type="http://schemas.openxmlformats.org/officeDocument/2006/relationships/hyperlink" Target="https://www.linkedin.com/learning/meditation-und-achtsamkeit-fur-neues-arbeiten?trk=ondemandfile" TargetMode="External"/><Relationship Id="rId21" Type="http://schemas.openxmlformats.org/officeDocument/2006/relationships/hyperlink" Target="https://www.linkedin.com/learning/paths/como-melhorar-a-gestao-de-tempo-e-aumentar-a-produtividade?trk=ondemandfile" TargetMode="External"/><Relationship Id="rId63" Type="http://schemas.openxmlformats.org/officeDocument/2006/relationships/hyperlink" Target="https://www.linkedin.com/learning/paths/mejora-tu-capacidad-para-comunicar-con-las-personas?trk=ondemandfile" TargetMode="External"/><Relationship Id="rId159" Type="http://schemas.openxmlformats.org/officeDocument/2006/relationships/hyperlink" Target="https://www.linkedin.com/learning/building-a-better-to-do-list?trk=ondemandfile" TargetMode="External"/><Relationship Id="rId170" Type="http://schemas.openxmlformats.org/officeDocument/2006/relationships/hyperlink" Target="https://www.linkedin.com/learning/curiosidad-aplicada?trk=ondemandfile" TargetMode="External"/><Relationship Id="rId226" Type="http://schemas.openxmlformats.org/officeDocument/2006/relationships/hyperlink" Target="https://www.linkedin.com/learning/focus-on-what-matters-and-minimize-distraction?trk=ondemandfile" TargetMode="External"/><Relationship Id="rId107" Type="http://schemas.openxmlformats.org/officeDocument/2006/relationships/hyperlink" Target="https://www.linkedin.com/learning/monday-productivity-pointers?trk=ondemandfile" TargetMode="External"/><Relationship Id="rId268" Type="http://schemas.openxmlformats.org/officeDocument/2006/relationships/hyperlink" Target="https://www.linkedin.com/learning/using-microsoft-teams-and-outlook-together-maximizing-productivity?trk=ondemandfile" TargetMode="External"/><Relationship Id="rId11" Type="http://schemas.openxmlformats.org/officeDocument/2006/relationships/hyperlink" Target="https://www.linkedin.com/learning/managing-for-results-2?trk=ondemandfile" TargetMode="External"/><Relationship Id="rId32" Type="http://schemas.openxmlformats.org/officeDocument/2006/relationships/hyperlink" Target="https://www.linkedin.com/learning/paths/trabalho-remoto-colaboracao-foco-e-produtividade?trk=ondemandfile" TargetMode="External"/><Relationship Id="rId53" Type="http://schemas.openxmlformats.org/officeDocument/2006/relationships/hyperlink" Target="https://www.linkedin.com/learning/9b4bd443-b907-3050-9476-0ec0b08dfda8?trk=ondemandfile" TargetMode="External"/><Relationship Id="rId74" Type="http://schemas.openxmlformats.org/officeDocument/2006/relationships/hyperlink" Target="https://www.linkedin.com/learning/paths/amplia-tus-competencias-de-trabajo-en-equipo-colaborativo-y-digital?trk=ondemandfile" TargetMode="External"/><Relationship Id="rId128" Type="http://schemas.openxmlformats.org/officeDocument/2006/relationships/hyperlink" Target="https://www.linkedin.com/learning/como-liberar-tu-potencial?trk=ondemandfile" TargetMode="External"/><Relationship Id="rId149" Type="http://schemas.openxmlformats.org/officeDocument/2006/relationships/hyperlink" Target="https://www.linkedin.com/learning/como-reinventarse-y-capacitarse-en-tiempos-de-crisis?trk=ondemandfile" TargetMode="External"/><Relationship Id="rId5" Type="http://schemas.openxmlformats.org/officeDocument/2006/relationships/hyperlink" Target="https://www.linkedin.com/learning/paths/crea-una-atmosfera-de-trabajo-productiva?trk=ondemandfile" TargetMode="External"/><Relationship Id="rId95" Type="http://schemas.openxmlformats.org/officeDocument/2006/relationships/hyperlink" Target="https://www.linkedin.com/learning/como-desarrollar-el-autoconocimiento?trk=ondemandfile" TargetMode="External"/><Relationship Id="rId160" Type="http://schemas.openxmlformats.org/officeDocument/2006/relationships/hyperlink" Target="https://www.linkedin.com/learning/les-habitudes-menant-a-la-reussite?trk=contentmappingfile" TargetMode="External"/><Relationship Id="rId181" Type="http://schemas.openxmlformats.org/officeDocument/2006/relationships/hyperlink" Target="https://www.linkedin.com/learning/00-fragenfuehren?trk=ondemandfile" TargetMode="External"/><Relationship Id="rId216" Type="http://schemas.openxmlformats.org/officeDocument/2006/relationships/hyperlink" Target="https://www.linkedin.com/learning/overcoming-perfectionism?trk=ondemandfile" TargetMode="External"/><Relationship Id="rId237" Type="http://schemas.openxmlformats.org/officeDocument/2006/relationships/hyperlink" Target="https://www.linkedin.com/learning/enhancing-resilience?trk=ondemandfile" TargetMode="External"/><Relationship Id="rId258" Type="http://schemas.openxmlformats.org/officeDocument/2006/relationships/hyperlink" Target="https://www.linkedin.com/learning/mastering-self-leadership?trk=ondemandfile" TargetMode="External"/><Relationship Id="rId22" Type="http://schemas.openxmlformats.org/officeDocument/2006/relationships/hyperlink" Target="https://www.linkedin.com/learning/creating-a-high-performance-culture-4?trk=ondemandfile" TargetMode="External"/><Relationship Id="rId43" Type="http://schemas.openxmlformats.org/officeDocument/2006/relationships/hyperlink" Target="https://www.linkedin.com/learning/managing-stress-2?trk=ondemandfile" TargetMode="External"/><Relationship Id="rId64" Type="http://schemas.openxmlformats.org/officeDocument/2006/relationships/hyperlink" Target="https://www.linkedin.com/learning/besprechungen-moderieren?trk=ondemandfile" TargetMode="External"/><Relationship Id="rId118" Type="http://schemas.openxmlformats.org/officeDocument/2006/relationships/hyperlink" Target="https://www.linkedin.com/learning/coaching-for-results-4?trk=ondemandfile" TargetMode="External"/><Relationship Id="rId139" Type="http://schemas.openxmlformats.org/officeDocument/2006/relationships/hyperlink" Target="https://www.linkedin.com/learning/success-habits-2?trk=ondemandfile" TargetMode="External"/><Relationship Id="rId85" Type="http://schemas.openxmlformats.org/officeDocument/2006/relationships/hyperlink" Target="https://www.linkedin.com/learning/building-accountability-into-your-culture-3?trk=ondemandfile" TargetMode="External"/><Relationship Id="rId150" Type="http://schemas.openxmlformats.org/officeDocument/2006/relationships/hyperlink" Target="https://www.linkedin.com/learning/resilienz-in-krisenzeiten?trk=ondemandfile" TargetMode="External"/><Relationship Id="rId171" Type="http://schemas.openxmlformats.org/officeDocument/2006/relationships/hyperlink" Target="https://www.linkedin.com/learning/tipps-fur-kreatives-zeitmanagement?trk=contentmappingfile" TargetMode="External"/><Relationship Id="rId192" Type="http://schemas.openxmlformats.org/officeDocument/2006/relationships/hyperlink" Target="https://www.linkedin.com/learning/00-fred-kofman-on-accountability?trk=ondemandfile" TargetMode="External"/><Relationship Id="rId206" Type="http://schemas.openxmlformats.org/officeDocument/2006/relationships/hyperlink" Target="https://www.linkedin.com/learning/the-five-conversations-that-deliver-accountability-and-performance?trk=ondemandfile" TargetMode="External"/><Relationship Id="rId227" Type="http://schemas.openxmlformats.org/officeDocument/2006/relationships/hyperlink" Target="https://www.linkedin.com/learning/outlook-gestion-del-tiempo-con-calendario-y-tareas-office-365-microsoft-365?trk=ondemandfile" TargetMode="External"/><Relationship Id="rId248" Type="http://schemas.openxmlformats.org/officeDocument/2006/relationships/hyperlink" Target="https://www.linkedin.com/learning/happy-accidents-the-transformative-power-of-yes-and-at-work-and-in-life-getabstract-summary?trk=ondemandfile" TargetMode="External"/><Relationship Id="rId12" Type="http://schemas.openxmlformats.org/officeDocument/2006/relationships/hyperlink" Target="https://www.linkedin.com/learning/paths/07304244-eccf-3d14-923a-8ca64b7fb518?trk=ondemandfile" TargetMode="External"/><Relationship Id="rId33" Type="http://schemas.openxmlformats.org/officeDocument/2006/relationships/hyperlink" Target="https://www.linkedin.com/learning/holding-yourself-accountable-2?trk=ondemandfile" TargetMode="External"/><Relationship Id="rId108" Type="http://schemas.openxmlformats.org/officeDocument/2006/relationships/hyperlink" Target="https://www.linkedin.com/learning/como-establecer-y-cumplir-tus-objetivos-profesionales?trk=ondemandfile" TargetMode="External"/><Relationship Id="rId129" Type="http://schemas.openxmlformats.org/officeDocument/2006/relationships/hyperlink" Target="https://www.linkedin.com/learning/nachhaltigkeit-im-unternehmen?trk=ondemandfile" TargetMode="External"/><Relationship Id="rId54" Type="http://schemas.openxmlformats.org/officeDocument/2006/relationships/hyperlink" Target="https://www.linkedin.com/learning/learning-agility?trk=ondemandfile" TargetMode="External"/><Relationship Id="rId75" Type="http://schemas.openxmlformats.org/officeDocument/2006/relationships/hyperlink" Target="https://www.linkedin.com/learning/die-7-wege-zur-effektivitat-blinkist-kernaussagen?trk=ondemandfile" TargetMode="External"/><Relationship Id="rId96" Type="http://schemas.openxmlformats.org/officeDocument/2006/relationships/hyperlink" Target="https://www.linkedin.com/learning/00-ergebnis-manag?trk=ondemandfile" TargetMode="External"/><Relationship Id="rId140" Type="http://schemas.openxmlformats.org/officeDocument/2006/relationships/hyperlink" Target="https://www.linkedin.com/learning/productivity-tips-finding-your-rhythm?trk=ondemandfile" TargetMode="External"/><Relationship Id="rId161" Type="http://schemas.openxmlformats.org/officeDocument/2006/relationships/hyperlink" Target="https://www.linkedin.com/learning/c-mo-tomar-decisiones?trk=ondemandfile" TargetMode="External"/><Relationship Id="rId182" Type="http://schemas.openxmlformats.org/officeDocument/2006/relationships/hyperlink" Target="https://www.linkedin.com/learning/productivity-prioritizing-at-work?trk=ondemandfile" TargetMode="External"/><Relationship Id="rId217" Type="http://schemas.openxmlformats.org/officeDocument/2006/relationships/hyperlink" Target="https://www.linkedin.com/learning/getting-things-done-organ-zate-con-eficacia?trk=ondemandfile" TargetMode="External"/><Relationship Id="rId6" Type="http://schemas.openxmlformats.org/officeDocument/2006/relationships/hyperlink" Target="https://www.linkedin.com/learning/achtsamkeit?trk=ondemandfile" TargetMode="External"/><Relationship Id="rId238" Type="http://schemas.openxmlformats.org/officeDocument/2006/relationships/hyperlink" Target="https://www.linkedin.com/learning/fred-kofman-on-accountability?trk=ondemandfile" TargetMode="External"/><Relationship Id="rId259" Type="http://schemas.openxmlformats.org/officeDocument/2006/relationships/hyperlink" Target="https://www.linkedin.com/learning/managing-up-as-an-employee?trk=ondemandfile" TargetMode="External"/><Relationship Id="rId23" Type="http://schemas.openxmlformats.org/officeDocument/2006/relationships/hyperlink" Target="https://www.linkedin.com/learning/paths/5e7d3101-368f-3335-9206-178f9e406630?trk=ondemandfile" TargetMode="External"/><Relationship Id="rId119" Type="http://schemas.openxmlformats.org/officeDocument/2006/relationships/hyperlink" Target="https://www.linkedin.com/learning/tony-schwartz-on-energy-management?trk=ondemandfile" TargetMode="External"/><Relationship Id="rId44" Type="http://schemas.openxmlformats.org/officeDocument/2006/relationships/hyperlink" Target="https://www.linkedin.com/learning/paths/a0eb3d8c-a473-3d5e-b3a6-750ac02b3b49?trk=ondemandfile" TargetMode="External"/><Relationship Id="rId65" Type="http://schemas.openxmlformats.org/officeDocument/2006/relationships/hyperlink" Target="https://www.linkedin.com/learning/paths/trabalho-remoto-colaboracao-foco-e-produtividade?trk=ondemandfile" TargetMode="External"/><Relationship Id="rId86" Type="http://schemas.openxmlformats.org/officeDocument/2006/relationships/hyperlink" Target="https://www.linkedin.com/learning/holding-your-team-accountable?trk=ondemandfile" TargetMode="External"/><Relationship Id="rId130" Type="http://schemas.openxmlformats.org/officeDocument/2006/relationships/hyperlink" Target="https://www.linkedin.com/learning/setting-team-and-employee-goals-3?trk=ondemandfile" TargetMode="External"/><Relationship Id="rId151" Type="http://schemas.openxmlformats.org/officeDocument/2006/relationships/hyperlink" Target="https://www.linkedin.com/learning/productivity-tips-setting-up-your-workplace?trk=ondemandfile" TargetMode="External"/><Relationship Id="rId172" Type="http://schemas.openxmlformats.org/officeDocument/2006/relationships/hyperlink" Target="https://www.linkedin.com/learning/making-big-goals-achievable?trk=ondemandfile" TargetMode="External"/><Relationship Id="rId193" Type="http://schemas.openxmlformats.org/officeDocument/2006/relationships/hyperlink" Target="https://www.linkedin.com/learning/wie-ich-die-dinge-geregelt-kriege-blinkist-kernaussagen?trk=ondemandfile" TargetMode="External"/><Relationship Id="rId207" Type="http://schemas.openxmlformats.org/officeDocument/2006/relationships/hyperlink" Target="https://www.linkedin.com/learning/fundamentos-de-la-productividad?trk=ondemandfile" TargetMode="External"/><Relationship Id="rId228" Type="http://schemas.openxmlformats.org/officeDocument/2006/relationships/hyperlink" Target="https://www.linkedin.com/learning/learn-to-control-your-attention?trk=ondemandfile" TargetMode="External"/><Relationship Id="rId249" Type="http://schemas.openxmlformats.org/officeDocument/2006/relationships/hyperlink" Target="https://www.linkedin.com/learning/what-to-do-when-there-s-too-much-to-do-getabstract-summary?trk=ondemandfile" TargetMode="External"/><Relationship Id="rId13" Type="http://schemas.openxmlformats.org/officeDocument/2006/relationships/hyperlink" Target="https://www.linkedin.com/learning/organization-design?trk=ondemandfile" TargetMode="External"/><Relationship Id="rId109" Type="http://schemas.openxmlformats.org/officeDocument/2006/relationships/hyperlink" Target="https://www.linkedin.com/learning/ihre-fuhrungsphilosophie-entwickeln?trk=ondemandfile" TargetMode="External"/><Relationship Id="rId260" Type="http://schemas.openxmlformats.org/officeDocument/2006/relationships/hyperlink" Target="https://www.linkedin.com/learning/habits-for-success?trk=ondemandfile" TargetMode="External"/><Relationship Id="rId34" Type="http://schemas.openxmlformats.org/officeDocument/2006/relationships/hyperlink" Target="https://www.linkedin.com/learning/paths/6844219d-129d-3432-be7a-4c32e6eaf336?trk=ondemandfile" TargetMode="External"/><Relationship Id="rId55" Type="http://schemas.openxmlformats.org/officeDocument/2006/relationships/hyperlink" Target="https://www.linkedin.com/learning/c-mo-aumentar-la-resiliencia?trk=ondemandfile" TargetMode="External"/><Relationship Id="rId76" Type="http://schemas.openxmlformats.org/officeDocument/2006/relationships/hyperlink" Target="https://www.linkedin.com/learning/learning-to-be-assertive-3?trk=ondemandfile" TargetMode="External"/><Relationship Id="rId97" Type="http://schemas.openxmlformats.org/officeDocument/2006/relationships/hyperlink" Target="https://www.linkedin.com/learning/improving-your-focus-3?trk=ondemandfile" TargetMode="External"/><Relationship Id="rId120" Type="http://schemas.openxmlformats.org/officeDocument/2006/relationships/hyperlink" Target="https://www.linkedin.com/learning/como-hacer-coaching-a-tu-personal-para-obtener-resultados?trk=contentmappingfile" TargetMode="External"/><Relationship Id="rId141" Type="http://schemas.openxmlformats.org/officeDocument/2006/relationships/hyperlink" Target="https://www.linkedin.com/learning/como-medir-el-rendimiento-de-tu-equipo?trk=contentmappingfile" TargetMode="External"/><Relationship Id="rId7" Type="http://schemas.openxmlformats.org/officeDocument/2006/relationships/hyperlink" Target="https://www.linkedin.com/learning/paths/die-selbstorganisation-verbessern?trk=ondemandfile" TargetMode="External"/><Relationship Id="rId162" Type="http://schemas.openxmlformats.org/officeDocument/2006/relationships/hyperlink" Target="https://www.linkedin.com/learning/selbstmotivation?trk=ondemandfile" TargetMode="External"/><Relationship Id="rId183" Type="http://schemas.openxmlformats.org/officeDocument/2006/relationships/hyperlink" Target="https://www.linkedin.com/learning/designops-habilidades-personales-esencial?trk=ondemandfile" TargetMode="External"/><Relationship Id="rId218" Type="http://schemas.openxmlformats.org/officeDocument/2006/relationships/hyperlink" Target="https://www.linkedin.com/learning/how-to-get-things-done-ahead-of-deadlines?trk=ondemandfile" TargetMode="External"/><Relationship Id="rId239" Type="http://schemas.openxmlformats.org/officeDocument/2006/relationships/hyperlink" Target="https://www.linkedin.com/learning/fred-kofman-on-making-commitments?trk=ondemandfile" TargetMode="External"/><Relationship Id="rId250" Type="http://schemas.openxmlformats.org/officeDocument/2006/relationships/hyperlink" Target="https://www.linkedin.com/learning/improving-the-value-of-your-time?trk=ondemandfile" TargetMode="External"/><Relationship Id="rId24" Type="http://schemas.openxmlformats.org/officeDocument/2006/relationships/hyperlink" Target="https://www.linkedin.com/learning/prioritizing-effectively-as-a-leader?trk=ondemandfile" TargetMode="External"/><Relationship Id="rId45" Type="http://schemas.openxmlformats.org/officeDocument/2006/relationships/hyperlink" Target="https://www.linkedin.com/learning/goal-setting-objectives-and-key-results-okrs?trk=ondemandfile" TargetMode="External"/><Relationship Id="rId66" Type="http://schemas.openxmlformats.org/officeDocument/2006/relationships/hyperlink" Target="https://www.linkedin.com/learning/developing-your-emotional-intelligence-2?trk=ondemandfile" TargetMode="External"/><Relationship Id="rId87" Type="http://schemas.openxmlformats.org/officeDocument/2006/relationships/hyperlink" Target="https://www.linkedin.com/learning/00-learning-to-say-no?trk=ondemandfile" TargetMode="External"/><Relationship Id="rId110" Type="http://schemas.openxmlformats.org/officeDocument/2006/relationships/hyperlink" Target="https://www.linkedin.com/learning/leading-effectively-3?trk=ondemandfile" TargetMode="External"/><Relationship Id="rId131" Type="http://schemas.openxmlformats.org/officeDocument/2006/relationships/hyperlink" Target="https://www.linkedin.com/learning/time-management-tips-teamwork?trk=ondemandfile" TargetMode="External"/><Relationship Id="rId152" Type="http://schemas.openxmlformats.org/officeDocument/2006/relationships/hyperlink" Target="https://www.linkedin.com/learning/l-analyse-marketing-etablir-et-mesurer-des-indicateurs-cles-de-performance-kpi?trk=contentmappingfile" TargetMode="External"/><Relationship Id="rId173" Type="http://schemas.openxmlformats.org/officeDocument/2006/relationships/hyperlink" Target="https://www.linkedin.com/learning/del-victimismo-a-la-acci-n-asume-el-control?trk=ondemandfile" TargetMode="External"/><Relationship Id="rId194" Type="http://schemas.openxmlformats.org/officeDocument/2006/relationships/hyperlink" Target="https://www.linkedin.com/learning/how-to-effectively-deliver-criticism?trk=ondemandfile" TargetMode="External"/><Relationship Id="rId208" Type="http://schemas.openxmlformats.org/officeDocument/2006/relationships/hyperlink" Target="https://www.linkedin.com/learning/time-management-for-busy-people?trk=ondemandfile" TargetMode="External"/><Relationship Id="rId229" Type="http://schemas.openxmlformats.org/officeDocument/2006/relationships/hyperlink" Target="https://www.linkedin.com/learning/prepara-tu-curriculum-vitae-2?trk=ondemandfile" TargetMode="External"/><Relationship Id="rId240" Type="http://schemas.openxmlformats.org/officeDocument/2006/relationships/hyperlink" Target="https://www.linkedin.com/learning/getting-things-done?trk=ondemandfile" TargetMode="External"/><Relationship Id="rId261" Type="http://schemas.openxmlformats.org/officeDocument/2006/relationships/hyperlink" Target="https://www.linkedin.com/learning/habits-to-win-every-day?trk=ondemandfile" TargetMode="External"/><Relationship Id="rId14" Type="http://schemas.openxmlformats.org/officeDocument/2006/relationships/hyperlink" Target="https://www.linkedin.com/learning/paths/become-a-high-performer-2?trk=ondemandfile" TargetMode="External"/><Relationship Id="rId35" Type="http://schemas.openxmlformats.org/officeDocument/2006/relationships/hyperlink" Target="https://www.linkedin.com/learning/communicating-to-drive-people-to-take-action?trk=ondemandfile" TargetMode="External"/><Relationship Id="rId56" Type="http://schemas.openxmlformats.org/officeDocument/2006/relationships/hyperlink" Target="https://www.linkedin.com/learning/paths/fomenta-la-colaboracion-en-tu-equipo?trk=ondemandfile" TargetMode="External"/><Relationship Id="rId77" Type="http://schemas.openxmlformats.org/officeDocument/2006/relationships/hyperlink" Target="https://www.linkedin.com/learning/time-management-for-managers?trk=ondemandfile" TargetMode="External"/><Relationship Id="rId100" Type="http://schemas.openxmlformats.org/officeDocument/2006/relationships/hyperlink" Target="https://www.linkedin.com/learning/fokus-blinkist-kernaussagen?trk=ondemandfile" TargetMode="External"/><Relationship Id="rId8" Type="http://schemas.openxmlformats.org/officeDocument/2006/relationships/hyperlink" Target="https://www.linkedin.com/learning/setting-team-and-employee-goals-14797875?trk=contentmappingfile" TargetMode="External"/><Relationship Id="rId98" Type="http://schemas.openxmlformats.org/officeDocument/2006/relationships/hyperlink" Target="https://www.linkedin.com/learning/gaining-skills-with-linkedin-learning-2?trk=ondemandfile" TargetMode="External"/><Relationship Id="rId121" Type="http://schemas.openxmlformats.org/officeDocument/2006/relationships/hyperlink" Target="https://www.linkedin.com/learning/mit-depressionen-am-arbeitsplatz-umgehen?trk=ondemandfile" TargetMode="External"/><Relationship Id="rId142" Type="http://schemas.openxmlformats.org/officeDocument/2006/relationships/hyperlink" Target="https://www.linkedin.com/learning/10-minuten-tipps-mehr-produktivit-t-im-b-ro?trk=ondemandfile" TargetMode="External"/><Relationship Id="rId163" Type="http://schemas.openxmlformats.org/officeDocument/2006/relationships/hyperlink" Target="https://www.linkedin.com/learning/15-secrets-successful-people-know-about-time-management-getabstract-summary?trk=ondemandfile" TargetMode="External"/><Relationship Id="rId184" Type="http://schemas.openxmlformats.org/officeDocument/2006/relationships/hyperlink" Target="https://www.linkedin.com/learning/videokonferenzen-moderieren?trk=ondemandfile" TargetMode="External"/><Relationship Id="rId219" Type="http://schemas.openxmlformats.org/officeDocument/2006/relationships/hyperlink" Target="https://www.linkedin.com/learning/habilidades-de-trabajo-fundamentales?trk=ondemandfile" TargetMode="External"/><Relationship Id="rId230" Type="http://schemas.openxmlformats.org/officeDocument/2006/relationships/hyperlink" Target="https://www.linkedin.com/learning/mixtape-learning-highlights-on-personal-effectiveness?trk=ondemandfile" TargetMode="External"/><Relationship Id="rId251" Type="http://schemas.openxmlformats.org/officeDocument/2006/relationships/hyperlink" Target="https://www.linkedin.com/learning/balancing-work-and-life-as-a-work-from-home-parent?trk=ondemandfile" TargetMode="External"/><Relationship Id="rId25" Type="http://schemas.openxmlformats.org/officeDocument/2006/relationships/hyperlink" Target="https://www.linkedin.com/learning/paths/become-a-successful-remote-worker?trk=ondemandfile" TargetMode="External"/><Relationship Id="rId46" Type="http://schemas.openxmlformats.org/officeDocument/2006/relationships/hyperlink" Target="https://www.linkedin.com/learning/paths/remote-working-setting-yourself-and-your-teams-up-for-success?trk=ondemandfile" TargetMode="External"/><Relationship Id="rId67" Type="http://schemas.openxmlformats.org/officeDocument/2006/relationships/hyperlink" Target="https://www.linkedin.com/learning/building-resilience-as-a-leader?trk=ondemandfile" TargetMode="External"/><Relationship Id="rId88" Type="http://schemas.openxmlformats.org/officeDocument/2006/relationships/hyperlink" Target="https://www.linkedin.com/learning/eine-nachhaltige-work-life-balance-etablieren?trk=ondemandfile" TargetMode="External"/><Relationship Id="rId111" Type="http://schemas.openxmlformats.org/officeDocument/2006/relationships/hyperlink" Target="https://www.linkedin.com/learning/performing-under-pressure?trk=ondemandfile" TargetMode="External"/><Relationship Id="rId132" Type="http://schemas.openxmlformats.org/officeDocument/2006/relationships/hyperlink" Target="https://www.linkedin.com/learning/etablir-des-objectifs-pour-son-equipe-et-ses-employes-employees?trk=contentmappingfile" TargetMode="External"/><Relationship Id="rId153" Type="http://schemas.openxmlformats.org/officeDocument/2006/relationships/hyperlink" Target="https://www.linkedin.com/learning/como-ser-parte-de-un-ambiente-de-trabajo-positivo?trk=ondemandfile" TargetMode="External"/><Relationship Id="rId174" Type="http://schemas.openxmlformats.org/officeDocument/2006/relationships/hyperlink" Target="https://www.linkedin.com/learning/00-projprobl?trk=ondemandfile" TargetMode="External"/><Relationship Id="rId195" Type="http://schemas.openxmlformats.org/officeDocument/2006/relationships/hyperlink" Target="https://www.linkedin.com/learning/fundamentos-de-la-excelencia-operativa?trk=ondemandfile" TargetMode="External"/><Relationship Id="rId209" Type="http://schemas.openxmlformats.org/officeDocument/2006/relationships/hyperlink" Target="https://www.linkedin.com/learning/gestion-de-equipos-mediante-okr-s-o-misiones-objetivos-y-resultados-clave?trk=contentmappingfile" TargetMode="External"/><Relationship Id="rId220" Type="http://schemas.openxmlformats.org/officeDocument/2006/relationships/hyperlink" Target="https://www.linkedin.com/learning/the-surprising-upside-of-procrastination?trk=ondemandfile" TargetMode="External"/><Relationship Id="rId241" Type="http://schemas.openxmlformats.org/officeDocument/2006/relationships/hyperlink" Target="https://www.linkedin.com/learning/improving-your-focus?trk=ondemandfile" TargetMode="External"/><Relationship Id="rId15" Type="http://schemas.openxmlformats.org/officeDocument/2006/relationships/hyperlink" Target="https://www.linkedin.com/learning/agile-en-accion-impulsar-reuniones-agiles-y-productivas?trk=ondemandfile" TargetMode="External"/><Relationship Id="rId36" Type="http://schemas.openxmlformats.org/officeDocument/2006/relationships/hyperlink" Target="https://www.linkedin.com/learning/paths/improve-your-organizational-skills?trk=ondemandfile" TargetMode="External"/><Relationship Id="rId57" Type="http://schemas.openxmlformats.org/officeDocument/2006/relationships/hyperlink" Target="https://www.linkedin.com/learning/berufliche-ziele-setzen-und-erreichen?trk=ondemandfile" TargetMode="External"/><Relationship Id="rId262" Type="http://schemas.openxmlformats.org/officeDocument/2006/relationships/hyperlink" Target="https://www.linkedin.com/learning/flexible-working-blinkist-summary?trk=ondemandfile" TargetMode="External"/><Relationship Id="rId78" Type="http://schemas.openxmlformats.org/officeDocument/2006/relationships/hyperlink" Target="https://www.linkedin.com/learning/00-building-accountability-into-your-culture?trk=ondemandfile" TargetMode="External"/><Relationship Id="rId99" Type="http://schemas.openxmlformats.org/officeDocument/2006/relationships/hyperlink" Target="https://www.linkedin.com/learning/como-desarrollar-tu-carrera-y-crear-un-plan-de-aprendizaje-70-20-10?trk=ondemandfile" TargetMode="External"/><Relationship Id="rId101" Type="http://schemas.openxmlformats.org/officeDocument/2006/relationships/hyperlink" Target="https://www.linkedin.com/learning/improving-your-judgment-2?trk=ondemandfile" TargetMode="External"/><Relationship Id="rId122" Type="http://schemas.openxmlformats.org/officeDocument/2006/relationships/hyperlink" Target="https://www.linkedin.com/learning/leading-yourself-4?trk=ondemandfile" TargetMode="External"/><Relationship Id="rId143" Type="http://schemas.openxmlformats.org/officeDocument/2006/relationships/hyperlink" Target="https://www.linkedin.com/learning/project-management-solving-common-project-problems-3?trk=ondemandfile" TargetMode="External"/><Relationship Id="rId164" Type="http://schemas.openxmlformats.org/officeDocument/2006/relationships/hyperlink" Target="https://www.linkedin.com/learning/como-trabajar-con-gente-dificil?trk=ondemandfile" TargetMode="External"/><Relationship Id="rId185" Type="http://schemas.openxmlformats.org/officeDocument/2006/relationships/hyperlink" Target="https://www.linkedin.com/learning/managing-your-energy?trk=ondemandfile" TargetMode="External"/><Relationship Id="rId9" Type="http://schemas.openxmlformats.org/officeDocument/2006/relationships/hyperlink" Target="https://www.linkedin.com/learning/paths/31070ed0-b901-3bf1-af9c-de2667146e4d?trk=ondemandfile" TargetMode="External"/><Relationship Id="rId210" Type="http://schemas.openxmlformats.org/officeDocument/2006/relationships/hyperlink" Target="https://www.linkedin.com/learning/how-to-organize-your-time-and-your-life?trk=ondemandfile" TargetMode="External"/><Relationship Id="rId26" Type="http://schemas.openxmlformats.org/officeDocument/2006/relationships/hyperlink" Target="https://www.linkedin.com/learning/agile-en-accion-mejorar-con-retrospectivas-agiles?trk=contentmappingfile" TargetMode="External"/><Relationship Id="rId231" Type="http://schemas.openxmlformats.org/officeDocument/2006/relationships/hyperlink" Target="https://www.linkedin.com/learning/reuniones-eficaces?trk=ondemandfile" TargetMode="External"/><Relationship Id="rId252" Type="http://schemas.openxmlformats.org/officeDocument/2006/relationships/hyperlink" Target="https://www.linkedin.com/learning/business-ethics-2?trk=ondemandfile" TargetMode="External"/><Relationship Id="rId47" Type="http://schemas.openxmlformats.org/officeDocument/2006/relationships/hyperlink" Target="https://www.linkedin.com/learning/busqueda-de-empleo-con-redes-sociales?trk=ondemandfile" TargetMode="External"/><Relationship Id="rId68" Type="http://schemas.openxmlformats.org/officeDocument/2006/relationships/hyperlink" Target="https://www.linkedin.com/learning/00-building-high-performance-teams?trk=ondemandfile" TargetMode="External"/><Relationship Id="rId89" Type="http://schemas.openxmlformats.org/officeDocument/2006/relationships/hyperlink" Target="https://www.linkedin.com/learning/overcoming-procrastination-3?trk=ondemandfile" TargetMode="External"/><Relationship Id="rId112" Type="http://schemas.openxmlformats.org/officeDocument/2006/relationships/hyperlink" Target="https://www.linkedin.com/learning/como-fijar-los-objetivos-de-la-unidad-de-negocio?trk=contentmappingfile" TargetMode="External"/><Relationship Id="rId133" Type="http://schemas.openxmlformats.org/officeDocument/2006/relationships/hyperlink" Target="https://www.linkedin.com/learning/como-liderar-reuniones-individuales-productivas?trk=ondemandfile" TargetMode="External"/><Relationship Id="rId154" Type="http://schemas.openxmlformats.org/officeDocument/2006/relationships/hyperlink" Target="https://www.linkedin.com/learning/00-selbstorganisation-mit-mac?trk=ondemandfile" TargetMode="External"/><Relationship Id="rId175" Type="http://schemas.openxmlformats.org/officeDocument/2006/relationships/hyperlink" Target="https://www.linkedin.com/learning/time-management-tips-communication?trk=ondemandfile" TargetMode="External"/><Relationship Id="rId196" Type="http://schemas.openxmlformats.org/officeDocument/2006/relationships/hyperlink" Target="https://www.linkedin.com/learning/zeitmanagement-mit-outlook?trk=ondemandfile" TargetMode="External"/><Relationship Id="rId200" Type="http://schemas.openxmlformats.org/officeDocument/2006/relationships/hyperlink" Target="https://www.linkedin.com/learning/unlocking-your-potential?trk=ondemandfile" TargetMode="External"/><Relationship Id="rId16" Type="http://schemas.openxmlformats.org/officeDocument/2006/relationships/hyperlink" Target="https://www.linkedin.com/learning/paths/mejora-tus-dotes-de-liderazgo-y-gestion-de-equipos-de-trabajo?trk=ondemandfile" TargetMode="External"/><Relationship Id="rId221" Type="http://schemas.openxmlformats.org/officeDocument/2006/relationships/hyperlink" Target="https://www.linkedin.com/learning/herramientas-online-para-teletrabajo-trucos?trk=ondemandfile" TargetMode="External"/><Relationship Id="rId242" Type="http://schemas.openxmlformats.org/officeDocument/2006/relationships/hyperlink" Target="https://www.linkedin.com/learning/overcoming-procrastination-2?trk=ondemandfile" TargetMode="External"/><Relationship Id="rId263" Type="http://schemas.openxmlformats.org/officeDocument/2006/relationships/hyperlink" Target="https://www.linkedin.com/learning/hyperfocus-blinkist-summary?trk=ondemandfile" TargetMode="External"/><Relationship Id="rId37" Type="http://schemas.openxmlformats.org/officeDocument/2006/relationships/hyperlink" Target="https://www.linkedin.com/learning/aumenta-cada-mi-rcoles-tu-productividad?trk=ondemandfile" TargetMode="External"/><Relationship Id="rId58" Type="http://schemas.openxmlformats.org/officeDocument/2006/relationships/hyperlink" Target="https://www.linkedin.com/learning/improving-your-focus-2?trk=ondemandfile" TargetMode="External"/><Relationship Id="rId79" Type="http://schemas.openxmlformats.org/officeDocument/2006/relationships/hyperlink" Target="https://www.linkedin.com/learning/die-leistung-der-mitarbeiter-innen-steigern?trk=ondemandfile" TargetMode="External"/><Relationship Id="rId102" Type="http://schemas.openxmlformats.org/officeDocument/2006/relationships/hyperlink" Target="https://www.linkedin.com/learning/holding-yourself-accountable?trk=ondemandfile" TargetMode="External"/><Relationship Id="rId123" Type="http://schemas.openxmlformats.org/officeDocument/2006/relationships/hyperlink" Target="https://www.linkedin.com/learning/proven-tips-for-managing-your-time?trk=ondemandfile" TargetMode="External"/><Relationship Id="rId144" Type="http://schemas.openxmlformats.org/officeDocument/2006/relationships/hyperlink" Target="https://www.linkedin.com/learning/productivity-tips-using-technology?trk=ondemandfile" TargetMode="External"/><Relationship Id="rId90" Type="http://schemas.openxmlformats.org/officeDocument/2006/relationships/hyperlink" Target="https://www.linkedin.com/learning/be-more-productive-take-small-steps-have-big-goals?trk=ondemandfile" TargetMode="External"/><Relationship Id="rId165" Type="http://schemas.openxmlformats.org/officeDocument/2006/relationships/hyperlink" Target="https://www.linkedin.com/learning/00-bereitfuehren?trk=ondemandfile" TargetMode="External"/><Relationship Id="rId186" Type="http://schemas.openxmlformats.org/officeDocument/2006/relationships/hyperlink" Target="https://www.linkedin.com/learning/dominar-la-auto-motivacion-en-tiempos-de-crisis?trk=ondemandfile" TargetMode="External"/><Relationship Id="rId211" Type="http://schemas.openxmlformats.org/officeDocument/2006/relationships/hyperlink" Target="https://www.linkedin.com/learning/00-solving-common-project-problems?trk=ondemandfile" TargetMode="External"/><Relationship Id="rId232" Type="http://schemas.openxmlformats.org/officeDocument/2006/relationships/hyperlink" Target="https://www.linkedin.com/learning/overcome-overthinking?trk=ondemandfile" TargetMode="External"/><Relationship Id="rId253" Type="http://schemas.openxmlformats.org/officeDocument/2006/relationships/hyperlink" Target="https://www.linkedin.com/learning/working-from-home-strategies-for-success?trk=ondemandfile" TargetMode="External"/><Relationship Id="rId27" Type="http://schemas.openxmlformats.org/officeDocument/2006/relationships/hyperlink" Target="https://www.linkedin.com/learning/paths/mejora-tu-gestin-de-tiempo-y-productividad?trk=ondemandfile" TargetMode="External"/><Relationship Id="rId48" Type="http://schemas.openxmlformats.org/officeDocument/2006/relationships/hyperlink" Target="https://www.linkedin.com/learning/paths/mejora-tu-productividad-con-estas-metodologias?trk=ondemandfile" TargetMode="External"/><Relationship Id="rId69" Type="http://schemas.openxmlformats.org/officeDocument/2006/relationships/hyperlink" Target="https://www.linkedin.com/learning/paths/gestiona-el-rendimiento?trk=ondemandfile" TargetMode="External"/><Relationship Id="rId113" Type="http://schemas.openxmlformats.org/officeDocument/2006/relationships/hyperlink" Target="https://www.linkedin.com/learning/kunstliche-intelligenz-und-menschlichkeit?trk=ondemandfile" TargetMode="External"/><Relationship Id="rId134" Type="http://schemas.openxmlformats.org/officeDocument/2006/relationships/hyperlink" Target="https://www.linkedin.com/learning/ortsunabhangig-arbeiten?trk=ondemandfile" TargetMode="External"/><Relationship Id="rId80" Type="http://schemas.openxmlformats.org/officeDocument/2006/relationships/hyperlink" Target="https://www.linkedin.com/learning/defining-and-achieving-professional-goals-3?trk=ondemandfile" TargetMode="External"/><Relationship Id="rId155" Type="http://schemas.openxmlformats.org/officeDocument/2006/relationships/hyperlink" Target="https://www.linkedin.com/learning/productivity-tips-taking-control-of-email?trk=ondemandfile" TargetMode="External"/><Relationship Id="rId176" Type="http://schemas.openxmlformats.org/officeDocument/2006/relationships/hyperlink" Target="https://www.linkedin.com/learning/design-thinking-facilitacion-de-procesos-de-trabajo?trk=ondemandfile" TargetMode="External"/><Relationship Id="rId197" Type="http://schemas.openxmlformats.org/officeDocument/2006/relationships/hyperlink" Target="https://www.linkedin.com/learning/dealing-with-disappointment-in-your-role?trk=ondemandfile" TargetMode="External"/><Relationship Id="rId201" Type="http://schemas.openxmlformats.org/officeDocument/2006/relationships/hyperlink" Target="https://www.linkedin.com/learning/00-process-improvement-fundamentals?trk=ondemandfile" TargetMode="External"/><Relationship Id="rId222" Type="http://schemas.openxmlformats.org/officeDocument/2006/relationships/hyperlink" Target="https://www.linkedin.com/learning/secrets-of-effective-prioritization?trk=ondemandfile" TargetMode="External"/><Relationship Id="rId243" Type="http://schemas.openxmlformats.org/officeDocument/2006/relationships/hyperlink" Target="https://www.linkedin.com/learning/sheryl-sandberg-and-adam-grant-on-option-b?trk=ondemandfile" TargetMode="External"/><Relationship Id="rId264" Type="http://schemas.openxmlformats.org/officeDocument/2006/relationships/hyperlink" Target="https://www.linkedin.com/learning/the-three-secrets-to-effective-time-investment-blinkist-summary?trk=ondemandfile" TargetMode="External"/><Relationship Id="rId17" Type="http://schemas.openxmlformats.org/officeDocument/2006/relationships/hyperlink" Target="https://www.linkedin.com/learning/agile-strategieumsetzung-mit-okr-objectives-and-key-results?trk=contentmappingfile" TargetMode="External"/><Relationship Id="rId38" Type="http://schemas.openxmlformats.org/officeDocument/2006/relationships/hyperlink" Target="https://www.linkedin.com/learning/paths/domina-el-trabajo-remoto?trk=ondemandfile" TargetMode="External"/><Relationship Id="rId59" Type="http://schemas.openxmlformats.org/officeDocument/2006/relationships/hyperlink" Target="https://www.linkedin.com/learning/paths/domine-as-competencias-pessoais-mais-requisitadas-no-mercado-de-trabalho?trk=ondemandfile" TargetMode="External"/><Relationship Id="rId103" Type="http://schemas.openxmlformats.org/officeDocument/2006/relationships/hyperlink" Target="https://www.linkedin.com/learning/de-l-impuissance-au-pouvoir-la-prise-de-controle?trk=contentmappingfile" TargetMode="External"/><Relationship Id="rId124" Type="http://schemas.openxmlformats.org/officeDocument/2006/relationships/hyperlink" Target="https://www.linkedin.com/learning/como-identificar-tu-proposito?trk=ondemandfile" TargetMode="External"/><Relationship Id="rId70" Type="http://schemas.openxmlformats.org/officeDocument/2006/relationships/hyperlink" Target="https://www.linkedin.com/learning/businessprobleme-l-sen?trk=ondemandfile" TargetMode="External"/><Relationship Id="rId91" Type="http://schemas.openxmlformats.org/officeDocument/2006/relationships/hyperlink" Target="https://www.linkedin.com/learning/c-mo-delegar-tareas-en-la-empresa?trk=ondemandfile" TargetMode="External"/><Relationship Id="rId145" Type="http://schemas.openxmlformats.org/officeDocument/2006/relationships/hyperlink" Target="https://www.linkedin.com/learning/00-measuring-business-performance?trk=ondemandfile" TargetMode="External"/><Relationship Id="rId166" Type="http://schemas.openxmlformats.org/officeDocument/2006/relationships/hyperlink" Target="https://www.linkedin.com/learning/how-to-slow-down-and-be-more-productive?trk=ondemandfile" TargetMode="External"/><Relationship Id="rId187" Type="http://schemas.openxmlformats.org/officeDocument/2006/relationships/hyperlink" Target="https://www.linkedin.com/learning/00-ohnmaechtig?trk=ondemandfile" TargetMode="External"/><Relationship Id="rId1" Type="http://schemas.openxmlformats.org/officeDocument/2006/relationships/hyperlink" Target="https://www.linkedin.com/learning/good-to-great?trk=ondemandfile" TargetMode="External"/><Relationship Id="rId212" Type="http://schemas.openxmlformats.org/officeDocument/2006/relationships/hyperlink" Target="https://www.linkedin.com/learning/components-of-effective-learning?trk=ondemandfile" TargetMode="External"/><Relationship Id="rId233" Type="http://schemas.openxmlformats.org/officeDocument/2006/relationships/hyperlink" Target="https://www.linkedin.com/learning/tecnicas-de-resolucion-de-problemas?trk=ondemandfile" TargetMode="External"/><Relationship Id="rId254" Type="http://schemas.openxmlformats.org/officeDocument/2006/relationships/hyperlink" Target="https://www.linkedin.com/learning/the-power-of-lists-to-get-stuff-done?trk=ondemandfile" TargetMode="External"/><Relationship Id="rId28" Type="http://schemas.openxmlformats.org/officeDocument/2006/relationships/hyperlink" Target="https://www.linkedin.com/learning/00-arbmethodmanag?trk=ondemandfile" TargetMode="External"/><Relationship Id="rId49" Type="http://schemas.openxmlformats.org/officeDocument/2006/relationships/hyperlink" Target="https://www.linkedin.com/learning/825ea799-d58c-3ea0-99eb-6890487e8958?trk=ondemandfile" TargetMode="External"/><Relationship Id="rId114" Type="http://schemas.openxmlformats.org/officeDocument/2006/relationships/hyperlink" Target="https://www.linkedin.com/learning/0205c79a-985b-337b-8a72-81f0f9bde52b?trk=ondemandfile" TargetMode="External"/><Relationship Id="rId60" Type="http://schemas.openxmlformats.org/officeDocument/2006/relationships/hyperlink" Target="https://www.linkedin.com/learning/developing-resourcefulness-2?trk=ondemandfile" TargetMode="External"/><Relationship Id="rId81" Type="http://schemas.openxmlformats.org/officeDocument/2006/relationships/hyperlink" Target="https://www.linkedin.com/learning/how-to-build-virtual-accountability?trk=ondemandfile" TargetMode="External"/><Relationship Id="rId135" Type="http://schemas.openxmlformats.org/officeDocument/2006/relationships/hyperlink" Target="https://www.linkedin.com/learning/designing-growth-strategies-2?trk=ondemandfile" TargetMode="External"/><Relationship Id="rId156" Type="http://schemas.openxmlformats.org/officeDocument/2006/relationships/hyperlink" Target="https://www.linkedin.com/learning/les-fondamentaux-de-la-gestion-du-temps?trk=ondemandfile" TargetMode="External"/><Relationship Id="rId177" Type="http://schemas.openxmlformats.org/officeDocument/2006/relationships/hyperlink" Target="https://www.linkedin.com/learning/veranderungen-im-beruf-erfolgreich-bewaltigen?trk=ondemandfile" TargetMode="External"/><Relationship Id="rId198" Type="http://schemas.openxmlformats.org/officeDocument/2006/relationships/hyperlink" Target="https://www.linkedin.com/learning/00-gestion-eficaz-del-tiempo?trk=ondemandfile" TargetMode="External"/><Relationship Id="rId202" Type="http://schemas.openxmlformats.org/officeDocument/2006/relationships/hyperlink" Target="https://www.linkedin.com/learning/ziele-fur-mitarbeiter-innen-und-teams-setzen?trk=ondemandfile" TargetMode="External"/><Relationship Id="rId223" Type="http://schemas.openxmlformats.org/officeDocument/2006/relationships/hyperlink" Target="https://www.linkedin.com/learning/00-enhancing-your-productivity?trk=ondemandfile" TargetMode="External"/><Relationship Id="rId244" Type="http://schemas.openxmlformats.org/officeDocument/2006/relationships/hyperlink" Target="https://www.linkedin.com/learning/time-management?trk=ondemandfile" TargetMode="External"/><Relationship Id="rId18" Type="http://schemas.openxmlformats.org/officeDocument/2006/relationships/hyperlink" Target="https://www.linkedin.com/learning/paths/erfolgreich-im-home-office-arbeiten?trk=ondemandfile" TargetMode="External"/><Relationship Id="rId39" Type="http://schemas.openxmlformats.org/officeDocument/2006/relationships/hyperlink" Target="https://www.linkedin.com/learning/aufschieberitis-berwinden?trk=ondemandfile" TargetMode="External"/><Relationship Id="rId265" Type="http://schemas.openxmlformats.org/officeDocument/2006/relationships/hyperlink" Target="https://www.linkedin.com/learning/the-procrastination-cure-blinkist-summary?trk=ondemandfile" TargetMode="External"/><Relationship Id="rId50" Type="http://schemas.openxmlformats.org/officeDocument/2006/relationships/hyperlink" Target="https://www.linkedin.com/learning/developing-resourcefulness-3?trk=ondemandfile" TargetMode="External"/><Relationship Id="rId104" Type="http://schemas.openxmlformats.org/officeDocument/2006/relationships/hyperlink" Target="https://www.linkedin.com/learning/como-ejercer-la-responsabilidad?trk=ondemandfile" TargetMode="External"/><Relationship Id="rId125" Type="http://schemas.openxmlformats.org/officeDocument/2006/relationships/hyperlink" Target="https://www.linkedin.com/learning/modernes-leistungsmanagement?trk=ondemandfile" TargetMode="External"/><Relationship Id="rId146" Type="http://schemas.openxmlformats.org/officeDocument/2006/relationships/hyperlink" Target="https://www.linkedin.com/learning/resilienz-entwickeln?trk=ondemandfile" TargetMode="External"/><Relationship Id="rId167" Type="http://schemas.openxmlformats.org/officeDocument/2006/relationships/hyperlink" Target="https://www.linkedin.com/learning/00-por-que-aprender?trk=ondemandfile" TargetMode="External"/><Relationship Id="rId188" Type="http://schemas.openxmlformats.org/officeDocument/2006/relationships/hyperlink" Target="https://www.linkedin.com/learning/building-better-routines?trk=ondemandfile" TargetMode="External"/><Relationship Id="rId71" Type="http://schemas.openxmlformats.org/officeDocument/2006/relationships/hyperlink" Target="https://www.linkedin.com/learning/learning-agility-2?trk=ondemandfile" TargetMode="External"/><Relationship Id="rId92" Type="http://schemas.openxmlformats.org/officeDocument/2006/relationships/hyperlink" Target="https://www.linkedin.com/learning/8806380a-9091-31ee-accd-2c173a41388d?trk=ondemandfile" TargetMode="External"/><Relationship Id="rId213" Type="http://schemas.openxmlformats.org/officeDocument/2006/relationships/hyperlink" Target="https://www.linkedin.com/learning/gestion-del-fracaso-para-tener-exito?trk=contentmappingfile" TargetMode="External"/><Relationship Id="rId234" Type="http://schemas.openxmlformats.org/officeDocument/2006/relationships/hyperlink" Target="https://www.linkedin.com/learning/building-resilience?trk=ondemandfile" TargetMode="External"/><Relationship Id="rId2" Type="http://schemas.openxmlformats.org/officeDocument/2006/relationships/hyperlink" Target="https://www.linkedin.com/learning/paths/building-accountability-and-becoming-results-oriented?trk=ondemandfile" TargetMode="External"/><Relationship Id="rId29" Type="http://schemas.openxmlformats.org/officeDocument/2006/relationships/hyperlink" Target="https://www.linkedin.com/learning/paths/leichter-lernen?trk=ondemandfile" TargetMode="External"/><Relationship Id="rId255" Type="http://schemas.openxmlformats.org/officeDocument/2006/relationships/hyperlink" Target="https://www.linkedin.com/learning/asking-for-feedback-as-an-employee?trk=ondemandfile" TargetMode="External"/><Relationship Id="rId40" Type="http://schemas.openxmlformats.org/officeDocument/2006/relationships/hyperlink" Target="https://www.linkedin.com/learning/paths/starken-sie-ihre-schlusselkompetenzen?trk=ondemandfile" TargetMode="External"/><Relationship Id="rId115" Type="http://schemas.openxmlformats.org/officeDocument/2006/relationships/hyperlink" Target="https://www.linkedin.com/learning/solving-business-problems?trk=ondemandfile" TargetMode="External"/><Relationship Id="rId136" Type="http://schemas.openxmlformats.org/officeDocument/2006/relationships/hyperlink" Target="https://www.linkedin.com/learning/time-management-tips-following-through?trk=ondemandfile" TargetMode="External"/><Relationship Id="rId157" Type="http://schemas.openxmlformats.org/officeDocument/2006/relationships/hyperlink" Target="https://www.linkedin.com/learning/como-superar-la-procrastinacion?trk=ondemandfile" TargetMode="External"/><Relationship Id="rId178" Type="http://schemas.openxmlformats.org/officeDocument/2006/relationships/hyperlink" Target="https://www.linkedin.com/learning/subtle-shifts-in-thinking-for-tremendous-resilience?trk=ondemandfile" TargetMode="External"/><Relationship Id="rId61" Type="http://schemas.openxmlformats.org/officeDocument/2006/relationships/hyperlink" Target="https://www.linkedin.com/learning/strategic-focus-for-managers?trk=ondemandfile" TargetMode="External"/><Relationship Id="rId82" Type="http://schemas.openxmlformats.org/officeDocument/2006/relationships/hyperlink" Target="https://www.linkedin.com/learning/booster-son-efficacite-pour-atteindre-ses-objectifs?trk=contentmappingfile" TargetMode="External"/><Relationship Id="rId199" Type="http://schemas.openxmlformats.org/officeDocument/2006/relationships/hyperlink" Target="https://www.linkedin.com/learning/zeitmanagement-mit-outlook-2016?trk=ondemandfile" TargetMode="External"/><Relationship Id="rId203" Type="http://schemas.openxmlformats.org/officeDocument/2006/relationships/hyperlink" Target="https://www.linkedin.com/learning/prioritizing-tasks-for-maximum-impact?trk=ondemandfile" TargetMode="External"/><Relationship Id="rId19" Type="http://schemas.openxmlformats.org/officeDocument/2006/relationships/hyperlink" Target="https://www.linkedin.com/learning/building-accountability-into-your-culture-2?trk=ondemandfile" TargetMode="External"/><Relationship Id="rId224" Type="http://schemas.openxmlformats.org/officeDocument/2006/relationships/hyperlink" Target="https://www.linkedin.com/learning/how-to-manage-your-attention-and-your-priorities?trk=ondemandfile" TargetMode="External"/><Relationship Id="rId245" Type="http://schemas.openxmlformats.org/officeDocument/2006/relationships/hyperlink" Target="https://www.linkedin.com/learning/personal-effectiveness-tips?trk=ondemandfile" TargetMode="External"/><Relationship Id="rId266" Type="http://schemas.openxmlformats.org/officeDocument/2006/relationships/hyperlink" Target="https://www.linkedin.com/learning/developing-resourcefulness?trk=ondemandfile" TargetMode="External"/><Relationship Id="rId30" Type="http://schemas.openxmlformats.org/officeDocument/2006/relationships/hyperlink" Target="https://www.linkedin.com/learning/time-management-fundamentals-2?trk=ondemandfile" TargetMode="External"/><Relationship Id="rId105" Type="http://schemas.openxmlformats.org/officeDocument/2006/relationships/hyperlink" Target="https://www.linkedin.com/learning/hochleistungsteams-aufbauen?trk=ondemandfile" TargetMode="External"/><Relationship Id="rId126" Type="http://schemas.openxmlformats.org/officeDocument/2006/relationships/hyperlink" Target="https://www.linkedin.com/learning/powerless-to-powerful-taking-control-2?trk=ondemandfile" TargetMode="External"/><Relationship Id="rId147" Type="http://schemas.openxmlformats.org/officeDocument/2006/relationships/hyperlink" Target="https://www.linkedin.com/learning/como-ser-uma-pessoa-assertiva?trk=contentmappingfile" TargetMode="External"/><Relationship Id="rId168" Type="http://schemas.openxmlformats.org/officeDocument/2006/relationships/hyperlink" Target="https://www.linkedin.com/learning/sich-selbst-fuhren?trk=ondemandfile" TargetMode="External"/><Relationship Id="rId51" Type="http://schemas.openxmlformats.org/officeDocument/2006/relationships/hyperlink" Target="https://www.linkedin.com/learning/paths/9577cb77-9246-370e-bb07-e3ee1a2ea5fe?trk=ondemandfile" TargetMode="External"/><Relationship Id="rId72" Type="http://schemas.openxmlformats.org/officeDocument/2006/relationships/hyperlink" Target="https://www.linkedin.com/learning/build-a-trustworthy-reputation?trk=ondemandfile" TargetMode="External"/><Relationship Id="rId93" Type="http://schemas.openxmlformats.org/officeDocument/2006/relationships/hyperlink" Target="https://www.linkedin.com/learning/building-high-performance-teams-4?trk=ondemandfile" TargetMode="External"/><Relationship Id="rId189" Type="http://schemas.openxmlformats.org/officeDocument/2006/relationships/hyperlink" Target="https://www.linkedin.com/learning/el-futuro-de-la-gestion-del-rendimiento?trk=ondemandfile" TargetMode="External"/><Relationship Id="rId3" Type="http://schemas.openxmlformats.org/officeDocument/2006/relationships/hyperlink" Target="https://www.linkedin.com/learning/10-minutes-un-livre-adopter-une-mentalite-de-champion-championne?trk=contentmappingfile" TargetMode="External"/><Relationship Id="rId214" Type="http://schemas.openxmlformats.org/officeDocument/2006/relationships/hyperlink" Target="https://www.linkedin.com/learning/powerful-prioritization-with-the-80-20-rule?trk=ondemandfile" TargetMode="External"/><Relationship Id="rId235" Type="http://schemas.openxmlformats.org/officeDocument/2006/relationships/hyperlink" Target="https://www.linkedin.com/learning/vitalidad-y-capacidad-de-concentracion-a-traves-de-la-alimentacion-sana?trk=ondemandfile" TargetMode="External"/><Relationship Id="rId256" Type="http://schemas.openxmlformats.org/officeDocument/2006/relationships/hyperlink" Target="https://www.linkedin.com/learning/enhance-your-productivity-with-effective-note-taking?trk=ondemandfile" TargetMode="External"/><Relationship Id="rId116" Type="http://schemas.openxmlformats.org/officeDocument/2006/relationships/hyperlink" Target="https://www.linkedin.com/learning/c-mo-gestionar-mejor-tu-tiempo?trk=ondemandfile" TargetMode="External"/><Relationship Id="rId137" Type="http://schemas.openxmlformats.org/officeDocument/2006/relationships/hyperlink" Target="https://www.linkedin.com/learning/como-liderar-reuniones-productivas?trk=ondemandfile" TargetMode="External"/><Relationship Id="rId158" Type="http://schemas.openxmlformats.org/officeDocument/2006/relationships/hyperlink" Target="https://www.linkedin.com/learning/selbstmanagement-tipps-fur-fuhrungskrafte?trk=ondemandfile" TargetMode="External"/><Relationship Id="rId20" Type="http://schemas.openxmlformats.org/officeDocument/2006/relationships/hyperlink" Target="https://www.linkedin.com/learning/como-colaborar-de-forma-eficaz-com-sua-equipe?trk=contentmappingfile" TargetMode="External"/><Relationship Id="rId41" Type="http://schemas.openxmlformats.org/officeDocument/2006/relationships/hyperlink" Target="https://www.linkedin.com/learning/building-resilience-4?trk=ondemandfile" TargetMode="External"/><Relationship Id="rId62" Type="http://schemas.openxmlformats.org/officeDocument/2006/relationships/hyperlink" Target="https://www.linkedin.com/learning/como-coordinar-reuniones?trk=ondemandfile" TargetMode="External"/><Relationship Id="rId83" Type="http://schemas.openxmlformats.org/officeDocument/2006/relationships/hyperlink" Target="https://www.linkedin.com/learning/00-dar-y-recibir-feedback?trk=ondemandfile" TargetMode="External"/><Relationship Id="rId179" Type="http://schemas.openxmlformats.org/officeDocument/2006/relationships/hyperlink" Target="https://www.linkedin.com/learning/s-autodiriger?trk=contentmappingfile" TargetMode="External"/><Relationship Id="rId190" Type="http://schemas.openxmlformats.org/officeDocument/2006/relationships/hyperlink" Target="https://www.linkedin.com/learning/werteorientiertes-management?trk=ondemandfile" TargetMode="External"/><Relationship Id="rId204" Type="http://schemas.openxmlformats.org/officeDocument/2006/relationships/hyperlink" Target="https://www.linkedin.com/learning/fundamentos-de-la-productividad-2?trk=ondemandfile" TargetMode="External"/><Relationship Id="rId225" Type="http://schemas.openxmlformats.org/officeDocument/2006/relationships/hyperlink" Target="https://www.linkedin.com/learning/motivaci-n-e-implicaci-n-en-la-empresa?trk=ondemandfile" TargetMode="External"/><Relationship Id="rId246" Type="http://schemas.openxmlformats.org/officeDocument/2006/relationships/hyperlink" Target="https://www.linkedin.com/learning/powerless-to-powerful-taking-control?trk=ondemandfile" TargetMode="External"/><Relationship Id="rId267" Type="http://schemas.openxmlformats.org/officeDocument/2006/relationships/hyperlink" Target="https://www.linkedin.com/learning/demonstrating-accountability-as-a-leader?trk=ondemandfile" TargetMode="External"/><Relationship Id="rId106" Type="http://schemas.openxmlformats.org/officeDocument/2006/relationships/hyperlink" Target="https://www.linkedin.com/learning/time-management-fundamentals-3?trk=ondemandfile" TargetMode="External"/><Relationship Id="rId127" Type="http://schemas.openxmlformats.org/officeDocument/2006/relationships/hyperlink" Target="https://www.linkedin.com/learning/time-management-tips-2019?trk=ondemandfile" TargetMode="External"/><Relationship Id="rId10" Type="http://schemas.openxmlformats.org/officeDocument/2006/relationships/hyperlink" Target="https://www.linkedin.com/learning/paths/como-desenvolver-uma-mentalidade-de-crescimento?trk=ondemandfile" TargetMode="External"/><Relationship Id="rId31" Type="http://schemas.openxmlformats.org/officeDocument/2006/relationships/hyperlink" Target="https://www.linkedin.com/learning/paths/31070ed0-b901-3bf1-af9c-de2667146e4d?trk=ondemandfile" TargetMode="External"/><Relationship Id="rId52" Type="http://schemas.openxmlformats.org/officeDocument/2006/relationships/hyperlink" Target="https://www.linkedin.com/learning/paths/como-desenvolver-a-colaboracao-entre-a-equipe?trk=ondemandfile" TargetMode="External"/><Relationship Id="rId73" Type="http://schemas.openxmlformats.org/officeDocument/2006/relationships/hyperlink" Target="https://www.linkedin.com/learning/como-crear-una-cultura-de-alto-rendimiento?trk=ondemandfile" TargetMode="External"/><Relationship Id="rId94" Type="http://schemas.openxmlformats.org/officeDocument/2006/relationships/hyperlink" Target="https://www.linkedin.com/learning/developing-a-learning-mindset?trk=ondemandfile" TargetMode="External"/><Relationship Id="rId148" Type="http://schemas.openxmlformats.org/officeDocument/2006/relationships/hyperlink" Target="https://www.linkedin.com/learning/productivity-tips-finding-your-productive-mindset?trk=ondemandfile" TargetMode="External"/><Relationship Id="rId169" Type="http://schemas.openxmlformats.org/officeDocument/2006/relationships/hyperlink" Target="https://www.linkedin.com/learning/productivity-principles-to-make-time-for-what-s-important?trk=ondemandfile" TargetMode="External"/><Relationship Id="rId4" Type="http://schemas.openxmlformats.org/officeDocument/2006/relationships/hyperlink" Target="https://www.linkedin.com/learning/agile-en-accion-construye-tu-equipo-agil?trk=ondemandfile" TargetMode="External"/><Relationship Id="rId180" Type="http://schemas.openxmlformats.org/officeDocument/2006/relationships/hyperlink" Target="https://www.linkedin.com/learning/design-thinking-herramientas-y-tecnicas-presenciales-y-en-teletrabajo?trk=ondemandfile" TargetMode="External"/><Relationship Id="rId215" Type="http://schemas.openxmlformats.org/officeDocument/2006/relationships/hyperlink" Target="https://www.linkedin.com/learning/gestion-del-tiempo-para-lideres?trk=contentmappingfile" TargetMode="External"/><Relationship Id="rId236" Type="http://schemas.openxmlformats.org/officeDocument/2006/relationships/hyperlink" Target="https://www.linkedin.com/learning/delivering-results-effectively?trk=ondemandfile" TargetMode="External"/><Relationship Id="rId257" Type="http://schemas.openxmlformats.org/officeDocument/2006/relationships/hyperlink" Target="https://www.linkedin.com/learning/how-to-motivate-yourself-to-do-what-s-most-important?trk=ondemandfile" TargetMode="External"/><Relationship Id="rId42" Type="http://schemas.openxmlformats.org/officeDocument/2006/relationships/hyperlink" Target="https://www.linkedin.com/learning/paths/como-superar-os-desafios-e-se-reinventar-em-tempos-dificeis?trk=ondemandfile" TargetMode="External"/><Relationship Id="rId84" Type="http://schemas.openxmlformats.org/officeDocument/2006/relationships/hyperlink" Target="https://www.linkedin.com/learning/eine-hochleistungskultur-schaffen?trk=ondemandfile" TargetMode="External"/><Relationship Id="rId138" Type="http://schemas.openxmlformats.org/officeDocument/2006/relationships/hyperlink" Target="https://www.linkedin.com/learning/produktiv-mit-iphone-und-ipad?trk=ondemandfile" TargetMode="External"/><Relationship Id="rId191" Type="http://schemas.openxmlformats.org/officeDocument/2006/relationships/hyperlink" Target="https://www.linkedin.com/learning/creating-lasting-habits?trk=ondemandfile" TargetMode="External"/><Relationship Id="rId205" Type="http://schemas.openxmlformats.org/officeDocument/2006/relationships/hyperlink" Target="https://www.linkedin.com/learning/00-zielvereinbarung?trk=ondemandfile" TargetMode="External"/><Relationship Id="rId247" Type="http://schemas.openxmlformats.org/officeDocument/2006/relationships/hyperlink" Target="https://www.linkedin.com/learning/prioritizing-your-tasks?trk=ondemandfile"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www.linkedin.com/learning/improve-cognitive-flexibility-at-work?trk=ondemandfile" TargetMode="External"/><Relationship Id="rId21" Type="http://schemas.openxmlformats.org/officeDocument/2006/relationships/hyperlink" Target="https://www.linkedin.com/learning/paths/6844219d-129d-3432-be7a-4c32e6eaf336?trk=ondemandfile" TargetMode="External"/><Relationship Id="rId42" Type="http://schemas.openxmlformats.org/officeDocument/2006/relationships/hyperlink" Target="https://www.linkedin.com/learning/paths/34149b5d-1fd7-337a-8fd6-c725fdd05bf9?trk=ondemandfile" TargetMode="External"/><Relationship Id="rId63" Type="http://schemas.openxmlformats.org/officeDocument/2006/relationships/hyperlink" Target="https://www.linkedin.com/learning/98373539-7768-37d9-bfa1-0425382fc5b8?trk=ondemandfile" TargetMode="External"/><Relationship Id="rId84" Type="http://schemas.openxmlformats.org/officeDocument/2006/relationships/hyperlink" Target="https://www.linkedin.com/learning/empathie-und-kreativitat-als-neue-schlusselkompetenzen?trk=ondemandfile" TargetMode="External"/><Relationship Id="rId138" Type="http://schemas.openxmlformats.org/officeDocument/2006/relationships/hyperlink" Target="https://www.linkedin.com/learning/leading-yourself-4?trk=ondemandfile" TargetMode="External"/><Relationship Id="rId159" Type="http://schemas.openxmlformats.org/officeDocument/2006/relationships/hyperlink" Target="https://www.linkedin.com/learning/managing-self-doubt-to-tackle-bigger-challenges?trk=ondemandfile" TargetMode="External"/><Relationship Id="rId170" Type="http://schemas.openxmlformats.org/officeDocument/2006/relationships/hyperlink" Target="https://www.linkedin.com/learning/veranderungen-im-beruf-erfolgreich-bewaltigen?trk=ondemandfile" TargetMode="External"/><Relationship Id="rId191" Type="http://schemas.openxmlformats.org/officeDocument/2006/relationships/hyperlink" Target="https://www.linkedin.com/learning/how-to-be-adaptable-as-an-employee?trk=ondemandfile" TargetMode="External"/><Relationship Id="rId107" Type="http://schemas.openxmlformats.org/officeDocument/2006/relationships/hyperlink" Target="https://www.linkedin.com/learning/fundamentos-de-inovacao-empresarial?trk=contentmappingfile" TargetMode="External"/><Relationship Id="rId11" Type="http://schemas.openxmlformats.org/officeDocument/2006/relationships/hyperlink" Target="https://www.linkedin.com/learning/the-new-rules-of-work?trk=ondemandfile" TargetMode="External"/><Relationship Id="rId32" Type="http://schemas.openxmlformats.org/officeDocument/2006/relationships/hyperlink" Target="https://www.linkedin.com/learning/paths/87c473ed-01ce-32f8-90ac-61be15e449c9?trk=ondemandfile" TargetMode="External"/><Relationship Id="rId53" Type="http://schemas.openxmlformats.org/officeDocument/2006/relationships/hyperlink" Target="https://www.linkedin.com/learning/communicating-in-times-of-change-14271427?trk=contentmappingfile" TargetMode="External"/><Relationship Id="rId74" Type="http://schemas.openxmlformats.org/officeDocument/2006/relationships/hyperlink" Target="https://www.linkedin.com/learning/creer-une-culture-du-changement?trk=contentmappingfile" TargetMode="External"/><Relationship Id="rId128" Type="http://schemas.openxmlformats.org/officeDocument/2006/relationships/hyperlink" Target="https://www.linkedin.com/learning/unlock-your-team-s-creativity-2?trk=ondemandfile" TargetMode="External"/><Relationship Id="rId149" Type="http://schemas.openxmlformats.org/officeDocument/2006/relationships/hyperlink" Target="https://www.linkedin.com/learning/multikulturelle-teams-f-hren?trk=ondemandfile" TargetMode="External"/><Relationship Id="rId5" Type="http://schemas.openxmlformats.org/officeDocument/2006/relationships/hyperlink" Target="https://www.linkedin.com/learning/achtsamkeit?trk=ondemandfile" TargetMode="External"/><Relationship Id="rId95" Type="http://schemas.openxmlformats.org/officeDocument/2006/relationships/hyperlink" Target="https://www.linkedin.com/learning/leading-change-2?trk=ondemandfile" TargetMode="External"/><Relationship Id="rId160" Type="http://schemas.openxmlformats.org/officeDocument/2006/relationships/hyperlink" Target="https://www.linkedin.com/learning/liderazgo-con-inteligencia-emocional?trk=ondemandfile" TargetMode="External"/><Relationship Id="rId181" Type="http://schemas.openxmlformats.org/officeDocument/2006/relationships/hyperlink" Target="https://www.linkedin.com/learning/managing-employee-stress-for-positive-change?trk=ondemandfile" TargetMode="External"/><Relationship Id="rId22" Type="http://schemas.openxmlformats.org/officeDocument/2006/relationships/hyperlink" Target="https://www.linkedin.com/learning/agile-software-development-creating-an-agile-culture?trk=ondemandfile" TargetMode="External"/><Relationship Id="rId43" Type="http://schemas.openxmlformats.org/officeDocument/2006/relationships/hyperlink" Target="https://www.linkedin.com/learning/managing-globally?trk=ondemandfile" TargetMode="External"/><Relationship Id="rId64" Type="http://schemas.openxmlformats.org/officeDocument/2006/relationships/hyperlink" Target="https://www.linkedin.com/learning/organizational-learning-and-development?trk=ondemandfile" TargetMode="External"/><Relationship Id="rId118" Type="http://schemas.openxmlformats.org/officeDocument/2006/relationships/hyperlink" Target="https://www.linkedin.com/learning/00-desarrolla-la-adaptabilidad-de-tus-empleados?trk=ondemandfile" TargetMode="External"/><Relationship Id="rId139" Type="http://schemas.openxmlformats.org/officeDocument/2006/relationships/hyperlink" Target="https://www.linkedin.com/learning/performing-under-pressure?trk=ondemandfile" TargetMode="External"/><Relationship Id="rId85" Type="http://schemas.openxmlformats.org/officeDocument/2006/relationships/hyperlink" Target="https://www.linkedin.com/learning/como-superar-o-luto-e-gerenciar-o-impacto-da-perda-e-da-mudanca-no-trabalho?trk=contentmappingfile" TargetMode="External"/><Relationship Id="rId150" Type="http://schemas.openxmlformats.org/officeDocument/2006/relationships/hyperlink" Target="https://www.linkedin.com/learning/avoiding-burnout-2019?trk=ondemandfile" TargetMode="External"/><Relationship Id="rId171" Type="http://schemas.openxmlformats.org/officeDocument/2006/relationships/hyperlink" Target="https://www.linkedin.com/learning/adopting-the-habits-of-elite-performers?trk=ondemandfile" TargetMode="External"/><Relationship Id="rId192" Type="http://schemas.openxmlformats.org/officeDocument/2006/relationships/hyperlink" Target="https://www.linkedin.com/learning/what-is-scrum?trk=ondemandfile" TargetMode="External"/><Relationship Id="rId12" Type="http://schemas.openxmlformats.org/officeDocument/2006/relationships/hyperlink" Target="https://www.linkedin.com/learning/paths/managing-change?trk=ondemandfile" TargetMode="External"/><Relationship Id="rId33" Type="http://schemas.openxmlformats.org/officeDocument/2006/relationships/hyperlink" Target="https://www.linkedin.com/learning/aaron-dignan-on-transformational-change?trk=ondemandfile" TargetMode="External"/><Relationship Id="rId108" Type="http://schemas.openxmlformats.org/officeDocument/2006/relationships/hyperlink" Target="https://www.linkedin.com/learning/critical-thinking-3?trk=ondemandfile" TargetMode="External"/><Relationship Id="rId129" Type="http://schemas.openxmlformats.org/officeDocument/2006/relationships/hyperlink" Target="https://www.linkedin.com/learning/how-to-slash-anxiety-and-keep-positivity-flowing?trk=ondemandfile" TargetMode="External"/><Relationship Id="rId54" Type="http://schemas.openxmlformats.org/officeDocument/2006/relationships/hyperlink" Target="https://www.linkedin.com/learning/communicating-in-times-of-change-3?trk=ondemandfile" TargetMode="External"/><Relationship Id="rId75" Type="http://schemas.openxmlformats.org/officeDocument/2006/relationships/hyperlink" Target="https://www.linkedin.com/learning/c-mo-enfrentarse-a-los-cambios?trk=ondemandfile" TargetMode="External"/><Relationship Id="rId96" Type="http://schemas.openxmlformats.org/officeDocument/2006/relationships/hyperlink" Target="https://www.linkedin.com/learning/leading-your-team-through-actionable-change?trk=ondemandfile" TargetMode="External"/><Relationship Id="rId140" Type="http://schemas.openxmlformats.org/officeDocument/2006/relationships/hyperlink" Target="https://www.linkedin.com/learning/00-fundamentos-de-la-gestion-de-proyectos-cambios?trk=ondemandfile" TargetMode="External"/><Relationship Id="rId161" Type="http://schemas.openxmlformats.org/officeDocument/2006/relationships/hyperlink" Target="https://www.linkedin.com/learning/stress-bewaltigen-2-fur-mehr-balance-und-gesundheit?trk=ondemandfile" TargetMode="External"/><Relationship Id="rId182" Type="http://schemas.openxmlformats.org/officeDocument/2006/relationships/hyperlink" Target="https://www.linkedin.com/learning/building-resilience?trk=ondemandfile" TargetMode="External"/><Relationship Id="rId6" Type="http://schemas.openxmlformats.org/officeDocument/2006/relationships/hyperlink" Target="https://www.linkedin.com/learning/paths/durch-veranderungsprozesse-fuhren?trk=ondemandfile" TargetMode="External"/><Relationship Id="rId23" Type="http://schemas.openxmlformats.org/officeDocument/2006/relationships/hyperlink" Target="https://www.linkedin.com/learning/paths/manage-change-and-develop-your-adaptability-skills?trk=ondemandfile" TargetMode="External"/><Relationship Id="rId119" Type="http://schemas.openxmlformats.org/officeDocument/2006/relationships/hyperlink" Target="https://www.linkedin.com/learning/interkulturelle-kompetenz?trk=ondemandfile" TargetMode="External"/><Relationship Id="rId44" Type="http://schemas.openxmlformats.org/officeDocument/2006/relationships/hyperlink" Target="https://www.linkedin.com/learning/00-learning-from-failure?trk=ondemandfile" TargetMode="External"/><Relationship Id="rId65" Type="http://schemas.openxmlformats.org/officeDocument/2006/relationships/hyperlink" Target="https://www.linkedin.com/learning/como-dar-y-recibir-feedback-o-retroalimentacion?trk=contentmappingfile" TargetMode="External"/><Relationship Id="rId86" Type="http://schemas.openxmlformats.org/officeDocument/2006/relationships/hyperlink" Target="https://www.linkedin.com/learning/learning-agility-2?trk=ondemandfile" TargetMode="External"/><Relationship Id="rId130" Type="http://schemas.openxmlformats.org/officeDocument/2006/relationships/hyperlink" Target="https://www.linkedin.com/learning/gerer-ses-relations-avec-son-chef-sa-cheffe-ses-collegues-et-ses-employes-employees?trk=contentmappingfile" TargetMode="External"/><Relationship Id="rId151" Type="http://schemas.openxmlformats.org/officeDocument/2006/relationships/hyperlink" Target="https://www.linkedin.com/learning/00-business-innovation?trk=ondemandfile" TargetMode="External"/><Relationship Id="rId172" Type="http://schemas.openxmlformats.org/officeDocument/2006/relationships/hyperlink" Target="https://www.linkedin.com/learning/prepara-tu-curriculum-vitae-2?trk=ondemandfile" TargetMode="External"/><Relationship Id="rId193" Type="http://schemas.openxmlformats.org/officeDocument/2006/relationships/hyperlink" Target="https://www.linkedin.com/learning/balancing-work-and-life-as-a-work-from-home-parent?trk=ondemandfile" TargetMode="External"/><Relationship Id="rId13" Type="http://schemas.openxmlformats.org/officeDocument/2006/relationships/hyperlink" Target="https://www.linkedin.com/learning/bienestar-coordinacion-y-flexibilidad-a-casa-y-en-el-trabajo?trk=ondemandfile" TargetMode="External"/><Relationship Id="rId109" Type="http://schemas.openxmlformats.org/officeDocument/2006/relationships/hyperlink" Target="https://www.linkedin.com/learning/handling-workplace-change-as-an-employee?trk=ondemandfile" TargetMode="External"/><Relationship Id="rId34" Type="http://schemas.openxmlformats.org/officeDocument/2006/relationships/hyperlink" Target="https://www.linkedin.com/learning/paths/master-in-demand-professional-soft-skills?trk=ondemandfile" TargetMode="External"/><Relationship Id="rId55" Type="http://schemas.openxmlformats.org/officeDocument/2006/relationships/hyperlink" Target="https://www.linkedin.com/learning/coaching-your-team-from-uncertainty-to-action?trk=ondemandfile" TargetMode="External"/><Relationship Id="rId76" Type="http://schemas.openxmlformats.org/officeDocument/2006/relationships/hyperlink" Target="https://www.linkedin.com/learning/eine-nachhaltige-work-life-balance-etablieren?trk=ondemandfile" TargetMode="External"/><Relationship Id="rId97" Type="http://schemas.openxmlformats.org/officeDocument/2006/relationships/hyperlink" Target="https://www.linkedin.com/learning/como-superar-los-sesgos-cognitivos?trk=ondemandfile" TargetMode="External"/><Relationship Id="rId120" Type="http://schemas.openxmlformats.org/officeDocument/2006/relationships/hyperlink" Target="https://www.linkedin.com/learning/agile-at-work-getting-better-with-agile-retrospectives-3?trk=ondemandfile" TargetMode="External"/><Relationship Id="rId141" Type="http://schemas.openxmlformats.org/officeDocument/2006/relationships/hyperlink" Target="https://www.linkedin.com/learning/mentale-starke-fur-mehr-erfolg-im-beruf?trk=ondemandfile" TargetMode="External"/><Relationship Id="rId7" Type="http://schemas.openxmlformats.org/officeDocument/2006/relationships/hyperlink" Target="https://www.linkedin.com/learning/critical-thinking-2?trk=ondemandfile" TargetMode="External"/><Relationship Id="rId162" Type="http://schemas.openxmlformats.org/officeDocument/2006/relationships/hyperlink" Target="https://www.linkedin.com/learning/creating-flow?trk=ondemandfile" TargetMode="External"/><Relationship Id="rId183" Type="http://schemas.openxmlformats.org/officeDocument/2006/relationships/hyperlink" Target="https://www.linkedin.com/learning/learning-from-failure?trk=ondemandfile" TargetMode="External"/><Relationship Id="rId2" Type="http://schemas.openxmlformats.org/officeDocument/2006/relationships/hyperlink" Target="https://www.linkedin.com/learning/paths/developing-resilience-and-grit?trk=ondemandfile" TargetMode="External"/><Relationship Id="rId29" Type="http://schemas.openxmlformats.org/officeDocument/2006/relationships/hyperlink" Target="https://www.linkedin.com/learning/como-comunicar-mudancas-em-uma-organizacao-em-transformacao?trk=contentmappingfile" TargetMode="External"/><Relationship Id="rId24" Type="http://schemas.openxmlformats.org/officeDocument/2006/relationships/hyperlink" Target="https://www.linkedin.com/learning/busqueda-de-empleo-con-redes-sociales?trk=ondemandfile" TargetMode="External"/><Relationship Id="rId40" Type="http://schemas.openxmlformats.org/officeDocument/2006/relationships/hyperlink" Target="https://www.linkedin.com/learning/paths/como-superar-os-desafios-e-se-reinventar-em-tempos-dificeis?trk=ondemandfile" TargetMode="External"/><Relationship Id="rId45" Type="http://schemas.openxmlformats.org/officeDocument/2006/relationships/hyperlink" Target="https://www.linkedin.com/learning/paths/fomenta-el-cambio-cultural-en-tu-empresa?trk=ondemandfile" TargetMode="External"/><Relationship Id="rId66" Type="http://schemas.openxmlformats.org/officeDocument/2006/relationships/hyperlink" Target="https://www.linkedin.com/learning/disrupt-yourself-erfinden-sie-sich-neu?trk=ondemandfile" TargetMode="External"/><Relationship Id="rId87" Type="http://schemas.openxmlformats.org/officeDocument/2006/relationships/hyperlink" Target="https://www.linkedin.com/learning/managing-organizational-change-for-managers?trk=ondemandfile" TargetMode="External"/><Relationship Id="rId110" Type="http://schemas.openxmlformats.org/officeDocument/2006/relationships/hyperlink" Target="https://www.linkedin.com/learning/00-comunicacion-de-la-gestion-del-cambio?trk=ondemandfile" TargetMode="External"/><Relationship Id="rId115" Type="http://schemas.openxmlformats.org/officeDocument/2006/relationships/hyperlink" Target="https://www.linkedin.com/learning/innovation-in-unternehmen?trk=ondemandfile" TargetMode="External"/><Relationship Id="rId131" Type="http://schemas.openxmlformats.org/officeDocument/2006/relationships/hyperlink" Target="https://www.linkedin.com/learning/dominar-la-auto-motivacion-en-tiempos-de-crisis?trk=ondemandfile" TargetMode="External"/><Relationship Id="rId136" Type="http://schemas.openxmlformats.org/officeDocument/2006/relationships/hyperlink" Target="https://www.linkedin.com/learning/estrategias-para-salir-de-una-crisis-empresarial?trk=ondemandfile" TargetMode="External"/><Relationship Id="rId157" Type="http://schemas.openxmlformats.org/officeDocument/2006/relationships/hyperlink" Target="https://www.linkedin.com/learning/00-la-importancia-de-las-habilidades-de-vida-o-soft-skills-fronesis?trk=ondemandfile" TargetMode="External"/><Relationship Id="rId178" Type="http://schemas.openxmlformats.org/officeDocument/2006/relationships/hyperlink" Target="https://www.linkedin.com/learning/preparing-to-lead-developing-mental-toughness-in-yourself?trk=ondemandfile" TargetMode="External"/><Relationship Id="rId61" Type="http://schemas.openxmlformats.org/officeDocument/2006/relationships/hyperlink" Target="https://www.linkedin.com/learning/como-cultivar-una-mentalidad-de-crecimiento?trk=ondemandfile" TargetMode="External"/><Relationship Id="rId82" Type="http://schemas.openxmlformats.org/officeDocument/2006/relationships/hyperlink" Target="https://www.linkedin.com/learning/unleash-your-team-s-creativity?trk=ondemandfile" TargetMode="External"/><Relationship Id="rId152" Type="http://schemas.openxmlformats.org/officeDocument/2006/relationships/hyperlink" Target="https://www.linkedin.com/learning/optimistisch-bleiben-im-job?trk=ondemandfile" TargetMode="External"/><Relationship Id="rId173" Type="http://schemas.openxmlformats.org/officeDocument/2006/relationships/hyperlink" Target="https://www.linkedin.com/learning/00-ohnmaechtig?trk=ondemandfile" TargetMode="External"/><Relationship Id="rId194" Type="http://schemas.openxmlformats.org/officeDocument/2006/relationships/hyperlink" Target="https://www.linkedin.com/learning/avoid-career-burnout?trk=ondemandfile" TargetMode="External"/><Relationship Id="rId199" Type="http://schemas.openxmlformats.org/officeDocument/2006/relationships/hyperlink" Target="https://www.linkedin.com/learning/taking-charge-of-technology-for-maximum-productivity?trk=ondemandfile" TargetMode="External"/><Relationship Id="rId19" Type="http://schemas.openxmlformats.org/officeDocument/2006/relationships/hyperlink" Target="https://www.linkedin.com/learning/paths/trabalho-remoto-colaboracao-foco-e-produtividade?trk=ondemandfile" TargetMode="External"/><Relationship Id="rId14" Type="http://schemas.openxmlformats.org/officeDocument/2006/relationships/hyperlink" Target="https://www.linkedin.com/learning/paths/liderazgo-en-tiempos-de-transformacion-digital?trk=ondemandfile" TargetMode="External"/><Relationship Id="rId30" Type="http://schemas.openxmlformats.org/officeDocument/2006/relationships/hyperlink" Target="https://www.linkedin.com/learning/paths/como-implementar-a-gestao-de-mudancas" TargetMode="External"/><Relationship Id="rId35" Type="http://schemas.openxmlformats.org/officeDocument/2006/relationships/hyperlink" Target="https://www.linkedin.com/learning/alcanzar-la-felicidad-permanente-creando-con-proposito?trk=ondemandfile" TargetMode="External"/><Relationship Id="rId56" Type="http://schemas.openxmlformats.org/officeDocument/2006/relationships/hyperlink" Target="https://www.linkedin.com/learning/como-balancear-e-integrar-tu-vida-laboral-y-personal?trk=ondemandfile" TargetMode="External"/><Relationship Id="rId77" Type="http://schemas.openxmlformats.org/officeDocument/2006/relationships/hyperlink" Target="https://www.linkedin.com/learning/using-questions-to-foster-critical-thinking-and-curiosity-2?trk=ondemandfile" TargetMode="External"/><Relationship Id="rId100" Type="http://schemas.openxmlformats.org/officeDocument/2006/relationships/hyperlink" Target="https://www.linkedin.com/learning/leading-in-the-moment?trk=ondemandfile" TargetMode="External"/><Relationship Id="rId105" Type="http://schemas.openxmlformats.org/officeDocument/2006/relationships/hyperlink" Target="https://www.linkedin.com/learning/00-por-que-aprender?trk=ondemandfile" TargetMode="External"/><Relationship Id="rId126" Type="http://schemas.openxmlformats.org/officeDocument/2006/relationships/hyperlink" Target="https://www.linkedin.com/learning/design-thinking-herramientas-y-tecnicas-presenciales-y-en-teletrabajo?trk=ondemandfile" TargetMode="External"/><Relationship Id="rId147" Type="http://schemas.openxmlformats.org/officeDocument/2006/relationships/hyperlink" Target="https://www.linkedin.com/learning/managing-stress-2019?trk=ondemandfile" TargetMode="External"/><Relationship Id="rId168" Type="http://schemas.openxmlformats.org/officeDocument/2006/relationships/hyperlink" Target="https://www.linkedin.com/learning/creating-success-from-failures?trk=ondemandfile" TargetMode="External"/><Relationship Id="rId8" Type="http://schemas.openxmlformats.org/officeDocument/2006/relationships/hyperlink" Target="https://www.linkedin.com/learning/paths/como-desenvolver-uma-mentalidade-de-crescimento?trk=ondemandfile" TargetMode="External"/><Relationship Id="rId51" Type="http://schemas.openxmlformats.org/officeDocument/2006/relationships/hyperlink" Target="https://www.linkedin.com/learning/c-mo-aumentar-la-resiliencia?trk=ondemandfile" TargetMode="External"/><Relationship Id="rId72" Type="http://schemas.openxmlformats.org/officeDocument/2006/relationships/hyperlink" Target="https://www.linkedin.com/learning/cultivating-a-growth-mindset-3?trk=ondemandfile" TargetMode="External"/><Relationship Id="rId93" Type="http://schemas.openxmlformats.org/officeDocument/2006/relationships/hyperlink" Target="https://www.linkedin.com/learning/c-mo-manejar-el-estr-s?trk=ondemandfile" TargetMode="External"/><Relationship Id="rId98" Type="http://schemas.openxmlformats.org/officeDocument/2006/relationships/hyperlink" Target="https://www.linkedin.com/learning/gehirngerechtes-lernen?trk=ondemandfile" TargetMode="External"/><Relationship Id="rId121" Type="http://schemas.openxmlformats.org/officeDocument/2006/relationships/hyperlink" Target="https://www.linkedin.com/learning/adaptive-leadership-for-vuca-challenges?trk=ondemandfile" TargetMode="External"/><Relationship Id="rId142" Type="http://schemas.openxmlformats.org/officeDocument/2006/relationships/hyperlink" Target="https://www.linkedin.com/learning/designing-growth-strategies-2?trk=ondemandfile" TargetMode="External"/><Relationship Id="rId163" Type="http://schemas.openxmlformats.org/officeDocument/2006/relationships/hyperlink" Target="https://www.linkedin.com/learning/liderazgo-transformador?trk=ondemandfile" TargetMode="External"/><Relationship Id="rId184" Type="http://schemas.openxmlformats.org/officeDocument/2006/relationships/hyperlink" Target="https://www.linkedin.com/learning/critical-thinking?trk=ondemandfile" TargetMode="External"/><Relationship Id="rId189" Type="http://schemas.openxmlformats.org/officeDocument/2006/relationships/hyperlink" Target="https://www.linkedin.com/learning/embracing-change-2019?trk=ondemandfile" TargetMode="External"/><Relationship Id="rId3" Type="http://schemas.openxmlformats.org/officeDocument/2006/relationships/hyperlink" Target="https://www.linkedin.com/learning/aprende-las-claves-de-la-asertividad?trk=contentmappingfile" TargetMode="External"/><Relationship Id="rId25" Type="http://schemas.openxmlformats.org/officeDocument/2006/relationships/hyperlink" Target="https://www.linkedin.com/learning/paths/profundiza-tu-capacidad-para-superar-el-desempleo?trk=ondemandfile" TargetMode="External"/><Relationship Id="rId46" Type="http://schemas.openxmlformats.org/officeDocument/2006/relationships/hyperlink" Target="https://www.linkedin.com/learning/als-fuhrungskraft-das-agile-lernen-im-team-unterstutzen?trk=ondemandfile" TargetMode="External"/><Relationship Id="rId67" Type="http://schemas.openxmlformats.org/officeDocument/2006/relationships/hyperlink" Target="https://www.linkedin.com/learning/9b4bd443-b907-3050-9476-0ec0b08dfda8?trk=ondemandfile" TargetMode="External"/><Relationship Id="rId116" Type="http://schemas.openxmlformats.org/officeDocument/2006/relationships/hyperlink" Target="https://www.linkedin.com/learning/building-resilience-as-a-leader-2?trk=ondemandfile" TargetMode="External"/><Relationship Id="rId137" Type="http://schemas.openxmlformats.org/officeDocument/2006/relationships/hyperlink" Target="https://www.linkedin.com/learning/lerntipps?trk=ondemandfile" TargetMode="External"/><Relationship Id="rId158" Type="http://schemas.openxmlformats.org/officeDocument/2006/relationships/hyperlink" Target="https://www.linkedin.com/learning/produktiv-mit-stress-umgehen?trk=ondemandfile" TargetMode="External"/><Relationship Id="rId20" Type="http://schemas.openxmlformats.org/officeDocument/2006/relationships/hyperlink" Target="https://www.linkedin.com/learning/learning-from-failure-2?trk=ondemandfile" TargetMode="External"/><Relationship Id="rId41" Type="http://schemas.openxmlformats.org/officeDocument/2006/relationships/hyperlink" Target="https://www.linkedin.com/learning/performing-under-pressure-3?trk=ondemandfile" TargetMode="External"/><Relationship Id="rId62" Type="http://schemas.openxmlformats.org/officeDocument/2006/relationships/hyperlink" Target="https://www.linkedin.com/learning/change-management-grundlagen?trk=ondemandfile" TargetMode="External"/><Relationship Id="rId83" Type="http://schemas.openxmlformats.org/officeDocument/2006/relationships/hyperlink" Target="https://www.linkedin.com/learning/como-hackear-tu-mente-y-recuperar-el-control-sobre-el-estres?trk=ondemandfile" TargetMode="External"/><Relationship Id="rId88" Type="http://schemas.openxmlformats.org/officeDocument/2006/relationships/hyperlink" Target="https://www.linkedin.com/learning/de-l-impuissance-au-pouvoir-la-prise-de-controle?trk=contentmappingfile" TargetMode="External"/><Relationship Id="rId111" Type="http://schemas.openxmlformats.org/officeDocument/2006/relationships/hyperlink" Target="https://www.linkedin.com/learning/00-urteilsvermogen?trk=ondemandfile" TargetMode="External"/><Relationship Id="rId132" Type="http://schemas.openxmlformats.org/officeDocument/2006/relationships/hyperlink" Target="https://www.linkedin.com/learning/ai-und-psychologie-angste-und-hurden-uberwinden?trk=ondemandfile" TargetMode="External"/><Relationship Id="rId153" Type="http://schemas.openxmlformats.org/officeDocument/2006/relationships/hyperlink" Target="https://www.linkedin.com/learning/get-un-stuck-from-a-career-rut?trk=ondemandfile" TargetMode="External"/><Relationship Id="rId174" Type="http://schemas.openxmlformats.org/officeDocument/2006/relationships/hyperlink" Target="https://www.linkedin.com/learning/how-to-use-rejection-to-your-advantage?trk=ondemandfile" TargetMode="External"/><Relationship Id="rId179" Type="http://schemas.openxmlformats.org/officeDocument/2006/relationships/hyperlink" Target="https://www.linkedin.com/learning/real-estate-developing-a-growth-mindset?trk=ondemandfile" TargetMode="External"/><Relationship Id="rId195" Type="http://schemas.openxmlformats.org/officeDocument/2006/relationships/hyperlink" Target="https://www.linkedin.com/learning/working-from-home-strategies-for-success?trk=ondemandfile" TargetMode="External"/><Relationship Id="rId190" Type="http://schemas.openxmlformats.org/officeDocument/2006/relationships/hyperlink" Target="https://www.linkedin.com/learning/powerless-to-powerful-taking-control?trk=ondemandfile" TargetMode="External"/><Relationship Id="rId15" Type="http://schemas.openxmlformats.org/officeDocument/2006/relationships/hyperlink" Target="https://www.linkedin.com/learning/agile-und-digitale-transformation?trk=ondemandfile" TargetMode="External"/><Relationship Id="rId36" Type="http://schemas.openxmlformats.org/officeDocument/2006/relationships/hyperlink" Target="https://www.linkedin.com/learning/paths/gestiona-los-cambios?trk=ondemandfile" TargetMode="External"/><Relationship Id="rId57" Type="http://schemas.openxmlformats.org/officeDocument/2006/relationships/hyperlink" Target="https://www.linkedin.com/learning/businessprobleme-l-sen?trk=ondemandfile" TargetMode="External"/><Relationship Id="rId106" Type="http://schemas.openxmlformats.org/officeDocument/2006/relationships/hyperlink" Target="https://www.linkedin.com/learning/grundlagen-der-prozessverbesserung?trk=ondemandfile" TargetMode="External"/><Relationship Id="rId127" Type="http://schemas.openxmlformats.org/officeDocument/2006/relationships/hyperlink" Target="https://www.linkedin.com/learning/kritisches-denken?trk=ondemandfile" TargetMode="External"/><Relationship Id="rId10" Type="http://schemas.openxmlformats.org/officeDocument/2006/relationships/hyperlink" Target="https://www.linkedin.com/learning/paths/07304244-eccf-3d14-923a-8ca64b7fb518?trk=ondemandfile" TargetMode="External"/><Relationship Id="rId31" Type="http://schemas.openxmlformats.org/officeDocument/2006/relationships/hyperlink" Target="https://www.linkedin.com/learning/diversity-and-inclusion-in-a-global-enterprise-2?trk=ondemandfile" TargetMode="External"/><Relationship Id="rId52" Type="http://schemas.openxmlformats.org/officeDocument/2006/relationships/hyperlink" Target="https://www.linkedin.com/learning/aus-misserfolgen-lernen?trk=ondemandfile" TargetMode="External"/><Relationship Id="rId73" Type="http://schemas.openxmlformats.org/officeDocument/2006/relationships/hyperlink" Target="https://www.linkedin.com/learning/developing-adaptable-managers?trk=ondemandfile" TargetMode="External"/><Relationship Id="rId78" Type="http://schemas.openxmlformats.org/officeDocument/2006/relationships/hyperlink" Target="https://www.linkedin.com/learning/developing-adaptable-employees?trk=ondemandfile" TargetMode="External"/><Relationship Id="rId94" Type="http://schemas.openxmlformats.org/officeDocument/2006/relationships/hyperlink" Target="https://www.linkedin.com/learning/fuhren-mit-innovation?trk=ondemandfile" TargetMode="External"/><Relationship Id="rId99" Type="http://schemas.openxmlformats.org/officeDocument/2006/relationships/hyperlink" Target="https://www.linkedin.com/learning/breaking-out-of-a-rut-2?trk=ondemandfile" TargetMode="External"/><Relationship Id="rId101" Type="http://schemas.openxmlformats.org/officeDocument/2006/relationships/hyperlink" Target="https://www.linkedin.com/learning/como-trabajar-con-gerentes-dificiles?trk=contentmappingfile" TargetMode="External"/><Relationship Id="rId122" Type="http://schemas.openxmlformats.org/officeDocument/2006/relationships/hyperlink" Target="https://www.linkedin.com/learning/design-thinking-facilitacion-de-procesos-de-trabajo?trk=ondemandfile" TargetMode="External"/><Relationship Id="rId143" Type="http://schemas.openxmlformats.org/officeDocument/2006/relationships/hyperlink" Target="https://www.linkedin.com/learning/developing-a-learning-mindset?trk=ondemandfile" TargetMode="External"/><Relationship Id="rId148" Type="http://schemas.openxmlformats.org/officeDocument/2006/relationships/hyperlink" Target="https://www.linkedin.com/learning/gestion-del-estres-en-tiempos-de-incertidumbre-vivir-o-sobrevivir?trk=ondemandfile" TargetMode="External"/><Relationship Id="rId164" Type="http://schemas.openxmlformats.org/officeDocument/2006/relationships/hyperlink" Target="https://www.linkedin.com/learning/unerwartete-veranderungen-annehmen?trk=ondemandfile" TargetMode="External"/><Relationship Id="rId169" Type="http://schemas.openxmlformats.org/officeDocument/2006/relationships/hyperlink" Target="https://www.linkedin.com/learning/navegar-el-cambio-en-tiempos-dificiles?trk=ondemandfile" TargetMode="External"/><Relationship Id="rId185" Type="http://schemas.openxmlformats.org/officeDocument/2006/relationships/hyperlink" Target="https://www.linkedin.com/learning/sheryl-sandberg-and-adam-grant-on-option-b?trk=ondemandfile" TargetMode="External"/><Relationship Id="rId4" Type="http://schemas.openxmlformats.org/officeDocument/2006/relationships/hyperlink" Target="https://www.linkedin.com/learning/paths/domina-las-habilidades-de-vida-personales?trk=ondemandfile" TargetMode="External"/><Relationship Id="rId9" Type="http://schemas.openxmlformats.org/officeDocument/2006/relationships/hyperlink" Target="https://www.linkedin.com/learning/business-innovation-foundations-3?trk=ondemandfile" TargetMode="External"/><Relationship Id="rId180" Type="http://schemas.openxmlformats.org/officeDocument/2006/relationships/hyperlink" Target="https://www.linkedin.com/learning/mixtape-highlights-from-linkedin-learning-courses?trk=ondemandfile" TargetMode="External"/><Relationship Id="rId26" Type="http://schemas.openxmlformats.org/officeDocument/2006/relationships/hyperlink" Target="https://www.linkedin.com/learning/agiles-lernen-in-organisationen?trk=ondemandfile" TargetMode="External"/><Relationship Id="rId47" Type="http://schemas.openxmlformats.org/officeDocument/2006/relationships/hyperlink" Target="https://www.linkedin.com/learning/building-resilience-4?trk=ondemandfile" TargetMode="External"/><Relationship Id="rId68" Type="http://schemas.openxmlformats.org/officeDocument/2006/relationships/hyperlink" Target="https://www.linkedin.com/learning/communicating-in-times-of-change?trk=ondemandfile" TargetMode="External"/><Relationship Id="rId89" Type="http://schemas.openxmlformats.org/officeDocument/2006/relationships/hyperlink" Target="https://www.linkedin.com/learning/como-liderar-el-cambio-en-tu-empresa?trk=ondemandfile" TargetMode="External"/><Relationship Id="rId112" Type="http://schemas.openxmlformats.org/officeDocument/2006/relationships/hyperlink" Target="https://www.linkedin.com/learning/embracing-unexpected-change-2?trk=contentmappingfile" TargetMode="External"/><Relationship Id="rId133" Type="http://schemas.openxmlformats.org/officeDocument/2006/relationships/hyperlink" Target="https://www.linkedin.com/learning/managing-depression-in-the-workplace-2?trk=ondemandfile" TargetMode="External"/><Relationship Id="rId154" Type="http://schemas.openxmlformats.org/officeDocument/2006/relationships/hyperlink" Target="https://www.linkedin.com/learning/00-intrapreneurship-y-mentalidad-de-crecimiento?trk=ondemandfile" TargetMode="External"/><Relationship Id="rId175" Type="http://schemas.openxmlformats.org/officeDocument/2006/relationships/hyperlink" Target="https://www.linkedin.com/learning/simple-habits-for-complex-times-getabstract-summary?trk=ondemandfile" TargetMode="External"/><Relationship Id="rId196" Type="http://schemas.openxmlformats.org/officeDocument/2006/relationships/hyperlink" Target="https://www.linkedin.com/learning/enhance-productivity-in-a-hybrid-work-environment?trk=ondemandfile" TargetMode="External"/><Relationship Id="rId200" Type="http://schemas.openxmlformats.org/officeDocument/2006/relationships/hyperlink" Target="https://www.linkedin.com/learning/adaptive-project-leadership?trk=ondemandfile" TargetMode="External"/><Relationship Id="rId16" Type="http://schemas.openxmlformats.org/officeDocument/2006/relationships/hyperlink" Target="https://www.linkedin.com/learning/paths/die-interkulturelle-kompetenz-erweitern?trk=ondemandfile" TargetMode="External"/><Relationship Id="rId37" Type="http://schemas.openxmlformats.org/officeDocument/2006/relationships/hyperlink" Target="https://www.linkedin.com/learning/agilitat-mit-strategie?trk=ondemandfile" TargetMode="External"/><Relationship Id="rId58" Type="http://schemas.openxmlformats.org/officeDocument/2006/relationships/hyperlink" Target="https://www.linkedin.com/learning/avoiding-burnout?trk=ondemandfile" TargetMode="External"/><Relationship Id="rId79" Type="http://schemas.openxmlformats.org/officeDocument/2006/relationships/hyperlink" Target="https://www.linkedin.com/learning/como-generar-ideas?trk=ondemandfile" TargetMode="External"/><Relationship Id="rId102" Type="http://schemas.openxmlformats.org/officeDocument/2006/relationships/hyperlink" Target="https://www.linkedin.com/learning/growth-mindset-personlicher-erfolg-und-wachstum-durch-ein-dynamisches-selbstbild?trk=ondemandfile" TargetMode="External"/><Relationship Id="rId123" Type="http://schemas.openxmlformats.org/officeDocument/2006/relationships/hyperlink" Target="https://www.linkedin.com/learning/kommunikation-in-zeiten-der-veranderung?trk=ondemandfile" TargetMode="External"/><Relationship Id="rId144" Type="http://schemas.openxmlformats.org/officeDocument/2006/relationships/hyperlink" Target="https://www.linkedin.com/learning/00-change-management?trk=ondemandfile" TargetMode="External"/><Relationship Id="rId90" Type="http://schemas.openxmlformats.org/officeDocument/2006/relationships/hyperlink" Target="https://www.linkedin.com/learning/freude-am-lernen-entwickeln?trk=ondemandfile" TargetMode="External"/><Relationship Id="rId165" Type="http://schemas.openxmlformats.org/officeDocument/2006/relationships/hyperlink" Target="https://www.linkedin.com/learning/staying-organized-at-work-and-while-working-remotely?trk=ondemandfile" TargetMode="External"/><Relationship Id="rId186" Type="http://schemas.openxmlformats.org/officeDocument/2006/relationships/hyperlink" Target="https://www.linkedin.com/learning/enhancing-resilience?trk=ondemandfile" TargetMode="External"/><Relationship Id="rId27" Type="http://schemas.openxmlformats.org/officeDocument/2006/relationships/hyperlink" Target="https://www.linkedin.com/learning/paths/innovation-fordern?trk=ondemandfile" TargetMode="External"/><Relationship Id="rId48" Type="http://schemas.openxmlformats.org/officeDocument/2006/relationships/hyperlink" Target="https://www.linkedin.com/learning/managing-stress-for-positive-change-3?trk=ondemandfile" TargetMode="External"/><Relationship Id="rId69" Type="http://schemas.openxmlformats.org/officeDocument/2006/relationships/hyperlink" Target="https://www.linkedin.com/learning/creer-des-conversations-constructives-avec-des-clients-exigeants-clientes-exigeantes?trk=contentmappingfile" TargetMode="External"/><Relationship Id="rId113" Type="http://schemas.openxmlformats.org/officeDocument/2006/relationships/hyperlink" Target="https://www.linkedin.com/learning/staying-positive-in-the-face-of-negativity?trk=ondemandfile" TargetMode="External"/><Relationship Id="rId134" Type="http://schemas.openxmlformats.org/officeDocument/2006/relationships/hyperlink" Target="https://www.linkedin.com/learning/negotiating-work-flexibility?trk=ondemandfile" TargetMode="External"/><Relationship Id="rId80" Type="http://schemas.openxmlformats.org/officeDocument/2006/relationships/hyperlink" Target="https://www.linkedin.com/learning/emotionale-intelligenz-entwickeln?trk=ondemandfile" TargetMode="External"/><Relationship Id="rId155" Type="http://schemas.openxmlformats.org/officeDocument/2006/relationships/hyperlink" Target="https://www.linkedin.com/learning/resilienz-entwickeln?trk=ondemandfile" TargetMode="External"/><Relationship Id="rId176" Type="http://schemas.openxmlformats.org/officeDocument/2006/relationships/hyperlink" Target="https://www.linkedin.com/learning/using-resilience-to-overcome-the-seemingly-impossible?trk=ondemandfile" TargetMode="External"/><Relationship Id="rId197" Type="http://schemas.openxmlformats.org/officeDocument/2006/relationships/hyperlink" Target="https://www.linkedin.com/learning/reframing-the-power-of-changing-your-perspective?trk=ondemandfile" TargetMode="External"/><Relationship Id="rId201" Type="http://schemas.openxmlformats.org/officeDocument/2006/relationships/hyperlink" Target="https://www.linkedin.com/learning/cultivating-mental-agility?trk=ondemandfile" TargetMode="External"/><Relationship Id="rId17" Type="http://schemas.openxmlformats.org/officeDocument/2006/relationships/hyperlink" Target="https://www.linkedin.com/learning/5fc8e748-923d-3c9f-86c2-46dea2131cf2?trk=ondemandfile" TargetMode="External"/><Relationship Id="rId38" Type="http://schemas.openxmlformats.org/officeDocument/2006/relationships/hyperlink" Target="https://de.linkedin.com/learning/paths/starken-sie-ihre-schlusselkompetenzen?trk=ondemandfile" TargetMode="External"/><Relationship Id="rId59" Type="http://schemas.openxmlformats.org/officeDocument/2006/relationships/hyperlink" Target="https://www.linkedin.com/learning/change-management-foundations-2?trk=ondemandfile" TargetMode="External"/><Relationship Id="rId103" Type="http://schemas.openxmlformats.org/officeDocument/2006/relationships/hyperlink" Target="https://www.linkedin.com/learning/building-creative-organizations-3?trk=ondemandfile" TargetMode="External"/><Relationship Id="rId124" Type="http://schemas.openxmlformats.org/officeDocument/2006/relationships/hyperlink" Target="https://www.linkedin.com/learning/digital-transformation-4?trk=ondemandfile" TargetMode="External"/><Relationship Id="rId70" Type="http://schemas.openxmlformats.org/officeDocument/2006/relationships/hyperlink" Target="https://www.linkedin.com/learning/como-desarrollar-tu-propia-capacidad-de-adaptacion?trk=ondemandfile" TargetMode="External"/><Relationship Id="rId91" Type="http://schemas.openxmlformats.org/officeDocument/2006/relationships/hyperlink" Target="https://www.linkedin.com/learning/learning-to-be-assertive-3?trk=ondemandfile" TargetMode="External"/><Relationship Id="rId145" Type="http://schemas.openxmlformats.org/officeDocument/2006/relationships/hyperlink" Target="https://www.linkedin.com/learning/mit-einem-schwierigen-chef-zurechtkommen?trk=ondemandfile" TargetMode="External"/><Relationship Id="rId166" Type="http://schemas.openxmlformats.org/officeDocument/2006/relationships/hyperlink" Target="https://www.linkedin.com/learning/mindfulness-3?trk=ondemandfile" TargetMode="External"/><Relationship Id="rId187" Type="http://schemas.openxmlformats.org/officeDocument/2006/relationships/hyperlink" Target="https://www.linkedin.com/learning/cultivating-a-growth-mindset?trk=ondemandfile" TargetMode="External"/><Relationship Id="rId1" Type="http://schemas.openxmlformats.org/officeDocument/2006/relationships/hyperlink" Target="https://www.linkedin.com/learning/creating-a-culture-of-change?trk=ondemandfile" TargetMode="External"/><Relationship Id="rId28" Type="http://schemas.openxmlformats.org/officeDocument/2006/relationships/hyperlink" Target="https://www.linkedin.com/learning/mindfulness-4?trk=ondemandfile" TargetMode="External"/><Relationship Id="rId49" Type="http://schemas.openxmlformats.org/officeDocument/2006/relationships/hyperlink" Target="https://www.linkedin.com/learning/paths/5e7d3101-368f-3335-9206-178f9e406630?trk=ondemandfile" TargetMode="External"/><Relationship Id="rId114" Type="http://schemas.openxmlformats.org/officeDocument/2006/relationships/hyperlink" Target="https://www.linkedin.com/learning/del-victimismo-a-la-acci-n-asume-el-control?trk=ondemandfile" TargetMode="External"/><Relationship Id="rId60" Type="http://schemas.openxmlformats.org/officeDocument/2006/relationships/hyperlink" Target="https://www.linkedin.com/learning/learning-agility?trk=ondemandfile" TargetMode="External"/><Relationship Id="rId81" Type="http://schemas.openxmlformats.org/officeDocument/2006/relationships/hyperlink" Target="https://www.linkedin.com/learning/developing-resourcefulness-2?trk=ondemandfile" TargetMode="External"/><Relationship Id="rId135" Type="http://schemas.openxmlformats.org/officeDocument/2006/relationships/hyperlink" Target="https://www.linkedin.com/learning/la-transformation-digitale-pour-les-decideurs-decideuses?trk=contentmappingfile" TargetMode="External"/><Relationship Id="rId156" Type="http://schemas.openxmlformats.org/officeDocument/2006/relationships/hyperlink" Target="https://www.linkedin.com/learning/subtle-shifts-in-thinking-for-tremendous-resilience?trk=ondemandfile" TargetMode="External"/><Relationship Id="rId177" Type="http://schemas.openxmlformats.org/officeDocument/2006/relationships/hyperlink" Target="https://www.linkedin.com/learning/conquering-freak-outs-and-the-fear-of-failure?trk=ondemandfile" TargetMode="External"/><Relationship Id="rId198" Type="http://schemas.openxmlformats.org/officeDocument/2006/relationships/hyperlink" Target="https://www.linkedin.com/learning/reshuffle-a-special-series-on-the-new-world-of-work?trk=ondemandfile" TargetMode="External"/><Relationship Id="rId202" Type="http://schemas.openxmlformats.org/officeDocument/2006/relationships/hyperlink" Target="https://www.linkedin.com/learning/your-l-d-organization-as-a-competitive-advantage?trk=ondemandfile" TargetMode="External"/><Relationship Id="rId18" Type="http://schemas.openxmlformats.org/officeDocument/2006/relationships/hyperlink" Target="https://www.linkedin.com/learning/paths/31070ed0-b901-3bf1-af9c-de2667146e4d?trk=ondemandfile" TargetMode="External"/><Relationship Id="rId39" Type="http://schemas.openxmlformats.org/officeDocument/2006/relationships/hyperlink" Target="https://www.linkedin.com/learning/embracing-unexpected-change-14683580?trk=contentmappingfile" TargetMode="External"/><Relationship Id="rId50" Type="http://schemas.openxmlformats.org/officeDocument/2006/relationships/hyperlink" Target="https://www.linkedin.com/learning/the-hard-thing-about-hard-things?trk=ondemandfile" TargetMode="External"/><Relationship Id="rId104" Type="http://schemas.openxmlformats.org/officeDocument/2006/relationships/hyperlink" Target="https://www.linkedin.com/learning/building-the-resources-for-resilience?trk=ondemandfile" TargetMode="External"/><Relationship Id="rId125" Type="http://schemas.openxmlformats.org/officeDocument/2006/relationships/hyperlink" Target="https://www.linkedin.com/learning/insights-on-working-from-home-s-largest-ever-experiment?trk=ondemandfile" TargetMode="External"/><Relationship Id="rId146" Type="http://schemas.openxmlformats.org/officeDocument/2006/relationships/hyperlink" Target="https://www.linkedin.com/learning/disrupting-yourself-2?trk=ondemandfile" TargetMode="External"/><Relationship Id="rId167" Type="http://schemas.openxmlformats.org/officeDocument/2006/relationships/hyperlink" Target="https://www.linkedin.com/learning/00-leading-change?trk=ondemandfile" TargetMode="External"/><Relationship Id="rId188" Type="http://schemas.openxmlformats.org/officeDocument/2006/relationships/hyperlink" Target="https://www.linkedin.com/learning/delivering-results-effectively?trk=ondemandfile" TargetMode="External"/><Relationship Id="rId71" Type="http://schemas.openxmlformats.org/officeDocument/2006/relationships/hyperlink" Target="https://www.linkedin.com/learning/ein-agiles-mindset-entwickeln?trk=ondemandfile" TargetMode="External"/><Relationship Id="rId92" Type="http://schemas.openxmlformats.org/officeDocument/2006/relationships/hyperlink" Target="https://www.linkedin.com/learning/developing-adaptability-as-a-manager?trk=ondemandfile"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s://www.linkedin.com/learning/00-ergebnis-manag?trk=ondemandfile" TargetMode="External"/><Relationship Id="rId21" Type="http://schemas.openxmlformats.org/officeDocument/2006/relationships/hyperlink" Target="https://www.linkedin.com/learning/big-data-no-rh-o-impacto-dos-dados-no-bem-estar-dos-colaboradores?trk=contentmappingfile" TargetMode="External"/><Relationship Id="rId63" Type="http://schemas.openxmlformats.org/officeDocument/2006/relationships/hyperlink" Target="https://www.linkedin.com/learning/rewarding-employee-performance?trk=ondemandfile" TargetMode="External"/><Relationship Id="rId159" Type="http://schemas.openxmlformats.org/officeDocument/2006/relationships/hyperlink" Target="https://www.linkedin.com/learning/00-desarrolla-la-adaptabilidad-de-tus-empleados?trk=ondemandfile" TargetMode="External"/><Relationship Id="rId170" Type="http://schemas.openxmlformats.org/officeDocument/2006/relationships/hyperlink" Target="https://www.linkedin.com/learning/managing-a-diverse-team-2?trk=ondemandfile" TargetMode="External"/><Relationship Id="rId226" Type="http://schemas.openxmlformats.org/officeDocument/2006/relationships/hyperlink" Target="https://www.linkedin.com/learning/a-strengths-based-approach-to-managing-your-team?trk=ondemandfile" TargetMode="External"/><Relationship Id="rId268" Type="http://schemas.openxmlformats.org/officeDocument/2006/relationships/hyperlink" Target="https://www.linkedin.com/learning/00-beurteilung?trk=ondemandfile" TargetMode="External"/><Relationship Id="rId32" Type="http://schemas.openxmlformats.org/officeDocument/2006/relationships/hyperlink" Target="https://www.linkedin.com/learning/microsoft-teams-meetings-and-live-events?trk=ondemandfile" TargetMode="External"/><Relationship Id="rId74" Type="http://schemas.openxmlformats.org/officeDocument/2006/relationships/hyperlink" Target="https://www.linkedin.com/learning/das-personal-der-zukunft?trk=ondemandfile" TargetMode="External"/><Relationship Id="rId128" Type="http://schemas.openxmlformats.org/officeDocument/2006/relationships/hyperlink" Target="https://www.linkedin.com/learning/fuhren-mit-innovation?trk=ondemandfile" TargetMode="External"/><Relationship Id="rId5" Type="http://schemas.openxmlformats.org/officeDocument/2006/relationships/hyperlink" Target="https://www.linkedin.com/learning/paths/conviertete-en-jefe-de-equipo-2?trk=ondemandfile" TargetMode="External"/><Relationship Id="rId181" Type="http://schemas.openxmlformats.org/officeDocument/2006/relationships/hyperlink" Target="https://www.linkedin.com/learning/00-fundamentos-de-la-gestion-de-proyectos-liderazgo?trk=ondemandfile" TargetMode="External"/><Relationship Id="rId237" Type="http://schemas.openxmlformats.org/officeDocument/2006/relationships/hyperlink" Target="https://www.linkedin.com/learning/the-ideal-team-player-getabstract-summary?trk=ondemandfile" TargetMode="External"/><Relationship Id="rId279" Type="http://schemas.openxmlformats.org/officeDocument/2006/relationships/hyperlink" Target="https://www.linkedin.com/learning/creating-an-adaptable-team?trk=ondemandfile" TargetMode="External"/><Relationship Id="rId22" Type="http://schemas.openxmlformats.org/officeDocument/2006/relationships/hyperlink" Target="https://www.linkedin.com/learning/paths/como-desenvolver-a-colaboracao-entre-a-equipe?trk=ondemandfile" TargetMode="External"/><Relationship Id="rId43" Type="http://schemas.openxmlformats.org/officeDocument/2006/relationships/hyperlink" Target="https://www.linkedin.com/learning/organizational-culture-2?trk=ondemandfile" TargetMode="External"/><Relationship Id="rId64" Type="http://schemas.openxmlformats.org/officeDocument/2006/relationships/hyperlink" Target="https://www.linkedin.com/learning/como-crear-una-cultura-de-alto-rendimiento?trk=ondemandfile" TargetMode="External"/><Relationship Id="rId118" Type="http://schemas.openxmlformats.org/officeDocument/2006/relationships/hyperlink" Target="https://www.linkedin.com/learning/coaching-and-developing-employee?trk=ondemandfile" TargetMode="External"/><Relationship Id="rId139" Type="http://schemas.openxmlformats.org/officeDocument/2006/relationships/hyperlink" Target="https://www.linkedin.com/learning/coaching-and-developing-employees-2019?trk=ondemandfile" TargetMode="External"/><Relationship Id="rId85" Type="http://schemas.openxmlformats.org/officeDocument/2006/relationships/hyperlink" Target="https://www.linkedin.com/learning/c-mo-gestionar-equipos-de-trabajo?trk=ondemandfile" TargetMode="External"/><Relationship Id="rId150" Type="http://schemas.openxmlformats.org/officeDocument/2006/relationships/hyperlink" Target="https://www.linkedin.com/learning/como-ser-un-miembro-eficaz-del-equipo?trk=contentmappingfile" TargetMode="External"/><Relationship Id="rId171" Type="http://schemas.openxmlformats.org/officeDocument/2006/relationships/hyperlink" Target="https://www.linkedin.com/learning/building-high-performance-teams?trk=ondemandfile" TargetMode="External"/><Relationship Id="rId192" Type="http://schemas.openxmlformats.org/officeDocument/2006/relationships/hyperlink" Target="https://www.linkedin.com/learning/managing-a-diverse-team?trk=ondemandfile" TargetMode="External"/><Relationship Id="rId206" Type="http://schemas.openxmlformats.org/officeDocument/2006/relationships/hyperlink" Target="https://www.linkedin.com/learning/00-liderazgo-y-trabajo-en-equipo?trk=ondemandfile" TargetMode="External"/><Relationship Id="rId227" Type="http://schemas.openxmlformats.org/officeDocument/2006/relationships/hyperlink" Target="https://www.linkedin.com/learning/00-fundamentos-del-trabajo-en-equipo?trk=ondemandfile" TargetMode="External"/><Relationship Id="rId248" Type="http://schemas.openxmlformats.org/officeDocument/2006/relationships/hyperlink" Target="https://www.linkedin.com/learning/storytelling-fur-fuhrungskrafte?trk=ondemandfile" TargetMode="External"/><Relationship Id="rId269" Type="http://schemas.openxmlformats.org/officeDocument/2006/relationships/hyperlink" Target="https://www.linkedin.com/learning/essentials-of-team-collaboration?trk=ondemandfile" TargetMode="External"/><Relationship Id="rId12" Type="http://schemas.openxmlformats.org/officeDocument/2006/relationships/hyperlink" Target="https://www.linkedin.com/learning/paths/3db8a531-c16b-3623-9891-2cd47ac19f68?trk=ondemandfile" TargetMode="External"/><Relationship Id="rId33" Type="http://schemas.openxmlformats.org/officeDocument/2006/relationships/hyperlink" Target="https://www.linkedin.com/learning/paths/trabalho-remoto-colaboracao-foco-e-produtividade?trk=ondemandfile" TargetMode="External"/><Relationship Id="rId108" Type="http://schemas.openxmlformats.org/officeDocument/2006/relationships/hyperlink" Target="https://www.linkedin.com/learning/communication-within-teams-3?trk=ondemandfile" TargetMode="External"/><Relationship Id="rId129" Type="http://schemas.openxmlformats.org/officeDocument/2006/relationships/hyperlink" Target="https://www.linkedin.com/learning/building-your-team-4?trk=ondemandfile" TargetMode="External"/><Relationship Id="rId280" Type="http://schemas.openxmlformats.org/officeDocument/2006/relationships/hyperlink" Target="https://www.linkedin.com/learning/leading-a-customer-service-team?trk=ondemandfile" TargetMode="External"/><Relationship Id="rId54" Type="http://schemas.openxmlformats.org/officeDocument/2006/relationships/hyperlink" Target="https://www.linkedin.com/learning/the-long-distance-leader-getabstract-summary?trk=ondemandfile" TargetMode="External"/><Relationship Id="rId75" Type="http://schemas.openxmlformats.org/officeDocument/2006/relationships/hyperlink" Target="https://www.linkedin.com/learning/managing-virtual-teams?trk=ondemandfile" TargetMode="External"/><Relationship Id="rId96" Type="http://schemas.openxmlformats.org/officeDocument/2006/relationships/hyperlink" Target="https://www.linkedin.com/learning/00-teamkreativitat?trk=ondemandfile" TargetMode="External"/><Relationship Id="rId140" Type="http://schemas.openxmlformats.org/officeDocument/2006/relationships/hyperlink" Target="https://www.linkedin.com/learning/como-orientar-y-desarrollar-a-tu-personal?trk=contentmappingfile" TargetMode="External"/><Relationship Id="rId161" Type="http://schemas.openxmlformats.org/officeDocument/2006/relationships/hyperlink" Target="https://www.linkedin.com/learning/como-passar-da-colaboracao-a-gerencia?trk=contentmappingfile" TargetMode="External"/><Relationship Id="rId182" Type="http://schemas.openxmlformats.org/officeDocument/2006/relationships/hyperlink" Target="https://www.linkedin.com/learning/hybride-teams-fuhren?trk=contentmappingfile" TargetMode="External"/><Relationship Id="rId217" Type="http://schemas.openxmlformats.org/officeDocument/2006/relationships/hyperlink" Target="https://www.linkedin.com/learning/leading-productive-one-on-one-meetings?trk=ondemandfile" TargetMode="External"/><Relationship Id="rId6" Type="http://schemas.openxmlformats.org/officeDocument/2006/relationships/hyperlink" Target="https://www.linkedin.com/learning/agil-arbeiten-agile-meetings-produktiv-durchfuhren?trk=ondemandfile" TargetMode="External"/><Relationship Id="rId238" Type="http://schemas.openxmlformats.org/officeDocument/2006/relationships/hyperlink" Target="https://www.linkedin.com/learning/neue-fuhrungskrafte-fuhren?trk=ondemandfile" TargetMode="External"/><Relationship Id="rId259" Type="http://schemas.openxmlformats.org/officeDocument/2006/relationships/hyperlink" Target="https://www.linkedin.com/learning/the-art-of-leadership-getabstract-summary?trk=ondemandfile" TargetMode="External"/><Relationship Id="rId23" Type="http://schemas.openxmlformats.org/officeDocument/2006/relationships/hyperlink" Target="https://www.linkedin.com/learning/transitioning-from-individual-contributor-to-manager-3?trk=ondemandfile" TargetMode="External"/><Relationship Id="rId119" Type="http://schemas.openxmlformats.org/officeDocument/2006/relationships/hyperlink" Target="https://www.linkedin.com/learning/supporting-a-grieving-employee-a-manager-s-guide-3?trk=contentmappingfile" TargetMode="External"/><Relationship Id="rId270" Type="http://schemas.openxmlformats.org/officeDocument/2006/relationships/hyperlink" Target="https://www.linkedin.com/learning/00-ohnmaechtig?trk=ondemandfile" TargetMode="External"/><Relationship Id="rId44" Type="http://schemas.openxmlformats.org/officeDocument/2006/relationships/hyperlink" Target="https://www.linkedin.com/learning/creating-a-high-performance-culture?trk=ondemandfile" TargetMode="External"/><Relationship Id="rId65" Type="http://schemas.openxmlformats.org/officeDocument/2006/relationships/hyperlink" Target="https://www.linkedin.com/learning/paths/amplia-tus-competencias-de-trabajo-en-equipo-colaborativo-y-digital?trk=ondemandfile" TargetMode="External"/><Relationship Id="rId86" Type="http://schemas.openxmlformats.org/officeDocument/2006/relationships/hyperlink" Target="https://www.linkedin.com/learning/die-ersten-100-tage-als-fuhrungskraft-2?trk=ondemandfile" TargetMode="External"/><Relationship Id="rId130" Type="http://schemas.openxmlformats.org/officeDocument/2006/relationships/hyperlink" Target="https://www.linkedin.com/learning/hiring-an-employee-for-managers?trk=ondemandfile" TargetMode="External"/><Relationship Id="rId151" Type="http://schemas.openxmlformats.org/officeDocument/2006/relationships/hyperlink" Target="https://www.linkedin.com/learning/00-fuhrungsfallen?trk=ondemandfile" TargetMode="External"/><Relationship Id="rId172" Type="http://schemas.openxmlformats.org/officeDocument/2006/relationships/hyperlink" Target="https://www.linkedin.com/learning/fundamentos-de-gestion-de-equipos-it-y-programacion?trk=ondemandfile" TargetMode="External"/><Relationship Id="rId193" Type="http://schemas.openxmlformats.org/officeDocument/2006/relationships/hyperlink" Target="https://www.linkedin.com/learning/herramientas-online-para-teletrabajo-trucos?trk=ondemandfile" TargetMode="External"/><Relationship Id="rId207" Type="http://schemas.openxmlformats.org/officeDocument/2006/relationships/hyperlink" Target="https://www.linkedin.com/learning/00-korpersprache?trk=ondemandfile" TargetMode="External"/><Relationship Id="rId228" Type="http://schemas.openxmlformats.org/officeDocument/2006/relationships/hyperlink" Target="https://www.linkedin.com/learning/mitarbeiter-innen-motivieren?trk=ondemandfile" TargetMode="External"/><Relationship Id="rId249" Type="http://schemas.openxmlformats.org/officeDocument/2006/relationships/hyperlink" Target="https://www.linkedin.com/learning/leading-remote-projects-and-virtual-teams?trk=ondemandfile" TargetMode="External"/><Relationship Id="rId13" Type="http://schemas.openxmlformats.org/officeDocument/2006/relationships/hyperlink" Target="https://www.linkedin.com/learning/the-new-rules-of-work?trk=ondemandfile" TargetMode="External"/><Relationship Id="rId109" Type="http://schemas.openxmlformats.org/officeDocument/2006/relationships/hyperlink" Target="https://www.linkedin.com/learning/how-to-give-and-receive-useful-feedback-every-month?trk=ondemandfile" TargetMode="External"/><Relationship Id="rId260" Type="http://schemas.openxmlformats.org/officeDocument/2006/relationships/hyperlink" Target="https://www.linkedin.com/learning/00-fuhrungstipps?trk=ondemandfile" TargetMode="External"/><Relationship Id="rId281" Type="http://schemas.openxmlformats.org/officeDocument/2006/relationships/hyperlink" Target="https://www.linkedin.com/learning/leveraging-virtual-and-hybrid-teams-for-improved-effectiveness?trk=ondemandfile" TargetMode="External"/><Relationship Id="rId34" Type="http://schemas.openxmlformats.org/officeDocument/2006/relationships/hyperlink" Target="https://www.linkedin.com/learning/managing-for-results-2?trk=ondemandfile" TargetMode="External"/><Relationship Id="rId55" Type="http://schemas.openxmlformats.org/officeDocument/2006/relationships/hyperlink" Target="https://www.linkedin.com/learning/paths/improve-your-teamwork-skills?trk=ondemandfile" TargetMode="External"/><Relationship Id="rId76" Type="http://schemas.openxmlformats.org/officeDocument/2006/relationships/hyperlink" Target="https://www.linkedin.com/learning/communicating-with-empathy-2?trk=ondemandfile" TargetMode="External"/><Relationship Id="rId97" Type="http://schemas.openxmlformats.org/officeDocument/2006/relationships/hyperlink" Target="https://www.linkedin.com/learning/managing-high-potentials-15917491?trk=contentmappingfile" TargetMode="External"/><Relationship Id="rId120" Type="http://schemas.openxmlformats.org/officeDocument/2006/relationships/hyperlink" Target="https://www.linkedin.com/learning/identify-and-unleash-potential-in-your-employees?trk=ondemandfile" TargetMode="External"/><Relationship Id="rId141" Type="http://schemas.openxmlformats.org/officeDocument/2006/relationships/hyperlink" Target="https://www.linkedin.com/learning/fuhrung-im-team-warum-teams-die-besseren-fuhrungskrafte-sind?trk=contentmappingfile" TargetMode="External"/><Relationship Id="rId7" Type="http://schemas.openxmlformats.org/officeDocument/2006/relationships/hyperlink" Target="https://www.linkedin.com/learning/paths/die-zusammenarbeit-fordern?trk=ondemandfile" TargetMode="External"/><Relationship Id="rId162" Type="http://schemas.openxmlformats.org/officeDocument/2006/relationships/hyperlink" Target="https://www.linkedin.com/learning/managing-employee-performance-problems-5?trk=ondemandfile" TargetMode="External"/><Relationship Id="rId183" Type="http://schemas.openxmlformats.org/officeDocument/2006/relationships/hyperlink" Target="https://www.linkedin.com/learning/managing-high-potentials-3?trk=ondemandfile" TargetMode="External"/><Relationship Id="rId218" Type="http://schemas.openxmlformats.org/officeDocument/2006/relationships/hyperlink" Target="https://www.linkedin.com/learning/management-tips?trk=ondemandfile" TargetMode="External"/><Relationship Id="rId239" Type="http://schemas.openxmlformats.org/officeDocument/2006/relationships/hyperlink" Target="https://www.linkedin.com/learning/motivating-your-team-to-learn?trk=ondemandfile" TargetMode="External"/><Relationship Id="rId250" Type="http://schemas.openxmlformats.org/officeDocument/2006/relationships/hyperlink" Target="https://www.linkedin.com/learning/systemisch-fuhren?trk=ondemandfile" TargetMode="External"/><Relationship Id="rId271" Type="http://schemas.openxmlformats.org/officeDocument/2006/relationships/hyperlink" Target="https://www.linkedin.com/learning/best-practices-for-new-people-leaders?trk=ondemandfile" TargetMode="External"/><Relationship Id="rId24" Type="http://schemas.openxmlformats.org/officeDocument/2006/relationships/hyperlink" Target="https://www.linkedin.com/learning/paths/6844219d-129d-3432-be7a-4c32e6eaf336?trk=ondemandfile" TargetMode="External"/><Relationship Id="rId45" Type="http://schemas.openxmlformats.org/officeDocument/2006/relationships/hyperlink" Target="https://www.linkedin.com/learning/paths/managing-performance?trk=ondemandfile" TargetMode="External"/><Relationship Id="rId66" Type="http://schemas.openxmlformats.org/officeDocument/2006/relationships/hyperlink" Target="https://www.linkedin.com/learning/besprechungen-moderieren?trk=ondemandfile" TargetMode="External"/><Relationship Id="rId87" Type="http://schemas.openxmlformats.org/officeDocument/2006/relationships/hyperlink" Target="https://www.linkedin.com/learning/business-english-foundations-conducting-meetings?trk=ondemandfile" TargetMode="External"/><Relationship Id="rId110" Type="http://schemas.openxmlformats.org/officeDocument/2006/relationships/hyperlink" Target="https://www.linkedin.com/learning/como-integrar-a-personas-nuevas-en-la-empresa?trk=contentmappingfile" TargetMode="External"/><Relationship Id="rId131" Type="http://schemas.openxmlformats.org/officeDocument/2006/relationships/hyperlink" Target="https://www.linkedin.com/learning/como-medir-el-rendimiento-de-tu-equipo?trk=contentmappingfile" TargetMode="External"/><Relationship Id="rId152" Type="http://schemas.openxmlformats.org/officeDocument/2006/relationships/hyperlink" Target="https://www.linkedin.com/learning/unlock-your-team-s-creativity-2?trk=ondemandfile" TargetMode="External"/><Relationship Id="rId173" Type="http://schemas.openxmlformats.org/officeDocument/2006/relationships/hyperlink" Target="https://www.linkedin.com/learning/grundlagen-von-fuhrung-2?trk=ondemandfile" TargetMode="External"/><Relationship Id="rId194" Type="http://schemas.openxmlformats.org/officeDocument/2006/relationships/hyperlink" Target="https://www.linkedin.com/learning/im-team-kommunizieren?trk=ondemandfile" TargetMode="External"/><Relationship Id="rId208" Type="http://schemas.openxmlformats.org/officeDocument/2006/relationships/hyperlink" Target="https://www.linkedin.com/learning/gestao-de-conflitos-como-lidar-com-as-divergencias-na-empresa?trk=contentmappingfile" TargetMode="External"/><Relationship Id="rId229" Type="http://schemas.openxmlformats.org/officeDocument/2006/relationships/hyperlink" Target="https://www.linkedin.com/learning/strategies-for-effective-leadership-teams?trk=ondemandfile" TargetMode="External"/><Relationship Id="rId240" Type="http://schemas.openxmlformats.org/officeDocument/2006/relationships/hyperlink" Target="https://www.linkedin.com/learning/00-onboarding?trk=ondemandfile" TargetMode="External"/><Relationship Id="rId261" Type="http://schemas.openxmlformats.org/officeDocument/2006/relationships/hyperlink" Target="https://www.linkedin.com/learning/boosting-your-team-s-productivity?trk=ondemandfile" TargetMode="External"/><Relationship Id="rId14" Type="http://schemas.openxmlformats.org/officeDocument/2006/relationships/hyperlink" Target="https://www.linkedin.com/learning/paths/build-and-manage-effective-teams?trk=ondemandfile" TargetMode="External"/><Relationship Id="rId35" Type="http://schemas.openxmlformats.org/officeDocument/2006/relationships/hyperlink" Target="https://www.linkedin.com/learning/paths/90c69069-2437-32f7-a15c-be75af1531ab?trk=ondemandfile" TargetMode="External"/><Relationship Id="rId56" Type="http://schemas.openxmlformats.org/officeDocument/2006/relationships/hyperlink" Target="https://www.linkedin.com/learning/coacher-et-aider-ses-employes-employees-a-se-developper?trk=contentmappingfile" TargetMode="External"/><Relationship Id="rId77" Type="http://schemas.openxmlformats.org/officeDocument/2006/relationships/hyperlink" Target="https://www.linkedin.com/learning/measuring-team-performance?trk=ondemandfile" TargetMode="External"/><Relationship Id="rId100" Type="http://schemas.openxmlformats.org/officeDocument/2006/relationships/hyperlink" Target="https://www.linkedin.com/learning/como-hacer-coaching-a-tu-personal-para-obtener-resultados?trk=contentmappingfile" TargetMode="External"/><Relationship Id="rId282" Type="http://schemas.openxmlformats.org/officeDocument/2006/relationships/hyperlink" Target="https://www.linkedin.com/learning/microsoft-teams-successful-meetings-and-events?trk=ondemandfile" TargetMode="External"/><Relationship Id="rId8" Type="http://schemas.openxmlformats.org/officeDocument/2006/relationships/hyperlink" Target="https://www.linkedin.com/learning/conducting-one-on-one-meetings?trk=contentmappingfile" TargetMode="External"/><Relationship Id="rId98" Type="http://schemas.openxmlformats.org/officeDocument/2006/relationships/hyperlink" Target="https://www.linkedin.com/learning/teamwork-foundations-3?trk=ondemandfile" TargetMode="External"/><Relationship Id="rId121" Type="http://schemas.openxmlformats.org/officeDocument/2006/relationships/hyperlink" Target="https://www.linkedin.com/learning/developper-l-engagement-des-employes-employees?trk=contentmappingfile" TargetMode="External"/><Relationship Id="rId142" Type="http://schemas.openxmlformats.org/officeDocument/2006/relationships/hyperlink" Target="https://www.linkedin.com/learning/como-liderar-e-incentivar-equipes-virtuais-para-estimular-a-motivacao-no-trabalho?trk=contentmappingfile" TargetMode="External"/><Relationship Id="rId163" Type="http://schemas.openxmlformats.org/officeDocument/2006/relationships/hyperlink" Target="https://www.linkedin.com/learning/leading-inclusive-teams?trk=ondemandfile" TargetMode="External"/><Relationship Id="rId184" Type="http://schemas.openxmlformats.org/officeDocument/2006/relationships/hyperlink" Target="https://www.linkedin.com/learning/leading-and-working-in-teams?trk=ondemandfile" TargetMode="External"/><Relationship Id="rId219" Type="http://schemas.openxmlformats.org/officeDocument/2006/relationships/hyperlink" Target="https://www.linkedin.com/learning/teletrabajo-y-gestion-de-equipos-remotos?trk=contentmappingfile" TargetMode="External"/><Relationship Id="rId230" Type="http://schemas.openxmlformats.org/officeDocument/2006/relationships/hyperlink" Target="https://www.linkedin.com/learning/00-working-in-virtual-teams?trk=ondemandfile" TargetMode="External"/><Relationship Id="rId251" Type="http://schemas.openxmlformats.org/officeDocument/2006/relationships/hyperlink" Target="https://www.linkedin.com/learning/communication-within-teams?trk=ondemandfile" TargetMode="External"/><Relationship Id="rId25" Type="http://schemas.openxmlformats.org/officeDocument/2006/relationships/hyperlink" Target="https://www.linkedin.com/learning/reid-hoffman-and-chris-yeh-on-creating-an-alliance-with-employees?trk=ondemandfile" TargetMode="External"/><Relationship Id="rId46" Type="http://schemas.openxmlformats.org/officeDocument/2006/relationships/hyperlink" Target="https://www.linkedin.com/learning/choisir-d-etre-un-bon-manager?trk=contentmappingfile" TargetMode="External"/><Relationship Id="rId67" Type="http://schemas.openxmlformats.org/officeDocument/2006/relationships/hyperlink" Target="https://www.linkedin.com/learning/paths/teams-aufbauen-und-fuehren?trk=ondemandfile" TargetMode="External"/><Relationship Id="rId272" Type="http://schemas.openxmlformats.org/officeDocument/2006/relationships/hyperlink" Target="https://www.linkedin.com/learning/werteorientiertes-management?trk=ondemandfile" TargetMode="External"/><Relationship Id="rId88" Type="http://schemas.openxmlformats.org/officeDocument/2006/relationships/hyperlink" Target="https://www.linkedin.com/learning/creating-the-conditions-for-others-to-thrive-9615462?trk=contentmappingfile" TargetMode="External"/><Relationship Id="rId111" Type="http://schemas.openxmlformats.org/officeDocument/2006/relationships/hyperlink" Target="https://www.linkedin.com/learning/erfahrene-fuhrungskrafte-fuhren?trk=ondemandfile" TargetMode="External"/><Relationship Id="rId132" Type="http://schemas.openxmlformats.org/officeDocument/2006/relationships/hyperlink" Target="https://www.linkedin.com/learning/fuhren-ohne-positionsmacht?trk=ondemandfile" TargetMode="External"/><Relationship Id="rId153" Type="http://schemas.openxmlformats.org/officeDocument/2006/relationships/hyperlink" Target="https://www.linkedin.com/learning/managing-virtual-teams-2019?trk=ondemandfile" TargetMode="External"/><Relationship Id="rId174" Type="http://schemas.openxmlformats.org/officeDocument/2006/relationships/hyperlink" Target="https://www.linkedin.com/learning/contratacao-e-desenvolvimento-de-futuros-colaboradores-e-colaboradoras?trk=contentmappingfile" TargetMode="External"/><Relationship Id="rId195" Type="http://schemas.openxmlformats.org/officeDocument/2006/relationships/hyperlink" Target="https://www.linkedin.com/learning/measuring-team-performance-5?trk=ondemandfile" TargetMode="External"/><Relationship Id="rId209" Type="http://schemas.openxmlformats.org/officeDocument/2006/relationships/hyperlink" Target="https://www.linkedin.com/learning/project-management-foundations-teams-2?trk=ondemandfile" TargetMode="External"/><Relationship Id="rId220" Type="http://schemas.openxmlformats.org/officeDocument/2006/relationships/hyperlink" Target="https://www.linkedin.com/learning/00-mitarbeiter-entickeln?trk=ondemandfile" TargetMode="External"/><Relationship Id="rId241" Type="http://schemas.openxmlformats.org/officeDocument/2006/relationships/hyperlink" Target="https://www.linkedin.com/learning/dealing-with-the-seven-deadly-wastes?trk=ondemandfile" TargetMode="External"/><Relationship Id="rId15" Type="http://schemas.openxmlformats.org/officeDocument/2006/relationships/hyperlink" Target="https://www.linkedin.com/learning/accroitre-la-securite-psychologique-de-votre-equipe?trk=contentmappingfile" TargetMode="External"/><Relationship Id="rId36" Type="http://schemas.openxmlformats.org/officeDocument/2006/relationships/hyperlink" Target="https://www.linkedin.com/learning/doing-good-to-build-a-profitable-business?trk=ondemandfile" TargetMode="External"/><Relationship Id="rId57" Type="http://schemas.openxmlformats.org/officeDocument/2006/relationships/hyperlink" Target="https://www.linkedin.com/learning/00-building-high-performance-teams?trk=ondemandfile" TargetMode="External"/><Relationship Id="rId262" Type="http://schemas.openxmlformats.org/officeDocument/2006/relationships/hyperlink" Target="https://www.linkedin.com/learning/00-leading-change?trk=ondemandfile" TargetMode="External"/><Relationship Id="rId283" Type="http://schemas.openxmlformats.org/officeDocument/2006/relationships/hyperlink" Target="https://www.linkedin.com/learning/creating-a-communications-strategy?trk=ondemandfile" TargetMode="External"/><Relationship Id="rId78" Type="http://schemas.openxmlformats.org/officeDocument/2006/relationships/hyperlink" Target="https://www.linkedin.com/learning/conseils-d-experte-manager-la-generation-z?trk=contentmappingfile" TargetMode="External"/><Relationship Id="rId99" Type="http://schemas.openxmlformats.org/officeDocument/2006/relationships/hyperlink" Target="https://www.linkedin.com/learning/culture-of-kaizen?trk=ondemandfile" TargetMode="External"/><Relationship Id="rId101" Type="http://schemas.openxmlformats.org/officeDocument/2006/relationships/hyperlink" Target="https://www.linkedin.com/learning/durch-360-grad-fuhrung-aufsteigen?trk=ondemandfile" TargetMode="External"/><Relationship Id="rId122" Type="http://schemas.openxmlformats.org/officeDocument/2006/relationships/hyperlink" Target="https://www.linkedin.com/learning/como-liderar-equipos-inclusivos?trk=ondemandfile" TargetMode="External"/><Relationship Id="rId143" Type="http://schemas.openxmlformats.org/officeDocument/2006/relationships/hyperlink" Target="https://www.linkedin.com/learning/agile-at-work-driving-productive-agile-meetings-3?trk=ondemandfile" TargetMode="External"/><Relationship Id="rId164" Type="http://schemas.openxmlformats.org/officeDocument/2006/relationships/hyperlink" Target="https://www.linkedin.com/learning/el-futuro-de-la-gestion-del-rendimiento?trk=ondemandfile" TargetMode="External"/><Relationship Id="rId185" Type="http://schemas.openxmlformats.org/officeDocument/2006/relationships/hyperlink" Target="https://www.linkedin.com/learning/fundamentos-de-la-productividad?trk=ondemandfile" TargetMode="External"/><Relationship Id="rId9" Type="http://schemas.openxmlformats.org/officeDocument/2006/relationships/hyperlink" Target="https://www.linkedin.com/learning/paths/9577cb77-9246-370e-bb07-e3ee1a2ea5fe?trk=ondemandfile" TargetMode="External"/><Relationship Id="rId210" Type="http://schemas.openxmlformats.org/officeDocument/2006/relationships/hyperlink" Target="https://www.linkedin.com/learning/managing-for-better-ideas?trk=ondemandfile" TargetMode="External"/><Relationship Id="rId26" Type="http://schemas.openxmlformats.org/officeDocument/2006/relationships/hyperlink" Target="https://www.linkedin.com/learning/paths/fostering-collaboration?trk=ondemandfile" TargetMode="External"/><Relationship Id="rId231" Type="http://schemas.openxmlformats.org/officeDocument/2006/relationships/hyperlink" Target="https://www.linkedin.com/learning/feel-good-management?trk=ondemandfile" TargetMode="External"/><Relationship Id="rId252" Type="http://schemas.openxmlformats.org/officeDocument/2006/relationships/hyperlink" Target="https://www.linkedin.com/learning/talente-finden-und-binden?trk=ondemandfile" TargetMode="External"/><Relationship Id="rId273" Type="http://schemas.openxmlformats.org/officeDocument/2006/relationships/hyperlink" Target="https://www.linkedin.com/learning/backgrounder-difficult-conversations-and-negotiations?trk=ondemandfile" TargetMode="External"/><Relationship Id="rId47" Type="http://schemas.openxmlformats.org/officeDocument/2006/relationships/hyperlink" Target="https://www.linkedin.com/learning/communication-within-teams-2?trk=ondemandfile" TargetMode="External"/><Relationship Id="rId68" Type="http://schemas.openxmlformats.org/officeDocument/2006/relationships/hyperlink" Target="https://www.linkedin.com/learning/leading-and-working-in-teams-2?trk=ondemandfile" TargetMode="External"/><Relationship Id="rId89" Type="http://schemas.openxmlformats.org/officeDocument/2006/relationships/hyperlink" Target="https://www.linkedin.com/learning/build-your-team?trk=ondemandfile" TargetMode="External"/><Relationship Id="rId112" Type="http://schemas.openxmlformats.org/officeDocument/2006/relationships/hyperlink" Target="https://www.linkedin.com/learning/managing-meetings-2?trk=ondemandfile" TargetMode="External"/><Relationship Id="rId133" Type="http://schemas.openxmlformats.org/officeDocument/2006/relationships/hyperlink" Target="https://www.linkedin.com/learning/como-integrar-novos-colaboradores-e-colaboradoras-a-empresa?trk=contentmappingfile" TargetMode="External"/><Relationship Id="rId154" Type="http://schemas.openxmlformats.org/officeDocument/2006/relationships/hyperlink" Target="https://www.linkedin.com/learning/creatividad-en-la-empresa?trk=ondemandfile" TargetMode="External"/><Relationship Id="rId175" Type="http://schemas.openxmlformats.org/officeDocument/2006/relationships/hyperlink" Target="https://www.linkedin.com/learning/managing-new-managers-4?trk=ondemandfile" TargetMode="External"/><Relationship Id="rId196" Type="http://schemas.openxmlformats.org/officeDocument/2006/relationships/hyperlink" Target="https://www.linkedin.com/learning/managing-team-conflict?trk=ondemandfile" TargetMode="External"/><Relationship Id="rId200" Type="http://schemas.openxmlformats.org/officeDocument/2006/relationships/hyperlink" Target="https://www.linkedin.com/learning/practicing-fairness-as-a-manager?trk=ondemandfile" TargetMode="External"/><Relationship Id="rId16" Type="http://schemas.openxmlformats.org/officeDocument/2006/relationships/hyperlink" Target="https://www.linkedin.com/learning/agile-en-accion-impulsar-reuniones-agiles-y-productivas?trk=ondemandfile" TargetMode="External"/><Relationship Id="rId221" Type="http://schemas.openxmlformats.org/officeDocument/2006/relationships/hyperlink" Target="https://www.linkedin.com/learning/gestao-de-novos-cargos-de-gerencia?trk=contentmappingfile" TargetMode="External"/><Relationship Id="rId242" Type="http://schemas.openxmlformats.org/officeDocument/2006/relationships/hyperlink" Target="https://www.linkedin.com/learning/personalwesen-onboarding-programme-durchfuhren?trk=ondemandfile" TargetMode="External"/><Relationship Id="rId263" Type="http://schemas.openxmlformats.org/officeDocument/2006/relationships/hyperlink" Target="https://www.linkedin.com/learning/shane-snow-on-dream-teams?trk=ondemandfile" TargetMode="External"/><Relationship Id="rId284" Type="http://schemas.openxmlformats.org/officeDocument/2006/relationships/hyperlink" Target="https://www.linkedin.com/learning/creating-the-environment-for-productive-virtual-teams?trk=ondemandfile" TargetMode="External"/><Relationship Id="rId37" Type="http://schemas.openxmlformats.org/officeDocument/2006/relationships/hyperlink" Target="https://www.linkedin.com/learning/paths/improve-your-coaching-skills-as-a-manager?trk=ondemandfile" TargetMode="External"/><Relationship Id="rId58" Type="http://schemas.openxmlformats.org/officeDocument/2006/relationships/hyperlink" Target="https://www.linkedin.com/learning/paths/liderazgo-en-tiempos-de-transformacion-digital?trk=ondemandfile" TargetMode="External"/><Relationship Id="rId79" Type="http://schemas.openxmlformats.org/officeDocument/2006/relationships/hyperlink" Target="https://www.linkedin.com/learning/como-dar-y-recibir-feedback-o-retroalimentacion?trk=contentmappingfile" TargetMode="External"/><Relationship Id="rId102" Type="http://schemas.openxmlformats.org/officeDocument/2006/relationships/hyperlink" Target="https://www.linkedin.com/learning/leading-productive-meetings?trk=ondemandfile" TargetMode="External"/><Relationship Id="rId123" Type="http://schemas.openxmlformats.org/officeDocument/2006/relationships/hyperlink" Target="https://www.linkedin.com/learning/expert-innen-fuhren?trk=ondemandfile" TargetMode="External"/><Relationship Id="rId144" Type="http://schemas.openxmlformats.org/officeDocument/2006/relationships/hyperlink" Target="https://www.linkedin.com/learning/improving-employee-performance?trk=ondemandfile" TargetMode="External"/><Relationship Id="rId90" Type="http://schemas.openxmlformats.org/officeDocument/2006/relationships/hyperlink" Target="https://www.linkedin.com/learning/como-gestionar-un-equipo-de-atencion-al-cliente?trk=ondemandfile" TargetMode="External"/><Relationship Id="rId165" Type="http://schemas.openxmlformats.org/officeDocument/2006/relationships/hyperlink" Target="https://www.linkedin.com/learning/fuhrungsstarke-ausstrahlen-tipps-fur-frauen?trk=ondemandfile" TargetMode="External"/><Relationship Id="rId186" Type="http://schemas.openxmlformats.org/officeDocument/2006/relationships/hyperlink" Target="https://www.linkedin.com/learning/ihre-fuhrungsphilosophie-entwickeln?trk=ondemandfile" TargetMode="External"/><Relationship Id="rId211" Type="http://schemas.openxmlformats.org/officeDocument/2006/relationships/hyperlink" Target="https://www.linkedin.com/learning/motivaci-n-e-implicaci-n-en-la-empresa?trk=ondemandfile" TargetMode="External"/><Relationship Id="rId232" Type="http://schemas.openxmlformats.org/officeDocument/2006/relationships/hyperlink" Target="https://www.linkedin.com/learning/advanced-remote-work-strategies?trk=ondemandfile" TargetMode="External"/><Relationship Id="rId253" Type="http://schemas.openxmlformats.org/officeDocument/2006/relationships/hyperlink" Target="https://www.linkedin.com/learning/how-to-inspire-and-develop-your-direct-reports?trk=ondemandfile" TargetMode="External"/><Relationship Id="rId274" Type="http://schemas.openxmlformats.org/officeDocument/2006/relationships/hyperlink" Target="https://www.linkedin.com/learning/ziele-fur-mitarbeiter-innen-und-teams-setzen?trk=ondemandfile" TargetMode="External"/><Relationship Id="rId27" Type="http://schemas.openxmlformats.org/officeDocument/2006/relationships/hyperlink" Target="https://www.linkedin.com/learning/ameliorer-les-performances-des-employes-employees?trk=contentmappingfile" TargetMode="External"/><Relationship Id="rId48" Type="http://schemas.openxmlformats.org/officeDocument/2006/relationships/hyperlink" Target="https://www.linkedin.com/learning/paths/fomenta-la-colaboracion-en-tu-equipo?trk=ondemandfile" TargetMode="External"/><Relationship Id="rId69" Type="http://schemas.openxmlformats.org/officeDocument/2006/relationships/hyperlink" Target="https://www.linkedin.com/learning/como-colaborar-de-forma-eficaz-com-sua-equipe?trk=contentmappingfile" TargetMode="External"/><Relationship Id="rId113" Type="http://schemas.openxmlformats.org/officeDocument/2006/relationships/hyperlink" Target="https://www.linkedin.com/learning/performance-based-hiring-2?trk=ondemandfile" TargetMode="External"/><Relationship Id="rId134" Type="http://schemas.openxmlformats.org/officeDocument/2006/relationships/hyperlink" Target="https://www.linkedin.com/learning/building-high-performance-teams-4?trk=ondemandfile" TargetMode="External"/><Relationship Id="rId80" Type="http://schemas.openxmlformats.org/officeDocument/2006/relationships/hyperlink" Target="https://www.linkedin.com/learning/paths/trabajo-a-distancia-preparandote-a-ti-mismo-y-a-tus-equipos-para-el-exito?trk=ondemandfile" TargetMode="External"/><Relationship Id="rId155" Type="http://schemas.openxmlformats.org/officeDocument/2006/relationships/hyperlink" Target="https://www.linkedin.com/learning/fuhrungsqualitaten-fur-topmanager?trk=ondemandfile" TargetMode="External"/><Relationship Id="rId176" Type="http://schemas.openxmlformats.org/officeDocument/2006/relationships/hyperlink" Target="https://www.linkedin.com/learning/developing-leaders-on-your-team?trk=ondemandfile" TargetMode="External"/><Relationship Id="rId197" Type="http://schemas.openxmlformats.org/officeDocument/2006/relationships/hyperlink" Target="https://www.linkedin.com/learning/liderazgo-agil-como-afrontar-la-nueva-normalidad?trk=ondemandfile" TargetMode="External"/><Relationship Id="rId201" Type="http://schemas.openxmlformats.org/officeDocument/2006/relationships/hyperlink" Target="https://www.linkedin.com/learning/motiver-ses-equipes-quand-on-est-soi-meme-epuise-et-stresse?trk=contentmappingfile" TargetMode="External"/><Relationship Id="rId222" Type="http://schemas.openxmlformats.org/officeDocument/2006/relationships/hyperlink" Target="https://www.linkedin.com/learning/motivating-your-team-to-learn-2?trk=ondemandfile" TargetMode="External"/><Relationship Id="rId243" Type="http://schemas.openxmlformats.org/officeDocument/2006/relationships/hyperlink" Target="https://www.linkedin.com/learning/the-six-morning-habits-of-high-performers?trk=ondemandfile" TargetMode="External"/><Relationship Id="rId264" Type="http://schemas.openxmlformats.org/officeDocument/2006/relationships/hyperlink" Target="https://www.linkedin.com/learning/vertrauen-aufbauen-aufrechterhalten-und-wiederherstellen?trk=contentmappingfile" TargetMode="External"/><Relationship Id="rId17" Type="http://schemas.openxmlformats.org/officeDocument/2006/relationships/hyperlink" Target="https://www.linkedin.com/learning/paths/mejora-tus-dotes-de-liderazgo-y-gestion-de-equipos-de-trabajo?trk=ondemandfile" TargetMode="External"/><Relationship Id="rId38" Type="http://schemas.openxmlformats.org/officeDocument/2006/relationships/hyperlink" Target="https://www.linkedin.com/learning/00-bill-george-sobre-self-awareness-autenticidad-y-liderazgo?trk=ondemandfile" TargetMode="External"/><Relationship Id="rId59" Type="http://schemas.openxmlformats.org/officeDocument/2006/relationships/hyperlink" Target="https://www.linkedin.com/learning/bereit-zur-fuhrung?trk=ondemandfile" TargetMode="External"/><Relationship Id="rId103" Type="http://schemas.openxmlformats.org/officeDocument/2006/relationships/hyperlink" Target="https://www.linkedin.com/learning/grit-how-teams-persevere-to-accomplish-great-goals-2?trk=contentmappingfile" TargetMode="External"/><Relationship Id="rId124" Type="http://schemas.openxmlformats.org/officeDocument/2006/relationships/hyperlink" Target="https://www.linkedin.com/learning/como-gerenciar-sua-equipe-em-tempos-dificeis?trk=contentmappingfile" TargetMode="External"/><Relationship Id="rId70" Type="http://schemas.openxmlformats.org/officeDocument/2006/relationships/hyperlink" Target="https://www.linkedin.com/learning/finding-and-retaining-high-potentials-2?trk=ondemandfile" TargetMode="External"/><Relationship Id="rId91" Type="http://schemas.openxmlformats.org/officeDocument/2006/relationships/hyperlink" Target="https://www.linkedin.com/learning/die-leistung-der-mitarbeiter-innen-steigern?trk=ondemandfile" TargetMode="External"/><Relationship Id="rId145" Type="http://schemas.openxmlformats.org/officeDocument/2006/relationships/hyperlink" Target="https://www.linkedin.com/learning/etablir-des-objectifs-pour-son-equipe-et-ses-employes-employees?trk=contentmappingfile" TargetMode="External"/><Relationship Id="rId166" Type="http://schemas.openxmlformats.org/officeDocument/2006/relationships/hyperlink" Target="https://www.linkedin.com/learning/managing-team-conflict-15962506?trk=contentmappingfile" TargetMode="External"/><Relationship Id="rId187" Type="http://schemas.openxmlformats.org/officeDocument/2006/relationships/hyperlink" Target="https://www.linkedin.com/learning/managing-high-performers-3?trk=ondemandfile" TargetMode="External"/><Relationship Id="rId1" Type="http://schemas.openxmlformats.org/officeDocument/2006/relationships/hyperlink" Target="https://www.linkedin.com/learning/cmo-foundations-creating-a-marketing-culture?trk=ondemandfile" TargetMode="External"/><Relationship Id="rId212" Type="http://schemas.openxmlformats.org/officeDocument/2006/relationships/hyperlink" Target="https://www.linkedin.com/learning/leistungstrager-fuhren?trk=ondemandfile" TargetMode="External"/><Relationship Id="rId233" Type="http://schemas.openxmlformats.org/officeDocument/2006/relationships/hyperlink" Target="https://www.linkedin.com/learning/modernes-leistungsmanagement?trk=ondemandfile" TargetMode="External"/><Relationship Id="rId254" Type="http://schemas.openxmlformats.org/officeDocument/2006/relationships/hyperlink" Target="https://www.linkedin.com/learning/die-teamleistung-messen?trk=ondemandfile" TargetMode="External"/><Relationship Id="rId28" Type="http://schemas.openxmlformats.org/officeDocument/2006/relationships/hyperlink" Target="https://www.linkedin.com/learning/big-data-recursos-humanos-y-gestion-del-bienestar-laboral?trk=contentmappingfile" TargetMode="External"/><Relationship Id="rId49" Type="http://schemas.openxmlformats.org/officeDocument/2006/relationships/hyperlink" Target="https://www.linkedin.com/learning/als-ingenieur-in-oder-it-expert-in-mitarbeiter-fuhren?trk=ondemandfile" TargetMode="External"/><Relationship Id="rId114" Type="http://schemas.openxmlformats.org/officeDocument/2006/relationships/hyperlink" Target="https://www.linkedin.com/learning/productive-leadership?trk=ondemandfile" TargetMode="External"/><Relationship Id="rId275" Type="http://schemas.openxmlformats.org/officeDocument/2006/relationships/hyperlink" Target="https://www.linkedin.com/learning/enhancing-team-innovation?trk=ondemandfile" TargetMode="External"/><Relationship Id="rId60" Type="http://schemas.openxmlformats.org/officeDocument/2006/relationships/hyperlink" Target="https://www.linkedin.com/learning/paths/mitarbeiter-finden-und-halten?trk=ondemandfile" TargetMode="External"/><Relationship Id="rId81" Type="http://schemas.openxmlformats.org/officeDocument/2006/relationships/hyperlink" Target="https://www.linkedin.com/learning/den-eigenen-fuhrungsstil-entwickeln?trk=ondemandfile" TargetMode="External"/><Relationship Id="rId135" Type="http://schemas.openxmlformats.org/officeDocument/2006/relationships/hyperlink" Target="https://www.linkedin.com/learning/leading-virtual-meetings?trk=ondemandfile" TargetMode="External"/><Relationship Id="rId156" Type="http://schemas.openxmlformats.org/officeDocument/2006/relationships/hyperlink" Target="https://www.linkedin.com/learning/managing-meetings-3?trk=ondemandfile" TargetMode="External"/><Relationship Id="rId177" Type="http://schemas.openxmlformats.org/officeDocument/2006/relationships/hyperlink" Target="https://www.linkedin.com/learning/00-project-management-foundations-teams?trk=ondemandfile" TargetMode="External"/><Relationship Id="rId198" Type="http://schemas.openxmlformats.org/officeDocument/2006/relationships/hyperlink" Target="https://www.linkedin.com/learning/00-anteilmanag?trk=ondemandfile" TargetMode="External"/><Relationship Id="rId202" Type="http://schemas.openxmlformats.org/officeDocument/2006/relationships/hyperlink" Target="https://www.linkedin.com/learning/liderazgo-transformador?trk=ondemandfile" TargetMode="External"/><Relationship Id="rId223" Type="http://schemas.openxmlformats.org/officeDocument/2006/relationships/hyperlink" Target="https://www.linkedin.com/learning/be-a-better-manager-by-motivating-your-team?trk=ondemandfile" TargetMode="External"/><Relationship Id="rId244" Type="http://schemas.openxmlformats.org/officeDocument/2006/relationships/hyperlink" Target="https://www.linkedin.com/learning/servant-leadership-dienende-fuhrung?trk=ondemandfile" TargetMode="External"/><Relationship Id="rId18" Type="http://schemas.openxmlformats.org/officeDocument/2006/relationships/hyperlink" Target="https://www.linkedin.com/learning/agil-arbeiten-ein-agiles-team-aufbauen?trk=ondemandfile" TargetMode="External"/><Relationship Id="rId39" Type="http://schemas.openxmlformats.org/officeDocument/2006/relationships/hyperlink" Target="https://www.linkedin.com/learning/paths/crea-una-atmosfera-de-trabajo-productiva?trk=ondemandfile" TargetMode="External"/><Relationship Id="rId265" Type="http://schemas.openxmlformats.org/officeDocument/2006/relationships/hyperlink" Target="https://www.linkedin.com/learning/a-great-place-to-work-for-all-getabstract-summary?trk=ondemandfile" TargetMode="External"/><Relationship Id="rId50" Type="http://schemas.openxmlformats.org/officeDocument/2006/relationships/hyperlink" Target="https://www.linkedin.com/learning/paths/leistungsorientiertes-management" TargetMode="External"/><Relationship Id="rId104" Type="http://schemas.openxmlformats.org/officeDocument/2006/relationships/hyperlink" Target="https://www.linkedin.com/learning/the-practices-of-high-performing-employees?trk=ondemandfile" TargetMode="External"/><Relationship Id="rId125" Type="http://schemas.openxmlformats.org/officeDocument/2006/relationships/hyperlink" Target="https://www.linkedin.com/learning/building-accountability-into-your-culture-3?trk=ondemandfile" TargetMode="External"/><Relationship Id="rId146" Type="http://schemas.openxmlformats.org/officeDocument/2006/relationships/hyperlink" Target="https://www.linkedin.com/learning/como-ser-parte-de-un-ambiente-de-trabajo-positivo?trk=ondemandfile" TargetMode="External"/><Relationship Id="rId167" Type="http://schemas.openxmlformats.org/officeDocument/2006/relationships/hyperlink" Target="https://www.linkedin.com/learning/becoming-a-manager-your-team-loves?trk=ondemandfile" TargetMode="External"/><Relationship Id="rId188" Type="http://schemas.openxmlformats.org/officeDocument/2006/relationships/hyperlink" Target="https://www.linkedin.com/learning/managing-a-cross-functional-team?trk=ondemandfile" TargetMode="External"/><Relationship Id="rId71" Type="http://schemas.openxmlformats.org/officeDocument/2006/relationships/hyperlink" Target="https://www.linkedin.com/learning/communicating-to-drive-people-to-take-action?trk=ondemandfile" TargetMode="External"/><Relationship Id="rId92" Type="http://schemas.openxmlformats.org/officeDocument/2006/relationships/hyperlink" Target="https://www.linkedin.com/learning/managing-high-performers-15918448?trk=contentmappingfile" TargetMode="External"/><Relationship Id="rId213" Type="http://schemas.openxmlformats.org/officeDocument/2006/relationships/hyperlink" Target="https://www.linkedin.com/learning/leading-and-working-in-teams-3?trk=ondemandfile" TargetMode="External"/><Relationship Id="rId234" Type="http://schemas.openxmlformats.org/officeDocument/2006/relationships/hyperlink" Target="https://www.linkedin.com/learning/work-on-purpose?trk=ondemandfile" TargetMode="External"/><Relationship Id="rId2" Type="http://schemas.openxmlformats.org/officeDocument/2006/relationships/hyperlink" Target="https://www.linkedin.com/learning/paths/build-a-company-learning-and-development-program?trk=ondemandfile" TargetMode="External"/><Relationship Id="rId29" Type="http://schemas.openxmlformats.org/officeDocument/2006/relationships/hyperlink" Target="https://www.linkedin.com/learning/paths/mejora-tu-gestin-de-tiempo-y-productividad?trk=ondemandfile" TargetMode="External"/><Relationship Id="rId255" Type="http://schemas.openxmlformats.org/officeDocument/2006/relationships/hyperlink" Target="https://www.linkedin.com/learning/a-navy-seal-s-surprising-key-to-building-unstoppable-teams-caring?trk=ondemandfile" TargetMode="External"/><Relationship Id="rId276" Type="http://schemas.openxmlformats.org/officeDocument/2006/relationships/hyperlink" Target="https://www.linkedin.com/learning/00-zielvereinbarung?trk=ondemandfile" TargetMode="External"/><Relationship Id="rId40" Type="http://schemas.openxmlformats.org/officeDocument/2006/relationships/hyperlink" Target="https://www.linkedin.com/learning/als-fuhrungskraft-das-agile-lernen-im-team-unterstutzen?trk=ondemandfile" TargetMode="External"/><Relationship Id="rId115" Type="http://schemas.openxmlformats.org/officeDocument/2006/relationships/hyperlink" Target="https://www.linkedin.com/learning/developper-la-motivation-et-l-engagement-des-employes-employees?trk=contentmappingfile" TargetMode="External"/><Relationship Id="rId136" Type="http://schemas.openxmlformats.org/officeDocument/2006/relationships/hyperlink" Target="https://www.linkedin.com/learning/como-mejorar-el-rendimiento-de-tu-personal?trk=contentmappingfile" TargetMode="External"/><Relationship Id="rId157" Type="http://schemas.openxmlformats.org/officeDocument/2006/relationships/hyperlink" Target="https://www.linkedin.com/learning/motivating-and-engaging-employees-2?trk=ondemandfile" TargetMode="External"/><Relationship Id="rId178" Type="http://schemas.openxmlformats.org/officeDocument/2006/relationships/hyperlink" Target="https://www.linkedin.com/learning/hochleistungsteams-aufbauen?trk=ondemandfile" TargetMode="External"/><Relationship Id="rId61" Type="http://schemas.openxmlformats.org/officeDocument/2006/relationships/hyperlink" Target="https://www.linkedin.com/learning/517cf00b-93c8-3071-96d2-57bcd2301991?trk=ondemandfile" TargetMode="External"/><Relationship Id="rId82" Type="http://schemas.openxmlformats.org/officeDocument/2006/relationships/hyperlink" Target="https://www.linkedin.com/learning/building-high-performance-teams-3?trk=ondemandfile" TargetMode="External"/><Relationship Id="rId199" Type="http://schemas.openxmlformats.org/officeDocument/2006/relationships/hyperlink" Target="https://www.linkedin.com/learning/coaching-and-developing-employees-3?trk=ondemandfile" TargetMode="External"/><Relationship Id="rId203" Type="http://schemas.openxmlformats.org/officeDocument/2006/relationships/hyperlink" Target="https://www.linkedin.com/learning/korpersprache-fur-frauen?trk=ondemandfile" TargetMode="External"/><Relationship Id="rId19" Type="http://schemas.openxmlformats.org/officeDocument/2006/relationships/hyperlink" Target="https://www.linkedin.com/learning/paths/fuehrungskompetenz-weiterentwickeln?trk=ondemandfile" TargetMode="External"/><Relationship Id="rId224" Type="http://schemas.openxmlformats.org/officeDocument/2006/relationships/hyperlink" Target="https://www.linkedin.com/learning/trabajando-y-colaborando-online?trk=ondemandfile" TargetMode="External"/><Relationship Id="rId245" Type="http://schemas.openxmlformats.org/officeDocument/2006/relationships/hyperlink" Target="https://www.linkedin.com/learning/teamwork-foundations-2020?trk=ondemandfile" TargetMode="External"/><Relationship Id="rId266" Type="http://schemas.openxmlformats.org/officeDocument/2006/relationships/hyperlink" Target="https://www.linkedin.com/learning/virtuelle-teams-fuhren-16362149?trk=contentmappingfile" TargetMode="External"/><Relationship Id="rId30" Type="http://schemas.openxmlformats.org/officeDocument/2006/relationships/hyperlink" Target="https://www.linkedin.com/learning/agiler-fuhren-eine-einfuhrung?trk=ondemandfile" TargetMode="External"/><Relationship Id="rId105" Type="http://schemas.openxmlformats.org/officeDocument/2006/relationships/hyperlink" Target="https://www.linkedin.com/learning/como-identificar-y-retener-personal-con-alto-potencial?trk=ondemandfile" TargetMode="External"/><Relationship Id="rId126" Type="http://schemas.openxmlformats.org/officeDocument/2006/relationships/hyperlink" Target="https://www.linkedin.com/learning/virtual-and-hybrid-meeting-essentials?trk=ondemandfile" TargetMode="External"/><Relationship Id="rId147" Type="http://schemas.openxmlformats.org/officeDocument/2006/relationships/hyperlink" Target="https://www.linkedin.com/learning/fuhrung-im-vertrieb-limbecks-leadership-lektionen?trk=ondemandfile" TargetMode="External"/><Relationship Id="rId168" Type="http://schemas.openxmlformats.org/officeDocument/2006/relationships/hyperlink" Target="https://www.linkedin.com/learning/empodera-a-tu-equipo?trk=contentmappingfile" TargetMode="External"/><Relationship Id="rId51" Type="http://schemas.openxmlformats.org/officeDocument/2006/relationships/hyperlink" Target="https://www.linkedin.com/learning/managing-multiple-generations-8332500?trk=ondemandfile" TargetMode="External"/><Relationship Id="rId72" Type="http://schemas.openxmlformats.org/officeDocument/2006/relationships/hyperlink" Target="https://www.linkedin.com/learning/como-dar-feedback-a-tu-personal?trk=contentmappingfile" TargetMode="External"/><Relationship Id="rId93" Type="http://schemas.openxmlformats.org/officeDocument/2006/relationships/hyperlink" Target="https://www.linkedin.com/learning/employee-engagement-3?trk=ondemandfile" TargetMode="External"/><Relationship Id="rId189" Type="http://schemas.openxmlformats.org/officeDocument/2006/relationships/hyperlink" Target="https://www.linkedin.com/learning/gestion-de-equipos-mediante-okr-s-o-misiones-objetivos-y-resultados-clave?trk=contentmappingfile" TargetMode="External"/><Relationship Id="rId3" Type="http://schemas.openxmlformats.org/officeDocument/2006/relationships/hyperlink" Target="https://www.linkedin.com/learning/10-minutes-un-livre-constituer-son-equipe-pour-atteindre-le-succes?trk=contentmappingfile" TargetMode="External"/><Relationship Id="rId214" Type="http://schemas.openxmlformats.org/officeDocument/2006/relationships/hyperlink" Target="https://www.linkedin.com/learning/succeeding-as-a-first-time-t-ech-manager?trk=ondemandfile" TargetMode="External"/><Relationship Id="rId235" Type="http://schemas.openxmlformats.org/officeDocument/2006/relationships/hyperlink" Target="https://www.linkedin.com/learning/multikulturelle-teams-f-hren?trk=ondemandfile" TargetMode="External"/><Relationship Id="rId256" Type="http://schemas.openxmlformats.org/officeDocument/2006/relationships/hyperlink" Target="https://www.linkedin.com/learning/00-teams-bilden?trk=ondemandfile" TargetMode="External"/><Relationship Id="rId277" Type="http://schemas.openxmlformats.org/officeDocument/2006/relationships/hyperlink" Target="https://www.linkedin.com/learning/building-and-managing-a-high-performing-sales-team?trk=ondemandfile" TargetMode="External"/><Relationship Id="rId116" Type="http://schemas.openxmlformats.org/officeDocument/2006/relationships/hyperlink" Target="https://www.linkedin.com/learning/como-liderar-equipos-de-alto-potencial?trk=contentmappingfile" TargetMode="External"/><Relationship Id="rId137" Type="http://schemas.openxmlformats.org/officeDocument/2006/relationships/hyperlink" Target="https://www.linkedin.com/learning/00-fuhrung-21-jahrhundert?trk=ondemandfile" TargetMode="External"/><Relationship Id="rId158" Type="http://schemas.openxmlformats.org/officeDocument/2006/relationships/hyperlink" Target="https://www.linkedin.com/learning/gerer-les-problemes-de-performance-de-ses-employes-employees?trk=contentmappingfile" TargetMode="External"/><Relationship Id="rId20" Type="http://schemas.openxmlformats.org/officeDocument/2006/relationships/hyperlink" Target="https://www.linkedin.com/learning/microsoft-planner-essential-training-2?trk=ondemandfile" TargetMode="External"/><Relationship Id="rId41" Type="http://schemas.openxmlformats.org/officeDocument/2006/relationships/hyperlink" Target="https://www.linkedin.com/learning/paths/leader-in-werden?trk=ondemandfile" TargetMode="External"/><Relationship Id="rId62" Type="http://schemas.openxmlformats.org/officeDocument/2006/relationships/hyperlink" Target="https://www.linkedin.com/learning/creating-a-high-performance-culture-4?trk=ondemandfile" TargetMode="External"/><Relationship Id="rId83" Type="http://schemas.openxmlformats.org/officeDocument/2006/relationships/hyperlink" Target="https://www.linkedin.com/learning/delegating-tasks-to-your-team-2?trk=ondemandfile" TargetMode="External"/><Relationship Id="rId179" Type="http://schemas.openxmlformats.org/officeDocument/2006/relationships/hyperlink" Target="https://www.linkedin.com/learning/managing-virtual-teams-3?trk=ondemandfile" TargetMode="External"/><Relationship Id="rId190" Type="http://schemas.openxmlformats.org/officeDocument/2006/relationships/hyperlink" Target="https://www.linkedin.com/learning/00-teamarbeit?trk=ondemandfile" TargetMode="External"/><Relationship Id="rId204" Type="http://schemas.openxmlformats.org/officeDocument/2006/relationships/hyperlink" Target="https://www.linkedin.com/learning/hiring-and-developing-your-future-workforce-2?trk=ondemandfile" TargetMode="External"/><Relationship Id="rId225" Type="http://schemas.openxmlformats.org/officeDocument/2006/relationships/hyperlink" Target="https://www.linkedin.com/learning/00-feedback?trk=ondemandfile" TargetMode="External"/><Relationship Id="rId246" Type="http://schemas.openxmlformats.org/officeDocument/2006/relationships/hyperlink" Target="https://www.linkedin.com/learning/potenzialtrager-fuhren?trk=ondemandfile" TargetMode="External"/><Relationship Id="rId267" Type="http://schemas.openxmlformats.org/officeDocument/2006/relationships/hyperlink" Target="https://www.linkedin.com/learning/business-chemistry-blinkist-summary?trk=ondemandfile" TargetMode="External"/><Relationship Id="rId106" Type="http://schemas.openxmlformats.org/officeDocument/2006/relationships/hyperlink" Target="https://www.linkedin.com/learning/eine-hochleistungskultur-schaffen?trk=ondemandfile" TargetMode="External"/><Relationship Id="rId127" Type="http://schemas.openxmlformats.org/officeDocument/2006/relationships/hyperlink" Target="https://www.linkedin.com/learning/como-liderar-reuniones-individuales-productivas?trk=ondemandfile" TargetMode="External"/><Relationship Id="rId10" Type="http://schemas.openxmlformats.org/officeDocument/2006/relationships/hyperlink" Target="https://www.linkedin.com/learning/paths/torne-se-um-lider?trk=ondemandfile" TargetMode="External"/><Relationship Id="rId31" Type="http://schemas.openxmlformats.org/officeDocument/2006/relationships/hyperlink" Target="https://www.linkedin.com/learning/paths/fuhrungskraft-werden?trk=ondemandfile" TargetMode="External"/><Relationship Id="rId52" Type="http://schemas.openxmlformats.org/officeDocument/2006/relationships/hyperlink" Target="https://www.linkedin.com/learning/como-apoiar-sua-equipe-na-gestao-da-ansiedade?trk=contentmappingfile" TargetMode="External"/><Relationship Id="rId73" Type="http://schemas.openxmlformats.org/officeDocument/2006/relationships/hyperlink" Target="https://www.linkedin.com/learning/paths/profundiza-en-la-busqueda-seleccion-y-retencion-de-talentos?trk=ondemandfile" TargetMode="External"/><Relationship Id="rId94" Type="http://schemas.openxmlformats.org/officeDocument/2006/relationships/hyperlink" Target="https://www.linkedin.com/learning/how-to-set-team-and-employee-goals?trk=ondemandfile" TargetMode="External"/><Relationship Id="rId148" Type="http://schemas.openxmlformats.org/officeDocument/2006/relationships/hyperlink" Target="https://www.linkedin.com/learning/onboarding-new-hires-2?trk=contentmappingfile" TargetMode="External"/><Relationship Id="rId169" Type="http://schemas.openxmlformats.org/officeDocument/2006/relationships/hyperlink" Target="https://www.linkedin.com/learning/gesund-fuhren?trk=contentmappingfile" TargetMode="External"/><Relationship Id="rId4" Type="http://schemas.openxmlformats.org/officeDocument/2006/relationships/hyperlink" Target="https://www.linkedin.com/learning/agile-en-accion-construye-tu-equipo-agil?trk=ondemandfile" TargetMode="External"/><Relationship Id="rId180" Type="http://schemas.openxmlformats.org/officeDocument/2006/relationships/hyperlink" Target="https://www.linkedin.com/learning/facilitation-skills-for-managers-and-leaders?trk=ondemandfile" TargetMode="External"/><Relationship Id="rId215" Type="http://schemas.openxmlformats.org/officeDocument/2006/relationships/hyperlink" Target="https://www.linkedin.com/learning/00-como-reclutar-y-desarrollar-a-tu-equipo?trk=ondemandfile" TargetMode="External"/><Relationship Id="rId236" Type="http://schemas.openxmlformats.org/officeDocument/2006/relationships/hyperlink" Target="https://www.linkedin.com/learning/principios-basicos-para-gerentes-iniciantes-17445021?trk=contentmappingfile" TargetMode="External"/><Relationship Id="rId257" Type="http://schemas.openxmlformats.org/officeDocument/2006/relationships/hyperlink" Target="https://www.linkedin.com/learning/how-to-stop-wasting-time-in-meetings?trk=ondemandfile" TargetMode="External"/><Relationship Id="rId278" Type="http://schemas.openxmlformats.org/officeDocument/2006/relationships/hyperlink" Target="https://www.linkedin.com/learning/creating-winning-teams?trk=ondemandfile" TargetMode="External"/><Relationship Id="rId42" Type="http://schemas.openxmlformats.org/officeDocument/2006/relationships/hyperlink" Target="https://www.linkedin.com/learning/setting-team-and-employee-goals-14797875?trk=contentmappingfile" TargetMode="External"/><Relationship Id="rId84" Type="http://schemas.openxmlformats.org/officeDocument/2006/relationships/hyperlink" Target="https://www.linkedin.com/learning/managing-new-managers?trk=ondemandfile" TargetMode="External"/><Relationship Id="rId138" Type="http://schemas.openxmlformats.org/officeDocument/2006/relationships/hyperlink" Target="https://www.linkedin.com/learning/84777a9a-010b-3e75-8b28-27d3706e8c9a?trk=ondemandfile" TargetMode="External"/><Relationship Id="rId191" Type="http://schemas.openxmlformats.org/officeDocument/2006/relationships/hyperlink" Target="https://www.linkedin.com/learning/setting-team-and-employee-goals-3?trk=ondemandfile" TargetMode="External"/><Relationship Id="rId205" Type="http://schemas.openxmlformats.org/officeDocument/2006/relationships/hyperlink" Target="https://www.linkedin.com/learning/having-career-conversations-with-your-team?trk=ondemandfile" TargetMode="External"/><Relationship Id="rId247" Type="http://schemas.openxmlformats.org/officeDocument/2006/relationships/hyperlink" Target="https://www.linkedin.com/learning/creating-a-culture-of-learning-2?trk=ondemandfile" TargetMode="External"/><Relationship Id="rId107" Type="http://schemas.openxmlformats.org/officeDocument/2006/relationships/hyperlink" Target="https://www.linkedin.com/learning/managing-globally-4?trk=ondemandfile" TargetMode="External"/><Relationship Id="rId11" Type="http://schemas.openxmlformats.org/officeDocument/2006/relationships/hyperlink" Target="https://www.linkedin.com/learning/2-minute-tips-for-senior-leaders-3?trk=ondemandfile" TargetMode="External"/><Relationship Id="rId53" Type="http://schemas.openxmlformats.org/officeDocument/2006/relationships/hyperlink" Target="https://www.linkedin.com/learning/characteristics-of-a-great-scrum-master-3?trk=ondemandfile" TargetMode="External"/><Relationship Id="rId149" Type="http://schemas.openxmlformats.org/officeDocument/2006/relationships/hyperlink" Target="https://www.linkedin.com/learning/managing-teams-2018?trk=ondemandfile" TargetMode="External"/><Relationship Id="rId95" Type="http://schemas.openxmlformats.org/officeDocument/2006/relationships/hyperlink" Target="https://www.linkedin.com/learning/como-gestionar-un-equipo-multigeneracional?trk=contentmappingfile" TargetMode="External"/><Relationship Id="rId160" Type="http://schemas.openxmlformats.org/officeDocument/2006/relationships/hyperlink" Target="https://www.linkedin.com/learning/fuhrungsstarke-ausstrahlen?trk=ondemandfile" TargetMode="External"/><Relationship Id="rId216" Type="http://schemas.openxmlformats.org/officeDocument/2006/relationships/hyperlink" Target="https://www.linkedin.com/learning/mit-schwierigen-mitarbeiter-innen-umgehen?trk=ondemandfile" TargetMode="External"/><Relationship Id="rId258" Type="http://schemas.openxmlformats.org/officeDocument/2006/relationships/hyperlink" Target="https://www.linkedin.com/learning/technische-fachkrafte-fuhren?trk=ondemandfile"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s://www.linkedin.com/learning/building-connection-and-engagement-in-virtual-teams?trk=ondemandfile" TargetMode="External"/><Relationship Id="rId21" Type="http://schemas.openxmlformats.org/officeDocument/2006/relationships/hyperlink" Target="https://www.linkedin.com/learning/interpersonal-communication-2?trk=ondemandfile" TargetMode="External"/><Relationship Id="rId42" Type="http://schemas.openxmlformats.org/officeDocument/2006/relationships/hyperlink" Target="https://www.linkedin.com/learning/paths/domina-las-habilidades-de-vida-sociales?trk=ondemandfile" TargetMode="External"/><Relationship Id="rId63" Type="http://schemas.openxmlformats.org/officeDocument/2006/relationships/hyperlink" Target="https://www.linkedin.com/learning/00-teamkreativitat?trk=ondemandfile" TargetMode="External"/><Relationship Id="rId84" Type="http://schemas.openxmlformats.org/officeDocument/2006/relationships/hyperlink" Target="https://www.linkedin.com/learning/empathie-und-kreativitat-als-neue-schlusselkompetenzen?trk=ondemandfile" TargetMode="External"/><Relationship Id="rId138" Type="http://schemas.openxmlformats.org/officeDocument/2006/relationships/hyperlink" Target="https://www.linkedin.com/learning/kollaborative-fuhrung?trk=contentmappingfile" TargetMode="External"/><Relationship Id="rId159" Type="http://schemas.openxmlformats.org/officeDocument/2006/relationships/hyperlink" Target="https://www.linkedin.com/learning/779ed34b-4bd3-393b-bda7-0163601fbcc8?trk=ondemandfile" TargetMode="External"/><Relationship Id="rId170" Type="http://schemas.openxmlformats.org/officeDocument/2006/relationships/hyperlink" Target="https://www.linkedin.com/learning/00-feedback?trk=ondemandfile" TargetMode="External"/><Relationship Id="rId191" Type="http://schemas.openxmlformats.org/officeDocument/2006/relationships/hyperlink" Target="https://www.linkedin.com/learning/professionell-netzwerken?trk=ondemandfile" TargetMode="External"/><Relationship Id="rId205" Type="http://schemas.openxmlformats.org/officeDocument/2006/relationships/hyperlink" Target="https://www.linkedin.com/learning/sich-und-andere-besser-verstehen?trk=ondemandfile" TargetMode="External"/><Relationship Id="rId226" Type="http://schemas.openxmlformats.org/officeDocument/2006/relationships/hyperlink" Target="https://www.linkedin.com/learning/managing-up-as-an-employee?trk=ondemandfile" TargetMode="External"/><Relationship Id="rId107" Type="http://schemas.openxmlformats.org/officeDocument/2006/relationships/hyperlink" Target="https://www.linkedin.com/learning/design-thinking-herramientas-y-tecnicas-presenciales-y-en-teletrabajo?trk=ondemandfile" TargetMode="External"/><Relationship Id="rId11" Type="http://schemas.openxmlformats.org/officeDocument/2006/relationships/hyperlink" Target="https://www.linkedin.com/learning/delivering-employee-feedback-3?trk=ondemandfile" TargetMode="External"/><Relationship Id="rId32" Type="http://schemas.openxmlformats.org/officeDocument/2006/relationships/hyperlink" Target="https://www.linkedin.com/learning/paths/fostering-collaboration?trk=ondemandfile" TargetMode="External"/><Relationship Id="rId53" Type="http://schemas.openxmlformats.org/officeDocument/2006/relationships/hyperlink" Target="https://www.linkedin.com/learning/supporting-a-grieving-employee-a-manager-s-guide?trk=ondemandfile" TargetMode="External"/><Relationship Id="rId74" Type="http://schemas.openxmlformats.org/officeDocument/2006/relationships/hyperlink" Target="https://www.linkedin.com/learning/ein-erfolgreiches-teammitglied-sein?trk=ondemandfile" TargetMode="External"/><Relationship Id="rId128" Type="http://schemas.openxmlformats.org/officeDocument/2006/relationships/hyperlink" Target="https://www.linkedin.com/learning/creating-great-first-impressions-2?trk=ondemandfile" TargetMode="External"/><Relationship Id="rId149" Type="http://schemas.openxmlformats.org/officeDocument/2006/relationships/hyperlink" Target="https://www.linkedin.com/learning/liderazgo-agil-como-afrontar-la-nueva-normalidad?trk=ondemandfile" TargetMode="External"/><Relationship Id="rId5" Type="http://schemas.openxmlformats.org/officeDocument/2006/relationships/hyperlink" Target="https://www.linkedin.com/learning/paths/crea-una-atmosfera-de-trabajo-productiva?trk=ondemandfile" TargetMode="External"/><Relationship Id="rId95" Type="http://schemas.openxmlformats.org/officeDocument/2006/relationships/hyperlink" Target="https://www.linkedin.com/learning/developing-cross-cultural-intelligence-4?trk=ondemandfile" TargetMode="External"/><Relationship Id="rId160" Type="http://schemas.openxmlformats.org/officeDocument/2006/relationships/hyperlink" Target="https://www.linkedin.com/learning/communicating-with-empathy?trk=ondemandfile" TargetMode="External"/><Relationship Id="rId181" Type="http://schemas.openxmlformats.org/officeDocument/2006/relationships/hyperlink" Target="https://www.linkedin.com/learning/onedrive-grundkurs?trk=ondemandfile" TargetMode="External"/><Relationship Id="rId216" Type="http://schemas.openxmlformats.org/officeDocument/2006/relationships/hyperlink" Target="https://www.linkedin.com/learning/learning-to-say-no-with-confidence-and-grace?trk=ondemandfile" TargetMode="External"/><Relationship Id="rId22" Type="http://schemas.openxmlformats.org/officeDocument/2006/relationships/hyperlink" Target="https://www.linkedin.com/learning/paths/6844219d-129d-3432-be7a-4c32e6eaf336?trk=ondemandfile" TargetMode="External"/><Relationship Id="rId43" Type="http://schemas.openxmlformats.org/officeDocument/2006/relationships/hyperlink" Target="https://www.linkedin.com/learning/das-homeoffice-sicher-machen?trk=ondemandfile" TargetMode="External"/><Relationship Id="rId64" Type="http://schemas.openxmlformats.org/officeDocument/2006/relationships/hyperlink" Target="https://www.linkedin.com/learning/building-trust-5?trk=ondemandfile" TargetMode="External"/><Relationship Id="rId118" Type="http://schemas.openxmlformats.org/officeDocument/2006/relationships/hyperlink" Target="https://www.linkedin.com/learning/00-professional-networking-fundamentals?trk=ondemandfile" TargetMode="External"/><Relationship Id="rId139" Type="http://schemas.openxmlformats.org/officeDocument/2006/relationships/hyperlink" Target="https://www.linkedin.com/learning/86d80f76-f728-332c-a87d-dc1fddaa0c91?trk=ondemandfile" TargetMode="External"/><Relationship Id="rId85" Type="http://schemas.openxmlformats.org/officeDocument/2006/relationships/hyperlink" Target="https://www.linkedin.com/learning/managing-for-better-ideas-14547440?trk=contentmappingfile" TargetMode="External"/><Relationship Id="rId150" Type="http://schemas.openxmlformats.org/officeDocument/2006/relationships/hyperlink" Target="https://www.linkedin.com/learning/kreativnetzwerk?trk=ondemandfile" TargetMode="External"/><Relationship Id="rId171" Type="http://schemas.openxmlformats.org/officeDocument/2006/relationships/hyperlink" Target="https://www.linkedin.com/learning/being-an-effective-team-member-2?trk=ondemandfile" TargetMode="External"/><Relationship Id="rId192" Type="http://schemas.openxmlformats.org/officeDocument/2006/relationships/hyperlink" Target="https://www.linkedin.com/learning/leveraging-your-relationship-capital?trk=ondemandfile" TargetMode="External"/><Relationship Id="rId206" Type="http://schemas.openxmlformats.org/officeDocument/2006/relationships/hyperlink" Target="https://www.linkedin.com/learning/how-to-work-with-a-micromanager?trk=ondemandfile" TargetMode="External"/><Relationship Id="rId227" Type="http://schemas.openxmlformats.org/officeDocument/2006/relationships/hyperlink" Target="https://www.linkedin.com/learning/redesigning-how-we-work-in-2021?trk=ondemandfile" TargetMode="External"/><Relationship Id="rId12" Type="http://schemas.openxmlformats.org/officeDocument/2006/relationships/hyperlink" Target="https://www.linkedin.com/learning/paths/07304244-eccf-3d14-923a-8ca64b7fb518?trk=ondemandfile" TargetMode="External"/><Relationship Id="rId33" Type="http://schemas.openxmlformats.org/officeDocument/2006/relationships/hyperlink" Target="https://www.linkedin.com/learning/00-dar-y-recibir-feedback?trk=ondemandfile" TargetMode="External"/><Relationship Id="rId108" Type="http://schemas.openxmlformats.org/officeDocument/2006/relationships/hyperlink" Target="https://www.linkedin.com/learning/00-mediation?trk=ondemandfile" TargetMode="External"/><Relationship Id="rId129" Type="http://schemas.openxmlformats.org/officeDocument/2006/relationships/hyperlink" Target="https://www.linkedin.com/learning/a-guide-to-ergs-employee-resource-groups?trk=ondemandfile" TargetMode="External"/><Relationship Id="rId54" Type="http://schemas.openxmlformats.org/officeDocument/2006/relationships/hyperlink" Target="https://www.linkedin.com/learning/building-trust-2?trk=ondemandfile" TargetMode="External"/><Relationship Id="rId75" Type="http://schemas.openxmlformats.org/officeDocument/2006/relationships/hyperlink" Target="https://www.linkedin.com/learning/learning-to-be-approachable-14599142?trk=contentmappingfile" TargetMode="External"/><Relationship Id="rId96" Type="http://schemas.openxmlformats.org/officeDocument/2006/relationships/hyperlink" Target="https://www.linkedin.com/learning/igniting-emotional-engagement?trk=ondemandfile" TargetMode="External"/><Relationship Id="rId140" Type="http://schemas.openxmlformats.org/officeDocument/2006/relationships/hyperlink" Target="https://www.linkedin.com/learning/collaborative-workflows-for-editors-and-designers?trk=contentmappingfile" TargetMode="External"/><Relationship Id="rId161" Type="http://schemas.openxmlformats.org/officeDocument/2006/relationships/hyperlink" Target="https://www.linkedin.com/learning/improving-your-listening-skills-3?trk=ondemandfile" TargetMode="External"/><Relationship Id="rId182" Type="http://schemas.openxmlformats.org/officeDocument/2006/relationships/hyperlink" Target="https://www.linkedin.com/learning/social-success-at-work?trk=ondemandfile" TargetMode="External"/><Relationship Id="rId217" Type="http://schemas.openxmlformats.org/officeDocument/2006/relationships/hyperlink" Target="https://www.linkedin.com/learning/effective-listening?trk=ondemandfile" TargetMode="External"/><Relationship Id="rId6" Type="http://schemas.openxmlformats.org/officeDocument/2006/relationships/hyperlink" Target="https://www.linkedin.com/learning/als-fuhrungskraft-das-agile-lernen-im-team-unterstutzen?trk=ondemandfile" TargetMode="External"/><Relationship Id="rId23" Type="http://schemas.openxmlformats.org/officeDocument/2006/relationships/hyperlink" Target="https://www.linkedin.com/learning/reid-hoffman-and-chris-yeh-on-creating-an-alliance-with-employees?trk=ondemandfile" TargetMode="External"/><Relationship Id="rId119" Type="http://schemas.openxmlformats.org/officeDocument/2006/relationships/hyperlink" Target="https://www.linkedin.com/learning/im-team-kommunizieren?trk=ondemandfile" TargetMode="External"/><Relationship Id="rId44" Type="http://schemas.openxmlformats.org/officeDocument/2006/relationships/hyperlink" Target="https://www.linkedin.com/learning/professional-networking-2?trk=ondemandfile" TargetMode="External"/><Relationship Id="rId65" Type="http://schemas.openxmlformats.org/officeDocument/2006/relationships/hyperlink" Target="https://www.linkedin.com/learning/98373539-7768-37d9-bfa1-0425382fc5b8?trk=ondemandfile" TargetMode="External"/><Relationship Id="rId86" Type="http://schemas.openxmlformats.org/officeDocument/2006/relationships/hyperlink" Target="https://www.linkedin.com/learning/facilitation-skills-for-managers-and-leaders?trk=ondemandfile" TargetMode="External"/><Relationship Id="rId130" Type="http://schemas.openxmlformats.org/officeDocument/2006/relationships/hyperlink" Target="https://www.linkedin.com/learning/gerer-ses-relations-avec-son-chef-sa-cheffe-ses-collegues-et-ses-employes-employees?trk=contentmappingfile" TargetMode="External"/><Relationship Id="rId151" Type="http://schemas.openxmlformats.org/officeDocument/2006/relationships/hyperlink" Target="https://www.linkedin.com/learning/measuring-team-performance-5?trk=ondemandfile" TargetMode="External"/><Relationship Id="rId172" Type="http://schemas.openxmlformats.org/officeDocument/2006/relationships/hyperlink" Target="https://www.linkedin.com/learning/interpersonal-communication?trk=ondemandfile" TargetMode="External"/><Relationship Id="rId193" Type="http://schemas.openxmlformats.org/officeDocument/2006/relationships/hyperlink" Target="https://www.linkedin.com/learning/projektmanagement-ethik-und-compliance?trk=ondemandfile" TargetMode="External"/><Relationship Id="rId207" Type="http://schemas.openxmlformats.org/officeDocument/2006/relationships/hyperlink" Target="https://www.linkedin.com/learning/vertrauen-aufbauen-aufrechterhalten-und-wiederherstellen?trk=contentmappingfile" TargetMode="External"/><Relationship Id="rId228" Type="http://schemas.openxmlformats.org/officeDocument/2006/relationships/hyperlink" Target="https://www.linkedin.com/learning/creating-a-connection-culture?trk=ondemandfile" TargetMode="External"/><Relationship Id="rId13" Type="http://schemas.openxmlformats.org/officeDocument/2006/relationships/hyperlink" Target="https://www.linkedin.com/learning/creating-a-culture-of-collaboration?trk=ondemandfile" TargetMode="External"/><Relationship Id="rId109" Type="http://schemas.openxmlformats.org/officeDocument/2006/relationships/hyperlink" Target="https://www.linkedin.com/learning/como-melhorar-suas-competencias-de-escuta?trk=contentmappingfile" TargetMode="External"/><Relationship Id="rId34" Type="http://schemas.openxmlformats.org/officeDocument/2006/relationships/hyperlink" Target="https://www.linkedin.com/learning/paths/fomenta-la-colaboracion-en-tu-equipo?trk=ondemandfile" TargetMode="External"/><Relationship Id="rId55" Type="http://schemas.openxmlformats.org/officeDocument/2006/relationships/hyperlink" Target="https://www.linkedin.com/learning/paths/amplia-tus-competencias-de-trabajo-en-equipo-colaborativo-y-digital?trk=ondemandfile" TargetMode="External"/><Relationship Id="rId76" Type="http://schemas.openxmlformats.org/officeDocument/2006/relationships/hyperlink" Target="https://www.linkedin.com/learning/teamwork-foundations-3?trk=ondemandfile" TargetMode="External"/><Relationship Id="rId97" Type="http://schemas.openxmlformats.org/officeDocument/2006/relationships/hyperlink" Target="https://www.linkedin.com/learning/devenir-un-manager-bienveillant-une-manager-bienveillante?trk=contentmappingfile" TargetMode="External"/><Relationship Id="rId120" Type="http://schemas.openxmlformats.org/officeDocument/2006/relationships/hyperlink" Target="https://www.linkedin.com/learning/becoming-a-thought-leader?trk=ondemandfile" TargetMode="External"/><Relationship Id="rId141" Type="http://schemas.openxmlformats.org/officeDocument/2006/relationships/hyperlink" Target="https://www.linkedin.com/learning/herramientas-online-para-teletrabajo-trucos?trk=ondemandfile" TargetMode="External"/><Relationship Id="rId7" Type="http://schemas.openxmlformats.org/officeDocument/2006/relationships/hyperlink" Target="https://www.linkedin.com/learning/paths/die-zusammenarbeit-fordern?trk=ondemandfile" TargetMode="External"/><Relationship Id="rId162" Type="http://schemas.openxmlformats.org/officeDocument/2006/relationships/hyperlink" Target="https://www.linkedin.com/learning/microsoft-teams-grundkurs?trk=ondemandfile" TargetMode="External"/><Relationship Id="rId183" Type="http://schemas.openxmlformats.org/officeDocument/2006/relationships/hyperlink" Target="https://www.linkedin.com/learning/online-arbeiten-allein-und-im-team?trk=contentmappingfile" TargetMode="External"/><Relationship Id="rId218" Type="http://schemas.openxmlformats.org/officeDocument/2006/relationships/hyperlink" Target="https://www.linkedin.com/learning/developing-your-professional-image?trk=ondemandfile" TargetMode="External"/><Relationship Id="rId24" Type="http://schemas.openxmlformats.org/officeDocument/2006/relationships/hyperlink" Target="https://www.linkedin.com/learning/paths/digital-transformation-in-practice-virtual-collaboration-tools?trk=ondemandfile" TargetMode="External"/><Relationship Id="rId45" Type="http://schemas.openxmlformats.org/officeDocument/2006/relationships/hyperlink" Target="https://www.linkedin.com/learning/inclusive-leadership-2?trk=ondemandfile" TargetMode="External"/><Relationship Id="rId66" Type="http://schemas.openxmlformats.org/officeDocument/2006/relationships/hyperlink" Target="https://www.linkedin.com/learning/what-are-your-blind-spots-getabstract-summary?trk=ondemandfile" TargetMode="External"/><Relationship Id="rId87" Type="http://schemas.openxmlformats.org/officeDocument/2006/relationships/hyperlink" Target="https://www.linkedin.com/learning/00-communicating-with-confidence?trk=ondemandfile" TargetMode="External"/><Relationship Id="rId110" Type="http://schemas.openxmlformats.org/officeDocument/2006/relationships/hyperlink" Target="https://www.linkedin.com/learning/learning-to-be-assertive-3?trk=ondemandfile" TargetMode="External"/><Relationship Id="rId131" Type="http://schemas.openxmlformats.org/officeDocument/2006/relationships/hyperlink" Target="https://www.linkedin.com/learning/habilidades-de-trabajo-fundamentales?trk=ondemandfile" TargetMode="External"/><Relationship Id="rId152" Type="http://schemas.openxmlformats.org/officeDocument/2006/relationships/hyperlink" Target="https://www.linkedin.com/learning/become-a-super-collaborator?trk=ondemandfile" TargetMode="External"/><Relationship Id="rId173" Type="http://schemas.openxmlformats.org/officeDocument/2006/relationships/hyperlink" Target="https://www.linkedin.com/learning/microsoft-teams-utiliser-les-applications-de-collaboration?trk=contentmappingfile" TargetMode="External"/><Relationship Id="rId194" Type="http://schemas.openxmlformats.org/officeDocument/2006/relationships/hyperlink" Target="https://www.linkedin.com/learning/the-ultimate-guide-to-networking?trk=ondemandfile" TargetMode="External"/><Relationship Id="rId208" Type="http://schemas.openxmlformats.org/officeDocument/2006/relationships/hyperlink" Target="https://www.linkedin.com/learning/communicating-with-transparency?trk=ondemandfile" TargetMode="External"/><Relationship Id="rId229" Type="http://schemas.openxmlformats.org/officeDocument/2006/relationships/hyperlink" Target="https://www.linkedin.com/learning/business-collaboration-in-the-modern-workplace?trk=ondemandfile" TargetMode="External"/><Relationship Id="rId14" Type="http://schemas.openxmlformats.org/officeDocument/2006/relationships/hyperlink" Target="https://www.linkedin.com/learning/paths/become-an-inclusive-leader?trk=ondemandfile" TargetMode="External"/><Relationship Id="rId35" Type="http://schemas.openxmlformats.org/officeDocument/2006/relationships/hyperlink" Target="https://www.linkedin.com/learning/besser-zuhoren?trk=ondemandfile" TargetMode="External"/><Relationship Id="rId56" Type="http://schemas.openxmlformats.org/officeDocument/2006/relationships/hyperlink" Target="https://www.linkedin.com/learning/die-assistenz-der-zukunft-schlusselkompetenzen-fur-das-moderne-office-management?trk=ondemandfile" TargetMode="External"/><Relationship Id="rId77" Type="http://schemas.openxmlformats.org/officeDocument/2006/relationships/hyperlink" Target="https://www.linkedin.com/learning/unleash-your-team-s-creativity?trk=ondemandfile" TargetMode="External"/><Relationship Id="rId100" Type="http://schemas.openxmlformats.org/officeDocument/2006/relationships/hyperlink" Target="https://www.linkedin.com/learning/developing-your-emotional-intelligence-2?trk=ondemandfile" TargetMode="External"/><Relationship Id="rId8" Type="http://schemas.openxmlformats.org/officeDocument/2006/relationships/hyperlink" Target="https://www.linkedin.com/learning/leading-with-emotional-intelligence?trk=ondemandfile" TargetMode="External"/><Relationship Id="rId98" Type="http://schemas.openxmlformats.org/officeDocument/2006/relationships/hyperlink" Target="https://www.linkedin.com/learning/comunicacion-interpersonal?trk=ondemandfile" TargetMode="External"/><Relationship Id="rId121" Type="http://schemas.openxmlformats.org/officeDocument/2006/relationships/hyperlink" Target="https://www.linkedin.com/learning/advanced-remote-work-strategies?trk=ondemandfile" TargetMode="External"/><Relationship Id="rId142" Type="http://schemas.openxmlformats.org/officeDocument/2006/relationships/hyperlink" Target="https://www.linkedin.com/learning/konfliktlosung-grundlagen?trk=ondemandfile" TargetMode="External"/><Relationship Id="rId163" Type="http://schemas.openxmlformats.org/officeDocument/2006/relationships/hyperlink" Target="https://www.linkedin.com/learning/leading-and-working-in-teams-3?trk=ondemandfile" TargetMode="External"/><Relationship Id="rId184" Type="http://schemas.openxmlformats.org/officeDocument/2006/relationships/hyperlink" Target="https://www.linkedin.com/learning/the-surprising-power-of-seeing-people-as-people?trk=ondemandfile" TargetMode="External"/><Relationship Id="rId219" Type="http://schemas.openxmlformats.org/officeDocument/2006/relationships/hyperlink" Target="https://www.linkedin.com/learning/professional-networking?trk=ondemandfile" TargetMode="External"/><Relationship Id="rId230" Type="http://schemas.openxmlformats.org/officeDocument/2006/relationships/hyperlink" Target="https://www.linkedin.com/learning/communicating-with-diplomacy-and-tact?trk=ondemandfile" TargetMode="External"/><Relationship Id="rId25" Type="http://schemas.openxmlformats.org/officeDocument/2006/relationships/hyperlink" Target="https://www.linkedin.com/learning/00-bill-george-sobre-self-awareness-autenticidad-y-liderazgo?trk=ondemandfile" TargetMode="External"/><Relationship Id="rId46" Type="http://schemas.openxmlformats.org/officeDocument/2006/relationships/hyperlink" Target="https://www.linkedin.com/learning/humble-leadership-the-power-of-relationships-openness-and-trust-getabstract-summary?trk=ondemandfile" TargetMode="External"/><Relationship Id="rId67" Type="http://schemas.openxmlformats.org/officeDocument/2006/relationships/hyperlink" Target="https://www.linkedin.com/learning/como-liderar-equipos-inclusivos?trk=ondemandfile" TargetMode="External"/><Relationship Id="rId20" Type="http://schemas.openxmlformats.org/officeDocument/2006/relationships/hyperlink" Target="https://www.linkedin.com/learning/paths/como-desenvolver-a-colaboracao-entre-a-equipe?trk=ondemandfile" TargetMode="External"/><Relationship Id="rId41" Type="http://schemas.openxmlformats.org/officeDocument/2006/relationships/hyperlink" Target="https://www.linkedin.com/learning/00-developing-emotional-intelligence?trk=ondemandfile" TargetMode="External"/><Relationship Id="rId62" Type="http://schemas.openxmlformats.org/officeDocument/2006/relationships/hyperlink" Target="https://www.linkedin.com/learning/paths/domina-las-herramientas-de-trabajo-en-equipo-colaborativo-y-digital?trk=ondemandfile" TargetMode="External"/><Relationship Id="rId83" Type="http://schemas.openxmlformats.org/officeDocument/2006/relationships/hyperlink" Target="https://www.linkedin.com/learning/comunicacion-con-atencion-plena-empatia-y-compasion?trk=ondemandfile" TargetMode="External"/><Relationship Id="rId88" Type="http://schemas.openxmlformats.org/officeDocument/2006/relationships/hyperlink" Target="https://www.linkedin.com/learning/effective-listening-2?trk=ondemandfile" TargetMode="External"/><Relationship Id="rId111" Type="http://schemas.openxmlformats.org/officeDocument/2006/relationships/hyperlink" Target="https://www.linkedin.com/learning/be-a-better-manager-by-motivating-your-team?trk=ondemandfile" TargetMode="External"/><Relationship Id="rId132" Type="http://schemas.openxmlformats.org/officeDocument/2006/relationships/hyperlink" Target="https://www.linkedin.com/learning/00-anteilmanag?trk=ondemandfile" TargetMode="External"/><Relationship Id="rId153" Type="http://schemas.openxmlformats.org/officeDocument/2006/relationships/hyperlink" Target="https://www.linkedin.com/learning/liderazgo-transformador?trk=ondemandfile" TargetMode="External"/><Relationship Id="rId174" Type="http://schemas.openxmlformats.org/officeDocument/2006/relationships/hyperlink" Target="https://www.linkedin.com/learning/teletrabajo?trk=ondemandfile" TargetMode="External"/><Relationship Id="rId179" Type="http://schemas.openxmlformats.org/officeDocument/2006/relationships/hyperlink" Target="https://www.linkedin.com/learning/women-transforming-tech-networking?trk=ondemandfile" TargetMode="External"/><Relationship Id="rId195" Type="http://schemas.openxmlformats.org/officeDocument/2006/relationships/hyperlink" Target="https://www.linkedin.com/learning/00-projektmanagement-teamfuhrung?trk=ondemandfile" TargetMode="External"/><Relationship Id="rId209" Type="http://schemas.openxmlformats.org/officeDocument/2006/relationships/hyperlink" Target="https://www.linkedin.com/learning/werteorientiertes-management?trk=ondemandfile" TargetMode="External"/><Relationship Id="rId190" Type="http://schemas.openxmlformats.org/officeDocument/2006/relationships/hyperlink" Target="https://www.linkedin.com/learning/allyship-for-all?trk=ondemandfile" TargetMode="External"/><Relationship Id="rId204" Type="http://schemas.openxmlformats.org/officeDocument/2006/relationships/hyperlink" Target="https://www.linkedin.com/learning/connecting-and-collaborating-in-a-virtual-or-hybrid-workplace?trk=ondemandfile" TargetMode="External"/><Relationship Id="rId220" Type="http://schemas.openxmlformats.org/officeDocument/2006/relationships/hyperlink" Target="https://www.linkedin.com/learning/why-trust-matters-with-rachel-botsman?trk=ondemandfile" TargetMode="External"/><Relationship Id="rId225" Type="http://schemas.openxmlformats.org/officeDocument/2006/relationships/hyperlink" Target="https://www.linkedin.com/learning/essentials-of-team-collaboration?trk=ondemandfile" TargetMode="External"/><Relationship Id="rId15" Type="http://schemas.openxmlformats.org/officeDocument/2006/relationships/hyperlink" Target="https://www.linkedin.com/learning/aprende-trabajo-colaborativo-con-android?trk=ondemandfile" TargetMode="External"/><Relationship Id="rId36" Type="http://schemas.openxmlformats.org/officeDocument/2006/relationships/hyperlink" Target="https://www.linkedin.com/learning/managing-up-2?trk=ondemandfile" TargetMode="External"/><Relationship Id="rId57" Type="http://schemas.openxmlformats.org/officeDocument/2006/relationships/hyperlink" Target="https://www.linkedin.com/learning/ten-steps-of-listening-improving-your-listening-skills?trk=contentmappingfile" TargetMode="External"/><Relationship Id="rId106" Type="http://schemas.openxmlformats.org/officeDocument/2006/relationships/hyperlink" Target="https://www.linkedin.com/learning/donner-des-feedbacks-aux-employes-employees?trk=contentmappingfile" TargetMode="External"/><Relationship Id="rId127" Type="http://schemas.openxmlformats.org/officeDocument/2006/relationships/hyperlink" Target="https://www.linkedin.com/learning/interkulturelle-kompetenz?trk=ondemandfile" TargetMode="External"/><Relationship Id="rId10" Type="http://schemas.openxmlformats.org/officeDocument/2006/relationships/hyperlink" Target="https://www.linkedin.com/learning/paths/trabalho-remoto-colaboracao-foco-e-produtividade?trk=ondemandfile" TargetMode="External"/><Relationship Id="rId31" Type="http://schemas.openxmlformats.org/officeDocument/2006/relationships/hyperlink" Target="https://www.linkedin.com/learning/employee-experience?trk=ondemandfile" TargetMode="External"/><Relationship Id="rId52" Type="http://schemas.openxmlformats.org/officeDocument/2006/relationships/hyperlink" Target="https://www.linkedin.com/learning/giving-and-receiving-feedback-4?trk=ondemandfile" TargetMode="External"/><Relationship Id="rId73" Type="http://schemas.openxmlformats.org/officeDocument/2006/relationships/hyperlink" Target="https://www.linkedin.com/learning/como-liderar-reuniones-individuales-productivas?trk=ondemandfile" TargetMode="External"/><Relationship Id="rId78" Type="http://schemas.openxmlformats.org/officeDocument/2006/relationships/hyperlink" Target="https://www.linkedin.com/learning/como-ser-parte-de-un-ambiente-de-trabajo-positivo?trk=ondemandfile" TargetMode="External"/><Relationship Id="rId94" Type="http://schemas.openxmlformats.org/officeDocument/2006/relationships/hyperlink" Target="https://www.linkedin.com/learning/como-gerenciar-sua-chefia?trk=contentmappingfile" TargetMode="External"/><Relationship Id="rId99" Type="http://schemas.openxmlformats.org/officeDocument/2006/relationships/hyperlink" Target="https://www.linkedin.com/learning/fred-kofman-uber-konfliktmanagement?trk=ondemandfile" TargetMode="External"/><Relationship Id="rId101" Type="http://schemas.openxmlformats.org/officeDocument/2006/relationships/hyperlink" Target="https://www.linkedin.com/learning/connecting-to-executives-2018?trk=ondemandfile" TargetMode="External"/><Relationship Id="rId122" Type="http://schemas.openxmlformats.org/officeDocument/2006/relationships/hyperlink" Target="https://www.linkedin.com/learning/00-teletrabajo-trucos-y-consejos?trk=ondemandfile" TargetMode="External"/><Relationship Id="rId143" Type="http://schemas.openxmlformats.org/officeDocument/2006/relationships/hyperlink" Target="https://www.linkedin.com/learning/managing-employee-performance-problems-5?trk=ondemandfile" TargetMode="External"/><Relationship Id="rId148" Type="http://schemas.openxmlformats.org/officeDocument/2006/relationships/hyperlink" Target="https://www.linkedin.com/learning/how-to-build-rapport-quickly?trk=ondemandfile" TargetMode="External"/><Relationship Id="rId164" Type="http://schemas.openxmlformats.org/officeDocument/2006/relationships/hyperlink" Target="https://www.linkedin.com/learning/developing-self-awareness?trk=ondemandfile" TargetMode="External"/><Relationship Id="rId169" Type="http://schemas.openxmlformats.org/officeDocument/2006/relationships/hyperlink" Target="https://www.linkedin.com/learning/recursos-humanos-como-manejar-el-bullying-en-el-lugar-de-trabajo?trk=ondemandfile" TargetMode="External"/><Relationship Id="rId185" Type="http://schemas.openxmlformats.org/officeDocument/2006/relationships/hyperlink" Target="https://www.linkedin.com/learning/optimistisch-bleiben-im-job?trk=ondemandfile" TargetMode="External"/><Relationship Id="rId4" Type="http://schemas.openxmlformats.org/officeDocument/2006/relationships/hyperlink" Target="https://www.linkedin.com/learning/aprende-google-drive-2?trk=ondemandfile" TargetMode="External"/><Relationship Id="rId9" Type="http://schemas.openxmlformats.org/officeDocument/2006/relationships/hyperlink" Target="https://www.linkedin.com/learning/paths/31070ed0-b901-3bf1-af9c-de2667146e4d?trk=ondemandfile" TargetMode="External"/><Relationship Id="rId180" Type="http://schemas.openxmlformats.org/officeDocument/2006/relationships/hyperlink" Target="https://www.linkedin.com/learning/00-fundamentos-del-trabajo-en-equipo?trk=ondemandfile" TargetMode="External"/><Relationship Id="rId210" Type="http://schemas.openxmlformats.org/officeDocument/2006/relationships/hyperlink" Target="https://www.linkedin.com/learning/being-an-effective-team-member?trk=ondemandfile" TargetMode="External"/><Relationship Id="rId215" Type="http://schemas.openxmlformats.org/officeDocument/2006/relationships/hyperlink" Target="https://www.linkedin.com/learning/microsoft-viva-first-look?trk=ondemandfile" TargetMode="External"/><Relationship Id="rId26" Type="http://schemas.openxmlformats.org/officeDocument/2006/relationships/hyperlink" Target="https://www.linkedin.com/learning/paths/mejora-la-comunicacion-en-el-ambito-empresarial?trk=ondemandfile" TargetMode="External"/><Relationship Id="rId231" Type="http://schemas.openxmlformats.org/officeDocument/2006/relationships/hyperlink" Target="https://www.linkedin.com/learning/cultivating-grit-and-embracing-adversity-on-your-team?trk=ondemandfile" TargetMode="External"/><Relationship Id="rId47" Type="http://schemas.openxmlformats.org/officeDocument/2006/relationships/hyperlink" Target="https://www.linkedin.com/learning/paths/building-trust-and-collaborating-with-others-2?trk=ondemandfile" TargetMode="External"/><Relationship Id="rId68" Type="http://schemas.openxmlformats.org/officeDocument/2006/relationships/hyperlink" Target="https://www.linkedin.com/learning/paths/trabajo-a-distancia-preparandote-a-ti-mismo-y-a-tus-equipos-para-el-exito?trk=ondemandfile" TargetMode="External"/><Relationship Id="rId89" Type="http://schemas.openxmlformats.org/officeDocument/2006/relationships/hyperlink" Target="https://www.linkedin.com/learning/como-gerenciar-relacionamentos-com-chefes-colegas-e-subordinados?trk=contentmappingfile" TargetMode="External"/><Relationship Id="rId112" Type="http://schemas.openxmlformats.org/officeDocument/2006/relationships/hyperlink" Target="https://www.linkedin.com/learning/donner-et-recevoir-du-feedback?trk=contentmappingfile" TargetMode="External"/><Relationship Id="rId133" Type="http://schemas.openxmlformats.org/officeDocument/2006/relationships/hyperlink" Target="https://www.linkedin.com/learning/como-ser-uma-pessoa-assertiva?trk=contentmappingfile" TargetMode="External"/><Relationship Id="rId154" Type="http://schemas.openxmlformats.org/officeDocument/2006/relationships/hyperlink" Target="https://www.linkedin.com/learning/00-rechte-in-sozialen-netzwerken?trk=ondemandfile" TargetMode="External"/><Relationship Id="rId175" Type="http://schemas.openxmlformats.org/officeDocument/2006/relationships/hyperlink" Target="https://www.linkedin.com/learning/multikulturelle-teams-f-hren?trk=ondemandfile" TargetMode="External"/><Relationship Id="rId196" Type="http://schemas.openxmlformats.org/officeDocument/2006/relationships/hyperlink" Target="https://www.linkedin.com/learning/21-opportunities-for-better-networking?trk=ondemandfile" TargetMode="External"/><Relationship Id="rId200" Type="http://schemas.openxmlformats.org/officeDocument/2006/relationships/hyperlink" Target="https://www.linkedin.com/learning/mindful-team-building?trk=ondemandfile" TargetMode="External"/><Relationship Id="rId16" Type="http://schemas.openxmlformats.org/officeDocument/2006/relationships/hyperlink" Target="https://www.linkedin.com/learning/paths/profundiza-en-tus-habilidades-de-comunicacion-en-la-empresa?trk=ondemandfile" TargetMode="External"/><Relationship Id="rId221" Type="http://schemas.openxmlformats.org/officeDocument/2006/relationships/hyperlink" Target="https://www.linkedin.com/learning/dealing-with-grief-loss-and-change-as-an-employee?trk=ondemandfile" TargetMode="External"/><Relationship Id="rId37" Type="http://schemas.openxmlformats.org/officeDocument/2006/relationships/hyperlink" Target="https://www.linkedin.com/learning/como-colaborar-de-forma-eficaz-com-sua-equipe?trk=contentmappingfile" TargetMode="External"/><Relationship Id="rId58" Type="http://schemas.openxmlformats.org/officeDocument/2006/relationships/hyperlink" Target="https://www.linkedin.com/learning/como-dar-feedback-aos-colaboradores?trk=contentmappingfile" TargetMode="External"/><Relationship Id="rId79" Type="http://schemas.openxmlformats.org/officeDocument/2006/relationships/hyperlink" Target="https://www.linkedin.com/learning/emotionale-intelligenz-entwickeln?trk=ondemandfile" TargetMode="External"/><Relationship Id="rId102" Type="http://schemas.openxmlformats.org/officeDocument/2006/relationships/hyperlink" Target="https://www.linkedin.com/learning/design-thinking-facilitacion-de-procesos-de-trabajo?trk=ondemandfile" TargetMode="External"/><Relationship Id="rId123" Type="http://schemas.openxmlformats.org/officeDocument/2006/relationships/hyperlink" Target="https://www.linkedin.com/learning/im-team-zusammenarbeiten-mit-microsoft-office-365?trk=ondemandfile" TargetMode="External"/><Relationship Id="rId144" Type="http://schemas.openxmlformats.org/officeDocument/2006/relationships/hyperlink" Target="https://www.linkedin.com/learning/cross-functional-sales-teams?trk=ondemandfile" TargetMode="External"/><Relationship Id="rId90" Type="http://schemas.openxmlformats.org/officeDocument/2006/relationships/hyperlink" Target="https://www.linkedin.com/learning/learning-to-be-approachable-2?trk=ondemandfile" TargetMode="External"/><Relationship Id="rId165" Type="http://schemas.openxmlformats.org/officeDocument/2006/relationships/hyperlink" Target="https://www.linkedin.com/learning/motivaci-n-e-implicaci-n-en-la-empresa?trk=ondemandfile" TargetMode="External"/><Relationship Id="rId186" Type="http://schemas.openxmlformats.org/officeDocument/2006/relationships/hyperlink" Target="https://www.linkedin.com/learning/creating-a-culture-of-learning-2?trk=ondemandfile" TargetMode="External"/><Relationship Id="rId211" Type="http://schemas.openxmlformats.org/officeDocument/2006/relationships/hyperlink" Target="https://www.linkedin.com/learning/probleme-konfliktfrei-losen-mit-inspektor-columbo-columbos-regeln?trk=contentmappingfile" TargetMode="External"/><Relationship Id="rId232" Type="http://schemas.openxmlformats.org/officeDocument/2006/relationships/hyperlink" Target="https://www.linkedin.com/learning/empathy-at-work?trk=ondemandfile" TargetMode="External"/><Relationship Id="rId27" Type="http://schemas.openxmlformats.org/officeDocument/2006/relationships/hyperlink" Target="https://www.linkedin.com/learning/besprechungen-moderieren?trk=ondemandfile" TargetMode="External"/><Relationship Id="rId48" Type="http://schemas.openxmlformats.org/officeDocument/2006/relationships/hyperlink" Target="https://www.linkedin.com/learning/como-encontrar-un-trabajo-a-distancia?trk=ondemandfile" TargetMode="External"/><Relationship Id="rId69" Type="http://schemas.openxmlformats.org/officeDocument/2006/relationships/hyperlink" Target="https://www.linkedin.com/learning/digital-auf-distanz-fuhren-und-ergebnisse-erzielen?trk=contentmappingfile" TargetMode="External"/><Relationship Id="rId113" Type="http://schemas.openxmlformats.org/officeDocument/2006/relationships/hyperlink" Target="https://www.linkedin.com/learning/00-fundamentos-de-la-gestion-de-proyectos-comunicacion?trk=ondemandfile" TargetMode="External"/><Relationship Id="rId134" Type="http://schemas.openxmlformats.org/officeDocument/2006/relationships/hyperlink" Target="https://www.linkedin.com/learning/improving-your-listening-skills-2?trk=ondemandfile" TargetMode="External"/><Relationship Id="rId80" Type="http://schemas.openxmlformats.org/officeDocument/2006/relationships/hyperlink" Target="https://www.linkedin.com/learning/como-estimular-o-pensamento-criativo-da-sua-equipe?trk=contentmappingfile" TargetMode="External"/><Relationship Id="rId155" Type="http://schemas.openxmlformats.org/officeDocument/2006/relationships/hyperlink" Target="https://www.linkedin.com/learning/project-management-foundations-teams-2?trk=ondemandfile" TargetMode="External"/><Relationship Id="rId176" Type="http://schemas.openxmlformats.org/officeDocument/2006/relationships/hyperlink" Target="https://www.linkedin.com/learning/working-on-a-cross-functional-team?trk=ondemandfile" TargetMode="External"/><Relationship Id="rId197" Type="http://schemas.openxmlformats.org/officeDocument/2006/relationships/hyperlink" Target="https://www.linkedin.com/learning/servant-leadership-dienende-fuhrung?trk=ondemandfile" TargetMode="External"/><Relationship Id="rId201" Type="http://schemas.openxmlformats.org/officeDocument/2006/relationships/hyperlink" Target="https://www.linkedin.com/learning/sharepoint-fur-power-user?trk=ondemandfile" TargetMode="External"/><Relationship Id="rId222" Type="http://schemas.openxmlformats.org/officeDocument/2006/relationships/hyperlink" Target="https://www.linkedin.com/learning/business-ethics-2?trk=ondemandfile" TargetMode="External"/><Relationship Id="rId17" Type="http://schemas.openxmlformats.org/officeDocument/2006/relationships/hyperlink" Target="https://www.linkedin.com/learning/825ea799-d58c-3ea0-99eb-6890487e8958?trk=ondemandfile" TargetMode="External"/><Relationship Id="rId38" Type="http://schemas.openxmlformats.org/officeDocument/2006/relationships/hyperlink" Target="https://www.linkedin.com/learning/creating-a-high-performance-culture-4?trk=ondemandfile" TargetMode="External"/><Relationship Id="rId59" Type="http://schemas.openxmlformats.org/officeDocument/2006/relationships/hyperlink" Target="https://www.linkedin.com/learning/communicating-with-empathy-2?trk=ondemandfile" TargetMode="External"/><Relationship Id="rId103" Type="http://schemas.openxmlformats.org/officeDocument/2006/relationships/hyperlink" Target="https://www.linkedin.com/learning/git-workflows-im-team-optimieren?trk=contentmappingfile" TargetMode="External"/><Relationship Id="rId124" Type="http://schemas.openxmlformats.org/officeDocument/2006/relationships/hyperlink" Target="https://www.linkedin.com/learning/building-your-team-4?trk=ondemandfile" TargetMode="External"/><Relationship Id="rId70" Type="http://schemas.openxmlformats.org/officeDocument/2006/relationships/hyperlink" Target="https://www.linkedin.com/learning/communicating-with-trust?trk=contentmappingfile" TargetMode="External"/><Relationship Id="rId91" Type="http://schemas.openxmlformats.org/officeDocument/2006/relationships/hyperlink" Target="https://www.linkedin.com/learning/management-tips?trk=ondemandfile" TargetMode="External"/><Relationship Id="rId145" Type="http://schemas.openxmlformats.org/officeDocument/2006/relationships/hyperlink" Target="https://www.linkedin.com/learning/la-escucha-activa?trk=ondemandfile" TargetMode="External"/><Relationship Id="rId166" Type="http://schemas.openxmlformats.org/officeDocument/2006/relationships/hyperlink" Target="https://www.linkedin.com/learning/microsoft-teams-besprechungen-webinare-liveereignisse?trk=contentmappingfile" TargetMode="External"/><Relationship Id="rId187" Type="http://schemas.openxmlformats.org/officeDocument/2006/relationships/hyperlink" Target="https://www.linkedin.com/learning/ortsunabhangig-arbeiten?trk=ondemandfile" TargetMode="External"/><Relationship Id="rId1" Type="http://schemas.openxmlformats.org/officeDocument/2006/relationships/hyperlink" Target="https://www.linkedin.com/learning/inclusive-leadership?trk=ondemandfile" TargetMode="External"/><Relationship Id="rId212" Type="http://schemas.openxmlformats.org/officeDocument/2006/relationships/hyperlink" Target="https://www.linkedin.com/learning/building-trust-2018?trk=ondemandfile" TargetMode="External"/><Relationship Id="rId233" Type="http://schemas.openxmlformats.org/officeDocument/2006/relationships/hyperlink" Target="https://www.linkedin.com/learning/developing-business-partnerships?trk=ondemandfile" TargetMode="External"/><Relationship Id="rId28" Type="http://schemas.openxmlformats.org/officeDocument/2006/relationships/hyperlink" Target="https://www.linkedin.com/learning/being-a-good-mentor-2?trk=ondemandfile" TargetMode="External"/><Relationship Id="rId49" Type="http://schemas.openxmlformats.org/officeDocument/2006/relationships/hyperlink" Target="https://www.linkedin.com/learning/paths/mejora-tu-capacidad-para-comunicar-con-las-personas?trk=ondemandfile" TargetMode="External"/><Relationship Id="rId114" Type="http://schemas.openxmlformats.org/officeDocument/2006/relationships/hyperlink" Target="https://www.linkedin.com/learning/00-teamarbeit?trk=ondemandfile" TargetMode="External"/><Relationship Id="rId60" Type="http://schemas.openxmlformats.org/officeDocument/2006/relationships/hyperlink" Target="https://www.linkedin.com/learning/leading-inclusive-teams?trk=ondemandfile" TargetMode="External"/><Relationship Id="rId81" Type="http://schemas.openxmlformats.org/officeDocument/2006/relationships/hyperlink" Target="https://www.linkedin.com/learning/communication-within-teams-3?trk=ondemandfile" TargetMode="External"/><Relationship Id="rId135" Type="http://schemas.openxmlformats.org/officeDocument/2006/relationships/hyperlink" Target="https://www.linkedin.com/learning/build-a-trustworthy-reputation?trk=ondemandfile" TargetMode="External"/><Relationship Id="rId156" Type="http://schemas.openxmlformats.org/officeDocument/2006/relationships/hyperlink" Target="https://www.linkedin.com/learning/collaboration-principles-and-process?trk=ondemandfile" TargetMode="External"/><Relationship Id="rId177" Type="http://schemas.openxmlformats.org/officeDocument/2006/relationships/hyperlink" Target="https://www.linkedin.com/learning/trabajando-y-colaborando-online?trk=ondemandfile" TargetMode="External"/><Relationship Id="rId198" Type="http://schemas.openxmlformats.org/officeDocument/2006/relationships/hyperlink" Target="https://www.linkedin.com/learning/embracing-conflict-as-a-gift?trk=ondemandfile" TargetMode="External"/><Relationship Id="rId202" Type="http://schemas.openxmlformats.org/officeDocument/2006/relationships/hyperlink" Target="https://www.linkedin.com/learning/the-value-of-employee-resource-groups?trk=ondemandfile" TargetMode="External"/><Relationship Id="rId223" Type="http://schemas.openxmlformats.org/officeDocument/2006/relationships/hyperlink" Target="https://www.linkedin.com/learning/having-bold-and-inclusive-conversations?trk=ondemandfile" TargetMode="External"/><Relationship Id="rId18" Type="http://schemas.openxmlformats.org/officeDocument/2006/relationships/hyperlink" Target="https://de.linkedin.com/learning/paths/digitaler-arbeitsplatz-tools-fur-die-zusammenarbeit" TargetMode="External"/><Relationship Id="rId39" Type="http://schemas.openxmlformats.org/officeDocument/2006/relationships/hyperlink" Target="https://www.linkedin.com/learning/communicating-values?trk=ondemandfile" TargetMode="External"/><Relationship Id="rId50" Type="http://schemas.openxmlformats.org/officeDocument/2006/relationships/hyperlink" Target="https://www.linkedin.com/learning/die-10-stufen-des-zuhorens-die-eigene-zuhorkompetenz-ausbauen?trk=ondemandfile" TargetMode="External"/><Relationship Id="rId104" Type="http://schemas.openxmlformats.org/officeDocument/2006/relationships/hyperlink" Target="https://www.linkedin.com/learning/4bddab10-145f-3bdb-9cc3-b64313f38564?trk=ondemandfile" TargetMode="External"/><Relationship Id="rId125" Type="http://schemas.openxmlformats.org/officeDocument/2006/relationships/hyperlink" Target="https://www.linkedin.com/learning/how-to-develop-friendships-and-connect-meaningfully-with-work-colleagues?trk=ondemandfile" TargetMode="External"/><Relationship Id="rId146" Type="http://schemas.openxmlformats.org/officeDocument/2006/relationships/hyperlink" Target="https://www.linkedin.com/learning/konfliktmanagement-in-projekten?trk=ondemandfile" TargetMode="External"/><Relationship Id="rId167" Type="http://schemas.openxmlformats.org/officeDocument/2006/relationships/hyperlink" Target="https://www.linkedin.com/learning/leading-with-emotional-intelligence-2?trk=ondemandfile" TargetMode="External"/><Relationship Id="rId188" Type="http://schemas.openxmlformats.org/officeDocument/2006/relationships/hyperlink" Target="https://www.linkedin.com/learning/teamwork-foundations-2020?trk=ondemandfile" TargetMode="External"/><Relationship Id="rId71" Type="http://schemas.openxmlformats.org/officeDocument/2006/relationships/hyperlink" Target="https://www.linkedin.com/learning/managing-up-down-and-across-the-organization-3?trk=ondemandfile" TargetMode="External"/><Relationship Id="rId92" Type="http://schemas.openxmlformats.org/officeDocument/2006/relationships/hyperlink" Target="https://www.linkedin.com/learning/00-comunicacion-intercultural?trk=ondemandfile" TargetMode="External"/><Relationship Id="rId213" Type="http://schemas.openxmlformats.org/officeDocument/2006/relationships/hyperlink" Target="https://www.linkedin.com/learning/giving-and-receiving-feedback?trk=ondemandfile" TargetMode="External"/><Relationship Id="rId2" Type="http://schemas.openxmlformats.org/officeDocument/2006/relationships/hyperlink" Target="https://www.linkedin.com/learning/paths/advance-your-skills-as-an-individual-contributor?trk=ondemandfile" TargetMode="External"/><Relationship Id="rId29" Type="http://schemas.openxmlformats.org/officeDocument/2006/relationships/hyperlink" Target="https://www.linkedin.com/learning/conflict-resolution-foundations-3?trk=ondemandfile" TargetMode="External"/><Relationship Id="rId40" Type="http://schemas.openxmlformats.org/officeDocument/2006/relationships/hyperlink" Target="https://www.linkedin.com/learning/paths/improve-your-teamwork-skills?trk=ondemandfile" TargetMode="External"/><Relationship Id="rId115" Type="http://schemas.openxmlformats.org/officeDocument/2006/relationships/hyperlink" Target="https://www.linkedin.com/learning/como-prevenir-o-assedio-no-trabalho-e-criar-um-ambiente-seguro?trk=contentmappingfile" TargetMode="External"/><Relationship Id="rId136" Type="http://schemas.openxmlformats.org/officeDocument/2006/relationships/hyperlink" Target="https://www.linkedin.com/learning/gerer-son-superieur-sa-superieure-hierarchique?trk=contentmappingfile" TargetMode="External"/><Relationship Id="rId157" Type="http://schemas.openxmlformats.org/officeDocument/2006/relationships/hyperlink" Target="https://www.linkedin.com/learning/00-liderazgo-y-trabajo-en-equipo?trk=ondemandfile" TargetMode="External"/><Relationship Id="rId178" Type="http://schemas.openxmlformats.org/officeDocument/2006/relationships/hyperlink" Target="https://www.linkedin.com/learning/lernen-ansprechbar-zu-sein?trk=ondemandfile" TargetMode="External"/><Relationship Id="rId61" Type="http://schemas.openxmlformats.org/officeDocument/2006/relationships/hyperlink" Target="https://www.linkedin.com/learning/como-gestionar-a-tu-superior?trk=contentmappingfile" TargetMode="External"/><Relationship Id="rId82" Type="http://schemas.openxmlformats.org/officeDocument/2006/relationships/hyperlink" Target="https://www.linkedin.com/learning/managing-and-working-with-a-technical-team-for-nontechnical-professionals?trk=ondemandfile" TargetMode="External"/><Relationship Id="rId199" Type="http://schemas.openxmlformats.org/officeDocument/2006/relationships/hyperlink" Target="https://www.linkedin.com/learning/sharepoint-2019-grundkurs?trk=ondemandfile" TargetMode="External"/><Relationship Id="rId203" Type="http://schemas.openxmlformats.org/officeDocument/2006/relationships/hyperlink" Target="https://www.linkedin.com/learning/sharepoint-online-grundkurs-2?trk=ondemandfile" TargetMode="External"/><Relationship Id="rId19" Type="http://schemas.openxmlformats.org/officeDocument/2006/relationships/hyperlink" Target="https://www.linkedin.com/learning/fostering-cooperative-relationship-within-teams?trk=ondemandfile" TargetMode="External"/><Relationship Id="rId224" Type="http://schemas.openxmlformats.org/officeDocument/2006/relationships/hyperlink" Target="https://www.linkedin.com/learning/building-relationships-while-working-from-home?trk=ondemandfile" TargetMode="External"/><Relationship Id="rId30" Type="http://schemas.openxmlformats.org/officeDocument/2006/relationships/hyperlink" Target="https://www.linkedin.com/learning/paths/87c473ed-01ce-32f8-90ac-61be15e449c9?trk=ondemandfile" TargetMode="External"/><Relationship Id="rId105" Type="http://schemas.openxmlformats.org/officeDocument/2006/relationships/hyperlink" Target="https://www.linkedin.com/learning/managing-in-a-matrixed-organization?trk=ondemandfile" TargetMode="External"/><Relationship Id="rId126" Type="http://schemas.openxmlformats.org/officeDocument/2006/relationships/hyperlink" Target="https://www.linkedin.com/learning/gestionar-en-todas-las-direcciones-del-organigrama-empresarial?trk=ondemandfile" TargetMode="External"/><Relationship Id="rId147" Type="http://schemas.openxmlformats.org/officeDocument/2006/relationships/hyperlink" Target="https://www.linkedin.com/learning/professional-networking-3?trk=ondemandfile" TargetMode="External"/><Relationship Id="rId168" Type="http://schemas.openxmlformats.org/officeDocument/2006/relationships/hyperlink" Target="https://www.linkedin.com/learning/developing-your-emotional-intelligence?trk=ondemandfile" TargetMode="External"/><Relationship Id="rId51" Type="http://schemas.openxmlformats.org/officeDocument/2006/relationships/hyperlink" Target="https://www.linkedin.com/learning/effective-listening-3?trk=ondemandfile" TargetMode="External"/><Relationship Id="rId72" Type="http://schemas.openxmlformats.org/officeDocument/2006/relationships/hyperlink" Target="https://www.linkedin.com/learning/the-art-of-connection-7-relationship-building-skills-every-leader-needs-now-getabstract-summary?trk=ondemandfile" TargetMode="External"/><Relationship Id="rId93" Type="http://schemas.openxmlformats.org/officeDocument/2006/relationships/hyperlink" Target="https://www.linkedin.com/learning/firmeninterne-gesprachssituationen-meistern?trk=ondemandfile" TargetMode="External"/><Relationship Id="rId189" Type="http://schemas.openxmlformats.org/officeDocument/2006/relationships/hyperlink" Target="https://www.linkedin.com/learning/premiere-pro-cloud-und-netzwerkbasierte-teamarbeit-mit-produktion-und-team-projects?trk=contentmappingfile" TargetMode="External"/><Relationship Id="rId3" Type="http://schemas.openxmlformats.org/officeDocument/2006/relationships/hyperlink" Target="https://www.linkedin.com/learning/accroitre-la-securite-psychologique-de-votre-equipe?trk=contentmappingfile" TargetMode="External"/><Relationship Id="rId214" Type="http://schemas.openxmlformats.org/officeDocument/2006/relationships/hyperlink" Target="https://www.linkedin.com/learning/improving-your-listening-skills?trk=ondemandfile" TargetMode="External"/><Relationship Id="rId116" Type="http://schemas.openxmlformats.org/officeDocument/2006/relationships/hyperlink" Target="https://www.linkedin.com/learning/building-trust-3?trk=ondemandfile" TargetMode="External"/><Relationship Id="rId137" Type="http://schemas.openxmlformats.org/officeDocument/2006/relationships/hyperlink" Target="https://www.linkedin.com/learning/00-consejos-para-trabajar-a-distancia?trk=ondemandfile" TargetMode="External"/><Relationship Id="rId158" Type="http://schemas.openxmlformats.org/officeDocument/2006/relationships/hyperlink" Target="https://www.linkedin.com/learning/00-mentoring?trk=ondemandfile"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s://www.linkedin.com/learning/building-trust-5?trk=ondemandfile" TargetMode="External"/><Relationship Id="rId299" Type="http://schemas.openxmlformats.org/officeDocument/2006/relationships/hyperlink" Target="https://www.linkedin.com/learning/how-to-own-a-room?trk=ondemandfile" TargetMode="External"/><Relationship Id="rId21" Type="http://schemas.openxmlformats.org/officeDocument/2006/relationships/hyperlink" Target="https://www.linkedin.com/learning/cmo-foundations-working-with-leadership-and-board-of-directors?trk=ondemandfile" TargetMode="External"/><Relationship Id="rId63" Type="http://schemas.openxmlformats.org/officeDocument/2006/relationships/hyperlink" Target="https://www.linkedin.com/learning/business-visualisierung-agil-und-kreativ?trk=ondemandfile" TargetMode="External"/><Relationship Id="rId159" Type="http://schemas.openxmlformats.org/officeDocument/2006/relationships/hyperlink" Target="https://www.linkedin.com/learning/00-negociacion-fundamentos?trk=ondemandfile" TargetMode="External"/><Relationship Id="rId170" Type="http://schemas.openxmlformats.org/officeDocument/2006/relationships/hyperlink" Target="https://www.linkedin.com/learning/executive-presence-on-video-conference-calls?trk=ondemandfile" TargetMode="External"/><Relationship Id="rId226" Type="http://schemas.openxmlformats.org/officeDocument/2006/relationships/hyperlink" Target="https://www.linkedin.com/learning/social-success-at-work?trk=ondemandfile" TargetMode="External"/><Relationship Id="rId268" Type="http://schemas.openxmlformats.org/officeDocument/2006/relationships/hyperlink" Target="https://www.linkedin.com/learning/articulating-your-value?trk=ondemandfile" TargetMode="External"/><Relationship Id="rId32" Type="http://schemas.openxmlformats.org/officeDocument/2006/relationships/hyperlink" Target="https://www.linkedin.com/learning/paths/mejora-la-comunicacion-en-el-ambito-empresarial?trk=ondemandfile" TargetMode="External"/><Relationship Id="rId74" Type="http://schemas.openxmlformats.org/officeDocument/2006/relationships/hyperlink" Target="https://www.linkedin.com/learning/leading-from-the-middle?trk=ondemandfile" TargetMode="External"/><Relationship Id="rId128" Type="http://schemas.openxmlformats.org/officeDocument/2006/relationships/hyperlink" Target="https://www.linkedin.com/learning/influencing-others-4?trk=ondemandfile" TargetMode="External"/><Relationship Id="rId5" Type="http://schemas.openxmlformats.org/officeDocument/2006/relationships/hyperlink" Target="https://www.linkedin.com/learning/andere-beeinflussen-und-uberzeugen?trk=ondemandfile" TargetMode="External"/><Relationship Id="rId181" Type="http://schemas.openxmlformats.org/officeDocument/2006/relationships/hyperlink" Target="https://www.linkedin.com/learning/in-medieninterviews-uberzeugen?trk=ondemandfile" TargetMode="External"/><Relationship Id="rId237" Type="http://schemas.openxmlformats.org/officeDocument/2006/relationships/hyperlink" Target="https://www.linkedin.com/learning/presse-und-offentlichkeitsarbeit-fur-kleine-und-mittlere-unternehmen?trk=ondemandfile" TargetMode="External"/><Relationship Id="rId279" Type="http://schemas.openxmlformats.org/officeDocument/2006/relationships/hyperlink" Target="https://www.linkedin.com/learning/building-trust-2018?trk=ondemandfile" TargetMode="External"/><Relationship Id="rId43" Type="http://schemas.openxmlformats.org/officeDocument/2006/relationships/hyperlink" Target="https://www.linkedin.com/learning/business-etiquette-foundations-conversation?trk=ondemandfile" TargetMode="External"/><Relationship Id="rId139" Type="http://schemas.openxmlformats.org/officeDocument/2006/relationships/hyperlink" Target="https://www.linkedin.com/learning/body-language-for-leaders-2?trk=ondemandfile" TargetMode="External"/><Relationship Id="rId290" Type="http://schemas.openxmlformats.org/officeDocument/2006/relationships/hyperlink" Target="https://www.linkedin.com/learning/communicating-with-confidence?trk=ondemandfile" TargetMode="External"/><Relationship Id="rId304" Type="http://schemas.openxmlformats.org/officeDocument/2006/relationships/hyperlink" Target="https://www.linkedin.com/learning/17-pr-mistakes-to-avoid?trk=ondemandfile" TargetMode="External"/><Relationship Id="rId85" Type="http://schemas.openxmlformats.org/officeDocument/2006/relationships/hyperlink" Target="https://www.linkedin.com/learning/como-medir-el-rendimiento-de-tu-equipo?trk=contentmappingfile" TargetMode="External"/><Relationship Id="rId150" Type="http://schemas.openxmlformats.org/officeDocument/2006/relationships/hyperlink" Target="https://www.linkedin.com/learning/communication-foundations-3?trk=ondemandfile" TargetMode="External"/><Relationship Id="rId192" Type="http://schemas.openxmlformats.org/officeDocument/2006/relationships/hyperlink" Target="https://www.linkedin.com/learning/how-to-speak-up-against-racism-at-work?trk=ondemandfile" TargetMode="External"/><Relationship Id="rId206" Type="http://schemas.openxmlformats.org/officeDocument/2006/relationships/hyperlink" Target="https://www.linkedin.com/learning/vendre-a-des-cadres-superieurs-superieures?trk=contentmappingfile" TargetMode="External"/><Relationship Id="rId248" Type="http://schemas.openxmlformats.org/officeDocument/2006/relationships/hyperlink" Target="https://www.linkedin.com/learning/inspirational-leadership-skills-practical-motivational-leadership?trk=ondemandfile" TargetMode="External"/><Relationship Id="rId12" Type="http://schemas.openxmlformats.org/officeDocument/2006/relationships/hyperlink" Target="https://www.linkedin.com/learning/cmo-foundations-creating-a-marketing-culture?trk=ondemandfile" TargetMode="External"/><Relationship Id="rId108" Type="http://schemas.openxmlformats.org/officeDocument/2006/relationships/hyperlink" Target="https://www.linkedin.com/learning/devenir-une-personne-charismatique-et-influente?trk=contentmappingfile" TargetMode="External"/><Relationship Id="rId315" Type="http://schemas.openxmlformats.org/officeDocument/2006/relationships/hyperlink" Target="https://www.linkedin.com/learning/building-a-more-authentic-workplace?trk=ondemandfile" TargetMode="External"/><Relationship Id="rId54" Type="http://schemas.openxmlformats.org/officeDocument/2006/relationships/hyperlink" Target="https://www.linkedin.com/learning/00-influencing-others?trk=ondemandfile" TargetMode="External"/><Relationship Id="rId96" Type="http://schemas.openxmlformats.org/officeDocument/2006/relationships/hyperlink" Target="https://www.linkedin.com/learning/paths/visual-communication-for-business-professionals?trk=ondemandfile" TargetMode="External"/><Relationship Id="rId161" Type="http://schemas.openxmlformats.org/officeDocument/2006/relationships/hyperlink" Target="https://www.linkedin.com/learning/communicating-with-diplomacy-and-tact-2?trk=ondemandfile" TargetMode="External"/><Relationship Id="rId217" Type="http://schemas.openxmlformats.org/officeDocument/2006/relationships/hyperlink" Target="https://www.linkedin.com/learning/kreatives-texten-wortspiele-metaphern-co?trk=ondemandfile" TargetMode="External"/><Relationship Id="rId259" Type="http://schemas.openxmlformats.org/officeDocument/2006/relationships/hyperlink" Target="https://www.linkedin.com/learning/00-uberzeugend-auftreten?trk=ondemandfile" TargetMode="External"/><Relationship Id="rId23" Type="http://schemas.openxmlformats.org/officeDocument/2006/relationships/hyperlink" Target="https://www.linkedin.com/learning/como-comunicar-de-forma-efectiva-por-email?trk=ondemandfile" TargetMode="External"/><Relationship Id="rId119" Type="http://schemas.openxmlformats.org/officeDocument/2006/relationships/hyperlink" Target="https://www.linkedin.com/learning/building-trust-3?trk=ondemandfile" TargetMode="External"/><Relationship Id="rId270" Type="http://schemas.openxmlformats.org/officeDocument/2006/relationships/hyperlink" Target="https://www.linkedin.com/learning/how-to-listen-and-how-to-be-heard-getabstract-summary?trk=ondemandfile" TargetMode="External"/><Relationship Id="rId65" Type="http://schemas.openxmlformats.org/officeDocument/2006/relationships/hyperlink" Target="https://www.linkedin.com/learning/como-desenvolver-a-lideranca-de-pensamento?trk=contentmappingfile" TargetMode="External"/><Relationship Id="rId130" Type="http://schemas.openxmlformats.org/officeDocument/2006/relationships/hyperlink" Target="https://www.linkedin.com/learning/faire-preuve-d-humour-au-travail?trk=contentmappingfile" TargetMode="External"/><Relationship Id="rId172" Type="http://schemas.openxmlformats.org/officeDocument/2006/relationships/hyperlink" Target="https://www.linkedin.com/learning/in-der-videokonferenz-souveran-auftreten?trk=ondemandfile" TargetMode="External"/><Relationship Id="rId228" Type="http://schemas.openxmlformats.org/officeDocument/2006/relationships/hyperlink" Target="https://www.linkedin.com/learning/the-ideal-team-player-getabstract-summary?trk=ondemandfile" TargetMode="External"/><Relationship Id="rId13" Type="http://schemas.openxmlformats.org/officeDocument/2006/relationships/hyperlink" Target="https://www.linkedin.com/learning/paths/create-a-successful-pitch-for-investors?trk=ondemandfile" TargetMode="External"/><Relationship Id="rId109" Type="http://schemas.openxmlformats.org/officeDocument/2006/relationships/hyperlink" Target="https://www.linkedin.com/learning/00-tener-conversaciones-dificiles?trk=ondemandfile" TargetMode="External"/><Relationship Id="rId260" Type="http://schemas.openxmlformats.org/officeDocument/2006/relationships/hyperlink" Target="https://www.linkedin.com/learning/becoming-assertive?trk=ondemandfile" TargetMode="External"/><Relationship Id="rId281" Type="http://schemas.openxmlformats.org/officeDocument/2006/relationships/hyperlink" Target="https://www.linkedin.com/learning/creating-the-ideal-sales-culture?trk=ondemandfile" TargetMode="External"/><Relationship Id="rId316" Type="http://schemas.openxmlformats.org/officeDocument/2006/relationships/hyperlink" Target="https://www.linkedin.com/learning/effective-listening?trk=ondemandfile" TargetMode="External"/><Relationship Id="rId34" Type="http://schemas.openxmlformats.org/officeDocument/2006/relationships/hyperlink" Target="https://www.linkedin.com/learning/paths/ueberzeugend-auftreten" TargetMode="External"/><Relationship Id="rId55" Type="http://schemas.openxmlformats.org/officeDocument/2006/relationships/hyperlink" Target="https://www.linkedin.com/learning/paths/mejora-tu-capacidad-para-comunicar-con-las-personas?trk=ondemandfile" TargetMode="External"/><Relationship Id="rId76" Type="http://schemas.openxmlformats.org/officeDocument/2006/relationships/hyperlink" Target="https://www.linkedin.com/learning/conseils-d-experte-manager-la-generation-z?trk=contentmappingfile" TargetMode="External"/><Relationship Id="rId97" Type="http://schemas.openxmlformats.org/officeDocument/2006/relationships/hyperlink" Target="https://www.linkedin.com/learning/como-negociar-tu-salario?trk=ondemandfile" TargetMode="External"/><Relationship Id="rId120" Type="http://schemas.openxmlformats.org/officeDocument/2006/relationships/hyperlink" Target="https://www.linkedin.com/learning/applying-critical-thinking-strategies-to-communicate-effectively?trk=ondemandfile" TargetMode="External"/><Relationship Id="rId141" Type="http://schemas.openxmlformats.org/officeDocument/2006/relationships/hyperlink" Target="https://www.linkedin.com/learning/firmeninterne-gesprachssituationen-meistern?trk=ondemandfile" TargetMode="External"/><Relationship Id="rId7" Type="http://schemas.openxmlformats.org/officeDocument/2006/relationships/hyperlink" Target="https://www.linkedin.com/learning/leading-with-emotional-intelligence?trk=ondemandfile" TargetMode="External"/><Relationship Id="rId162" Type="http://schemas.openxmlformats.org/officeDocument/2006/relationships/hyperlink" Target="https://www.linkedin.com/learning/2020-vlog-leading-with-intelligent-disobedience?trk=ondemandfile" TargetMode="External"/><Relationship Id="rId183" Type="http://schemas.openxmlformats.org/officeDocument/2006/relationships/hyperlink" Target="https://www.linkedin.com/learning/integrated-marketing-communication-strategies?trk=ondemandfile" TargetMode="External"/><Relationship Id="rId218" Type="http://schemas.openxmlformats.org/officeDocument/2006/relationships/hyperlink" Target="https://www.linkedin.com/learning/women-transforming-tech-breaking-in-and-staying-in-the-industry?trk=ondemandfile" TargetMode="External"/><Relationship Id="rId239" Type="http://schemas.openxmlformats.org/officeDocument/2006/relationships/hyperlink" Target="https://www.linkedin.com/learning/probleme-konfliktfrei-losen-mit-inspektor-columbo-columbos-regeln?trk=contentmappingfile" TargetMode="External"/><Relationship Id="rId250" Type="http://schemas.openxmlformats.org/officeDocument/2006/relationships/hyperlink" Target="https://www.linkedin.com/learning/communication-within-teams?trk=ondemandfile" TargetMode="External"/><Relationship Id="rId271" Type="http://schemas.openxmlformats.org/officeDocument/2006/relationships/hyperlink" Target="https://www.linkedin.com/learning/how-to-speak-so-people-want-to-listen?trk=ondemandfile" TargetMode="External"/><Relationship Id="rId292" Type="http://schemas.openxmlformats.org/officeDocument/2006/relationships/hyperlink" Target="https://www.linkedin.com/learning/asserting-yourself-an-empowered-choice?trk=ondemandfile" TargetMode="External"/><Relationship Id="rId306" Type="http://schemas.openxmlformats.org/officeDocument/2006/relationships/hyperlink" Target="https://www.linkedin.com/learning/listen-to-lead?trk=ondemandfile" TargetMode="External"/><Relationship Id="rId24" Type="http://schemas.openxmlformats.org/officeDocument/2006/relationships/hyperlink" Target="https://www.linkedin.com/learning/paths/profundiza-en-tus-habilidades-de-comunicacion-en-la-empresa?trk=ondemandfile" TargetMode="External"/><Relationship Id="rId45" Type="http://schemas.openxmlformats.org/officeDocument/2006/relationships/hyperlink" Target="https://www.linkedin.com/learning/communicating-to-drive-people-to-take-action?trk=ondemandfile" TargetMode="External"/><Relationship Id="rId66" Type="http://schemas.openxmlformats.org/officeDocument/2006/relationships/hyperlink" Target="https://www.linkedin.com/learning/business-english-mastering-your-online-interview-15813399?trk=contentmappingfile" TargetMode="External"/><Relationship Id="rId87" Type="http://schemas.openxmlformats.org/officeDocument/2006/relationships/hyperlink" Target="https://www.linkedin.com/learning/strategic-negotiation-3?trk=ondemandfile" TargetMode="External"/><Relationship Id="rId110" Type="http://schemas.openxmlformats.org/officeDocument/2006/relationships/hyperlink" Target="https://www.linkedin.com/learning/empathie-und-kreativitat-als-neue-schlusselkompetenzen?trk=ondemandfile" TargetMode="External"/><Relationship Id="rId131" Type="http://schemas.openxmlformats.org/officeDocument/2006/relationships/hyperlink" Target="https://www.linkedin.com/learning/00-comunicacion-intercultural?trk=ondemandfile" TargetMode="External"/><Relationship Id="rId152" Type="http://schemas.openxmlformats.org/officeDocument/2006/relationships/hyperlink" Target="https://www.linkedin.com/learning/kwame-christian-responde-sobre-como-abordar-assuntos-raciais?trk=contentmappingfile" TargetMode="External"/><Relationship Id="rId173" Type="http://schemas.openxmlformats.org/officeDocument/2006/relationships/hyperlink" Target="https://www.linkedin.com/learning/selling-with-stories-part-2-stories-great-sales-people-tell-2?trk=ondemandfile" TargetMode="External"/><Relationship Id="rId194" Type="http://schemas.openxmlformats.org/officeDocument/2006/relationships/hyperlink" Target="https://www.linkedin.com/learning/intros-und-extros-blinkist-kernaussagen?trk=ondemandfile" TargetMode="External"/><Relationship Id="rId208" Type="http://schemas.openxmlformats.org/officeDocument/2006/relationships/hyperlink" Target="https://www.linkedin.com/learning/leading-productive-meetings-4?trk=ondemandfile" TargetMode="External"/><Relationship Id="rId229" Type="http://schemas.openxmlformats.org/officeDocument/2006/relationships/hyperlink" Target="https://www.linkedin.com/learning/meinungsfuhrer-in-werden?trk=ondemandfile" TargetMode="External"/><Relationship Id="rId240" Type="http://schemas.openxmlformats.org/officeDocument/2006/relationships/hyperlink" Target="https://www.linkedin.com/learning/becoming-an-impactful-and-influential-leader?trk=ondemandfile" TargetMode="External"/><Relationship Id="rId261" Type="http://schemas.openxmlformats.org/officeDocument/2006/relationships/hyperlink" Target="https://www.linkedin.com/learning/00-visuelles-storytelling?trk=ondemandfile" TargetMode="External"/><Relationship Id="rId14" Type="http://schemas.openxmlformats.org/officeDocument/2006/relationships/hyperlink" Target="https://www.linkedin.com/learning/como-comunicar-de-forma-efectiva-en-la-empresa?trk=ondemandfile" TargetMode="External"/><Relationship Id="rId35" Type="http://schemas.openxmlformats.org/officeDocument/2006/relationships/hyperlink" Target="https://www.linkedin.com/learning/learning-to-be-assertive-14827737?trk=contentmappingfile" TargetMode="External"/><Relationship Id="rId56" Type="http://schemas.openxmlformats.org/officeDocument/2006/relationships/hyperlink" Target="https://www.linkedin.com/learning/business-englisch-online-vorstellungsgesprache-meistern?trk=ondemandfile" TargetMode="External"/><Relationship Id="rId77" Type="http://schemas.openxmlformats.org/officeDocument/2006/relationships/hyperlink" Target="https://www.linkedin.com/learning/como-liderar-reuniones-productivas?trk=ondemandfile" TargetMode="External"/><Relationship Id="rId100" Type="http://schemas.openxmlformats.org/officeDocument/2006/relationships/hyperlink" Target="https://www.linkedin.com/learning/como-melhorar-suas-competencias-de-escuta?trk=contentmappingfile" TargetMode="External"/><Relationship Id="rId282" Type="http://schemas.openxmlformats.org/officeDocument/2006/relationships/hyperlink" Target="https://www.linkedin.com/learning/communicating-with-diplomacy-and-tact?trk=ondemandfile" TargetMode="External"/><Relationship Id="rId317" Type="http://schemas.openxmlformats.org/officeDocument/2006/relationships/hyperlink" Target="https://www.linkedin.com/learning/influencing-others?trk=ondemandfile" TargetMode="External"/><Relationship Id="rId8" Type="http://schemas.openxmlformats.org/officeDocument/2006/relationships/hyperlink" Target="https://www.linkedin.com/learning/paths/31070ed0-b901-3bf1-af9c-de2667146e4d?trk=ondemandfile" TargetMode="External"/><Relationship Id="rId98" Type="http://schemas.openxmlformats.org/officeDocument/2006/relationships/hyperlink" Target="https://www.linkedin.com/learning/digital-nudging-nutzererfahrung-und-nutzerentscheidungen-positiv-beeinflussen?trk=ondemandfile" TargetMode="External"/><Relationship Id="rId121" Type="http://schemas.openxmlformats.org/officeDocument/2006/relationships/hyperlink" Target="https://www.linkedin.com/learning/00-communicating-with-confidence?trk=ondemandfile" TargetMode="External"/><Relationship Id="rId142" Type="http://schemas.openxmlformats.org/officeDocument/2006/relationships/hyperlink" Target="https://www.linkedin.com/learning/fundamentos-de-comunicacao?trk=contentmappingfile" TargetMode="External"/><Relationship Id="rId163" Type="http://schemas.openxmlformats.org/officeDocument/2006/relationships/hyperlink" Target="https://www.linkedin.com/learning/gestiona-tu-entrevista-de-trabajo-en-videoconferencia?trk=ondemandfile" TargetMode="External"/><Relationship Id="rId184" Type="http://schemas.openxmlformats.org/officeDocument/2006/relationships/hyperlink" Target="https://www.linkedin.com/learning/repondre-aux-objections-de-ses-clients-clientes?trk=contentmappingfile" TargetMode="External"/><Relationship Id="rId219" Type="http://schemas.openxmlformats.org/officeDocument/2006/relationships/hyperlink" Target="https://www.linkedin.com/learning/00-krisenkommunikation?trk=ondemandfile" TargetMode="External"/><Relationship Id="rId230" Type="http://schemas.openxmlformats.org/officeDocument/2006/relationships/hyperlink" Target="https://www.linkedin.com/learning/learning-webex-meetings-2?trk=ondemandfile" TargetMode="External"/><Relationship Id="rId251" Type="http://schemas.openxmlformats.org/officeDocument/2006/relationships/hyperlink" Target="https://www.linkedin.com/learning/storytelling-fur-fuhrungskrafte?trk=ondemandfile" TargetMode="External"/><Relationship Id="rId25" Type="http://schemas.openxmlformats.org/officeDocument/2006/relationships/hyperlink" Target="https://www.linkedin.com/learning/berichte-schreiben?trk=ondemandfile" TargetMode="External"/><Relationship Id="rId46" Type="http://schemas.openxmlformats.org/officeDocument/2006/relationships/hyperlink" Target="https://www.linkedin.com/learning/paths/develop-your-communication-skills-and-interpersonal-influence?trk=ondemandfile" TargetMode="External"/><Relationship Id="rId67" Type="http://schemas.openxmlformats.org/officeDocument/2006/relationships/hyperlink" Target="https://www.linkedin.com/learning/navigating-executive-politics?trk=ondemandfile" TargetMode="External"/><Relationship Id="rId272" Type="http://schemas.openxmlformats.org/officeDocument/2006/relationships/hyperlink" Target="https://www.linkedin.com/learning/becoming-a-great-conversationalist?trk=ondemandfile" TargetMode="External"/><Relationship Id="rId293" Type="http://schemas.openxmlformats.org/officeDocument/2006/relationships/hyperlink" Target="https://www.linkedin.com/learning/how-to-create-and-run-a-brilliant-remote-workshop?trk=ondemandfile" TargetMode="External"/><Relationship Id="rId307" Type="http://schemas.openxmlformats.org/officeDocument/2006/relationships/hyperlink" Target="https://www.linkedin.com/learning/having-powerful-advanced-conversations?trk=ondemandfile" TargetMode="External"/><Relationship Id="rId88" Type="http://schemas.openxmlformats.org/officeDocument/2006/relationships/hyperlink" Target="https://www.linkedin.com/learning/speaking-up-at-work-16234873?trk=contentmappingfile" TargetMode="External"/><Relationship Id="rId111" Type="http://schemas.openxmlformats.org/officeDocument/2006/relationships/hyperlink" Target="https://www.linkedin.com/learning/communicating-with-confidence-2?trk=ondemandfile" TargetMode="External"/><Relationship Id="rId132" Type="http://schemas.openxmlformats.org/officeDocument/2006/relationships/hyperlink" Target="https://www.linkedin.com/learning/erfolgreiche-kommunikation?trk=ondemandfile" TargetMode="External"/><Relationship Id="rId153" Type="http://schemas.openxmlformats.org/officeDocument/2006/relationships/hyperlink" Target="https://www.linkedin.com/learning/digital-body-language-9622362?trk=contentmappingfile" TargetMode="External"/><Relationship Id="rId174" Type="http://schemas.openxmlformats.org/officeDocument/2006/relationships/hyperlink" Target="https://www.linkedin.com/learning/improving-your-leadership-communications?trk=ondemandfile" TargetMode="External"/><Relationship Id="rId195" Type="http://schemas.openxmlformats.org/officeDocument/2006/relationships/hyperlink" Target="https://www.linkedin.com/learning/779ed34b-4bd3-393b-bda7-0163601fbcc8?trk=ondemandfile" TargetMode="External"/><Relationship Id="rId209" Type="http://schemas.openxmlformats.org/officeDocument/2006/relationships/hyperlink" Target="https://www.linkedin.com/learning/learning-to-be-approachable?trk=ondemandfile" TargetMode="External"/><Relationship Id="rId220" Type="http://schemas.openxmlformats.org/officeDocument/2006/relationships/hyperlink" Target="https://www.linkedin.com/learning/women-transforming-tech-round-table-discussion?trk=ondemandfile" TargetMode="External"/><Relationship Id="rId241" Type="http://schemas.openxmlformats.org/officeDocument/2006/relationships/hyperlink" Target="https://www.linkedin.com/learning/00-pm-komm?trk=ondemandfile" TargetMode="External"/><Relationship Id="rId15" Type="http://schemas.openxmlformats.org/officeDocument/2006/relationships/hyperlink" Target="https://www.linkedin.com/learning/paths/mejora-tus-dotes-de-presentacion-orales-en-publico?trk=ondemandfile" TargetMode="External"/><Relationship Id="rId36" Type="http://schemas.openxmlformats.org/officeDocument/2006/relationships/hyperlink" Target="https://www.linkedin.com/learning/como-comunicar-mas-noticias-aos-clientes?trk=contentmappingfile" TargetMode="External"/><Relationship Id="rId57" Type="http://schemas.openxmlformats.org/officeDocument/2006/relationships/hyperlink" Target="https://www.linkedin.com/learning/managing-up-2?trk=ondemandfile" TargetMode="External"/><Relationship Id="rId262" Type="http://schemas.openxmlformats.org/officeDocument/2006/relationships/hyperlink" Target="https://www.linkedin.com/learning/centered-communication-get-better-results-from-your-conversations?trk=ondemandfile" TargetMode="External"/><Relationship Id="rId283" Type="http://schemas.openxmlformats.org/officeDocument/2006/relationships/hyperlink" Target="https://www.linkedin.com/learning/preparing-for-successful-communication?trk=ondemandfile" TargetMode="External"/><Relationship Id="rId318" Type="http://schemas.openxmlformats.org/officeDocument/2006/relationships/hyperlink" Target="https://www.linkedin.com/learning/communicating-across-cultures-virtually?trk=ondemandfile" TargetMode="External"/><Relationship Id="rId78" Type="http://schemas.openxmlformats.org/officeDocument/2006/relationships/hyperlink" Target="https://www.linkedin.com/learning/paths/domina-las-habilidades-de-vida-a-nivel-de-liderazgo?trk=ondemandfile" TargetMode="External"/><Relationship Id="rId99" Type="http://schemas.openxmlformats.org/officeDocument/2006/relationships/hyperlink" Target="https://www.linkedin.com/learning/improving-your-listening-skills-14598134?trk=contentmappingfile" TargetMode="External"/><Relationship Id="rId101" Type="http://schemas.openxmlformats.org/officeDocument/2006/relationships/hyperlink" Target="https://www.linkedin.com/learning/executive-presence-for-women-3?trk=ondemandfile" TargetMode="External"/><Relationship Id="rId122" Type="http://schemas.openxmlformats.org/officeDocument/2006/relationships/hyperlink" Target="https://www.linkedin.com/learning/effective-listening-2?trk=ondemandfile" TargetMode="External"/><Relationship Id="rId143" Type="http://schemas.openxmlformats.org/officeDocument/2006/relationships/hyperlink" Target="https://www.linkedin.com/learning/50f9d422-7963-3225-82ac-1304ac6d7671?trk=ondemandfile" TargetMode="External"/><Relationship Id="rId164" Type="http://schemas.openxmlformats.org/officeDocument/2006/relationships/hyperlink" Target="https://www.linkedin.com/learning/00-teamarbeit?trk=ondemandfile" TargetMode="External"/><Relationship Id="rId185" Type="http://schemas.openxmlformats.org/officeDocument/2006/relationships/hyperlink" Target="https://www.linkedin.com/learning/00-persuadir-a-los-demas?trk=ondemandfile" TargetMode="External"/><Relationship Id="rId9" Type="http://schemas.openxmlformats.org/officeDocument/2006/relationships/hyperlink" Target="https://www.linkedin.com/learning/paths/melhore-suas-habilidades-de-comunicacao?trk=ondemandfile" TargetMode="External"/><Relationship Id="rId210" Type="http://schemas.openxmlformats.org/officeDocument/2006/relationships/hyperlink" Target="https://www.linkedin.com/learning/00-kommtipps?trk=ondemandfile" TargetMode="External"/><Relationship Id="rId26" Type="http://schemas.openxmlformats.org/officeDocument/2006/relationships/hyperlink" Target="https://www.linkedin.com/learning/paths/besser-prasentieren?trk=ondemandfile" TargetMode="External"/><Relationship Id="rId231" Type="http://schemas.openxmlformats.org/officeDocument/2006/relationships/hyperlink" Target="https://www.linkedin.com/learning/mit-dem-ersten-eindruck-uberzeugen?trk=ondemandfile" TargetMode="External"/><Relationship Id="rId252" Type="http://schemas.openxmlformats.org/officeDocument/2006/relationships/hyperlink" Target="https://www.linkedin.com/learning/constructive-candor-important-conversations-with-coworkers-family-and-friends?trk=ondemandfile" TargetMode="External"/><Relationship Id="rId273" Type="http://schemas.openxmlformats.org/officeDocument/2006/relationships/hyperlink" Target="https://www.linkedin.com/learning/talking-boldly-when-inclusion-meets-politics-at-the-office?trk=ondemandfile" TargetMode="External"/><Relationship Id="rId294" Type="http://schemas.openxmlformats.org/officeDocument/2006/relationships/hyperlink" Target="https://www.linkedin.com/learning/zoom-leading-effective-and-engaging-calls?trk=ondemandfile" TargetMode="External"/><Relationship Id="rId308" Type="http://schemas.openxmlformats.org/officeDocument/2006/relationships/hyperlink" Target="https://www.linkedin.com/learning/managing-your-emotions-at-work?trk=ondemandfile" TargetMode="External"/><Relationship Id="rId47" Type="http://schemas.openxmlformats.org/officeDocument/2006/relationships/hyperlink" Target="https://www.linkedin.com/learning/como-desarrollar-tu-elevator-pitch?trk=ondemandfile" TargetMode="External"/><Relationship Id="rId68" Type="http://schemas.openxmlformats.org/officeDocument/2006/relationships/hyperlink" Target="https://www.linkedin.com/learning/paths/improve-your-interoffice-politics-skills?trk=ondemandfile" TargetMode="External"/><Relationship Id="rId89" Type="http://schemas.openxmlformats.org/officeDocument/2006/relationships/hyperlink" Target="https://www.linkedin.com/learning/reputation-risk-management?trk=ondemandfile" TargetMode="External"/><Relationship Id="rId112" Type="http://schemas.openxmlformats.org/officeDocument/2006/relationships/hyperlink" Target="https://www.linkedin.com/learning/como-prevenir-o-assedio-no-trabalho-e-criar-um-ambiente-seguro?trk=contentmappingfile" TargetMode="External"/><Relationship Id="rId133" Type="http://schemas.openxmlformats.org/officeDocument/2006/relationships/hyperlink" Target="https://www.linkedin.com/learning/como-ser-uma-pessoa-assertiva?trk=contentmappingfile" TargetMode="External"/><Relationship Id="rId154" Type="http://schemas.openxmlformats.org/officeDocument/2006/relationships/hyperlink" Target="https://www.linkedin.com/learning/leading-with-applied-improv?trk=ondemandfile" TargetMode="External"/><Relationship Id="rId175" Type="http://schemas.openxmlformats.org/officeDocument/2006/relationships/hyperlink" Target="https://www.linkedin.com/learning/improving-your-listening-skills-3?trk=ondemandfile" TargetMode="External"/><Relationship Id="rId196" Type="http://schemas.openxmlformats.org/officeDocument/2006/relationships/hyperlink" Target="https://www.linkedin.com/learning/communicating-with-empathy?trk=ondemandfile" TargetMode="External"/><Relationship Id="rId200" Type="http://schemas.openxmlformats.org/officeDocument/2006/relationships/hyperlink" Target="https://www.linkedin.com/learning/communication-foundations-2?trk=ondemandfile" TargetMode="External"/><Relationship Id="rId16" Type="http://schemas.openxmlformats.org/officeDocument/2006/relationships/hyperlink" Target="https://www.linkedin.com/learning/argumentative-rhetorik-manipulative-rhetorik-zwei-wege-menschen-zu-beeinflussen?trk=ondemandfile" TargetMode="External"/><Relationship Id="rId221" Type="http://schemas.openxmlformats.org/officeDocument/2006/relationships/hyperlink" Target="https://www.linkedin.com/learning/kundenkommunikation-mit-whatsapp-business?trk=ondemandfile" TargetMode="External"/><Relationship Id="rId242" Type="http://schemas.openxmlformats.org/officeDocument/2006/relationships/hyperlink" Target="https://www.linkedin.com/learning/the-power-of-introverts?trk=ondemandfile" TargetMode="External"/><Relationship Id="rId263" Type="http://schemas.openxmlformats.org/officeDocument/2006/relationships/hyperlink" Target="https://www.linkedin.com/learning/wertschatzende-kommunikation-trotz-unterschieden-erfolgreich-kommunizieren?trk=contentmappingfile" TargetMode="External"/><Relationship Id="rId284" Type="http://schemas.openxmlformats.org/officeDocument/2006/relationships/hyperlink" Target="https://www.linkedin.com/learning/leading-with-kindness-and-strength?trk=ondemandfile" TargetMode="External"/><Relationship Id="rId319" Type="http://schemas.openxmlformats.org/officeDocument/2006/relationships/hyperlink" Target="https://www.linkedin.com/learning/unlocking-authentic-communication-in-a-culturally-diverse-workplace?trk=ondemandfile" TargetMode="External"/><Relationship Id="rId37" Type="http://schemas.openxmlformats.org/officeDocument/2006/relationships/hyperlink" Target="https://www.linkedin.com/learning/agreements-for-success-in-global-projects-2?trk=ondemandfile" TargetMode="External"/><Relationship Id="rId58" Type="http://schemas.openxmlformats.org/officeDocument/2006/relationships/hyperlink" Target="https://www.linkedin.com/learning/communicating-with-empathy-2?trk=ondemandfile" TargetMode="External"/><Relationship Id="rId79" Type="http://schemas.openxmlformats.org/officeDocument/2006/relationships/hyperlink" Target="https://www.linkedin.com/learning/data-science-lernen-storytelling-mit-daten?trk=ondemandfile" TargetMode="External"/><Relationship Id="rId102" Type="http://schemas.openxmlformats.org/officeDocument/2006/relationships/hyperlink" Target="https://www.linkedin.com/learning/stories-every-leader-should-tell?trk=ondemandfile" TargetMode="External"/><Relationship Id="rId123" Type="http://schemas.openxmlformats.org/officeDocument/2006/relationships/hyperlink" Target="https://www.linkedin.com/learning/learning-to-be-approachable-14599142?trk=contentmappingfile" TargetMode="External"/><Relationship Id="rId144" Type="http://schemas.openxmlformats.org/officeDocument/2006/relationships/hyperlink" Target="https://www.linkedin.com/learning/communicating-internally-during-times-of-uncertainty?trk=ondemandfile" TargetMode="External"/><Relationship Id="rId90" Type="http://schemas.openxmlformats.org/officeDocument/2006/relationships/hyperlink" Target="https://www.linkedin.com/learning/paths/navigating-election-season-at-work?trk=ondemandfile" TargetMode="External"/><Relationship Id="rId165" Type="http://schemas.openxmlformats.org/officeDocument/2006/relationships/hyperlink" Target="https://www.linkedin.com/learning/pitching-your-ideas-strategically-17477395?trk=contentmappingfile" TargetMode="External"/><Relationship Id="rId186" Type="http://schemas.openxmlformats.org/officeDocument/2006/relationships/hyperlink" Target="https://www.linkedin.com/learning/influencer-marketing-grundlagen-2?trk=ondemandfile" TargetMode="External"/><Relationship Id="rId211" Type="http://schemas.openxmlformats.org/officeDocument/2006/relationships/hyperlink" Target="https://www.linkedin.com/learning/leading-with-emotional-intelligence-2?trk=ondemandfile" TargetMode="External"/><Relationship Id="rId232" Type="http://schemas.openxmlformats.org/officeDocument/2006/relationships/hyperlink" Target="https://www.linkedin.com/learning/find-your-passion-how-padma-lakshmi-found-hers?trk=ondemandfile" TargetMode="External"/><Relationship Id="rId253" Type="http://schemas.openxmlformats.org/officeDocument/2006/relationships/hyperlink" Target="https://www.linkedin.com/learning/storytelling?trk=ondemandfile" TargetMode="External"/><Relationship Id="rId274" Type="http://schemas.openxmlformats.org/officeDocument/2006/relationships/hyperlink" Target="https://www.linkedin.com/learning/building-inclusive-work-communities?trk=ondemandfile" TargetMode="External"/><Relationship Id="rId295" Type="http://schemas.openxmlformats.org/officeDocument/2006/relationships/hyperlink" Target="https://www.linkedin.com/learning/having-bold-and-inclusive-conversations?trk=ondemandfile" TargetMode="External"/><Relationship Id="rId309" Type="http://schemas.openxmlformats.org/officeDocument/2006/relationships/hyperlink" Target="https://www.linkedin.com/learning/complex-negotiation-tips?trk=ondemandfile" TargetMode="External"/><Relationship Id="rId27" Type="http://schemas.openxmlformats.org/officeDocument/2006/relationships/hyperlink" Target="https://www.linkedin.com/learning/learning-to-say-no-16410576?trk=contentmappingfile" TargetMode="External"/><Relationship Id="rId48" Type="http://schemas.openxmlformats.org/officeDocument/2006/relationships/hyperlink" Target="https://www.linkedin.com/learning/paths/domina-el-arte-del-email-con-outlook-2016?trk=ondemandfile" TargetMode="External"/><Relationship Id="rId69" Type="http://schemas.openxmlformats.org/officeDocument/2006/relationships/hyperlink" Target="https://www.linkedin.com/learning/como-liderar-reuniones-individuales-productivas?trk=ondemandfile" TargetMode="External"/><Relationship Id="rId113" Type="http://schemas.openxmlformats.org/officeDocument/2006/relationships/hyperlink" Target="https://www.linkedin.com/learning/learning-to-be-assertive-3?trk=ondemandfile" TargetMode="External"/><Relationship Id="rId134" Type="http://schemas.openxmlformats.org/officeDocument/2006/relationships/hyperlink" Target="https://www.linkedin.com/learning/becoming-a-thought-leader?trk=ondemandfile" TargetMode="External"/><Relationship Id="rId320" Type="http://schemas.openxmlformats.org/officeDocument/2006/relationships/hyperlink" Target="https://www.linkedin.com/learning/learning-to-say-no-with-confidence-and-grace?trk=ondemandfile" TargetMode="External"/><Relationship Id="rId80" Type="http://schemas.openxmlformats.org/officeDocument/2006/relationships/hyperlink" Target="https://www.linkedin.com/learning/effective-listening-3?trk=ondemandfile" TargetMode="External"/><Relationship Id="rId155" Type="http://schemas.openxmlformats.org/officeDocument/2006/relationships/hyperlink" Target="https://www.linkedin.com/learning/00-fundamentos-de-la-gestion-de-proyectos-comunicacion?trk=ondemandfile" TargetMode="External"/><Relationship Id="rId176" Type="http://schemas.openxmlformats.org/officeDocument/2006/relationships/hyperlink" Target="https://www.linkedin.com/learning/in-der-videokonferenz-uberzeugen?trk=ondemandfile" TargetMode="External"/><Relationship Id="rId197" Type="http://schemas.openxmlformats.org/officeDocument/2006/relationships/hyperlink" Target="https://www.linkedin.com/learning/storytelling-para-comunicacion-de-proyectos-de-ingenieria?trk=contentmappingfile" TargetMode="External"/><Relationship Id="rId201" Type="http://schemas.openxmlformats.org/officeDocument/2006/relationships/hyperlink" Target="https://www.linkedin.com/learning/travailler-sa-repartie?trk=contentmappingfile" TargetMode="External"/><Relationship Id="rId222" Type="http://schemas.openxmlformats.org/officeDocument/2006/relationships/hyperlink" Target="https://www.linkedin.com/learning/women-transforming-tech-networking?trk=ondemandfile" TargetMode="External"/><Relationship Id="rId243" Type="http://schemas.openxmlformats.org/officeDocument/2006/relationships/hyperlink" Target="https://www.linkedin.com/learning/rhetorik-mit-argumenten-uberzeugen?trk=ondemandfile" TargetMode="External"/><Relationship Id="rId264" Type="http://schemas.openxmlformats.org/officeDocument/2006/relationships/hyperlink" Target="https://www.linkedin.com/learning/three-tips-for-managing-egos-and-difficult-emotions?trk=ondemandfile" TargetMode="External"/><Relationship Id="rId285" Type="http://schemas.openxmlformats.org/officeDocument/2006/relationships/hyperlink" Target="https://www.linkedin.com/learning/successful-networking?trk=ondemandfile" TargetMode="External"/><Relationship Id="rId17" Type="http://schemas.openxmlformats.org/officeDocument/2006/relationships/hyperlink" Target="https://www.linkedin.com/learning/paths/bessere-texte-schreiben?trk=ondemandfile" TargetMode="External"/><Relationship Id="rId38" Type="http://schemas.openxmlformats.org/officeDocument/2006/relationships/hyperlink" Target="https://www.linkedin.com/learning/organizational-thought-leadership?trk=ondemandfile" TargetMode="External"/><Relationship Id="rId59" Type="http://schemas.openxmlformats.org/officeDocument/2006/relationships/hyperlink" Target="https://www.linkedin.com/learning/strategic-negotiation?trk=ondemandfile" TargetMode="External"/><Relationship Id="rId103" Type="http://schemas.openxmlformats.org/officeDocument/2006/relationships/hyperlink" Target="https://www.linkedin.com/learning/00-asking-great-sales-questions?trk=ondemandfile" TargetMode="External"/><Relationship Id="rId124" Type="http://schemas.openxmlformats.org/officeDocument/2006/relationships/hyperlink" Target="https://www.linkedin.com/learning/building-self-confidence?trk=ondemandfile" TargetMode="External"/><Relationship Id="rId310" Type="http://schemas.openxmlformats.org/officeDocument/2006/relationships/hyperlink" Target="https://www.linkedin.com/learning/backgrounder-netiquette?trk=ondemandfile" TargetMode="External"/><Relationship Id="rId70" Type="http://schemas.openxmlformats.org/officeDocument/2006/relationships/hyperlink" Target="https://www.linkedin.com/learning/paths/domina-el-arte-del-email-con-outlook-2016-para-mac?trk=ondemandfile" TargetMode="External"/><Relationship Id="rId91" Type="http://schemas.openxmlformats.org/officeDocument/2006/relationships/hyperlink" Target="https://www.linkedin.com/learning/como-negociar-tu-oferta-de-trabajo?trk=ondemandfile" TargetMode="External"/><Relationship Id="rId145" Type="http://schemas.openxmlformats.org/officeDocument/2006/relationships/hyperlink" Target="https://www.linkedin.com/learning/la-communication-serie?trk=contentmappingfile" TargetMode="External"/><Relationship Id="rId166" Type="http://schemas.openxmlformats.org/officeDocument/2006/relationships/hyperlink" Target="https://www.linkedin.com/learning/connecting-to-executives-2018?trk=ondemandfile" TargetMode="External"/><Relationship Id="rId187" Type="http://schemas.openxmlformats.org/officeDocument/2006/relationships/hyperlink" Target="https://www.linkedin.com/learning/negotiation-skills-2?trk=ondemandfile" TargetMode="External"/><Relationship Id="rId1" Type="http://schemas.openxmlformats.org/officeDocument/2006/relationships/hyperlink" Target="https://www.linkedin.com/learning/doing-good-to-build-a-profitable-business?trk=ondemandfile" TargetMode="External"/><Relationship Id="rId212" Type="http://schemas.openxmlformats.org/officeDocument/2006/relationships/hyperlink" Target="https://www.linkedin.com/learning/negotiation-skills?trk=ondemandfile" TargetMode="External"/><Relationship Id="rId233" Type="http://schemas.openxmlformats.org/officeDocument/2006/relationships/hyperlink" Target="https://www.linkedin.com/learning/nein-sagen-und-gesunde-grenzen-setzen?trk=contentmappingfile" TargetMode="External"/><Relationship Id="rId254" Type="http://schemas.openxmlformats.org/officeDocument/2006/relationships/hyperlink" Target="https://www.linkedin.com/learning/how-to-win-arguments?trk=ondemandfile" TargetMode="External"/><Relationship Id="rId28" Type="http://schemas.openxmlformats.org/officeDocument/2006/relationships/hyperlink" Target="https://www.linkedin.com/learning/bystander-training-from-bystander-to-upstander-2?trk=ondemandfile" TargetMode="External"/><Relationship Id="rId49" Type="http://schemas.openxmlformats.org/officeDocument/2006/relationships/hyperlink" Target="https://www.linkedin.com/learning/business-englisch-erfolgreiche-e-mails-verfassen?trk=ondemandfile" TargetMode="External"/><Relationship Id="rId114" Type="http://schemas.openxmlformats.org/officeDocument/2006/relationships/hyperlink" Target="https://www.linkedin.com/learning/taking-charge-of-your-leadership-conversations?trk=ondemandfile" TargetMode="External"/><Relationship Id="rId275" Type="http://schemas.openxmlformats.org/officeDocument/2006/relationships/hyperlink" Target="https://www.linkedin.com/learning/negotiation-foundations?trk=ondemandfile" TargetMode="External"/><Relationship Id="rId296" Type="http://schemas.openxmlformats.org/officeDocument/2006/relationships/hyperlink" Target="https://www.linkedin.com/learning/complete-confidence-in-minutes-weekly?trk=ondemandfile" TargetMode="External"/><Relationship Id="rId300" Type="http://schemas.openxmlformats.org/officeDocument/2006/relationships/hyperlink" Target="https://www.linkedin.com/learning/building-relationships-while-working-from-home?trk=ondemandfile" TargetMode="External"/><Relationship Id="rId60" Type="http://schemas.openxmlformats.org/officeDocument/2006/relationships/hyperlink" Target="https://www.linkedin.com/learning/paths/how-to-engage-meaningfully-in-allyship-and-anti-racism?trk=ondemandfile" TargetMode="External"/><Relationship Id="rId81" Type="http://schemas.openxmlformats.org/officeDocument/2006/relationships/hyperlink" Target="https://www.linkedin.com/learning/communication-within-teams-3?trk=ondemandfile" TargetMode="External"/><Relationship Id="rId135" Type="http://schemas.openxmlformats.org/officeDocument/2006/relationships/hyperlink" Target="https://www.linkedin.com/learning/supporting-a-grieving-employee-a-manager-s-guide?trk=ondemandfile" TargetMode="External"/><Relationship Id="rId156" Type="http://schemas.openxmlformats.org/officeDocument/2006/relationships/hyperlink" Target="https://www.linkedin.com/learning/ihre-ideen-durchsetzen?trk=ondemandfile" TargetMode="External"/><Relationship Id="rId177" Type="http://schemas.openxmlformats.org/officeDocument/2006/relationships/hyperlink" Target="https://www.linkedin.com/learning/managing-a-diverse-team-2?trk=ondemandfile" TargetMode="External"/><Relationship Id="rId198" Type="http://schemas.openxmlformats.org/officeDocument/2006/relationships/hyperlink" Target="https://www.linkedin.com/learning/kommunikation-in-zeiten-der-veranderung?trk=ondemandfile" TargetMode="External"/><Relationship Id="rId202" Type="http://schemas.openxmlformats.org/officeDocument/2006/relationships/hyperlink" Target="https://www.linkedin.com/learning/00-fundamentos-del-trabajo-en-equipo?trk=ondemandfile" TargetMode="External"/><Relationship Id="rId223" Type="http://schemas.openxmlformats.org/officeDocument/2006/relationships/hyperlink" Target="https://www.linkedin.com/learning/kunstliche-intelligenz-strategie-und-kommunikation-im-unternehmen?trk=ondemandfile" TargetMode="External"/><Relationship Id="rId244" Type="http://schemas.openxmlformats.org/officeDocument/2006/relationships/hyperlink" Target="https://www.linkedin.com/learning/the-science-of-compassion-the-upward-spiral-of-compassion?trk=ondemandfile" TargetMode="External"/><Relationship Id="rId18" Type="http://schemas.openxmlformats.org/officeDocument/2006/relationships/hyperlink" Target="https://www.linkedin.com/learning/what-is-johari-window?trk=contentmappingfile" TargetMode="External"/><Relationship Id="rId39" Type="http://schemas.openxmlformats.org/officeDocument/2006/relationships/hyperlink" Target="https://www.linkedin.com/learning/paths/develop-motivate-and-retain-employees?trk=ondemandfile" TargetMode="External"/><Relationship Id="rId265" Type="http://schemas.openxmlformats.org/officeDocument/2006/relationships/hyperlink" Target="https://www.linkedin.com/learning/00-zielvereinbarung?trk=ondemandfile" TargetMode="External"/><Relationship Id="rId286" Type="http://schemas.openxmlformats.org/officeDocument/2006/relationships/hyperlink" Target="https://www.linkedin.com/learning/building-your-visibility-as-a-leader?trk=ondemandfile" TargetMode="External"/><Relationship Id="rId50" Type="http://schemas.openxmlformats.org/officeDocument/2006/relationships/hyperlink" Target="https://www.linkedin.com/learning/business-etiquette-foundations-fundamentals?trk=ondemandfile" TargetMode="External"/><Relationship Id="rId104" Type="http://schemas.openxmlformats.org/officeDocument/2006/relationships/hyperlink" Target="https://www.linkedin.com/learning/e-mails-schreiben?trk=ondemandfile" TargetMode="External"/><Relationship Id="rId125" Type="http://schemas.openxmlformats.org/officeDocument/2006/relationships/hyperlink" Target="https://www.linkedin.com/learning/creating-a-culture-that-inspires-your-employees?trk=ondemandfile" TargetMode="External"/><Relationship Id="rId146" Type="http://schemas.openxmlformats.org/officeDocument/2006/relationships/hyperlink" Target="https://www.linkedin.com/learning/00-etiqueta-profesional?trk=ondemandfile" TargetMode="External"/><Relationship Id="rId167" Type="http://schemas.openxmlformats.org/officeDocument/2006/relationships/hyperlink" Target="https://www.linkedin.com/learning/habilidades-de-conversacion-inclusiva?trk=ondemandfile" TargetMode="External"/><Relationship Id="rId188" Type="http://schemas.openxmlformats.org/officeDocument/2006/relationships/hyperlink" Target="https://www.linkedin.com/learning/how-to-develop-friendships-and-connect-meaningfully-with-work-colleagues?trk=ondemandfile" TargetMode="External"/><Relationship Id="rId311" Type="http://schemas.openxmlformats.org/officeDocument/2006/relationships/hyperlink" Target="https://www.linkedin.com/learning/the-10-essentials-of-influence-and-persuasion?trk=ondemandfile" TargetMode="External"/><Relationship Id="rId71" Type="http://schemas.openxmlformats.org/officeDocument/2006/relationships/hyperlink" Target="https://www.linkedin.com/learning/corporate-blogs-grundlagen-2?trk=ondemandfile" TargetMode="External"/><Relationship Id="rId92" Type="http://schemas.openxmlformats.org/officeDocument/2006/relationships/hyperlink" Target="https://www.linkedin.com/learning/die-7-schlimmsten-kommunikationsfehler?trk=contentmappingfile" TargetMode="External"/><Relationship Id="rId213" Type="http://schemas.openxmlformats.org/officeDocument/2006/relationships/hyperlink" Target="https://www.linkedin.com/learning/korpersprache-fur-frauen?trk=ondemandfile" TargetMode="External"/><Relationship Id="rId234" Type="http://schemas.openxmlformats.org/officeDocument/2006/relationships/hyperlink" Target="https://www.linkedin.com/learning/jeffrey-gitomer-s-little-red-book-of-sales-answers-getabstract-summary?trk=ondemandfile" TargetMode="External"/><Relationship Id="rId2" Type="http://schemas.openxmlformats.org/officeDocument/2006/relationships/hyperlink" Target="https://www.linkedin.com/learning/paths/communicating-during-times-of-change?trk=ondemandfile" TargetMode="External"/><Relationship Id="rId29" Type="http://schemas.openxmlformats.org/officeDocument/2006/relationships/hyperlink" Target="https://www.linkedin.com/learning/crisis-communication-for-hr?trk=ondemandfile" TargetMode="External"/><Relationship Id="rId255" Type="http://schemas.openxmlformats.org/officeDocument/2006/relationships/hyperlink" Target="https://www.linkedin.com/learning/strategisch-verhandeln?trk=ondemandfile" TargetMode="External"/><Relationship Id="rId276" Type="http://schemas.openxmlformats.org/officeDocument/2006/relationships/hyperlink" Target="https://www.linkedin.com/learning/communicating-with-transparency?trk=ondemandfile" TargetMode="External"/><Relationship Id="rId297" Type="http://schemas.openxmlformats.org/officeDocument/2006/relationships/hyperlink" Target="https://www.linkedin.com/learning/dealing-with-grief-loss-and-change-as-an-employee?trk=ondemandfile" TargetMode="External"/><Relationship Id="rId40" Type="http://schemas.openxmlformats.org/officeDocument/2006/relationships/hyperlink" Target="https://www.linkedin.com/learning/c-mo-contactar-con-la-gente-y-que-te-respondan?trk=ondemandfile" TargetMode="External"/><Relationship Id="rId115" Type="http://schemas.openxmlformats.org/officeDocument/2006/relationships/hyperlink" Target="https://www.linkedin.com/learning/comunicacion-con-atencion-plena-empatia-y-compasion?trk=ondemandfile" TargetMode="External"/><Relationship Id="rId136" Type="http://schemas.openxmlformats.org/officeDocument/2006/relationships/hyperlink" Target="https://www.linkedin.com/learning/comunicacion-interpersonal?trk=ondemandfile" TargetMode="External"/><Relationship Id="rId157" Type="http://schemas.openxmlformats.org/officeDocument/2006/relationships/hyperlink" Target="https://www.linkedin.com/learning/86d80f76-f728-332c-a87d-dc1fddaa0c91?trk=ondemandfile" TargetMode="External"/><Relationship Id="rId178" Type="http://schemas.openxmlformats.org/officeDocument/2006/relationships/hyperlink" Target="https://www.linkedin.com/learning/compassionate-leadership?trk=ondemandfile" TargetMode="External"/><Relationship Id="rId301" Type="http://schemas.openxmlformats.org/officeDocument/2006/relationships/hyperlink" Target="https://www.linkedin.com/learning/difficult-conversations-talking-about-race-at-work?trk=ondemandfile" TargetMode="External"/><Relationship Id="rId61" Type="http://schemas.openxmlformats.org/officeDocument/2006/relationships/hyperlink" Target="https://www.linkedin.com/learning/building-trust-2?trk=ondemandfile" TargetMode="External"/><Relationship Id="rId82" Type="http://schemas.openxmlformats.org/officeDocument/2006/relationships/hyperlink" Target="https://www.linkedin.com/learning/communicating-values?trk=ondemandfile" TargetMode="External"/><Relationship Id="rId199" Type="http://schemas.openxmlformats.org/officeDocument/2006/relationships/hyperlink" Target="https://www.linkedin.com/learning/leading-and-working-in-teams-3?trk=ondemandfile" TargetMode="External"/><Relationship Id="rId203" Type="http://schemas.openxmlformats.org/officeDocument/2006/relationships/hyperlink" Target="https://www.linkedin.com/learning/kommunikation-mit-empathie?trk=contentmappingfile" TargetMode="External"/><Relationship Id="rId19" Type="http://schemas.openxmlformats.org/officeDocument/2006/relationships/hyperlink" Target="https://www.linkedin.com/learning/interpersonal-communication-2?trk=ondemandfile" TargetMode="External"/><Relationship Id="rId224" Type="http://schemas.openxmlformats.org/officeDocument/2006/relationships/hyperlink" Target="https://www.linkedin.com/learning/own-your-voice-improve-presentations-and-executive-presence?trk=ondemandfile" TargetMode="External"/><Relationship Id="rId245" Type="http://schemas.openxmlformats.org/officeDocument/2006/relationships/hyperlink" Target="https://www.linkedin.com/learning/schlagfertigkeit-nie-wieder-sprachlos?trk=ondemandfile" TargetMode="External"/><Relationship Id="rId266" Type="http://schemas.openxmlformats.org/officeDocument/2006/relationships/hyperlink" Target="https://www.linkedin.com/learning/how-to-be-both-assertive-and-likable?trk=ondemandfile" TargetMode="External"/><Relationship Id="rId287" Type="http://schemas.openxmlformats.org/officeDocument/2006/relationships/hyperlink" Target="https://www.linkedin.com/learning/media-training-essentials?trk=ondemandfile" TargetMode="External"/><Relationship Id="rId30" Type="http://schemas.openxmlformats.org/officeDocument/2006/relationships/hyperlink" Target="https://www.linkedin.com/learning/paths/develop-conflict-management-and-resolution-skills?trk=ondemandfile" TargetMode="External"/><Relationship Id="rId105" Type="http://schemas.openxmlformats.org/officeDocument/2006/relationships/hyperlink" Target="https://www.linkedin.com/learning/ten-steps-of-listening-improving-your-listening-skills?trk=contentmappingfile" TargetMode="External"/><Relationship Id="rId126" Type="http://schemas.openxmlformats.org/officeDocument/2006/relationships/hyperlink" Target="https://www.linkedin.com/learning/00-comunicacion-de-la-gestion-del-cambio?trk=ondemandfile" TargetMode="External"/><Relationship Id="rId147" Type="http://schemas.openxmlformats.org/officeDocument/2006/relationships/hyperlink" Target="https://www.linkedin.com/learning/fuhren-mit-emotionaler-intelligenz-16505108?trk=contentmappingfile" TargetMode="External"/><Relationship Id="rId168" Type="http://schemas.openxmlformats.org/officeDocument/2006/relationships/hyperlink" Target="https://www.linkedin.com/learning/im-team-kommunizieren?trk=ondemandfile" TargetMode="External"/><Relationship Id="rId312" Type="http://schemas.openxmlformats.org/officeDocument/2006/relationships/hyperlink" Target="https://www.linkedin.com/learning/writing-and-delivering-speeches?trk=ondemandfile" TargetMode="External"/><Relationship Id="rId51" Type="http://schemas.openxmlformats.org/officeDocument/2006/relationships/hyperlink" Target="https://www.linkedin.com/learning/communicating-in-times-of-change-3?trk=ondemandfile" TargetMode="External"/><Relationship Id="rId72" Type="http://schemas.openxmlformats.org/officeDocument/2006/relationships/hyperlink" Target="https://www.linkedin.com/learning/professional-networking-2?trk=ondemandfile" TargetMode="External"/><Relationship Id="rId93" Type="http://schemas.openxmlformats.org/officeDocument/2006/relationships/hyperlink" Target="https://www.linkedin.com/learning/3b9a9e9f-36fd-3413-8e43-080652af9039?trk=ondemandfile" TargetMode="External"/><Relationship Id="rId189" Type="http://schemas.openxmlformats.org/officeDocument/2006/relationships/hyperlink" Target="https://www.linkedin.com/learning/profundiza-la-lengua-espanola-uso-de-las-tildes?trk=ondemandfile" TargetMode="External"/><Relationship Id="rId3" Type="http://schemas.openxmlformats.org/officeDocument/2006/relationships/hyperlink" Target="https://www.linkedin.com/learning/agile-en-accion-impulsar-reuniones-agiles-y-productivas?trk=ondemandfile" TargetMode="External"/><Relationship Id="rId214" Type="http://schemas.openxmlformats.org/officeDocument/2006/relationships/hyperlink" Target="https://www.linkedin.com/learning/persuading-others?trk=ondemandfile" TargetMode="External"/><Relationship Id="rId235" Type="http://schemas.openxmlformats.org/officeDocument/2006/relationships/hyperlink" Target="https://www.linkedin.com/learning/neuro-linguistisches-programmieren-nlp-fur-einsteiger-und-neugierige?trk=ondemandfile" TargetMode="External"/><Relationship Id="rId256" Type="http://schemas.openxmlformats.org/officeDocument/2006/relationships/hyperlink" Target="https://www.linkedin.com/learning/media-relations-foundations?trk=ondemandfile" TargetMode="External"/><Relationship Id="rId277" Type="http://schemas.openxmlformats.org/officeDocument/2006/relationships/hyperlink" Target="https://www.linkedin.com/learning/present-a-techie-s-guide-to-public-speaking?trk=ondemandfile" TargetMode="External"/><Relationship Id="rId298" Type="http://schemas.openxmlformats.org/officeDocument/2006/relationships/hyperlink" Target="https://www.linkedin.com/learning/how-to-not-screw-up-a-job-interview-for-creatives?trk=ondemandfile" TargetMode="External"/><Relationship Id="rId116" Type="http://schemas.openxmlformats.org/officeDocument/2006/relationships/hyperlink" Target="https://www.linkedin.com/learning/erfolgreich-verhandeln-mit-dem-harvard-konzept?trk=ondemandfile" TargetMode="External"/><Relationship Id="rId137" Type="http://schemas.openxmlformats.org/officeDocument/2006/relationships/hyperlink" Target="https://www.linkedin.com/learning/female-empowerment-selbstbewusstes-auftreten?trk=ondemandfile" TargetMode="External"/><Relationship Id="rId158" Type="http://schemas.openxmlformats.org/officeDocument/2006/relationships/hyperlink" Target="https://www.linkedin.com/learning/igniting-emotional-engagement?trk=ondemandfile" TargetMode="External"/><Relationship Id="rId302" Type="http://schemas.openxmlformats.org/officeDocument/2006/relationships/hyperlink" Target="https://www.linkedin.com/learning/speaking-up-at-work?trk=ondemandfile" TargetMode="External"/><Relationship Id="rId20" Type="http://schemas.openxmlformats.org/officeDocument/2006/relationships/hyperlink" Target="https://www.linkedin.com/learning/paths/5b7cccc4-df82-3651-b51f-d409c2437e2a?trk=ondemandfile" TargetMode="External"/><Relationship Id="rId41" Type="http://schemas.openxmlformats.org/officeDocument/2006/relationships/hyperlink" Target="https://www.linkedin.com/learning/paths/domina-las-habilidades-de-vida-sociales?trk=ondemandfile" TargetMode="External"/><Relationship Id="rId62" Type="http://schemas.openxmlformats.org/officeDocument/2006/relationships/hyperlink" Target="https://www.linkedin.com/learning/paths/domina-el-arte-de-las-presentaciones-con-powerpoint-2016?trk=ondemandfile" TargetMode="External"/><Relationship Id="rId83" Type="http://schemas.openxmlformats.org/officeDocument/2006/relationships/hyperlink" Target="https://www.linkedin.com/learning/paths/master-in-demand-professional-soft-skills?trk=ondemandfile" TargetMode="External"/><Relationship Id="rId179" Type="http://schemas.openxmlformats.org/officeDocument/2006/relationships/hyperlink" Target="https://www.linkedin.com/learning/reperer-et-gerer-des-personnes-toxiques?trk=contentmappingfile" TargetMode="External"/><Relationship Id="rId190" Type="http://schemas.openxmlformats.org/officeDocument/2006/relationships/hyperlink" Target="https://www.linkedin.com/learning/interkulturelle-kompetenz?trk=ondemandfile" TargetMode="External"/><Relationship Id="rId204" Type="http://schemas.openxmlformats.org/officeDocument/2006/relationships/hyperlink" Target="https://www.linkedin.com/learning/body-language-for-leaders?trk=ondemandfile" TargetMode="External"/><Relationship Id="rId225" Type="http://schemas.openxmlformats.org/officeDocument/2006/relationships/hyperlink" Target="https://www.linkedin.com/learning/manipulation-abwehren-wie-sie-sprachtricks-erkennen?trk=ondemandfile" TargetMode="External"/><Relationship Id="rId246" Type="http://schemas.openxmlformats.org/officeDocument/2006/relationships/hyperlink" Target="https://www.linkedin.com/learning/the-science-of-compassion-an-introduction?trk=ondemandfile" TargetMode="External"/><Relationship Id="rId267" Type="http://schemas.openxmlformats.org/officeDocument/2006/relationships/hyperlink" Target="https://www.linkedin.com/learning/influence-without-authority-getabstract-summary?trk=ondemandfile" TargetMode="External"/><Relationship Id="rId288" Type="http://schemas.openxmlformats.org/officeDocument/2006/relationships/hyperlink" Target="https://www.linkedin.com/learning/advanced-business-development-communication-and-negotiation?trk=ondemandfile" TargetMode="External"/><Relationship Id="rId106" Type="http://schemas.openxmlformats.org/officeDocument/2006/relationships/hyperlink" Target="https://www.linkedin.com/learning/4bddab10-145f-3bdb-9cc3-b64313f38564?trk=ondemandfile" TargetMode="External"/><Relationship Id="rId127" Type="http://schemas.openxmlformats.org/officeDocument/2006/relationships/hyperlink" Target="https://www.linkedin.com/learning/erfolgreiche-einzelgesprache-fuhren?trk=ondemandfile" TargetMode="External"/><Relationship Id="rId313" Type="http://schemas.openxmlformats.org/officeDocument/2006/relationships/hyperlink" Target="https://www.linkedin.com/learning/how-to-stand-out-remotely?trk=ondemandfile" TargetMode="External"/><Relationship Id="rId10" Type="http://schemas.openxmlformats.org/officeDocument/2006/relationships/hyperlink" Target="https://www.linkedin.com/learning/working-with-difficult-people-3?trk=ondemandfile" TargetMode="External"/><Relationship Id="rId31" Type="http://schemas.openxmlformats.org/officeDocument/2006/relationships/hyperlink" Target="https://www.linkedin.com/learning/communication-within-teams-2?trk=ondemandfile" TargetMode="External"/><Relationship Id="rId52" Type="http://schemas.openxmlformats.org/officeDocument/2006/relationships/hyperlink" Target="https://www.linkedin.com/learning/organization-communication?trk=ondemandfile" TargetMode="External"/><Relationship Id="rId73" Type="http://schemas.openxmlformats.org/officeDocument/2006/relationships/hyperlink" Target="https://www.linkedin.com/learning/teamwork-foundations-3?trk=ondemandfile" TargetMode="External"/><Relationship Id="rId94" Type="http://schemas.openxmlformats.org/officeDocument/2006/relationships/hyperlink" Target="https://www.linkedin.com/learning/working-with-upset-customers-2?trk=ondemandfile" TargetMode="External"/><Relationship Id="rId148" Type="http://schemas.openxmlformats.org/officeDocument/2006/relationships/hyperlink" Target="https://www.linkedin.com/learning/improving-your-listening-skills-2?trk=ondemandfile" TargetMode="External"/><Relationship Id="rId169" Type="http://schemas.openxmlformats.org/officeDocument/2006/relationships/hyperlink" Target="https://www.linkedin.com/learning/communication-foundations-4?trk=ondemandfile" TargetMode="External"/><Relationship Id="rId4" Type="http://schemas.openxmlformats.org/officeDocument/2006/relationships/hyperlink" Target="https://www.linkedin.com/learning/paths/mejora-los-disenos-de-tus-presentaciones?trk=ondemandfile" TargetMode="External"/><Relationship Id="rId180" Type="http://schemas.openxmlformats.org/officeDocument/2006/relationships/hyperlink" Target="https://www.linkedin.com/learning/00-strategic-negotiation?trk=ondemandfile" TargetMode="External"/><Relationship Id="rId215" Type="http://schemas.openxmlformats.org/officeDocument/2006/relationships/hyperlink" Target="https://www.linkedin.com/learning/00-korpersprache?trk=ondemandfile" TargetMode="External"/><Relationship Id="rId236" Type="http://schemas.openxmlformats.org/officeDocument/2006/relationships/hyperlink" Target="https://www.linkedin.com/learning/crucial-conversations-getabstract-summary?trk=ondemandfile" TargetMode="External"/><Relationship Id="rId257" Type="http://schemas.openxmlformats.org/officeDocument/2006/relationships/hyperlink" Target="https://www.linkedin.com/learning/treffende-texte?trk=ondemandfile" TargetMode="External"/><Relationship Id="rId278" Type="http://schemas.openxmlformats.org/officeDocument/2006/relationships/hyperlink" Target="https://www.linkedin.com/learning/building-business-relationships-2?trk=ondemandfile" TargetMode="External"/><Relationship Id="rId303" Type="http://schemas.openxmlformats.org/officeDocument/2006/relationships/hyperlink" Target="https://www.linkedin.com/learning/difficult-conversations-about-politics-at-work?trk=ondemandfile" TargetMode="External"/><Relationship Id="rId42" Type="http://schemas.openxmlformats.org/officeDocument/2006/relationships/hyperlink" Target="https://www.linkedin.com/learning/besser-zuhoren?trk=ondemandfile" TargetMode="External"/><Relationship Id="rId84" Type="http://schemas.openxmlformats.org/officeDocument/2006/relationships/hyperlink" Target="https://www.linkedin.com/learning/creer-des-conversations-constructives-avec-des-clients-exigeants-clientes-exigeantes?trk=contentmappingfile" TargetMode="External"/><Relationship Id="rId138" Type="http://schemas.openxmlformats.org/officeDocument/2006/relationships/hyperlink" Target="https://www.linkedin.com/learning/asking-great-sales-questions-4?trk=ondemandfile" TargetMode="External"/><Relationship Id="rId191" Type="http://schemas.openxmlformats.org/officeDocument/2006/relationships/hyperlink" Target="https://www.linkedin.com/learning/social-interactions-for-multinational-teams-2?trk=ondemandfile" TargetMode="External"/><Relationship Id="rId205" Type="http://schemas.openxmlformats.org/officeDocument/2006/relationships/hyperlink" Target="https://www.linkedin.com/learning/interpersonal-communication?trk=ondemandfile" TargetMode="External"/><Relationship Id="rId247" Type="http://schemas.openxmlformats.org/officeDocument/2006/relationships/hyperlink" Target="https://www.linkedin.com/learning/schwierige-sachverhalte-einfach-vermitteln?trk=contentmappingfile" TargetMode="External"/><Relationship Id="rId107" Type="http://schemas.openxmlformats.org/officeDocument/2006/relationships/hyperlink" Target="https://www.linkedin.com/learning/becoming-a-thought-leader-2?trk=ondemandfile" TargetMode="External"/><Relationship Id="rId289" Type="http://schemas.openxmlformats.org/officeDocument/2006/relationships/hyperlink" Target="https://www.linkedin.com/learning/how-to-manage-office-politics?trk=ondemandfile" TargetMode="External"/><Relationship Id="rId11" Type="http://schemas.openxmlformats.org/officeDocument/2006/relationships/hyperlink" Target="https://www.linkedin.com/learning/paths/87c473ed-01ce-32f8-90ac-61be15e449c9?trk=ondemandfile" TargetMode="External"/><Relationship Id="rId53" Type="http://schemas.openxmlformats.org/officeDocument/2006/relationships/hyperlink" Target="https://www.linkedin.com/learning/paths/fostering-collaboration?trk=ondemandfile" TargetMode="External"/><Relationship Id="rId149" Type="http://schemas.openxmlformats.org/officeDocument/2006/relationships/hyperlink" Target="https://www.linkedin.com/learning/facilitation-skills-for-managers-and-leaders?trk=ondemandfile" TargetMode="External"/><Relationship Id="rId314" Type="http://schemas.openxmlformats.org/officeDocument/2006/relationships/hyperlink" Target="https://www.linkedin.com/learning/communicating-with-emotional-intelligence?trk=ondemandfile" TargetMode="External"/><Relationship Id="rId95" Type="http://schemas.openxmlformats.org/officeDocument/2006/relationships/hyperlink" Target="https://www.linkedin.com/learning/agile-negotiation?trk=ondemandfile" TargetMode="External"/><Relationship Id="rId160" Type="http://schemas.openxmlformats.org/officeDocument/2006/relationships/hyperlink" Target="https://www.linkedin.com/learning/ihre-kompetenz-sichtbar-machen?trk=ondemandfile" TargetMode="External"/><Relationship Id="rId216" Type="http://schemas.openxmlformats.org/officeDocument/2006/relationships/hyperlink" Target="https://www.linkedin.com/learning/women-transforming-tech-finding-a-mentor?trk=ondemandfile" TargetMode="External"/><Relationship Id="rId258" Type="http://schemas.openxmlformats.org/officeDocument/2006/relationships/hyperlink" Target="https://www.linkedin.com/learning/practical-influencing-techniques?trk=ondemandfile" TargetMode="External"/><Relationship Id="rId22" Type="http://schemas.openxmlformats.org/officeDocument/2006/relationships/hyperlink" Target="https://www.linkedin.com/learning/paths/create-and-deliver-engaging-presentations?trk=ondemandfile" TargetMode="External"/><Relationship Id="rId64" Type="http://schemas.openxmlformats.org/officeDocument/2006/relationships/hyperlink" Target="https://www.linkedin.com/learning/influencing-others-3?trk=contentmappingfile" TargetMode="External"/><Relationship Id="rId118" Type="http://schemas.openxmlformats.org/officeDocument/2006/relationships/hyperlink" Target="https://www.linkedin.com/learning/como-responder-a-microagressoes-no-trabalho?trk=contentmappingfile" TargetMode="External"/><Relationship Id="rId171" Type="http://schemas.openxmlformats.org/officeDocument/2006/relationships/hyperlink" Target="https://www.linkedin.com/learning/la-escucha-activa?trk=ondemandfile" TargetMode="External"/><Relationship Id="rId227" Type="http://schemas.openxmlformats.org/officeDocument/2006/relationships/hyperlink" Target="https://www.linkedin.com/learning/mehr-ausstrahlung-mit-dem-charisma-code?trk=ondemandfile" TargetMode="External"/><Relationship Id="rId269" Type="http://schemas.openxmlformats.org/officeDocument/2006/relationships/hyperlink" Target="https://www.linkedin.com/learning/how-to-persuade-when-facts-don-t-seem-to-matter?trk=ondemandfile" TargetMode="External"/><Relationship Id="rId33" Type="http://schemas.openxmlformats.org/officeDocument/2006/relationships/hyperlink" Target="https://www.linkedin.com/learning/besprechungen-moderieren?trk=ondemandfile" TargetMode="External"/><Relationship Id="rId129" Type="http://schemas.openxmlformats.org/officeDocument/2006/relationships/hyperlink" Target="https://www.linkedin.com/learning/communicating-in-the-lan-guage-of-leadership?trk=ondemandfile" TargetMode="External"/><Relationship Id="rId280" Type="http://schemas.openxmlformats.org/officeDocument/2006/relationships/hyperlink" Target="https://www.linkedin.com/learning/improving-your-listening-skills?trk=ondemandfile" TargetMode="External"/><Relationship Id="rId75" Type="http://schemas.openxmlformats.org/officeDocument/2006/relationships/hyperlink" Target="https://www.linkedin.com/learning/paths/improve-your-teamwork-skills?trk=ondemandfile" TargetMode="External"/><Relationship Id="rId140" Type="http://schemas.openxmlformats.org/officeDocument/2006/relationships/hyperlink" Target="https://www.linkedin.com/learning/comunicacion-y-prensa?trk=ondemandfile" TargetMode="External"/><Relationship Id="rId182" Type="http://schemas.openxmlformats.org/officeDocument/2006/relationships/hyperlink" Target="https://www.linkedin.com/learning/negotiation-foundations-2?trk=ondemandfile" TargetMode="External"/><Relationship Id="rId6" Type="http://schemas.openxmlformats.org/officeDocument/2006/relationships/hyperlink" Target="https://www.linkedin.com/learning/paths/besser-kommunizieren?trk=ondemandfile" TargetMode="External"/><Relationship Id="rId238" Type="http://schemas.openxmlformats.org/officeDocument/2006/relationships/hyperlink" Target="https://www.linkedin.com/learning/how-to-crush-self-doubt-and-build-self-confidence?trk=ondemandfile" TargetMode="External"/><Relationship Id="rId291" Type="http://schemas.openxmlformats.org/officeDocument/2006/relationships/hyperlink" Target="https://www.linkedin.com/learning/starting-a-memorable-conversation?trk=ondemandfile" TargetMode="External"/><Relationship Id="rId305" Type="http://schemas.openxmlformats.org/officeDocument/2006/relationships/hyperlink" Target="https://www.linkedin.com/learning/a-step-by-step-guide-to-building-your-thought-leadership-on-linkedin-uk?trk=ondemandfile" TargetMode="External"/><Relationship Id="rId44" Type="http://schemas.openxmlformats.org/officeDocument/2006/relationships/hyperlink" Target="https://www.linkedin.com/learning/skills-for-inclusive-conversations-2?trk=ondemandfile" TargetMode="External"/><Relationship Id="rId86" Type="http://schemas.openxmlformats.org/officeDocument/2006/relationships/hyperlink" Target="https://www.linkedin.com/learning/die-10-stufen-des-zuhorens-die-eigene-zuhorkompetenz-ausbauen?trk=ondemandfile" TargetMode="External"/><Relationship Id="rId151" Type="http://schemas.openxmlformats.org/officeDocument/2006/relationships/hyperlink" Target="https://www.linkedin.com/learning/ihr-pers-nlicher-elevator-pitch?trk=ondemandfile" TargetMode="External"/><Relationship Id="rId193" Type="http://schemas.openxmlformats.org/officeDocument/2006/relationships/hyperlink" Target="https://www.linkedin.com/learning/reuniones-eficaces?trk=ondemandfile" TargetMode="External"/><Relationship Id="rId207" Type="http://schemas.openxmlformats.org/officeDocument/2006/relationships/hyperlink" Target="https://www.linkedin.com/learning/00-angularjs-best-practices?trk=ondemandfile" TargetMode="External"/><Relationship Id="rId249" Type="http://schemas.openxmlformats.org/officeDocument/2006/relationships/hyperlink" Target="https://www.linkedin.com/learning/souveran-auftreten-und-uberzeugend-kommunizieren?trk=contentmappingfile"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s://www.linkedin.com/learning/embracing-conflict-as-a-gift?trk=ondemandfile" TargetMode="External"/><Relationship Id="rId21" Type="http://schemas.openxmlformats.org/officeDocument/2006/relationships/hyperlink" Target="https://www.linkedin.com/learning/paths/87c473ed-01ce-32f8-90ac-61be15e449c9?trk=ondemandfile" TargetMode="External"/><Relationship Id="rId42" Type="http://schemas.openxmlformats.org/officeDocument/2006/relationships/hyperlink" Target="https://www.linkedin.com/learning/9b4bd443-b907-3050-9476-0ec0b08dfda8?trk=ondemandfile" TargetMode="External"/><Relationship Id="rId47" Type="http://schemas.openxmlformats.org/officeDocument/2006/relationships/hyperlink" Target="https://www.linkedin.com/learning/como-gerenciar-relacionamentos-com-chefes-colegas-e-subordinados?trk=contentmappingfile" TargetMode="External"/><Relationship Id="rId63" Type="http://schemas.openxmlformats.org/officeDocument/2006/relationships/hyperlink" Target="https://www.linkedin.com/learning/human-resources-managing-employee-problems?trk=ondemandfile" TargetMode="External"/><Relationship Id="rId68" Type="http://schemas.openxmlformats.org/officeDocument/2006/relationships/hyperlink" Target="https://www.linkedin.com/learning/leading-through-relationships?trk=ondemandfile" TargetMode="External"/><Relationship Id="rId84" Type="http://schemas.openxmlformats.org/officeDocument/2006/relationships/hyperlink" Target="https://www.linkedin.com/learning/00-solving-common-project-problems?trk=ondemandfile" TargetMode="External"/><Relationship Id="rId89" Type="http://schemas.openxmlformats.org/officeDocument/2006/relationships/hyperlink" Target="https://www.linkedin.com/learning/jeff-weiner-le-management-compassionnel?trk=contentmappingfile" TargetMode="External"/><Relationship Id="rId112" Type="http://schemas.openxmlformats.org/officeDocument/2006/relationships/hyperlink" Target="https://www.linkedin.com/learning/conflict-resolution-foundations-2018?trk=ondemandfile" TargetMode="External"/><Relationship Id="rId16" Type="http://schemas.openxmlformats.org/officeDocument/2006/relationships/hyperlink" Target="https://www.linkedin.com/learning/paths/die-zusammenarbeit-fordern?trk=ondemandfile" TargetMode="External"/><Relationship Id="rId107" Type="http://schemas.openxmlformats.org/officeDocument/2006/relationships/hyperlink" Target="https://www.linkedin.com/learning/dealing-with-disappointment-in-your-role?trk=ondemandfile" TargetMode="External"/><Relationship Id="rId11" Type="http://schemas.openxmlformats.org/officeDocument/2006/relationships/hyperlink" Target="https://www.linkedin.com/learning/the-hard-thing-about-hard-things?trk=ondemandfile" TargetMode="External"/><Relationship Id="rId32" Type="http://schemas.openxmlformats.org/officeDocument/2006/relationships/hyperlink" Target="https://www.linkedin.com/learning/como-detener-el-acoso-laboral-y-la-intimidacion?trk=ondemandfile" TargetMode="External"/><Relationship Id="rId37" Type="http://schemas.openxmlformats.org/officeDocument/2006/relationships/hyperlink" Target="https://www.linkedin.com/learning/00-mediation?trk=ondemandfile" TargetMode="External"/><Relationship Id="rId53" Type="http://schemas.openxmlformats.org/officeDocument/2006/relationships/hyperlink" Target="https://www.linkedin.com/learning/get-momentum-how-to-start-when-you-re-stuck-getabstract-summary?trk=ondemandfile" TargetMode="External"/><Relationship Id="rId58" Type="http://schemas.openxmlformats.org/officeDocument/2006/relationships/hyperlink" Target="https://www.linkedin.com/learning/facilitation-skills-for-managers-and-leaders?trk=ondemandfile" TargetMode="External"/><Relationship Id="rId74" Type="http://schemas.openxmlformats.org/officeDocument/2006/relationships/hyperlink" Target="https://www.linkedin.com/learning/managing-employee-performance-problems-2018?trk=ondemandfile" TargetMode="External"/><Relationship Id="rId79" Type="http://schemas.openxmlformats.org/officeDocument/2006/relationships/hyperlink" Target="https://www.linkedin.com/learning/00-conflict-resolution-fundamentals?trk=ondemandfile" TargetMode="External"/><Relationship Id="rId102" Type="http://schemas.openxmlformats.org/officeDocument/2006/relationships/hyperlink" Target="https://www.linkedin.com/learning/la-escucha-activa?trk=ondemandfile" TargetMode="External"/><Relationship Id="rId123" Type="http://schemas.openxmlformats.org/officeDocument/2006/relationships/hyperlink" Target="https://www.linkedin.com/learning/delivering-bad-news-effectively?trk=ondemandfile" TargetMode="External"/><Relationship Id="rId128" Type="http://schemas.openxmlformats.org/officeDocument/2006/relationships/hyperlink" Target="https://www.linkedin.com/learning/leading-in-crisis?trk=ondemandfile" TargetMode="External"/><Relationship Id="rId5" Type="http://schemas.openxmlformats.org/officeDocument/2006/relationships/hyperlink" Target="https://www.linkedin.com/learning/die-leistung-der-mitarbeiter-innen-steigern?trk=ondemandfile" TargetMode="External"/><Relationship Id="rId90" Type="http://schemas.openxmlformats.org/officeDocument/2006/relationships/hyperlink" Target="https://www.linkedin.com/learning/gestion-del-estres-en-tiempos-de-incertidumbre-vivir-o-sobrevivir?trk=ondemandfile" TargetMode="External"/><Relationship Id="rId95" Type="http://schemas.openxmlformats.org/officeDocument/2006/relationships/hyperlink" Target="https://www.linkedin.com/learning/unconscious-bias-unbewusste-denkmuster-erkennen-und-andern?trk=ondemandfile" TargetMode="External"/><Relationship Id="rId22" Type="http://schemas.openxmlformats.org/officeDocument/2006/relationships/hyperlink" Target="https://www.linkedin.com/learning/managing-conflict-a-practical-guide-to-resolution-in-the-workplace-getabstract-summary?trk=ondemandfile" TargetMode="External"/><Relationship Id="rId27" Type="http://schemas.openxmlformats.org/officeDocument/2006/relationships/hyperlink" Target="https://www.linkedin.com/learning/conflict-resolution-foundations-5?trk=ondemandfile" TargetMode="External"/><Relationship Id="rId43" Type="http://schemas.openxmlformats.org/officeDocument/2006/relationships/hyperlink" Target="https://www.linkedin.com/learning/difficult-situations-solutions-for-managers?trk=ondemandfile" TargetMode="External"/><Relationship Id="rId48" Type="http://schemas.openxmlformats.org/officeDocument/2006/relationships/hyperlink" Target="https://www.linkedin.com/learning/working-with-upset-customers-2?trk=ondemandfile" TargetMode="External"/><Relationship Id="rId64" Type="http://schemas.openxmlformats.org/officeDocument/2006/relationships/hyperlink" Target="https://www.linkedin.com/learning/donner-des-feedbacks-aux-employes-employees?trk=contentmappingfile" TargetMode="External"/><Relationship Id="rId69" Type="http://schemas.openxmlformats.org/officeDocument/2006/relationships/hyperlink" Target="https://www.linkedin.com/learning/donner-et-recevoir-du-feedback?trk=contentmappingfile" TargetMode="External"/><Relationship Id="rId113" Type="http://schemas.openxmlformats.org/officeDocument/2006/relationships/hyperlink" Target="https://www.linkedin.com/learning/resoluci-n-de-problemas-empresariales?trk=ondemandfile" TargetMode="External"/><Relationship Id="rId118" Type="http://schemas.openxmlformats.org/officeDocument/2006/relationships/hyperlink" Target="https://www.linkedin.com/learning/how-to-manage-high-stakes-conflict?trk=ondemandfile" TargetMode="External"/><Relationship Id="rId80" Type="http://schemas.openxmlformats.org/officeDocument/2006/relationships/hyperlink" Target="https://www.linkedin.com/learning/00-feedback?trk=ondemandfile" TargetMode="External"/><Relationship Id="rId85" Type="http://schemas.openxmlformats.org/officeDocument/2006/relationships/hyperlink" Target="https://www.linkedin.com/learning/00-pm-krisen?trk=ondemandfile" TargetMode="External"/><Relationship Id="rId12" Type="http://schemas.openxmlformats.org/officeDocument/2006/relationships/hyperlink" Target="https://www.linkedin.com/learning/paths/improve-your-teamwork-skills?trk=ondemandfile" TargetMode="External"/><Relationship Id="rId17" Type="http://schemas.openxmlformats.org/officeDocument/2006/relationships/hyperlink" Target="https://www.linkedin.com/learning/effective-listening-3?trk=ondemandfile" TargetMode="External"/><Relationship Id="rId33" Type="http://schemas.openxmlformats.org/officeDocument/2006/relationships/hyperlink" Target="https://www.linkedin.com/learning/fred-kofman-uber-konfliktmanagement?trk=ondemandfile" TargetMode="External"/><Relationship Id="rId38" Type="http://schemas.openxmlformats.org/officeDocument/2006/relationships/hyperlink" Target="https://www.linkedin.com/learning/managing-up-down-and-across-the-organization-3?trk=ondemandfile" TargetMode="External"/><Relationship Id="rId59" Type="http://schemas.openxmlformats.org/officeDocument/2006/relationships/hyperlink" Target="https://www.linkedin.com/learning/00-comunicacion-de-la-gestion-del-cambio?trk=ondemandfile" TargetMode="External"/><Relationship Id="rId103" Type="http://schemas.openxmlformats.org/officeDocument/2006/relationships/hyperlink" Target="https://www.linkedin.com/learning/project-management-solving-common-project-problems-3?trk=ondemandfile" TargetMode="External"/><Relationship Id="rId108" Type="http://schemas.openxmlformats.org/officeDocument/2006/relationships/hyperlink" Target="https://www.linkedin.com/learning/mejora-tu-competencia-en-conflictos?trk=ondemandfile" TargetMode="External"/><Relationship Id="rId124" Type="http://schemas.openxmlformats.org/officeDocument/2006/relationships/hyperlink" Target="https://www.linkedin.com/learning/fred-kofman-on-managing-conflict?trk=ondemandfile" TargetMode="External"/><Relationship Id="rId129" Type="http://schemas.openxmlformats.org/officeDocument/2006/relationships/hyperlink" Target="https://www.linkedin.com/learning/marketing-during-a-crisis?trk=ondemandfile" TargetMode="External"/><Relationship Id="rId54" Type="http://schemas.openxmlformats.org/officeDocument/2006/relationships/hyperlink" Target="https://www.linkedin.com/learning/como-trabajar-con-gerentes-dificiles?trk=contentmappingfile" TargetMode="External"/><Relationship Id="rId70" Type="http://schemas.openxmlformats.org/officeDocument/2006/relationships/hyperlink" Target="https://www.linkedin.com/learning/fred-kofman-y-la-gesti-n-de-conflictos?trk=ondemandfile" TargetMode="External"/><Relationship Id="rId75" Type="http://schemas.openxmlformats.org/officeDocument/2006/relationships/hyperlink" Target="https://www.linkedin.com/learning/00-project-management-foundations-teams?trk=ondemandfile" TargetMode="External"/><Relationship Id="rId91" Type="http://schemas.openxmlformats.org/officeDocument/2006/relationships/hyperlink" Target="https://www.linkedin.com/learning/00-projektmanagement-teamfuhrung?trk=ondemandfile" TargetMode="External"/><Relationship Id="rId96" Type="http://schemas.openxmlformats.org/officeDocument/2006/relationships/hyperlink" Target="https://www.linkedin.com/learning/negotiation-foundations-2?trk=ondemandfile" TargetMode="External"/><Relationship Id="rId1" Type="http://schemas.openxmlformats.org/officeDocument/2006/relationships/hyperlink" Target="https://www.linkedin.com/learning/managing-in-difficult-times?trk=ondemandfile" TargetMode="External"/><Relationship Id="rId6" Type="http://schemas.openxmlformats.org/officeDocument/2006/relationships/hyperlink" Target="https://www.linkedin.com/learning/paths/besser-kommunizieren?trk=ondemandfile" TargetMode="External"/><Relationship Id="rId23" Type="http://schemas.openxmlformats.org/officeDocument/2006/relationships/hyperlink" Target="https://www.linkedin.com/learning/paths/master-in-demand-professional-soft-skills?trk=ondemandfile" TargetMode="External"/><Relationship Id="rId28" Type="http://schemas.openxmlformats.org/officeDocument/2006/relationships/hyperlink" Target="https://www.linkedin.com/learning/conflict-resolution-foundations-3?trk=ondemandfile" TargetMode="External"/><Relationship Id="rId49" Type="http://schemas.openxmlformats.org/officeDocument/2006/relationships/hyperlink" Target="https://www.linkedin.com/learning/jeff-weiner-on-compassionate-leadership-from-stanford?trk=ondemandfile" TargetMode="External"/><Relationship Id="rId114" Type="http://schemas.openxmlformats.org/officeDocument/2006/relationships/hyperlink" Target="https://www.linkedin.com/learning/dealing-with-difficult-people-in-your-office?trk=ondemandfile" TargetMode="External"/><Relationship Id="rId119" Type="http://schemas.openxmlformats.org/officeDocument/2006/relationships/hyperlink" Target="https://www.linkedin.com/learning/travailler-avec-un-superieur-une-superieure-hierarchique-difficile?trk=contentmappingfile" TargetMode="External"/><Relationship Id="rId44" Type="http://schemas.openxmlformats.org/officeDocument/2006/relationships/hyperlink" Target="https://www.linkedin.com/learning/creer-des-conversations-constructives-avec-des-clients-exigeants-clientes-exigeantes?trk=contentmappingfile" TargetMode="External"/><Relationship Id="rId60" Type="http://schemas.openxmlformats.org/officeDocument/2006/relationships/hyperlink" Target="https://www.linkedin.com/learning/00-krisenkommunikation?trk=ondemandfile" TargetMode="External"/><Relationship Id="rId65" Type="http://schemas.openxmlformats.org/officeDocument/2006/relationships/hyperlink" Target="https://www.linkedin.com/learning/estrategias-para-salir-de-una-crisis-empresarial?trk=ondemandfile" TargetMode="External"/><Relationship Id="rId81" Type="http://schemas.openxmlformats.org/officeDocument/2006/relationships/hyperlink" Target="https://www.linkedin.com/learning/managing-employee-performance-problems-5?trk=ondemandfile" TargetMode="External"/><Relationship Id="rId86" Type="http://schemas.openxmlformats.org/officeDocument/2006/relationships/hyperlink" Target="https://www.linkedin.com/learning/gestao-de-conflitos-como-lidar-com-as-divergencias-na-empresa?trk=contentmappingfile" TargetMode="External"/><Relationship Id="rId130" Type="http://schemas.openxmlformats.org/officeDocument/2006/relationships/hyperlink" Target="https://www.linkedin.com/learning/how-to-give-negative-feedback-to-senior-colleagues?trk=ondemandfile" TargetMode="External"/><Relationship Id="rId13" Type="http://schemas.openxmlformats.org/officeDocument/2006/relationships/hyperlink" Target="https://www.linkedin.com/learning/00-learning-to-say-no?trk=ondemandfile" TargetMode="External"/><Relationship Id="rId18" Type="http://schemas.openxmlformats.org/officeDocument/2006/relationships/hyperlink" Target="https://www.linkedin.com/learning/como-dar-feedback-aos-colaboradores?trk=contentmappingfile" TargetMode="External"/><Relationship Id="rId39" Type="http://schemas.openxmlformats.org/officeDocument/2006/relationships/hyperlink" Target="https://www.linkedin.com/learning/reputation-risk-management?trk=ondemandfile" TargetMode="External"/><Relationship Id="rId109" Type="http://schemas.openxmlformats.org/officeDocument/2006/relationships/hyperlink" Target="https://www.linkedin.com/learning/779ed34b-4bd3-393b-bda7-0163601fbcc8?trk=ondemandfile" TargetMode="External"/><Relationship Id="rId34" Type="http://schemas.openxmlformats.org/officeDocument/2006/relationships/hyperlink" Target="https://www.linkedin.com/learning/communicating-in-times-of-change-3?trk=ondemandfile" TargetMode="External"/><Relationship Id="rId50" Type="http://schemas.openxmlformats.org/officeDocument/2006/relationships/hyperlink" Target="https://www.linkedin.com/learning/c-mo-tomar-decisiones?trk=ondemandfile" TargetMode="External"/><Relationship Id="rId55" Type="http://schemas.openxmlformats.org/officeDocument/2006/relationships/hyperlink" Target="https://www.linkedin.com/learning/konfliktmanagement-in-projekten?trk=ondemandfile" TargetMode="External"/><Relationship Id="rId76" Type="http://schemas.openxmlformats.org/officeDocument/2006/relationships/hyperlink" Target="https://www.linkedin.com/learning/mit-schwierigen-mitarbeiter-innen-umgehen?trk=ondemandfile" TargetMode="External"/><Relationship Id="rId97" Type="http://schemas.openxmlformats.org/officeDocument/2006/relationships/hyperlink" Target="https://www.linkedin.com/learning/de-escalating-conversations-for-customer-service?trk=ondemandfile" TargetMode="External"/><Relationship Id="rId104" Type="http://schemas.openxmlformats.org/officeDocument/2006/relationships/hyperlink" Target="https://www.linkedin.com/learning/how-to-proactively-manage-conflict-as-an-employee?trk=ondemandfile" TargetMode="External"/><Relationship Id="rId120" Type="http://schemas.openxmlformats.org/officeDocument/2006/relationships/hyperlink" Target="https://www.linkedin.com/learning/how-to-use-negotiation-jiu-jitsu-to-resolve-conflicts-and-persuade?trk=ondemandfile" TargetMode="External"/><Relationship Id="rId125" Type="http://schemas.openxmlformats.org/officeDocument/2006/relationships/hyperlink" Target="https://www.linkedin.com/learning/having-difficult-conversations-2?trk=ondemandfile" TargetMode="External"/><Relationship Id="rId7" Type="http://schemas.openxmlformats.org/officeDocument/2006/relationships/hyperlink" Target="https://www.linkedin.com/learning/jeff-weiner-on-managing-compassionately-2?trk=contentmappingfile" TargetMode="External"/><Relationship Id="rId71" Type="http://schemas.openxmlformats.org/officeDocument/2006/relationships/hyperlink" Target="https://www.linkedin.com/learning/mit-schwierigen-kunden-umgehen?trk=ondemandfile" TargetMode="External"/><Relationship Id="rId92" Type="http://schemas.openxmlformats.org/officeDocument/2006/relationships/hyperlink" Target="https://www.linkedin.com/learning/managing-depression-in-the-workplace-2?trk=ondemandfile" TargetMode="External"/><Relationship Id="rId2" Type="http://schemas.openxmlformats.org/officeDocument/2006/relationships/hyperlink" Target="https://www.linkedin.com/learning/paths/develop-conflict-management-and-resolution-skills?trk=ondemandfile" TargetMode="External"/><Relationship Id="rId29" Type="http://schemas.openxmlformats.org/officeDocument/2006/relationships/hyperlink" Target="https://www.linkedin.com/learning/paths/7c8dafed-8f63-35a2-ada2-7dbeaf731ce4?trk=ondemandfile" TargetMode="External"/><Relationship Id="rId24" Type="http://schemas.openxmlformats.org/officeDocument/2006/relationships/hyperlink" Target="https://www.linkedin.com/learning/como-despedir-a-tu-personal?trk=contentmappingfile" TargetMode="External"/><Relationship Id="rId40" Type="http://schemas.openxmlformats.org/officeDocument/2006/relationships/hyperlink" Target="https://www.linkedin.com/learning/como-superar-los-sesgos-cognitivos?trk=ondemandfile" TargetMode="External"/><Relationship Id="rId45" Type="http://schemas.openxmlformats.org/officeDocument/2006/relationships/hyperlink" Target="https://www.linkedin.com/learning/00-tener-conversaciones-dificiles?trk=ondemandfile" TargetMode="External"/><Relationship Id="rId66" Type="http://schemas.openxmlformats.org/officeDocument/2006/relationships/hyperlink" Target="https://www.linkedin.com/learning/mit-einem-schwierigen-chef-zurechtkommen?trk=ondemandfile" TargetMode="External"/><Relationship Id="rId87" Type="http://schemas.openxmlformats.org/officeDocument/2006/relationships/hyperlink" Target="https://www.linkedin.com/learning/managing-team-conflict-15962506?trk=contentmappingfile" TargetMode="External"/><Relationship Id="rId110" Type="http://schemas.openxmlformats.org/officeDocument/2006/relationships/hyperlink" Target="https://www.linkedin.com/learning/communicating-with-empathy?trk=ondemandfile" TargetMode="External"/><Relationship Id="rId115" Type="http://schemas.openxmlformats.org/officeDocument/2006/relationships/hyperlink" Target="https://www.linkedin.com/learning/traiter-avec-des-clients-mecontents-clientes-mecontentes?trk=contentmappingfile" TargetMode="External"/><Relationship Id="rId131" Type="http://schemas.openxmlformats.org/officeDocument/2006/relationships/hyperlink" Target="https://www.linkedin.com/learning/difficult-conversations-about-politics-at-work?trk=ondemandfile" TargetMode="External"/><Relationship Id="rId61" Type="http://schemas.openxmlformats.org/officeDocument/2006/relationships/hyperlink" Target="https://www.linkedin.com/learning/como-prevenir-o-assedio-no-trabalho-e-criar-um-ambiente-seguro?trk=contentmappingfile" TargetMode="External"/><Relationship Id="rId82" Type="http://schemas.openxmlformats.org/officeDocument/2006/relationships/hyperlink" Target="https://www.linkedin.com/learning/having-difficult-conversations-a-guide-for-managers?trk=ondemandfile" TargetMode="External"/><Relationship Id="rId19" Type="http://schemas.openxmlformats.org/officeDocument/2006/relationships/hyperlink" Target="https://www.linkedin.com/learning/paths/como-superar-os-desafios-e-se-reinventar-em-tempos-dificeis?trk=ondemandfile" TargetMode="External"/><Relationship Id="rId14" Type="http://schemas.openxmlformats.org/officeDocument/2006/relationships/hyperlink" Target="https://www.linkedin.com/learning/paths/mejora-tus-dotes-de-liderazgo-y-gestion-de-equipos-de-trabajo?trk=ondemandfile" TargetMode="External"/><Relationship Id="rId30" Type="http://schemas.openxmlformats.org/officeDocument/2006/relationships/hyperlink" Target="https://www.linkedin.com/learning/crisis-communication?trk=ondemandfile" TargetMode="External"/><Relationship Id="rId35" Type="http://schemas.openxmlformats.org/officeDocument/2006/relationships/hyperlink" Target="https://www.linkedin.com/learning/communicating-in-times-of-change?trk=ondemandfile" TargetMode="External"/><Relationship Id="rId56" Type="http://schemas.openxmlformats.org/officeDocument/2006/relationships/hyperlink" Target="https://www.linkedin.com/learning/como-melhorar-suas-competencias-de-escuta?trk=contentmappingfile" TargetMode="External"/><Relationship Id="rId77" Type="http://schemas.openxmlformats.org/officeDocument/2006/relationships/hyperlink" Target="https://www.linkedin.com/learning/86d80f76-f728-332c-a87d-dc1fddaa0c91?trk=ondemandfile" TargetMode="External"/><Relationship Id="rId100" Type="http://schemas.openxmlformats.org/officeDocument/2006/relationships/hyperlink" Target="https://www.linkedin.com/learning/problem-solving-techniques-2?trk=ondemandfile" TargetMode="External"/><Relationship Id="rId105" Type="http://schemas.openxmlformats.org/officeDocument/2006/relationships/hyperlink" Target="https://www.linkedin.com/learning/00-marketing-digital-avanzado-resolucion-de-problemas?trk=ondemandfile" TargetMode="External"/><Relationship Id="rId126" Type="http://schemas.openxmlformats.org/officeDocument/2006/relationships/hyperlink" Target="https://www.linkedin.com/learning/improving-your-conflict-competence?trk=ondemandfile" TargetMode="External"/><Relationship Id="rId8" Type="http://schemas.openxmlformats.org/officeDocument/2006/relationships/hyperlink" Target="https://www.linkedin.com/learning/paths/melhore-suas-habilidades-de-resolucao-de-problemas?trk=ondemandfile" TargetMode="External"/><Relationship Id="rId51" Type="http://schemas.openxmlformats.org/officeDocument/2006/relationships/hyperlink" Target="https://www.linkedin.com/learning/konfliktlosung-grundlagen?trk=ondemandfile" TargetMode="External"/><Relationship Id="rId72" Type="http://schemas.openxmlformats.org/officeDocument/2006/relationships/hyperlink" Target="https://www.linkedin.com/learning/como-superar-o-assedio-no-trabalho?trk=contentmappingfile" TargetMode="External"/><Relationship Id="rId93" Type="http://schemas.openxmlformats.org/officeDocument/2006/relationships/hyperlink" Target="https://www.linkedin.com/learning/dealing-with-microaggression-as-an-employee?trk=ondemandfile" TargetMode="External"/><Relationship Id="rId98" Type="http://schemas.openxmlformats.org/officeDocument/2006/relationships/hyperlink" Target="https://www.linkedin.com/learning/laisser-partir-un-employe-une-employee?trk=contentmappingfile" TargetMode="External"/><Relationship Id="rId121" Type="http://schemas.openxmlformats.org/officeDocument/2006/relationships/hyperlink" Target="https://www.linkedin.com/learning/how-to-win-arguments?trk=ondemandfile" TargetMode="External"/><Relationship Id="rId3" Type="http://schemas.openxmlformats.org/officeDocument/2006/relationships/hyperlink" Target="https://www.linkedin.com/learning/00-dar-y-recibir-feedback?trk=ondemandfile" TargetMode="External"/><Relationship Id="rId25" Type="http://schemas.openxmlformats.org/officeDocument/2006/relationships/hyperlink" Target="https://www.linkedin.com/learning/paths/domina-las-habilidades-de-vida-sociales?trk=ondemandfile" TargetMode="External"/><Relationship Id="rId46" Type="http://schemas.openxmlformats.org/officeDocument/2006/relationships/hyperlink" Target="https://www.linkedin.com/learning/kommunikation-in-zeiten-der-veranderung?trk=ondemandfile" TargetMode="External"/><Relationship Id="rId67" Type="http://schemas.openxmlformats.org/officeDocument/2006/relationships/hyperlink" Target="https://www.linkedin.com/learning/critical-thinking-for-better-judgment-and-decision-making-2?trk=ondemandfile" TargetMode="External"/><Relationship Id="rId116" Type="http://schemas.openxmlformats.org/officeDocument/2006/relationships/hyperlink" Target="https://www.linkedin.com/learning/toma-de-decisiones-en-situaciones-de-gran-estres?trk=ondemandfile" TargetMode="External"/><Relationship Id="rId20" Type="http://schemas.openxmlformats.org/officeDocument/2006/relationships/hyperlink" Target="https://www.linkedin.com/learning/delivering-employee-feedback-3?trk=ondemandfile" TargetMode="External"/><Relationship Id="rId41" Type="http://schemas.openxmlformats.org/officeDocument/2006/relationships/hyperlink" Target="https://www.linkedin.com/learning/00-anteilmanag?trk=ondemandfile" TargetMode="External"/><Relationship Id="rId62" Type="http://schemas.openxmlformats.org/officeDocument/2006/relationships/hyperlink" Target="https://www.linkedin.com/learning/having-difficult-conversations?trk=ondemandfile" TargetMode="External"/><Relationship Id="rId83" Type="http://schemas.openxmlformats.org/officeDocument/2006/relationships/hyperlink" Target="https://www.linkedin.com/learning/gerer-les-problemes-de-performance-de-ses-employes-employees?trk=contentmappingfile" TargetMode="External"/><Relationship Id="rId88" Type="http://schemas.openxmlformats.org/officeDocument/2006/relationships/hyperlink" Target="https://www.linkedin.com/learning/radical-candor?trk=ondemandfile" TargetMode="External"/><Relationship Id="rId111" Type="http://schemas.openxmlformats.org/officeDocument/2006/relationships/hyperlink" Target="https://www.linkedin.com/learning/improving-your-listening-skills-3?trk=ondemandfile" TargetMode="External"/><Relationship Id="rId132" Type="http://schemas.openxmlformats.org/officeDocument/2006/relationships/hyperlink" Target="https://www.linkedin.com/learning/managing-misconduct-in-the-workplace?trk=ondemandfile" TargetMode="External"/><Relationship Id="rId15" Type="http://schemas.openxmlformats.org/officeDocument/2006/relationships/hyperlink" Target="https://www.linkedin.com/learning/effective-listening-2?trk=ondemandfile" TargetMode="External"/><Relationship Id="rId36" Type="http://schemas.openxmlformats.org/officeDocument/2006/relationships/hyperlink" Target="https://www.linkedin.com/learning/como-gestionar-el-enfado-en-la-clientela?trk=contentmappingfile" TargetMode="External"/><Relationship Id="rId57" Type="http://schemas.openxmlformats.org/officeDocument/2006/relationships/hyperlink" Target="https://www.linkedin.com/learning/learning-to-say-no-3?trk=ondemandfile" TargetMode="External"/><Relationship Id="rId106" Type="http://schemas.openxmlformats.org/officeDocument/2006/relationships/hyperlink" Target="https://www.linkedin.com/learning/project-management-foundations-teams-2?trk=ondemandfile" TargetMode="External"/><Relationship Id="rId127" Type="http://schemas.openxmlformats.org/officeDocument/2006/relationships/hyperlink" Target="https://www.linkedin.com/learning/effective-listening?trk=ondemandfile" TargetMode="External"/><Relationship Id="rId10" Type="http://schemas.openxmlformats.org/officeDocument/2006/relationships/hyperlink" Target="https://www.linkedin.com/learning/paths/5e7d3101-368f-3335-9206-178f9e406630?trk=ondemandfile" TargetMode="External"/><Relationship Id="rId31" Type="http://schemas.openxmlformats.org/officeDocument/2006/relationships/hyperlink" Target="https://www.linkedin.com/learning/paths/succeeding-in-sales-during-times-of-volatility?trk=ondemandfile" TargetMode="External"/><Relationship Id="rId52" Type="http://schemas.openxmlformats.org/officeDocument/2006/relationships/hyperlink" Target="https://www.linkedin.com/learning/4bddab10-145f-3bdb-9cc3-b64313f38564?trk=ondemandfile" TargetMode="External"/><Relationship Id="rId73" Type="http://schemas.openxmlformats.org/officeDocument/2006/relationships/hyperlink" Target="https://www.linkedin.com/learning/improving-your-listening-skills-2?trk=ondemandfile" TargetMode="External"/><Relationship Id="rId78" Type="http://schemas.openxmlformats.org/officeDocument/2006/relationships/hyperlink" Target="https://www.linkedin.com/learning/managing-team-conflict?trk=ondemandfile" TargetMode="External"/><Relationship Id="rId94" Type="http://schemas.openxmlformats.org/officeDocument/2006/relationships/hyperlink" Target="https://www.linkedin.com/learning/gestionar-en-todas-las-direcciones-del-organigrama-empresarial?trk=ondemandfile" TargetMode="External"/><Relationship Id="rId99" Type="http://schemas.openxmlformats.org/officeDocument/2006/relationships/hyperlink" Target="https://www.linkedin.com/learning/00-jeff-weiner-on-compassionate-management?trk=ondemandfile" TargetMode="External"/><Relationship Id="rId101" Type="http://schemas.openxmlformats.org/officeDocument/2006/relationships/hyperlink" Target="https://www.linkedin.com/learning/how-to-resolve-conflicts?trk=ondemandfile" TargetMode="External"/><Relationship Id="rId122" Type="http://schemas.openxmlformats.org/officeDocument/2006/relationships/hyperlink" Target="https://www.linkedin.com/learning/mixtape-highlights-from-linkedin-learning-courses?trk=ondemandfile" TargetMode="External"/><Relationship Id="rId4" Type="http://schemas.openxmlformats.org/officeDocument/2006/relationships/hyperlink" Target="https://www.linkedin.com/learning/paths/mejora-tu-capacidad-para-comunicar-con-las-personas?trk=ondemandfile" TargetMode="External"/><Relationship Id="rId9" Type="http://schemas.openxmlformats.org/officeDocument/2006/relationships/hyperlink" Target="https://www.linkedin.com/learning/working-with-difficult-people-3?trk=ondemandfile" TargetMode="External"/><Relationship Id="rId26" Type="http://schemas.openxmlformats.org/officeDocument/2006/relationships/hyperlink" Target="https://www.linkedin.com/learning/erfolgreiche-einzelgesprache-fuhren?trk=ondemandfile"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www.linkedin.com/learning/advanced-content-marketing?trk=ondemandfile" TargetMode="External"/><Relationship Id="rId299" Type="http://schemas.openxmlformats.org/officeDocument/2006/relationships/hyperlink" Target="https://www.linkedin.com/learning/designing-for-business?trk=contentmappingfile" TargetMode="External"/><Relationship Id="rId21" Type="http://schemas.openxmlformats.org/officeDocument/2006/relationships/hyperlink" Target="https://www.linkedin.com/learning/construire-une-strategie-de-link-building?trk=contentmappingfile" TargetMode="External"/><Relationship Id="rId63" Type="http://schemas.openxmlformats.org/officeDocument/2006/relationships/hyperlink" Target="https://www.linkedin.com/learning/fdf89900-3335-373d-95ac-3f330dc8c97a?trk=ondemandfile" TargetMode="External"/><Relationship Id="rId159" Type="http://schemas.openxmlformats.org/officeDocument/2006/relationships/hyperlink" Target="https://www.linkedin.com/learning/instagram-f-r-kreative?trk=ondemandfile" TargetMode="External"/><Relationship Id="rId324" Type="http://schemas.openxmlformats.org/officeDocument/2006/relationships/hyperlink" Target="https://www.linkedin.com/learning/python-for-marketing?trk=ondemandfile" TargetMode="External"/><Relationship Id="rId170" Type="http://schemas.openxmlformats.org/officeDocument/2006/relationships/hyperlink" Target="https://www.linkedin.com/learning/content-marketing-newsletters-2?trk=ondemandfile" TargetMode="External"/><Relationship Id="rId226" Type="http://schemas.openxmlformats.org/officeDocument/2006/relationships/hyperlink" Target="https://www.linkedin.com/learning/00-como-anunciarse-en-youtube?trk=ondemandfile" TargetMode="External"/><Relationship Id="rId268" Type="http://schemas.openxmlformats.org/officeDocument/2006/relationships/hyperlink" Target="https://www.linkedin.com/learning/jump-start-your-linkedin-live-channel?trk=ondemandfile" TargetMode="External"/><Relationship Id="rId32" Type="http://schemas.openxmlformats.org/officeDocument/2006/relationships/hyperlink" Target="https://www.linkedin.com/learning/paths/social-media-marketing-expert-in-werden?trk=ondemandfile" TargetMode="External"/><Relationship Id="rId74" Type="http://schemas.openxmlformats.org/officeDocument/2006/relationships/hyperlink" Target="https://www.linkedin.com/learning/online-marketing-foundations-2?trk=ondemandfile" TargetMode="External"/><Relationship Id="rId128" Type="http://schemas.openxmlformats.org/officeDocument/2006/relationships/hyperlink" Target="https://www.linkedin.com/learning/digital-marketing-trends?trk=ondemandfile" TargetMode="External"/><Relationship Id="rId335" Type="http://schemas.openxmlformats.org/officeDocument/2006/relationships/hyperlink" Target="https://www.linkedin.com/learning/marketing-copywriting-for-social-media?trk=ondemandfile" TargetMode="External"/><Relationship Id="rId5" Type="http://schemas.openxmlformats.org/officeDocument/2006/relationships/hyperlink" Target="https://www.linkedin.com/learning/10-minuten-tipps-neue-ideen-fur-ihr-marketing?trk=ondemandfile" TargetMode="External"/><Relationship Id="rId181" Type="http://schemas.openxmlformats.org/officeDocument/2006/relationships/hyperlink" Target="https://www.linkedin.com/learning/00-linkedin-sponsored-im?trk=ondemandfile" TargetMode="External"/><Relationship Id="rId237" Type="http://schemas.openxmlformats.org/officeDocument/2006/relationships/hyperlink" Target="https://www.linkedin.com/learning/rechtsgrundlagen-online-impressum?trk=ondemandfile" TargetMode="External"/><Relationship Id="rId279" Type="http://schemas.openxmlformats.org/officeDocument/2006/relationships/hyperlink" Target="https://www.linkedin.com/learning/video-seo-mit-youtube?trk=ondemandfile" TargetMode="External"/><Relationship Id="rId43" Type="http://schemas.openxmlformats.org/officeDocument/2006/relationships/hyperlink" Target="https://www.linkedin.com/learning/paths/become-a-marketing-coordinator?trk=ondemandfile" TargetMode="External"/><Relationship Id="rId139" Type="http://schemas.openxmlformats.org/officeDocument/2006/relationships/hyperlink" Target="https://www.linkedin.com/learning/les-fondements-du-marketing-le-comportement-des-utilisateurs-utilisatrices?trk=contentmappingfile" TargetMode="External"/><Relationship Id="rId290" Type="http://schemas.openxmlformats.org/officeDocument/2006/relationships/hyperlink" Target="https://www.linkedin.com/learning/introduction-to-linkedin-creator-mode?trk=ondemandfile" TargetMode="External"/><Relationship Id="rId304" Type="http://schemas.openxmlformats.org/officeDocument/2006/relationships/hyperlink" Target="https://www.linkedin.com/learning/seo-foundations?trk=ondemandfile" TargetMode="External"/><Relationship Id="rId85" Type="http://schemas.openxmlformats.org/officeDocument/2006/relationships/hyperlink" Target="https://www.linkedin.com/learning/top-10-social-media-management-tools-3?trk=ondemandfile" TargetMode="External"/><Relationship Id="rId150" Type="http://schemas.openxmlformats.org/officeDocument/2006/relationships/hyperlink" Target="https://www.linkedin.com/learning/ihre-kompetenz-sichtbar-machen?trk=ondemandfile" TargetMode="External"/><Relationship Id="rId192" Type="http://schemas.openxmlformats.org/officeDocument/2006/relationships/hyperlink" Target="https://www.linkedin.com/learning/00-social-media-roi?trk=ondemandfile" TargetMode="External"/><Relationship Id="rId206" Type="http://schemas.openxmlformats.org/officeDocument/2006/relationships/hyperlink" Target="https://www.linkedin.com/learning/marketing-mit-snapchat?trk=ondemandfile" TargetMode="External"/><Relationship Id="rId248" Type="http://schemas.openxmlformats.org/officeDocument/2006/relationships/hyperlink" Target="https://www.linkedin.com/learning/designing-an-authentic-brand?trk=ondemandfile" TargetMode="External"/><Relationship Id="rId12" Type="http://schemas.openxmlformats.org/officeDocument/2006/relationships/hyperlink" Target="https://www.linkedin.com/learning/paths/become-a-content-strategist-2?trk=ondemandfile" TargetMode="External"/><Relationship Id="rId108" Type="http://schemas.openxmlformats.org/officeDocument/2006/relationships/hyperlink" Target="https://www.linkedin.com/learning/facebook-for-corporate-pr?trk=ondemandfile" TargetMode="External"/><Relationship Id="rId315" Type="http://schemas.openxmlformats.org/officeDocument/2006/relationships/hyperlink" Target="https://www.linkedin.com/learning/email-marketing-strategy-and-optimization?trk=ondemandfile" TargetMode="External"/><Relationship Id="rId54" Type="http://schemas.openxmlformats.org/officeDocument/2006/relationships/hyperlink" Target="https://www.linkedin.com/learning/marketing-tools-growth-marketing?trk=ondemandfile" TargetMode="External"/><Relationship Id="rId96" Type="http://schemas.openxmlformats.org/officeDocument/2006/relationships/hyperlink" Target="https://www.linkedin.com/learning/advanced-seo-search-factors-2?trk=ondemandfile" TargetMode="External"/><Relationship Id="rId161" Type="http://schemas.openxmlformats.org/officeDocument/2006/relationships/hyperlink" Target="https://www.linkedin.com/learning/creaci-n-de-campa-as-con-google-adwords?trk=ondemandfile" TargetMode="External"/><Relationship Id="rId217" Type="http://schemas.openxmlformats.org/officeDocument/2006/relationships/hyperlink" Target="https://www.linkedin.com/learning/00-local-seo?trk=ondemandfile" TargetMode="External"/><Relationship Id="rId259" Type="http://schemas.openxmlformats.org/officeDocument/2006/relationships/hyperlink" Target="https://www.linkedin.com/learning/snapchat-f-r-kreative?trk=ondemandfile" TargetMode="External"/><Relationship Id="rId23" Type="http://schemas.openxmlformats.org/officeDocument/2006/relationships/hyperlink" Target="https://www.linkedin.com/learning/paths/convirtete-en-experto-en-marketing-en-social-media?trk=ondemandfile" TargetMode="External"/><Relationship Id="rId119" Type="http://schemas.openxmlformats.org/officeDocument/2006/relationships/hyperlink" Target="https://www.linkedin.com/learning/facebook-marketing-anzeigen-und-werbe-kampagnen?trk=ondemandfile" TargetMode="External"/><Relationship Id="rId270" Type="http://schemas.openxmlformats.org/officeDocument/2006/relationships/hyperlink" Target="https://www.linkedin.com/learning/marketing-messaging-with-purpose?trk=ondemandfile" TargetMode="External"/><Relationship Id="rId326" Type="http://schemas.openxmlformats.org/officeDocument/2006/relationships/hyperlink" Target="https://www.linkedin.com/learning/employer-branding-on-linkedin?trk=ondemandfile" TargetMode="External"/><Relationship Id="rId65" Type="http://schemas.openxmlformats.org/officeDocument/2006/relationships/hyperlink" Target="https://www.linkedin.com/learning/paths/become-a-social-media-advertising-specialist?trk=ondemandfile" TargetMode="External"/><Relationship Id="rId130" Type="http://schemas.openxmlformats.org/officeDocument/2006/relationships/hyperlink" Target="https://www.linkedin.com/learning/fundamentos-del-marketing?trk=ondemandfile" TargetMode="External"/><Relationship Id="rId172" Type="http://schemas.openxmlformats.org/officeDocument/2006/relationships/hyperlink" Target="https://www.linkedin.com/learning/kundenkommunikation-mit-whatsapp-business?trk=ondemandfile" TargetMode="External"/><Relationship Id="rId228" Type="http://schemas.openxmlformats.org/officeDocument/2006/relationships/hyperlink" Target="https://www.linkedin.com/learning/creating-and-managing-a-youtube-channel-2?trk=ondemandfile" TargetMode="External"/><Relationship Id="rId281" Type="http://schemas.openxmlformats.org/officeDocument/2006/relationships/hyperlink" Target="https://www.linkedin.com/learning/00-visuelles-storytelling?trk=ondemandfile" TargetMode="External"/><Relationship Id="rId337" Type="http://schemas.openxmlformats.org/officeDocument/2006/relationships/hyperlink" Target="https://www.linkedin.com/learning/lead-generation-multi-channel-ppc-strategy?trk=ondemandfile" TargetMode="External"/><Relationship Id="rId34" Type="http://schemas.openxmlformats.org/officeDocument/2006/relationships/hyperlink" Target="https://www.linkedin.com/learning/fundamentos-de-inovacao-empresarial?trk=contentmappingfile" TargetMode="External"/><Relationship Id="rId76" Type="http://schemas.openxmlformats.org/officeDocument/2006/relationships/hyperlink" Target="https://www.linkedin.com/learning/paths/become-a-marketing-manager?trk=ondemandfile" TargetMode="External"/><Relationship Id="rId141" Type="http://schemas.openxmlformats.org/officeDocument/2006/relationships/hyperlink" Target="https://www.linkedin.com/learning/growth-hacking-grundlagen?trk=ondemandfile" TargetMode="External"/><Relationship Id="rId7" Type="http://schemas.openxmlformats.org/officeDocument/2006/relationships/hyperlink" Target="https://www.linkedin.com/learning/learning-facebook-ads-2?trk=ondemandfile" TargetMode="External"/><Relationship Id="rId183" Type="http://schemas.openxmlformats.org/officeDocument/2006/relationships/hyperlink" Target="https://www.linkedin.com/learning/linkedin-para-social-selling?trk=ondemandfile" TargetMode="External"/><Relationship Id="rId239" Type="http://schemas.openxmlformats.org/officeDocument/2006/relationships/hyperlink" Target="https://www.linkedin.com/learning/cfe008b7-d082-30e4-bd6f-2101e2a43335?trk=ondemandfile" TargetMode="External"/><Relationship Id="rId250" Type="http://schemas.openxmlformats.org/officeDocument/2006/relationships/hyperlink" Target="https://www.linkedin.com/learning/marketing-on-twitter?trk=ondemandfile" TargetMode="External"/><Relationship Id="rId292" Type="http://schemas.openxmlformats.org/officeDocument/2006/relationships/hyperlink" Target="https://www.linkedin.com/learning/advertising-on-facebook-14321583?trk=ondemandfile" TargetMode="External"/><Relationship Id="rId306" Type="http://schemas.openxmlformats.org/officeDocument/2006/relationships/hyperlink" Target="https://www.linkedin.com/learning/marketing-during-a-crisis?trk=ondemandfile" TargetMode="External"/><Relationship Id="rId45" Type="http://schemas.openxmlformats.org/officeDocument/2006/relationships/hyperlink" Target="https://www.linkedin.com/learning/chatbot-konzepte-und-strategien?trk=ondemandfile" TargetMode="External"/><Relationship Id="rId87" Type="http://schemas.openxmlformats.org/officeDocument/2006/relationships/hyperlink" Target="https://www.linkedin.com/learning/paths/improve-your-digital-marketing-skills?trk=ondemandfile" TargetMode="External"/><Relationship Id="rId110" Type="http://schemas.openxmlformats.org/officeDocument/2006/relationships/hyperlink" Target="https://www.linkedin.com/learning/fundamentos-de-marketing-b2b?trk=ondemandfile" TargetMode="External"/><Relationship Id="rId152" Type="http://schemas.openxmlformats.org/officeDocument/2006/relationships/hyperlink" Target="https://www.linkedin.com/learning/fundamentos-del-marketing-internacional?trk=ondemandfile" TargetMode="External"/><Relationship Id="rId173" Type="http://schemas.openxmlformats.org/officeDocument/2006/relationships/hyperlink" Target="https://www.linkedin.com/learning/identifying-your-target-market?trk=ondemandfile" TargetMode="External"/><Relationship Id="rId194" Type="http://schemas.openxmlformats.org/officeDocument/2006/relationships/hyperlink" Target="https://www.linkedin.com/learning/advertising-on-twitter-2020?trk=ondemandfile" TargetMode="External"/><Relationship Id="rId208" Type="http://schemas.openxmlformats.org/officeDocument/2006/relationships/hyperlink" Target="https://www.linkedin.com/learning/marketing-online-herramientas-de-optimizacion?trk=ondemandfile" TargetMode="External"/><Relationship Id="rId229" Type="http://schemas.openxmlformats.org/officeDocument/2006/relationships/hyperlink" Target="https://www.linkedin.com/learning/photoshop-fur-pr-und-interne-externe-kommunikation?trk=ondemandfile" TargetMode="External"/><Relationship Id="rId240" Type="http://schemas.openxmlformats.org/officeDocument/2006/relationships/hyperlink" Target="https://www.linkedin.com/learning/marketing-customer-segmentation?trk=ondemandfile" TargetMode="External"/><Relationship Id="rId261" Type="http://schemas.openxmlformats.org/officeDocument/2006/relationships/hyperlink" Target="https://www.linkedin.com/learning/social-commerce-e-commerce-mit-social-media-kennenlernen?trk=ondemandfile" TargetMode="External"/><Relationship Id="rId14" Type="http://schemas.openxmlformats.org/officeDocument/2006/relationships/hyperlink" Target="https://www.linkedin.com/learning/paths/destaca-en-marketing-digital-en-tiempos-de-transformacion-digital?trk=ondemandfile" TargetMode="External"/><Relationship Id="rId35" Type="http://schemas.openxmlformats.org/officeDocument/2006/relationships/hyperlink" Target="https://www.linkedin.com/learning/online-marketing-foundations?trk=ondemandfile" TargetMode="External"/><Relationship Id="rId56" Type="http://schemas.openxmlformats.org/officeDocument/2006/relationships/hyperlink" Target="https://www.linkedin.com/learning/00-bing-ads-esencial?trk=ondemandfile" TargetMode="External"/><Relationship Id="rId77" Type="http://schemas.openxmlformats.org/officeDocument/2006/relationships/hyperlink" Target="https://www.linkedin.com/learning/como-liderar-un-equipo-de-marketing?trk=ondemandfile" TargetMode="External"/><Relationship Id="rId100" Type="http://schemas.openxmlformats.org/officeDocument/2006/relationships/hyperlink" Target="https://www.linkedin.com/learning/advanced-product-marketing?trk=ondemandfile" TargetMode="External"/><Relationship Id="rId282" Type="http://schemas.openxmlformats.org/officeDocument/2006/relationships/hyperlink" Target="https://www.linkedin.com/learning/building-an-audience-on-instagram?trk=ondemandfile" TargetMode="External"/><Relationship Id="rId317" Type="http://schemas.openxmlformats.org/officeDocument/2006/relationships/hyperlink" Target="https://www.linkedin.com/learning/create-a-go-to-market-plan-2?trk=ondemandfile" TargetMode="External"/><Relationship Id="rId338" Type="http://schemas.openxmlformats.org/officeDocument/2006/relationships/hyperlink" Target="https://www.linkedin.com/learning/marketing-attribution-and-mix-modeling?trk=ondemandfile" TargetMode="External"/><Relationship Id="rId8" Type="http://schemas.openxmlformats.org/officeDocument/2006/relationships/hyperlink" Target="https://www.linkedin.com/learning/paths/83f25472-a2a7-30bb-b1c7-b18bc2ba1bba?trk=ondemandfile" TargetMode="External"/><Relationship Id="rId98" Type="http://schemas.openxmlformats.org/officeDocument/2006/relationships/hyperlink" Target="https://www.linkedin.com/learning/disrupt-yourself-erfinden-sie-sich-neu?trk=ondemandfile" TargetMode="External"/><Relationship Id="rId121" Type="http://schemas.openxmlformats.org/officeDocument/2006/relationships/hyperlink" Target="https://www.linkedin.com/learning/advanced-google-ads?trk=ondemandfile" TargetMode="External"/><Relationship Id="rId142" Type="http://schemas.openxmlformats.org/officeDocument/2006/relationships/hyperlink" Target="https://www.linkedin.com/learning/marketing-tips-2?trk=ondemandfile" TargetMode="External"/><Relationship Id="rId163" Type="http://schemas.openxmlformats.org/officeDocument/2006/relationships/hyperlink" Target="https://www.linkedin.com/learning/social-media-marketing-tips?trk=ondemandfile" TargetMode="External"/><Relationship Id="rId184" Type="http://schemas.openxmlformats.org/officeDocument/2006/relationships/hyperlink" Target="https://www.linkedin.com/learning/e4277b1c-0557-3f48-bfb5-6e8130d302fa?trk=ondemandfile" TargetMode="External"/><Relationship Id="rId219" Type="http://schemas.openxmlformats.org/officeDocument/2006/relationships/hyperlink" Target="https://www.linkedin.com/learning/marketing-analytics-setting-and-measuring-kpis-2?trk=ondemandfile" TargetMode="External"/><Relationship Id="rId230" Type="http://schemas.openxmlformats.org/officeDocument/2006/relationships/hyperlink" Target="https://www.linkedin.com/learning/business-analytics-marketing-data?trk=ondemandfile" TargetMode="External"/><Relationship Id="rId251" Type="http://schemas.openxmlformats.org/officeDocument/2006/relationships/hyperlink" Target="https://www.linkedin.com/learning/seo-praktische-tipps-fur-online-marketing-manager-innen?trk=contentmappingfile" TargetMode="External"/><Relationship Id="rId25" Type="http://schemas.openxmlformats.org/officeDocument/2006/relationships/hyperlink" Target="https://www.linkedin.com/learning/paths/erweitern-sie-ihre-online-marketing-skills-ideen-tipps-und-tricks-fur-fortgeschrittene?trk=ondemandfile" TargetMode="External"/><Relationship Id="rId46" Type="http://schemas.openxmlformats.org/officeDocument/2006/relationships/hyperlink" Target="https://www.linkedin.com/learning/learning-google-ads-2021?trk=ondemandfile" TargetMode="External"/><Relationship Id="rId67" Type="http://schemas.openxmlformats.org/officeDocument/2006/relationships/hyperlink" Target="https://www.linkedin.com/learning/como-construir-tu-propio-conjunto-de-tecnologias-de-marketing?trk=ondemandfile" TargetMode="External"/><Relationship Id="rId272" Type="http://schemas.openxmlformats.org/officeDocument/2006/relationships/hyperlink" Target="https://www.linkedin.com/learning/getting-started-with-facebook-shop-for-creators?trk=ondemandfile" TargetMode="External"/><Relationship Id="rId293" Type="http://schemas.openxmlformats.org/officeDocument/2006/relationships/hyperlink" Target="https://www.linkedin.com/learning/content-marketing-online-reviews-in-social-media?trk=contentmappingfile" TargetMode="External"/><Relationship Id="rId307" Type="http://schemas.openxmlformats.org/officeDocument/2006/relationships/hyperlink" Target="https://www.linkedin.com/learning/disruptive-branding-blinkist-summary?trk=ondemandfile" TargetMode="External"/><Relationship Id="rId328" Type="http://schemas.openxmlformats.org/officeDocument/2006/relationships/hyperlink" Target="https://www.linkedin.com/learning/market-research-qualitative?trk=ondemandfile" TargetMode="External"/><Relationship Id="rId88" Type="http://schemas.openxmlformats.org/officeDocument/2006/relationships/hyperlink" Target="https://www.linkedin.com/learning/00-ideation-for-marketers?trk=ondemandfile" TargetMode="External"/><Relationship Id="rId111" Type="http://schemas.openxmlformats.org/officeDocument/2006/relationships/hyperlink" Target="https://www.linkedin.com/learning/a09c0cea-345d-3357-b2a0-a9a48f1f834d?trk=ondemandfile" TargetMode="External"/><Relationship Id="rId132" Type="http://schemas.openxmlformats.org/officeDocument/2006/relationships/hyperlink" Target="https://www.linkedin.com/learning/growth-hacking-foundations?trk=ondemandfile" TargetMode="External"/><Relationship Id="rId153" Type="http://schemas.openxmlformats.org/officeDocument/2006/relationships/hyperlink" Target="https://www.linkedin.com/learning/indesign-cloudpublishing?trk=ondemandfile" TargetMode="External"/><Relationship Id="rId174" Type="http://schemas.openxmlformats.org/officeDocument/2006/relationships/hyperlink" Target="https://www.linkedin.com/learning/la-venta-persuasiva?trk=ondemandfile" TargetMode="External"/><Relationship Id="rId195" Type="http://schemas.openxmlformats.org/officeDocument/2006/relationships/hyperlink" Target="https://www.linkedin.com/learning/00-marketing-online-automatizacion-de-procesos?trk=ondemandfile" TargetMode="External"/><Relationship Id="rId209" Type="http://schemas.openxmlformats.org/officeDocument/2006/relationships/hyperlink" Target="https://www.linkedin.com/learning/marketing-mit-social-media-stories?trk=ondemandfile" TargetMode="External"/><Relationship Id="rId220" Type="http://schemas.openxmlformats.org/officeDocument/2006/relationships/hyperlink" Target="https://www.linkedin.com/learning/lunes-de-marketing-digital-trucos-con-guillermo-pareja-y-nico-roddz?trk=ondemandfile" TargetMode="External"/><Relationship Id="rId241" Type="http://schemas.openxmlformats.org/officeDocument/2006/relationships/hyperlink" Target="https://www.linkedin.com/learning/bildgestaltung2?trk=ondemandfile" TargetMode="External"/><Relationship Id="rId15" Type="http://schemas.openxmlformats.org/officeDocument/2006/relationships/hyperlink" Target="https://www.linkedin.com/learning/1fc28008-fada-3384-8576-fa23752fe829?trk=ondemandfile" TargetMode="External"/><Relationship Id="rId36" Type="http://schemas.openxmlformats.org/officeDocument/2006/relationships/hyperlink" Target="https://www.linkedin.com/learning/brand-leadership-building-brand-and-culture?trk=ondemandfile" TargetMode="External"/><Relationship Id="rId57" Type="http://schemas.openxmlformats.org/officeDocument/2006/relationships/hyperlink" Target="https://www.linkedin.com/learning/content-first-publishing?trk=ondemandfile" TargetMode="External"/><Relationship Id="rId262" Type="http://schemas.openxmlformats.org/officeDocument/2006/relationships/hyperlink" Target="https://www.linkedin.com/learning/marketing-tools-social-media-13951096?trk=ondemandfile" TargetMode="External"/><Relationship Id="rId283" Type="http://schemas.openxmlformats.org/officeDocument/2006/relationships/hyperlink" Target="https://www.linkedin.com/learning/growth-strategy?trk=ondemandfile" TargetMode="External"/><Relationship Id="rId318" Type="http://schemas.openxmlformats.org/officeDocument/2006/relationships/hyperlink" Target="https://www.linkedin.com/learning/growth-hacking-tips-2?trk=ondemandfile" TargetMode="External"/><Relationship Id="rId78" Type="http://schemas.openxmlformats.org/officeDocument/2006/relationships/hyperlink" Target="https://www.linkedin.com/learning/corporate-influencer-in-mitarbeitende-als-werte-und-markenbotschafter-innen-einsetzen?trk=ondemandfile" TargetMode="External"/><Relationship Id="rId99" Type="http://schemas.openxmlformats.org/officeDocument/2006/relationships/hyperlink" Target="https://www.linkedin.com/learning/email-marketing-foundation?trk=ondemandfile" TargetMode="External"/><Relationship Id="rId101" Type="http://schemas.openxmlformats.org/officeDocument/2006/relationships/hyperlink" Target="https://www.linkedin.com/learning/le-rgpd-pour-les-marketeurs-marketeuses?trk=contentmappingfile" TargetMode="External"/><Relationship Id="rId122" Type="http://schemas.openxmlformats.org/officeDocument/2006/relationships/hyperlink" Target="https://www.linkedin.com/learning/00-fundamentos-del-content-marketing-blogs?trk=ondemandfile" TargetMode="External"/><Relationship Id="rId143" Type="http://schemas.openxmlformats.org/officeDocument/2006/relationships/hyperlink" Target="https://www.linkedin.com/learning/fundamentos-del-email-marketing?trk=ondemandfile" TargetMode="External"/><Relationship Id="rId164" Type="http://schemas.openxmlformats.org/officeDocument/2006/relationships/hyperlink" Target="https://www.linkedin.com/learning/google-analytics-esencial-2?trk=ondemandfile" TargetMode="External"/><Relationship Id="rId185" Type="http://schemas.openxmlformats.org/officeDocument/2006/relationships/hyperlink" Target="https://www.linkedin.com/learning/marketing-and-monetizing-on-youtube-2019?trk=ondemandfile" TargetMode="External"/><Relationship Id="rId9" Type="http://schemas.openxmlformats.org/officeDocument/2006/relationships/hyperlink" Target="https://www.linkedin.com/learning/como-comunicar-mas-noticias-aos-clientes?trk=contentmappingfile" TargetMode="External"/><Relationship Id="rId210" Type="http://schemas.openxmlformats.org/officeDocument/2006/relationships/hyperlink" Target="https://www.linkedin.com/learning/content-marketing-for-social-media?trk=ondemandfile" TargetMode="External"/><Relationship Id="rId26" Type="http://schemas.openxmlformats.org/officeDocument/2006/relationships/hyperlink" Target="https://www.linkedin.com/learning/google-search-console-essential-training-2019-2?trk=ondemandfile" TargetMode="External"/><Relationship Id="rId231" Type="http://schemas.openxmlformats.org/officeDocument/2006/relationships/hyperlink" Target="https://www.linkedin.com/learning/photoshop-fur-social-media?trk=ondemandfile" TargetMode="External"/><Relationship Id="rId252" Type="http://schemas.openxmlformats.org/officeDocument/2006/relationships/hyperlink" Target="https://www.linkedin.com/learning/international-marketing-foundations?trk=ondemandfile" TargetMode="External"/><Relationship Id="rId273" Type="http://schemas.openxmlformats.org/officeDocument/2006/relationships/hyperlink" Target="https://www.linkedin.com/learning/tiktok-fur-unternehmen-und-start-ups?trk=contentmappingfile" TargetMode="External"/><Relationship Id="rId294" Type="http://schemas.openxmlformats.org/officeDocument/2006/relationships/hyperlink" Target="https://www.linkedin.com/learning/marketing-foundations-ecommerce-14401600?trk=contentmappingfile" TargetMode="External"/><Relationship Id="rId308" Type="http://schemas.openxmlformats.org/officeDocument/2006/relationships/hyperlink" Target="https://www.linkedin.com/learning/artificial-intelligence-for-marketing?trk=ondemandfile" TargetMode="External"/><Relationship Id="rId329" Type="http://schemas.openxmlformats.org/officeDocument/2006/relationships/hyperlink" Target="https://www.linkedin.com/learning/social-selling-reaching-prospects?trk=ondemandfile" TargetMode="External"/><Relationship Id="rId47" Type="http://schemas.openxmlformats.org/officeDocument/2006/relationships/hyperlink" Target="https://www.linkedin.com/learning/fundamentos-do-funil-de-marketing?trk=contentmappingfile" TargetMode="External"/><Relationship Id="rId68" Type="http://schemas.openxmlformats.org/officeDocument/2006/relationships/hyperlink" Target="https://www.linkedin.com/learning/corporate-blogs-grundlagen-2?trk=ondemandfile" TargetMode="External"/><Relationship Id="rId89" Type="http://schemas.openxmlformats.org/officeDocument/2006/relationships/hyperlink" Target="https://www.linkedin.com/learning/digital-nudging-nutzererfahrung-und-nutzerentscheidungen-positiv-beeinflussen?trk=ondemandfile" TargetMode="External"/><Relationship Id="rId112" Type="http://schemas.openxmlformats.org/officeDocument/2006/relationships/hyperlink" Target="https://www.linkedin.com/learning/youtube-for-corporate-pr?trk=ondemandfile" TargetMode="External"/><Relationship Id="rId133" Type="http://schemas.openxmlformats.org/officeDocument/2006/relationships/hyperlink" Target="https://www.linkedin.com/learning/fundamentos-del-marketing-digital-mobile-marketing?trk=ondemandfile" TargetMode="External"/><Relationship Id="rId154" Type="http://schemas.openxmlformats.org/officeDocument/2006/relationships/hyperlink" Target="https://www.linkedin.com/learning/social-media-video-for-business-and-marketing?trk=ondemandfile" TargetMode="External"/><Relationship Id="rId175" Type="http://schemas.openxmlformats.org/officeDocument/2006/relationships/hyperlink" Target="https://www.linkedin.com/learning/lean-digital-marketing?trk=ondemandfile" TargetMode="External"/><Relationship Id="rId196" Type="http://schemas.openxmlformats.org/officeDocument/2006/relationships/hyperlink" Target="https://www.linkedin.com/learning/marketing-mit-facebook-werbeanzeigenmanager?trk=ondemandfile" TargetMode="External"/><Relationship Id="rId200" Type="http://schemas.openxmlformats.org/officeDocument/2006/relationships/hyperlink" Target="https://www.linkedin.com/learning/branding-foundations-2?trk=ondemandfile" TargetMode="External"/><Relationship Id="rId16" Type="http://schemas.openxmlformats.org/officeDocument/2006/relationships/hyperlink" Target="https://www.linkedin.com/learning/paths/seo-expert-in-werden?trk=ondemandfile" TargetMode="External"/><Relationship Id="rId221" Type="http://schemas.openxmlformats.org/officeDocument/2006/relationships/hyperlink" Target="https://www.linkedin.com/learning/00-rechte-in-sozialen-netzwerken?trk=ondemandfile" TargetMode="External"/><Relationship Id="rId242" Type="http://schemas.openxmlformats.org/officeDocument/2006/relationships/hyperlink" Target="https://www.linkedin.com/learning/marketing-on-facebook?trk=ondemandfile" TargetMode="External"/><Relationship Id="rId263" Type="http://schemas.openxmlformats.org/officeDocument/2006/relationships/hyperlink" Target="https://www.linkedin.com/learning/business-perspektive-social-media?trk=ondemandfile" TargetMode="External"/><Relationship Id="rId284" Type="http://schemas.openxmlformats.org/officeDocument/2006/relationships/hyperlink" Target="https://www.linkedin.com/learning/making-money-with-branded-content?trk=ondemandfile" TargetMode="External"/><Relationship Id="rId319" Type="http://schemas.openxmlformats.org/officeDocument/2006/relationships/hyperlink" Target="https://www.linkedin.com/learning/improve-seo-for-your-ecommerce-site?trk=ondemandfile" TargetMode="External"/><Relationship Id="rId37" Type="http://schemas.openxmlformats.org/officeDocument/2006/relationships/hyperlink" Target="https://www.linkedin.com/learning/paths/become-a-digital-marketer?trk=ondemandfile" TargetMode="External"/><Relationship Id="rId58" Type="http://schemas.openxmlformats.org/officeDocument/2006/relationships/hyperlink" Target="https://www.linkedin.com/learning/learning-linkedin-sponsored-inmail?trk=ondemandfile" TargetMode="External"/><Relationship Id="rId79" Type="http://schemas.openxmlformats.org/officeDocument/2006/relationships/hyperlink" Target="https://www.linkedin.com/learning/social-media-marketing-foundations-2021?trk=ondemandfile" TargetMode="External"/><Relationship Id="rId102" Type="http://schemas.openxmlformats.org/officeDocument/2006/relationships/hyperlink" Target="https://www.linkedin.com/learning/facebook-ads-avanzado?trk=ondemandfile" TargetMode="External"/><Relationship Id="rId123" Type="http://schemas.openxmlformats.org/officeDocument/2006/relationships/hyperlink" Target="https://www.linkedin.com/learning/google-ads-adwords-grundkurs?trk=ondemandfile" TargetMode="External"/><Relationship Id="rId144" Type="http://schemas.openxmlformats.org/officeDocument/2006/relationships/hyperlink" Target="https://www.linkedin.com/learning/human-branding-ihre-personliche-marke-entwickeln?trk=contentmappingfile" TargetMode="External"/><Relationship Id="rId330" Type="http://schemas.openxmlformats.org/officeDocument/2006/relationships/hyperlink" Target="https://www.linkedin.com/learning/seo-ecommerce-strategies?trk=ondemandfile" TargetMode="External"/><Relationship Id="rId90" Type="http://schemas.openxmlformats.org/officeDocument/2006/relationships/hyperlink" Target="https://www.linkedin.com/learning/instagram-for-business-2020?trk=ondemandfile" TargetMode="External"/><Relationship Id="rId165" Type="http://schemas.openxmlformats.org/officeDocument/2006/relationships/hyperlink" Target="https://www.linkedin.com/learning/internationales-marketing-grundlagen?trk=ondemandfile" TargetMode="External"/><Relationship Id="rId186" Type="http://schemas.openxmlformats.org/officeDocument/2006/relationships/hyperlink" Target="https://www.linkedin.com/learning/linkedin-para-ventas-2?trk=ondemandfile" TargetMode="External"/><Relationship Id="rId211" Type="http://schemas.openxmlformats.org/officeDocument/2006/relationships/hyperlink" Target="https://www.linkedin.com/learning/fundamentos-del-marketing-para-peque-as-empresas?trk=ondemandfile" TargetMode="External"/><Relationship Id="rId232" Type="http://schemas.openxmlformats.org/officeDocument/2006/relationships/hyperlink" Target="https://www.linkedin.com/learning/creating-an-editorial-calendar-2?trk=ondemandfile" TargetMode="External"/><Relationship Id="rId253" Type="http://schemas.openxmlformats.org/officeDocument/2006/relationships/hyperlink" Target="https://www.linkedin.com/learning/e30c15ea-0ed6-3d79-b62c-b901d96bf19b?trk=ondemandfile" TargetMode="External"/><Relationship Id="rId274" Type="http://schemas.openxmlformats.org/officeDocument/2006/relationships/hyperlink" Target="https://www.linkedin.com/learning/building-and-engaging-with-your-online-following-for-creators?trk=ondemandfile" TargetMode="External"/><Relationship Id="rId295" Type="http://schemas.openxmlformats.org/officeDocument/2006/relationships/hyperlink" Target="https://www.linkedin.com/learning/the-habits-of-successful-marketers?trk=contentmappingfile" TargetMode="External"/><Relationship Id="rId309" Type="http://schemas.openxmlformats.org/officeDocument/2006/relationships/hyperlink" Target="https://www.linkedin.com/learning/social-media-marketing-trends?trk=ondemandfile" TargetMode="External"/><Relationship Id="rId27" Type="http://schemas.openxmlformats.org/officeDocument/2006/relationships/hyperlink" Target="https://www.linkedin.com/learning/digital-marketing-foundations-9601451?trk=contentmappingfile" TargetMode="External"/><Relationship Id="rId48" Type="http://schemas.openxmlformats.org/officeDocument/2006/relationships/hyperlink" Target="https://www.linkedin.com/learning/seo-link-building?trk=ondemandfile" TargetMode="External"/><Relationship Id="rId69" Type="http://schemas.openxmlformats.org/officeDocument/2006/relationships/hyperlink" Target="https://www.linkedin.com/learning/seo-fundamentals-2?trk=ondemandfile" TargetMode="External"/><Relationship Id="rId113" Type="http://schemas.openxmlformats.org/officeDocument/2006/relationships/hyperlink" Target="https://www.linkedin.com/learning/advertising-on-fac-ebook-advanced-2020?trk=ondemandfile" TargetMode="External"/><Relationship Id="rId134" Type="http://schemas.openxmlformats.org/officeDocument/2006/relationships/hyperlink" Target="https://www.linkedin.com/learning/google-universal-analytics-grundkurs-1-planen-implementieren-verwalten?trk=contentmappingfile" TargetMode="External"/><Relationship Id="rId320" Type="http://schemas.openxmlformats.org/officeDocument/2006/relationships/hyperlink" Target="https://www.linkedin.com/learning/social-media-marketing-optimization-2?trk=ondemandfile" TargetMode="External"/><Relationship Id="rId80" Type="http://schemas.openxmlformats.org/officeDocument/2006/relationships/hyperlink" Target="https://www.linkedin.com/learning/seo-competitive-analysis?trk=ondemandfile" TargetMode="External"/><Relationship Id="rId155" Type="http://schemas.openxmlformats.org/officeDocument/2006/relationships/hyperlink" Target="https://www.linkedin.com/learning/google-ads-avanzado?trk=ondemandfile" TargetMode="External"/><Relationship Id="rId176" Type="http://schemas.openxmlformats.org/officeDocument/2006/relationships/hyperlink" Target="https://www.linkedin.com/learning/market-research-foundations?trk=ondemandfile" TargetMode="External"/><Relationship Id="rId197" Type="http://schemas.openxmlformats.org/officeDocument/2006/relationships/hyperlink" Target="https://www.linkedin.com/learning/social-media-marketing-foundations-20-20?trk=ondemandfile" TargetMode="External"/><Relationship Id="rId201" Type="http://schemas.openxmlformats.org/officeDocument/2006/relationships/hyperlink" Target="https://www.linkedin.com/learning/marketing-online-creacion-de-un-calendario-editorial?trk=ondemandfile" TargetMode="External"/><Relationship Id="rId222" Type="http://schemas.openxmlformats.org/officeDocument/2006/relationships/hyperlink" Target="https://www.linkedin.com/learning/building-a-winning-enterprise-marketing-strategy?trk=ondemandfile" TargetMode="External"/><Relationship Id="rId243" Type="http://schemas.openxmlformats.org/officeDocument/2006/relationships/hyperlink" Target="https://www.linkedin.com/learning/seo-f-r-wordpress?trk=ondemandfile" TargetMode="External"/><Relationship Id="rId264" Type="http://schemas.openxmlformats.org/officeDocument/2006/relationships/hyperlink" Target="https://www.linkedin.com/learning/learning-local-seo?trk=ondemandfile" TargetMode="External"/><Relationship Id="rId285" Type="http://schemas.openxmlformats.org/officeDocument/2006/relationships/hyperlink" Target="https://www.linkedin.com/learning/website-konzeption-mit-storymap-und-kanban?trk=ondemandfile" TargetMode="External"/><Relationship Id="rId17" Type="http://schemas.openxmlformats.org/officeDocument/2006/relationships/hyperlink" Target="https://www.linkedin.com/learning/google-adsense-essential-training-2019-2?trk=ondemandfile" TargetMode="External"/><Relationship Id="rId38" Type="http://schemas.openxmlformats.org/officeDocument/2006/relationships/hyperlink" Target="https://www.linkedin.com/learning/aprende-linkedin-sponsored-updates?trk=ondemandfile" TargetMode="External"/><Relationship Id="rId59" Type="http://schemas.openxmlformats.org/officeDocument/2006/relationships/hyperlink" Target="https://www.linkedin.com/learning/social-media-marketing-tips-8570680?trk=ondemandfile" TargetMode="External"/><Relationship Id="rId103" Type="http://schemas.openxmlformats.org/officeDocument/2006/relationships/hyperlink" Target="https://www.linkedin.com/learning/competstrat?trk=ondemandfile" TargetMode="External"/><Relationship Id="rId124" Type="http://schemas.openxmlformats.org/officeDocument/2006/relationships/hyperlink" Target="https://www.linkedin.com/learning/advanced-facebook-advertising-2021?trk=ondemandfile" TargetMode="External"/><Relationship Id="rId310" Type="http://schemas.openxmlformats.org/officeDocument/2006/relationships/hyperlink" Target="https://www.linkedin.com/learning/b2b-marketing-foundations-positioning?trk=ondemandfile" TargetMode="External"/><Relationship Id="rId70" Type="http://schemas.openxmlformats.org/officeDocument/2006/relationships/hyperlink" Target="https://www.linkedin.com/learning/advertising-on-linkedin-8986011?trk=ondemandfile" TargetMode="External"/><Relationship Id="rId91" Type="http://schemas.openxmlformats.org/officeDocument/2006/relationships/hyperlink" Target="https://www.linkedin.com/learning/building-an-integrated-online-marketing-plan?trk=ondemandfile" TargetMode="External"/><Relationship Id="rId145" Type="http://schemas.openxmlformats.org/officeDocument/2006/relationships/hyperlink" Target="https://www.linkedin.com/learning/marketing-to-humans?trk=ondemandfile" TargetMode="External"/><Relationship Id="rId166" Type="http://schemas.openxmlformats.org/officeDocument/2006/relationships/hyperlink" Target="https://www.linkedin.com/learning/marketing-foundations-automation?trk=ondemandfile" TargetMode="External"/><Relationship Id="rId187" Type="http://schemas.openxmlformats.org/officeDocument/2006/relationships/hyperlink" Target="https://www.linkedin.com/learning/marketing-automation-grundlagen?trk=contentmappingfile" TargetMode="External"/><Relationship Id="rId331" Type="http://schemas.openxmlformats.org/officeDocument/2006/relationships/hyperlink" Target="https://www.linkedin.com/learning/remarketing-strategies-with-google-ads-and-analytics?trk=ondemandfile" TargetMode="External"/><Relationship Id="rId1" Type="http://schemas.openxmlformats.org/officeDocument/2006/relationships/hyperlink" Target="https://www.linkedin.com/learning/pricing-strategy-value-based-pricing?trk=ondemandfile" TargetMode="External"/><Relationship Id="rId212" Type="http://schemas.openxmlformats.org/officeDocument/2006/relationships/hyperlink" Target="https://www.linkedin.com/learning/00-marketing-mit-twitter?trk=ondemandfile" TargetMode="External"/><Relationship Id="rId233" Type="http://schemas.openxmlformats.org/officeDocument/2006/relationships/hyperlink" Target="https://www.linkedin.com/learning/00-recht-fur-blogger?trk=ondemandfile" TargetMode="External"/><Relationship Id="rId254" Type="http://schemas.openxmlformats.org/officeDocument/2006/relationships/hyperlink" Target="https://www.linkedin.com/learning/learning-logo-design?trk=ondemandfile" TargetMode="External"/><Relationship Id="rId28" Type="http://schemas.openxmlformats.org/officeDocument/2006/relationships/hyperlink" Target="https://www.linkedin.com/learning/blue-ocean-shift?trk=ondemandfile" TargetMode="External"/><Relationship Id="rId49" Type="http://schemas.openxmlformats.org/officeDocument/2006/relationships/hyperlink" Target="https://www.linkedin.com/learning/paths/become-a-marketing-specialist-2?trk=ondemandfile" TargetMode="External"/><Relationship Id="rId114" Type="http://schemas.openxmlformats.org/officeDocument/2006/relationships/hyperlink" Target="https://www.linkedin.com/learning/fundamentos-de-seo-2?trk=ondemandfile" TargetMode="External"/><Relationship Id="rId275" Type="http://schemas.openxmlformats.org/officeDocument/2006/relationships/hyperlink" Target="https://www.linkedin.com/learning/twitter-marketing-anzeigen-und-werbe-kampagnen?trk=ondemandfile" TargetMode="External"/><Relationship Id="rId296" Type="http://schemas.openxmlformats.org/officeDocument/2006/relationships/hyperlink" Target="https://www.linkedin.com/learning/social-media-marketing-strategy-tiktok-and-instagram-reels?trk=contentmappingfile" TargetMode="External"/><Relationship Id="rId300" Type="http://schemas.openxmlformats.org/officeDocument/2006/relationships/hyperlink" Target="https://www.linkedin.com/learning/creating-social-content-with-adobe-animate-cc?trk=ondemandfile" TargetMode="External"/><Relationship Id="rId60" Type="http://schemas.openxmlformats.org/officeDocument/2006/relationships/hyperlink" Target="https://www.linkedin.com/learning/paths/become-a-public-relations-specialist?trk=ondemandfile" TargetMode="External"/><Relationship Id="rId81" Type="http://schemas.openxmlformats.org/officeDocument/2006/relationships/hyperlink" Target="https://www.linkedin.com/learning/paths/develop-your-marketing-skills?trk=ondemandfile" TargetMode="External"/><Relationship Id="rId135" Type="http://schemas.openxmlformats.org/officeDocument/2006/relationships/hyperlink" Target="https://www.linkedin.com/learning/lifecycle-marketing-foundations?trk=ondemandfile" TargetMode="External"/><Relationship Id="rId156" Type="http://schemas.openxmlformats.org/officeDocument/2006/relationships/hyperlink" Target="https://www.linkedin.com/learning/influencer-marketing-grundlagen-2?trk=ondemandfile" TargetMode="External"/><Relationship Id="rId177" Type="http://schemas.openxmlformats.org/officeDocument/2006/relationships/hyperlink" Target="https://www.linkedin.com/learning/linkedin-ads-creacion-de-campanas?trk=ondemandfile" TargetMode="External"/><Relationship Id="rId198" Type="http://schemas.openxmlformats.org/officeDocument/2006/relationships/hyperlink" Target="https://www.linkedin.com/learning/conversion-rate-optimization?trk=ondemandfile" TargetMode="External"/><Relationship Id="rId321" Type="http://schemas.openxmlformats.org/officeDocument/2006/relationships/hyperlink" Target="https://www.linkedin.com/learning/seo-keyword-stra-tegy-2020?trk=ondemandfile" TargetMode="External"/><Relationship Id="rId202" Type="http://schemas.openxmlformats.org/officeDocument/2006/relationships/hyperlink" Target="https://www.linkedin.com/learning/marketing-mit-kleinem-budget?trk=ondemandfile" TargetMode="External"/><Relationship Id="rId223" Type="http://schemas.openxmlformats.org/officeDocument/2006/relationships/hyperlink" Target="https://www.linkedin.com/learning/00-wordpress-seo?trk=ondemandfile" TargetMode="External"/><Relationship Id="rId244" Type="http://schemas.openxmlformats.org/officeDocument/2006/relationships/hyperlink" Target="https://www.linkedin.com/learning/direct-mail-marketing?trk=ondemandfile" TargetMode="External"/><Relationship Id="rId18" Type="http://schemas.openxmlformats.org/officeDocument/2006/relationships/hyperlink" Target="https://www.linkedin.com/learning/developing-a-competitive-strategy-2?trk=ondemandfile" TargetMode="External"/><Relationship Id="rId39" Type="http://schemas.openxmlformats.org/officeDocument/2006/relationships/hyperlink" Target="https://www.linkedin.com/learning/c-c-chapman-content-marketing-und-die-kunst-des-storytelling?trk=ondemandfile" TargetMode="External"/><Relationship Id="rId265" Type="http://schemas.openxmlformats.org/officeDocument/2006/relationships/hyperlink" Target="https://www.linkedin.com/learning/social-media-marketing-grundlagen-2?trk=ondemandfile" TargetMode="External"/><Relationship Id="rId286" Type="http://schemas.openxmlformats.org/officeDocument/2006/relationships/hyperlink" Target="https://www.linkedin.com/learning/marketing-foundations-analytics?trk=ondemandfile" TargetMode="External"/><Relationship Id="rId50" Type="http://schemas.openxmlformats.org/officeDocument/2006/relationships/hyperlink" Target="https://www.linkedin.com/learning/00-auditorias-seo?trk=ondemandfile" TargetMode="External"/><Relationship Id="rId104" Type="http://schemas.openxmlformats.org/officeDocument/2006/relationships/hyperlink" Target="https://www.linkedin.com/learning/social-media-marketing-for-small-business-2?trk=ondemandfile" TargetMode="External"/><Relationship Id="rId125" Type="http://schemas.openxmlformats.org/officeDocument/2006/relationships/hyperlink" Target="https://www.linkedin.com/learning/les-fondements-du-marketing-17444910?trk=contentmappingfile" TargetMode="External"/><Relationship Id="rId146" Type="http://schemas.openxmlformats.org/officeDocument/2006/relationships/hyperlink" Target="https://www.linkedin.com/learning/fundamentos-del-marketing-online-search-marketing?trk=ondemandfile" TargetMode="External"/><Relationship Id="rId167" Type="http://schemas.openxmlformats.org/officeDocument/2006/relationships/hyperlink" Target="https://www.linkedin.com/learning/les-outils-du-marketing-digital?trk=contentmappingfile" TargetMode="External"/><Relationship Id="rId188" Type="http://schemas.openxmlformats.org/officeDocument/2006/relationships/hyperlink" Target="https://www.linkedin.com/learning/content-marketing-foundations-2020?trk=ondemandfile" TargetMode="External"/><Relationship Id="rId311" Type="http://schemas.openxmlformats.org/officeDocument/2006/relationships/hyperlink" Target="https://www.linkedin.com/learning/social-crm-fundamentals?trk=ondemandfile" TargetMode="External"/><Relationship Id="rId332" Type="http://schemas.openxmlformats.org/officeDocument/2006/relationships/hyperlink" Target="https://www.linkedin.com/learning/advanced-branding-facelift-q1-2021?trk=ondemandfile" TargetMode="External"/><Relationship Id="rId71" Type="http://schemas.openxmlformats.org/officeDocument/2006/relationships/hyperlink" Target="https://www.linkedin.com/learning/paths/become-a-social-media-marketer?trk=ondemandfile" TargetMode="External"/><Relationship Id="rId92" Type="http://schemas.openxmlformats.org/officeDocument/2006/relationships/hyperlink" Target="https://www.linkedin.com/learning/paths/master-digital-marketing?trk=ondemandfile" TargetMode="External"/><Relationship Id="rId213" Type="http://schemas.openxmlformats.org/officeDocument/2006/relationships/hyperlink" Target="https://www.linkedin.com/learning/introduction-to-social-media-strategy?trk=ondemandfile" TargetMode="External"/><Relationship Id="rId234" Type="http://schemas.openxmlformats.org/officeDocument/2006/relationships/hyperlink" Target="https://www.linkedin.com/learning/affiliate-marketing-foundations?trk=ondemandfile" TargetMode="External"/><Relationship Id="rId2" Type="http://schemas.openxmlformats.org/officeDocument/2006/relationships/hyperlink" Target="https://www.linkedin.com/learning/paths/become-an-ama-professional-certified-marketer-in-digital-marketing?trk=ondemandfile" TargetMode="External"/><Relationship Id="rId29" Type="http://schemas.openxmlformats.org/officeDocument/2006/relationships/hyperlink" Target="https://www.linkedin.com/learning/paths/become-a-digital-marketing-specialist?trk=ondemandfile" TargetMode="External"/><Relationship Id="rId255" Type="http://schemas.openxmlformats.org/officeDocument/2006/relationships/hyperlink" Target="https://www.linkedin.com/learning/seo-gerechte-texte?trk=ondemandfile" TargetMode="External"/><Relationship Id="rId276" Type="http://schemas.openxmlformats.org/officeDocument/2006/relationships/hyperlink" Target="https://www.linkedin.com/learning/advertising-on-instagram-14314447?trk=ondemandfile" TargetMode="External"/><Relationship Id="rId297" Type="http://schemas.openxmlformats.org/officeDocument/2006/relationships/hyperlink" Target="https://www.linkedin.com/learning/social-media-for-working-professionals?trk=contentmappingfile" TargetMode="External"/><Relationship Id="rId40" Type="http://schemas.openxmlformats.org/officeDocument/2006/relationships/hyperlink" Target="https://www.linkedin.com/learning/advanced-google-analytics-5?trk=ondemandfile" TargetMode="External"/><Relationship Id="rId115" Type="http://schemas.openxmlformats.org/officeDocument/2006/relationships/hyperlink" Target="https://www.linkedin.com/learning/executive-summary-personal-branding-mit-linkedin?trk=ondemandfile" TargetMode="External"/><Relationship Id="rId136" Type="http://schemas.openxmlformats.org/officeDocument/2006/relationships/hyperlink" Target="https://www.linkedin.com/learning/content-marketing-fundamentals-2?trk=ondemandfile" TargetMode="External"/><Relationship Id="rId157" Type="http://schemas.openxmlformats.org/officeDocument/2006/relationships/hyperlink" Target="https://www.linkedin.com/learning/creating-marketing-objectives?trk=ondemandfile" TargetMode="External"/><Relationship Id="rId178" Type="http://schemas.openxmlformats.org/officeDocument/2006/relationships/hyperlink" Target="https://www.linkedin.com/learning/00-linkedin-sponsored-content?trk=ondemandfile" TargetMode="External"/><Relationship Id="rId301" Type="http://schemas.openxmlformats.org/officeDocument/2006/relationships/hyperlink" Target="https://www.linkedin.com/learning/social-media-for-video-pros?trk=ondemandfile" TargetMode="External"/><Relationship Id="rId322" Type="http://schemas.openxmlformats.org/officeDocument/2006/relationships/hyperlink" Target="https://www.linkedin.com/learning/seo-videos-2020?trk=ondemandfile" TargetMode="External"/><Relationship Id="rId61" Type="http://schemas.openxmlformats.org/officeDocument/2006/relationships/hyperlink" Target="https://www.linkedin.com/learning/c-c-chapman-creador-de-marketing-de-contenido?trk=contentmappingfile" TargetMode="External"/><Relationship Id="rId82" Type="http://schemas.openxmlformats.org/officeDocument/2006/relationships/hyperlink" Target="https://www.linkedin.com/learning/le-marketing-digital-en-point-de-vente?trk=contentmappingfile" TargetMode="External"/><Relationship Id="rId199" Type="http://schemas.openxmlformats.org/officeDocument/2006/relationships/hyperlink" Target="https://www.linkedin.com/learning/marketing-mit-instagram-2?trk=ondemandfile" TargetMode="External"/><Relationship Id="rId203" Type="http://schemas.openxmlformats.org/officeDocument/2006/relationships/hyperlink" Target="https://www.linkedin.com/learning/marketing-to-generation-z?trk=ondemandfile" TargetMode="External"/><Relationship Id="rId19" Type="http://schemas.openxmlformats.org/officeDocument/2006/relationships/hyperlink" Target="https://www.linkedin.com/learning/cmo-foundations-measuring-marketing-effectiveness-roi?trk=ondemandfile" TargetMode="External"/><Relationship Id="rId224" Type="http://schemas.openxmlformats.org/officeDocument/2006/relationships/hyperlink" Target="https://www.linkedin.com/learning/2b71e442-7a58-300a-a24a-0fc99cb52cff?trk=ondemandfile" TargetMode="External"/><Relationship Id="rId245" Type="http://schemas.openxmlformats.org/officeDocument/2006/relationships/hyperlink" Target="https://www.linkedin.com/learning/seo-international-ausgerichtete-suchmaschinenoptimierung?trk=ondemandfile" TargetMode="External"/><Relationship Id="rId266" Type="http://schemas.openxmlformats.org/officeDocument/2006/relationships/hyperlink" Target="https://www.linkedin.com/learning/learning-instagram-2021?trk=ondemandfile" TargetMode="External"/><Relationship Id="rId287" Type="http://schemas.openxmlformats.org/officeDocument/2006/relationships/hyperlink" Target="https://www.linkedin.com/learning/werbung-auf-instagram?trk=ondemandfile" TargetMode="External"/><Relationship Id="rId30" Type="http://schemas.openxmlformats.org/officeDocument/2006/relationships/hyperlink" Target="https://www.linkedin.com/learning/aprende-linkedin-sponsored-inmail?trk=ondemandfile" TargetMode="External"/><Relationship Id="rId105" Type="http://schemas.openxmlformats.org/officeDocument/2006/relationships/hyperlink" Target="https://www.linkedin.com/learning/advanced-lead-generation-2019?trk=ondemandfile" TargetMode="External"/><Relationship Id="rId126" Type="http://schemas.openxmlformats.org/officeDocument/2006/relationships/hyperlink" Target="https://www.linkedin.com/learning/00-como-redactar-un-post-exitoso?trk=ondemandfile" TargetMode="External"/><Relationship Id="rId147" Type="http://schemas.openxmlformats.org/officeDocument/2006/relationships/hyperlink" Target="https://www.linkedin.com/learning/ihr-optimales-linkedin-unternehmensprofil?trk=ondemandfile" TargetMode="External"/><Relationship Id="rId168" Type="http://schemas.openxmlformats.org/officeDocument/2006/relationships/hyperlink" Target="https://www.linkedin.com/learning/introduccion-al-marketing-digital-en-tiempos-de-crisis?trk=ondemandfile" TargetMode="External"/><Relationship Id="rId312" Type="http://schemas.openxmlformats.org/officeDocument/2006/relationships/hyperlink" Target="https://www.linkedin.com/learning/advertising-on-pinterest-2?trk=ondemandfile" TargetMode="External"/><Relationship Id="rId333" Type="http://schemas.openxmlformats.org/officeDocument/2006/relationships/hyperlink" Target="https://www.linkedin.com/learning/social-media-marketing-roi-2021?trk=ondemandfile" TargetMode="External"/><Relationship Id="rId51" Type="http://schemas.openxmlformats.org/officeDocument/2006/relationships/hyperlink" Target="https://www.linkedin.com/learning/content-creation-fur-social-media-in-10-minuten?trk=ondemandfile" TargetMode="External"/><Relationship Id="rId72" Type="http://schemas.openxmlformats.org/officeDocument/2006/relationships/hyperlink" Target="https://www.linkedin.com/learning/como-integrar-la-marca-con-la-estrategia-de-marketing?trk=ondemandfile" TargetMode="External"/><Relationship Id="rId93" Type="http://schemas.openxmlformats.org/officeDocument/2006/relationships/hyperlink" Target="https://www.linkedin.com/learning/00-derechos-de-autor-de-material-audiovisual-para-marketing?trk=ondemandfile" TargetMode="External"/><Relationship Id="rId189" Type="http://schemas.openxmlformats.org/officeDocument/2006/relationships/hyperlink" Target="https://www.linkedin.com/learning/00-marketing-digital-avanzado-resolucion-de-problemas?trk=ondemandfile" TargetMode="External"/><Relationship Id="rId3" Type="http://schemas.openxmlformats.org/officeDocument/2006/relationships/hyperlink" Target="https://www.linkedin.com/learning/00-agile-marketing?trk=ondemandfile" TargetMode="External"/><Relationship Id="rId214" Type="http://schemas.openxmlformats.org/officeDocument/2006/relationships/hyperlink" Target="https://www.linkedin.com/learning/redacta-tu-plan-de-marketing?trk=ondemandfile" TargetMode="External"/><Relationship Id="rId235" Type="http://schemas.openxmlformats.org/officeDocument/2006/relationships/hyperlink" Target="https://www.linkedin.com/learning/rechtsgrundlagen-e-mail-marketing?trk=ondemandfile" TargetMode="External"/><Relationship Id="rId256" Type="http://schemas.openxmlformats.org/officeDocument/2006/relationships/hyperlink" Target="https://www.linkedin.com/learning/marketing-virtual-events?trk=ondemandfile" TargetMode="External"/><Relationship Id="rId277" Type="http://schemas.openxmlformats.org/officeDocument/2006/relationships/hyperlink" Target="https://www.linkedin.com/learning/vermarktung-und-pr-sentation-f-r-fotografen?trk=ondemandfile" TargetMode="External"/><Relationship Id="rId298" Type="http://schemas.openxmlformats.org/officeDocument/2006/relationships/hyperlink" Target="https://www.linkedin.com/learning/brand-design-foundations?trk=contentmappingfile" TargetMode="External"/><Relationship Id="rId116" Type="http://schemas.openxmlformats.org/officeDocument/2006/relationships/hyperlink" Target="https://www.linkedin.com/learning/boost-sales-wth-seo?trk=ondemandfile" TargetMode="External"/><Relationship Id="rId137" Type="http://schemas.openxmlformats.org/officeDocument/2006/relationships/hyperlink" Target="https://www.linkedin.com/learning/google-universal-analytics-grundkurs-2-bericht-erkenntnis-handlung?trk=contentmappingfile" TargetMode="External"/><Relationship Id="rId158" Type="http://schemas.openxmlformats.org/officeDocument/2006/relationships/hyperlink" Target="https://www.linkedin.com/learning/google-ads-creacion-de-campana?trk=ondemandfile" TargetMode="External"/><Relationship Id="rId302" Type="http://schemas.openxmlformats.org/officeDocument/2006/relationships/hyperlink" Target="https://www.linkedin.com/learning/social-media-marketing-for-small-business?trk=ondemandfile" TargetMode="External"/><Relationship Id="rId323" Type="http://schemas.openxmlformats.org/officeDocument/2006/relationships/hyperlink" Target="https://www.linkedin.com/learning/aligning-sales-and-marketing?trk=ondemandfile" TargetMode="External"/><Relationship Id="rId20" Type="http://schemas.openxmlformats.org/officeDocument/2006/relationships/hyperlink" Target="https://www.linkedin.com/learning/paths/become-a-digital-advertising-specialist?trk=ondemandfile" TargetMode="External"/><Relationship Id="rId41" Type="http://schemas.openxmlformats.org/officeDocument/2006/relationships/hyperlink" Target="https://www.linkedin.com/learning/fundamentos-de-marketing-de-midias-sociais?trk=contentmappingfile" TargetMode="External"/><Relationship Id="rId62" Type="http://schemas.openxmlformats.org/officeDocument/2006/relationships/hyperlink" Target="https://www.linkedin.com/learning/00-content-marketing?trk=ondemandfile" TargetMode="External"/><Relationship Id="rId83" Type="http://schemas.openxmlformats.org/officeDocument/2006/relationships/hyperlink" Target="https://www.linkedin.com/learning/como-vender-con-storytelling-parte-1-los-elementos-de-una-gran-historia?trk=ondemandfile" TargetMode="External"/><Relationship Id="rId179" Type="http://schemas.openxmlformats.org/officeDocument/2006/relationships/hyperlink" Target="https://www.linkedin.com/learning/marketing-foundations-2?trk=ondemandfile" TargetMode="External"/><Relationship Id="rId190" Type="http://schemas.openxmlformats.org/officeDocument/2006/relationships/hyperlink" Target="https://www.linkedin.com/learning/marketing-in-zeiten-der-veranderung?trk=ondemandfile" TargetMode="External"/><Relationship Id="rId204" Type="http://schemas.openxmlformats.org/officeDocument/2006/relationships/hyperlink" Target="https://www.linkedin.com/learning/mettre-en-place-une-strategie-de-marketing-digital-en-b2b?trk=contentmappingfile" TargetMode="External"/><Relationship Id="rId225" Type="http://schemas.openxmlformats.org/officeDocument/2006/relationships/hyperlink" Target="https://www.linkedin.com/learning/marketing-foundations-consumer-behavior?trk=ondemandfile" TargetMode="External"/><Relationship Id="rId246" Type="http://schemas.openxmlformats.org/officeDocument/2006/relationships/hyperlink" Target="https://www.linkedin.com/learning/developing-a-youtube-strategy?trk=ondemandfile" TargetMode="External"/><Relationship Id="rId267" Type="http://schemas.openxmlformats.org/officeDocument/2006/relationships/hyperlink" Target="https://www.linkedin.com/learning/social-media-marketing-grundlagen-netzwerke-tools-tipps-und-tricks?trk=ondemandfile" TargetMode="External"/><Relationship Id="rId288" Type="http://schemas.openxmlformats.org/officeDocument/2006/relationships/hyperlink" Target="https://www.linkedin.com/learning/diversity-and-inclusion-in-marketing-inclusive-language-for-marketers?trk=ondemandfile" TargetMode="External"/><Relationship Id="rId106" Type="http://schemas.openxmlformats.org/officeDocument/2006/relationships/hyperlink" Target="https://www.linkedin.com/learning/facebook-ads-creacion-de-campanas?trk=ondemandfile" TargetMode="External"/><Relationship Id="rId127" Type="http://schemas.openxmlformats.org/officeDocument/2006/relationships/hyperlink" Target="https://www.linkedin.com/learning/google-ads-adwords-optimierung-tools-berichte?trk=ondemandfile" TargetMode="External"/><Relationship Id="rId313" Type="http://schemas.openxmlformats.org/officeDocument/2006/relationships/hyperlink" Target="https://www.linkedin.com/learning/social-media-monitoring-strategies-and-skills?trk=ondemandfile" TargetMode="External"/><Relationship Id="rId10" Type="http://schemas.openxmlformats.org/officeDocument/2006/relationships/hyperlink" Target="https://www.linkedin.com/learning/business-innovation-foundations-3?trk=ondemandfile" TargetMode="External"/><Relationship Id="rId31" Type="http://schemas.openxmlformats.org/officeDocument/2006/relationships/hyperlink" Target="https://www.linkedin.com/learning/branding-und-markenmanagement-grundlagen?trk=ondemandfile" TargetMode="External"/><Relationship Id="rId52" Type="http://schemas.openxmlformats.org/officeDocument/2006/relationships/hyperlink" Target="https://www.linkedin.com/learning/learning-line-ads?trk=contentmappingfile" TargetMode="External"/><Relationship Id="rId73" Type="http://schemas.openxmlformats.org/officeDocument/2006/relationships/hyperlink" Target="https://www.linkedin.com/learning/corporate-design-f-r-online-marketing-projekte?trk=ondemandfile" TargetMode="External"/><Relationship Id="rId94" Type="http://schemas.openxmlformats.org/officeDocument/2006/relationships/hyperlink" Target="https://www.linkedin.com/learning/digitale-kampagnen?trk=ondemandfile" TargetMode="External"/><Relationship Id="rId148" Type="http://schemas.openxmlformats.org/officeDocument/2006/relationships/hyperlink" Target="https://www.linkedin.com/learning/marketing-on-linkedin-the-sophisticated-marketer-s-guide?trk=ondemandfile" TargetMode="External"/><Relationship Id="rId169" Type="http://schemas.openxmlformats.org/officeDocument/2006/relationships/hyperlink" Target="https://www.linkedin.com/learning/kreative-methoden-fur-marketing-kampagnen?trk=ondemandfile" TargetMode="External"/><Relationship Id="rId334" Type="http://schemas.openxmlformats.org/officeDocument/2006/relationships/hyperlink" Target="https://www.linkedin.com/learning/consumer-behavior-trends-meet-the-postmodern-consumer?trk=ondemandfile" TargetMode="External"/><Relationship Id="rId4" Type="http://schemas.openxmlformats.org/officeDocument/2006/relationships/hyperlink" Target="https://www.linkedin.com/learning/paths/conviertete-en-experto-seo?trk=ondemandfile" TargetMode="External"/><Relationship Id="rId180" Type="http://schemas.openxmlformats.org/officeDocument/2006/relationships/hyperlink" Target="https://www.linkedin.com/learning/linkedin-para-empresas-2?trk=ondemandfile" TargetMode="External"/><Relationship Id="rId215" Type="http://schemas.openxmlformats.org/officeDocument/2006/relationships/hyperlink" Target="https://www.linkedin.com/learning/marketing-strategien-das-online-marketing-cockpit?trk=ondemandfile" TargetMode="External"/><Relationship Id="rId236" Type="http://schemas.openxmlformats.org/officeDocument/2006/relationships/hyperlink" Target="https://www.linkedin.com/learning/programmatic-advertising-foundations?trk=ondemandfile" TargetMode="External"/><Relationship Id="rId257" Type="http://schemas.openxmlformats.org/officeDocument/2006/relationships/hyperlink" Target="https://www.linkedin.com/learning/seo-strategien-das-seo-cockpit?trk=ondemandfile" TargetMode="External"/><Relationship Id="rId278" Type="http://schemas.openxmlformats.org/officeDocument/2006/relationships/hyperlink" Target="https://www.linkedin.com/learning/marketing-tools-automation-14268255?trk=ondemandfile" TargetMode="External"/><Relationship Id="rId303" Type="http://schemas.openxmlformats.org/officeDocument/2006/relationships/hyperlink" Target="https://www.linkedin.com/learning/jonah-berger-on-viral-marketing?trk=ondemandfile" TargetMode="External"/><Relationship Id="rId42" Type="http://schemas.openxmlformats.org/officeDocument/2006/relationships/hyperlink" Target="https://www.linkedin.com/learning/leading-a-marketing-team?trk=ondemandfile" TargetMode="External"/><Relationship Id="rId84" Type="http://schemas.openxmlformats.org/officeDocument/2006/relationships/hyperlink" Target="https://www.linkedin.com/learning/creator-studio-fur-facebook-und-instagram-grundkurs?trk=ondemandfile" TargetMode="External"/><Relationship Id="rId138" Type="http://schemas.openxmlformats.org/officeDocument/2006/relationships/hyperlink" Target="https://www.linkedin.com/learning/marketing-your-side-hustle?trk=ondemandfile" TargetMode="External"/><Relationship Id="rId191" Type="http://schemas.openxmlformats.org/officeDocument/2006/relationships/hyperlink" Target="https://www.linkedin.com/learning/learning-google-adsense-2?trk=ondemandfile" TargetMode="External"/><Relationship Id="rId205" Type="http://schemas.openxmlformats.org/officeDocument/2006/relationships/hyperlink" Target="https://www.linkedin.com/learning/00-building-an-integrated-online-marketing-plan?trk=ondemandfile" TargetMode="External"/><Relationship Id="rId247" Type="http://schemas.openxmlformats.org/officeDocument/2006/relationships/hyperlink" Target="https://www.linkedin.com/learning/dcbad499-077d-3987-bdc0-44221ebfe75f?trk=ondemandfile" TargetMode="External"/><Relationship Id="rId107" Type="http://schemas.openxmlformats.org/officeDocument/2006/relationships/hyperlink" Target="https://www.linkedin.com/learning/einen-marketingplan-schreiben?trk=ondemandfile" TargetMode="External"/><Relationship Id="rId289" Type="http://schemas.openxmlformats.org/officeDocument/2006/relationships/hyperlink" Target="https://www.linkedin.com/learning/werbung-auf-linkedin-2?trk=ondemandfile" TargetMode="External"/><Relationship Id="rId11" Type="http://schemas.openxmlformats.org/officeDocument/2006/relationships/hyperlink" Target="https://www.linkedin.com/learning/cmo-foundations-creating-a-marketing-culture?trk=ondemandfile" TargetMode="External"/><Relationship Id="rId53" Type="http://schemas.openxmlformats.org/officeDocument/2006/relationships/hyperlink" Target="https://www.linkedin.com/learning/tendencias-de-marketing-nas-midias-sociais-para-impulsionar-as-vendas-em-sua-empresa?trk=contentmappingfile" TargetMode="External"/><Relationship Id="rId149" Type="http://schemas.openxmlformats.org/officeDocument/2006/relationships/hyperlink" Target="https://www.linkedin.com/learning/fundamentos-del-growth-hacking?trk=ondemandfile" TargetMode="External"/><Relationship Id="rId314" Type="http://schemas.openxmlformats.org/officeDocument/2006/relationships/hyperlink" Target="https://www.linkedin.com/learning/content-marketing-roi?trk=ondemandfile" TargetMode="External"/><Relationship Id="rId95" Type="http://schemas.openxmlformats.org/officeDocument/2006/relationships/hyperlink" Target="https://www.linkedin.com/learning/eec21d44-2b7b-3f20-8f75-a4cf78217baa?trk=ondemandfile" TargetMode="External"/><Relationship Id="rId160" Type="http://schemas.openxmlformats.org/officeDocument/2006/relationships/hyperlink" Target="https://www.linkedin.com/learning/determining-market-size-for-your-product-or-service?trk=ondemandfile" TargetMode="External"/><Relationship Id="rId216" Type="http://schemas.openxmlformats.org/officeDocument/2006/relationships/hyperlink" Target="https://www.linkedin.com/learning/small-business-marketing?trk=ondemandfile" TargetMode="External"/><Relationship Id="rId258" Type="http://schemas.openxmlformats.org/officeDocument/2006/relationships/hyperlink" Target="https://www.linkedin.com/learning/the-22-immutable-laws-of-branding-blinkist-summary?trk=ondemandfile" TargetMode="External"/><Relationship Id="rId22" Type="http://schemas.openxmlformats.org/officeDocument/2006/relationships/hyperlink" Target="https://www.linkedin.com/learning/aprende-facebook-ads?trk=ondemandfile" TargetMode="External"/><Relationship Id="rId64" Type="http://schemas.openxmlformats.org/officeDocument/2006/relationships/hyperlink" Target="https://www.linkedin.com/learning/job-interview-tips-for-marketing-managers?trk=ondemandfile" TargetMode="External"/><Relationship Id="rId118" Type="http://schemas.openxmlformats.org/officeDocument/2006/relationships/hyperlink" Target="https://www.linkedin.com/learning/fundamentos-del-comercio-electronico-woocommerce-en-wordpress?trk=ondemandfile" TargetMode="External"/><Relationship Id="rId325" Type="http://schemas.openxmlformats.org/officeDocument/2006/relationships/hyperlink" Target="https://www.linkedin.com/learning/17-questions-to-help-improve-your-marketing?trk=ondemandfile" TargetMode="External"/><Relationship Id="rId171" Type="http://schemas.openxmlformats.org/officeDocument/2006/relationships/hyperlink" Target="https://www.linkedin.com/learning/comunicados-de-marketing?trk=ondemandfile" TargetMode="External"/><Relationship Id="rId227" Type="http://schemas.openxmlformats.org/officeDocument/2006/relationships/hyperlink" Target="https://www.linkedin.com/learning/personal-branding-mit-linkedin?trk=ondemandfile" TargetMode="External"/><Relationship Id="rId269" Type="http://schemas.openxmlformats.org/officeDocument/2006/relationships/hyperlink" Target="https://www.linkedin.com/learning/storytelling?trk=ondemandfile" TargetMode="External"/><Relationship Id="rId33" Type="http://schemas.openxmlformats.org/officeDocument/2006/relationships/hyperlink" Target="https://www.linkedin.com/learning/google-analytics-essential-training-2021?trk=ondemandfile" TargetMode="External"/><Relationship Id="rId129" Type="http://schemas.openxmlformats.org/officeDocument/2006/relationships/hyperlink" Target="https://www.linkedin.com/learning/les-fondements-du-marketing-etablir-une-proposition-de-valeur?trk=contentmappingfile" TargetMode="External"/><Relationship Id="rId280" Type="http://schemas.openxmlformats.org/officeDocument/2006/relationships/hyperlink" Target="https://www.linkedin.com/learning/jump-start-your-twitch-channel?trk=ondemandfile" TargetMode="External"/><Relationship Id="rId336" Type="http://schemas.openxmlformats.org/officeDocument/2006/relationships/hyperlink" Target="https://www.linkedin.com/learning/ar-marketing-strategies?trk=ondemandfile" TargetMode="External"/><Relationship Id="rId75" Type="http://schemas.openxmlformats.org/officeDocument/2006/relationships/hyperlink" Target="https://www.linkedin.com/learning/integrated-marketing-communication-strategies?trk=ondemandfile" TargetMode="External"/><Relationship Id="rId140" Type="http://schemas.openxmlformats.org/officeDocument/2006/relationships/hyperlink" Target="https://www.linkedin.com/learning/fundamentos-del-display-marketing?trk=ondemandfile" TargetMode="External"/><Relationship Id="rId182" Type="http://schemas.openxmlformats.org/officeDocument/2006/relationships/hyperlink" Target="https://www.linkedin.com/learning/build-an-ecommerce-website-using-shopify?trk=ondemandfile" TargetMode="External"/><Relationship Id="rId6" Type="http://schemas.openxmlformats.org/officeDocument/2006/relationships/hyperlink" Target="https://www.linkedin.com/learning/paths/online-marketing-expert-in-werden?trk=ondemandfile" TargetMode="External"/><Relationship Id="rId238" Type="http://schemas.openxmlformats.org/officeDocument/2006/relationships/hyperlink" Target="https://www.linkedin.com/learning/international-seo?trk=ondemandfile" TargetMode="External"/><Relationship Id="rId291" Type="http://schemas.openxmlformats.org/officeDocument/2006/relationships/hyperlink" Target="https://www.linkedin.com/learning/blog-wordpress?trk=ondemandfile" TargetMode="External"/><Relationship Id="rId305" Type="http://schemas.openxmlformats.org/officeDocument/2006/relationships/hyperlink" Target="https://www.linkedin.com/learning/introduction-to-content-marketing-2?trk=ondemandfile" TargetMode="External"/><Relationship Id="rId44" Type="http://schemas.openxmlformats.org/officeDocument/2006/relationships/hyperlink" Target="https://www.linkedin.com/learning/aprende-mailchimp?trk=ondemandfile" TargetMode="External"/><Relationship Id="rId86" Type="http://schemas.openxmlformats.org/officeDocument/2006/relationships/hyperlink" Target="https://www.linkedin.com/learning/marketing-tools-seo-8551757?trk=ondemandfile" TargetMode="External"/><Relationship Id="rId151" Type="http://schemas.openxmlformats.org/officeDocument/2006/relationships/hyperlink" Target="https://www.linkedin.com/learning/building-a-creative-online-community?trk=ondemandfile" TargetMode="External"/><Relationship Id="rId193" Type="http://schemas.openxmlformats.org/officeDocument/2006/relationships/hyperlink" Target="https://www.linkedin.com/learning/00-facebook-marketing?trk=ondemandfile" TargetMode="External"/><Relationship Id="rId207" Type="http://schemas.openxmlformats.org/officeDocument/2006/relationships/hyperlink" Target="https://www.linkedin.com/learning/marketing-tools-digital-marketing-2?trk=ondemandfile" TargetMode="External"/><Relationship Id="rId249" Type="http://schemas.openxmlformats.org/officeDocument/2006/relationships/hyperlink" Target="https://www.linkedin.com/learning/seo-optimierung-fur-sprachbasierte-suche?trk=ondemandfile" TargetMode="External"/><Relationship Id="rId13" Type="http://schemas.openxmlformats.org/officeDocument/2006/relationships/hyperlink" Target="https://www.linkedin.com/learning/00-copywriting?trk=ondemandfile" TargetMode="External"/><Relationship Id="rId109" Type="http://schemas.openxmlformats.org/officeDocument/2006/relationships/hyperlink" Target="https://www.linkedin.com/learning/advanced-google-analytics-4?trk=ondemandfile" TargetMode="External"/><Relationship Id="rId260" Type="http://schemas.openxmlformats.org/officeDocument/2006/relationships/hyperlink" Target="https://www.linkedin.com/learning/how-to-build-a-following-online?trk=ondemandfile" TargetMode="External"/><Relationship Id="rId316" Type="http://schemas.openxmlformats.org/officeDocument/2006/relationships/hyperlink" Target="https://www.linkedin.com/learning/advertising-on-youtube?trk=ondemandfile" TargetMode="External"/><Relationship Id="rId55" Type="http://schemas.openxmlformats.org/officeDocument/2006/relationships/hyperlink" Target="https://www.linkedin.com/learning/paths/become-an-online-marketing-manager?trk=ondemandfile" TargetMode="External"/><Relationship Id="rId97" Type="http://schemas.openxmlformats.org/officeDocument/2006/relationships/hyperlink" Target="https://www.linkedin.com/learning/disena-proyectos-de-marketing-con-business-model-canvas?trk=contentmappingfile" TargetMode="External"/><Relationship Id="rId120" Type="http://schemas.openxmlformats.org/officeDocument/2006/relationships/hyperlink" Target="https://www.linkedin.com/learning/developing-a-competitive-strategy-3?trk=ondemandfile" TargetMode="External"/><Relationship Id="rId162" Type="http://schemas.openxmlformats.org/officeDocument/2006/relationships/hyperlink" Target="https://www.linkedin.com/learning/instagram-kennenlernen?trk=ondemandfile" TargetMode="External"/><Relationship Id="rId218" Type="http://schemas.openxmlformats.org/officeDocument/2006/relationships/hyperlink" Target="https://www.linkedin.com/learning/aufmerksamkeit-im-verkauf?trk=ondemandfile" TargetMode="External"/><Relationship Id="rId271" Type="http://schemas.openxmlformats.org/officeDocument/2006/relationships/hyperlink" Target="https://www.linkedin.com/learning/eine-unternehmensstrategie-entwickeln?trk=ondemandfile" TargetMode="External"/><Relationship Id="rId24" Type="http://schemas.openxmlformats.org/officeDocument/2006/relationships/hyperlink" Target="https://www.linkedin.com/learning/adobe-spark-grundkurs-2?trk=ondemandfile" TargetMode="External"/><Relationship Id="rId66" Type="http://schemas.openxmlformats.org/officeDocument/2006/relationships/hyperlink" Target="https://www.linkedin.com/learning/exploiter-les-leviers-du-web-marketing-pour-booster-son-activite?trk=contentmappingfile" TargetMode="External"/><Relationship Id="rId131" Type="http://schemas.openxmlformats.org/officeDocument/2006/relationships/hyperlink" Target="https://www.linkedin.com/learning/00-gruppenrichtlinien?trk=ondemandfile" TargetMode="External"/><Relationship Id="rId327" Type="http://schemas.openxmlformats.org/officeDocument/2006/relationships/hyperlink" Target="https://www.linkedin.com/learning/become-a-marketing-entrepreneur?trk=ondemandfile"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www.linkedin.com/learning/four-simple-strategies-to-boost-creativity-and-productivity?trk=ondemandfile" TargetMode="External"/><Relationship Id="rId21" Type="http://schemas.openxmlformats.org/officeDocument/2006/relationships/hyperlink" Target="https://www.linkedin.com/learning/paths/7c8dafed-8f63-35a2-ada2-7dbeaf731ce4?trk=ondemandfile" TargetMode="External"/><Relationship Id="rId42" Type="http://schemas.openxmlformats.org/officeDocument/2006/relationships/hyperlink" Target="https://www.linkedin.com/learning/built-to-last-successful-habits-of-visionary-companies?trk=ondemandfile" TargetMode="External"/><Relationship Id="rId63" Type="http://schemas.openxmlformats.org/officeDocument/2006/relationships/hyperlink" Target="https://www.linkedin.com/learning/building-creative-organizations-3?trk=ondemandfile" TargetMode="External"/><Relationship Id="rId84" Type="http://schemas.openxmlformats.org/officeDocument/2006/relationships/hyperlink" Target="https://www.linkedin.com/learning/fundamentos-de-la-economia-naranja?trk=ondemandfile" TargetMode="External"/><Relationship Id="rId138" Type="http://schemas.openxmlformats.org/officeDocument/2006/relationships/hyperlink" Target="https://www.linkedin.com/learning/creativity-at-work-a-short-course-from-seth-godin?trk=ondemandfile" TargetMode="External"/><Relationship Id="rId107" Type="http://schemas.openxmlformats.org/officeDocument/2006/relationships/hyperlink" Target="https://www.linkedin.com/learning/the-five-step-creative-process?trk=ondemandfile" TargetMode="External"/><Relationship Id="rId11" Type="http://schemas.openxmlformats.org/officeDocument/2006/relationships/hyperlink" Target="https://www.linkedin.com/learning/agile-software-development-creating-an-agile-culture?trk=ondemandfile" TargetMode="External"/><Relationship Id="rId32" Type="http://schemas.openxmlformats.org/officeDocument/2006/relationships/hyperlink" Target="https://www.linkedin.com/learning/design-thinking-grundlagen?trk=ondemandfile" TargetMode="External"/><Relationship Id="rId53" Type="http://schemas.openxmlformats.org/officeDocument/2006/relationships/hyperlink" Target="https://www.linkedin.com/learning/developing-resourcefulness-2?trk=ondemandfile" TargetMode="External"/><Relationship Id="rId74" Type="http://schemas.openxmlformats.org/officeDocument/2006/relationships/hyperlink" Target="https://www.linkedin.com/learning/unlock-your-team-s-creativity-2?trk=ondemandfile" TargetMode="External"/><Relationship Id="rId128" Type="http://schemas.openxmlformats.org/officeDocument/2006/relationships/hyperlink" Target="https://www.linkedin.com/learning/illustrator-cc-2018-one-on-one-advanced-revision-2?trk=ondemandfile" TargetMode="External"/><Relationship Id="rId5" Type="http://schemas.openxmlformats.org/officeDocument/2006/relationships/hyperlink" Target="https://www.linkedin.com/learning/1-minuten-tipps-fur-mehr-kreativitat?trk=ondemandfile" TargetMode="External"/><Relationship Id="rId90" Type="http://schemas.openxmlformats.org/officeDocument/2006/relationships/hyperlink" Target="https://www.linkedin.com/learning/fundamentos-de-matematica-bases-y-calculo-mental?trk=ondemandfile" TargetMode="External"/><Relationship Id="rId95" Type="http://schemas.openxmlformats.org/officeDocument/2006/relationships/hyperlink" Target="https://www.linkedin.com/learning/developing-your-creativity-as-a-leader?trk=ondemandfile" TargetMode="External"/><Relationship Id="rId22" Type="http://schemas.openxmlformats.org/officeDocument/2006/relationships/hyperlink" Target="https://www.linkedin.com/learning/leading-with-innovation?trk=ondemandfile" TargetMode="External"/><Relationship Id="rId27" Type="http://schemas.openxmlformats.org/officeDocument/2006/relationships/hyperlink" Target="https://www.linkedin.com/learning/the-five-step-creative-process-3?trk=ondemandfile" TargetMode="External"/><Relationship Id="rId43" Type="http://schemas.openxmlformats.org/officeDocument/2006/relationships/hyperlink" Target="https://www.linkedin.com/learning/paths/working-with-creatives-2?trk=ondemandfile" TargetMode="External"/><Relationship Id="rId48" Type="http://schemas.openxmlformats.org/officeDocument/2006/relationships/hyperlink" Target="https://www.linkedin.com/learning/using-questions-to-foster-critical-thinking-and-curiosity-2?trk=ondemandfile" TargetMode="External"/><Relationship Id="rId64" Type="http://schemas.openxmlformats.org/officeDocument/2006/relationships/hyperlink" Target="https://www.linkedin.com/learning/executing-on-innovation-a-process-that-scales?trk=ondemandfile" TargetMode="External"/><Relationship Id="rId69" Type="http://schemas.openxmlformats.org/officeDocument/2006/relationships/hyperlink" Target="https://www.linkedin.com/learning/futures-centered-design?trk=ondemandfile" TargetMode="External"/><Relationship Id="rId113" Type="http://schemas.openxmlformats.org/officeDocument/2006/relationships/hyperlink" Target="https://www.linkedin.com/learning/icebreakers-for-teams-meetings-and-groups?trk=ondemandfile" TargetMode="External"/><Relationship Id="rId118" Type="http://schemas.openxmlformats.org/officeDocument/2006/relationships/hyperlink" Target="https://www.linkedin.com/learning/business-innovation-foundations-2020?trk=ondemandfile" TargetMode="External"/><Relationship Id="rId134" Type="http://schemas.openxmlformats.org/officeDocument/2006/relationships/hyperlink" Target="https://www.linkedin.com/learning/unlocking-creativity-blinkist-summary?trk=ondemandfile" TargetMode="External"/><Relationship Id="rId139" Type="http://schemas.openxmlformats.org/officeDocument/2006/relationships/hyperlink" Target="https://www.linkedin.com/learning/creative-confidence-blinkist-summary?trk=ondemandfile" TargetMode="External"/><Relationship Id="rId80" Type="http://schemas.openxmlformats.org/officeDocument/2006/relationships/hyperlink" Target="https://www.linkedin.com/learning/design-thinking-entender-el-proceso?trk=ondemandfile" TargetMode="External"/><Relationship Id="rId85" Type="http://schemas.openxmlformats.org/officeDocument/2006/relationships/hyperlink" Target="https://www.linkedin.com/learning/innovative-techniken-im-kundenservice?trk=ondemandfile" TargetMode="External"/><Relationship Id="rId12" Type="http://schemas.openxmlformats.org/officeDocument/2006/relationships/hyperlink" Target="https://www.linkedin.com/learning/paths/develop-your-creative-thinking-and-innovation-skills?trk=ondemandfile" TargetMode="External"/><Relationship Id="rId17" Type="http://schemas.openxmlformats.org/officeDocument/2006/relationships/hyperlink" Target="https://www.linkedin.com/learning/building-creative-organizations-14148692?trk=ondemandfile" TargetMode="External"/><Relationship Id="rId33" Type="http://schemas.openxmlformats.org/officeDocument/2006/relationships/hyperlink" Target="https://de.linkedin.com/learning/paths/starken-sie-ihre-schlusselkompetenzen?trk=ondemandfile" TargetMode="External"/><Relationship Id="rId38" Type="http://schemas.openxmlformats.org/officeDocument/2006/relationships/hyperlink" Target="https://www.linkedin.com/learning/como-superar-el-bloqueo-creativo?trk=ondemandfile" TargetMode="External"/><Relationship Id="rId59" Type="http://schemas.openxmlformats.org/officeDocument/2006/relationships/hyperlink" Target="https://www.linkedin.com/learning/innovating-out-of-crisis?trk=ondemandfile" TargetMode="External"/><Relationship Id="rId103" Type="http://schemas.openxmlformats.org/officeDocument/2006/relationships/hyperlink" Target="https://www.linkedin.com/learning/kreative-ideen-entwickeln-tipps-tricks?trk=ondemandfile" TargetMode="External"/><Relationship Id="rId108" Type="http://schemas.openxmlformats.org/officeDocument/2006/relationships/hyperlink" Target="https://www.linkedin.com/learning/00-en-un-minuto-trucos-creativos?trk=ondemandfile" TargetMode="External"/><Relationship Id="rId124" Type="http://schemas.openxmlformats.org/officeDocument/2006/relationships/hyperlink" Target="https://www.linkedin.com/learning/graphic-design-foundations-ideas-concepts-and-form?trk=ondemandfile" TargetMode="External"/><Relationship Id="rId129" Type="http://schemas.openxmlformats.org/officeDocument/2006/relationships/hyperlink" Target="https://www.linkedin.com/learning/how-to-boost-your-creativity-at-home-in-10-days?trk=ondemandfile" TargetMode="External"/><Relationship Id="rId54" Type="http://schemas.openxmlformats.org/officeDocument/2006/relationships/hyperlink" Target="https://www.linkedin.com/learning/service-innovation?trk=ondemandfile" TargetMode="External"/><Relationship Id="rId70" Type="http://schemas.openxmlformats.org/officeDocument/2006/relationships/hyperlink" Target="https://www.linkedin.com/learning/developper-sa-creativite-pour-innover?trk=contentmappingfile" TargetMode="External"/><Relationship Id="rId75" Type="http://schemas.openxmlformats.org/officeDocument/2006/relationships/hyperlink" Target="https://www.linkedin.com/learning/balancing-innovation-and-risk?trk=ondemandfile" TargetMode="External"/><Relationship Id="rId91" Type="http://schemas.openxmlformats.org/officeDocument/2006/relationships/hyperlink" Target="https://www.linkedin.com/learning/kreative-ideen-entwickeln?trk=ondemandfile" TargetMode="External"/><Relationship Id="rId96" Type="http://schemas.openxmlformats.org/officeDocument/2006/relationships/hyperlink" Target="https://www.linkedin.com/learning/leading-with-innovation-3?trk=ondemandfile" TargetMode="External"/><Relationship Id="rId140" Type="http://schemas.openxmlformats.org/officeDocument/2006/relationships/hyperlink" Target="https://www.linkedin.com/learning/productive-creativity?trk=ondemandfile" TargetMode="External"/><Relationship Id="rId145" Type="http://schemas.openxmlformats.org/officeDocument/2006/relationships/hyperlink" Target="https://www.linkedin.com/learning/promoting-psychological-safety-to-encourage-employees-to-take-risks?trk=ondemandfile" TargetMode="External"/><Relationship Id="rId1" Type="http://schemas.openxmlformats.org/officeDocument/2006/relationships/hyperlink" Target="https://www.linkedin.com/learning/building-creative-organizations-2?trk=ondemandfile" TargetMode="External"/><Relationship Id="rId6" Type="http://schemas.openxmlformats.org/officeDocument/2006/relationships/hyperlink" Target="https://www.linkedin.com/learning/paths/erweitern-sie-ihre-kreativitats-skills?trk=ondemandfile" TargetMode="External"/><Relationship Id="rId23" Type="http://schemas.openxmlformats.org/officeDocument/2006/relationships/hyperlink" Target="https://www.linkedin.com/learning/paths/improve-your-creativity-skills?trk=ondemandfile" TargetMode="External"/><Relationship Id="rId28" Type="http://schemas.openxmlformats.org/officeDocument/2006/relationships/hyperlink" Target="https://www.linkedin.com/learning/leading-with-innovation-4?trk=ondemandfile" TargetMode="External"/><Relationship Id="rId49" Type="http://schemas.openxmlformats.org/officeDocument/2006/relationships/hyperlink" Target="https://www.linkedin.com/learning/lean-technology-strategy-managing-the-innovation-portfolio?trk=ondemandfile" TargetMode="External"/><Relationship Id="rId114" Type="http://schemas.openxmlformats.org/officeDocument/2006/relationships/hyperlink" Target="https://www.linkedin.com/learning/visuelles-denken-im-business-umfeld?trk=ondemandfile" TargetMode="External"/><Relationship Id="rId119" Type="http://schemas.openxmlformats.org/officeDocument/2006/relationships/hyperlink" Target="https://www.linkedin.com/learning/introduction-to-responsible-ai-algorithm-design?trk=ondemandfile" TargetMode="External"/><Relationship Id="rId44" Type="http://schemas.openxmlformats.org/officeDocument/2006/relationships/hyperlink" Target="https://www.linkedin.com/learning/como-usar-preguntas-para-fomentar-el-pensamiento-critico-y-la-curiosidad?trk=ondemandfile" TargetMode="External"/><Relationship Id="rId60" Type="http://schemas.openxmlformats.org/officeDocument/2006/relationships/hyperlink" Target="https://www.linkedin.com/learning/desarrolla-tu-creatividad-trucos?trk=ondemandfile" TargetMode="External"/><Relationship Id="rId65" Type="http://schemas.openxmlformats.org/officeDocument/2006/relationships/hyperlink" Target="https://www.linkedin.com/learning/00-building-creative-organizations?trk=ondemandfile" TargetMode="External"/><Relationship Id="rId81" Type="http://schemas.openxmlformats.org/officeDocument/2006/relationships/hyperlink" Target="https://www.linkedin.com/learning/innovation-in-unternehmen?trk=ondemandfile" TargetMode="External"/><Relationship Id="rId86" Type="http://schemas.openxmlformats.org/officeDocument/2006/relationships/hyperlink" Target="https://www.linkedin.com/learning/using-questions-to-coach-and-lead?trk=ondemandfile" TargetMode="External"/><Relationship Id="rId130" Type="http://schemas.openxmlformats.org/officeDocument/2006/relationships/hyperlink" Target="https://www.linkedin.com/learning/21-day-creative-exercise-desk-challenge?trk=ondemandfile" TargetMode="External"/><Relationship Id="rId135" Type="http://schemas.openxmlformats.org/officeDocument/2006/relationships/hyperlink" Target="https://www.linkedin.com/learning/design-thinking-understanding-the-process?trk=ondemandfile" TargetMode="External"/><Relationship Id="rId13" Type="http://schemas.openxmlformats.org/officeDocument/2006/relationships/hyperlink" Target="https://www.linkedin.com/learning/c-mo-desarrollar-la-capacidad-de-ingenio?trk=ondemandfile" TargetMode="External"/><Relationship Id="rId18" Type="http://schemas.openxmlformats.org/officeDocument/2006/relationships/hyperlink" Target="https://www.linkedin.com/learning/paths/31070ed0-b901-3bf1-af9c-de2667146e4d?trk=ondemandfile" TargetMode="External"/><Relationship Id="rId39" Type="http://schemas.openxmlformats.org/officeDocument/2006/relationships/hyperlink" Target="https://www.linkedin.com/learning/00-design-thinking?trk=ondemandfile" TargetMode="External"/><Relationship Id="rId109" Type="http://schemas.openxmlformats.org/officeDocument/2006/relationships/hyperlink" Target="https://www.linkedin.com/learning/kreative-methoden-fur-marketing-kampagnen?trk=ondemandfile" TargetMode="External"/><Relationship Id="rId34" Type="http://schemas.openxmlformats.org/officeDocument/2006/relationships/hyperlink" Target="https://www.linkedin.com/learning/5fc8e748-923d-3c9f-86c2-46dea2131cf2?trk=ondemandfile" TargetMode="External"/><Relationship Id="rId50" Type="http://schemas.openxmlformats.org/officeDocument/2006/relationships/hyperlink" Target="https://www.linkedin.com/learning/creatividad-en-la-empresa?trk=ondemandfile" TargetMode="External"/><Relationship Id="rId55" Type="http://schemas.openxmlformats.org/officeDocument/2006/relationships/hyperlink" Target="https://www.linkedin.com/learning/00-ideation-for-marketers?trk=ondemandfile" TargetMode="External"/><Relationship Id="rId76" Type="http://schemas.openxmlformats.org/officeDocument/2006/relationships/hyperlink" Target="https://www.linkedin.com/learning/design-thinking-implementar-el-proceso?trk=ondemandfile" TargetMode="External"/><Relationship Id="rId97" Type="http://schemas.openxmlformats.org/officeDocument/2006/relationships/hyperlink" Target="https://www.linkedin.com/learning/kreative-ideen-entwickeln-ideen-bewerten?trk=ondemandfile" TargetMode="External"/><Relationship Id="rId104" Type="http://schemas.openxmlformats.org/officeDocument/2006/relationships/hyperlink" Target="https://www.linkedin.com/learning/boosting-your-team-s-creativity-and-green-lighting-ideas?trk=ondemandfile" TargetMode="External"/><Relationship Id="rId120" Type="http://schemas.openxmlformats.org/officeDocument/2006/relationships/hyperlink" Target="https://www.linkedin.com/learning/how-blockchains-will-change-business?trk=ondemandfile" TargetMode="External"/><Relationship Id="rId125" Type="http://schemas.openxmlformats.org/officeDocument/2006/relationships/hyperlink" Target="https://www.linkedin.com/learning/applied-curiosity?trk=ondemandfile" TargetMode="External"/><Relationship Id="rId141" Type="http://schemas.openxmlformats.org/officeDocument/2006/relationships/hyperlink" Target="https://www.linkedin.com/learning/unique-ways-to-generate-creative-ideas?trk=contentmappingfile" TargetMode="External"/><Relationship Id="rId146" Type="http://schemas.openxmlformats.org/officeDocument/2006/relationships/hyperlink" Target="https://www.linkedin.com/learning/managing-innovation?trk=ondemandfile" TargetMode="External"/><Relationship Id="rId7" Type="http://schemas.openxmlformats.org/officeDocument/2006/relationships/hyperlink" Target="https://www.linkedin.com/learning/implementing-artist-thinking-at-work?trk=ondemandfile" TargetMode="External"/><Relationship Id="rId71" Type="http://schemas.openxmlformats.org/officeDocument/2006/relationships/hyperlink" Target="https://www.linkedin.com/learning/desbloquea-la-creatividad-de-tu-equipo?trk=contentmappingfile" TargetMode="External"/><Relationship Id="rId92" Type="http://schemas.openxmlformats.org/officeDocument/2006/relationships/hyperlink" Target="https://www.linkedin.com/learning/creative-thinking-strategies-for-leaders?trk=ondemandfile" TargetMode="External"/><Relationship Id="rId2" Type="http://schemas.openxmlformats.org/officeDocument/2006/relationships/hyperlink" Target="https://www.linkedin.com/learning/paths/fostering-innovation?trk=ondemandfile" TargetMode="External"/><Relationship Id="rId29" Type="http://schemas.openxmlformats.org/officeDocument/2006/relationships/hyperlink" Target="https://www.linkedin.com/learning/jeff-dyer-on-innovation?trk=ondemandfile" TargetMode="External"/><Relationship Id="rId24" Type="http://schemas.openxmlformats.org/officeDocument/2006/relationships/hyperlink" Target="https://www.linkedin.com/learning/como-generar-ideas?trk=ondemandfile" TargetMode="External"/><Relationship Id="rId40" Type="http://schemas.openxmlformats.org/officeDocument/2006/relationships/hyperlink" Target="https://www.linkedin.com/learning/understanding-the-concept-of-artist-thinking?trk=ondemandfile" TargetMode="External"/><Relationship Id="rId45" Type="http://schemas.openxmlformats.org/officeDocument/2006/relationships/hyperlink" Target="https://www.linkedin.com/learning/die-kreative-organisation?trk=ondemandfile" TargetMode="External"/><Relationship Id="rId66" Type="http://schemas.openxmlformats.org/officeDocument/2006/relationships/hyperlink" Target="https://www.linkedin.com/learning/fuhren-mit-innovation?trk=ondemandfile" TargetMode="External"/><Relationship Id="rId87" Type="http://schemas.openxmlformats.org/officeDocument/2006/relationships/hyperlink" Target="https://www.linkedin.com/learning/fundamentos-de-matematica-aplicaciones-utiles-en-tu-dia-a-dia?trk=ondemandfile" TargetMode="External"/><Relationship Id="rId110" Type="http://schemas.openxmlformats.org/officeDocument/2006/relationships/hyperlink" Target="https://www.linkedin.com/learning/building-a-creative-online-community?trk=ondemandfile" TargetMode="External"/><Relationship Id="rId115" Type="http://schemas.openxmlformats.org/officeDocument/2006/relationships/hyperlink" Target="https://www.linkedin.com/learning/how-getting-curious-helps-you-achieve-everything?trk=ondemandfile" TargetMode="External"/><Relationship Id="rId131" Type="http://schemas.openxmlformats.org/officeDocument/2006/relationships/hyperlink" Target="https://www.linkedin.com/learning/banish-your-inner-critic-to-unleash-creativity-3?trk=ondemandfile" TargetMode="External"/><Relationship Id="rId136" Type="http://schemas.openxmlformats.org/officeDocument/2006/relationships/hyperlink" Target="https://www.linkedin.com/learning/smart-cities-solving-urban-problems-using-technology-2?trk=ondemandfile" TargetMode="External"/><Relationship Id="rId61" Type="http://schemas.openxmlformats.org/officeDocument/2006/relationships/hyperlink" Target="https://www.linkedin.com/learning/empathie-und-kreativitat-als-neue-schlusselkompetenzen?trk=ondemandfile" TargetMode="External"/><Relationship Id="rId82" Type="http://schemas.openxmlformats.org/officeDocument/2006/relationships/hyperlink" Target="https://www.linkedin.com/learning/disrupting-yourself-2?trk=ondemandfile" TargetMode="External"/><Relationship Id="rId19" Type="http://schemas.openxmlformats.org/officeDocument/2006/relationships/hyperlink" Target="https://www.linkedin.com/learning/como-estimular-o-pensamento-criativo-da-sua-equipe?trk=contentmappingfile" TargetMode="External"/><Relationship Id="rId14" Type="http://schemas.openxmlformats.org/officeDocument/2006/relationships/hyperlink" Target="https://www.linkedin.com/learning/paths/fomenta-la-innovacion?trk=ondemandfile" TargetMode="External"/><Relationship Id="rId30" Type="http://schemas.openxmlformats.org/officeDocument/2006/relationships/hyperlink" Target="https://www.linkedin.com/learning/paths/improve-your-problem-solving-skills?trk=ondemandfile" TargetMode="External"/><Relationship Id="rId35" Type="http://schemas.openxmlformats.org/officeDocument/2006/relationships/hyperlink" Target="https://www.linkedin.com/learning/managing-for-better-ideas-14547440?trk=contentmappingfile" TargetMode="External"/><Relationship Id="rId56" Type="http://schemas.openxmlformats.org/officeDocument/2006/relationships/hyperlink" Target="https://www.linkedin.com/learning/disrupt-yourself-erfinden-sie-sich-neu?trk=ondemandfile" TargetMode="External"/><Relationship Id="rId77" Type="http://schemas.openxmlformats.org/officeDocument/2006/relationships/hyperlink" Target="https://www.linkedin.com/learning/ihre-ideen-durchsetzen?trk=ondemandfile" TargetMode="External"/><Relationship Id="rId100" Type="http://schemas.openxmlformats.org/officeDocument/2006/relationships/hyperlink" Target="https://www.linkedin.com/learning/kreative-ideen-entwickeln-einfalle-fordern-und-hindern?trk=ondemandfile" TargetMode="External"/><Relationship Id="rId105" Type="http://schemas.openxmlformats.org/officeDocument/2006/relationships/hyperlink" Target="https://www.linkedin.com/learning/tecnicas-innovadoras-de-atencion-al-cliente?trk=ondemandfile" TargetMode="External"/><Relationship Id="rId126" Type="http://schemas.openxmlformats.org/officeDocument/2006/relationships/hyperlink" Target="https://www.linkedin.com/learning/creativity-generate-ideas-in-greater-quantity-and-quality?trk=ondemandfile" TargetMode="External"/><Relationship Id="rId147" Type="http://schemas.openxmlformats.org/officeDocument/2006/relationships/hyperlink" Target="https://www.linkedin.com/learning/the-definitive-drucker-getabstract-summary?trk=ondemandfile" TargetMode="External"/><Relationship Id="rId8" Type="http://schemas.openxmlformats.org/officeDocument/2006/relationships/hyperlink" Target="https://www.linkedin.com/learning/paths/trabalho-remoto-colaboracao-foco-e-produtividade?trk=ondemandfile" TargetMode="External"/><Relationship Id="rId51" Type="http://schemas.openxmlformats.org/officeDocument/2006/relationships/hyperlink" Target="https://www.linkedin.com/learning/00-teamkreativitat?trk=ondemandfile" TargetMode="External"/><Relationship Id="rId72" Type="http://schemas.openxmlformats.org/officeDocument/2006/relationships/hyperlink" Target="https://www.linkedin.com/learning/00-visuelles-denken?trk=ondemandfile" TargetMode="External"/><Relationship Id="rId93" Type="http://schemas.openxmlformats.org/officeDocument/2006/relationships/hyperlink" Target="https://www.linkedin.com/learning/00-business-innovation?trk=ondemandfile" TargetMode="External"/><Relationship Id="rId98" Type="http://schemas.openxmlformats.org/officeDocument/2006/relationships/hyperlink" Target="https://www.linkedin.com/learning/creative-thinking?trk=ondemandfile" TargetMode="External"/><Relationship Id="rId121" Type="http://schemas.openxmlformats.org/officeDocument/2006/relationships/hyperlink" Target="https://www.linkedin.com/learning/design-thinking-implementing-the-process?trk=ondemandfile" TargetMode="External"/><Relationship Id="rId142" Type="http://schemas.openxmlformats.org/officeDocument/2006/relationships/hyperlink" Target="https://www.linkedin.com/learning/finding-creativity-in-uncertain-times?trk=contentmappingfile" TargetMode="External"/><Relationship Id="rId3" Type="http://schemas.openxmlformats.org/officeDocument/2006/relationships/hyperlink" Target="https://www.linkedin.com/learning/alcanzar-la-felicidad-permanente-creando-con-proposito?trk=ondemandfile" TargetMode="External"/><Relationship Id="rId25" Type="http://schemas.openxmlformats.org/officeDocument/2006/relationships/hyperlink" Target="https://www.linkedin.com/learning/der-kreative-prozess-in-funf-schritten?trk=ondemandfile" TargetMode="External"/><Relationship Id="rId46" Type="http://schemas.openxmlformats.org/officeDocument/2006/relationships/hyperlink" Target="https://www.linkedin.com/learning/enhancing-artist-thinking-with-simple-workshops-for-work?trk=ondemandfile" TargetMode="External"/><Relationship Id="rId67" Type="http://schemas.openxmlformats.org/officeDocument/2006/relationships/hyperlink" Target="https://www.linkedin.com/learning/fundamentos-da-criatividade-o-processo-de-criacao-de-ideias?trk=contentmappingfile" TargetMode="External"/><Relationship Id="rId116" Type="http://schemas.openxmlformats.org/officeDocument/2006/relationships/hyperlink" Target="https://www.linkedin.com/learning/the-4-lenses-of-innovation-getabstract-summary?trk=ondemandfile" TargetMode="External"/><Relationship Id="rId137" Type="http://schemas.openxmlformats.org/officeDocument/2006/relationships/hyperlink" Target="https://www.linkedin.com/learning/conducting-a-swot-analysis?trk=ondemandfile" TargetMode="External"/><Relationship Id="rId20" Type="http://schemas.openxmlformats.org/officeDocument/2006/relationships/hyperlink" Target="https://www.linkedin.com/learning/4af0047b-f4e3-3e5c-bd8b-8371734c0dfa?trk=ondemandfile" TargetMode="External"/><Relationship Id="rId41" Type="http://schemas.openxmlformats.org/officeDocument/2006/relationships/hyperlink" Target="https://www.linkedin.com/learning/cultivating-a-growth-mindset-3?trk=ondemandfile" TargetMode="External"/><Relationship Id="rId62" Type="http://schemas.openxmlformats.org/officeDocument/2006/relationships/hyperlink" Target="https://www.linkedin.com/learning/fundamentos-da-criatividade-como-soltar-sua-imaginacao-e-encontrar-novas-ideias?trk=contentmappingfile" TargetMode="External"/><Relationship Id="rId83" Type="http://schemas.openxmlformats.org/officeDocument/2006/relationships/hyperlink" Target="https://www.linkedin.com/learning/unleash-your-team-s-creativity?trk=ondemandfile" TargetMode="External"/><Relationship Id="rId88" Type="http://schemas.openxmlformats.org/officeDocument/2006/relationships/hyperlink" Target="https://www.linkedin.com/learning/kreative-ideen-entwickeln-arten-von-kreativitat?trk=ondemandfile" TargetMode="External"/><Relationship Id="rId111" Type="http://schemas.openxmlformats.org/officeDocument/2006/relationships/hyperlink" Target="https://www.linkedin.com/learning/gente-creativa-trucos?trk=ondemandfile" TargetMode="External"/><Relationship Id="rId132" Type="http://schemas.openxmlformats.org/officeDocument/2006/relationships/hyperlink" Target="https://www.linkedin.com/learning/implementing-creative-feedback-the-win-win-way?trk=ondemandfile" TargetMode="External"/><Relationship Id="rId15" Type="http://schemas.openxmlformats.org/officeDocument/2006/relationships/hyperlink" Target="https://www.linkedin.com/learning/business-visualisierung-agil-und-kreativ?trk=ondemandfile" TargetMode="External"/><Relationship Id="rId36" Type="http://schemas.openxmlformats.org/officeDocument/2006/relationships/hyperlink" Target="https://www.linkedin.com/learning/mapping-innovation-a-playbook-for-navigating-a-disruptive-age-getabstract-summary?trk=ondemandfile" TargetMode="External"/><Relationship Id="rId57" Type="http://schemas.openxmlformats.org/officeDocument/2006/relationships/hyperlink" Target="https://www.linkedin.com/learning/fundamentos-da-criatividade-como-gerar-ideias-valiosas-e-inovar-na-pratica?trk=contentmappingfile" TargetMode="External"/><Relationship Id="rId106" Type="http://schemas.openxmlformats.org/officeDocument/2006/relationships/hyperlink" Target="https://www.linkedin.com/learning/kreative-ideen-in-10-minuten?trk=ondemandfile" TargetMode="External"/><Relationship Id="rId127" Type="http://schemas.openxmlformats.org/officeDocument/2006/relationships/hyperlink" Target="https://www.linkedin.com/learning/creativity-for-all?trk=ondemandfile" TargetMode="External"/><Relationship Id="rId10" Type="http://schemas.openxmlformats.org/officeDocument/2006/relationships/hyperlink" Target="https://www.linkedin.com/learning/paths/07304244-eccf-3d14-923a-8ca64b7fb518?trk=ondemandfile" TargetMode="External"/><Relationship Id="rId31" Type="http://schemas.openxmlformats.org/officeDocument/2006/relationships/hyperlink" Target="https://www.linkedin.com/learning/c-mo-tener-ideas-para-un-nuevo-modelo-de-negocio?trk=ondemandfile" TargetMode="External"/><Relationship Id="rId52" Type="http://schemas.openxmlformats.org/officeDocument/2006/relationships/hyperlink" Target="https://www.linkedin.com/learning/fundamentos-da-criatividade-como-despertar-sua-curiosidade?trk=contentmappingfile" TargetMode="External"/><Relationship Id="rId73" Type="http://schemas.openxmlformats.org/officeDocument/2006/relationships/hyperlink" Target="https://www.linkedin.com/learning/fundamentos-de-inovacao-empresarial?trk=contentmappingfile" TargetMode="External"/><Relationship Id="rId78" Type="http://schemas.openxmlformats.org/officeDocument/2006/relationships/hyperlink" Target="https://www.linkedin.com/learning/risk-taking-for-leaders-2?trk=ondemandfile" TargetMode="External"/><Relationship Id="rId94" Type="http://schemas.openxmlformats.org/officeDocument/2006/relationships/hyperlink" Target="https://www.linkedin.com/learning/kreative-ideen-entwickeln-die-kreative-personlichkeit?trk=ondemandfile" TargetMode="External"/><Relationship Id="rId99" Type="http://schemas.openxmlformats.org/officeDocument/2006/relationships/hyperlink" Target="https://www.linkedin.com/learning/liderazgo-creativo?trk=ondemandfile" TargetMode="External"/><Relationship Id="rId101" Type="http://schemas.openxmlformats.org/officeDocument/2006/relationships/hyperlink" Target="https://www.linkedin.com/learning/brainstorming-basics?trk=ondemandfile" TargetMode="External"/><Relationship Id="rId122" Type="http://schemas.openxmlformats.org/officeDocument/2006/relationships/hyperlink" Target="https://www.linkedin.com/learning/charles-adler-a-story-of-kickstarting-an-idea?trk=ondemandfile" TargetMode="External"/><Relationship Id="rId143" Type="http://schemas.openxmlformats.org/officeDocument/2006/relationships/hyperlink" Target="https://www.linkedin.com/learning/ux-deep-dive-remote-research?trk=ondemandfile" TargetMode="External"/><Relationship Id="rId4" Type="http://schemas.openxmlformats.org/officeDocument/2006/relationships/hyperlink" Target="https://www.linkedin.com/learning/paths/profundiza-tus-competencias-en-metodologias-agiles-y-design-thinking?trk=ondemandfile" TargetMode="External"/><Relationship Id="rId9" Type="http://schemas.openxmlformats.org/officeDocument/2006/relationships/hyperlink" Target="https://www.linkedin.com/learning/business-innovation-foundations-3?trk=ondemandfile" TargetMode="External"/><Relationship Id="rId26" Type="http://schemas.openxmlformats.org/officeDocument/2006/relationships/hyperlink" Target="https://www.linkedin.com/learning/paths/durch-veranderungsprozesse-fuhren?trk=ondemandfile" TargetMode="External"/><Relationship Id="rId47" Type="http://schemas.openxmlformats.org/officeDocument/2006/relationships/hyperlink" Target="https://www.linkedin.com/learning/fundamentos-da-criatividade-como-despertar-o-talento-de-sua-equipe?trk=contentmappingfile" TargetMode="External"/><Relationship Id="rId68" Type="http://schemas.openxmlformats.org/officeDocument/2006/relationships/hyperlink" Target="https://www.linkedin.com/learning/banish-your-inner-critic-to-unleash-creativity?trk=ondemandfile" TargetMode="External"/><Relationship Id="rId89" Type="http://schemas.openxmlformats.org/officeDocument/2006/relationships/hyperlink" Target="https://www.linkedin.com/learning/the-business-case-for-creativity?trk=ondemandfile" TargetMode="External"/><Relationship Id="rId112" Type="http://schemas.openxmlformats.org/officeDocument/2006/relationships/hyperlink" Target="https://www.linkedin.com/learning/kreativnetzwerk?trk=ondemandfile" TargetMode="External"/><Relationship Id="rId133" Type="http://schemas.openxmlformats.org/officeDocument/2006/relationships/hyperlink" Target="https://www.linkedin.com/learning/branding-strategy-define-your-creative-edge?trk=ondemandfile" TargetMode="External"/><Relationship Id="rId16" Type="http://schemas.openxmlformats.org/officeDocument/2006/relationships/hyperlink" Target="https://www.linkedin.com/learning/paths/innovation-fordern?trk=ondemandfile" TargetMode="External"/><Relationship Id="rId37" Type="http://schemas.openxmlformats.org/officeDocument/2006/relationships/hyperlink" Target="https://www.linkedin.com/learning/paths/stay-competitive-using-design-thinking?trk=ondemandfile" TargetMode="External"/><Relationship Id="rId58" Type="http://schemas.openxmlformats.org/officeDocument/2006/relationships/hyperlink" Target="https://www.linkedin.com/learning/breaking-out-of-a-rut-2?trk=ondemandfile" TargetMode="External"/><Relationship Id="rId79" Type="http://schemas.openxmlformats.org/officeDocument/2006/relationships/hyperlink" Target="https://www.linkedin.com/learning/strategic-focus-for-managers?trk=ondemandfile" TargetMode="External"/><Relationship Id="rId102" Type="http://schemas.openxmlformats.org/officeDocument/2006/relationships/hyperlink" Target="https://www.linkedin.com/learning/00-los-cinco-pasos-del-proceso-creativo?trk=ondemandfile" TargetMode="External"/><Relationship Id="rId123" Type="http://schemas.openxmlformats.org/officeDocument/2006/relationships/hyperlink" Target="https://www.linkedin.com/learning/practical-creativity-for-everyone?trk=ondemandfile" TargetMode="External"/><Relationship Id="rId144" Type="http://schemas.openxmlformats.org/officeDocument/2006/relationships/hyperlink" Target="https://www.linkedin.com/learning/enhancing-team-innovation?trk=ondemandfile"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s://www.linkedin.com/learning/pensamiento-estrategico?trk=ondemandfile" TargetMode="External"/><Relationship Id="rId21" Type="http://schemas.openxmlformats.org/officeDocument/2006/relationships/hyperlink" Target="https://www.linkedin.com/learning/paths/87c473ed-01ce-32f8-90ac-61be15e449c9?trk=ondemandfile" TargetMode="External"/><Relationship Id="rId42" Type="http://schemas.openxmlformats.org/officeDocument/2006/relationships/hyperlink" Target="https://www.linkedin.com/learning/strategic-thinking-14127846?trk=ondemandfile" TargetMode="External"/><Relationship Id="rId63" Type="http://schemas.openxmlformats.org/officeDocument/2006/relationships/hyperlink" Target="https://www.linkedin.com/learning/building-self-confidence?trk=ondemandfile" TargetMode="External"/><Relationship Id="rId84" Type="http://schemas.openxmlformats.org/officeDocument/2006/relationships/hyperlink" Target="https://www.linkedin.com/learning/critical-thinking-for-better-judgment-and-decision-making-2?trk=ondemandfile" TargetMode="External"/><Relationship Id="rId138" Type="http://schemas.openxmlformats.org/officeDocument/2006/relationships/hyperlink" Target="https://www.linkedin.com/learning/learning-from-failure?trk=ondemandfile" TargetMode="External"/><Relationship Id="rId107" Type="http://schemas.openxmlformats.org/officeDocument/2006/relationships/hyperlink" Target="https://www.linkedin.com/learning/smart-thinking-overcoming-complexity-14592064?trk=contentmappingfile" TargetMode="External"/><Relationship Id="rId11" Type="http://schemas.openxmlformats.org/officeDocument/2006/relationships/hyperlink" Target="https://www.linkedin.com/learning/learning-from-failure-2?trk=ondemandfile" TargetMode="External"/><Relationship Id="rId32" Type="http://schemas.openxmlformats.org/officeDocument/2006/relationships/hyperlink" Target="https://www.linkedin.com/learning/paths/master-in-demand-professional-soft-skills?trk=ondemandfile" TargetMode="External"/><Relationship Id="rId53" Type="http://schemas.openxmlformats.org/officeDocument/2006/relationships/hyperlink" Target="https://www.linkedin.com/learning/c-mo-tomar-decisiones?trk=ondemandfile" TargetMode="External"/><Relationship Id="rId74" Type="http://schemas.openxmlformats.org/officeDocument/2006/relationships/hyperlink" Target="https://www.linkedin.com/learning/strategic-thinking-4?trk=ondemandfile" TargetMode="External"/><Relationship Id="rId128" Type="http://schemas.openxmlformats.org/officeDocument/2006/relationships/hyperlink" Target="https://www.linkedin.com/learning/how-to-use-data-visualization-to-make-better-decisions-faster?trk=ondemandfile" TargetMode="External"/><Relationship Id="rId149" Type="http://schemas.openxmlformats.org/officeDocument/2006/relationships/hyperlink" Target="https://www.linkedin.com/learning/smarter-faster-better-blinkist-summary?trk=ondemandfile" TargetMode="External"/><Relationship Id="rId5" Type="http://schemas.openxmlformats.org/officeDocument/2006/relationships/hyperlink" Target="https://www.linkedin.com/learning/aus-misserfolgen-lernen?trk=ondemandfile" TargetMode="External"/><Relationship Id="rId95" Type="http://schemas.openxmlformats.org/officeDocument/2006/relationships/hyperlink" Target="https://www.linkedin.com/learning/privacy-in-the-age-of-covid?trk=ondemandfile" TargetMode="External"/><Relationship Id="rId22" Type="http://schemas.openxmlformats.org/officeDocument/2006/relationships/hyperlink" Target="https://www.linkedin.com/learning/learning-agility?trk=ondemandfile" TargetMode="External"/><Relationship Id="rId27" Type="http://schemas.openxmlformats.org/officeDocument/2006/relationships/hyperlink" Target="https://www.linkedin.com/learning/improving-your-judgment-3?trk=ondemandfile" TargetMode="External"/><Relationship Id="rId43" Type="http://schemas.openxmlformats.org/officeDocument/2006/relationships/hyperlink" Target="https://www.linkedin.com/learning/fundamentos-da-melhoria-de-processos?trk=ondemandfile" TargetMode="External"/><Relationship Id="rId48" Type="http://schemas.openxmlformats.org/officeDocument/2006/relationships/hyperlink" Target="https://www.linkedin.com/learning/using-questions-to-foster-critical-thinking-and-curiosity-16505090?trk=contentmappingfile" TargetMode="External"/><Relationship Id="rId64" Type="http://schemas.openxmlformats.org/officeDocument/2006/relationships/hyperlink" Target="https://www.linkedin.com/learning/using-questions-to-coach-and-lead?trk=ondemandfile" TargetMode="External"/><Relationship Id="rId69" Type="http://schemas.openxmlformats.org/officeDocument/2006/relationships/hyperlink" Target="https://www.linkedin.com/learning/influencing-others-4?trk=ondemandfile" TargetMode="External"/><Relationship Id="rId113" Type="http://schemas.openxmlformats.org/officeDocument/2006/relationships/hyperlink" Target="https://www.linkedin.com/learning/00-critical-thinking?trk=ondemandfile" TargetMode="External"/><Relationship Id="rId118" Type="http://schemas.openxmlformats.org/officeDocument/2006/relationships/hyperlink" Target="https://www.linkedin.com/learning/00-zielvereinbarung?trk=ondemandfile" TargetMode="External"/><Relationship Id="rId134" Type="http://schemas.openxmlformats.org/officeDocument/2006/relationships/hyperlink" Target="https://www.linkedin.com/learning/cultivating-a-growth-mindset?trk=ondemandfile" TargetMode="External"/><Relationship Id="rId139" Type="http://schemas.openxmlformats.org/officeDocument/2006/relationships/hyperlink" Target="https://www.linkedin.com/learning/prioritizing-your-tasks?trk=ondemandfile" TargetMode="External"/><Relationship Id="rId80" Type="http://schemas.openxmlformats.org/officeDocument/2006/relationships/hyperlink" Target="https://www.linkedin.com/learning/crafting-questions-to-make-better-decisions?trk=ondemandfile" TargetMode="External"/><Relationship Id="rId85" Type="http://schemas.openxmlformats.org/officeDocument/2006/relationships/hyperlink" Target="https://www.linkedin.com/learning/the-secret-to-better-decisions-stop-hoarding-chips?trk=ondemandfile" TargetMode="External"/><Relationship Id="rId150" Type="http://schemas.openxmlformats.org/officeDocument/2006/relationships/hyperlink" Target="https://www.linkedin.com/learning/thinking-fast-and-slow-blinkist-summary?trk=ondemandfile" TargetMode="External"/><Relationship Id="rId12" Type="http://schemas.openxmlformats.org/officeDocument/2006/relationships/hyperlink" Target="https://www.linkedin.com/learning/paths/5e7d3101-368f-3335-9206-178f9e406630?trk=ondemandfile" TargetMode="External"/><Relationship Id="rId17" Type="http://schemas.openxmlformats.org/officeDocument/2006/relationships/hyperlink" Target="https://www.linkedin.com/learning/berufliche-ziele-setzen-und-erreichen?trk=ondemandfile" TargetMode="External"/><Relationship Id="rId33" Type="http://schemas.openxmlformats.org/officeDocument/2006/relationships/hyperlink" Target="https://www.linkedin.com/learning/como-gestionar-los-puntos-ciegos-del-liderazgo?trk=ondemandfile" TargetMode="External"/><Relationship Id="rId38" Type="http://schemas.openxmlformats.org/officeDocument/2006/relationships/hyperlink" Target="https://www.linkedin.com/learning/start-with-why?trk=ondemandfile" TargetMode="External"/><Relationship Id="rId59" Type="http://schemas.openxmlformats.org/officeDocument/2006/relationships/hyperlink" Target="https://www.linkedin.com/learning/00-por-que-aprender?trk=ondemandfile" TargetMode="External"/><Relationship Id="rId103" Type="http://schemas.openxmlformats.org/officeDocument/2006/relationships/hyperlink" Target="https://www.linkedin.com/learning/process-improvement-foundations-2?trk=ondemandfile" TargetMode="External"/><Relationship Id="rId108" Type="http://schemas.openxmlformats.org/officeDocument/2006/relationships/hyperlink" Target="https://www.linkedin.com/learning/problem-solving-techniques?trk=ondemandfile" TargetMode="External"/><Relationship Id="rId124" Type="http://schemas.openxmlformats.org/officeDocument/2006/relationships/hyperlink" Target="https://www.linkedin.com/learning/00-executive-decision-making?trk=ondemandfile" TargetMode="External"/><Relationship Id="rId129" Type="http://schemas.openxmlformats.org/officeDocument/2006/relationships/hyperlink" Target="https://www.linkedin.com/learning/simple-habits-for-complex-times-getabstract-summary?trk=ondemandfile" TargetMode="External"/><Relationship Id="rId54" Type="http://schemas.openxmlformats.org/officeDocument/2006/relationships/hyperlink" Target="https://www.linkedin.com/learning/00-urteilsvermogen?trk=ondemandfile" TargetMode="External"/><Relationship Id="rId70" Type="http://schemas.openxmlformats.org/officeDocument/2006/relationships/hyperlink" Target="https://www.linkedin.com/learning/making-key-decisions-as-a-manager?trk=ondemandfile" TargetMode="External"/><Relationship Id="rId75" Type="http://schemas.openxmlformats.org/officeDocument/2006/relationships/hyperlink" Target="https://www.linkedin.com/learning/2020-vlog-leading-with-intelligent-disobedience?trk=ondemandfile" TargetMode="External"/><Relationship Id="rId91" Type="http://schemas.openxmlformats.org/officeDocument/2006/relationships/hyperlink" Target="https://www.linkedin.com/learning/00-solving-common-project-problems?trk=ondemandfile" TargetMode="External"/><Relationship Id="rId96" Type="http://schemas.openxmlformats.org/officeDocument/2006/relationships/hyperlink" Target="https://www.linkedin.com/learning/gestion-del-estres-en-tiempos-de-incertidumbre-vivir-o-sobrevivir?trk=ondemandfile" TargetMode="External"/><Relationship Id="rId140" Type="http://schemas.openxmlformats.org/officeDocument/2006/relationships/hyperlink" Target="https://www.linkedin.com/learning/sheryl-sandberg-and-adam-grant-on-option-b?trk=ondemandfile" TargetMode="External"/><Relationship Id="rId145" Type="http://schemas.openxmlformats.org/officeDocument/2006/relationships/hyperlink" Target="https://www.linkedin.com/learning/presence-bringing-your-boldest-self-to-your-biggest-challenges-getabstract-summary?trk=ondemandfile" TargetMode="External"/><Relationship Id="rId1" Type="http://schemas.openxmlformats.org/officeDocument/2006/relationships/hyperlink" Target="https://www.linkedin.com/learning/cmo-foundations-measuring-marketing-effectiveness-roi?trk=ondemandfile" TargetMode="External"/><Relationship Id="rId6" Type="http://schemas.openxmlformats.org/officeDocument/2006/relationships/hyperlink" Target="https://www.linkedin.com/learning/paths/ihre-problemlosungsfahigkeiten-verbessern?trk=ondemandfile" TargetMode="External"/><Relationship Id="rId23" Type="http://schemas.openxmlformats.org/officeDocument/2006/relationships/hyperlink" Target="https://www.linkedin.com/learning/paths/improve-your-problem-solving-skills?trk=ondemandfile" TargetMode="External"/><Relationship Id="rId28" Type="http://schemas.openxmlformats.org/officeDocument/2006/relationships/hyperlink" Target="https://www.linkedin.com/learning/como-desenvolver-a-resiliencia?trk=ondemandfile" TargetMode="External"/><Relationship Id="rId49" Type="http://schemas.openxmlformats.org/officeDocument/2006/relationships/hyperlink" Target="https://www.linkedin.com/learning/estrategias-de-tomada-de-decisao?trk=ondemandfile" TargetMode="External"/><Relationship Id="rId114" Type="http://schemas.openxmlformats.org/officeDocument/2006/relationships/hyperlink" Target="https://www.linkedin.com/learning/ziele-fur-mitarbeiter-innen-und-teams-setzen?trk=ondemandfile" TargetMode="External"/><Relationship Id="rId119" Type="http://schemas.openxmlformats.org/officeDocument/2006/relationships/hyperlink" Target="https://www.linkedin.com/learning/project-management-solving-common-project-problems-3?trk=ondemandfile" TargetMode="External"/><Relationship Id="rId44" Type="http://schemas.openxmlformats.org/officeDocument/2006/relationships/hyperlink" Target="https://www.linkedin.com/learning/using-questions-to-foster-critical-thinking-and-curiosity-2?trk=ondemandfile" TargetMode="External"/><Relationship Id="rId60" Type="http://schemas.openxmlformats.org/officeDocument/2006/relationships/hyperlink" Target="https://www.linkedin.com/learning/kritisches-denken?trk=ondemandfile" TargetMode="External"/><Relationship Id="rId65" Type="http://schemas.openxmlformats.org/officeDocument/2006/relationships/hyperlink" Target="https://www.linkedin.com/learning/developper-son-agilite-cerebrale?trk=contentmappingfile" TargetMode="External"/><Relationship Id="rId81" Type="http://schemas.openxmlformats.org/officeDocument/2006/relationships/hyperlink" Target="https://www.linkedin.com/learning/fred-kofman-y-la-gesti-n-de-conflictos?trk=ondemandfile" TargetMode="External"/><Relationship Id="rId86" Type="http://schemas.openxmlformats.org/officeDocument/2006/relationships/hyperlink" Target="https://www.linkedin.com/learning/00-conflict-resolution-fundamentals?trk=ondemandfile" TargetMode="External"/><Relationship Id="rId130" Type="http://schemas.openxmlformats.org/officeDocument/2006/relationships/hyperlink" Target="https://www.linkedin.com/learning/emotional-intelligence-as-an-inclusivity-booster?trk=ondemandfile" TargetMode="External"/><Relationship Id="rId135" Type="http://schemas.openxmlformats.org/officeDocument/2006/relationships/hyperlink" Target="https://www.linkedin.com/learning/delivering-results-effectively?trk=ondemandfile" TargetMode="External"/><Relationship Id="rId151" Type="http://schemas.openxmlformats.org/officeDocument/2006/relationships/hyperlink" Target="https://www.linkedin.com/learning/overcome-overthinking?trk=ondemandfile" TargetMode="External"/><Relationship Id="rId13" Type="http://schemas.openxmlformats.org/officeDocument/2006/relationships/hyperlink" Target="https://www.linkedin.com/learning/reid-hoffman-and-chris-yeh-on-blitzscaling?trk=ondemandfile" TargetMode="External"/><Relationship Id="rId18" Type="http://schemas.openxmlformats.org/officeDocument/2006/relationships/hyperlink" Target="https://www.linkedin.com/learning/smart-thinking-overcoming-complexity-15924090?trk=contentmappingfile" TargetMode="External"/><Relationship Id="rId39" Type="http://schemas.openxmlformats.org/officeDocument/2006/relationships/hyperlink" Target="https://www.linkedin.com/learning/creer-des-conversations-constructives-avec-des-clients-exigeants-clientes-exigeantes?trk=contentmappingfile" TargetMode="External"/><Relationship Id="rId109" Type="http://schemas.openxmlformats.org/officeDocument/2006/relationships/hyperlink" Target="https://www.linkedin.com/learning/pensamiento-computacional?trk=ondemandfile" TargetMode="External"/><Relationship Id="rId34" Type="http://schemas.openxmlformats.org/officeDocument/2006/relationships/hyperlink" Target="https://www.linkedin.com/learning/entscheidungen-auf-fuhrungsebene-treffen?trk=ondemandfile" TargetMode="External"/><Relationship Id="rId50" Type="http://schemas.openxmlformats.org/officeDocument/2006/relationships/hyperlink" Target="https://www.linkedin.com/learning/getting-your-ideas-approved-3?trk=ondemandfile" TargetMode="External"/><Relationship Id="rId55" Type="http://schemas.openxmlformats.org/officeDocument/2006/relationships/hyperlink" Target="https://www.linkedin.com/learning/executive-decision-making-4?trk=ondemandfile" TargetMode="External"/><Relationship Id="rId76" Type="http://schemas.openxmlformats.org/officeDocument/2006/relationships/hyperlink" Target="https://www.linkedin.com/learning/estrategias-para-tomar-decisiones?trk=ondemandfile" TargetMode="External"/><Relationship Id="rId97" Type="http://schemas.openxmlformats.org/officeDocument/2006/relationships/hyperlink" Target="https://www.linkedin.com/learning/techniken-zur-problemlosung?trk=contentmappingfile" TargetMode="External"/><Relationship Id="rId104" Type="http://schemas.openxmlformats.org/officeDocument/2006/relationships/hyperlink" Target="https://www.linkedin.com/learning/monday-productivity-pointers?trk=ondemandfile" TargetMode="External"/><Relationship Id="rId120" Type="http://schemas.openxmlformats.org/officeDocument/2006/relationships/hyperlink" Target="https://www.linkedin.com/learning/crafting-problem-and-solution-statements?trk=ondemandfile" TargetMode="External"/><Relationship Id="rId125" Type="http://schemas.openxmlformats.org/officeDocument/2006/relationships/hyperlink" Target="https://www.linkedin.com/learning/overcoming-cognitive-bias?trk=ondemandfile" TargetMode="External"/><Relationship Id="rId141" Type="http://schemas.openxmlformats.org/officeDocument/2006/relationships/hyperlink" Target="https://www.linkedin.com/learning/successful-goal-setting?trk=ondemandfile" TargetMode="External"/><Relationship Id="rId146" Type="http://schemas.openxmlformats.org/officeDocument/2006/relationships/hyperlink" Target="https://www.linkedin.com/learning/critical-thinking-and-problem-solving?trk=ondemandfile" TargetMode="External"/><Relationship Id="rId7" Type="http://schemas.openxmlformats.org/officeDocument/2006/relationships/hyperlink" Target="https://www.linkedin.com/learning/critical-thinking-2?trk=ondemandfile" TargetMode="External"/><Relationship Id="rId71" Type="http://schemas.openxmlformats.org/officeDocument/2006/relationships/hyperlink" Target="https://www.linkedin.com/learning/estrategias-para-salir-de-una-crisis-empresarial?trk=ondemandfile" TargetMode="External"/><Relationship Id="rId92" Type="http://schemas.openxmlformats.org/officeDocument/2006/relationships/hyperlink" Target="https://www.linkedin.com/learning/65e30dde-df28-3a85-89cd-faaf0c298709?trk=ondemandfile" TargetMode="External"/><Relationship Id="rId2" Type="http://schemas.openxmlformats.org/officeDocument/2006/relationships/hyperlink" Target="https://www.linkedin.com/learning/paths/develop-critical-thinking-decision-making-and-problem-solving-skills?trk=ondemandfile" TargetMode="External"/><Relationship Id="rId29" Type="http://schemas.openxmlformats.org/officeDocument/2006/relationships/hyperlink" Target="https://www.linkedin.com/learning/9b4bd443-b907-3050-9476-0ec0b08dfda8?trk=ondemandfile" TargetMode="External"/><Relationship Id="rId24" Type="http://schemas.openxmlformats.org/officeDocument/2006/relationships/hyperlink" Target="https://www.linkedin.com/learning/00-learning-to-say-no?trk=ondemandfile" TargetMode="External"/><Relationship Id="rId40" Type="http://schemas.openxmlformats.org/officeDocument/2006/relationships/hyperlink" Target="https://www.linkedin.com/learning/como-mejorar-tu-capacidad-de-toma-de-decisiones?trk=ondemandfile" TargetMode="External"/><Relationship Id="rId45" Type="http://schemas.openxmlformats.org/officeDocument/2006/relationships/hyperlink" Target="https://www.linkedin.com/learning/applying-critical-thinking-strategies-to-communicate-effectively?trk=ondemandfile" TargetMode="External"/><Relationship Id="rId66" Type="http://schemas.openxmlformats.org/officeDocument/2006/relationships/hyperlink" Target="https://www.linkedin.com/learning/del-victimismo-a-la-acci-n-asume-el-control?trk=ondemandfile" TargetMode="External"/><Relationship Id="rId87" Type="http://schemas.openxmlformats.org/officeDocument/2006/relationships/hyperlink" Target="https://www.linkedin.com/learning/strategisches-denken?trk=ondemandfile" TargetMode="External"/><Relationship Id="rId110" Type="http://schemas.openxmlformats.org/officeDocument/2006/relationships/hyperlink" Target="https://www.linkedin.com/learning/00-ohnmaechtig?trk=ondemandfile" TargetMode="External"/><Relationship Id="rId115" Type="http://schemas.openxmlformats.org/officeDocument/2006/relationships/hyperlink" Target="https://www.linkedin.com/learning/problem-solving-techniques-2?trk=ondemandfile" TargetMode="External"/><Relationship Id="rId131" Type="http://schemas.openxmlformats.org/officeDocument/2006/relationships/hyperlink" Target="https://www.linkedin.com/learning/practical-creativity-for-everyone?trk=ondemandfile" TargetMode="External"/><Relationship Id="rId136" Type="http://schemas.openxmlformats.org/officeDocument/2006/relationships/hyperlink" Target="https://www.linkedin.com/learning/enhancing-resilience?trk=ondemandfile" TargetMode="External"/><Relationship Id="rId61" Type="http://schemas.openxmlformats.org/officeDocument/2006/relationships/hyperlink" Target="https://www.linkedin.com/learning/decision-making-strategies-3?trk=ondemandfile" TargetMode="External"/><Relationship Id="rId82" Type="http://schemas.openxmlformats.org/officeDocument/2006/relationships/hyperlink" Target="https://www.linkedin.com/learning/probleme-konfliktfrei-losen-mit-inspektor-columbo-columbos-regeln?trk=contentmappingfile" TargetMode="External"/><Relationship Id="rId152" Type="http://schemas.openxmlformats.org/officeDocument/2006/relationships/hyperlink" Target="https://www.linkedin.com/learning/cultivating-mental-agility?trk=ondemandfile" TargetMode="External"/><Relationship Id="rId19" Type="http://schemas.openxmlformats.org/officeDocument/2006/relationships/hyperlink" Target="https://www.linkedin.com/learning/como-aprender-com-o-fracasso?trk=ondemandfile" TargetMode="External"/><Relationship Id="rId14" Type="http://schemas.openxmlformats.org/officeDocument/2006/relationships/hyperlink" Target="https://www.linkedin.com/learning/paths/improve-your-organizational-skills?trk=ondemandfile" TargetMode="External"/><Relationship Id="rId30" Type="http://schemas.openxmlformats.org/officeDocument/2006/relationships/hyperlink" Target="https://www.linkedin.com/learning/paths/7c8dafed-8f63-35a2-ada2-7dbeaf731ce4?trk=ondemandfile" TargetMode="External"/><Relationship Id="rId35" Type="http://schemas.openxmlformats.org/officeDocument/2006/relationships/hyperlink" Target="https://www.linkedin.com/learning/building-resilience-4?trk=ondemandfile" TargetMode="External"/><Relationship Id="rId56" Type="http://schemas.openxmlformats.org/officeDocument/2006/relationships/hyperlink" Target="https://www.linkedin.com/learning/tomada-de-decisoes-executivas?trk=ondemandfile" TargetMode="External"/><Relationship Id="rId77" Type="http://schemas.openxmlformats.org/officeDocument/2006/relationships/hyperlink" Target="https://www.linkedin.com/learning/mit-fragen-kritisches-denken-und-neugierde-fordern?trk=ondemandfile" TargetMode="External"/><Relationship Id="rId100" Type="http://schemas.openxmlformats.org/officeDocument/2006/relationships/hyperlink" Target="https://www.linkedin.com/learning/developing-a-learning-mindset?trk=ondemandfile" TargetMode="External"/><Relationship Id="rId105" Type="http://schemas.openxmlformats.org/officeDocument/2006/relationships/hyperlink" Target="https://www.linkedin.com/learning/mejora-tu-competencia-en-conflictos?trk=ondemandfile" TargetMode="External"/><Relationship Id="rId126" Type="http://schemas.openxmlformats.org/officeDocument/2006/relationships/hyperlink" Target="https://www.linkedin.com/learning/toma-de-decisiones-en-situaciones-de-gran-estres?trk=ondemandfile" TargetMode="External"/><Relationship Id="rId147" Type="http://schemas.openxmlformats.org/officeDocument/2006/relationships/hyperlink" Target="https://www.linkedin.com/learning/creativity-at-work-a-short-course-from-seth-godin?trk=ondemandfile" TargetMode="External"/><Relationship Id="rId8" Type="http://schemas.openxmlformats.org/officeDocument/2006/relationships/hyperlink" Target="https://www.linkedin.com/learning/paths/31070ed0-b901-3bf1-af9c-de2667146e4d?trk=ondemandfile" TargetMode="External"/><Relationship Id="rId51" Type="http://schemas.openxmlformats.org/officeDocument/2006/relationships/hyperlink" Target="https://www.linkedin.com/learning/overcoming-decision-making-traps?trk=ondemandfile" TargetMode="External"/><Relationship Id="rId72" Type="http://schemas.openxmlformats.org/officeDocument/2006/relationships/hyperlink" Target="https://www.linkedin.com/learning/mentale-starke-fur-mehr-erfolg-im-beruf?trk=ondemandfile" TargetMode="External"/><Relationship Id="rId93" Type="http://schemas.openxmlformats.org/officeDocument/2006/relationships/hyperlink" Target="https://www.linkedin.com/learning/como-desenvolver-a-resiliencia?trk=ondemandfile" TargetMode="External"/><Relationship Id="rId98" Type="http://schemas.openxmlformats.org/officeDocument/2006/relationships/hyperlink" Target="https://www.linkedin.com/learning/como-usar-o-pensamento-critico-para-refinar-o-julgamento-e-a-tomada-de-decisoes?trk=ondemandfile" TargetMode="External"/><Relationship Id="rId121" Type="http://schemas.openxmlformats.org/officeDocument/2006/relationships/hyperlink" Target="https://www.linkedin.com/learning/resoluci-n-de-problemas-empresariales?trk=ondemandfile" TargetMode="External"/><Relationship Id="rId142" Type="http://schemas.openxmlformats.org/officeDocument/2006/relationships/hyperlink" Target="https://www.linkedin.com/learning/powerless-to-powerful-taking-control?trk=ondemandfile" TargetMode="External"/><Relationship Id="rId3" Type="http://schemas.openxmlformats.org/officeDocument/2006/relationships/hyperlink" Target="https://www.linkedin.com/learning/00-learning-from-failure?trk=ondemandfile" TargetMode="External"/><Relationship Id="rId25" Type="http://schemas.openxmlformats.org/officeDocument/2006/relationships/hyperlink" Target="https://www.linkedin.com/learning/paths/mejora-tus-habilidades-para-resolver-problemas?trk=ondemandfile" TargetMode="External"/><Relationship Id="rId46" Type="http://schemas.openxmlformats.org/officeDocument/2006/relationships/hyperlink" Target="https://www.linkedin.com/learning/como-superar-los-sesgos-cognitivos?trk=ondemandfile" TargetMode="External"/><Relationship Id="rId67" Type="http://schemas.openxmlformats.org/officeDocument/2006/relationships/hyperlink" Target="https://www.linkedin.com/learning/kritisches-denken-fur-besseres-urteilsvermogen-und-bessere-entscheidungsfindung?trk=contentmappingfile" TargetMode="External"/><Relationship Id="rId116" Type="http://schemas.openxmlformats.org/officeDocument/2006/relationships/hyperlink" Target="https://www.linkedin.com/learning/solving-business-problems?trk=ondemandfile" TargetMode="External"/><Relationship Id="rId137" Type="http://schemas.openxmlformats.org/officeDocument/2006/relationships/hyperlink" Target="https://www.linkedin.com/learning/fred-kofman-on-making-commitments?trk=ondemandfile" TargetMode="External"/><Relationship Id="rId20" Type="http://schemas.openxmlformats.org/officeDocument/2006/relationships/hyperlink" Target="https://www.linkedin.com/learning/decision-making-strategies-2?trk=ondemandfile" TargetMode="External"/><Relationship Id="rId41" Type="http://schemas.openxmlformats.org/officeDocument/2006/relationships/hyperlink" Target="https://www.linkedin.com/learning/8806380a-9091-31ee-accd-2c173a41388d?trk=ondemandfile" TargetMode="External"/><Relationship Id="rId62" Type="http://schemas.openxmlformats.org/officeDocument/2006/relationships/hyperlink" Target="https://www.linkedin.com/learning/pensamento-estrategico?trk=ondemandfile" TargetMode="External"/><Relationship Id="rId83" Type="http://schemas.openxmlformats.org/officeDocument/2006/relationships/hyperlink" Target="https://www.linkedin.com/learning/como-desenvolver-a-autoconfianca?trk=ondemandfile" TargetMode="External"/><Relationship Id="rId88" Type="http://schemas.openxmlformats.org/officeDocument/2006/relationships/hyperlink" Target="https://www.linkedin.com/learning/como-desenvolver-a-autolideranca?trk=ondemandfile" TargetMode="External"/><Relationship Id="rId111" Type="http://schemas.openxmlformats.org/officeDocument/2006/relationships/hyperlink" Target="https://www.linkedin.com/learning/solution-selling?trk=ondemandfile" TargetMode="External"/><Relationship Id="rId132" Type="http://schemas.openxmlformats.org/officeDocument/2006/relationships/hyperlink" Target="https://www.linkedin.com/learning/building-resilience?trk=ondemandfile" TargetMode="External"/><Relationship Id="rId153" Type="http://schemas.openxmlformats.org/officeDocument/2006/relationships/hyperlink" Target="https://www.linkedin.com/learning/decision-making-in-high-stress-situations?trk=ondemandfile" TargetMode="External"/><Relationship Id="rId15" Type="http://schemas.openxmlformats.org/officeDocument/2006/relationships/hyperlink" Target="https://www.linkedin.com/learning/c-mo-aumentar-la-resiliencia?trk=ondemandfile" TargetMode="External"/><Relationship Id="rId36" Type="http://schemas.openxmlformats.org/officeDocument/2006/relationships/hyperlink" Target="https://www.linkedin.com/learning/pensamento-critico?trk=ondemandfile" TargetMode="External"/><Relationship Id="rId57" Type="http://schemas.openxmlformats.org/officeDocument/2006/relationships/hyperlink" Target="https://www.linkedin.com/learning/learning-agility-2?trk=ondemandfile" TargetMode="External"/><Relationship Id="rId106" Type="http://schemas.openxmlformats.org/officeDocument/2006/relationships/hyperlink" Target="https://www.linkedin.com/learning/unconscious-bias-unbewusste-denkmuster-erkennen-und-andern?trk=ondemandfile" TargetMode="External"/><Relationship Id="rId127" Type="http://schemas.openxmlformats.org/officeDocument/2006/relationships/hyperlink" Target="https://www.linkedin.com/learning/improving-your-thinking?trk=ondemandfile" TargetMode="External"/><Relationship Id="rId10" Type="http://schemas.openxmlformats.org/officeDocument/2006/relationships/hyperlink" Target="https://www.linkedin.com/learning/paths/como-superar-os-desafios-e-se-reinventar-em-tempos-dificeis?trk=ondemandfile" TargetMode="External"/><Relationship Id="rId31" Type="http://schemas.openxmlformats.org/officeDocument/2006/relationships/hyperlink" Target="https://www.linkedin.com/learning/executive-decision-making?trk=ondemandfile" TargetMode="External"/><Relationship Id="rId52" Type="http://schemas.openxmlformats.org/officeDocument/2006/relationships/hyperlink" Target="https://www.linkedin.com/learning/de-l-impuissance-au-pouvoir-la-prise-de-controle?trk=contentmappingfile" TargetMode="External"/><Relationship Id="rId73" Type="http://schemas.openxmlformats.org/officeDocument/2006/relationships/hyperlink" Target="https://www.linkedin.com/learning/como-obter-aprovacao-para-suas-ideias?trk=ondemandfile" TargetMode="External"/><Relationship Id="rId78" Type="http://schemas.openxmlformats.org/officeDocument/2006/relationships/hyperlink" Target="https://www.linkedin.com/learning/da-vitimizacao-a-acao-como-assumir-o-controle?trk=ondemandfile" TargetMode="External"/><Relationship Id="rId94" Type="http://schemas.openxmlformats.org/officeDocument/2006/relationships/hyperlink" Target="https://www.linkedin.com/learning/improving-your-judgment-2?trk=ondemandfile" TargetMode="External"/><Relationship Id="rId99" Type="http://schemas.openxmlformats.org/officeDocument/2006/relationships/hyperlink" Target="https://www.linkedin.com/learning/unconscious-bias-4?trk=ondemandfile" TargetMode="External"/><Relationship Id="rId101" Type="http://schemas.openxmlformats.org/officeDocument/2006/relationships/hyperlink" Target="https://www.linkedin.com/learning/00-intrapreneurship-y-mentalidad-de-crecimiento?trk=ondemandfile" TargetMode="External"/><Relationship Id="rId122" Type="http://schemas.openxmlformats.org/officeDocument/2006/relationships/hyperlink" Target="https://www.linkedin.com/learning/executive-decision-making-3?trk=ondemandfile" TargetMode="External"/><Relationship Id="rId143" Type="http://schemas.openxmlformats.org/officeDocument/2006/relationships/hyperlink" Target="https://www.linkedin.com/learning/making-decisions-2019?trk=ondemandfile" TargetMode="External"/><Relationship Id="rId148" Type="http://schemas.openxmlformats.org/officeDocument/2006/relationships/hyperlink" Target="https://www.linkedin.com/learning/how-to-think-like-a-lawyer-to-make-decisions-and-solve-problems?trk=ondemandfile" TargetMode="External"/><Relationship Id="rId4" Type="http://schemas.openxmlformats.org/officeDocument/2006/relationships/hyperlink" Target="https://www.linkedin.com/learning/paths/domina-las-habilidades-de-vida-personales?trk=ondemandfile" TargetMode="External"/><Relationship Id="rId9" Type="http://schemas.openxmlformats.org/officeDocument/2006/relationships/hyperlink" Target="https://www.linkedin.com/learning/como-melhorar-seu-discernimento?trk=ondemandfile" TargetMode="External"/><Relationship Id="rId26" Type="http://schemas.openxmlformats.org/officeDocument/2006/relationships/hyperlink" Target="https://www.linkedin.com/learning/businessprobleme-l-sen?trk=ondemandfile" TargetMode="External"/><Relationship Id="rId47" Type="http://schemas.openxmlformats.org/officeDocument/2006/relationships/hyperlink" Target="https://www.linkedin.com/learning/grundlagen-der-user-experience-fur-entscheider?trk=ondemandfile" TargetMode="External"/><Relationship Id="rId68" Type="http://schemas.openxmlformats.org/officeDocument/2006/relationships/hyperlink" Target="https://www.linkedin.com/learning/como-influenciar-as-pessoas?trk=ondemandfile" TargetMode="External"/><Relationship Id="rId89" Type="http://schemas.openxmlformats.org/officeDocument/2006/relationships/hyperlink" Target="https://www.linkedin.com/learning/improving-your-focus-3?trk=ondemandfile" TargetMode="External"/><Relationship Id="rId112" Type="http://schemas.openxmlformats.org/officeDocument/2006/relationships/hyperlink" Target="https://www.linkedin.com/learning/process-improvement-foundations?trk=ondemandfile" TargetMode="External"/><Relationship Id="rId133" Type="http://schemas.openxmlformats.org/officeDocument/2006/relationships/hyperlink" Target="https://www.linkedin.com/learning/critical-thinking?trk=ondemandfile" TargetMode="External"/><Relationship Id="rId154" Type="http://schemas.openxmlformats.org/officeDocument/2006/relationships/hyperlink" Target="https://www.linkedin.com/learning/how-to-fix-bad-agile?trk=ondemandfile" TargetMode="External"/><Relationship Id="rId16" Type="http://schemas.openxmlformats.org/officeDocument/2006/relationships/hyperlink" Target="https://www.linkedin.com/learning/paths/domina-las-habilidades-de-vida-a-nivel-de-liderazgo?trk=ondemandfile" TargetMode="External"/><Relationship Id="rId37" Type="http://schemas.openxmlformats.org/officeDocument/2006/relationships/hyperlink" Target="https://www.linkedin.com/learning/cultivating-a-growth-mindset-3?trk=ondemandfile" TargetMode="External"/><Relationship Id="rId58" Type="http://schemas.openxmlformats.org/officeDocument/2006/relationships/hyperlink" Target="https://www.linkedin.com/learning/developing-a-critical-thinking-mindset?trk=ondemandfile" TargetMode="External"/><Relationship Id="rId79" Type="http://schemas.openxmlformats.org/officeDocument/2006/relationships/hyperlink" Target="https://www.linkedin.com/learning/critical-thinking-3?trk=ondemandfile" TargetMode="External"/><Relationship Id="rId102" Type="http://schemas.openxmlformats.org/officeDocument/2006/relationships/hyperlink" Target="https://www.linkedin.com/learning/00-projprobl?trk=ondemandfile" TargetMode="External"/><Relationship Id="rId123" Type="http://schemas.openxmlformats.org/officeDocument/2006/relationships/hyperlink" Target="https://www.linkedin.com/learning/improving-your-judgment-for-better-decision-making?trk=ondemandfile" TargetMode="External"/><Relationship Id="rId144" Type="http://schemas.openxmlformats.org/officeDocument/2006/relationships/hyperlink" Target="https://www.linkedin.com/learning/good-economics-for-hard-times-blinkist-summary?trk=ondemandfile" TargetMode="External"/><Relationship Id="rId90" Type="http://schemas.openxmlformats.org/officeDocument/2006/relationships/hyperlink" Target="https://www.linkedin.com/learning/critical-thinking-for-better-judgment-and-decision-making?trk=ondemandfile" TargetMode="External"/></Relationships>
</file>

<file path=xl/worksheets/_rels/sheet19.xml.rels><?xml version="1.0" encoding="UTF-8" standalone="yes"?>
<Relationships xmlns="http://schemas.openxmlformats.org/package/2006/relationships"><Relationship Id="rId117" Type="http://schemas.openxmlformats.org/officeDocument/2006/relationships/hyperlink" Target="https://www.linkedin.com/learning/empathy-in-ux-design?trk=ondemandfile" TargetMode="External"/><Relationship Id="rId21" Type="http://schemas.openxmlformats.org/officeDocument/2006/relationships/hyperlink" Target="https://www.linkedin.com/learning/como-dirigir-el-servicio-de-atencion-al-cliente?trk=ondemandfile" TargetMode="External"/><Relationship Id="rId42" Type="http://schemas.openxmlformats.org/officeDocument/2006/relationships/hyperlink" Target="https://www.linkedin.com/learning/customer-service-and-support-during-economic-downturns?trk=ondemandfile" TargetMode="External"/><Relationship Id="rId63" Type="http://schemas.openxmlformats.org/officeDocument/2006/relationships/hyperlink" Target="https://www.linkedin.com/learning/managing-a-customer-service-team-4?trk=ondemandfile" TargetMode="External"/><Relationship Id="rId84" Type="http://schemas.openxmlformats.org/officeDocument/2006/relationships/hyperlink" Target="https://www.linkedin.com/learning/traiter-avec-des-clients-mecontents-clientes-mecontentes?trk=contentmappingfile" TargetMode="External"/><Relationship Id="rId138" Type="http://schemas.openxmlformats.org/officeDocument/2006/relationships/hyperlink" Target="https://www.linkedin.com/learning/customer-service-using-ai-and-machine-learning?trk=ondemandfile" TargetMode="External"/><Relationship Id="rId107" Type="http://schemas.openxmlformats.org/officeDocument/2006/relationships/hyperlink" Target="https://www.linkedin.com/learning/engagement-preparation-best-practices-for-customer-success-management?trk=ondemandfile" TargetMode="External"/><Relationship Id="rId11" Type="http://schemas.openxmlformats.org/officeDocument/2006/relationships/hyperlink" Target="https://www.linkedin.com/learning/customer-experience-leadership?trk=ondemandfile" TargetMode="External"/><Relationship Id="rId32" Type="http://schemas.openxmlformats.org/officeDocument/2006/relationships/hyperlink" Target="https://www.linkedin.com/learning/customer-service-preventing-turnover?trk=ondemandfile" TargetMode="External"/><Relationship Id="rId37" Type="http://schemas.openxmlformats.org/officeDocument/2006/relationships/hyperlink" Target="https://www.linkedin.com/learning/creating-a-positive-customer-experience-2020?trk=ondemandfile" TargetMode="External"/><Relationship Id="rId53" Type="http://schemas.openxmlformats.org/officeDocument/2006/relationships/hyperlink" Target="https://www.linkedin.com/learning/como-liderar-una-cultura-centrada-en-el-cliente?trk=ondemandfile" TargetMode="External"/><Relationship Id="rId58" Type="http://schemas.openxmlformats.org/officeDocument/2006/relationships/hyperlink" Target="https://www.linkedin.com/learning/fuhrung-im-kundenservice?trk=ondemandfile" TargetMode="External"/><Relationship Id="rId74" Type="http://schemas.openxmlformats.org/officeDocument/2006/relationships/hyperlink" Target="https://www.linkedin.com/learning/talking-to-customers?trk=ondemandfile" TargetMode="External"/><Relationship Id="rId79" Type="http://schemas.openxmlformats.org/officeDocument/2006/relationships/hyperlink" Target="https://www.linkedin.com/learning/customer-service-foundations-2?trk=ondemandfile" TargetMode="External"/><Relationship Id="rId102" Type="http://schemas.openxmlformats.org/officeDocument/2006/relationships/hyperlink" Target="https://www.linkedin.com/learning/la-venta-persuasiva?trk=ondemandfile" TargetMode="External"/><Relationship Id="rId123" Type="http://schemas.openxmlformats.org/officeDocument/2006/relationships/hyperlink" Target="https://www.linkedin.com/learning/building-rapport-with-customers?trk=ondemandfile" TargetMode="External"/><Relationship Id="rId128" Type="http://schemas.openxmlformats.org/officeDocument/2006/relationships/hyperlink" Target="https://www.linkedin.com/learning/building-customer-loyalty-2?trk=ondemandfile" TargetMode="External"/><Relationship Id="rId144" Type="http://schemas.openxmlformats.org/officeDocument/2006/relationships/hyperlink" Target="https://www.linkedin.com/learning/customer-service-knowledge-management?trk=ondemandfile" TargetMode="External"/><Relationship Id="rId5" Type="http://schemas.openxmlformats.org/officeDocument/2006/relationships/hyperlink" Target="https://www.linkedin.com/learning/paths/conviertete-en-vendedor?trk=ondemandfile" TargetMode="External"/><Relationship Id="rId90" Type="http://schemas.openxmlformats.org/officeDocument/2006/relationships/hyperlink" Target="https://www.linkedin.com/learning/neue-kunden-finden?trk=ondemandfile" TargetMode="External"/><Relationship Id="rId95" Type="http://schemas.openxmlformats.org/officeDocument/2006/relationships/hyperlink" Target="https://www.linkedin.com/learning/gestion-de-las-expectativas-de-los-clientes-para-gerentes?trk=ondemandfile" TargetMode="External"/><Relationship Id="rId22" Type="http://schemas.openxmlformats.org/officeDocument/2006/relationships/hyperlink" Target="https://www.linkedin.com/learning/besser-zuhoren?trk=ondemandfile" TargetMode="External"/><Relationship Id="rId27" Type="http://schemas.openxmlformats.org/officeDocument/2006/relationships/hyperlink" Target="https://www.linkedin.com/learning/paths/develop-your-customer-service-skills?trk=ondemandfile" TargetMode="External"/><Relationship Id="rId43" Type="http://schemas.openxmlformats.org/officeDocument/2006/relationships/hyperlink" Target="https://www.linkedin.com/learning/como-gestionar-un-equipo-de-atencion-al-cliente?trk=ondemandfile" TargetMode="External"/><Relationship Id="rId48" Type="http://schemas.openxmlformats.org/officeDocument/2006/relationships/hyperlink" Target="https://www.linkedin.com/learning/como-identificar-oportunidades-de-crecimiento-en-las-ventas?trk=ondemandfile" TargetMode="External"/><Relationship Id="rId64" Type="http://schemas.openxmlformats.org/officeDocument/2006/relationships/hyperlink" Target="https://www.linkedin.com/learning/customer-service-creating-customer-value-2020?trk=ondemandfile" TargetMode="External"/><Relationship Id="rId69" Type="http://schemas.openxmlformats.org/officeDocument/2006/relationships/hyperlink" Target="https://www.linkedin.com/learning/using-assessments-to-hire-customer-service-reps?trk=ondemandfile" TargetMode="External"/><Relationship Id="rId113" Type="http://schemas.openxmlformats.org/officeDocument/2006/relationships/hyperlink" Target="https://www.linkedin.com/learning/aftersale-maintaining-relationships?trk=ondemandfile" TargetMode="External"/><Relationship Id="rId118" Type="http://schemas.openxmlformats.org/officeDocument/2006/relationships/hyperlink" Target="https://www.linkedin.com/learning/whatsapp-business-esencial?trk=ondemandfile" TargetMode="External"/><Relationship Id="rId134" Type="http://schemas.openxmlformats.org/officeDocument/2006/relationships/hyperlink" Target="https://www.linkedin.com/learning/leading-a-customer-centric-culture-2?trk=ondemandfile" TargetMode="External"/><Relationship Id="rId139" Type="http://schemas.openxmlformats.org/officeDocument/2006/relationships/hyperlink" Target="https://www.linkedin.com/learning/customer-service-serving-customers-through-chat-and-text?trk=ondemandfile" TargetMode="External"/><Relationship Id="rId80" Type="http://schemas.openxmlformats.org/officeDocument/2006/relationships/hyperlink" Target="https://www.linkedin.com/learning/fundamentos-de-marketing-b2b?trk=ondemandfile" TargetMode="External"/><Relationship Id="rId85" Type="http://schemas.openxmlformats.org/officeDocument/2006/relationships/hyperlink" Target="https://www.linkedin.com/learning/fundamentos-de-servicio-de-atencion-al-cliente?trk=ondemandfile" TargetMode="External"/><Relationship Id="rId12" Type="http://schemas.openxmlformats.org/officeDocument/2006/relationships/hyperlink" Target="https://www.linkedin.com/learning/paths/become-a-customer-service-specialist?trk=ondemandfile" TargetMode="External"/><Relationship Id="rId17" Type="http://schemas.openxmlformats.org/officeDocument/2006/relationships/hyperlink" Target="https://www.linkedin.com/learning/innovative-customer-service-techniques-4?trk=contentmappingfile" TargetMode="External"/><Relationship Id="rId33" Type="http://schemas.openxmlformats.org/officeDocument/2006/relationships/hyperlink" Target="https://www.linkedin.com/learning/como-gestionar-el-enfado-en-la-clientela?trk=contentmappingfile" TargetMode="External"/><Relationship Id="rId38" Type="http://schemas.openxmlformats.org/officeDocument/2006/relationships/hyperlink" Target="https://www.linkedin.com/learning/como-gestionar-las-expectativas-del-cliente-en-puestos-de-cara-al-publico?trk=ondemandfile" TargetMode="External"/><Relationship Id="rId59" Type="http://schemas.openxmlformats.org/officeDocument/2006/relationships/hyperlink" Target="https://www.linkedin.com/learning/phone-based-customer-service-3?trk=ondemandfile" TargetMode="External"/><Relationship Id="rId103" Type="http://schemas.openxmlformats.org/officeDocument/2006/relationships/hyperlink" Target="https://www.linkedin.com/learning/avoiding-common-pitfalls-in-customer-success-management?trk=ondemandfile" TargetMode="External"/><Relationship Id="rId108" Type="http://schemas.openxmlformats.org/officeDocument/2006/relationships/hyperlink" Target="https://www.linkedin.com/learning/salesforce-para-administradores-esencial?trk=ondemandfile" TargetMode="External"/><Relationship Id="rId124" Type="http://schemas.openxmlformats.org/officeDocument/2006/relationships/hyperlink" Target="https://www.linkedin.com/learning/customer-service-managing-customer-expectations?trk=ondemandfile" TargetMode="External"/><Relationship Id="rId129" Type="http://schemas.openxmlformats.org/officeDocument/2006/relationships/hyperlink" Target="https://www.linkedin.com/learning/creating-positive-conversations-with-challenging-customers?trk=ondemandfile" TargetMode="External"/><Relationship Id="rId54" Type="http://schemas.openxmlformats.org/officeDocument/2006/relationships/hyperlink" Target="https://www.linkedin.com/learning/erfolgreiche-kommunikation?trk=ondemandfile" TargetMode="External"/><Relationship Id="rId70" Type="http://schemas.openxmlformats.org/officeDocument/2006/relationships/hyperlink" Target="https://www.linkedin.com/learning/00-tecnicas-de-atencion-al-cliente-y-soporte-para-it?trk=ondemandfile" TargetMode="External"/><Relationship Id="rId75" Type="http://schemas.openxmlformats.org/officeDocument/2006/relationships/hyperlink" Target="https://www.linkedin.com/learning/les-standards-qualite-du-service-client?trk=contentmappingfile" TargetMode="External"/><Relationship Id="rId91" Type="http://schemas.openxmlformats.org/officeDocument/2006/relationships/hyperlink" Target="https://www.linkedin.com/learning/empathy-for-customer-service-professionals?trk=ondemandfile" TargetMode="External"/><Relationship Id="rId96" Type="http://schemas.openxmlformats.org/officeDocument/2006/relationships/hyperlink" Target="https://www.linkedin.com/learning/qualitatsstandard-im-kundenservice?trk=ondemandfile" TargetMode="External"/><Relationship Id="rId140" Type="http://schemas.openxmlformats.org/officeDocument/2006/relationships/hyperlink" Target="https://www.linkedin.com/learning/serving-customers-using-social-media-2?trk=ondemandfile" TargetMode="External"/><Relationship Id="rId1" Type="http://schemas.openxmlformats.org/officeDocument/2006/relationships/hyperlink" Target="https://www.linkedin.com/learning/service-innovation?trk=ondemandfile" TargetMode="External"/><Relationship Id="rId6" Type="http://schemas.openxmlformats.org/officeDocument/2006/relationships/hyperlink" Target="https://www.linkedin.com/learning/als-kundenservice-manager-in-die-erwartung-der-kundschaft-steuern?trk=ondemandfile" TargetMode="External"/><Relationship Id="rId23" Type="http://schemas.openxmlformats.org/officeDocument/2006/relationships/hyperlink" Target="https://www.linkedin.com/learning/customer-service-foundations?trk=ondemandfile" TargetMode="External"/><Relationship Id="rId28" Type="http://schemas.openxmlformats.org/officeDocument/2006/relationships/hyperlink" Target="https://www.linkedin.com/learning/como-escribir-correos-electronicos-de-servicio-al-cliente?trk=ondemandfile" TargetMode="External"/><Relationship Id="rId49" Type="http://schemas.openxmlformats.org/officeDocument/2006/relationships/hyperlink" Target="https://www.linkedin.com/learning/effective-listening-2?trk=ondemandfile" TargetMode="External"/><Relationship Id="rId114" Type="http://schemas.openxmlformats.org/officeDocument/2006/relationships/hyperlink" Target="https://www.linkedin.com/learning/servicio-de-atencion-al-cliente-creacion-de-valor-para-el-consumidor?trk=ondemandfile" TargetMode="External"/><Relationship Id="rId119" Type="http://schemas.openxmlformats.org/officeDocument/2006/relationships/hyperlink" Target="https://www.linkedin.com/learning/customer-service-handling-abusive-customers?trk=ondemandfile" TargetMode="External"/><Relationship Id="rId44" Type="http://schemas.openxmlformats.org/officeDocument/2006/relationships/hyperlink" Target="https://www.linkedin.com/learning/e-mails-schreiben?trk=ondemandfile" TargetMode="External"/><Relationship Id="rId60" Type="http://schemas.openxmlformats.org/officeDocument/2006/relationships/hyperlink" Target="https://www.linkedin.com/learning/journey-mapping-case-studies-in-action?trk=ondemandfile" TargetMode="External"/><Relationship Id="rId65" Type="http://schemas.openxmlformats.org/officeDocument/2006/relationships/hyperlink" Target="https://www.linkedin.com/learning/cuarta-revolucion-industrial-estrategias-comerciales?trk=ondemandfile" TargetMode="External"/><Relationship Id="rId81" Type="http://schemas.openxmlformats.org/officeDocument/2006/relationships/hyperlink" Target="https://www.linkedin.com/learning/ein-blick-in-die-zukunft-design-und-automatisierung-ki?trk=ondemandfile" TargetMode="External"/><Relationship Id="rId86" Type="http://schemas.openxmlformats.org/officeDocument/2006/relationships/hyperlink" Target="https://www.linkedin.com/learning/mit-schwierigen-kunden-umgehen?trk=ondemandfile" TargetMode="External"/><Relationship Id="rId130" Type="http://schemas.openxmlformats.org/officeDocument/2006/relationships/hyperlink" Target="https://www.linkedin.com/learning/customer-experience-journey-mapping?trk=ondemandfile" TargetMode="External"/><Relationship Id="rId135" Type="http://schemas.openxmlformats.org/officeDocument/2006/relationships/hyperlink" Target="https://www.linkedin.com/learning/managing-a-customer-service-team?trk=ondemandfile" TargetMode="External"/><Relationship Id="rId13" Type="http://schemas.openxmlformats.org/officeDocument/2006/relationships/hyperlink" Target="https://www.linkedin.com/learning/creer-des-conversations-constructives-avec-des-clients-exigeants-clientes-exigeantes?trk=contentmappingfile" TargetMode="External"/><Relationship Id="rId18" Type="http://schemas.openxmlformats.org/officeDocument/2006/relationships/hyperlink" Target="https://www.linkedin.com/learning/communicating-with-empathy-2?trk=ondemandfile" TargetMode="External"/><Relationship Id="rId39" Type="http://schemas.openxmlformats.org/officeDocument/2006/relationships/hyperlink" Target="https://www.linkedin.com/learning/ein-team-im-kundenservice-leiten?trk=ondemandfile" TargetMode="External"/><Relationship Id="rId109" Type="http://schemas.openxmlformats.org/officeDocument/2006/relationships/hyperlink" Target="https://www.linkedin.com/learning/customer-development-for-product-managers?trk=ondemandfile" TargetMode="External"/><Relationship Id="rId34" Type="http://schemas.openxmlformats.org/officeDocument/2006/relationships/hyperlink" Target="https://www.linkedin.com/learning/die-10-stufen-des-zuhorens-die-eigene-zuhorkompetenz-ausbauen?trk=ondemandfile" TargetMode="External"/><Relationship Id="rId50" Type="http://schemas.openxmlformats.org/officeDocument/2006/relationships/hyperlink" Target="https://www.linkedin.com/learning/building-customer-loyalty?trk=ondemandfile" TargetMode="External"/><Relationship Id="rId55" Type="http://schemas.openxmlformats.org/officeDocument/2006/relationships/hyperlink" Target="https://www.linkedin.com/learning/86d80f76-f728-332c-a87d-dc1fddaa0c91?trk=ondemandfile" TargetMode="External"/><Relationship Id="rId76" Type="http://schemas.openxmlformats.org/officeDocument/2006/relationships/hyperlink" Target="https://www.linkedin.com/learning/fundamentos-de-la-gestion-de-ventas?trk=ondemandfile" TargetMode="External"/><Relationship Id="rId97" Type="http://schemas.openxmlformats.org/officeDocument/2006/relationships/hyperlink" Target="https://www.linkedin.com/learning/customer-success-management-fundamentals?trk=ondemandfile" TargetMode="External"/><Relationship Id="rId104" Type="http://schemas.openxmlformats.org/officeDocument/2006/relationships/hyperlink" Target="https://www.linkedin.com/learning/normas-de-calidad-en-el-servicio-de-atencion-al-cliente?trk=ondemandfile" TargetMode="External"/><Relationship Id="rId120" Type="http://schemas.openxmlformats.org/officeDocument/2006/relationships/hyperlink" Target="https://www.linkedin.com/learning/customer-service-managing-customer-feedback?trk=ondemandfile" TargetMode="External"/><Relationship Id="rId125" Type="http://schemas.openxmlformats.org/officeDocument/2006/relationships/hyperlink" Target="https://www.linkedin.com/learning/providing-legendary-customer-service?trk=ondemandfile" TargetMode="External"/><Relationship Id="rId141" Type="http://schemas.openxmlformats.org/officeDocument/2006/relationships/hyperlink" Target="https://www.linkedin.com/learning/leading-a-customer-service-team?trk=ondemandfile" TargetMode="External"/><Relationship Id="rId7" Type="http://schemas.openxmlformats.org/officeDocument/2006/relationships/hyperlink" Target="https://www.linkedin.com/learning/business-etiquette-foundations-dealing-with-customers?trk=ondemandfile" TargetMode="External"/><Relationship Id="rId71" Type="http://schemas.openxmlformats.org/officeDocument/2006/relationships/hyperlink" Target="https://www.linkedin.com/learning/kundenkommunikation-mit-whatsapp-business?trk=ondemandfile" TargetMode="External"/><Relationship Id="rId92" Type="http://schemas.openxmlformats.org/officeDocument/2006/relationships/hyperlink" Target="https://www.linkedin.com/learning/gestion-de-clientes-potenciales?trk=ondemandfile" TargetMode="External"/><Relationship Id="rId2" Type="http://schemas.openxmlformats.org/officeDocument/2006/relationships/hyperlink" Target="https://www.linkedin.com/learning/paths/become-a-customer-service-manager?trk=ondemandfile" TargetMode="External"/><Relationship Id="rId29" Type="http://schemas.openxmlformats.org/officeDocument/2006/relationships/hyperlink" Target="https://www.linkedin.com/learning/customer-centricity-unternehmerisches-handeln-am-kunden-ausrichten?trk=ondemandfile" TargetMode="External"/><Relationship Id="rId24" Type="http://schemas.openxmlformats.org/officeDocument/2006/relationships/hyperlink" Target="https://www.linkedin.com/learning/como-comunicar-mas-noticias-aos-clientes?trk=contentmappingfile" TargetMode="External"/><Relationship Id="rId40" Type="http://schemas.openxmlformats.org/officeDocument/2006/relationships/hyperlink" Target="https://www.linkedin.com/learning/building-customer-loyalty-8954274?trk=ondemandfile" TargetMode="External"/><Relationship Id="rId45" Type="http://schemas.openxmlformats.org/officeDocument/2006/relationships/hyperlink" Target="https://www.linkedin.com/learning/customer-service-problem-solving-and-troubleshooting-2?trk=ondemandfile" TargetMode="External"/><Relationship Id="rId66" Type="http://schemas.openxmlformats.org/officeDocument/2006/relationships/hyperlink" Target="https://www.linkedin.com/learning/kunden-begeistern-mit-system-blinkist-kernaussagen?trk=ondemandfile" TargetMode="External"/><Relationship Id="rId87" Type="http://schemas.openxmlformats.org/officeDocument/2006/relationships/hyperlink" Target="https://www.linkedin.com/learning/solution-selling?trk=ondemandfile" TargetMode="External"/><Relationship Id="rId110" Type="http://schemas.openxmlformats.org/officeDocument/2006/relationships/hyperlink" Target="https://www.linkedin.com/learning/salesforce-para-gerentes-de-ventas?trk=ondemandfile" TargetMode="External"/><Relationship Id="rId115" Type="http://schemas.openxmlformats.org/officeDocument/2006/relationships/hyperlink" Target="https://www.linkedin.com/learning/data-ethics-managing-your-private-customer-data?trk=ondemandfile" TargetMode="External"/><Relationship Id="rId131" Type="http://schemas.openxmlformats.org/officeDocument/2006/relationships/hyperlink" Target="https://www.linkedin.com/learning/customer-experience-service-blueprinting?trk=ondemandfile" TargetMode="External"/><Relationship Id="rId136" Type="http://schemas.openxmlformats.org/officeDocument/2006/relationships/hyperlink" Target="https://www.linkedin.com/learning/working-with-upset-customers?trk=ondemandfile" TargetMode="External"/><Relationship Id="rId61" Type="http://schemas.openxmlformats.org/officeDocument/2006/relationships/hyperlink" Target="https://www.linkedin.com/learning/como-vender-con-storytelling-parte-1-los-elementos-de-una-gran-historia?trk=ondemandfile" TargetMode="External"/><Relationship Id="rId82" Type="http://schemas.openxmlformats.org/officeDocument/2006/relationships/hyperlink" Target="https://www.linkedin.com/learning/negotiation-foundations-2?trk=ondemandfile" TargetMode="External"/><Relationship Id="rId19" Type="http://schemas.openxmlformats.org/officeDocument/2006/relationships/hyperlink" Target="https://www.linkedin.com/learning/creating-a-culture-of-privacy?trk=ondemandfile" TargetMode="External"/><Relationship Id="rId14" Type="http://schemas.openxmlformats.org/officeDocument/2006/relationships/hyperlink" Target="https://www.linkedin.com/learning/como-construir-la-lealtad-del-cliente?trk=ondemandfile" TargetMode="External"/><Relationship Id="rId30" Type="http://schemas.openxmlformats.org/officeDocument/2006/relationships/hyperlink" Target="https://www.linkedin.com/learning/delivering-bad-news-to-a-customer-13930992?trk=ondemandfile" TargetMode="External"/><Relationship Id="rId35" Type="http://schemas.openxmlformats.org/officeDocument/2006/relationships/hyperlink" Target="https://www.linkedin.com/learning/managing-customer-expectations-for-frontline-employees?trk=ondemandfile" TargetMode="External"/><Relationship Id="rId56" Type="http://schemas.openxmlformats.org/officeDocument/2006/relationships/hyperlink" Target="https://www.linkedin.com/learning/winning-back-a-lost-customer-2?trk=ondemandfile" TargetMode="External"/><Relationship Id="rId77" Type="http://schemas.openxmlformats.org/officeDocument/2006/relationships/hyperlink" Target="https://www.linkedin.com/learning/kundenservice-grundlagen?trk=ondemandfile" TargetMode="External"/><Relationship Id="rId100" Type="http://schemas.openxmlformats.org/officeDocument/2006/relationships/hyperlink" Target="https://www.linkedin.com/learning/tendencias-de-comportamento-de-consumo-desvendando-o-consumidor-pos-moderno?trk=contentmappingfile" TargetMode="External"/><Relationship Id="rId105" Type="http://schemas.openxmlformats.org/officeDocument/2006/relationships/hyperlink" Target="https://www.linkedin.com/learning/onboarding-and-adoption-best-practices-for-customer-success-management?trk=ondemandfile" TargetMode="External"/><Relationship Id="rId126" Type="http://schemas.openxmlformats.org/officeDocument/2006/relationships/hyperlink" Target="https://www.linkedin.com/learning/data-driven-harnessing-data-and-ai-to-reinvent-customer-engagement-getabstract-summary?trk=ondemandfile" TargetMode="External"/><Relationship Id="rId8" Type="http://schemas.openxmlformats.org/officeDocument/2006/relationships/hyperlink" Target="https://www.linkedin.com/learning/paths/torne-se-um-especialista-em-atendimento-ao-cliente?trk=ondemandfile" TargetMode="External"/><Relationship Id="rId51" Type="http://schemas.openxmlformats.org/officeDocument/2006/relationships/hyperlink" Target="https://www.linkedin.com/learning/calculating-the-value-and-roi-of-customer-service?trk=ondemandfile" TargetMode="External"/><Relationship Id="rId72" Type="http://schemas.openxmlformats.org/officeDocument/2006/relationships/hyperlink" Target="https://www.linkedin.com/learning/gestao-de-expectativas-dos-clientes-para-pessoal-da-linha-de-frente?trk=contentmappingfile" TargetMode="External"/><Relationship Id="rId93" Type="http://schemas.openxmlformats.org/officeDocument/2006/relationships/hyperlink" Target="https://www.linkedin.com/learning/neukundengeschaft-im-lizenzverkauf-b2b?trk=contentmappingfile" TargetMode="External"/><Relationship Id="rId98" Type="http://schemas.openxmlformats.org/officeDocument/2006/relationships/hyperlink" Target="https://www.linkedin.com/learning/la-ciencia-de-las-ventas?trk=ondemandfile" TargetMode="External"/><Relationship Id="rId121" Type="http://schemas.openxmlformats.org/officeDocument/2006/relationships/hyperlink" Target="https://www.linkedin.com/learning/customer-service-problem-solving-and-trouble-shooting?trk=ondemandfile" TargetMode="External"/><Relationship Id="rId142" Type="http://schemas.openxmlformats.org/officeDocument/2006/relationships/hyperlink" Target="https://www.linkedin.com/learning/a-design-thinking-approach-to-putting-the-customer-first?trk=ondemandfile" TargetMode="External"/><Relationship Id="rId3" Type="http://schemas.openxmlformats.org/officeDocument/2006/relationships/hyperlink" Target="https://www.linkedin.com/learning/annoncer-une-mauvaise-nouvelle-a-un-client-une-cliente?trk=contentmappingfile" TargetMode="External"/><Relationship Id="rId25" Type="http://schemas.openxmlformats.org/officeDocument/2006/relationships/hyperlink" Target="https://www.linkedin.com/learning/delivering-bad-news-to-a-customer-2?trk=ondemandfile" TargetMode="External"/><Relationship Id="rId46" Type="http://schemas.openxmlformats.org/officeDocument/2006/relationships/hyperlink" Target="https://www.linkedin.com/learning/serving-customers-in-a-continuously-changing-world?trk=ondemandfile" TargetMode="External"/><Relationship Id="rId67" Type="http://schemas.openxmlformats.org/officeDocument/2006/relationships/hyperlink" Target="https://www.linkedin.com/learning/gestao-de-expectativas-dos-clientes-para-gerentes?trk=contentmappingfile" TargetMode="External"/><Relationship Id="rId116" Type="http://schemas.openxmlformats.org/officeDocument/2006/relationships/hyperlink" Target="https://www.linkedin.com/learning/tecnicas-innovadoras-de-atencion-al-cliente?trk=ondemandfile" TargetMode="External"/><Relationship Id="rId137" Type="http://schemas.openxmlformats.org/officeDocument/2006/relationships/hyperlink" Target="https://www.linkedin.com/learning/aligning-customer-experience-with-company-culture?trk=ondemandfile" TargetMode="External"/><Relationship Id="rId20" Type="http://schemas.openxmlformats.org/officeDocument/2006/relationships/hyperlink" Target="https://www.linkedin.com/learning/paths/become-a-customer-support-specialist?trk=ondemandfile" TargetMode="External"/><Relationship Id="rId41" Type="http://schemas.openxmlformats.org/officeDocument/2006/relationships/hyperlink" Target="https://www.linkedin.com/learning/customer-service-leadership-5?trk=ondemandfile" TargetMode="External"/><Relationship Id="rId62" Type="http://schemas.openxmlformats.org/officeDocument/2006/relationships/hyperlink" Target="https://www.linkedin.com/learning/innovative-techniken-im-kundenservice?trk=ondemandfile" TargetMode="External"/><Relationship Id="rId83" Type="http://schemas.openxmlformats.org/officeDocument/2006/relationships/hyperlink" Target="https://www.linkedin.com/learning/delivering-bad-news-to-a-customer?trk=ondemandfile" TargetMode="External"/><Relationship Id="rId88" Type="http://schemas.openxmlformats.org/officeDocument/2006/relationships/hyperlink" Target="https://www.linkedin.com/learning/ecommerce-fundamentals-2?trk=ondemandfile" TargetMode="External"/><Relationship Id="rId111" Type="http://schemas.openxmlformats.org/officeDocument/2006/relationships/hyperlink" Target="https://www.linkedin.com/learning/creatorup-making-business-videos-for-customers?trk=ondemandfile" TargetMode="External"/><Relationship Id="rId132" Type="http://schemas.openxmlformats.org/officeDocument/2006/relationships/hyperlink" Target="https://www.linkedin.com/learning/customer-service-motivating-your-team?trk=ondemandfile" TargetMode="External"/><Relationship Id="rId15" Type="http://schemas.openxmlformats.org/officeDocument/2006/relationships/hyperlink" Target="https://www.linkedin.com/learning/als-kundenservice-mitarbeiter-in-die-erwartung-der-kundschaft-steuern?trk=ondemandfile" TargetMode="External"/><Relationship Id="rId36" Type="http://schemas.openxmlformats.org/officeDocument/2006/relationships/hyperlink" Target="https://www.linkedin.com/learning/customer-service-foundations-4?trk=ondemandfile" TargetMode="External"/><Relationship Id="rId57" Type="http://schemas.openxmlformats.org/officeDocument/2006/relationships/hyperlink" Target="https://www.linkedin.com/learning/00-asking-great-sales-questions?trk=ondemandfile" TargetMode="External"/><Relationship Id="rId106" Type="http://schemas.openxmlformats.org/officeDocument/2006/relationships/hyperlink" Target="https://www.linkedin.com/learning/salesforce-esencial?trk=ondemandfile" TargetMode="External"/><Relationship Id="rId127" Type="http://schemas.openxmlformats.org/officeDocument/2006/relationships/hyperlink" Target="https://www.linkedin.com/learning/just-ask-dean-karrel?trk=ondemandfile" TargetMode="External"/><Relationship Id="rId10" Type="http://schemas.openxmlformats.org/officeDocument/2006/relationships/hyperlink" Target="https://www.linkedin.com/learning/paths/943761a6-c1c7-382f-b8de-58a257f2baa5?trk=ondemandfile" TargetMode="External"/><Relationship Id="rId31" Type="http://schemas.openxmlformats.org/officeDocument/2006/relationships/hyperlink" Target="https://www.linkedin.com/learning/working-with-upset-customers-2?trk=ondemandfile" TargetMode="External"/><Relationship Id="rId52" Type="http://schemas.openxmlformats.org/officeDocument/2006/relationships/hyperlink" Target="https://www.linkedin.com/learning/gerer-les-besoins-de-la-clientele-en-tant-qu-employes-employees-de-premiere-ligne?trk=contentmappingfile" TargetMode="External"/><Relationship Id="rId73" Type="http://schemas.openxmlformats.org/officeDocument/2006/relationships/hyperlink" Target="https://www.linkedin.com/learning/managing-customer-expectations-for-managers-3?trk=ondemandfile" TargetMode="External"/><Relationship Id="rId78" Type="http://schemas.openxmlformats.org/officeDocument/2006/relationships/hyperlink" Target="https://www.linkedin.com/learning/solution-selling?trk=ondemandfile" TargetMode="External"/><Relationship Id="rId94" Type="http://schemas.openxmlformats.org/officeDocument/2006/relationships/hyperlink" Target="https://www.linkedin.com/learning/marketing-foundations-consumer-behavior?trk=ondemandfile" TargetMode="External"/><Relationship Id="rId99" Type="http://schemas.openxmlformats.org/officeDocument/2006/relationships/hyperlink" Target="https://www.linkedin.com/learning/telefonischer-kundenservice?trk=ondemandfile" TargetMode="External"/><Relationship Id="rId101" Type="http://schemas.openxmlformats.org/officeDocument/2006/relationships/hyperlink" Target="https://www.linkedin.com/learning/value-realization-best-practices-for-customer-success-management?trk=ondemandfile" TargetMode="External"/><Relationship Id="rId122" Type="http://schemas.openxmlformats.org/officeDocument/2006/relationships/hyperlink" Target="https://www.linkedin.com/learning/developing-a-service-mindset?trk=ondemandfile" TargetMode="External"/><Relationship Id="rId143" Type="http://schemas.openxmlformats.org/officeDocument/2006/relationships/hyperlink" Target="https://www.linkedin.com/learning/business-development-foundations-researching-market-and-customer-needs?trk=ondemandfile" TargetMode="External"/><Relationship Id="rId4" Type="http://schemas.openxmlformats.org/officeDocument/2006/relationships/hyperlink" Target="https://www.linkedin.com/learning/aprende-mailchimp?trk=ondemandfile" TargetMode="External"/><Relationship Id="rId9" Type="http://schemas.openxmlformats.org/officeDocument/2006/relationships/hyperlink" Target="https://www.linkedin.com/learning/innovative-customer-service-techniques-2?trk=ondemandfile" TargetMode="External"/><Relationship Id="rId26" Type="http://schemas.openxmlformats.org/officeDocument/2006/relationships/hyperlink" Target="https://www.linkedin.com/learning/business-fundamentals-for-customer-success-managers?trk=ondemandfile" TargetMode="External"/><Relationship Id="rId47" Type="http://schemas.openxmlformats.org/officeDocument/2006/relationships/hyperlink" Target="https://www.linkedin.com/learning/gerer-les-attentes-des-clients-pour-les-managers?trk=contentmappingfile" TargetMode="External"/><Relationship Id="rId68" Type="http://schemas.openxmlformats.org/officeDocument/2006/relationships/hyperlink" Target="https://www.linkedin.com/learning/managing-customer-expectations-for-frontline-employees-3?trk=ondemandfile" TargetMode="External"/><Relationship Id="rId89" Type="http://schemas.openxmlformats.org/officeDocument/2006/relationships/hyperlink" Target="https://www.linkedin.com/learning/fundamentos-del-soporte-tecnico-telecomunicaciones?trk=ondemandfile" TargetMode="External"/><Relationship Id="rId112" Type="http://schemas.openxmlformats.org/officeDocument/2006/relationships/hyperlink" Target="https://www.linkedin.com/learning/phone-based-customer-service-2?trk=ondemandfile" TargetMode="External"/><Relationship Id="rId133" Type="http://schemas.openxmlformats.org/officeDocument/2006/relationships/hyperlink" Target="https://www.linkedin.com/learning/innovative-customer-service-techniques?trk=ondemandfile" TargetMode="External"/><Relationship Id="rId16" Type="http://schemas.openxmlformats.org/officeDocument/2006/relationships/hyperlink" Target="https://www.linkedin.com/learning/paths/kundenservice-spezialist-in-werden?trk=ondemandfile" TargetMode="External"/></Relationships>
</file>

<file path=xl/worksheets/_rels/sheet20.xml.rels><?xml version="1.0" encoding="UTF-8" standalone="yes"?>
<Relationships xmlns="http://schemas.openxmlformats.org/package/2006/relationships"><Relationship Id="rId117" Type="http://schemas.openxmlformats.org/officeDocument/2006/relationships/hyperlink" Target="https://www.linkedin.com/learning/data-science-tools-of-the-trade-first-steps?trk=ondemandfile" TargetMode="External"/><Relationship Id="rId21" Type="http://schemas.openxmlformats.org/officeDocument/2006/relationships/hyperlink" Target="https://www.linkedin.com/learning/paths/become-a-business-analyst?trk=ondemandfile" TargetMode="External"/><Relationship Id="rId63" Type="http://schemas.openxmlformats.org/officeDocument/2006/relationships/hyperlink" Target="https://www.linkedin.com/learning/learning-data-analytics?trk=ondemandfile" TargetMode="External"/><Relationship Id="rId159" Type="http://schemas.openxmlformats.org/officeDocument/2006/relationships/hyperlink" Target="https://www.linkedin.com/learning/excel-para-principiantes-cuadros-de-mando-simples?trk=ondemandfile" TargetMode="External"/><Relationship Id="rId170" Type="http://schemas.openxmlformats.org/officeDocument/2006/relationships/hyperlink" Target="https://www.linkedin.com/learning/blockchain-basics-14414119?trk=contentmappingfile" TargetMode="External"/><Relationship Id="rId226" Type="http://schemas.openxmlformats.org/officeDocument/2006/relationships/hyperlink" Target="https://www.linkedin.com/learning/python-para-data-scientist-avanzado?trk=ondemandfile" TargetMode="External"/><Relationship Id="rId268" Type="http://schemas.openxmlformats.org/officeDocument/2006/relationships/hyperlink" Target="https://www.linkedin.com/learning/zahlen-spannend-prasentieren?trk=contentmappingfile" TargetMode="External"/><Relationship Id="rId32" Type="http://schemas.openxmlformats.org/officeDocument/2006/relationships/hyperlink" Target="https://www.linkedin.com/learning/cybersecurity-tipps-jede-woche-neu?trk=contentmappingfile" TargetMode="External"/><Relationship Id="rId74" Type="http://schemas.openxmlformats.org/officeDocument/2006/relationships/hyperlink" Target="https://www.linkedin.com/learning/azure-data-explorer-esencial?trk=ondemandfile" TargetMode="External"/><Relationship Id="rId128" Type="http://schemas.openxmlformats.org/officeDocument/2006/relationships/hyperlink" Target="https://www.linkedin.com/learning/artificial-intelligence-for-project-managers-2?trk=ondemandfile" TargetMode="External"/><Relationship Id="rId5" Type="http://schemas.openxmlformats.org/officeDocument/2006/relationships/hyperlink" Target="https://www.linkedin.com/learning/apache-kafka-erweiterte-konzepte-lernen?trk=contentmappingfile" TargetMode="External"/><Relationship Id="rId181" Type="http://schemas.openxmlformats.org/officeDocument/2006/relationships/hyperlink" Target="https://www.linkedin.com/learning/00-big-data-modelos-de-negocio?trk=ondemandfile" TargetMode="External"/><Relationship Id="rId237" Type="http://schemas.openxmlformats.org/officeDocument/2006/relationships/hyperlink" Target="https://www.linkedin.com/learning/03dd510b-7db9-3067-949e-6ee38f2bf60a?trk=ondemandfile" TargetMode="External"/><Relationship Id="rId279" Type="http://schemas.openxmlformats.org/officeDocument/2006/relationships/hyperlink" Target="https://www.linkedin.com/learning/the-data-science-of-experimental-design?trk=ondemandfile" TargetMode="External"/><Relationship Id="rId43" Type="http://schemas.openxmlformats.org/officeDocument/2006/relationships/hyperlink" Target="https://www.linkedin.com/learning/paths/become-a-data-visualization-specialist-concepts?trk=ondemandfile" TargetMode="External"/><Relationship Id="rId139" Type="http://schemas.openxmlformats.org/officeDocument/2006/relationships/hyperlink" Target="https://www.linkedin.com/learning/l-essentiel-de-clarity?trk=contentmappingfile" TargetMode="External"/><Relationship Id="rId85" Type="http://schemas.openxmlformats.org/officeDocument/2006/relationships/hyperlink" Target="https://www.linkedin.com/learning/daten-visualisieren-mit-d3-js?trk=ondemandfile" TargetMode="External"/><Relationship Id="rId150" Type="http://schemas.openxmlformats.org/officeDocument/2006/relationships/hyperlink" Target="https://www.linkedin.com/learning/excel-para-principiantes-analisis-de-datos-365-2019?trk=contentmappingfile" TargetMode="External"/><Relationship Id="rId171" Type="http://schemas.openxmlformats.org/officeDocument/2006/relationships/hyperlink" Target="https://www.linkedin.com/learning/python-pour-la-data-science-serie?trk=contentmappingfile" TargetMode="External"/><Relationship Id="rId192" Type="http://schemas.openxmlformats.org/officeDocument/2006/relationships/hyperlink" Target="https://www.linkedin.com/learning/r-essential-training-part-1-wrangling-and-visualizing-data?trk=ondemandfile" TargetMode="External"/><Relationship Id="rId206" Type="http://schemas.openxmlformats.org/officeDocument/2006/relationships/hyperlink" Target="https://www.linkedin.com/learning/power-bi-datenmodellierung?trk=contentmappingfile" TargetMode="External"/><Relationship Id="rId227" Type="http://schemas.openxmlformats.org/officeDocument/2006/relationships/hyperlink" Target="https://www.linkedin.com/learning/python-statistische-auswertungen?trk=ondemandfile" TargetMode="External"/><Relationship Id="rId248" Type="http://schemas.openxmlformats.org/officeDocument/2006/relationships/hyperlink" Target="https://www.linkedin.com/learning/sql-lernen?trk=ondemandfile" TargetMode="External"/><Relationship Id="rId269" Type="http://schemas.openxmlformats.org/officeDocument/2006/relationships/hyperlink" Target="https://www.linkedin.com/learning/python-for-data-visualization?trk=ondemandfile" TargetMode="External"/><Relationship Id="rId12" Type="http://schemas.openxmlformats.org/officeDocument/2006/relationships/hyperlink" Target="https://www.linkedin.com/learning/paths/advance-your-skills-in-predictive-analytics?trk=ondemandfile" TargetMode="External"/><Relationship Id="rId33" Type="http://schemas.openxmlformats.org/officeDocument/2006/relationships/hyperlink" Target="https://www.linkedin.com/learning/advanced-power-bi?trk=contentmappingfile" TargetMode="External"/><Relationship Id="rId108" Type="http://schemas.openxmlformats.org/officeDocument/2006/relationships/hyperlink" Target="https://www.linkedin.com/learning/data-science-foundations-data-mining-2?trk=ondemandfile" TargetMode="External"/><Relationship Id="rId129" Type="http://schemas.openxmlformats.org/officeDocument/2006/relationships/hyperlink" Target="https://www.linkedin.com/learning/studying-for-the-certified-business-analysis-professional-cbap?trk=ondemandfile" TargetMode="External"/><Relationship Id="rId280" Type="http://schemas.openxmlformats.org/officeDocument/2006/relationships/hyperlink" Target="https://www.linkedin.com/learning/side-hustle-strategies-for-data-science-and-analytics-experts?trk=ondemandfile" TargetMode="External"/><Relationship Id="rId54" Type="http://schemas.openxmlformats.org/officeDocument/2006/relationships/hyperlink" Target="https://www.linkedin.com/learning/data-science-grundlagen-eine-einfuhrung?trk=ondemandfile" TargetMode="External"/><Relationship Id="rId75" Type="http://schemas.openxmlformats.org/officeDocument/2006/relationships/hyperlink" Target="https://www.linkedin.com/learning/data-science-lernen-storytelling-mit-daten?trk=ondemandfile" TargetMode="External"/><Relationship Id="rId96" Type="http://schemas.openxmlformats.org/officeDocument/2006/relationships/hyperlink" Target="https://www.linkedin.com/learning/inteligencia-artificial-para-negocios-em-dez-minutos?trk=contentmappingfile" TargetMode="External"/><Relationship Id="rId140" Type="http://schemas.openxmlformats.org/officeDocument/2006/relationships/hyperlink" Target="https://www.linkedin.com/learning/excel-2016-validacion-de-datos?trk=ondemandfile" TargetMode="External"/><Relationship Id="rId161" Type="http://schemas.openxmlformats.org/officeDocument/2006/relationships/hyperlink" Target="https://www.linkedin.com/learning/how-to-use-data-visualization-to-make-better-decisions-faster?trk=ondemandfile" TargetMode="External"/><Relationship Id="rId182" Type="http://schemas.openxmlformats.org/officeDocument/2006/relationships/hyperlink" Target="https://www.linkedin.com/learning/mathematik-grundbegriffe-fur-programmierer?trk=ondemandfile" TargetMode="External"/><Relationship Id="rId217" Type="http://schemas.openxmlformats.org/officeDocument/2006/relationships/hyperlink" Target="https://www.linkedin.com/learning/power-bi-trabajo-colaborativo-desde-el-servicio-power-bi?trk=ondemandfile" TargetMode="External"/><Relationship Id="rId6" Type="http://schemas.openxmlformats.org/officeDocument/2006/relationships/hyperlink" Target="https://www.linkedin.com/learning/paths/excel-expert-in-werden?trk=ondemandfile" TargetMode="External"/><Relationship Id="rId238" Type="http://schemas.openxmlformats.org/officeDocument/2006/relationships/hyperlink" Target="https://www.linkedin.com/learning/sap-business-one-stammdaten?trk=contentmappingfile" TargetMode="External"/><Relationship Id="rId259" Type="http://schemas.openxmlformats.org/officeDocument/2006/relationships/hyperlink" Target="https://www.linkedin.com/learning/big-data-analytics-with-hadoop-and-apache-spark?trk=ondemandfile" TargetMode="External"/><Relationship Id="rId23" Type="http://schemas.openxmlformats.org/officeDocument/2006/relationships/hyperlink" Target="https://www.linkedin.com/learning/paths/crea-y-gestiona-tablas-dinamicas-en-excel?trk=ondemandfile" TargetMode="External"/><Relationship Id="rId119" Type="http://schemas.openxmlformats.org/officeDocument/2006/relationships/hyperlink" Target="https://www.linkedin.com/learning/excel-2013-power-query?trk=ondemandfile" TargetMode="External"/><Relationship Id="rId270" Type="http://schemas.openxmlformats.org/officeDocument/2006/relationships/hyperlink" Target="https://www.linkedin.com/learning/sql-data-reporting-and-analysis-2?trk=ondemandfile" TargetMode="External"/><Relationship Id="rId44" Type="http://schemas.openxmlformats.org/officeDocument/2006/relationships/hyperlink" Target="https://www.linkedin.com/learning/00-aprende-data-science-conceptos-basicos?trk=ondemandfile" TargetMode="External"/><Relationship Id="rId65" Type="http://schemas.openxmlformats.org/officeDocument/2006/relationships/hyperlink" Target="https://www.linkedin.com/learning/excel-vba-managing-files-and-data-2?trk=ondemandfile" TargetMode="External"/><Relationship Id="rId86" Type="http://schemas.openxmlformats.org/officeDocument/2006/relationships/hyperlink" Target="https://www.linkedin.com/learning/learning-data-governance-2?trk=ondemandfile" TargetMode="External"/><Relationship Id="rId130" Type="http://schemas.openxmlformats.org/officeDocument/2006/relationships/hyperlink" Target="https://www.linkedin.com/learning/excel-2016-an-lisis-y-gesti-n-de-datos?trk=ondemandfile" TargetMode="External"/><Relationship Id="rId151" Type="http://schemas.openxmlformats.org/officeDocument/2006/relationships/hyperlink" Target="https://www.linkedin.com/learning/excel-daten-abrufen-und-transformieren-power-query?trk=ondemandfile" TargetMode="External"/><Relationship Id="rId172" Type="http://schemas.openxmlformats.org/officeDocument/2006/relationships/hyperlink" Target="https://www.linkedin.com/learning/excel-recursos-de-analisis-en-la-economia-de-empresa-office-365-microsoft-365?trk=contentmappingfile" TargetMode="External"/><Relationship Id="rId193" Type="http://schemas.openxmlformats.org/officeDocument/2006/relationships/hyperlink" Target="https://www.linkedin.com/learning/business-analysis-foundations-3?trk=ondemandfile" TargetMode="External"/><Relationship Id="rId207" Type="http://schemas.openxmlformats.org/officeDocument/2006/relationships/hyperlink" Target="https://www.linkedin.com/learning/linkedin-learning-highlights-data-science?trk=ondemandfile" TargetMode="External"/><Relationship Id="rId228" Type="http://schemas.openxmlformats.org/officeDocument/2006/relationships/hyperlink" Target="https://www.linkedin.com/learning/best-languages-for-data-science?trk=contentmappingfile" TargetMode="External"/><Relationship Id="rId249" Type="http://schemas.openxmlformats.org/officeDocument/2006/relationships/hyperlink" Target="https://www.linkedin.com/learning/managing-globally/what-is-cultural-agility" TargetMode="External"/><Relationship Id="rId13" Type="http://schemas.openxmlformats.org/officeDocument/2006/relationships/hyperlink" Target="https://www.linkedin.com/learning/aprende-analisis-de-datos?trk=ondemandfile" TargetMode="External"/><Relationship Id="rId109" Type="http://schemas.openxmlformats.org/officeDocument/2006/relationships/hyperlink" Target="https://www.linkedin.com/learning/business-analysis-competencies-ba?trk=ondemandfile" TargetMode="External"/><Relationship Id="rId260" Type="http://schemas.openxmlformats.org/officeDocument/2006/relationships/hyperlink" Target="https://www.linkedin.com/learning/statistik-1?trk=ondemandfile" TargetMode="External"/><Relationship Id="rId281" Type="http://schemas.openxmlformats.org/officeDocument/2006/relationships/hyperlink" Target="https://www.linkedin.com/learning/postgresql-essential-training?trk=ondemandfile" TargetMode="External"/><Relationship Id="rId34" Type="http://schemas.openxmlformats.org/officeDocument/2006/relationships/hyperlink" Target="https://www.linkedin.com/learning/power-bi-data-modeling-with-dax-16451361?trk=contentmappingfile" TargetMode="External"/><Relationship Id="rId55" Type="http://schemas.openxmlformats.org/officeDocument/2006/relationships/hyperlink" Target="https://www.linkedin.com/learning/learning-data-science-understanding-the-basics-4?trk=ondemandfile" TargetMode="External"/><Relationship Id="rId76" Type="http://schemas.openxmlformats.org/officeDocument/2006/relationships/hyperlink" Target="https://www.linkedin.com/learning/learning-microsoft-power-bi-desktop-3?trk=ondemandfile" TargetMode="External"/><Relationship Id="rId97" Type="http://schemas.openxmlformats.org/officeDocument/2006/relationships/hyperlink" Target="https://www.linkedin.com/learning/learning-data-science-tell-stories-with-data-3?trk=ondemandfile" TargetMode="External"/><Relationship Id="rId120" Type="http://schemas.openxmlformats.org/officeDocument/2006/relationships/hyperlink" Target="https://www.linkedin.com/learning/statistics-foundations-3-2?trk=ondemandfile" TargetMode="External"/><Relationship Id="rId141" Type="http://schemas.openxmlformats.org/officeDocument/2006/relationships/hyperlink" Target="https://www.linkedin.com/learning/00-excel-2016-power-pivot?trk=ondemandfile" TargetMode="External"/><Relationship Id="rId7" Type="http://schemas.openxmlformats.org/officeDocument/2006/relationships/hyperlink" Target="https://www.linkedin.com/learning/excel-2016-data-analysis?trk=ondemandfile" TargetMode="External"/><Relationship Id="rId162" Type="http://schemas.openxmlformats.org/officeDocument/2006/relationships/hyperlink" Target="https://www.linkedin.com/learning/excel-para-principiantes-ingresar-datos-correctamente-365-2019?trk=contentmappingfile" TargetMode="External"/><Relationship Id="rId183" Type="http://schemas.openxmlformats.org/officeDocument/2006/relationships/hyperlink" Target="https://www.linkedin.com/learning/the-data-game-of-fantasy-football?trk=ondemandfile" TargetMode="External"/><Relationship Id="rId218" Type="http://schemas.openxmlformats.org/officeDocument/2006/relationships/hyperlink" Target="https://www.linkedin.com/learning/python-lernen?trk=ondemandfile" TargetMode="External"/><Relationship Id="rId239" Type="http://schemas.openxmlformats.org/officeDocument/2006/relationships/hyperlink" Target="https://www.linkedin.com/learning/2e8b717a-4b47-387b-81d7-f37e4e29e4fb?trk=ondemandfile" TargetMode="External"/><Relationship Id="rId250" Type="http://schemas.openxmlformats.org/officeDocument/2006/relationships/hyperlink" Target="https://www.linkedin.com/learning/managing-globally/what-is-cultural-agility" TargetMode="External"/><Relationship Id="rId271" Type="http://schemas.openxmlformats.org/officeDocument/2006/relationships/hyperlink" Target="https://www.linkedin.com/learning/power-bi-dataflows-essential-training?trk=ondemandfile" TargetMode="External"/><Relationship Id="rId24" Type="http://schemas.openxmlformats.org/officeDocument/2006/relationships/hyperlink" Target="https://www.linkedin.com/learning/blockchain-grundlagen?trk=ondemandfile" TargetMode="External"/><Relationship Id="rId45" Type="http://schemas.openxmlformats.org/officeDocument/2006/relationships/hyperlink" Target="https://www.linkedin.com/learning/paths/conviertete-en-un-especialista-en-big-data-para-it?trk=ondemandfile" TargetMode="External"/><Relationship Id="rId66" Type="http://schemas.openxmlformats.org/officeDocument/2006/relationships/hyperlink" Target="https://www.linkedin.com/learning/paths/become-a-data-scientist?trk=ondemandfile" TargetMode="External"/><Relationship Id="rId87" Type="http://schemas.openxmlformats.org/officeDocument/2006/relationships/hyperlink" Target="https://www.linkedin.com/learning/people-analytics?trk=ondemandfile" TargetMode="External"/><Relationship Id="rId110" Type="http://schemas.openxmlformats.org/officeDocument/2006/relationships/hyperlink" Target="https://www.linkedin.com/learning/data-scientist-azure-ml-y-power-bi-para-mineria-de-datos-esencial?trk=ondemandfile" TargetMode="External"/><Relationship Id="rId131" Type="http://schemas.openxmlformats.org/officeDocument/2006/relationships/hyperlink" Target="https://www.linkedin.com/learning/00-excel-2016-datenanalyse?trk=ondemandfile" TargetMode="External"/><Relationship Id="rId152" Type="http://schemas.openxmlformats.org/officeDocument/2006/relationships/hyperlink" Target="https://www.linkedin.com/learning/ethics-and-law-in-data-analytics?trk=ondemandfile" TargetMode="External"/><Relationship Id="rId173" Type="http://schemas.openxmlformats.org/officeDocument/2006/relationships/hyperlink" Target="https://www.linkedin.com/learning/datenviz?trk=ondemandfile" TargetMode="External"/><Relationship Id="rId194" Type="http://schemas.openxmlformats.org/officeDocument/2006/relationships/hyperlink" Target="https://www.linkedin.com/learning/modern-workplace-mit-microsoft-365?trk=contentmappingfile" TargetMode="External"/><Relationship Id="rId208" Type="http://schemas.openxmlformats.org/officeDocument/2006/relationships/hyperlink" Target="https://www.linkedin.com/learning/mongodb-esencial?trk=ondemandfile" TargetMode="External"/><Relationship Id="rId229" Type="http://schemas.openxmlformats.org/officeDocument/2006/relationships/hyperlink" Target="https://www.linkedin.com/learning/00-r-para-big-data-esencial?trk=ondemandfile" TargetMode="External"/><Relationship Id="rId240" Type="http://schemas.openxmlformats.org/officeDocument/2006/relationships/hyperlink" Target="https://www.linkedin.com/learning/sap-crystal-reports-2020-grundkurs?trk=contentmappingfile" TargetMode="External"/><Relationship Id="rId261" Type="http://schemas.openxmlformats.org/officeDocument/2006/relationships/hyperlink" Target="https://www.linkedin.com/learning/text-analytics-and-predictions-with-r-essential-training?trk=ondemandfile" TargetMode="External"/><Relationship Id="rId14" Type="http://schemas.openxmlformats.org/officeDocument/2006/relationships/hyperlink" Target="https://www.linkedin.com/learning/paths/domina-excel-2016?trk=ondemandfile" TargetMode="External"/><Relationship Id="rId35" Type="http://schemas.openxmlformats.org/officeDocument/2006/relationships/hyperlink" Target="https://www.linkedin.com/learning/learning-data-governance-14224082?trk=ondemandfile" TargetMode="External"/><Relationship Id="rId56" Type="http://schemas.openxmlformats.org/officeDocument/2006/relationships/hyperlink" Target="https://www.linkedin.com/learning/big-data-foundations-techniques-and-concepts-2?trk=ondemandfile" TargetMode="External"/><Relationship Id="rId77" Type="http://schemas.openxmlformats.org/officeDocument/2006/relationships/hyperlink" Target="https://www.linkedin.com/learning/43526866-1304-3fba-8ab8-93dc593a5b24?trk=ondemandfile" TargetMode="External"/><Relationship Id="rId100" Type="http://schemas.openxmlformats.org/officeDocument/2006/relationships/hyperlink" Target="https://www.linkedin.com/learning/c-mo-tener-ideas-para-un-nuevo-modelo-de-negocio?trk=ondemandfile" TargetMode="External"/><Relationship Id="rId282" Type="http://schemas.openxmlformats.org/officeDocument/2006/relationships/hyperlink" Target="https://www.linkedin.com/learning/data-visualization-for-data-analysis-and-analytics?trk=ondemandfile" TargetMode="External"/><Relationship Id="rId8" Type="http://schemas.openxmlformats.org/officeDocument/2006/relationships/hyperlink" Target="https://www.linkedin.com/learning/paths/torne-se-um-cientista-de-dados?trk=ondemandfile" TargetMode="External"/><Relationship Id="rId98" Type="http://schemas.openxmlformats.org/officeDocument/2006/relationships/hyperlink" Target="https://www.linkedin.com/learning/data-driven-learning-design?trk=ondemandfile" TargetMode="External"/><Relationship Id="rId121" Type="http://schemas.openxmlformats.org/officeDocument/2006/relationships/hyperlink" Target="https://www.linkedin.com/learning/learning-excel-data-analysis?trk=ondemandfile" TargetMode="External"/><Relationship Id="rId142" Type="http://schemas.openxmlformats.org/officeDocument/2006/relationships/hyperlink" Target="https://www.linkedin.com/learning/data-ethics-making-data-driven-decisions?trk=ondemandfile" TargetMode="External"/><Relationship Id="rId163" Type="http://schemas.openxmlformats.org/officeDocument/2006/relationships/hyperlink" Target="https://www.linkedin.com/learning/excel-power-query-fur-einsteiger?trk=contentmappingfile" TargetMode="External"/><Relationship Id="rId184" Type="http://schemas.openxmlformats.org/officeDocument/2006/relationships/hyperlink" Target="https://www.linkedin.com/learning/00-fundamentos-de-big-data-tecnicas-y-conceptos?trk=ondemandfile" TargetMode="External"/><Relationship Id="rId219" Type="http://schemas.openxmlformats.org/officeDocument/2006/relationships/hyperlink" Target="https://www.linkedin.com/learning/the-data-science-of-retail-sales-and-commerce?trk=ondemandfile" TargetMode="External"/><Relationship Id="rId230" Type="http://schemas.openxmlformats.org/officeDocument/2006/relationships/hyperlink" Target="https://www.linkedin.com/learning/r-grundkurs-1?trk=ondemandfile" TargetMode="External"/><Relationship Id="rId251" Type="http://schemas.openxmlformats.org/officeDocument/2006/relationships/hyperlink" Target="https://www.linkedin.com/learning/excel-supply-chain-analysis-solving-transportation-problems?trk=ondemandfile" TargetMode="External"/><Relationship Id="rId25" Type="http://schemas.openxmlformats.org/officeDocument/2006/relationships/hyperlink" Target="https://www.linkedin.com/learning/paths/python-entwickler-in-werden?trk=ondemandfile" TargetMode="External"/><Relationship Id="rId46" Type="http://schemas.openxmlformats.org/officeDocument/2006/relationships/hyperlink" Target="https://www.linkedin.com/learning/data-mining-grundlagen-einfuhrung-in-die-datenvorbereitung-mit-data-cleansing-data-transformation-und-feature?trk=contentmappingfile" TargetMode="External"/><Relationship Id="rId67" Type="http://schemas.openxmlformats.org/officeDocument/2006/relationships/hyperlink" Target="https://www.linkedin.com/learning/aprende-power-bi?trk=ondemandfile" TargetMode="External"/><Relationship Id="rId272" Type="http://schemas.openxmlformats.org/officeDocument/2006/relationships/hyperlink" Target="https://www.linkedin.com/learning/sap-erp-beyond-the-bas-ics?trk=ondemandfile" TargetMode="External"/><Relationship Id="rId88" Type="http://schemas.openxmlformats.org/officeDocument/2006/relationships/hyperlink" Target="https://www.linkedin.com/learning/paths/get-ahead-in-data-science?trk=ondemandfile" TargetMode="External"/><Relationship Id="rId111" Type="http://schemas.openxmlformats.org/officeDocument/2006/relationships/hyperlink" Target="https://www.linkedin.com/learning/einfuhrung-in-die-formelsprache-dax-excel-und-power-bi-desktop?trk=ondemandfile" TargetMode="External"/><Relationship Id="rId132" Type="http://schemas.openxmlformats.org/officeDocument/2006/relationships/hyperlink" Target="https://www.linkedin.com/learning/introducing-ai-to-your-organization?trk=ondemandfile" TargetMode="External"/><Relationship Id="rId153" Type="http://schemas.openxmlformats.org/officeDocument/2006/relationships/hyperlink" Target="https://www.linkedin.com/learning/excel-para-principiantes-buscar-datos-365-2019?trk=contentmappingfile" TargetMode="External"/><Relationship Id="rId174" Type="http://schemas.openxmlformats.org/officeDocument/2006/relationships/hyperlink" Target="https://www.linkedin.com/learning/data-science-foundations-fundamentals-2019-full-revision?trk=ondemandfile" TargetMode="External"/><Relationship Id="rId195" Type="http://schemas.openxmlformats.org/officeDocument/2006/relationships/hyperlink" Target="https://www.linkedin.com/learning/cloud-hadoop-scaling-apache-spark?trk=ondemandfile" TargetMode="External"/><Relationship Id="rId209" Type="http://schemas.openxmlformats.org/officeDocument/2006/relationships/hyperlink" Target="https://www.linkedin.com/learning/power-query-fur-fortgeschrittene-excel-und-power-bi-desktop?trk=ondemandfile" TargetMode="External"/><Relationship Id="rId220" Type="http://schemas.openxmlformats.org/officeDocument/2006/relationships/hyperlink" Target="https://www.linkedin.com/learning/power-bi-visualizaciones-e-informes?trk=ondemandfile" TargetMode="External"/><Relationship Id="rId241" Type="http://schemas.openxmlformats.org/officeDocument/2006/relationships/hyperlink" Target="https://www.linkedin.com/learning/design-thinking-data-intelligence?trk=ondemandfile" TargetMode="External"/><Relationship Id="rId15" Type="http://schemas.openxmlformats.org/officeDocument/2006/relationships/hyperlink" Target="https://www.linkedin.com/learning/big-data-grundlagen-methoden-und-konzepte-im-zeitalter-von-ki?trk=ondemandfile" TargetMode="External"/><Relationship Id="rId36" Type="http://schemas.openxmlformats.org/officeDocument/2006/relationships/hyperlink" Target="https://www.linkedin.com/learning/paths/become-a-data-analyst?trk=ondemandfile" TargetMode="External"/><Relationship Id="rId57" Type="http://schemas.openxmlformats.org/officeDocument/2006/relationships/hyperlink" Target="https://www.linkedin.com/learning/lessons-from-data-scientists?trk=ondemandfile" TargetMode="External"/><Relationship Id="rId262" Type="http://schemas.openxmlformats.org/officeDocument/2006/relationships/hyperlink" Target="https://www.linkedin.com/learning/statistik-grundlagen-2-mehrere-variablen-und-wahrscheinlichkeiten?trk=ondemandfile" TargetMode="External"/><Relationship Id="rId283" Type="http://schemas.openxmlformats.org/officeDocument/2006/relationships/hyperlink" Target="https://www.linkedin.com/learning/content/425902?u=104" TargetMode="External"/><Relationship Id="rId78" Type="http://schemas.openxmlformats.org/officeDocument/2006/relationships/hyperlink" Target="https://www.linkedin.com/learning/paths/become-a-business-intelligence-specialist?trk=ondemandfile" TargetMode="External"/><Relationship Id="rId99" Type="http://schemas.openxmlformats.org/officeDocument/2006/relationships/hyperlink" Target="https://www.linkedin.com/learning/paths/master-excel-for-data-science?trk=ondemandfile" TargetMode="External"/><Relationship Id="rId101" Type="http://schemas.openxmlformats.org/officeDocument/2006/relationships/hyperlink" Target="https://www.linkedin.com/learning/datenbankentwicklung-mit-php?trk=contentmappingfile" TargetMode="External"/><Relationship Id="rId122" Type="http://schemas.openxmlformats.org/officeDocument/2006/relationships/hyperlink" Target="https://www.linkedin.com/learning/00-excel-2016-para-mac-analisis-gestion-y-validacion-de-datos?trk=ondemandfile" TargetMode="External"/><Relationship Id="rId143" Type="http://schemas.openxmlformats.org/officeDocument/2006/relationships/hyperlink" Target="https://www.linkedin.com/learning/excel-business-intelligence-1-obtener-y-transformar-power-query-365-2019?trk=contentmappingfile" TargetMode="External"/><Relationship Id="rId164" Type="http://schemas.openxmlformats.org/officeDocument/2006/relationships/hyperlink" Target="https://www.linkedin.com/learning/data-ethics-watching-out-for-data-misuse?trk=ondemandfile" TargetMode="External"/><Relationship Id="rId185" Type="http://schemas.openxmlformats.org/officeDocument/2006/relationships/hyperlink" Target="https://www.linkedin.com/learning/matlab-grundkurs?trk=ondemandfile" TargetMode="External"/><Relationship Id="rId9" Type="http://schemas.openxmlformats.org/officeDocument/2006/relationships/hyperlink" Target="https://www.linkedin.com/learning/big-data-in-the-age-of-ai-15942776?trk=contentmappingfile" TargetMode="External"/><Relationship Id="rId210" Type="http://schemas.openxmlformats.org/officeDocument/2006/relationships/hyperlink" Target="https://www.linkedin.com/learning/tech-ethics-avoiding-unintended-consequences?trk=ondemandfile" TargetMode="External"/><Relationship Id="rId26" Type="http://schemas.openxmlformats.org/officeDocument/2006/relationships/hyperlink" Target="https://www.linkedin.com/learning/excel-data-analysis-365-2019?trk=contentmappingfile" TargetMode="External"/><Relationship Id="rId231" Type="http://schemas.openxmlformats.org/officeDocument/2006/relationships/hyperlink" Target="https://www.linkedin.com/learning/giving-computers-vision?trk=contentmappingfile" TargetMode="External"/><Relationship Id="rId252" Type="http://schemas.openxmlformats.org/officeDocument/2006/relationships/hyperlink" Target="https://www.linkedin.com/learning/00-analysis-services?trk=ondemandfile" TargetMode="External"/><Relationship Id="rId273" Type="http://schemas.openxmlformats.org/officeDocument/2006/relationships/hyperlink" Target="https://www.linkedin.com/learning/tableau-and-r-for-analytics-projects?trk=ondemandfile" TargetMode="External"/><Relationship Id="rId47" Type="http://schemas.openxmlformats.org/officeDocument/2006/relationships/hyperlink" Target="https://www.linkedin.com/learning/learning-data-science-tell-stories-with-data-14875287?trk=contentmappingfile" TargetMode="External"/><Relationship Id="rId68" Type="http://schemas.openxmlformats.org/officeDocument/2006/relationships/hyperlink" Target="https://www.linkedin.com/learning/data-science-lernen-die-grundlagen-verstehen?trk=ondemandfile" TargetMode="External"/><Relationship Id="rId89" Type="http://schemas.openxmlformats.org/officeDocument/2006/relationships/hyperlink" Target="https://www.linkedin.com/learning/big-data-equipos-y-soluciones-para-la-empresa?trk=ondemandfile" TargetMode="External"/><Relationship Id="rId112" Type="http://schemas.openxmlformats.org/officeDocument/2006/relationships/hyperlink" Target="https://www.linkedin.com/learning/statistics-foundations-1-2?trk=ondemandfile" TargetMode="External"/><Relationship Id="rId133" Type="http://schemas.openxmlformats.org/officeDocument/2006/relationships/hyperlink" Target="https://www.linkedin.com/learning/excel-2016-gr-ficos-y-presentaci-n-de-datos?trk=ondemandfile" TargetMode="External"/><Relationship Id="rId154" Type="http://schemas.openxmlformats.org/officeDocument/2006/relationships/hyperlink" Target="https://www.linkedin.com/learning/excel-dynamische-array-funktionen?trk=ondemandfile" TargetMode="External"/><Relationship Id="rId175" Type="http://schemas.openxmlformats.org/officeDocument/2006/relationships/hyperlink" Target="https://www.linkedin.com/learning/analisis-de-informacion-fundamentos?trk=ondemandfile" TargetMode="External"/><Relationship Id="rId196" Type="http://schemas.openxmlformats.org/officeDocument/2006/relationships/hyperlink" Target="https://www.linkedin.com/learning/gdpr-implementacion-practica-en-la-empresa?trk=ondemandfile" TargetMode="External"/><Relationship Id="rId200" Type="http://schemas.openxmlformats.org/officeDocument/2006/relationships/hyperlink" Target="https://www.linkedin.com/learning/power-bi-desktop-fur-fortgeschrittene?trk=ondemandfile" TargetMode="External"/><Relationship Id="rId16" Type="http://schemas.openxmlformats.org/officeDocument/2006/relationships/hyperlink" Target="https://www.linkedin.com/learning/paths/mit-excel-2016-daten-auswerten-und-prsentieren?trk=ondemandfile" TargetMode="External"/><Relationship Id="rId221" Type="http://schemas.openxmlformats.org/officeDocument/2006/relationships/hyperlink" Target="https://www.linkedin.com/learning/python-und-excel-strukturierte-daten-bearbeiten?trk=ondemandfile" TargetMode="External"/><Relationship Id="rId242" Type="http://schemas.openxmlformats.org/officeDocument/2006/relationships/hyperlink" Target="https://www.linkedin.com/learning/spss-lernen?trk=ondemandfile" TargetMode="External"/><Relationship Id="rId263" Type="http://schemas.openxmlformats.org/officeDocument/2006/relationships/hyperlink" Target="https://www.linkedin.com/learning/data-dashboards-in-powe-r-bi?trk=ondemandfile" TargetMode="External"/><Relationship Id="rId284" Type="http://schemas.openxmlformats.org/officeDocument/2006/relationships/hyperlink" Target="https://www.linkedin.com/learning/business-analyst-digital-transformation?trk=ondemandfile" TargetMode="External"/><Relationship Id="rId37" Type="http://schemas.openxmlformats.org/officeDocument/2006/relationships/hyperlink" Target="https://www.linkedin.com/learning/aprende-big-data-visualizacion-de-datos?trk=ondemandfile" TargetMode="External"/><Relationship Id="rId58" Type="http://schemas.openxmlformats.org/officeDocument/2006/relationships/hyperlink" Target="https://www.linkedin.com/learning/paths/become-a-data-analytics-specialist?trk=ondemandfile" TargetMode="External"/><Relationship Id="rId79" Type="http://schemas.openxmlformats.org/officeDocument/2006/relationships/hyperlink" Target="https://www.linkedin.com/learning/bases-de-datos-con-un-cafe?trk=ondemandfile" TargetMode="External"/><Relationship Id="rId102" Type="http://schemas.openxmlformats.org/officeDocument/2006/relationships/hyperlink" Target="https://www.linkedin.com/learning/data-visualization-storytelling-2?trk=ondemandfile" TargetMode="External"/><Relationship Id="rId123" Type="http://schemas.openxmlformats.org/officeDocument/2006/relationships/hyperlink" Target="https://www.linkedin.com/learning/excel-2016-daten-abrufen-und-transformieren?trk=ondemandfile" TargetMode="External"/><Relationship Id="rId144" Type="http://schemas.openxmlformats.org/officeDocument/2006/relationships/hyperlink" Target="https://www.linkedin.com/learning/excel-2016-cubefunktionen?trk=ondemandfile" TargetMode="External"/><Relationship Id="rId90" Type="http://schemas.openxmlformats.org/officeDocument/2006/relationships/hyperlink" Target="https://www.linkedin.com/learning/datenanalyse-mit-r-datenimport-und-handling-15602712?trk=contentmappingfile" TargetMode="External"/><Relationship Id="rId165" Type="http://schemas.openxmlformats.org/officeDocument/2006/relationships/hyperlink" Target="https://www.linkedin.com/learning/excel-analisis-gestion-y-validacion-de-datos-office-365-microsoft-365?trk=contentmappingfile" TargetMode="External"/><Relationship Id="rId186" Type="http://schemas.openxmlformats.org/officeDocument/2006/relationships/hyperlink" Target="https://www.linkedin.com/learning/learning-public-data-sets-2?trk=ondemandfile" TargetMode="External"/><Relationship Id="rId211" Type="http://schemas.openxmlformats.org/officeDocument/2006/relationships/hyperlink" Target="https://www.linkedin.com/learning/power-bi-esencial?trk=ondemandfile" TargetMode="External"/><Relationship Id="rId232" Type="http://schemas.openxmlformats.org/officeDocument/2006/relationships/hyperlink" Target="https://www.linkedin.com/learning/r-para-data-scientist-avanzado?trk=ondemandfile" TargetMode="External"/><Relationship Id="rId253" Type="http://schemas.openxmlformats.org/officeDocument/2006/relationships/hyperlink" Target="https://www.linkedin.com/learning/nosql-data-modeling-essential-training?trk=ondemandfile" TargetMode="External"/><Relationship Id="rId274" Type="http://schemas.openxmlformats.org/officeDocument/2006/relationships/hyperlink" Target="https://www.linkedin.com/learning/abap-for-sap-users?trk=ondemandfile" TargetMode="External"/><Relationship Id="rId27" Type="http://schemas.openxmlformats.org/officeDocument/2006/relationships/hyperlink" Target="https://www.linkedin.com/learning/excel-2019-managing-and-analyzing-data?trk=ondemandfile" TargetMode="External"/><Relationship Id="rId48" Type="http://schemas.openxmlformats.org/officeDocument/2006/relationships/hyperlink" Target="https://www.linkedin.com/learning/excel-como-criar-um-dashboard-basico-365-2019?trk=contentmappingfile" TargetMode="External"/><Relationship Id="rId69" Type="http://schemas.openxmlformats.org/officeDocument/2006/relationships/hyperlink" Target="https://www.linkedin.com/learning/big-data-foundations-techniques-and-concepts-3?trk=ondemandfile" TargetMode="External"/><Relationship Id="rId113" Type="http://schemas.openxmlformats.org/officeDocument/2006/relationships/hyperlink" Target="https://www.linkedin.com/learning/data-fluency-exploring-and-describing-data?trk=ondemandfile" TargetMode="External"/><Relationship Id="rId134" Type="http://schemas.openxmlformats.org/officeDocument/2006/relationships/hyperlink" Target="https://www.linkedin.com/learning/excel-2016-management-reports?trk=ondemandfile" TargetMode="External"/><Relationship Id="rId80" Type="http://schemas.openxmlformats.org/officeDocument/2006/relationships/hyperlink" Target="https://www.linkedin.com/learning/daten-visualisieren-mit-chart-js?trk=ondemandfile" TargetMode="External"/><Relationship Id="rId155" Type="http://schemas.openxmlformats.org/officeDocument/2006/relationships/hyperlink" Target="https://www.linkedin.com/learning/power-bi-dashboards-for-beginners?trk=ondemandfile" TargetMode="External"/><Relationship Id="rId176" Type="http://schemas.openxmlformats.org/officeDocument/2006/relationships/hyperlink" Target="https://www.linkedin.com/learning/machine-learning-grundkurs?trk=ondemandfile" TargetMode="External"/><Relationship Id="rId197" Type="http://schemas.openxmlformats.org/officeDocument/2006/relationships/hyperlink" Target="https://www.linkedin.com/learning/postgresql-grundkurs-2?trk=ondemandfile" TargetMode="External"/><Relationship Id="rId201" Type="http://schemas.openxmlformats.org/officeDocument/2006/relationships/hyperlink" Target="https://www.linkedin.com/learning/r-essential-training-part-2-modeling-dat?trk=ondemandfile" TargetMode="External"/><Relationship Id="rId222" Type="http://schemas.openxmlformats.org/officeDocument/2006/relationships/hyperlink" Target="https://www.linkedin.com/learning/skills-that-set-data-scientists-apart?trk=contentmappingfile" TargetMode="External"/><Relationship Id="rId243" Type="http://schemas.openxmlformats.org/officeDocument/2006/relationships/hyperlink" Target="https://www.linkedin.com/learning/excel-charts-in-depth?trk=ondemandfile" TargetMode="External"/><Relationship Id="rId264" Type="http://schemas.openxmlformats.org/officeDocument/2006/relationships/hyperlink" Target="https://www.linkedin.com/learning/tableau-10-grundkurs?trk=ondemandfile" TargetMode="External"/><Relationship Id="rId285" Type="http://schemas.openxmlformats.org/officeDocument/2006/relationships/hyperlink" Target="https://www.linkedin.com/learning/agile-business-analysis-weekly-tips?trk=ondemandfile" TargetMode="External"/><Relationship Id="rId17" Type="http://schemas.openxmlformats.org/officeDocument/2006/relationships/hyperlink" Target="https://www.linkedin.com/learning/excel-2021-essential-training-office-2021-ltsc-16426633?trk=contentmappingfile" TargetMode="External"/><Relationship Id="rId38" Type="http://schemas.openxmlformats.org/officeDocument/2006/relationships/hyperlink" Target="https://www.linkedin.com/learning/paths/conviertete-en-especialista-en-excel-2016-para-mac?trk=ondemandfile" TargetMode="External"/><Relationship Id="rId59" Type="http://schemas.openxmlformats.org/officeDocument/2006/relationships/hyperlink" Target="https://www.linkedin.com/learning/developper-une-solution-big-data-avec-azure?trk=contentmappingfile" TargetMode="External"/><Relationship Id="rId103" Type="http://schemas.openxmlformats.org/officeDocument/2006/relationships/hyperlink" Target="https://www.linkedin.com/learning/business-analysis-foundations-business-process-modeling?trk=ondemandfile" TargetMode="External"/><Relationship Id="rId124" Type="http://schemas.openxmlformats.org/officeDocument/2006/relationships/hyperlink" Target="https://www.linkedin.com/learning/programming-foundations-algorithms-3?trk=contentmappingfile" TargetMode="External"/><Relationship Id="rId70" Type="http://schemas.openxmlformats.org/officeDocument/2006/relationships/hyperlink" Target="https://www.linkedin.com/learning/learning-cloud-computing-core-concepts?trk=ondemandfile" TargetMode="External"/><Relationship Id="rId91" Type="http://schemas.openxmlformats.org/officeDocument/2006/relationships/hyperlink" Target="https://www.linkedin.com/learning/learning-data-science-understanding-the-basics-3?trk=ondemandfile" TargetMode="External"/><Relationship Id="rId145" Type="http://schemas.openxmlformats.org/officeDocument/2006/relationships/hyperlink" Target="https://www.linkedin.com/learning/business-analytics-marketing-data?trk=ondemandfile" TargetMode="External"/><Relationship Id="rId166" Type="http://schemas.openxmlformats.org/officeDocument/2006/relationships/hyperlink" Target="https://www.linkedin.com/learning/excel-spezialfilter?trk=ondemandfile" TargetMode="External"/><Relationship Id="rId187" Type="http://schemas.openxmlformats.org/officeDocument/2006/relationships/hyperlink" Target="https://www.linkedin.com/learning/00-fundamentos-de-data-science-conceptos-basicos?trk=ondemandfile" TargetMode="External"/><Relationship Id="rId1" Type="http://schemas.openxmlformats.org/officeDocument/2006/relationships/hyperlink" Target="https://www.linkedin.com/learning/data-strategy?trk=contentmappingfile" TargetMode="External"/><Relationship Id="rId212" Type="http://schemas.openxmlformats.org/officeDocument/2006/relationships/hyperlink" Target="https://www.linkedin.com/learning/14e453e3-3213-3545-9cbd-14d4d7c505a1?trk=ondemandfile" TargetMode="External"/><Relationship Id="rId233" Type="http://schemas.openxmlformats.org/officeDocument/2006/relationships/hyperlink" Target="https://www.linkedin.com/learning/rechtsgrundlagen-industrie-4-0-und-internet-of-things-iot?trk=contentmappingfile" TargetMode="External"/><Relationship Id="rId254" Type="http://schemas.openxmlformats.org/officeDocument/2006/relationships/hyperlink" Target="https://www.linkedin.com/learning/sql-analysis-table?trk=ondemandfile" TargetMode="External"/><Relationship Id="rId28" Type="http://schemas.openxmlformats.org/officeDocument/2006/relationships/hyperlink" Target="https://www.linkedin.com/learning/measuring-business-performance-2021?trk=ondemandfile" TargetMode="External"/><Relationship Id="rId49" Type="http://schemas.openxmlformats.org/officeDocument/2006/relationships/hyperlink" Target="https://www.linkedin.com/learning/artificial-intelligence-foundations-neural-networks-16411152?trk=contentmappingfile" TargetMode="External"/><Relationship Id="rId114" Type="http://schemas.openxmlformats.org/officeDocument/2006/relationships/hyperlink" Target="https://www.linkedin.com/learning/data-scientist-estadistica-esencial?trk=ondemandfile" TargetMode="External"/><Relationship Id="rId275" Type="http://schemas.openxmlformats.org/officeDocument/2006/relationships/hyperlink" Target="https://www.linkedin.com/learning/review-and-manage-the-sap-mrp-list?trk=ondemandfile" TargetMode="External"/><Relationship Id="rId60" Type="http://schemas.openxmlformats.org/officeDocument/2006/relationships/hyperlink" Target="https://www.linkedin.com/learning/00-aprende-diseno-de-base-de-datos?trk=ondemandfile" TargetMode="External"/><Relationship Id="rId81" Type="http://schemas.openxmlformats.org/officeDocument/2006/relationships/hyperlink" Target="https://www.linkedin.com/learning/learning-data-analytics-4?trk=ondemandfile" TargetMode="External"/><Relationship Id="rId135" Type="http://schemas.openxmlformats.org/officeDocument/2006/relationships/hyperlink" Target="https://www.linkedin.com/learning/sas-9-4-cert-prep-analyzing-and-reporting-on-data?trk=ondemandfile" TargetMode="External"/><Relationship Id="rId156" Type="http://schemas.openxmlformats.org/officeDocument/2006/relationships/hyperlink" Target="https://www.linkedin.com/learning/excel-para-principiantes-cuadros-de-mando-con-fuente-de-datos-externa-365-2019?trk=contentmappingfile" TargetMode="External"/><Relationship Id="rId177" Type="http://schemas.openxmlformats.org/officeDocument/2006/relationships/hyperlink" Target="https://www.linkedin.com/learning/excel-statistics-essential-training-1-2?trk=ondemandfile" TargetMode="External"/><Relationship Id="rId198" Type="http://schemas.openxmlformats.org/officeDocument/2006/relationships/hyperlink" Target="https://www.linkedin.com/learning/the-non-technical-skills-of-effective-data-scientists?trk=ondemandfile" TargetMode="External"/><Relationship Id="rId202" Type="http://schemas.openxmlformats.org/officeDocument/2006/relationships/hyperlink" Target="https://www.linkedin.com/learning/matlab-esencial?trk=ondemandfile" TargetMode="External"/><Relationship Id="rId223" Type="http://schemas.openxmlformats.org/officeDocument/2006/relationships/hyperlink" Target="https://www.linkedin.com/learning/00-python-para-big-data-esencial?trk=ondemandfile" TargetMode="External"/><Relationship Id="rId244" Type="http://schemas.openxmlformats.org/officeDocument/2006/relationships/hyperlink" Target="https://www.linkedin.com/learning/sql-grundkurs-3-data-manipulation-language-dml?trk=contentmappingfile" TargetMode="External"/><Relationship Id="rId18" Type="http://schemas.openxmlformats.org/officeDocument/2006/relationships/hyperlink" Target="https://www.linkedin.com/learning/big-data-no-rh-o-impacto-dos-dados-no-bem-estar-dos-colaboradores?trk=contentmappingfile" TargetMode="External"/><Relationship Id="rId39" Type="http://schemas.openxmlformats.org/officeDocument/2006/relationships/hyperlink" Target="https://www.linkedin.com/learning/data-governance-mit-microsoft-office-365?trk=ondemandfile" TargetMode="External"/><Relationship Id="rId265" Type="http://schemas.openxmlformats.org/officeDocument/2006/relationships/hyperlink" Target="https://www.linkedin.com/learning/power-bi-data-methods?trk=ondemandfile" TargetMode="External"/><Relationship Id="rId286" Type="http://schemas.openxmlformats.org/officeDocument/2006/relationships/hyperlink" Target="https://www.linkedin.com/learning/cert-prep-agile-analysis-iiba-aac?trk=ondemandfile" TargetMode="External"/><Relationship Id="rId50" Type="http://schemas.openxmlformats.org/officeDocument/2006/relationships/hyperlink" Target="https://www.linkedin.com/learning/15-mistakes-to-avoid-in-data-science?trk=ondemandfile" TargetMode="External"/><Relationship Id="rId104" Type="http://schemas.openxmlformats.org/officeDocument/2006/relationships/hyperlink" Target="https://www.linkedin.com/learning/paths/master-python-for-data-science?trk=ondemandfile" TargetMode="External"/><Relationship Id="rId125" Type="http://schemas.openxmlformats.org/officeDocument/2006/relationships/hyperlink" Target="https://www.linkedin.com/learning/sql-for-exploratory-data-analysis-essential-training?trk=ondemandfile" TargetMode="External"/><Relationship Id="rId146" Type="http://schemas.openxmlformats.org/officeDocument/2006/relationships/hyperlink" Target="https://www.linkedin.com/learning/excel-business-intelligence-2-modelado-de-datos-365-2019?trk=contentmappingfile" TargetMode="External"/><Relationship Id="rId167" Type="http://schemas.openxmlformats.org/officeDocument/2006/relationships/hyperlink" Target="https://www.linkedin.com/learning/presenting-data-effectively-to-inform-and-inspire?trk=ondemandfile" TargetMode="External"/><Relationship Id="rId188" Type="http://schemas.openxmlformats.org/officeDocument/2006/relationships/hyperlink" Target="https://www.linkedin.com/learning/microsoft-power-bi-ein-uberblick-2?trk=ondemandfile" TargetMode="External"/><Relationship Id="rId71" Type="http://schemas.openxmlformats.org/officeDocument/2006/relationships/hyperlink" Target="https://www.linkedin.com/learning/business-analytics-deep-dive-forecasting-with-exponential-smoothing?trk=ondemandfile" TargetMode="External"/><Relationship Id="rId92" Type="http://schemas.openxmlformats.org/officeDocument/2006/relationships/hyperlink" Target="https://www.linkedin.com/learning/apache-flink-exploratory-data-analytics-with-sql?trk=ondemandfile" TargetMode="External"/><Relationship Id="rId213" Type="http://schemas.openxmlformats.org/officeDocument/2006/relationships/hyperlink" Target="https://www.linkedin.com/learning/the-data-science-of-media-and-entertainment-with-barton-poulson?trk=ondemandfile" TargetMode="External"/><Relationship Id="rId234" Type="http://schemas.openxmlformats.org/officeDocument/2006/relationships/hyperlink" Target="https://www.linkedin.com/learning/excel-statistics-essential-training-2-2?trk=ondemandfile" TargetMode="External"/><Relationship Id="rId2" Type="http://schemas.openxmlformats.org/officeDocument/2006/relationships/hyperlink" Target="https://www.linkedin.com/learning/paths/advance-your-data-science-skills-in-health-sciences?trk=ondemandfile" TargetMode="External"/><Relationship Id="rId29" Type="http://schemas.openxmlformats.org/officeDocument/2006/relationships/hyperlink" Target="https://www.linkedin.com/learning/paths/become-a-business-analytics-expert?trk=ondemandfile" TargetMode="External"/><Relationship Id="rId255" Type="http://schemas.openxmlformats.org/officeDocument/2006/relationships/hyperlink" Target="https://www.linkedin.com/learning/storytelling-with-data?trk=ondemandfile" TargetMode="External"/><Relationship Id="rId276" Type="http://schemas.openxmlformats.org/officeDocument/2006/relationships/hyperlink" Target="https://www.linkedin.com/learning/ai-in-business-essential-training?trk=ondemandfile" TargetMode="External"/><Relationship Id="rId40" Type="http://schemas.openxmlformats.org/officeDocument/2006/relationships/hyperlink" Target="https://www.linkedin.com/learning/python-data-structure?trk=contentmappingfile" TargetMode="External"/><Relationship Id="rId115" Type="http://schemas.openxmlformats.org/officeDocument/2006/relationships/hyperlink" Target="https://www.linkedin.com/learning/excel-2010-power-pivot?trk=ondemandfile" TargetMode="External"/><Relationship Id="rId136" Type="http://schemas.openxmlformats.org/officeDocument/2006/relationships/hyperlink" Target="https://www.linkedin.com/learning/00-excel-2016-limpieza-de-datos?trk=ondemandfile" TargetMode="External"/><Relationship Id="rId157" Type="http://schemas.openxmlformats.org/officeDocument/2006/relationships/hyperlink" Target="https://www.linkedin.com/learning/excel-pivot-berichte-mit-datenmodell-verbessern?trk=contentmappingfile" TargetMode="External"/><Relationship Id="rId178" Type="http://schemas.openxmlformats.org/officeDocument/2006/relationships/hyperlink" Target="https://www.linkedin.com/learning/00-que-es-el-big-data-y-como-afecta-a-la-empresa?trk=ondemandfile" TargetMode="External"/><Relationship Id="rId61" Type="http://schemas.openxmlformats.org/officeDocument/2006/relationships/hyperlink" Target="https://www.linkedin.com/learning/paths/conviertete-en-data-analyst?trk=ondemandfile" TargetMode="External"/><Relationship Id="rId82" Type="http://schemas.openxmlformats.org/officeDocument/2006/relationships/hyperlink" Target="https://www.linkedin.com/learning/machine-learning-advanced-decision-trees?trk=ondemandfile" TargetMode="External"/><Relationship Id="rId199" Type="http://schemas.openxmlformats.org/officeDocument/2006/relationships/hyperlink" Target="https://www.linkedin.com/learning/introducci-n-a-la-visualizaci-n-de-datos?trk=ondemandfile" TargetMode="External"/><Relationship Id="rId203" Type="http://schemas.openxmlformats.org/officeDocument/2006/relationships/hyperlink" Target="https://www.linkedin.com/learning/power-bi-desktop-grundkurs?trk=ondemandfile" TargetMode="External"/><Relationship Id="rId19" Type="http://schemas.openxmlformats.org/officeDocument/2006/relationships/hyperlink" Target="https://www.linkedin.com/learning/excel-2016-managing-and-analyzing-data-2?trk=ondemandfile" TargetMode="External"/><Relationship Id="rId224" Type="http://schemas.openxmlformats.org/officeDocument/2006/relationships/hyperlink" Target="https://www.linkedin.com/learning/python-geometrische-berechnungen?trk=ondemandfile" TargetMode="External"/><Relationship Id="rId245" Type="http://schemas.openxmlformats.org/officeDocument/2006/relationships/hyperlink" Target="https://www.linkedin.com/learning/ux-deep-dive-analyzing-data?trk=ondemandfile" TargetMode="External"/><Relationship Id="rId266" Type="http://schemas.openxmlformats.org/officeDocument/2006/relationships/hyperlink" Target="https://www.linkedin.com/learning/online-und-web-analyse-grundlagen?trk=ondemandfile" TargetMode="External"/><Relationship Id="rId287" Type="http://schemas.openxmlformats.org/officeDocument/2006/relationships/hyperlink" Target="https://www.linkedin.com/learning/business-analyst-and-project-manager-collaboration?trk=ondemandfile" TargetMode="External"/><Relationship Id="rId30" Type="http://schemas.openxmlformats.org/officeDocument/2006/relationships/hyperlink" Target="https://www.linkedin.com/learning/aprende-big-data-analisis-de-datos?trk=ondemandfile" TargetMode="External"/><Relationship Id="rId105" Type="http://schemas.openxmlformats.org/officeDocument/2006/relationships/hyperlink" Target="https://www.linkedin.com/learning/go-pour-la-data-science?trk=contentmappingfile" TargetMode="External"/><Relationship Id="rId126" Type="http://schemas.openxmlformats.org/officeDocument/2006/relationships/hyperlink" Target="https://www.linkedin.com/learning/00-excel-for-mac-2016-charts-in-depth?trk=ondemandfile" TargetMode="External"/><Relationship Id="rId147" Type="http://schemas.openxmlformats.org/officeDocument/2006/relationships/hyperlink" Target="https://www.linkedin.com/learning/excel-dashboards?trk=ondemandfile" TargetMode="External"/><Relationship Id="rId168" Type="http://schemas.openxmlformats.org/officeDocument/2006/relationships/hyperlink" Target="https://www.linkedin.com/learning/excel-limpieza-de-datos?trk=contentmappingfile" TargetMode="External"/><Relationship Id="rId51" Type="http://schemas.openxmlformats.org/officeDocument/2006/relationships/hyperlink" Target="https://www.linkedin.com/learning/paths/become-a-data-visualization-specialist-tools?trk=ondemandfile" TargetMode="External"/><Relationship Id="rId72" Type="http://schemas.openxmlformats.org/officeDocument/2006/relationships/hyperlink" Target="https://www.linkedin.com/learning/paths/build-essential-data-skills?trk=ondemandfile" TargetMode="External"/><Relationship Id="rId93" Type="http://schemas.openxmlformats.org/officeDocument/2006/relationships/hyperlink" Target="https://www.linkedin.com/learning/paths/master-advanced-excel-data-analytics-skills?trk=ondemandfile" TargetMode="External"/><Relationship Id="rId189" Type="http://schemas.openxmlformats.org/officeDocument/2006/relationships/hyperlink" Target="https://www.linkedin.com/learning/spss-statistics-essential-training-2?trk=ondemandfile" TargetMode="External"/><Relationship Id="rId3" Type="http://schemas.openxmlformats.org/officeDocument/2006/relationships/hyperlink" Target="https://www.linkedin.com/learning/00-vba-para-access-avanzado-acceso-a-datos?trk=ondemandfile" TargetMode="External"/><Relationship Id="rId214" Type="http://schemas.openxmlformats.org/officeDocument/2006/relationships/hyperlink" Target="https://www.linkedin.com/learning/power-bi-para-principiantes-analisis-de-datos?trk=ondemandfile" TargetMode="External"/><Relationship Id="rId235" Type="http://schemas.openxmlformats.org/officeDocument/2006/relationships/hyperlink" Target="https://www.linkedin.com/learning/tableau-esencial?trk=ondemandfile" TargetMode="External"/><Relationship Id="rId256" Type="http://schemas.openxmlformats.org/officeDocument/2006/relationships/hyperlink" Target="https://www.linkedin.com/learning/8c55c7eb-fbae-34f3-9378-f86a417b0088?trk=ondemandfile" TargetMode="External"/><Relationship Id="rId277" Type="http://schemas.openxmlformats.org/officeDocument/2006/relationships/hyperlink" Target="https://www.linkedin.com/learning/ai-in-fintech-essential-training?trk=ondemandfile" TargetMode="External"/><Relationship Id="rId116" Type="http://schemas.openxmlformats.org/officeDocument/2006/relationships/hyperlink" Target="https://www.linkedin.com/learning/statistics-foundations-2-2?trk=ondemandfile" TargetMode="External"/><Relationship Id="rId137" Type="http://schemas.openxmlformats.org/officeDocument/2006/relationships/hyperlink" Target="https://www.linkedin.com/learning/excel-2016-pivot-tabellen?trk=ondemandfile" TargetMode="External"/><Relationship Id="rId158" Type="http://schemas.openxmlformats.org/officeDocument/2006/relationships/hyperlink" Target="https://www.linkedin.com/learning/15-tips-for-landing-a-data-science-job?trk=ondemandfile" TargetMode="External"/><Relationship Id="rId20" Type="http://schemas.openxmlformats.org/officeDocument/2006/relationships/hyperlink" Target="https://www.linkedin.com/learning/leading-teams-working-with-data-pitfalls-and-best-practices?trk=ondemandfile" TargetMode="External"/><Relationship Id="rId41" Type="http://schemas.openxmlformats.org/officeDocument/2006/relationships/hyperlink" Target="https://www.linkedin.com/learning/python-for-data-science-essential-training-2?trk=ondemandfile" TargetMode="External"/><Relationship Id="rId62" Type="http://schemas.openxmlformats.org/officeDocument/2006/relationships/hyperlink" Target="https://www.linkedin.com/learning/data-science-grundlagen-knowledge-graphen?trk=ondemandfile" TargetMode="External"/><Relationship Id="rId83" Type="http://schemas.openxmlformats.org/officeDocument/2006/relationships/hyperlink" Target="https://www.linkedin.com/learning/paths/develop-your-data-analysis-skills?trk=ondemandfile" TargetMode="External"/><Relationship Id="rId179" Type="http://schemas.openxmlformats.org/officeDocument/2006/relationships/hyperlink" Target="https://www.linkedin.com/learning/e0bd925c-9e90-3e50-871a-8bcb5c7d32fa?trk=ondemandfile" TargetMode="External"/><Relationship Id="rId190" Type="http://schemas.openxmlformats.org/officeDocument/2006/relationships/hyperlink" Target="https://www.linkedin.com/learning/fundamentos-de-la-programacion-bases-de-datos-8625298?trk=ondemandfile" TargetMode="External"/><Relationship Id="rId204" Type="http://schemas.openxmlformats.org/officeDocument/2006/relationships/hyperlink" Target="https://www.linkedin.com/learning/how-to-perform-business-analysis-in-a-virtual-environment?trk=ondemandfile" TargetMode="External"/><Relationship Id="rId225" Type="http://schemas.openxmlformats.org/officeDocument/2006/relationships/hyperlink" Target="https://www.linkedin.com/learning/hiring-a-chief-data-officer?trk=contentmappingfile" TargetMode="External"/><Relationship Id="rId246" Type="http://schemas.openxmlformats.org/officeDocument/2006/relationships/hyperlink" Target="https://www.linkedin.com/learning/sql-grundkurs-4-data-definition-language-ddl-und-data-control-language-dcl?trk=contentmappingfile" TargetMode="External"/><Relationship Id="rId267" Type="http://schemas.openxmlformats.org/officeDocument/2006/relationships/hyperlink" Target="https://www.linkedin.com/learning/using-python-with-excel?trk=ondemandfile" TargetMode="External"/><Relationship Id="rId288" Type="http://schemas.openxmlformats.org/officeDocument/2006/relationships/hyperlink" Target="https://www.linkedin.com/learning/microsoft-power-apps-using-the-dataverse-formerly-the-common-data-service?trk=ondemandfile" TargetMode="External"/><Relationship Id="rId106" Type="http://schemas.openxmlformats.org/officeDocument/2006/relationships/hyperlink" Target="https://www.linkedin.com/learning/data-analyst-tecnicas-y-herramientas-de-informes-esencial?trk=ondemandfile" TargetMode="External"/><Relationship Id="rId127" Type="http://schemas.openxmlformats.org/officeDocument/2006/relationships/hyperlink" Target="https://www.linkedin.com/learning/excel-2016-daten-importieren-modellieren-auswerten?trk=ondemandfile" TargetMode="External"/><Relationship Id="rId10" Type="http://schemas.openxmlformats.org/officeDocument/2006/relationships/hyperlink" Target="https://www.linkedin.com/learning/paths/65b9245d-75e9-323d-a736-70d3af14ddd1?trk=ondemandfile" TargetMode="External"/><Relationship Id="rId31" Type="http://schemas.openxmlformats.org/officeDocument/2006/relationships/hyperlink" Target="https://www.linkedin.com/learning/paths/crea-informes-usando-microsoft-excel?trk=ondemandfile" TargetMode="External"/><Relationship Id="rId52" Type="http://schemas.openxmlformats.org/officeDocument/2006/relationships/hyperlink" Target="https://www.linkedin.com/learning/00-aprende-data-science-cuenta-historias-con-los-datos?trk=ondemandfile" TargetMode="External"/><Relationship Id="rId73" Type="http://schemas.openxmlformats.org/officeDocument/2006/relationships/hyperlink" Target="https://www.linkedin.com/learning/excel-analyse-de-donnees-avec-power-query-microsoft-365-office-365?trk=contentmappingfile" TargetMode="External"/><Relationship Id="rId94" Type="http://schemas.openxmlformats.org/officeDocument/2006/relationships/hyperlink" Target="https://www.linkedin.com/learning/00-big-data-para-la-empresa-escucha-activa?trk=ondemandfile" TargetMode="External"/><Relationship Id="rId148" Type="http://schemas.openxmlformats.org/officeDocument/2006/relationships/hyperlink" Target="https://www.linkedin.com/learning/business-analytics-sales-data?trk=ondemandfile" TargetMode="External"/><Relationship Id="rId169" Type="http://schemas.openxmlformats.org/officeDocument/2006/relationships/hyperlink" Target="https://www.linkedin.com/learning/excel-statistische-funktionen?trk=ondemandfile" TargetMode="External"/><Relationship Id="rId4" Type="http://schemas.openxmlformats.org/officeDocument/2006/relationships/hyperlink" Target="https://www.linkedin.com/learning/paths/conviertete-en-experto-en-excel-2016?trk=ondemandfile" TargetMode="External"/><Relationship Id="rId180" Type="http://schemas.openxmlformats.org/officeDocument/2006/relationships/hyperlink" Target="https://www.linkedin.com/learning/learning-data-visualization-2019-revision?trk=ondemandfile" TargetMode="External"/><Relationship Id="rId215" Type="http://schemas.openxmlformats.org/officeDocument/2006/relationships/hyperlink" Target="https://www.linkedin.com/learning/python-for-c-plus-plus-java-und-c-sharp-entwickler?trk=ondemandfile" TargetMode="External"/><Relationship Id="rId236" Type="http://schemas.openxmlformats.org/officeDocument/2006/relationships/hyperlink" Target="https://www.linkedin.com/learning/relationale-algebra-mit-mysql?trk=ondemandfile" TargetMode="External"/><Relationship Id="rId257" Type="http://schemas.openxmlformats.org/officeDocument/2006/relationships/hyperlink" Target="https://www.linkedin.com/learning/power-bi-data-modeling-with-dax?trk=ondemandfile" TargetMode="External"/><Relationship Id="rId278" Type="http://schemas.openxmlformats.org/officeDocument/2006/relationships/hyperlink" Target="https://www.linkedin.com/learning/excel-avoiding-common-mistakes-office-365-excel-2019?trk=ondemandfile" TargetMode="External"/><Relationship Id="rId42" Type="http://schemas.openxmlformats.org/officeDocument/2006/relationships/hyperlink" Target="https://www.linkedin.com/learning/data-visualization-best-practices-14429760?trk=contentmappingfile" TargetMode="External"/><Relationship Id="rId84" Type="http://schemas.openxmlformats.org/officeDocument/2006/relationships/hyperlink" Target="https://www.linkedin.com/learning/big-data-recursos-humanos-y-gestion-del-bienestar-laboral?trk=contentmappingfile" TargetMode="External"/><Relationship Id="rId138" Type="http://schemas.openxmlformats.org/officeDocument/2006/relationships/hyperlink" Target="https://www.linkedin.com/learning/introduction-to-business-analytics?trk=ondemandfile" TargetMode="External"/><Relationship Id="rId191" Type="http://schemas.openxmlformats.org/officeDocument/2006/relationships/hyperlink" Target="https://www.linkedin.com/learning/minitab-lernen?trk=ondemandfile" TargetMode="External"/><Relationship Id="rId205" Type="http://schemas.openxmlformats.org/officeDocument/2006/relationships/hyperlink" Target="https://www.linkedin.com/learning/microsoft-power-bi-en-power-platform-esencial?trk=ondemandfile" TargetMode="External"/><Relationship Id="rId247" Type="http://schemas.openxmlformats.org/officeDocument/2006/relationships/hyperlink" Target="https://www.linkedin.com/learning/data-visualization-storytelling?trk=ondemandfile" TargetMode="External"/><Relationship Id="rId107" Type="http://schemas.openxmlformats.org/officeDocument/2006/relationships/hyperlink" Target="https://www.linkedin.com/learning/azure-2?trk=ondemandfile" TargetMode="External"/><Relationship Id="rId11" Type="http://schemas.openxmlformats.org/officeDocument/2006/relationships/hyperlink" Target="https://www.linkedin.com/learning/cmo-foundations-measuring-marketing-effectiveness-roi?trk=ondemandfile" TargetMode="External"/><Relationship Id="rId53" Type="http://schemas.openxmlformats.org/officeDocument/2006/relationships/hyperlink" Target="https://www.linkedin.com/learning/paths/conviertete-en-experto-de-big-data-para-los-negocios?trk=ondemandfile" TargetMode="External"/><Relationship Id="rId149" Type="http://schemas.openxmlformats.org/officeDocument/2006/relationships/hyperlink" Target="https://www.linkedin.com/learning/migrer-une-base-de-donnees-sql-server-sur-azure-database?trk=contentmappingfile" TargetMode="External"/><Relationship Id="rId95" Type="http://schemas.openxmlformats.org/officeDocument/2006/relationships/hyperlink" Target="https://www.linkedin.com/learning/datenanalyse-mit-r-datenvisualisierung?trk=contentmappingfile" TargetMode="External"/><Relationship Id="rId160" Type="http://schemas.openxmlformats.org/officeDocument/2006/relationships/hyperlink" Target="https://www.linkedin.com/learning/excel-pivot-tabellen-fur-einsteiger?trk=contentmappingfile" TargetMode="External"/><Relationship Id="rId216" Type="http://schemas.openxmlformats.org/officeDocument/2006/relationships/hyperlink" Target="https://www.linkedin.com/learning/the-data-science-of-government-and-political-science-with-barton-poulson?trk=ondemandfile" TargetMode="External"/><Relationship Id="rId258" Type="http://schemas.openxmlformats.org/officeDocument/2006/relationships/hyperlink" Target="https://www.linkedin.com/learning/sql-server-reporting-services-visualisierung?trk=contentmappingfile" TargetMode="External"/><Relationship Id="rId22" Type="http://schemas.openxmlformats.org/officeDocument/2006/relationships/hyperlink" Target="https://www.linkedin.com/learning/aprende-analisis-y-visualizacion-de-datos-con-hojas-de-calculo-de-google?trk=ondemandfile" TargetMode="External"/><Relationship Id="rId64" Type="http://schemas.openxmlformats.org/officeDocument/2006/relationships/hyperlink" Target="https://www.linkedin.com/learning/learning-sql-programming-2?trk=ondemandfile" TargetMode="External"/><Relationship Id="rId118" Type="http://schemas.openxmlformats.org/officeDocument/2006/relationships/hyperlink" Target="https://www.linkedin.com/learning/data-scientist-mineria-de-datos-esencial?trk=ondemandfile" TargetMode="External"/></Relationships>
</file>

<file path=xl/worksheets/_rels/sheet21.xml.rels><?xml version="1.0" encoding="UTF-8" standalone="yes"?>
<Relationships xmlns="http://schemas.openxmlformats.org/package/2006/relationships"><Relationship Id="rId117" Type="http://schemas.openxmlformats.org/officeDocument/2006/relationships/hyperlink" Target="https://www.linkedin.com/learning/quickbooks-online-essential-training-2021?trk=ondemandfile" TargetMode="External"/><Relationship Id="rId21" Type="http://schemas.openxmlformats.org/officeDocument/2006/relationships/hyperlink" Target="https://www.linkedin.com/learning/paths/conviertete-en-asistente-de-contabilidad?trk=ondemandfile" TargetMode="External"/><Relationship Id="rId42" Type="http://schemas.openxmlformats.org/officeDocument/2006/relationships/hyperlink" Target="https://www.linkedin.com/learning/die-finanzen-im-griff-als-grunder?trk=ondemandfile" TargetMode="External"/><Relationship Id="rId63" Type="http://schemas.openxmlformats.org/officeDocument/2006/relationships/hyperlink" Target="https://www.linkedin.com/learning/business-intelligence-for-consultants?trk=ondemandfile" TargetMode="External"/><Relationship Id="rId84" Type="http://schemas.openxmlformats.org/officeDocument/2006/relationships/hyperlink" Target="https://www.linkedin.com/learning/finance-foundations-2?trk=ondemandfile" TargetMode="External"/><Relationship Id="rId138" Type="http://schemas.openxmlformats.org/officeDocument/2006/relationships/hyperlink" Target="https://www.linkedin.com/learning/financial-risk-management-reduce-risk?trk=ondemandfile" TargetMode="External"/><Relationship Id="rId159" Type="http://schemas.openxmlformats.org/officeDocument/2006/relationships/hyperlink" Target="https://www.linkedin.com/learning/business-investment-analysis?trk=ondemandfile" TargetMode="External"/><Relationship Id="rId170" Type="http://schemas.openxmlformats.org/officeDocument/2006/relationships/hyperlink" Target="https://www.linkedin.com/learning/finance-foundations-corporate-governanace?trk=ondemandfile" TargetMode="External"/><Relationship Id="rId107" Type="http://schemas.openxmlformats.org/officeDocument/2006/relationships/hyperlink" Target="https://www.linkedin.com/learning/presupuestos-para-peque-as-empresas?trk=ondemandfile" TargetMode="External"/><Relationship Id="rId11" Type="http://schemas.openxmlformats.org/officeDocument/2006/relationships/hyperlink" Target="https://www.linkedin.com/learning/blockchain-prise-en-main-de-solidity?trk=contentmappingfile" TargetMode="External"/><Relationship Id="rId32" Type="http://schemas.openxmlformats.org/officeDocument/2006/relationships/hyperlink" Target="https://www.linkedin.com/learning/measuring-business-performance-3?trk=ondemandfile" TargetMode="External"/><Relationship Id="rId53" Type="http://schemas.openxmlformats.org/officeDocument/2006/relationships/hyperlink" Target="https://www.linkedin.com/learning/focusing-on-the-bottom-line-as-an-employee?trk=ondemandfile" TargetMode="External"/><Relationship Id="rId74" Type="http://schemas.openxmlformats.org/officeDocument/2006/relationships/hyperlink" Target="https://www.linkedin.com/learning/accounting-foundations-2?trk=ondemandfile" TargetMode="External"/><Relationship Id="rId128" Type="http://schemas.openxmlformats.org/officeDocument/2006/relationships/hyperlink" Target="https://www.linkedin.com/learning/statistics-foundations-2?trk=ondemandfile" TargetMode="External"/><Relationship Id="rId149" Type="http://schemas.openxmlformats.org/officeDocument/2006/relationships/hyperlink" Target="https://www.linkedin.com/learning/data-analytics-for-business-professionals?trk=ondemandfile" TargetMode="External"/><Relationship Id="rId5" Type="http://schemas.openxmlformats.org/officeDocument/2006/relationships/hyperlink" Target="https://www.linkedin.com/learning/paths/optimiza-tu-gestion-financiera?trk=ondemandfile" TargetMode="External"/><Relationship Id="rId95" Type="http://schemas.openxmlformats.org/officeDocument/2006/relationships/hyperlink" Target="https://www.linkedin.com/learning/gestiona-tus-finanzas-personales-en-tiempos-de-crisis?trk=ondemandfile" TargetMode="External"/><Relationship Id="rId160" Type="http://schemas.openxmlformats.org/officeDocument/2006/relationships/hyperlink" Target="https://www.linkedin.com/learning/ai-in-fintech-essential-training?trk=ondemandfile" TargetMode="External"/><Relationship Id="rId181" Type="http://schemas.openxmlformats.org/officeDocument/2006/relationships/hyperlink" Target="https://www.linkedin.com/learning/what-is-business-analysis?trk=ondemandfile" TargetMode="External"/><Relationship Id="rId22" Type="http://schemas.openxmlformats.org/officeDocument/2006/relationships/hyperlink" Target="https://www.linkedin.com/learning/businessplan-f-r-ihr-unternehmen?trk=ondemandfile" TargetMode="External"/><Relationship Id="rId43" Type="http://schemas.openxmlformats.org/officeDocument/2006/relationships/hyperlink" Target="https://www.linkedin.com/learning/finance-for-non-financial-managers-2?trk=ondemandfile" TargetMode="External"/><Relationship Id="rId64" Type="http://schemas.openxmlformats.org/officeDocument/2006/relationships/hyperlink" Target="https://www.linkedin.com/learning/finanzas-personales-trucos?trk=ondemandfile" TargetMode="External"/><Relationship Id="rId118" Type="http://schemas.openxmlformats.org/officeDocument/2006/relationships/hyperlink" Target="https://www.linkedin.com/learning/quickbooks-pro-2019-essential-training?trk=ondemandfile" TargetMode="External"/><Relationship Id="rId139" Type="http://schemas.openxmlformats.org/officeDocument/2006/relationships/hyperlink" Target="https://www.linkedin.com/learning/sap-accounts-payable-boot-camp?trk=ondemandfile" TargetMode="External"/><Relationship Id="rId85" Type="http://schemas.openxmlformats.org/officeDocument/2006/relationships/hyperlink" Target="https://www.linkedin.com/learning/educaci-n-financiera-terminolog-a-econ-mico-financiera?trk=ondemandfile" TargetMode="External"/><Relationship Id="rId150" Type="http://schemas.openxmlformats.org/officeDocument/2006/relationships/hyperlink" Target="https://www.linkedin.com/learning/managing-globally/what-is-cultural-agility" TargetMode="External"/><Relationship Id="rId171" Type="http://schemas.openxmlformats.org/officeDocument/2006/relationships/hyperlink" Target="https://www.linkedin.com/learning/preparing-for-an-audit?trk=ondemandfile" TargetMode="External"/><Relationship Id="rId12" Type="http://schemas.openxmlformats.org/officeDocument/2006/relationships/hyperlink" Target="https://www.linkedin.com/learning/00-contabilidad-y-finanzas-trucos-semanales?trk=ondemandfile" TargetMode="External"/><Relationship Id="rId33" Type="http://schemas.openxmlformats.org/officeDocument/2006/relationships/hyperlink" Target="https://www.linkedin.com/learning/job-interview-tips-for-accountants?trk=ondemandfile" TargetMode="External"/><Relationship Id="rId108" Type="http://schemas.openxmlformats.org/officeDocument/2006/relationships/hyperlink" Target="https://www.linkedin.com/learning/financial-accounting-foundations?trk=ondemandfile" TargetMode="External"/><Relationship Id="rId129" Type="http://schemas.openxmlformats.org/officeDocument/2006/relationships/hyperlink" Target="https://www.linkedin.com/learning/activity-based-costing?trk=ondemandfile" TargetMode="External"/><Relationship Id="rId54" Type="http://schemas.openxmlformats.org/officeDocument/2006/relationships/hyperlink" Target="https://www.linkedin.com/learning/paths/stay-ahead-in-personal-finance?trk=ondemandfile" TargetMode="External"/><Relationship Id="rId75" Type="http://schemas.openxmlformats.org/officeDocument/2006/relationships/hyperlink" Target="https://www.linkedin.com/learning/00-gestion-de-proyectos-presupuestos?trk=ondemandfile" TargetMode="External"/><Relationship Id="rId96" Type="http://schemas.openxmlformats.org/officeDocument/2006/relationships/hyperlink" Target="https://www.linkedin.com/learning/how-to-analyze-a-wholesale-deal-in-real-estate?trk=ondemandfile" TargetMode="External"/><Relationship Id="rId140" Type="http://schemas.openxmlformats.org/officeDocument/2006/relationships/hyperlink" Target="https://www.linkedin.com/learning/applied-economic-forecasting-with-big-data?trk=ondemandfile" TargetMode="External"/><Relationship Id="rId161" Type="http://schemas.openxmlformats.org/officeDocument/2006/relationships/hyperlink" Target="https://www.linkedin.com/learning/accounting-foundations-cost-based-pricing-strategies?trk=ondemandfile" TargetMode="External"/><Relationship Id="rId6" Type="http://schemas.openxmlformats.org/officeDocument/2006/relationships/hyperlink" Target="https://www.linkedin.com/learning/00-bilanzen-lesen-und-verstehen?trk=ondemandfile" TargetMode="External"/><Relationship Id="rId23" Type="http://schemas.openxmlformats.org/officeDocument/2006/relationships/hyperlink" Target="https://www.linkedin.com/learning/accounting-foundations-3?trk=ondemandfile" TargetMode="External"/><Relationship Id="rId119" Type="http://schemas.openxmlformats.org/officeDocument/2006/relationships/hyperlink" Target="https://www.linkedin.com/learning/financial-accounting-part-2?trk=ondemandfile" TargetMode="External"/><Relationship Id="rId44" Type="http://schemas.openxmlformats.org/officeDocument/2006/relationships/hyperlink" Target="https://www.linkedin.com/learning/s-4-finance-fiori-accounts-payable-analytics?trk=ondemandfile" TargetMode="External"/><Relationship Id="rId60" Type="http://schemas.openxmlformats.org/officeDocument/2006/relationships/hyperlink" Target="https://www.linkedin.com/learning/business-analytics-forecasting-with-seasonal-baseline-smoothing?trk=ondemandfile" TargetMode="External"/><Relationship Id="rId65" Type="http://schemas.openxmlformats.org/officeDocument/2006/relationships/hyperlink" Target="https://www.linkedin.com/learning/e4d1e956-259e-36d6-baae-f836ce983afc?trk=ondemandfile" TargetMode="External"/><Relationship Id="rId81" Type="http://schemas.openxmlformats.org/officeDocument/2006/relationships/hyperlink" Target="https://www.linkedin.com/learning/educaci-n-financiera-control-y-reducci-n-de-costes?trk=ondemandfile" TargetMode="External"/><Relationship Id="rId86" Type="http://schemas.openxmlformats.org/officeDocument/2006/relationships/hyperlink" Target="https://www.linkedin.com/learning/finance-foundations-income-taxes-2?trk=ondemandfile" TargetMode="External"/><Relationship Id="rId130" Type="http://schemas.openxmlformats.org/officeDocument/2006/relationships/hyperlink" Target="https://www.linkedin.com/learning/corporate-finance-statement-analysis?trk=ondemandfile" TargetMode="External"/><Relationship Id="rId135" Type="http://schemas.openxmlformats.org/officeDocument/2006/relationships/hyperlink" Target="https://www.linkedin.com/learning/forecasting-using-financial-statements?trk=ondemandfile" TargetMode="External"/><Relationship Id="rId151" Type="http://schemas.openxmlformats.org/officeDocument/2006/relationships/hyperlink" Target="https://www.linkedin.com/learning/managing-globally/what-is-cultural-agility" TargetMode="External"/><Relationship Id="rId156" Type="http://schemas.openxmlformats.org/officeDocument/2006/relationships/hyperlink" Target="https://www.linkedin.com/learning/accounting-foundations-leases?trk=ondemandfile" TargetMode="External"/><Relationship Id="rId177" Type="http://schemas.openxmlformats.org/officeDocument/2006/relationships/hyperlink" Target="https://www.linkedin.com/learning/managing-international-projects-2?trk=ondemandfile" TargetMode="External"/><Relationship Id="rId172" Type="http://schemas.openxmlformats.org/officeDocument/2006/relationships/hyperlink" Target="https://www.linkedin.com/learning/introduction-to-nfts-non-fungible-tokens?trk=ondemandfile" TargetMode="External"/><Relationship Id="rId13" Type="http://schemas.openxmlformats.org/officeDocument/2006/relationships/hyperlink" Target="https://www.linkedin.com/learning/paths/conviertete-en-responsable-financiero?trk=ondemandfile" TargetMode="External"/><Relationship Id="rId18" Type="http://schemas.openxmlformats.org/officeDocument/2006/relationships/hyperlink" Target="https://www.linkedin.com/learning/nonprofit-foundations?trk=ondemandfile" TargetMode="External"/><Relationship Id="rId39" Type="http://schemas.openxmlformats.org/officeDocument/2006/relationships/hyperlink" Target="https://www.linkedin.com/learning/s-4-finance-fiori-accounts-receivable-analytics?trk=ondemandfile" TargetMode="External"/><Relationship Id="rId109" Type="http://schemas.openxmlformats.org/officeDocument/2006/relationships/hyperlink" Target="https://www.linkedin.com/learning/behavioral-finance-foundations-2?trk=ondemandfile" TargetMode="External"/><Relationship Id="rId34" Type="http://schemas.openxmlformats.org/officeDocument/2006/relationships/hyperlink" Target="https://www.linkedin.com/learning/paths/become-a-financial-analyst?trk=ondemandfile" TargetMode="External"/><Relationship Id="rId50" Type="http://schemas.openxmlformats.org/officeDocument/2006/relationships/hyperlink" Target="https://www.linkedin.com/learning/l-intelligence-artificielle-dans-le-secteur-de-la-banque-et-de-l-assurance?trk=contentmappingfile" TargetMode="External"/><Relationship Id="rId55" Type="http://schemas.openxmlformats.org/officeDocument/2006/relationships/hyperlink" Target="https://www.linkedin.com/learning/excel-para-principiantes-crear-y-gestionar-facturas-365-2019?trk=contentmappingfile" TargetMode="External"/><Relationship Id="rId76" Type="http://schemas.openxmlformats.org/officeDocument/2006/relationships/hyperlink" Target="https://www.linkedin.com/learning/779740?trk=ondemandfile" TargetMode="External"/><Relationship Id="rId97" Type="http://schemas.openxmlformats.org/officeDocument/2006/relationships/hyperlink" Target="https://www.linkedin.com/learning/modelizacion-financiera-y-prevision-de-estados-financieros?trk=contentmappingfile" TargetMode="External"/><Relationship Id="rId104" Type="http://schemas.openxmlformats.org/officeDocument/2006/relationships/hyperlink" Target="https://www.linkedin.com/learning/applying-managerial-accounting?trk=ondemandfile" TargetMode="External"/><Relationship Id="rId120" Type="http://schemas.openxmlformats.org/officeDocument/2006/relationships/hyperlink" Target="https://www.linkedin.com/learning/finance-foundations-risk-management?trk=ondemandfile" TargetMode="External"/><Relationship Id="rId125" Type="http://schemas.openxmlformats.org/officeDocument/2006/relationships/hyperlink" Target="https://www.linkedin.com/learning/finance-and-accounting-tips?trk=ondemandfile" TargetMode="External"/><Relationship Id="rId141" Type="http://schemas.openxmlformats.org/officeDocument/2006/relationships/hyperlink" Target="https://www.linkedin.com/learning/contracting-for-consultants?trk=ondemandfile" TargetMode="External"/><Relationship Id="rId146" Type="http://schemas.openxmlformats.org/officeDocument/2006/relationships/hyperlink" Target="https://www.linkedin.com/learning/excel-for-corporate-finance-professionals?trk=ondemandfile" TargetMode="External"/><Relationship Id="rId167" Type="http://schemas.openxmlformats.org/officeDocument/2006/relationships/hyperlink" Target="https://www.linkedin.com/learning/quickbooks-online-tips-and-tricks?trk=ondemandfile" TargetMode="External"/><Relationship Id="rId7" Type="http://schemas.openxmlformats.org/officeDocument/2006/relationships/hyperlink" Target="https://www.linkedin.com/learning/developing-business-acumen-2?trk=ondemandfile" TargetMode="External"/><Relationship Id="rId71" Type="http://schemas.openxmlformats.org/officeDocument/2006/relationships/hyperlink" Target="https://www.linkedin.com/learning/11731ecd-ff9a-3036-be55-55edd14aa971?trk=ondemandfile" TargetMode="External"/><Relationship Id="rId92" Type="http://schemas.openxmlformats.org/officeDocument/2006/relationships/hyperlink" Target="https://www.linkedin.com/learning/finance-foundations-for-solopreneurs?trk=ondemandfile" TargetMode="External"/><Relationship Id="rId162" Type="http://schemas.openxmlformats.org/officeDocument/2006/relationships/hyperlink" Target="https://www.linkedin.com/learning/economics-for-business-leaders?trk=ondemandfile" TargetMode="External"/><Relationship Id="rId2" Type="http://schemas.openxmlformats.org/officeDocument/2006/relationships/hyperlink" Target="https://www.linkedin.com/learning/paths/become-an-accounts-payable-officer-2?trk=ondemandfile" TargetMode="External"/><Relationship Id="rId29" Type="http://schemas.openxmlformats.org/officeDocument/2006/relationships/hyperlink" Target="https://www.linkedin.com/learning/paths/conviertete-en-asistente-administrativo?trk=ondemandfile" TargetMode="External"/><Relationship Id="rId24" Type="http://schemas.openxmlformats.org/officeDocument/2006/relationships/hyperlink" Target="https://www.linkedin.com/learning/agile-foundations-2?trk=ondemandfile" TargetMode="External"/><Relationship Id="rId40" Type="http://schemas.openxmlformats.org/officeDocument/2006/relationships/hyperlink" Target="https://www.linkedin.com/learning/paths/become-a-small-business-owner?trk=ondemandfile" TargetMode="External"/><Relationship Id="rId45" Type="http://schemas.openxmlformats.org/officeDocument/2006/relationships/hyperlink" Target="https://www.linkedin.com/learning/paths/develop-your-finance-and-accounting-skills?trk=ondemandfile" TargetMode="External"/><Relationship Id="rId66" Type="http://schemas.openxmlformats.org/officeDocument/2006/relationships/hyperlink" Target="https://www.linkedin.com/learning/accounting-foundations-asset-impairment?trk=ondemandfile" TargetMode="External"/><Relationship Id="rId87" Type="http://schemas.openxmlformats.org/officeDocument/2006/relationships/hyperlink" Target="https://www.linkedin.com/learning/fundamentos-de-matematica-bases-y-calculo-mental?trk=ondemandfile" TargetMode="External"/><Relationship Id="rId110" Type="http://schemas.openxmlformats.org/officeDocument/2006/relationships/hyperlink" Target="https://www.linkedin.com/learning/using-the-time-value-of-money-to-make-financial-decisions-2020?trk=ondemandfile" TargetMode="External"/><Relationship Id="rId115" Type="http://schemas.openxmlformats.org/officeDocument/2006/relationships/hyperlink" Target="https://www.linkedin.com/learning/managerial-finance-foundations?trk=ondemandfile" TargetMode="External"/><Relationship Id="rId131" Type="http://schemas.openxmlformats.org/officeDocument/2006/relationships/hyperlink" Target="https://www.linkedin.com/learning/corporate-finance-strategies-for-business-leaders?trk=ondemandfile" TargetMode="External"/><Relationship Id="rId136" Type="http://schemas.openxmlformats.org/officeDocument/2006/relationships/hyperlink" Target="https://www.linkedin.com/learning/managing-globally/what-is-cultural-agility" TargetMode="External"/><Relationship Id="rId157" Type="http://schemas.openxmlformats.org/officeDocument/2006/relationships/hyperlink" Target="https://www.linkedin.com/learning/excel-implementing-balanced-scorecards-with-kpis?trk=ondemandfile" TargetMode="External"/><Relationship Id="rId178" Type="http://schemas.openxmlformats.org/officeDocument/2006/relationships/hyperlink" Target="https://www.linkedin.com/learning/recovering-from-a-financial-setback?trk=ondemandfile" TargetMode="External"/><Relationship Id="rId61" Type="http://schemas.openxmlformats.org/officeDocument/2006/relationships/hyperlink" Target="https://www.linkedin.com/learning/finanzas-para-peque-as-empresas?trk=ondemandfile" TargetMode="External"/><Relationship Id="rId82" Type="http://schemas.openxmlformats.org/officeDocument/2006/relationships/hyperlink" Target="https://www.linkedin.com/learning/business-tax-foundations?trk=ondemandfile" TargetMode="External"/><Relationship Id="rId152" Type="http://schemas.openxmlformats.org/officeDocument/2006/relationships/hyperlink" Target="https://www.linkedin.com/learning/algorithmic-trading-and-stocks-essential-training?trk=ondemandfile" TargetMode="External"/><Relationship Id="rId173" Type="http://schemas.openxmlformats.org/officeDocument/2006/relationships/hyperlink" Target="https://www.linkedin.com/learning/accounting-ethics?trk=ondemandfile" TargetMode="External"/><Relationship Id="rId19" Type="http://schemas.openxmlformats.org/officeDocument/2006/relationships/hyperlink" Target="https://www.linkedin.com/learning/paths/become-a-corporate-financial-planning-analyst?trk=ondemandfile" TargetMode="External"/><Relationship Id="rId14" Type="http://schemas.openxmlformats.org/officeDocument/2006/relationships/hyperlink" Target="https://www.linkedin.com/learning/bitcoins-und-kryptowahrungen-grundlagen?trk=ondemandfile" TargetMode="External"/><Relationship Id="rId30" Type="http://schemas.openxmlformats.org/officeDocument/2006/relationships/hyperlink" Target="https://www.linkedin.com/learning/die-unternehmensleistung-messen?trk=ondemandfile" TargetMode="External"/><Relationship Id="rId35" Type="http://schemas.openxmlformats.org/officeDocument/2006/relationships/hyperlink" Target="https://www.linkedin.com/learning/excel-2016-practico-gestion-de-tesoreria-para-pymes?trk=ondemandfile" TargetMode="External"/><Relationship Id="rId56" Type="http://schemas.openxmlformats.org/officeDocument/2006/relationships/hyperlink" Target="https://www.linkedin.com/learning/ecommerce-kosten?trk=ondemandfile" TargetMode="External"/><Relationship Id="rId77" Type="http://schemas.openxmlformats.org/officeDocument/2006/relationships/hyperlink" Target="https://www.linkedin.com/learning/educaci-n-financiera-an-lisis-de-informes-financieros?trk=ondemandfile" TargetMode="External"/><Relationship Id="rId100" Type="http://schemas.openxmlformats.org/officeDocument/2006/relationships/hyperlink" Target="https://www.linkedin.com/learning/agile-moscow-prioritization?trk=ondemandfile" TargetMode="External"/><Relationship Id="rId105" Type="http://schemas.openxmlformats.org/officeDocument/2006/relationships/hyperlink" Target="https://www.linkedin.com/learning/plantilla-grafico-para-representar-ingresos-y-gastos-cuenta-perdidas-y-ganancias-en-excel?trk=ondemandfile" TargetMode="External"/><Relationship Id="rId126" Type="http://schemas.openxmlformats.org/officeDocument/2006/relationships/hyperlink" Target="https://www.linkedin.com/learning/financial-record-keeping?trk=ondemandfile" TargetMode="External"/><Relationship Id="rId147" Type="http://schemas.openxmlformats.org/officeDocument/2006/relationships/hyperlink" Target="https://www.linkedin.com/learning/corporate-finance-robust-financial-modeling?trk=ondemandfile" TargetMode="External"/><Relationship Id="rId168" Type="http://schemas.openxmlformats.org/officeDocument/2006/relationships/hyperlink" Target="https://www.linkedin.com/learning/the-business-of-accounting?trk=ondemandfile" TargetMode="External"/><Relationship Id="rId8" Type="http://schemas.openxmlformats.org/officeDocument/2006/relationships/hyperlink" Target="https://www.linkedin.com/learning/corporate-financial-statement-analysis-3?trk=ondemandfile" TargetMode="External"/><Relationship Id="rId51" Type="http://schemas.openxmlformats.org/officeDocument/2006/relationships/hyperlink" Target="https://www.linkedin.com/learning/excel-herramientas-de-analisis-avanzadas?trk=ondemandfile" TargetMode="External"/><Relationship Id="rId72" Type="http://schemas.openxmlformats.org/officeDocument/2006/relationships/hyperlink" Target="https://www.linkedin.com/learning/sap-erp-essential-training?trk=ondemandfile" TargetMode="External"/><Relationship Id="rId93" Type="http://schemas.openxmlformats.org/officeDocument/2006/relationships/hyperlink" Target="https://www.linkedin.com/learning/gestion-financiera-rentabilidad?trk=ondemandfile" TargetMode="External"/><Relationship Id="rId98" Type="http://schemas.openxmlformats.org/officeDocument/2006/relationships/hyperlink" Target="https://www.linkedin.com/learning/consulting-foundations?trk=ondemandfile" TargetMode="External"/><Relationship Id="rId121" Type="http://schemas.openxmlformats.org/officeDocument/2006/relationships/hyperlink" Target="https://www.linkedin.com/learning/financial-accounting-part-1?trk=ondemandfile" TargetMode="External"/><Relationship Id="rId142" Type="http://schemas.openxmlformats.org/officeDocument/2006/relationships/hyperlink" Target="https://www.linkedin.com/learning/consulting-foundations-client-management-and-relationships?trk=ondemandfile" TargetMode="External"/><Relationship Id="rId163" Type="http://schemas.openxmlformats.org/officeDocument/2006/relationships/hyperlink" Target="https://www.linkedin.com/learning/accounting-foundations-global-finance-accounting?trk=ondemandfile" TargetMode="External"/><Relationship Id="rId3" Type="http://schemas.openxmlformats.org/officeDocument/2006/relationships/hyperlink" Target="https://www.linkedin.com/learning/blockchain-creer-et-deployer-un-smart-contract?trk=contentmappingfile" TargetMode="External"/><Relationship Id="rId25" Type="http://schemas.openxmlformats.org/officeDocument/2006/relationships/hyperlink" Target="https://www.linkedin.com/learning/accounting-for-managers?trk=ondemandfile" TargetMode="External"/><Relationship Id="rId46" Type="http://schemas.openxmlformats.org/officeDocument/2006/relationships/hyperlink" Target="https://www.linkedin.com/learning/excel-para-analisis-financiero-y-finanzas-corporativas-office-365-microsoft-365?trk=contentmappingfile" TargetMode="External"/><Relationship Id="rId67" Type="http://schemas.openxmlformats.org/officeDocument/2006/relationships/hyperlink" Target="https://www.linkedin.com/learning/finanzas-personales-trucos-avanzados?trk=ondemandfile" TargetMode="External"/><Relationship Id="rId116" Type="http://schemas.openxmlformats.org/officeDocument/2006/relationships/hyperlink" Target="https://www.linkedin.com/learning/accounting-foundations-understanding-the-gaap-general-applied-accounting-principles?trk=ondemandfile" TargetMode="External"/><Relationship Id="rId137" Type="http://schemas.openxmlformats.org/officeDocument/2006/relationships/hyperlink" Target="https://www.linkedin.com/learning/managing-globally/what-is-cultural-agility" TargetMode="External"/><Relationship Id="rId158" Type="http://schemas.openxmlformats.org/officeDocument/2006/relationships/hyperlink" Target="https://www.linkedin.com/learning/accounting-foundations-internal-controls?trk=ondemandfile" TargetMode="External"/><Relationship Id="rId20" Type="http://schemas.openxmlformats.org/officeDocument/2006/relationships/hyperlink" Target="https://www.linkedin.com/learning/economia-de-la-empresa?trk=contentmappingfile" TargetMode="External"/><Relationship Id="rId41" Type="http://schemas.openxmlformats.org/officeDocument/2006/relationships/hyperlink" Target="https://www.linkedin.com/learning/creaci-n-de-un-plan-de-viabilidad-econ-mico-financiero-en-excel?trk=ondemandfile" TargetMode="External"/><Relationship Id="rId62" Type="http://schemas.openxmlformats.org/officeDocument/2006/relationships/hyperlink" Target="https://www.linkedin.com/learning/excel-workshop-kassenbuch?trk=ondemandfile" TargetMode="External"/><Relationship Id="rId83" Type="http://schemas.openxmlformats.org/officeDocument/2006/relationships/hyperlink" Target="https://www.linkedin.com/learning/educaci-n-financiera-decisiones-de-inversi-n?trk=ondemandfile" TargetMode="External"/><Relationship Id="rId88" Type="http://schemas.openxmlformats.org/officeDocument/2006/relationships/hyperlink" Target="https://www.linkedin.com/learning/running-a-profitable-business-understanding-financial-ratios?trk=ondemandfile" TargetMode="External"/><Relationship Id="rId111" Type="http://schemas.openxmlformats.org/officeDocument/2006/relationships/hyperlink" Target="https://www.linkedin.com/learning/finance-essentials-for-small-business?trk=ondemandfile" TargetMode="External"/><Relationship Id="rId132" Type="http://schemas.openxmlformats.org/officeDocument/2006/relationships/hyperlink" Target="https://www.linkedin.com/learning/sap-business-one-finance-and-banking?trk=ondemandfile" TargetMode="External"/><Relationship Id="rId153" Type="http://schemas.openxmlformats.org/officeDocument/2006/relationships/hyperlink" Target="https://www.linkedin.com/learning/data-analytics-for-pricing-analysts-in-excel?trk=ondemandfile" TargetMode="External"/><Relationship Id="rId174" Type="http://schemas.openxmlformats.org/officeDocument/2006/relationships/hyperlink" Target="https://www.linkedin.com/learning/the-data-science-of-economics-banking-and-finance-with-barton-poulson?trk=ondemandfile" TargetMode="External"/><Relationship Id="rId179" Type="http://schemas.openxmlformats.org/officeDocument/2006/relationships/hyperlink" Target="https://www.linkedin.com/learning/financial-basics-everyone-should-know?trk=ondemandfile" TargetMode="External"/><Relationship Id="rId15" Type="http://schemas.openxmlformats.org/officeDocument/2006/relationships/hyperlink" Target="https://www.linkedin.com/learning/corporate-financial-statement-analysis-2?trk=ondemandfile" TargetMode="External"/><Relationship Id="rId36" Type="http://schemas.openxmlformats.org/officeDocument/2006/relationships/hyperlink" Target="https://www.linkedin.com/learning/finanzen-grundlagen?trk=ondemandfile" TargetMode="External"/><Relationship Id="rId57" Type="http://schemas.openxmlformats.org/officeDocument/2006/relationships/hyperlink" Target="https://www.linkedin.com/learning/business-analytics-deep-dive-forecasting-with-exponential-smoothing?trk=ondemandfile" TargetMode="External"/><Relationship Id="rId106" Type="http://schemas.openxmlformats.org/officeDocument/2006/relationships/hyperlink" Target="https://www.linkedin.com/learning/corporate-finance-foundations?trk=ondemandfile" TargetMode="External"/><Relationship Id="rId127" Type="http://schemas.openxmlformats.org/officeDocument/2006/relationships/hyperlink" Target="https://www.linkedin.com/learning/financial-modeling?trk=ondemandfile" TargetMode="External"/><Relationship Id="rId10" Type="http://schemas.openxmlformats.org/officeDocument/2006/relationships/hyperlink" Target="https://www.linkedin.com/learning/paths/become-a-bookkeeper?trk=ondemandfile" TargetMode="External"/><Relationship Id="rId31" Type="http://schemas.openxmlformats.org/officeDocument/2006/relationships/hyperlink" Target="https://www.linkedin.com/learning/finance-foundations-4?trk=ondemandfile" TargetMode="External"/><Relationship Id="rId52" Type="http://schemas.openxmlformats.org/officeDocument/2006/relationships/hyperlink" Target="https://www.linkedin.com/learning/geld-am-aktienmarkt-anlegen?trk=ondemandfile" TargetMode="External"/><Relationship Id="rId73" Type="http://schemas.openxmlformats.org/officeDocument/2006/relationships/hyperlink" Target="https://www.linkedin.com/learning/fundamentos-de-la-contabilidad?trk=ondemandfile" TargetMode="External"/><Relationship Id="rId78" Type="http://schemas.openxmlformats.org/officeDocument/2006/relationships/hyperlink" Target="https://www.linkedin.com/learning/accounting-foundations-budgeting-2?trk=ondemandfile" TargetMode="External"/><Relationship Id="rId94" Type="http://schemas.openxmlformats.org/officeDocument/2006/relationships/hyperlink" Target="https://www.linkedin.com/learning/understanding-capital-markets?trk=ondemandfile" TargetMode="External"/><Relationship Id="rId99" Type="http://schemas.openxmlformats.org/officeDocument/2006/relationships/hyperlink" Target="https://www.linkedin.com/learning/plan-de-viabilidad-economico-financiero-para-el-emprendimiento?trk=contentmappingfile" TargetMode="External"/><Relationship Id="rId101" Type="http://schemas.openxmlformats.org/officeDocument/2006/relationships/hyperlink" Target="https://www.linkedin.com/learning/plantilla-analisis-vertical-cuenta-de-perdidas-y-ganancias-con-excel?trk=ondemandfile" TargetMode="External"/><Relationship Id="rId122" Type="http://schemas.openxmlformats.org/officeDocument/2006/relationships/hyperlink" Target="https://www.linkedin.com/learning/analyzing-a-real-estate-deal?trk=ondemandfile" TargetMode="External"/><Relationship Id="rId143" Type="http://schemas.openxmlformats.org/officeDocument/2006/relationships/hyperlink" Target="https://www.linkedin.com/learning/critical-roles-consultants-play-and-the-skills-you-need-to-fill-them?trk=ondemandfile" TargetMode="External"/><Relationship Id="rId148" Type="http://schemas.openxmlformats.org/officeDocument/2006/relationships/hyperlink" Target="https://www.linkedin.com/learning/increasing-engagement-with-elearning-programs?trk=ondemandfile" TargetMode="External"/><Relationship Id="rId164" Type="http://schemas.openxmlformats.org/officeDocument/2006/relationships/hyperlink" Target="https://www.linkedin.com/learning/audit-and-due-diligence-priorities-and-best-practices?trk=ondemandfile" TargetMode="External"/><Relationship Id="rId169" Type="http://schemas.openxmlformats.org/officeDocument/2006/relationships/hyperlink" Target="https://www.linkedin.com/learning/accounting-foundations-statement-of-cash-flows?trk=ondemandfile" TargetMode="External"/><Relationship Id="rId4" Type="http://schemas.openxmlformats.org/officeDocument/2006/relationships/hyperlink" Target="https://www.linkedin.com/learning/como-negociar-con-los-bancos?trk=ondemandfile" TargetMode="External"/><Relationship Id="rId9" Type="http://schemas.openxmlformats.org/officeDocument/2006/relationships/hyperlink" Target="https://www.linkedin.com/learning/lean-technology-strategy-financial-management-to-support-business-agility?trk=ondemandfile" TargetMode="External"/><Relationship Id="rId180" Type="http://schemas.openxmlformats.org/officeDocument/2006/relationships/hyperlink" Target="https://www.linkedin.com/learning/economics-for-everyone-housing-markets-in-crisis?trk=ondemandfile" TargetMode="External"/><Relationship Id="rId26" Type="http://schemas.openxmlformats.org/officeDocument/2006/relationships/hyperlink" Target="https://www.linkedin.com/learning/paths/become-an-economist?trk=ondemandfile" TargetMode="External"/><Relationship Id="rId47" Type="http://schemas.openxmlformats.org/officeDocument/2006/relationships/hyperlink" Target="https://www.linkedin.com/learning/finanzwissen-fur-nicht-kaufmannische-fuhrungskrafte?trk=ondemandfile" TargetMode="External"/><Relationship Id="rId68" Type="http://schemas.openxmlformats.org/officeDocument/2006/relationships/hyperlink" Target="https://www.linkedin.com/learning/unternehmerische-fahigkeiten-entwickeln?trk=ondemandfile" TargetMode="External"/><Relationship Id="rId89" Type="http://schemas.openxmlformats.org/officeDocument/2006/relationships/hyperlink" Target="https://www.linkedin.com/learning/gestion-de-cuentas-clave?trk=ondemandfile" TargetMode="External"/><Relationship Id="rId112" Type="http://schemas.openxmlformats.org/officeDocument/2006/relationships/hyperlink" Target="https://www.linkedin.com/learning/managing-your-personal-finances-2021?trk=ondemandfile" TargetMode="External"/><Relationship Id="rId133" Type="http://schemas.openxmlformats.org/officeDocument/2006/relationships/hyperlink" Target="https://www.linkedin.com/learning/finance-for-non-financial-managers?trk=ondemandfile" TargetMode="External"/><Relationship Id="rId154" Type="http://schemas.openxmlformats.org/officeDocument/2006/relationships/hyperlink" Target="https://www.linkedin.com/learning/sql-for-statistics-essential-training?trk=ondemandfile" TargetMode="External"/><Relationship Id="rId175" Type="http://schemas.openxmlformats.org/officeDocument/2006/relationships/hyperlink" Target="https://www.linkedin.com/learning/agile-foundations?trk=ondemandfile" TargetMode="External"/><Relationship Id="rId16" Type="http://schemas.openxmlformats.org/officeDocument/2006/relationships/hyperlink" Target="https://www.linkedin.com/learning/financas-para-gerentes-nao-financeiros?trk=contentmappingfile" TargetMode="External"/><Relationship Id="rId37" Type="http://schemas.openxmlformats.org/officeDocument/2006/relationships/hyperlink" Target="https://www.linkedin.com/learning/finance-for-non-financial-managers-3?trk=ondemandfile" TargetMode="External"/><Relationship Id="rId58" Type="http://schemas.openxmlformats.org/officeDocument/2006/relationships/hyperlink" Target="https://www.linkedin.com/learning/finanzas-para-dirigentes-no-especialistas-en-finanzas?trk=contentmappingfile" TargetMode="External"/><Relationship Id="rId79" Type="http://schemas.openxmlformats.org/officeDocument/2006/relationships/hyperlink" Target="https://www.linkedin.com/learning/educaci-n-financiera-comprensi-n-de-informes-financieros?trk=ondemandfile" TargetMode="External"/><Relationship Id="rId102" Type="http://schemas.openxmlformats.org/officeDocument/2006/relationships/hyperlink" Target="https://www.linkedin.com/learning/picking-the-right-chart-for-your-data?trk=ondemandfile" TargetMode="External"/><Relationship Id="rId123" Type="http://schemas.openxmlformats.org/officeDocument/2006/relationships/hyperlink" Target="https://www.linkedin.com/learning/economics-for-everyone-understanding-a-recession?trk=ondemandfile" TargetMode="External"/><Relationship Id="rId144" Type="http://schemas.openxmlformats.org/officeDocument/2006/relationships/hyperlink" Target="https://www.linkedin.com/learning/excel-for-investment-professionals?trk=ondemandfile" TargetMode="External"/><Relationship Id="rId90" Type="http://schemas.openxmlformats.org/officeDocument/2006/relationships/hyperlink" Target="https://www.linkedin.com/learning/teaching-your-kids-about-finance?trk=ondemandfile" TargetMode="External"/><Relationship Id="rId165" Type="http://schemas.openxmlformats.org/officeDocument/2006/relationships/hyperlink" Target="https://www.linkedin.com/learning/excel-modeling-tips-and-tricks?trk=ondemandfile" TargetMode="External"/><Relationship Id="rId27" Type="http://schemas.openxmlformats.org/officeDocument/2006/relationships/hyperlink" Target="https://www.linkedin.com/learning/excel-pour-mac-preparer-des-ecritures-comptables?trk=contentmappingfile" TargetMode="External"/><Relationship Id="rId48" Type="http://schemas.openxmlformats.org/officeDocument/2006/relationships/hyperlink" Target="https://www.linkedin.com/learning/advanced-bookkeeping-techniques?trk=ondemandfile" TargetMode="External"/><Relationship Id="rId69" Type="http://schemas.openxmlformats.org/officeDocument/2006/relationships/hyperlink" Target="https://www.linkedin.com/learning/financial-adulting?trk=ondemandfile" TargetMode="External"/><Relationship Id="rId113" Type="http://schemas.openxmlformats.org/officeDocument/2006/relationships/hyperlink" Target="https://www.linkedin.com/learning/first-5-things-you-have-to-do-to-start-a-business-as-a-creator?trk=ondemandfile" TargetMode="External"/><Relationship Id="rId134" Type="http://schemas.openxmlformats.org/officeDocument/2006/relationships/hyperlink" Target="https://www.linkedin.com/learning/financial-forecasting-with-big-data?trk=ondemandfile" TargetMode="External"/><Relationship Id="rId80" Type="http://schemas.openxmlformats.org/officeDocument/2006/relationships/hyperlink" Target="https://www.linkedin.com/learning/audit-and-due-diligence-foundations?trk=ondemandfile" TargetMode="External"/><Relationship Id="rId155" Type="http://schemas.openxmlformats.org/officeDocument/2006/relationships/hyperlink" Target="https://www.linkedin.com/learning/financial-modeling-and-forecasting-financial-statements?trk=ondemandfile" TargetMode="External"/><Relationship Id="rId176" Type="http://schemas.openxmlformats.org/officeDocument/2006/relationships/hyperlink" Target="https://www.linkedin.com/learning/content/425902?u=104" TargetMode="External"/><Relationship Id="rId17" Type="http://schemas.openxmlformats.org/officeDocument/2006/relationships/hyperlink" Target="https://www.linkedin.com/learning/accounting-foundations-5?trk=ondemandfile" TargetMode="External"/><Relationship Id="rId38" Type="http://schemas.openxmlformats.org/officeDocument/2006/relationships/hyperlink" Target="https://www.linkedin.com/learning/finance-foundations?trk=ondemandfile" TargetMode="External"/><Relationship Id="rId59" Type="http://schemas.openxmlformats.org/officeDocument/2006/relationships/hyperlink" Target="https://www.linkedin.com/learning/grundlagen-des-e-commerce-payment?trk=ondemandfile" TargetMode="External"/><Relationship Id="rId103" Type="http://schemas.openxmlformats.org/officeDocument/2006/relationships/hyperlink" Target="https://www.linkedin.com/learning/plantilla-controla-perdidas-y-ganancias-con-este-panel-de-power-bi?trk=ondemandfile" TargetMode="External"/><Relationship Id="rId124" Type="http://schemas.openxmlformats.org/officeDocument/2006/relationships/hyperlink" Target="https://www.linkedin.com/learning/developing-investment-acumen?trk=ondemandfile" TargetMode="External"/><Relationship Id="rId70" Type="http://schemas.openxmlformats.org/officeDocument/2006/relationships/hyperlink" Target="https://www.linkedin.com/learning/00-fundamentos-de-fintech-o-finanza-tecnologica?trk=ondemandfile" TargetMode="External"/><Relationship Id="rId91" Type="http://schemas.openxmlformats.org/officeDocument/2006/relationships/hyperlink" Target="https://www.linkedin.com/learning/el-fondo-de-maniobra-en-la-empresa?trk=ondemandfile" TargetMode="External"/><Relationship Id="rId145" Type="http://schemas.openxmlformats.org/officeDocument/2006/relationships/hyperlink" Target="https://www.linkedin.com/learning/excel-2016-financial-functions-in-depth?trk=ondemandfile" TargetMode="External"/><Relationship Id="rId166" Type="http://schemas.openxmlformats.org/officeDocument/2006/relationships/hyperlink" Target="https://www.linkedin.com/learning/the-future-of-audit?trk=ondemandfile" TargetMode="External"/><Relationship Id="rId1" Type="http://schemas.openxmlformats.org/officeDocument/2006/relationships/hyperlink" Target="https://www.linkedin.com/learning/corporate-finance-profitability-in-a-financial-downturn?trk=ondemandfile" TargetMode="External"/><Relationship Id="rId28" Type="http://schemas.openxmlformats.org/officeDocument/2006/relationships/hyperlink" Target="https://www.linkedin.com/learning/excel-2016-practico-facturacion-y-control-de-gastos?trk=ondemandfile" TargetMode="External"/><Relationship Id="rId49" Type="http://schemas.openxmlformats.org/officeDocument/2006/relationships/hyperlink" Target="https://www.linkedin.com/learning/paths/get-ahead-in-the-on-demand-gig-economy?trk=ondemandfile" TargetMode="External"/><Relationship Id="rId114" Type="http://schemas.openxmlformats.org/officeDocument/2006/relationships/hyperlink" Target="https://www.linkedin.com/learning/build-your-financial-literacy?trk=ondemandfile"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s://www.linkedin.com/learning/crisis-communication-for-hr?trk=ondemandfile" TargetMode="External"/><Relationship Id="rId21" Type="http://schemas.openxmlformats.org/officeDocument/2006/relationships/hyperlink" Target="https://www.linkedin.com/learning/paths/a0eb3d8c-a473-3d5e-b3a6-750ac02b3b49?trk=ondemandfile" TargetMode="External"/><Relationship Id="rId42" Type="http://schemas.openxmlformats.org/officeDocument/2006/relationships/hyperlink" Target="https://www.linkedin.com/learning/das-personal-der-zukunft?trk=ondemandfile" TargetMode="External"/><Relationship Id="rId63" Type="http://schemas.openxmlformats.org/officeDocument/2006/relationships/hyperlink" Target="https://www.linkedin.com/learning/e-learning-technologien-und-systeme?trk=ondemandfile" TargetMode="External"/><Relationship Id="rId84" Type="http://schemas.openxmlformats.org/officeDocument/2006/relationships/hyperlink" Target="https://www.linkedin.com/learning/como-integrar-a-personas-nuevas-en-la-empresa?trk=contentmappingfile" TargetMode="External"/><Relationship Id="rId138" Type="http://schemas.openxmlformats.org/officeDocument/2006/relationships/hyperlink" Target="https://www.linkedin.com/learning/active-sourcing?trk=ondemandfile" TargetMode="External"/><Relationship Id="rId159" Type="http://schemas.openxmlformats.org/officeDocument/2006/relationships/hyperlink" Target="https://www.linkedin.com/learning/00-managing-employee-performance-problems?trk=ondemandfile" TargetMode="External"/><Relationship Id="rId170" Type="http://schemas.openxmlformats.org/officeDocument/2006/relationships/hyperlink" Target="https://www.linkedin.com/learning/letting-an-employee-go-2?trk=ondemandfile" TargetMode="External"/><Relationship Id="rId191" Type="http://schemas.openxmlformats.org/officeDocument/2006/relationships/hyperlink" Target="https://www.linkedin.com/learning/teaching-civility-in-the-workplace?trk=ondemandfile" TargetMode="External"/><Relationship Id="rId205" Type="http://schemas.openxmlformats.org/officeDocument/2006/relationships/hyperlink" Target="https://www.linkedin.com/learning/recruiting-external-recruiters?trk=ondemandfile" TargetMode="External"/><Relationship Id="rId226" Type="http://schemas.openxmlformats.org/officeDocument/2006/relationships/hyperlink" Target="https://www.linkedin.com/learning/managing-globally/what-is-cultural-agility" TargetMode="External"/><Relationship Id="rId247" Type="http://schemas.openxmlformats.org/officeDocument/2006/relationships/hyperlink" Target="https://www.linkedin.com/learning/using-neuroscience-for-more-effective-l-d?trk=ondemandfile" TargetMode="External"/><Relationship Id="rId107" Type="http://schemas.openxmlformats.org/officeDocument/2006/relationships/hyperlink" Target="https://www.linkedin.com/learning/employee-engagement?trk=ondemandfile" TargetMode="External"/><Relationship Id="rId11" Type="http://schemas.openxmlformats.org/officeDocument/2006/relationships/hyperlink" Target="https://www.linkedin.com/learning/organization-culture?trk=ondemandfile" TargetMode="External"/><Relationship Id="rId32" Type="http://schemas.openxmlformats.org/officeDocument/2006/relationships/hyperlink" Target="https://www.linkedin.com/learning/paths/become-a-technical-recruiter?trk=ondemandfile" TargetMode="External"/><Relationship Id="rId53" Type="http://schemas.openxmlformats.org/officeDocument/2006/relationships/hyperlink" Target="https://www.linkedin.com/learning/organizational-learning-and-development?trk=ondemandfile" TargetMode="External"/><Relationship Id="rId74" Type="http://schemas.openxmlformats.org/officeDocument/2006/relationships/hyperlink" Target="https://www.linkedin.com/learning/hr-and-digital-transformation?trk=ondemandfile" TargetMode="External"/><Relationship Id="rId128" Type="http://schemas.openxmlformats.org/officeDocument/2006/relationships/hyperlink" Target="https://www.linkedin.com/learning/onboarding-new-hires-as-a-manager?trk=ondemandfile" TargetMode="External"/><Relationship Id="rId149" Type="http://schemas.openxmlformats.org/officeDocument/2006/relationships/hyperlink" Target="https://www.linkedin.com/learning/talente-finden-und-binden?trk=ondemandfile" TargetMode="External"/><Relationship Id="rId5" Type="http://schemas.openxmlformats.org/officeDocument/2006/relationships/hyperlink" Target="https://www.linkedin.com/learning/10-mythen-uber-diversity-inclusion-und-zugehorigkeit-am-arbeitsplatz?trk=contentmappingfile" TargetMode="External"/><Relationship Id="rId95" Type="http://schemas.openxmlformats.org/officeDocument/2006/relationships/hyperlink" Target="https://www.linkedin.com/learning/managing-employee-performance-problems-5?trk=ondemandfile" TargetMode="External"/><Relationship Id="rId160" Type="http://schemas.openxmlformats.org/officeDocument/2006/relationships/hyperlink" Target="https://www.linkedin.com/learning/00-zielvereinbarung?trk=ondemandfile" TargetMode="External"/><Relationship Id="rId181" Type="http://schemas.openxmlformats.org/officeDocument/2006/relationships/hyperlink" Target="https://www.linkedin.com/learning/managing-globally/what-is-cultural-agility" TargetMode="External"/><Relationship Id="rId216" Type="http://schemas.openxmlformats.org/officeDocument/2006/relationships/hyperlink" Target="https://www.linkedin.com/learning/human-resources-working-with-vendors-2?trk=ondemandfile" TargetMode="External"/><Relationship Id="rId237" Type="http://schemas.openxmlformats.org/officeDocument/2006/relationships/hyperlink" Target="https://www.linkedin.com/learning/managing-misconduct-in-the-workplace?trk=ondemandfile" TargetMode="External"/><Relationship Id="rId22" Type="http://schemas.openxmlformats.org/officeDocument/2006/relationships/hyperlink" Target="https://www.linkedin.com/learning/rewarding-employee-performance?trk=ondemandfile" TargetMode="External"/><Relationship Id="rId43" Type="http://schemas.openxmlformats.org/officeDocument/2006/relationships/hyperlink" Target="https://www.linkedin.com/learning/find-and-retain-high-potentials-2?trk=ondemandfile" TargetMode="External"/><Relationship Id="rId64" Type="http://schemas.openxmlformats.org/officeDocument/2006/relationships/hyperlink" Target="https://www.linkedin.com/learning/cultivating-cultural-competence-and-inclusion-14487222?trk=contentmappingfile" TargetMode="External"/><Relationship Id="rId118" Type="http://schemas.openxmlformats.org/officeDocument/2006/relationships/hyperlink" Target="https://www.linkedin.com/learning/gerer-une-demande-d-augmentation-de-salaire?trk=contentmappingfile" TargetMode="External"/><Relationship Id="rId139" Type="http://schemas.openxmlformats.org/officeDocument/2006/relationships/hyperlink" Target="https://www.linkedin.com/learning/lideranca-global-como-gerenciar-a-complexidade-e-a-diversidade?trk=contentmappingfile" TargetMode="External"/><Relationship Id="rId85" Type="http://schemas.openxmlformats.org/officeDocument/2006/relationships/hyperlink" Target="https://www.linkedin.com/learning/gesprache-strukturieren-und-steuern?trk=contentmappingfile" TargetMode="External"/><Relationship Id="rId150" Type="http://schemas.openxmlformats.org/officeDocument/2006/relationships/hyperlink" Target="https://www.linkedin.com/learning/hire-retain-and-grow-top-millennial-talent?trk=ondemandfile" TargetMode="External"/><Relationship Id="rId171" Type="http://schemas.openxmlformats.org/officeDocument/2006/relationships/hyperlink" Target="https://www.linkedin.com/learning/microsoft-teams-administrar-los-horarios-de-trabajo-del-personal-con-turnos?trk=ondemandfile" TargetMode="External"/><Relationship Id="rId192" Type="http://schemas.openxmlformats.org/officeDocument/2006/relationships/hyperlink" Target="https://www.linkedin.com/learning/reussir-un-entretien-pour-un-emploi-ou-un-stage-dans-le-design?trk=contentmappingfile" TargetMode="External"/><Relationship Id="rId206" Type="http://schemas.openxmlformats.org/officeDocument/2006/relationships/hyperlink" Target="https://www.linkedin.com/learning/recruiting-foundations-2019?trk=ondemandfile" TargetMode="External"/><Relationship Id="rId227" Type="http://schemas.openxmlformats.org/officeDocument/2006/relationships/hyperlink" Target="https://www.linkedin.com/learning/human-resources-payroll?trk=ondemandfile" TargetMode="External"/><Relationship Id="rId248" Type="http://schemas.openxmlformats.org/officeDocument/2006/relationships/hyperlink" Target="https://www.linkedin.com/learning/human-resources-pay-strategy-2?trk=ondemandfile" TargetMode="External"/><Relationship Id="rId12" Type="http://schemas.openxmlformats.org/officeDocument/2006/relationships/hyperlink" Target="https://www.linkedin.com/learning/paths/become-a-corporate-recruiter?trk=ondemandfile" TargetMode="External"/><Relationship Id="rId33" Type="http://schemas.openxmlformats.org/officeDocument/2006/relationships/hyperlink" Target="https://www.linkedin.com/learning/como-crear-una-cultura-de-alto-rendimiento?trk=ondemandfile" TargetMode="External"/><Relationship Id="rId108" Type="http://schemas.openxmlformats.org/officeDocument/2006/relationships/hyperlink" Target="https://www.linkedin.com/learning/como-ser-parte-de-un-ambiente-de-trabajo-positivo?trk=ondemandfile" TargetMode="External"/><Relationship Id="rId129" Type="http://schemas.openxmlformats.org/officeDocument/2006/relationships/hyperlink" Target="https://www.linkedin.com/learning/jeff-weiner-definir-une-culture-et-un-plan-d-evolution?trk=contentmappingfile" TargetMode="External"/><Relationship Id="rId54" Type="http://schemas.openxmlformats.org/officeDocument/2006/relationships/hyperlink" Target="https://www.linkedin.com/learning/paths/build-your-skills-in-recruiting?trk=ondemandfile" TargetMode="External"/><Relationship Id="rId75" Type="http://schemas.openxmlformats.org/officeDocument/2006/relationships/hyperlink" Target="https://www.linkedin.com/learning/paths/finding-and-retaining-talent?trk=ondemandfile" TargetMode="External"/><Relationship Id="rId96" Type="http://schemas.openxmlformats.org/officeDocument/2006/relationships/hyperlink" Target="https://www.linkedin.com/learning/finding-and-retaining-high-potentials-9018297?trk=ondemandfile" TargetMode="External"/><Relationship Id="rId140" Type="http://schemas.openxmlformats.org/officeDocument/2006/relationships/hyperlink" Target="https://www.linkedin.com/learning/managing-temporary-and-contract-employees?trk=ondemandfile" TargetMode="External"/><Relationship Id="rId161" Type="http://schemas.openxmlformats.org/officeDocument/2006/relationships/hyperlink" Target="https://www.linkedin.com/learning/hr-communication-in-today-s-fluid-workplace?trk=ondemandfile" TargetMode="External"/><Relationship Id="rId182" Type="http://schemas.openxmlformats.org/officeDocument/2006/relationships/hyperlink" Target="https://www.linkedin.com/learning/handling-workplace-bullying?trk=ondemandfile" TargetMode="External"/><Relationship Id="rId217" Type="http://schemas.openxmlformats.org/officeDocument/2006/relationships/hyperlink" Target="https://www.linkedin.com/learning/introduction-to-the-phr-certification-exam?trk=ondemandfile" TargetMode="External"/><Relationship Id="rId6" Type="http://schemas.openxmlformats.org/officeDocument/2006/relationships/hyperlink" Target="https://www.linkedin.com/learning/paths/mitarbeiter-finden-und-halten?trk=ondemandfile" TargetMode="External"/><Relationship Id="rId238" Type="http://schemas.openxmlformats.org/officeDocument/2006/relationships/hyperlink" Target="https://www.linkedin.com/learning/converting-face-to-face-training-into-digital-learning?trk=ondemandfile" TargetMode="External"/><Relationship Id="rId23" Type="http://schemas.openxmlformats.org/officeDocument/2006/relationships/hyperlink" Target="https://www.linkedin.com/learning/paths/become-an-external-recruiter?trk=ondemandfile" TargetMode="External"/><Relationship Id="rId119" Type="http://schemas.openxmlformats.org/officeDocument/2006/relationships/hyperlink" Target="https://www.linkedin.com/learning/00-desarrolla-la-adaptabilidad-de-tus-empleados?trk=ondemandfile" TargetMode="External"/><Relationship Id="rId44" Type="http://schemas.openxmlformats.org/officeDocument/2006/relationships/hyperlink" Target="https://www.linkedin.com/learning/como-demitir-colaboradores?trk=contentmappingfile" TargetMode="External"/><Relationship Id="rId65" Type="http://schemas.openxmlformats.org/officeDocument/2006/relationships/hyperlink" Target="https://www.linkedin.com/learning/performance-based-hiring-2?trk=ondemandfile" TargetMode="External"/><Relationship Id="rId86" Type="http://schemas.openxmlformats.org/officeDocument/2006/relationships/hyperlink" Target="https://www.linkedin.com/learning/just-ask-developing-a-career-in-project-management?trk=contentmappingfile" TargetMode="External"/><Relationship Id="rId130" Type="http://schemas.openxmlformats.org/officeDocument/2006/relationships/hyperlink" Target="https://www.linkedin.com/learning/excel-crear-un-dashboard-para-rrhh-con-power-query-y-power-pivot?trk=ondemandfile" TargetMode="External"/><Relationship Id="rId151" Type="http://schemas.openxmlformats.org/officeDocument/2006/relationships/hyperlink" Target="https://www.linkedin.com/learning/laisser-partir-un-employe-une-employee?trk=contentmappingfile" TargetMode="External"/><Relationship Id="rId172" Type="http://schemas.openxmlformats.org/officeDocument/2006/relationships/hyperlink" Target="https://www.linkedin.com/learning/become-a-digital-nomad?trk=ondemandfile" TargetMode="External"/><Relationship Id="rId193" Type="http://schemas.openxmlformats.org/officeDocument/2006/relationships/hyperlink" Target="https://www.linkedin.com/learning/recursos-humanos-reclutamiento-de-la-diversidad?trk=ondemandfile" TargetMode="External"/><Relationship Id="rId207" Type="http://schemas.openxmlformats.org/officeDocument/2006/relationships/hyperlink" Target="https://www.linkedin.com/learning/learning-linkedin-recruiter-2021?trk=ondemandfile" TargetMode="External"/><Relationship Id="rId228" Type="http://schemas.openxmlformats.org/officeDocument/2006/relationships/hyperlink" Target="https://www.linkedin.com/learning/human-resources-using-metrics-to-drive-hr-strategy?trk=ondemandfile" TargetMode="External"/><Relationship Id="rId249" Type="http://schemas.openxmlformats.org/officeDocument/2006/relationships/hyperlink" Target="https://www.linkedin.com/learning/privacy-in-the-age-of-covid?trk=ondemandfile" TargetMode="External"/><Relationship Id="rId13" Type="http://schemas.openxmlformats.org/officeDocument/2006/relationships/hyperlink" Target="https://www.linkedin.com/learning/ameliorer-son-index-d-egalite-professionnelle?trk=contentmappingfile" TargetMode="External"/><Relationship Id="rId109" Type="http://schemas.openxmlformats.org/officeDocument/2006/relationships/hyperlink" Target="https://www.linkedin.com/learning/00-feedback?trk=ondemandfile" TargetMode="External"/><Relationship Id="rId34" Type="http://schemas.openxmlformats.org/officeDocument/2006/relationships/hyperlink" Target="https://www.linkedin.com/learning/paths/trabajo-a-distancia-preparandote-a-ti-mismo-y-a-tus-equipos-para-el-exito?trk=ondemandfile" TargetMode="External"/><Relationship Id="rId55" Type="http://schemas.openxmlformats.org/officeDocument/2006/relationships/hyperlink" Target="https://www.linkedin.com/learning/conseils-d-experte-manager-la-generation-z?trk=contentmappingfile" TargetMode="External"/><Relationship Id="rId76" Type="http://schemas.openxmlformats.org/officeDocument/2006/relationships/hyperlink" Target="https://www.linkedin.com/learning/developper-la-motivation-et-l-engagement-des-employes-employees?trk=contentmappingfile" TargetMode="External"/><Relationship Id="rId97" Type="http://schemas.openxmlformats.org/officeDocument/2006/relationships/hyperlink" Target="https://www.linkedin.com/learning/favoriser-l-inclusion-lgbtq-plus-au-travail?trk=contentmappingfile" TargetMode="External"/><Relationship Id="rId120" Type="http://schemas.openxmlformats.org/officeDocument/2006/relationships/hyperlink" Target="https://www.linkedin.com/learning/hr-strategien?trk=ondemandfile" TargetMode="External"/><Relationship Id="rId141" Type="http://schemas.openxmlformats.org/officeDocument/2006/relationships/hyperlink" Target="https://www.linkedin.com/learning/00-fundamentos-de-recursos-humanos-busqueda-de-talentos?trk=ondemandfile" TargetMode="External"/><Relationship Id="rId7" Type="http://schemas.openxmlformats.org/officeDocument/2006/relationships/hyperlink" Target="https://www.linkedin.com/learning/leading-inclusive-teams-14683165?trk=contentmappingfile" TargetMode="External"/><Relationship Id="rId162" Type="http://schemas.openxmlformats.org/officeDocument/2006/relationships/hyperlink" Target="https://www.linkedin.com/learning/les-entretiens-a-distance-pour-les-hr?trk=contentmappingfile" TargetMode="External"/><Relationship Id="rId183" Type="http://schemas.openxmlformats.org/officeDocument/2006/relationships/hyperlink" Target="https://www.linkedin.com/learning/recursos-humanos-como-entrevistar-aspirantes?trk=contentmappingfile" TargetMode="External"/><Relationship Id="rId218" Type="http://schemas.openxmlformats.org/officeDocument/2006/relationships/hyperlink" Target="https://www.linkedin.com/learning/creating-a-compelling-job-description?trk=ondemandfile" TargetMode="External"/><Relationship Id="rId239" Type="http://schemas.openxmlformats.org/officeDocument/2006/relationships/hyperlink" Target="https://www.linkedin.com/learning/leadership-mindsets?trk=ondemandfile" TargetMode="External"/><Relationship Id="rId250" Type="http://schemas.openxmlformats.org/officeDocument/2006/relationships/hyperlink" Target="https://www.linkedin.com/learning/bystander-training-from-bystander-to-upstander?trk=ondemandfile" TargetMode="External"/><Relationship Id="rId24" Type="http://schemas.openxmlformats.org/officeDocument/2006/relationships/hyperlink" Target="https://www.linkedin.com/learning/00-building-high-performance-teams?trk=ondemandfile" TargetMode="External"/><Relationship Id="rId45" Type="http://schemas.openxmlformats.org/officeDocument/2006/relationships/hyperlink" Target="https://www.linkedin.com/learning/employee-engagement-3?trk=ondemandfile" TargetMode="External"/><Relationship Id="rId66" Type="http://schemas.openxmlformats.org/officeDocument/2006/relationships/hyperlink" Target="https://www.linkedin.com/learning/content/425902?u=104" TargetMode="External"/><Relationship Id="rId87" Type="http://schemas.openxmlformats.org/officeDocument/2006/relationships/hyperlink" Target="https://www.linkedin.com/learning/managing-new-managers?trk=ondemandfile" TargetMode="External"/><Relationship Id="rId110" Type="http://schemas.openxmlformats.org/officeDocument/2006/relationships/hyperlink" Target="https://www.linkedin.com/learning/hiring-and-developing-your-future-workforce-2?trk=ondemandfile" TargetMode="External"/><Relationship Id="rId131" Type="http://schemas.openxmlformats.org/officeDocument/2006/relationships/hyperlink" Target="https://www.linkedin.com/learning/raumgestaltung-fur-innovation-kreativitat-und-agilitat?trk=contentmappingfile" TargetMode="External"/><Relationship Id="rId152" Type="http://schemas.openxmlformats.org/officeDocument/2006/relationships/hyperlink" Target="https://www.linkedin.com/learning/00-fundamentos-de-recursos-humanos-reclutamiento?trk=ondemandfile" TargetMode="External"/><Relationship Id="rId173" Type="http://schemas.openxmlformats.org/officeDocument/2006/relationships/hyperlink" Target="https://www.linkedin.com/learning/motivaci-n-e-implicaci-n-en-la-empresa?trk=ondemandfile" TargetMode="External"/><Relationship Id="rId194" Type="http://schemas.openxmlformats.org/officeDocument/2006/relationships/hyperlink" Target="https://www.linkedin.com/learning/women-transforming-tech-finding-a-mentor?trk=ondemandfile" TargetMode="External"/><Relationship Id="rId208" Type="http://schemas.openxmlformats.org/officeDocument/2006/relationships/hyperlink" Target="https://www.linkedin.com/learning/demystifying-company-culture?trk=ondemandfile" TargetMode="External"/><Relationship Id="rId229" Type="http://schemas.openxmlformats.org/officeDocument/2006/relationships/hyperlink" Target="https://www.linkedin.com/learning/performance-based-hiring?trk=ondemandfile" TargetMode="External"/><Relationship Id="rId240" Type="http://schemas.openxmlformats.org/officeDocument/2006/relationships/hyperlink" Target="https://www.linkedin.com/learning/running-a-design-business-the-staffing-rule-book?trk=ondemandfile" TargetMode="External"/><Relationship Id="rId14" Type="http://schemas.openxmlformats.org/officeDocument/2006/relationships/hyperlink" Target="https://www.linkedin.com/learning/big-data-recursos-humanos-y-gestion-del-bienestar-laboral?trk=contentmappingfile" TargetMode="External"/><Relationship Id="rId35" Type="http://schemas.openxmlformats.org/officeDocument/2006/relationships/hyperlink" Target="https://www.linkedin.com/learning/beurteilungsgesprache-fuhren?trk=ondemandfile" TargetMode="External"/><Relationship Id="rId56" Type="http://schemas.openxmlformats.org/officeDocument/2006/relationships/hyperlink" Target="https://www.linkedin.com/learning/como-gestionar-a-personas-con-alto-potencial?trk=contentmappingfile" TargetMode="External"/><Relationship Id="rId77" Type="http://schemas.openxmlformats.org/officeDocument/2006/relationships/hyperlink" Target="https://www.linkedin.com/learning/como-identificar-y-retener-personal-con-alto-potencial?trk=ondemandfile" TargetMode="External"/><Relationship Id="rId100" Type="http://schemas.openxmlformats.org/officeDocument/2006/relationships/hyperlink" Target="https://www.linkedin.com/learning/contratacao-de-colaboradores-tecnicas-para-gerentes?trk=contentmappingfile" TargetMode="External"/><Relationship Id="rId8" Type="http://schemas.openxmlformats.org/officeDocument/2006/relationships/hyperlink" Target="https://www.linkedin.com/learning/paths/torne-se-um-lider?trk=ondemandfile" TargetMode="External"/><Relationship Id="rId98" Type="http://schemas.openxmlformats.org/officeDocument/2006/relationships/hyperlink" Target="https://www.linkedin.com/learning/como-mejorar-el-rendimiento-de-tu-personal?trk=contentmappingfile" TargetMode="External"/><Relationship Id="rId121" Type="http://schemas.openxmlformats.org/officeDocument/2006/relationships/hyperlink" Target="https://www.linkedin.com/learning/coaching-skills-for-leaders-and-managers-5?trk=ondemandfile" TargetMode="External"/><Relationship Id="rId142" Type="http://schemas.openxmlformats.org/officeDocument/2006/relationships/hyperlink" Target="https://www.linkedin.com/learning/fachkraftemangel-mit-modernem-recruiting-beheben?trk=ondemandfile" TargetMode="External"/><Relationship Id="rId163" Type="http://schemas.openxmlformats.org/officeDocument/2006/relationships/hyperlink" Target="https://www.linkedin.com/learning/gestiona-tu-entrevista-de-trabajo-en-videoconferencia?trk=ondemandfile" TargetMode="External"/><Relationship Id="rId184" Type="http://schemas.openxmlformats.org/officeDocument/2006/relationships/hyperlink" Target="https://www.linkedin.com/learning/how-to-design-and-deliver-training-programs?trk=ondemandfile" TargetMode="External"/><Relationship Id="rId219" Type="http://schemas.openxmlformats.org/officeDocument/2006/relationships/hyperlink" Target="https://www.linkedin.com/learning/driving-workplace-happiness?trk=ondemandfile" TargetMode="External"/><Relationship Id="rId230" Type="http://schemas.openxmlformats.org/officeDocument/2006/relationships/hyperlink" Target="https://www.linkedin.com/learning/strategic-human-resources?trk=ondemandfile" TargetMode="External"/><Relationship Id="rId251" Type="http://schemas.openxmlformats.org/officeDocument/2006/relationships/hyperlink" Target="https://www.linkedin.com/learning/negotiating-power-and-preventing-harassment?trk=ondemandfile" TargetMode="External"/><Relationship Id="rId25" Type="http://schemas.openxmlformats.org/officeDocument/2006/relationships/hyperlink" Target="https://www.linkedin.com/learning/paths/gestiona-el-rendimiento?trk=ondemandfile" TargetMode="External"/><Relationship Id="rId46" Type="http://schemas.openxmlformats.org/officeDocument/2006/relationships/hyperlink" Target="https://www.linkedin.com/learning/creating-a-leadership-development-program?trk=ondemandfile" TargetMode="External"/><Relationship Id="rId67" Type="http://schemas.openxmlformats.org/officeDocument/2006/relationships/hyperlink" Target="https://www.linkedin.com/learning/developing-managers-in-organizations?trk=ondemandfile" TargetMode="External"/><Relationship Id="rId88" Type="http://schemas.openxmlformats.org/officeDocument/2006/relationships/hyperlink" Target="https://www.linkedin.com/learning/como-liderar-equipos-inclusivos?trk=ondemandfile" TargetMode="External"/><Relationship Id="rId111" Type="http://schemas.openxmlformats.org/officeDocument/2006/relationships/hyperlink" Target="https://www.linkedin.com/learning/human-resources-building-a-performance-management-system?trk=ondemandfile" TargetMode="External"/><Relationship Id="rId132" Type="http://schemas.openxmlformats.org/officeDocument/2006/relationships/hyperlink" Target="https://www.linkedin.com/learning/kwame-christian-responde-sobre-como-abordar-assuntos-raciais?trk=contentmappingfile" TargetMode="External"/><Relationship Id="rId153" Type="http://schemas.openxmlformats.org/officeDocument/2006/relationships/hyperlink" Target="https://www.linkedin.com/learning/wertschatzende-kommunikation-trotz-unterschieden-erfolgreich-kommunizieren?trk=contentmappingfile" TargetMode="External"/><Relationship Id="rId174" Type="http://schemas.openxmlformats.org/officeDocument/2006/relationships/hyperlink" Target="https://www.linkedin.com/learning/tech-recruiting-foundations-5-waterfall-agile-and-devops-for-recruiters?trk=ondemandfile" TargetMode="External"/><Relationship Id="rId195" Type="http://schemas.openxmlformats.org/officeDocument/2006/relationships/hyperlink" Target="https://www.linkedin.com/learning/s-exprimer-contre-les-discriminations-au-travail?trk=contentmappingfile" TargetMode="External"/><Relationship Id="rId209" Type="http://schemas.openxmlformats.org/officeDocument/2006/relationships/hyperlink" Target="https://www.linkedin.com/learning/business-benefits-realization-foundations?trk=ondemandfile" TargetMode="External"/><Relationship Id="rId220" Type="http://schemas.openxmlformats.org/officeDocument/2006/relationships/hyperlink" Target="https://www.linkedin.com/learning/hiring-a-recruiting-firm?trk=ondemandfile" TargetMode="External"/><Relationship Id="rId241" Type="http://schemas.openxmlformats.org/officeDocument/2006/relationships/hyperlink" Target="https://www.linkedin.com/learning/hiring-and-developing-your-future-workforce?trk=ondemandfile" TargetMode="External"/><Relationship Id="rId15" Type="http://schemas.openxmlformats.org/officeDocument/2006/relationships/hyperlink" Target="https://www.linkedin.com/learning/paths/profundiza-en-la-busqueda-seleccion-y-retencion-de-talentos?trk=ondemandfile" TargetMode="External"/><Relationship Id="rId36" Type="http://schemas.openxmlformats.org/officeDocument/2006/relationships/hyperlink" Target="https://www.linkedin.com/learning/onboarding-new-hires-as-a-manager-14635568?trk=contentmappingfile" TargetMode="External"/><Relationship Id="rId57" Type="http://schemas.openxmlformats.org/officeDocument/2006/relationships/hyperlink" Target="https://www.linkedin.com/learning/einfuhrung-ins-e-learning?trk=ondemandfile" TargetMode="External"/><Relationship Id="rId78" Type="http://schemas.openxmlformats.org/officeDocument/2006/relationships/hyperlink" Target="https://www.linkedin.com/learning/erfolgreiche-kommunikation?trk=ondemandfile" TargetMode="External"/><Relationship Id="rId99" Type="http://schemas.openxmlformats.org/officeDocument/2006/relationships/hyperlink" Target="https://www.linkedin.com/learning/linkedin-recruiter-lernen-2?trk=ondemandfile" TargetMode="External"/><Relationship Id="rId101" Type="http://schemas.openxmlformats.org/officeDocument/2006/relationships/hyperlink" Target="https://www.linkedin.com/learning/managing-high-potentials-3?trk=ondemandfile" TargetMode="External"/><Relationship Id="rId122" Type="http://schemas.openxmlformats.org/officeDocument/2006/relationships/hyperlink" Target="https://www.linkedin.com/learning/planning-for-your-hybrid-organization?trk=ondemandfile" TargetMode="External"/><Relationship Id="rId143" Type="http://schemas.openxmlformats.org/officeDocument/2006/relationships/hyperlink" Target="https://www.linkedin.com/learning/mulheres-na-lideranca-como-impulsionar-a-equidade-nas-organizacoes?trk=contentmappingfile" TargetMode="External"/><Relationship Id="rId164" Type="http://schemas.openxmlformats.org/officeDocument/2006/relationships/hyperlink" Target="https://www.linkedin.com/learning/hr-recruiting-communication-strategies-to-attract-and-retain-top-talent?trk=ondemandfile" TargetMode="External"/><Relationship Id="rId185" Type="http://schemas.openxmlformats.org/officeDocument/2006/relationships/hyperlink" Target="https://www.linkedin.com/learning/recruter-en-pensant-a-la-diversite?trk=contentmappingfile" TargetMode="External"/><Relationship Id="rId9" Type="http://schemas.openxmlformats.org/officeDocument/2006/relationships/hyperlink" Target="https://www.linkedin.com/learning/virtual-interviewing-for-hr-3?trk=ondemandfile" TargetMode="External"/><Relationship Id="rId210" Type="http://schemas.openxmlformats.org/officeDocument/2006/relationships/hyperlink" Target="https://www.linkedin.com/learning/preparing-for-the-shrm-cp-exam?trk=ondemandfile" TargetMode="External"/><Relationship Id="rId26" Type="http://schemas.openxmlformats.org/officeDocument/2006/relationships/hyperlink" Target="https://www.linkedin.com/learning/agiles-personalmanagement?trk=contentmappingfile" TargetMode="External"/><Relationship Id="rId231" Type="http://schemas.openxmlformats.org/officeDocument/2006/relationships/hyperlink" Target="https://www.linkedin.com/learning/interviewing-t-echniques-2019?trk=ondemandfile" TargetMode="External"/><Relationship Id="rId252" Type="http://schemas.openxmlformats.org/officeDocument/2006/relationships/hyperlink" Target="https://www.linkedin.com/learning/adding-value-through-diversity?trk=ondemandfile" TargetMode="External"/><Relationship Id="rId47" Type="http://schemas.openxmlformats.org/officeDocument/2006/relationships/hyperlink" Target="https://www.linkedin.com/learning/paths/build-a-more-equitable-and-inclusive-workplace?trk=ondemandfile" TargetMode="External"/><Relationship Id="rId68" Type="http://schemas.openxmlformats.org/officeDocument/2006/relationships/hyperlink" Target="https://www.linkedin.com/learning/paths/stay-ahead-in-all-things-dibs?trk=ondemandfile" TargetMode="External"/><Relationship Id="rId89" Type="http://schemas.openxmlformats.org/officeDocument/2006/relationships/hyperlink" Target="https://www.linkedin.com/learning/ihre-wirkungsvolle-diversity-strategie-entwickeln?trk=contentmappingfile" TargetMode="External"/><Relationship Id="rId112" Type="http://schemas.openxmlformats.org/officeDocument/2006/relationships/hyperlink" Target="https://www.linkedin.com/learning/gerer-les-problemes-de-performance-de-ses-employes-employees?trk=contentmappingfile" TargetMode="External"/><Relationship Id="rId133" Type="http://schemas.openxmlformats.org/officeDocument/2006/relationships/hyperlink" Target="https://www.linkedin.com/learning/nonprofit-foundations?trk=ondemandfile" TargetMode="External"/><Relationship Id="rId154" Type="http://schemas.openxmlformats.org/officeDocument/2006/relationships/hyperlink" Target="https://www.linkedin.com/learning/hiring-managing-and-separating-from-employees?trk=ondemandfile" TargetMode="External"/><Relationship Id="rId175" Type="http://schemas.openxmlformats.org/officeDocument/2006/relationships/hyperlink" Target="https://www.linkedin.com/learning/preparer-son-entretien-de-developpement-informatique?trk=contentmappingfile" TargetMode="External"/><Relationship Id="rId196" Type="http://schemas.openxmlformats.org/officeDocument/2006/relationships/hyperlink" Target="https://www.linkedin.com/learning/00-como-reclutar-y-desarrollar-a-tu-equipo?trk=ondemandfile" TargetMode="External"/><Relationship Id="rId200" Type="http://schemas.openxmlformats.org/officeDocument/2006/relationships/hyperlink" Target="https://www.linkedin.com/learning/00-transformacion-digital-el-rol-de-recursos-humanos?trk=ondemandfile" TargetMode="External"/><Relationship Id="rId16" Type="http://schemas.openxmlformats.org/officeDocument/2006/relationships/hyperlink" Target="https://www.linkedin.com/learning/agile-lernformate-fur-organisationen?trk=ondemandfile" TargetMode="External"/><Relationship Id="rId221" Type="http://schemas.openxmlformats.org/officeDocument/2006/relationships/hyperlink" Target="https://www.linkedin.com/learning/hiring-contract-employees?trk=ondemandfile" TargetMode="External"/><Relationship Id="rId242" Type="http://schemas.openxmlformats.org/officeDocument/2006/relationships/hyperlink" Target="https://www.linkedin.com/learning/human-resources-leadership-and-strategic-impact?trk=ondemandfile" TargetMode="External"/><Relationship Id="rId37" Type="http://schemas.openxmlformats.org/officeDocument/2006/relationships/hyperlink" Target="https://www.linkedin.com/learning/hiring-an-employee-for-managers-2?trk=ondemandfile" TargetMode="External"/><Relationship Id="rId58" Type="http://schemas.openxmlformats.org/officeDocument/2006/relationships/hyperlink" Target="https://www.linkedin.com/learning/managing-high-potentials-15917491?trk=contentmappingfile" TargetMode="External"/><Relationship Id="rId79" Type="http://schemas.openxmlformats.org/officeDocument/2006/relationships/hyperlink" Target="https://www.linkedin.com/learning/bystander-training-from-bystander-to-upstander-9242703?trk=contentmappingfile" TargetMode="External"/><Relationship Id="rId102" Type="http://schemas.openxmlformats.org/officeDocument/2006/relationships/hyperlink" Target="https://www.linkedin.com/learning/hr-providing-flexible-work-options?trk=ondemandfile" TargetMode="External"/><Relationship Id="rId123" Type="http://schemas.openxmlformats.org/officeDocument/2006/relationships/hyperlink" Target="https://www.linkedin.com/learning/el-futuro-de-la-gestion-del-rendimiento?trk=ondemandfile" TargetMode="External"/><Relationship Id="rId144" Type="http://schemas.openxmlformats.org/officeDocument/2006/relationships/hyperlink" Target="https://www.linkedin.com/learning/virtual-interviewing-for-hr?trk=ondemandfile" TargetMode="External"/><Relationship Id="rId90" Type="http://schemas.openxmlformats.org/officeDocument/2006/relationships/hyperlink" Target="https://www.linkedin.com/learning/managing-diversity?trk=ondemandfile" TargetMode="External"/><Relationship Id="rId165" Type="http://schemas.openxmlformats.org/officeDocument/2006/relationships/hyperlink" Target="https://www.linkedin.com/learning/liderazgo-y-recursos-humanos-estrategia-de-ubicacion-para-una-fuerza-de-trabajo-hibrida?trk=contentmappingfile" TargetMode="External"/><Relationship Id="rId186" Type="http://schemas.openxmlformats.org/officeDocument/2006/relationships/hyperlink" Target="https://www.linkedin.com/learning/recursos-humanos-como-manejar-el-bullying-en-el-lugar-de-trabajo?trk=ondemandfile" TargetMode="External"/><Relationship Id="rId211" Type="http://schemas.openxmlformats.org/officeDocument/2006/relationships/hyperlink" Target="https://www.linkedin.com/learning/getting-started-as-a-linkedin-learning-hub-admin?trk=ondemandfile" TargetMode="External"/><Relationship Id="rId232" Type="http://schemas.openxmlformats.org/officeDocument/2006/relationships/hyperlink" Target="https://www.linkedin.com/learning/practical-success-metrics-in-your-training-program?trk=ondemandfile" TargetMode="External"/><Relationship Id="rId253" Type="http://schemas.openxmlformats.org/officeDocument/2006/relationships/hyperlink" Target="https://www.linkedin.com/learning/addiction-a-community-issue?trk=ondemandfile" TargetMode="External"/><Relationship Id="rId27" Type="http://schemas.openxmlformats.org/officeDocument/2006/relationships/hyperlink" Target="https://www.linkedin.com/learning/diversity-recruiting-14836915?trk=contentmappingfile" TargetMode="External"/><Relationship Id="rId48" Type="http://schemas.openxmlformats.org/officeDocument/2006/relationships/hyperlink" Target="https://www.linkedin.com/learning/choisir-d-etre-un-bon-manager?trk=contentmappingfile" TargetMode="External"/><Relationship Id="rId69" Type="http://schemas.openxmlformats.org/officeDocument/2006/relationships/hyperlink" Target="https://www.linkedin.com/learning/demander-une-augmentation-de-salaire?trk=contentmappingfile" TargetMode="External"/><Relationship Id="rId113" Type="http://schemas.openxmlformats.org/officeDocument/2006/relationships/hyperlink" Target="https://www.linkedin.com/learning/00-performance-based-hiring?trk=ondemandfile" TargetMode="External"/><Relationship Id="rId134" Type="http://schemas.openxmlformats.org/officeDocument/2006/relationships/hyperlink" Target="https://www.linkedin.com/learning/fundamentos-de-gestion-de-equipos-it-y-programacion?trk=ondemandfile" TargetMode="External"/><Relationship Id="rId80" Type="http://schemas.openxmlformats.org/officeDocument/2006/relationships/hyperlink" Target="https://www.linkedin.com/learning/como-integrar-novos-colaboradores-e-colaboradoras-a-empresa?trk=contentmappingfile" TargetMode="External"/><Relationship Id="rId155" Type="http://schemas.openxmlformats.org/officeDocument/2006/relationships/hyperlink" Target="https://www.linkedin.com/learning/le-leadership-inclusif-devenir-un-allie-une-alliee?trk=contentmappingfile" TargetMode="External"/><Relationship Id="rId176" Type="http://schemas.openxmlformats.org/officeDocument/2006/relationships/hyperlink" Target="https://www.linkedin.com/learning/plantilla-curriculum-vitae-con-word?trk=ondemandfile" TargetMode="External"/><Relationship Id="rId197" Type="http://schemas.openxmlformats.org/officeDocument/2006/relationships/hyperlink" Target="https://www.linkedin.com/learning/collaborating-with-your-millennial-manager?trk=ondemandfile" TargetMode="External"/><Relationship Id="rId201" Type="http://schemas.openxmlformats.org/officeDocument/2006/relationships/hyperlink" Target="https://www.linkedin.com/learning/empathy-tips-for-hr-professionals?trk=ondemandfile" TargetMode="External"/><Relationship Id="rId222" Type="http://schemas.openxmlformats.org/officeDocument/2006/relationships/hyperlink" Target="https://www.linkedin.com/learning/hr-as-a-business-partner?trk=ondemandfile" TargetMode="External"/><Relationship Id="rId243" Type="http://schemas.openxmlformats.org/officeDocument/2006/relationships/hyperlink" Target="https://www.linkedin.com/learning/human-resources-selecting-an-hr-system?trk=ondemandfile" TargetMode="External"/><Relationship Id="rId17" Type="http://schemas.openxmlformats.org/officeDocument/2006/relationships/hyperlink" Target="https://www.linkedin.com/learning/paths/recruiter-in-werden?trk=ondemandfile" TargetMode="External"/><Relationship Id="rId38" Type="http://schemas.openxmlformats.org/officeDocument/2006/relationships/hyperlink" Target="https://www.linkedin.com/learning/paths/65b9245d-75e9-323d-a736-70d3af14ddd1?trk=ondemandfile" TargetMode="External"/><Relationship Id="rId59" Type="http://schemas.openxmlformats.org/officeDocument/2006/relationships/hyperlink" Target="https://www.linkedin.com/learning/cultivating-cultural-competence-and-inclusion-9619710?trk=contentmappingfile" TargetMode="External"/><Relationship Id="rId103" Type="http://schemas.openxmlformats.org/officeDocument/2006/relationships/hyperlink" Target="https://www.linkedin.com/learning/como-orientar-y-desarrollar-a-tu-personal?trk=contentmappingfile" TargetMode="External"/><Relationship Id="rId124" Type="http://schemas.openxmlformats.org/officeDocument/2006/relationships/hyperlink" Target="https://www.linkedin.com/learning/administrative-personalarbeit?trk=ondemandfile" TargetMode="External"/><Relationship Id="rId70" Type="http://schemas.openxmlformats.org/officeDocument/2006/relationships/hyperlink" Target="https://www.linkedin.com/learning/como-hacer-coaching-a-tu-personal-para-obtener-resultados?trk=contentmappingfile" TargetMode="External"/><Relationship Id="rId91" Type="http://schemas.openxmlformats.org/officeDocument/2006/relationships/hyperlink" Target="https://www.linkedin.com/learning/hr-leadership-as-we-move-back-into-the-office?trk=ondemandfile" TargetMode="External"/><Relationship Id="rId145" Type="http://schemas.openxmlformats.org/officeDocument/2006/relationships/hyperlink" Target="https://www.linkedin.com/learning/00-human-resources-pay-strategy-lp-finding-talent-4?trk=ondemandfile" TargetMode="External"/><Relationship Id="rId166" Type="http://schemas.openxmlformats.org/officeDocument/2006/relationships/hyperlink" Target="https://www.linkedin.com/learning/performance-management-employee-engagement?trk=ondemandfile" TargetMode="External"/><Relationship Id="rId187" Type="http://schemas.openxmlformats.org/officeDocument/2006/relationships/hyperlink" Target="https://www.linkedin.com/learning/human-resources-foundations?trk=ondemandfile" TargetMode="External"/><Relationship Id="rId1" Type="http://schemas.openxmlformats.org/officeDocument/2006/relationships/hyperlink" Target="https://www.linkedin.com/learning/succession-planning?trk=ondemandfile" TargetMode="External"/><Relationship Id="rId212" Type="http://schemas.openxmlformats.org/officeDocument/2006/relationships/hyperlink" Target="https://www.linkedin.com/learning/fair-and-effective-interviewing-for-diversity-and-inclusion?trk=ondemandfile" TargetMode="External"/><Relationship Id="rId233" Type="http://schemas.openxmlformats.org/officeDocument/2006/relationships/hyperlink" Target="https://www.linkedin.com/learning/diversity-recruiting-2?trk=ondemandfile" TargetMode="External"/><Relationship Id="rId28" Type="http://schemas.openxmlformats.org/officeDocument/2006/relationships/hyperlink" Target="https://www.linkedin.com/learning/como-aproveitar-ao-maximo-o-linkedin-recruiter?trk=contentmappingfile" TargetMode="External"/><Relationship Id="rId49" Type="http://schemas.openxmlformats.org/officeDocument/2006/relationships/hyperlink" Target="https://www.linkedin.com/learning/como-encontrar-un-trabajo-a-distancia?trk=ondemandfile" TargetMode="External"/><Relationship Id="rId114" Type="http://schemas.openxmlformats.org/officeDocument/2006/relationships/hyperlink" Target="https://www.linkedin.com/learning/00-onboarding?trk=ondemandfile" TargetMode="External"/><Relationship Id="rId60" Type="http://schemas.openxmlformats.org/officeDocument/2006/relationships/hyperlink" Target="https://www.linkedin.com/learning/360-degree-feedback?trk=ondemandfile" TargetMode="External"/><Relationship Id="rId81" Type="http://schemas.openxmlformats.org/officeDocument/2006/relationships/hyperlink" Target="https://www.linkedin.com/learning/onboarding-new-hires-2?trk=contentmappingfile" TargetMode="External"/><Relationship Id="rId135" Type="http://schemas.openxmlformats.org/officeDocument/2006/relationships/hyperlink" Target="https://www.linkedin.com/learning/recruiting-grundlagen?trk=ondemandfile" TargetMode="External"/><Relationship Id="rId156" Type="http://schemas.openxmlformats.org/officeDocument/2006/relationships/hyperlink" Target="https://www.linkedin.com/learning/gestion-de-equipos-mediante-okr-s-o-misiones-objetivos-y-resultados-clave?trk=contentmappingfile" TargetMode="External"/><Relationship Id="rId177" Type="http://schemas.openxmlformats.org/officeDocument/2006/relationships/hyperlink" Target="https://www.linkedin.com/learning/tech-recruiting-foundations-4-recruiting-for-the-it-department?trk=ondemandfile" TargetMode="External"/><Relationship Id="rId198" Type="http://schemas.openxmlformats.org/officeDocument/2006/relationships/hyperlink" Target="https://www.linkedin.com/learning/teletrabajo-y-gestion-de-equipos-remotos?trk=contentmappingfile" TargetMode="External"/><Relationship Id="rId202" Type="http://schemas.openxmlformats.org/officeDocument/2006/relationships/hyperlink" Target="https://www.linkedin.com/learning/hr-guidelines-everyone-should-know?trk=ondemandfile" TargetMode="External"/><Relationship Id="rId223" Type="http://schemas.openxmlformats.org/officeDocument/2006/relationships/hyperlink" Target="https://www.linkedin.com/learning/human-resources-compensation-and-benefits?trk=ondemandfile" TargetMode="External"/><Relationship Id="rId244" Type="http://schemas.openxmlformats.org/officeDocument/2006/relationships/hyperlink" Target="https://www.linkedin.com/learning/human-resources-strategic-workforce-planning?trk=ondemandfile" TargetMode="External"/><Relationship Id="rId18" Type="http://schemas.openxmlformats.org/officeDocument/2006/relationships/hyperlink" Target="https://www.linkedin.com/learning/hiring-and-developing-your-future-workforce-3?trk=ondemandfile" TargetMode="External"/><Relationship Id="rId39" Type="http://schemas.openxmlformats.org/officeDocument/2006/relationships/hyperlink" Target="https://www.linkedin.com/learning/employee-experience?trk=ondemandfile" TargetMode="External"/><Relationship Id="rId50" Type="http://schemas.openxmlformats.org/officeDocument/2006/relationships/hyperlink" Target="https://www.linkedin.com/learning/diversitat-und-inklusion-in-globalen-unternehmen?trk=ondemandfile" TargetMode="External"/><Relationship Id="rId104" Type="http://schemas.openxmlformats.org/officeDocument/2006/relationships/hyperlink" Target="https://www.linkedin.com/learning/00-mitarbeiter-entickeln?trk=ondemandfile" TargetMode="External"/><Relationship Id="rId125" Type="http://schemas.openxmlformats.org/officeDocument/2006/relationships/hyperlink" Target="https://www.linkedin.com/learning/employer-branding-to-attract-talent?trk=ondemandfile" TargetMode="External"/><Relationship Id="rId146" Type="http://schemas.openxmlformats.org/officeDocument/2006/relationships/hyperlink" Target="https://www.linkedin.com/learning/interview-recruitung?trk=ondemandfile" TargetMode="External"/><Relationship Id="rId167" Type="http://schemas.openxmlformats.org/officeDocument/2006/relationships/hyperlink" Target="https://www.linkedin.com/learning/linkedin-para-recursos-humanos-2?trk=ondemandfile" TargetMode="External"/><Relationship Id="rId188" Type="http://schemas.openxmlformats.org/officeDocument/2006/relationships/hyperlink" Target="https://www.linkedin.com/learning/recursos-humanos-contratacion-de-perfiles-de-desarrollo?trk=contentmappingfile" TargetMode="External"/><Relationship Id="rId71" Type="http://schemas.openxmlformats.org/officeDocument/2006/relationships/hyperlink" Target="https://www.linkedin.com/learning/employer-branding-grundlagen?trk=contentmappingfile" TargetMode="External"/><Relationship Id="rId92" Type="http://schemas.openxmlformats.org/officeDocument/2006/relationships/hyperlink" Target="https://www.linkedin.com/learning/faire-face-aux-microagressions-au-travail?trk=contentmappingfile" TargetMode="External"/><Relationship Id="rId213" Type="http://schemas.openxmlformats.org/officeDocument/2006/relationships/hyperlink" Target="https://www.linkedin.com/learning/hiring-and-managing-ux-professionals?trk=ondemandfile" TargetMode="External"/><Relationship Id="rId234" Type="http://schemas.openxmlformats.org/officeDocument/2006/relationships/hyperlink" Target="https://www.linkedin.com/learning/interviewing-a-job-candidate-for-recruiters-2?trk=ondemandfile" TargetMode="External"/><Relationship Id="rId2" Type="http://schemas.openxmlformats.org/officeDocument/2006/relationships/hyperlink" Target="https://www.linkedin.com/learning/paths/build-a-company-learning-and-development-program?trk=ondemandfile" TargetMode="External"/><Relationship Id="rId29" Type="http://schemas.openxmlformats.org/officeDocument/2006/relationships/hyperlink" Target="https://www.linkedin.com/learning/finding-and-retaining-high-potentials-2?trk=ondemandfile" TargetMode="External"/><Relationship Id="rId40" Type="http://schemas.openxmlformats.org/officeDocument/2006/relationships/hyperlink" Target="https://www.linkedin.com/learning/paths/become-an-hr-business-partner?trk=ondemandfile" TargetMode="External"/><Relationship Id="rId115" Type="http://schemas.openxmlformats.org/officeDocument/2006/relationships/hyperlink" Target="https://www.linkedin.com/learning/dez-mitos-sobre-diversidade-e-inclusao-no-trabalho?trk=contentmappingfile" TargetMode="External"/><Relationship Id="rId136" Type="http://schemas.openxmlformats.org/officeDocument/2006/relationships/hyperlink" Target="https://www.linkedin.com/learning/hiring-an-employee-for-managers?trk=ondemandfile" TargetMode="External"/><Relationship Id="rId157" Type="http://schemas.openxmlformats.org/officeDocument/2006/relationships/hyperlink" Target="https://www.linkedin.com/learning/ziele-fur-mitarbeiter-innen-und-teams-setzen?trk=ondemandfile" TargetMode="External"/><Relationship Id="rId178" Type="http://schemas.openxmlformats.org/officeDocument/2006/relationships/hyperlink" Target="https://www.linkedin.com/learning/promouvoir-la-neurodiversite-au-travail?trk=contentmappingfile" TargetMode="External"/><Relationship Id="rId61" Type="http://schemas.openxmlformats.org/officeDocument/2006/relationships/hyperlink" Target="https://www.linkedin.com/learning/paths/develop-your-hr-management-and-leadership-skills?trk=ondemandfile" TargetMode="External"/><Relationship Id="rId82" Type="http://schemas.openxmlformats.org/officeDocument/2006/relationships/hyperlink" Target="https://www.linkedin.com/learning/the-future-of-performance-management?trk=ondemandfile" TargetMode="External"/><Relationship Id="rId199" Type="http://schemas.openxmlformats.org/officeDocument/2006/relationships/hyperlink" Target="https://www.linkedin.com/learning/introduction-to-employee-relations?trk=ondemandfile" TargetMode="External"/><Relationship Id="rId203" Type="http://schemas.openxmlformats.org/officeDocument/2006/relationships/hyperlink" Target="https://www.linkedin.com/learning/creating-a-culture-of-learning-2?trk=ondemandfile" TargetMode="External"/><Relationship Id="rId19" Type="http://schemas.openxmlformats.org/officeDocument/2006/relationships/hyperlink" Target="https://www.linkedin.com/learning/paths/transforme-se-num-lider-disruptivo?trk=ondemandfile" TargetMode="External"/><Relationship Id="rId224" Type="http://schemas.openxmlformats.org/officeDocument/2006/relationships/hyperlink" Target="https://www.linkedin.com/learning/human-resources-job-structure-and-design?trk=ondemandfile" TargetMode="External"/><Relationship Id="rId245" Type="http://schemas.openxmlformats.org/officeDocument/2006/relationships/hyperlink" Target="https://www.linkedin.com/learning/human-resources-understanding-hr-systems-features-and-benefits?trk=ondemandfile" TargetMode="External"/><Relationship Id="rId30" Type="http://schemas.openxmlformats.org/officeDocument/2006/relationships/hyperlink" Target="https://www.linkedin.com/learning/paths/90c69069-2437-32f7-a15c-be75af1531ab?trk=ondemandfile" TargetMode="External"/><Relationship Id="rId105" Type="http://schemas.openxmlformats.org/officeDocument/2006/relationships/hyperlink" Target="https://www.linkedin.com/learning/contratacao-e-desenvolvimento-de-futuros-colaboradores-e-colaboradoras?trk=contentmappingfile" TargetMode="External"/><Relationship Id="rId126" Type="http://schemas.openxmlformats.org/officeDocument/2006/relationships/hyperlink" Target="https://www.linkedin.com/learning/empodera-a-tu-equipo?trk=contentmappingfile" TargetMode="External"/><Relationship Id="rId147" Type="http://schemas.openxmlformats.org/officeDocument/2006/relationships/hyperlink" Target="https://www.linkedin.com/learning/human-resources-managing-employee-problems?trk=ondemandfile" TargetMode="External"/><Relationship Id="rId168" Type="http://schemas.openxmlformats.org/officeDocument/2006/relationships/hyperlink" Target="https://www.linkedin.com/learning/people-success-employee-assessments?trk=ondemandfile" TargetMode="External"/><Relationship Id="rId51" Type="http://schemas.openxmlformats.org/officeDocument/2006/relationships/hyperlink" Target="https://www.linkedin.com/learning/managing-high-performers-15918448?trk=contentmappingfile" TargetMode="External"/><Relationship Id="rId72" Type="http://schemas.openxmlformats.org/officeDocument/2006/relationships/hyperlink" Target="https://www.linkedin.com/learning/preventing-harassment-in-the-workplace-14504857?trk=contentmappingfile" TargetMode="External"/><Relationship Id="rId93" Type="http://schemas.openxmlformats.org/officeDocument/2006/relationships/hyperlink" Target="https://www.linkedin.com/learning/como-medir-el-rendimiento-de-tu-equipo?trk=contentmappingfile" TargetMode="External"/><Relationship Id="rId189" Type="http://schemas.openxmlformats.org/officeDocument/2006/relationships/hyperlink" Target="https://www.linkedin.com/learning/human-resources-protecting-confidentiality?trk=ondemandfile" TargetMode="External"/><Relationship Id="rId3" Type="http://schemas.openxmlformats.org/officeDocument/2006/relationships/hyperlink" Target="https://www.linkedin.com/learning/agile-en-accion-construye-tu-equipo-agil?trk=ondemandfile" TargetMode="External"/><Relationship Id="rId214" Type="http://schemas.openxmlformats.org/officeDocument/2006/relationships/hyperlink" Target="https://www.linkedin.com/learning/understanding-organisations-and-the-role-of-hr?trk=ondemandfile" TargetMode="External"/><Relationship Id="rId235" Type="http://schemas.openxmlformats.org/officeDocument/2006/relationships/hyperlink" Target="https://www.linkedin.com/learning/setting-and-managing-realistic-expectations-for-your-l-d-program?trk=ondemandfile" TargetMode="External"/><Relationship Id="rId116" Type="http://schemas.openxmlformats.org/officeDocument/2006/relationships/hyperlink" Target="https://www.linkedin.com/learning/interviewing-techniques?trk=ondemandfile" TargetMode="External"/><Relationship Id="rId137" Type="http://schemas.openxmlformats.org/officeDocument/2006/relationships/hyperlink" Target="https://www.linkedin.com/learning/00-performance-review-fundamentals?trk=ondemandfile" TargetMode="External"/><Relationship Id="rId158" Type="http://schemas.openxmlformats.org/officeDocument/2006/relationships/hyperlink" Target="https://www.linkedin.com/learning/hiring-and-supporting-neurodiversity-in-the-workplace?trk=ondemandfile" TargetMode="External"/><Relationship Id="rId20" Type="http://schemas.openxmlformats.org/officeDocument/2006/relationships/hyperlink" Target="https://www.linkedin.com/learning/creating-a-high-performance-culture-4?trk=ondemandfile" TargetMode="External"/><Relationship Id="rId41" Type="http://schemas.openxmlformats.org/officeDocument/2006/relationships/hyperlink" Target="https://www.linkedin.com/learning/como-detener-el-acoso-laboral-y-la-intimidacion?trk=ondemandfile" TargetMode="External"/><Relationship Id="rId62" Type="http://schemas.openxmlformats.org/officeDocument/2006/relationships/hyperlink" Target="https://www.linkedin.com/learning/como-gestionar-al-personal-de-alto-rendimiento?trk=contentmappingfile" TargetMode="External"/><Relationship Id="rId83" Type="http://schemas.openxmlformats.org/officeDocument/2006/relationships/hyperlink" Target="https://www.linkedin.com/learning/developper-l-engagement-des-employes-employees?trk=contentmappingfile" TargetMode="External"/><Relationship Id="rId179" Type="http://schemas.openxmlformats.org/officeDocument/2006/relationships/hyperlink" Target="https://www.linkedin.com/learning/recursos-humanos-estrategicos?trk=ondemandfile" TargetMode="External"/><Relationship Id="rId190" Type="http://schemas.openxmlformats.org/officeDocument/2006/relationships/hyperlink" Target="https://www.linkedin.com/learning/aprende-recursos-humanos-para-contratacion-it?trk=ondemandfile" TargetMode="External"/><Relationship Id="rId204" Type="http://schemas.openxmlformats.org/officeDocument/2006/relationships/hyperlink" Target="https://www.linkedin.com/learning/inclusion-during-difficult-times?trk=ondemandfile" TargetMode="External"/><Relationship Id="rId225" Type="http://schemas.openxmlformats.org/officeDocument/2006/relationships/hyperlink" Target="https://www.linkedin.com/learning/managing-globally/what-is-cultural-agility" TargetMode="External"/><Relationship Id="rId246" Type="http://schemas.openxmlformats.org/officeDocument/2006/relationships/hyperlink" Target="https://www.linkedin.com/learning/people-analytics?trk=ondemandfile" TargetMode="External"/><Relationship Id="rId106" Type="http://schemas.openxmlformats.org/officeDocument/2006/relationships/hyperlink" Target="https://www.linkedin.com/learning/managing-high-performers-3?trk=ondemandfile" TargetMode="External"/><Relationship Id="rId127" Type="http://schemas.openxmlformats.org/officeDocument/2006/relationships/hyperlink" Target="https://www.linkedin.com/learning/personalwesen-onboarding-programme-durchfuhren?trk=ondemandfile" TargetMode="External"/><Relationship Id="rId10" Type="http://schemas.openxmlformats.org/officeDocument/2006/relationships/hyperlink" Target="https://www.linkedin.com/learning/paths/3db8a531-c16b-3623-9891-2cd47ac19f68?trk=ondemandfile" TargetMode="External"/><Relationship Id="rId31" Type="http://schemas.openxmlformats.org/officeDocument/2006/relationships/hyperlink" Target="https://www.linkedin.com/learning/communicating-employee-rewards?trk=ondemandfile" TargetMode="External"/><Relationship Id="rId52" Type="http://schemas.openxmlformats.org/officeDocument/2006/relationships/hyperlink" Target="https://www.linkedin.com/learning/business-english-mastering-your-online-interview-15813399?trk=contentmappingfile" TargetMode="External"/><Relationship Id="rId73" Type="http://schemas.openxmlformats.org/officeDocument/2006/relationships/hyperlink" Target="https://www.linkedin.com/learning/84777a9a-010b-3e75-8b28-27d3706e8c9a?trk=ondemandfile" TargetMode="External"/><Relationship Id="rId94" Type="http://schemas.openxmlformats.org/officeDocument/2006/relationships/hyperlink" Target="https://www.linkedin.com/learning/internationale-personalentwicklung?trk=ondemandfile" TargetMode="External"/><Relationship Id="rId148" Type="http://schemas.openxmlformats.org/officeDocument/2006/relationships/hyperlink" Target="https://www.linkedin.com/learning/00-fundamentos-de-recursos-humanos-gestion-de-la-incorporacion-corporativa?trk=ondemandfile" TargetMode="External"/><Relationship Id="rId169" Type="http://schemas.openxmlformats.org/officeDocument/2006/relationships/hyperlink" Target="https://www.linkedin.com/learning/microsoft-dynamics-365-for-talent-esencial?trk=ondemandfile" TargetMode="External"/><Relationship Id="rId4" Type="http://schemas.openxmlformats.org/officeDocument/2006/relationships/hyperlink" Target="https://www.linkedin.com/learning/paths/conviertete-en-reclutador-de-talentos?trk=ondemandfile" TargetMode="External"/><Relationship Id="rId180" Type="http://schemas.openxmlformats.org/officeDocument/2006/relationships/hyperlink" Target="https://www.linkedin.com/learning/managing-globally/what-is-cultural-agility" TargetMode="External"/><Relationship Id="rId215" Type="http://schemas.openxmlformats.org/officeDocument/2006/relationships/hyperlink" Target="https://www.linkedin.com/learning/human-resources-creating-an-employee-handbook?trk=ondemandfile" TargetMode="External"/><Relationship Id="rId236" Type="http://schemas.openxmlformats.org/officeDocument/2006/relationships/hyperlink" Target="https://www.linkedin.com/learning/rolling-out-a-dibs-training-program-in-your-company?trk=ondemandfile" TargetMode="External"/></Relationships>
</file>

<file path=xl/worksheets/_rels/sheet23.xml.rels><?xml version="1.0" encoding="UTF-8" standalone="yes"?>
<Relationships xmlns="http://schemas.openxmlformats.org/package/2006/relationships"><Relationship Id="rId117" Type="http://schemas.openxmlformats.org/officeDocument/2006/relationships/hyperlink" Target="https://www.linkedin.com/learning/organizational-learning-and-development?trk=ondemandfile" TargetMode="External"/><Relationship Id="rId21" Type="http://schemas.openxmlformats.org/officeDocument/2006/relationships/hyperlink" Target="https://www.linkedin.com/learning/leading-with-innovation-4?trk=ondemandfile" TargetMode="External"/><Relationship Id="rId42" Type="http://schemas.openxmlformats.org/officeDocument/2006/relationships/hyperlink" Target="https://www.linkedin.com/learning/paths/fomenta-la-innovacion?trk=ondemandfile" TargetMode="External"/><Relationship Id="rId63" Type="http://schemas.openxmlformats.org/officeDocument/2006/relationships/hyperlink" Target="https://www.linkedin.com/learning/design-thinking-grundlagen?trk=ondemandfile" TargetMode="External"/><Relationship Id="rId84" Type="http://schemas.openxmlformats.org/officeDocument/2006/relationships/hyperlink" Target="https://www.linkedin.com/learning/embracing-unexpected-change-2?trk=contentmappingfile" TargetMode="External"/><Relationship Id="rId138" Type="http://schemas.openxmlformats.org/officeDocument/2006/relationships/hyperlink" Target="https://www.linkedin.com/learning/building-change-capability-for-managers?trk=ondemandfile" TargetMode="External"/><Relationship Id="rId159" Type="http://schemas.openxmlformats.org/officeDocument/2006/relationships/hyperlink" Target="https://www.linkedin.com/learning/mixtape-highlights-from-linkedin-learning-courses?trk=ondemandfile" TargetMode="External"/><Relationship Id="rId170" Type="http://schemas.openxmlformats.org/officeDocument/2006/relationships/hyperlink" Target="https://www.linkedin.com/learning/reframing-organizations-blinkist-summary?trk=ondemandfile" TargetMode="External"/><Relationship Id="rId107" Type="http://schemas.openxmlformats.org/officeDocument/2006/relationships/hyperlink" Target="https://www.linkedin.com/learning/futures-centered-design?trk=ondemandfile" TargetMode="External"/><Relationship Id="rId11" Type="http://schemas.openxmlformats.org/officeDocument/2006/relationships/hyperlink" Target="https://www.linkedin.com/learning/business-innovation-foundations-3?trk=ondemandfile" TargetMode="External"/><Relationship Id="rId32" Type="http://schemas.openxmlformats.org/officeDocument/2006/relationships/hyperlink" Target="https://www.linkedin.com/learning/paths/leading-during-times-of-change?trk=ondemandfile" TargetMode="External"/><Relationship Id="rId53" Type="http://schemas.openxmlformats.org/officeDocument/2006/relationships/hyperlink" Target="https://www.linkedin.com/learning/cultivating-a-growth-mindset-3?trk=ondemandfile" TargetMode="External"/><Relationship Id="rId74" Type="http://schemas.openxmlformats.org/officeDocument/2006/relationships/hyperlink" Target="https://www.linkedin.com/learning/breaking-out-of-a-rut-2?trk=ondemandfile" TargetMode="External"/><Relationship Id="rId128" Type="http://schemas.openxmlformats.org/officeDocument/2006/relationships/hyperlink" Target="https://www.linkedin.com/learning/unerwartete-veranderungen-annehmen?trk=ondemandfile" TargetMode="External"/><Relationship Id="rId149" Type="http://schemas.openxmlformats.org/officeDocument/2006/relationships/hyperlink" Target="https://www.linkedin.com/learning/women-transforming-tech-breaking-in-and-staying-in-the-industry?trk=ondemandfile" TargetMode="External"/><Relationship Id="rId5" Type="http://schemas.openxmlformats.org/officeDocument/2006/relationships/hyperlink" Target="https://www.linkedin.com/learning/agile-lernformate-fur-organisationen?trk=ondemandfile" TargetMode="External"/><Relationship Id="rId95" Type="http://schemas.openxmlformats.org/officeDocument/2006/relationships/hyperlink" Target="https://www.linkedin.com/learning/eine-veranderungskultur-schaffen?trk=ondemandfile" TargetMode="External"/><Relationship Id="rId160" Type="http://schemas.openxmlformats.org/officeDocument/2006/relationships/hyperlink" Target="https://www.linkedin.com/learning/being-your-own-fierce-self-advocate?trk=ondemandfile" TargetMode="External"/><Relationship Id="rId22" Type="http://schemas.openxmlformats.org/officeDocument/2006/relationships/hyperlink" Target="https://www.linkedin.com/learning/paths/34149b5d-1fd7-337a-8fd6-c725fdd05bf9?trk=ondemandfile" TargetMode="External"/><Relationship Id="rId43" Type="http://schemas.openxmlformats.org/officeDocument/2006/relationships/hyperlink" Target="https://www.linkedin.com/learning/als-fuhrungskraft-das-agile-lernen-im-team-unterstutzen?trk=ondemandfile" TargetMode="External"/><Relationship Id="rId64" Type="http://schemas.openxmlformats.org/officeDocument/2006/relationships/hyperlink" Target="https://www.linkedin.com/learning/driving-change-and-anti-racism-14252577?trk=ondemandfile" TargetMode="External"/><Relationship Id="rId118" Type="http://schemas.openxmlformats.org/officeDocument/2006/relationships/hyperlink" Target="https://www.linkedin.com/learning/liderazgo-inclusivo?trk=ondemandfile" TargetMode="External"/><Relationship Id="rId139" Type="http://schemas.openxmlformats.org/officeDocument/2006/relationships/hyperlink" Target="https://www.linkedin.com/learning/body-language-for-leaders-2?trk=ondemandfile" TargetMode="External"/><Relationship Id="rId85" Type="http://schemas.openxmlformats.org/officeDocument/2006/relationships/hyperlink" Target="https://www.linkedin.com/learning/coaching-your-team-from-uncertainty-to-action?trk=ondemandfile" TargetMode="External"/><Relationship Id="rId150" Type="http://schemas.openxmlformats.org/officeDocument/2006/relationships/hyperlink" Target="https://www.linkedin.com/learning/women-transforming-tech-breaking-bias-2?trk=ondemandfile" TargetMode="External"/><Relationship Id="rId171" Type="http://schemas.openxmlformats.org/officeDocument/2006/relationships/hyperlink" Target="https://www.linkedin.com/learning/driving-change-and-anti-racism?trk=ondemandfile" TargetMode="External"/><Relationship Id="rId12" Type="http://schemas.openxmlformats.org/officeDocument/2006/relationships/hyperlink" Target="https://www.linkedin.com/learning/paths/3db8a531-c16b-3623-9891-2cd47ac19f68?trk=ondemandfile" TargetMode="External"/><Relationship Id="rId33" Type="http://schemas.openxmlformats.org/officeDocument/2006/relationships/hyperlink" Target="https://www.linkedin.com/learning/como-liderar-el-cambio-en-tu-empresa?trk=ondemandfile" TargetMode="External"/><Relationship Id="rId108" Type="http://schemas.openxmlformats.org/officeDocument/2006/relationships/hyperlink" Target="https://www.linkedin.com/learning/leading-with-innovation-3?trk=ondemandfile" TargetMode="External"/><Relationship Id="rId129" Type="http://schemas.openxmlformats.org/officeDocument/2006/relationships/hyperlink" Target="https://www.linkedin.com/learning/change-leadership?trk=ondemandfile" TargetMode="External"/><Relationship Id="rId54" Type="http://schemas.openxmlformats.org/officeDocument/2006/relationships/hyperlink" Target="https://www.linkedin.com/learning/assessing-digital-maturity?trk=ondemandfile" TargetMode="External"/><Relationship Id="rId75" Type="http://schemas.openxmlformats.org/officeDocument/2006/relationships/hyperlink" Target="https://www.linkedin.com/learning/strategic-agility?trk=ondemandfile" TargetMode="External"/><Relationship Id="rId96" Type="http://schemas.openxmlformats.org/officeDocument/2006/relationships/hyperlink" Target="https://www.linkedin.com/learning/project-management-foundations-change-2?trk=ondemandfile" TargetMode="External"/><Relationship Id="rId140" Type="http://schemas.openxmlformats.org/officeDocument/2006/relationships/hyperlink" Target="https://www.linkedin.com/learning/leading-your-team-through-actionable-change?trk=ondemandfile" TargetMode="External"/><Relationship Id="rId161" Type="http://schemas.openxmlformats.org/officeDocument/2006/relationships/hyperlink" Target="https://www.linkedin.com/learning/managing-employee-stress-for-positive-change?trk=ondemandfile" TargetMode="External"/><Relationship Id="rId1" Type="http://schemas.openxmlformats.org/officeDocument/2006/relationships/hyperlink" Target="https://www.linkedin.com/learning/jeff-dyer-on-innovation?trk=ondemandfile" TargetMode="External"/><Relationship Id="rId6" Type="http://schemas.openxmlformats.org/officeDocument/2006/relationships/hyperlink" Target="https://www.linkedin.com/learning/paths/durch-veranderungsprozesse-fuhren?trk=ondemandfile" TargetMode="External"/><Relationship Id="rId23" Type="http://schemas.openxmlformats.org/officeDocument/2006/relationships/hyperlink" Target="https://www.linkedin.com/learning/built-to-last-successful-habits-of-visionary-companies?trk=ondemandfile" TargetMode="External"/><Relationship Id="rId28" Type="http://schemas.openxmlformats.org/officeDocument/2006/relationships/hyperlink" Target="https://www.linkedin.com/learning/risk-taking-for-leaders-3?trk=ondemandfile" TargetMode="External"/><Relationship Id="rId49" Type="http://schemas.openxmlformats.org/officeDocument/2006/relationships/hyperlink" Target="https://www.linkedin.com/learning/como-liderar-reuniones-individuales-productivas?trk=ondemandfile" TargetMode="External"/><Relationship Id="rId114" Type="http://schemas.openxmlformats.org/officeDocument/2006/relationships/hyperlink" Target="https://www.linkedin.com/learning/building-resilience-as-a-leader?trk=ondemandfile" TargetMode="External"/><Relationship Id="rId119" Type="http://schemas.openxmlformats.org/officeDocument/2006/relationships/hyperlink" Target="https://www.linkedin.com/learning/kommunikation-in-zeiten-der-veranderung?trk=ondemandfile" TargetMode="External"/><Relationship Id="rId44" Type="http://schemas.openxmlformats.org/officeDocument/2006/relationships/hyperlink" Target="https://www.linkedin.com/learning/communicating-in-times-of-change-14271427?trk=contentmappingfile" TargetMode="External"/><Relationship Id="rId60" Type="http://schemas.openxmlformats.org/officeDocument/2006/relationships/hyperlink" Target="https://www.linkedin.com/learning/women-transforming-tech-breaking-bias?trk=ondemandfile" TargetMode="External"/><Relationship Id="rId65" Type="http://schemas.openxmlformats.org/officeDocument/2006/relationships/hyperlink" Target="https://www.linkedin.com/learning/como-desenvolver-a-lideranca-de-pensamento?trk=contentmappingfile" TargetMode="External"/><Relationship Id="rId81" Type="http://schemas.openxmlformats.org/officeDocument/2006/relationships/hyperlink" Target="https://www.linkedin.com/learning/00-fundamentos-de-la-gestion-de-proyectos-liderazgo?trk=ondemandfile" TargetMode="External"/><Relationship Id="rId86" Type="http://schemas.openxmlformats.org/officeDocument/2006/relationships/hyperlink" Target="https://www.linkedin.com/learning/gestion-del-estres-en-tiempos-de-incertidumbre-vivir-o-sobrevivir?trk=ondemandfile" TargetMode="External"/><Relationship Id="rId130" Type="http://schemas.openxmlformats.org/officeDocument/2006/relationships/hyperlink" Target="https://www.linkedin.com/learning/00-liderazgo-y-trabajo-en-equipo?trk=ondemandfile" TargetMode="External"/><Relationship Id="rId135" Type="http://schemas.openxmlformats.org/officeDocument/2006/relationships/hyperlink" Target="https://www.linkedin.com/learning/reorganize-and-transition-your-team-for-change?trk=ondemandfile" TargetMode="External"/><Relationship Id="rId151" Type="http://schemas.openxmlformats.org/officeDocument/2006/relationships/hyperlink" Target="https://www.linkedin.com/learning/guy-kawasaki-on-turning-life-wisd-om-into-business-success?trk=ondemandfile" TargetMode="External"/><Relationship Id="rId156" Type="http://schemas.openxmlformats.org/officeDocument/2006/relationships/hyperlink" Target="https://www.linkedin.com/learning/how-to-lead-and-inspire-change?trk=ondemandfile" TargetMode="External"/><Relationship Id="rId172" Type="http://schemas.openxmlformats.org/officeDocument/2006/relationships/hyperlink" Target="https://www.linkedin.com/learning/mastering-self-leadership?trk=ondemandfile" TargetMode="External"/><Relationship Id="rId13" Type="http://schemas.openxmlformats.org/officeDocument/2006/relationships/hyperlink" Target="https://www.linkedin.com/learning/leading-with-innovation?trk=ondemandfile" TargetMode="External"/><Relationship Id="rId18" Type="http://schemas.openxmlformats.org/officeDocument/2006/relationships/hyperlink" Target="https://www.linkedin.com/learning/paths/innovation-fordern?trk=ondemandfile" TargetMode="External"/><Relationship Id="rId39" Type="http://schemas.openxmlformats.org/officeDocument/2006/relationships/hyperlink" Target="https://www.linkedin.com/learning/creating-a-culture-of-change?trk=ondemandfile" TargetMode="External"/><Relationship Id="rId109" Type="http://schemas.openxmlformats.org/officeDocument/2006/relationships/hyperlink" Target="https://www.linkedin.com/learning/fuhrung-in-zeiten-von-unsicherheit?trk=ondemandfile" TargetMode="External"/><Relationship Id="rId34" Type="http://schemas.openxmlformats.org/officeDocument/2006/relationships/hyperlink" Target="https://www.linkedin.com/learning/paths/domina-las-habilidades-de-vida-a-nivel-de-liderazgo?trk=ondemandfile" TargetMode="External"/><Relationship Id="rId50" Type="http://schemas.openxmlformats.org/officeDocument/2006/relationships/hyperlink" Target="https://www.linkedin.com/learning/paths/trabajo-a-distancia-preparandote-a-ti-mismo-y-a-tus-equipos-para-el-exito?trk=ondemandfile" TargetMode="External"/><Relationship Id="rId55" Type="http://schemas.openxmlformats.org/officeDocument/2006/relationships/hyperlink" Target="https://www.linkedin.com/learning/paths/women-in-leadership-3?trk=ondemandfile" TargetMode="External"/><Relationship Id="rId76" Type="http://schemas.openxmlformats.org/officeDocument/2006/relationships/hyperlink" Target="https://www.linkedin.com/learning/00-fundamentos-de-la-gestion-de-proyectos-cambios?trk=ondemandfile" TargetMode="External"/><Relationship Id="rId97" Type="http://schemas.openxmlformats.org/officeDocument/2006/relationships/hyperlink" Target="https://www.linkedin.com/learning/organization-communication?trk=ondemandfile" TargetMode="External"/><Relationship Id="rId104" Type="http://schemas.openxmlformats.org/officeDocument/2006/relationships/hyperlink" Target="https://www.linkedin.com/learning/liderazgo-agil-como-afrontar-la-nueva-normalidad?trk=ondemandfile" TargetMode="External"/><Relationship Id="rId120" Type="http://schemas.openxmlformats.org/officeDocument/2006/relationships/hyperlink" Target="https://www.linkedin.com/learning/communicating-in-times-of-change?trk=ondemandfile" TargetMode="External"/><Relationship Id="rId125" Type="http://schemas.openxmlformats.org/officeDocument/2006/relationships/hyperlink" Target="https://www.linkedin.com/learning/projektmanagement-anderungsmanagement?trk=ondemandfile" TargetMode="External"/><Relationship Id="rId141" Type="http://schemas.openxmlformats.org/officeDocument/2006/relationships/hyperlink" Target="https://www.linkedin.com/learning/managing-organizational-change-for-managers?trk=ondemandfile" TargetMode="External"/><Relationship Id="rId146" Type="http://schemas.openxmlformats.org/officeDocument/2006/relationships/hyperlink" Target="https://www.linkedin.com/learning/embracing-change-2019?trk=ondemandfile" TargetMode="External"/><Relationship Id="rId167" Type="http://schemas.openxmlformats.org/officeDocument/2006/relationships/hyperlink" Target="https://www.linkedin.com/learning/leading-in-uncertain-times?trk=ondemandfile" TargetMode="External"/><Relationship Id="rId7" Type="http://schemas.openxmlformats.org/officeDocument/2006/relationships/hyperlink" Target="https://www.linkedin.com/learning/strategic-agility-14172913?trk=ondemandfile" TargetMode="External"/><Relationship Id="rId71" Type="http://schemas.openxmlformats.org/officeDocument/2006/relationships/hyperlink" Target="https://www.linkedin.com/learning/leading-organizations-ten-timeless-truths-getabstract-summary?trk=ondemandfile" TargetMode="External"/><Relationship Id="rId92" Type="http://schemas.openxmlformats.org/officeDocument/2006/relationships/hyperlink" Target="https://www.linkedin.com/learning/designing-growth-strategies-2?trk=ondemandfile" TargetMode="External"/><Relationship Id="rId162" Type="http://schemas.openxmlformats.org/officeDocument/2006/relationships/hyperlink" Target="https://www.linkedin.com/learning/adaptive-project-leadership?trk=ondemandfile" TargetMode="External"/><Relationship Id="rId2" Type="http://schemas.openxmlformats.org/officeDocument/2006/relationships/hyperlink" Target="https://www.linkedin.com/learning/paths/become-a-thought-leader?trk=ondemandfile" TargetMode="External"/><Relationship Id="rId29" Type="http://schemas.openxmlformats.org/officeDocument/2006/relationships/hyperlink" Target="https://www.linkedin.com/learning/como-apoiar-sua-equipe-na-gestao-da-ansiedade?trk=contentmappingfile" TargetMode="External"/><Relationship Id="rId24" Type="http://schemas.openxmlformats.org/officeDocument/2006/relationships/hyperlink" Target="https://www.linkedin.com/learning/paths/digital-transformation-for-tech-leaders?trk=ondemandfile" TargetMode="External"/><Relationship Id="rId40" Type="http://schemas.openxmlformats.org/officeDocument/2006/relationships/hyperlink" Target="https://www.linkedin.com/learning/paths/managing-change?trk=ondemandfile" TargetMode="External"/><Relationship Id="rId45" Type="http://schemas.openxmlformats.org/officeDocument/2006/relationships/hyperlink" Target="https://www.linkedin.com/learning/change-management-foundations-2?trk=ondemandfile" TargetMode="External"/><Relationship Id="rId66" Type="http://schemas.openxmlformats.org/officeDocument/2006/relationships/hyperlink" Target="https://www.linkedin.com/learning/leading-change-2?trk=ondemandfile" TargetMode="External"/><Relationship Id="rId87" Type="http://schemas.openxmlformats.org/officeDocument/2006/relationships/hyperlink" Target="https://www.linkedin.com/learning/disruption-und-transformation-erfolgreich-nutzen-zukunftssicher-in-vertrieb-und-marketing?trk=ondemandfile" TargetMode="External"/><Relationship Id="rId110" Type="http://schemas.openxmlformats.org/officeDocument/2006/relationships/hyperlink" Target="https://www.linkedin.com/learning/navigating-environmental-sustainability-a-guide-for-leaders?trk=ondemandfile" TargetMode="External"/><Relationship Id="rId115" Type="http://schemas.openxmlformats.org/officeDocument/2006/relationships/hyperlink" Target="https://www.linkedin.com/learning/liderazgo-en-tiempos-de-crisis?trk=ondemandfile" TargetMode="External"/><Relationship Id="rId131" Type="http://schemas.openxmlformats.org/officeDocument/2006/relationships/hyperlink" Target="https://www.linkedin.com/learning/00-leading-change?trk=ondemandfile" TargetMode="External"/><Relationship Id="rId136" Type="http://schemas.openxmlformats.org/officeDocument/2006/relationships/hyperlink" Target="https://www.linkedin.com/learning/leading-with-fearless-mindfulness?trk=ondemandfile" TargetMode="External"/><Relationship Id="rId157" Type="http://schemas.openxmlformats.org/officeDocument/2006/relationships/hyperlink" Target="https://www.linkedin.com/learning/creating-safe-spaces-for-tough-conversations-at-work?trk=contentmappingfile" TargetMode="External"/><Relationship Id="rId61" Type="http://schemas.openxmlformats.org/officeDocument/2006/relationships/hyperlink" Target="https://www.linkedin.com/learning/counterintuitive-leadership-strategies-for-a-vuca-environment?trk=ondemandfile" TargetMode="External"/><Relationship Id="rId82" Type="http://schemas.openxmlformats.org/officeDocument/2006/relationships/hyperlink" Target="https://www.linkedin.com/learning/disrupt-yourself-erfinden-sie-sich-neu?trk=ondemandfile" TargetMode="External"/><Relationship Id="rId152" Type="http://schemas.openxmlformats.org/officeDocument/2006/relationships/hyperlink" Target="https://www.linkedin.com/learning/advocating-for-change-in-your-organization?trk=ondemandfile" TargetMode="External"/><Relationship Id="rId173" Type="http://schemas.openxmlformats.org/officeDocument/2006/relationships/hyperlink" Target="https://www.linkedin.com/learning/preparing-yourself-for-change?trk=ondemandfile" TargetMode="External"/><Relationship Id="rId19" Type="http://schemas.openxmlformats.org/officeDocument/2006/relationships/hyperlink" Target="https://www.linkedin.com/learning/change-management-foundations-3?trk=ondemandfile" TargetMode="External"/><Relationship Id="rId14" Type="http://schemas.openxmlformats.org/officeDocument/2006/relationships/hyperlink" Target="https://www.linkedin.com/learning/paths/digital-transformation-for-leaders?trk=ondemandfile" TargetMode="External"/><Relationship Id="rId30" Type="http://schemas.openxmlformats.org/officeDocument/2006/relationships/hyperlink" Target="https://www.linkedin.com/learning/communicating-in-times-of-change-3?trk=ondemandfile" TargetMode="External"/><Relationship Id="rId35" Type="http://schemas.openxmlformats.org/officeDocument/2006/relationships/hyperlink" Target="https://www.linkedin.com/learning/agilitat-mit-strategie?trk=ondemandfile" TargetMode="External"/><Relationship Id="rId56" Type="http://schemas.openxmlformats.org/officeDocument/2006/relationships/hyperlink" Target="https://www.linkedin.com/learning/00-comunicacion-de-la-gestion-del-cambio?trk=ondemandfile" TargetMode="External"/><Relationship Id="rId77" Type="http://schemas.openxmlformats.org/officeDocument/2006/relationships/hyperlink" Target="https://www.linkedin.com/learning/digitale-transformation?trk=ondemandfile" TargetMode="External"/><Relationship Id="rId100" Type="http://schemas.openxmlformats.org/officeDocument/2006/relationships/hyperlink" Target="https://www.linkedin.com/learning/fuhren-mit-innovation?trk=ondemandfile" TargetMode="External"/><Relationship Id="rId105" Type="http://schemas.openxmlformats.org/officeDocument/2006/relationships/hyperlink" Target="https://www.linkedin.com/learning/00-fuhrung-21-jahrhundert?trk=ondemandfile" TargetMode="External"/><Relationship Id="rId126" Type="http://schemas.openxmlformats.org/officeDocument/2006/relationships/hyperlink" Target="https://www.linkedin.com/learning/moving-past-change-fatigue-to-the-growth-edge?trk=ondemandfile" TargetMode="External"/><Relationship Id="rId147" Type="http://schemas.openxmlformats.org/officeDocument/2006/relationships/hyperlink" Target="https://www.linkedin.com/learning/learning-design-for-sustainability?trk=ondemandfile" TargetMode="External"/><Relationship Id="rId168" Type="http://schemas.openxmlformats.org/officeDocument/2006/relationships/hyperlink" Target="https://www.linkedin.com/learning/the-employee-s-guide-to-sustainability?trk=ondemandfile" TargetMode="External"/><Relationship Id="rId8" Type="http://schemas.openxmlformats.org/officeDocument/2006/relationships/hyperlink" Target="https://www.linkedin.com/learning/paths/31070ed0-b901-3bf1-af9c-de2667146e4d?trk=ondemandfile" TargetMode="External"/><Relationship Id="rId51" Type="http://schemas.openxmlformats.org/officeDocument/2006/relationships/hyperlink" Target="https://www.linkedin.com/learning/risk-taking-lead?trk=ondemandfile" TargetMode="External"/><Relationship Id="rId72" Type="http://schemas.openxmlformats.org/officeDocument/2006/relationships/hyperlink" Target="https://www.linkedin.com/learning/estrategias-para-salir-de-una-crisis-empresarial?trk=ondemandfile" TargetMode="External"/><Relationship Id="rId93" Type="http://schemas.openxmlformats.org/officeDocument/2006/relationships/hyperlink" Target="https://www.linkedin.com/learning/ai-for-product-managers?trk=ondemandfile" TargetMode="External"/><Relationship Id="rId98" Type="http://schemas.openxmlformats.org/officeDocument/2006/relationships/hyperlink" Target="https://www.linkedin.com/learning/les-fondements-de-la-prise-de-risque-pour-les-dirigeants-dirigeantes?trk=contentmappingfile" TargetMode="External"/><Relationship Id="rId121" Type="http://schemas.openxmlformats.org/officeDocument/2006/relationships/hyperlink" Target="https://www.linkedin.com/learning/liderazgo-transformador?trk=ondemandfile" TargetMode="External"/><Relationship Id="rId142" Type="http://schemas.openxmlformats.org/officeDocument/2006/relationships/hyperlink" Target="https://www.linkedin.com/learning/how-to-support-your-employees-well-being?trk=ondemandfile" TargetMode="External"/><Relationship Id="rId163" Type="http://schemas.openxmlformats.org/officeDocument/2006/relationships/hyperlink" Target="https://www.linkedin.com/learning/enhancing-team-innovation?trk=ondemandfile" TargetMode="External"/><Relationship Id="rId3" Type="http://schemas.openxmlformats.org/officeDocument/2006/relationships/hyperlink" Target="https://www.linkedin.com/learning/00-agilidad-estrategica?trk=ondemandfile" TargetMode="External"/><Relationship Id="rId25" Type="http://schemas.openxmlformats.org/officeDocument/2006/relationships/hyperlink" Target="https://www.linkedin.com/learning/como-gestionar-los-puntos-ciegos-del-liderazgo?trk=ondemandfile" TargetMode="External"/><Relationship Id="rId46" Type="http://schemas.openxmlformats.org/officeDocument/2006/relationships/hyperlink" Target="https://www.linkedin.com/learning/leading-change-2018?trk=ondemandfile" TargetMode="External"/><Relationship Id="rId67" Type="http://schemas.openxmlformats.org/officeDocument/2006/relationships/hyperlink" Target="https://www.linkedin.com/learning/aaron-dignan-on-transformational-change?trk=ondemandfile" TargetMode="External"/><Relationship Id="rId116" Type="http://schemas.openxmlformats.org/officeDocument/2006/relationships/hyperlink" Target="https://www.linkedin.com/learning/innovation-in-unternehmen?trk=ondemandfile" TargetMode="External"/><Relationship Id="rId137" Type="http://schemas.openxmlformats.org/officeDocument/2006/relationships/hyperlink" Target="https://www.linkedin.com/learning/supporting-workers-with-disabilities?trk=ondemandfile" TargetMode="External"/><Relationship Id="rId158" Type="http://schemas.openxmlformats.org/officeDocument/2006/relationships/hyperlink" Target="https://www.linkedin.com/learning/strategies-to-foster-inclusive-language-at-work?trk=contentmappingfile" TargetMode="External"/><Relationship Id="rId20" Type="http://schemas.openxmlformats.org/officeDocument/2006/relationships/hyperlink" Target="https://www.linkedin.com/learning/paths/transforme-se-num-lider-disruptivo?trk=ondemandfile" TargetMode="External"/><Relationship Id="rId41" Type="http://schemas.openxmlformats.org/officeDocument/2006/relationships/hyperlink" Target="https://www.linkedin.com/learning/como-liderar-equipos-de-alto-potencial?trk=contentmappingfile" TargetMode="External"/><Relationship Id="rId62" Type="http://schemas.openxmlformats.org/officeDocument/2006/relationships/hyperlink" Target="https://www.linkedin.com/learning/00-building-creative-organizations?trk=ondemandfile" TargetMode="External"/><Relationship Id="rId83" Type="http://schemas.openxmlformats.org/officeDocument/2006/relationships/hyperlink" Target="https://www.linkedin.com/learning/como-exercer-a-lideranca-compassiva-a-perspectiva-de-jeff-weiner?trk=contentmappingfile" TargetMode="External"/><Relationship Id="rId88" Type="http://schemas.openxmlformats.org/officeDocument/2006/relationships/hyperlink" Target="https://www.linkedin.com/learning/unlock-your-team-s-creativity-2?trk=ondemandfile" TargetMode="External"/><Relationship Id="rId111" Type="http://schemas.openxmlformats.org/officeDocument/2006/relationships/hyperlink" Target="https://www.linkedin.com/learning/liderazgo-con-inteligencia-emocional?trk=ondemandfile" TargetMode="External"/><Relationship Id="rId132" Type="http://schemas.openxmlformats.org/officeDocument/2006/relationships/hyperlink" Target="https://www.linkedin.com/learning/start-with-why?trk=ondemandfile" TargetMode="External"/><Relationship Id="rId153" Type="http://schemas.openxmlformats.org/officeDocument/2006/relationships/hyperlink" Target="https://www.linkedin.com/learning/demystifying-company-culture?trk=ondemandfile" TargetMode="External"/><Relationship Id="rId174" Type="http://schemas.openxmlformats.org/officeDocument/2006/relationships/hyperlink" Target="https://www.linkedin.com/learning/change-management-plan-on-a-page?trk=ondemandfile" TargetMode="External"/><Relationship Id="rId15" Type="http://schemas.openxmlformats.org/officeDocument/2006/relationships/hyperlink" Target="https://www.linkedin.com/learning/00-bill-george-sobre-self-awareness-autenticidad-y-liderazgo?trk=ondemandfile" TargetMode="External"/><Relationship Id="rId36" Type="http://schemas.openxmlformats.org/officeDocument/2006/relationships/hyperlink" Target="https://www.linkedin.com/learning/embracing-unexpected-change-14683580?trk=contentmappingfile" TargetMode="External"/><Relationship Id="rId57" Type="http://schemas.openxmlformats.org/officeDocument/2006/relationships/hyperlink" Target="https://www.linkedin.com/learning/paths/mujeres-en-el-liderazgo?trk=ondemandfile" TargetMode="External"/><Relationship Id="rId106" Type="http://schemas.openxmlformats.org/officeDocument/2006/relationships/hyperlink" Target="https://www.linkedin.com/learning/body-language-for-leaders?trk=ondemandfile" TargetMode="External"/><Relationship Id="rId127" Type="http://schemas.openxmlformats.org/officeDocument/2006/relationships/hyperlink" Target="https://www.linkedin.com/learning/liderazgo-y-recursos-humanos-estrategia-de-ubicacion-para-una-fuerza-de-trabajo-hibrida?trk=contentmappingfile" TargetMode="External"/><Relationship Id="rId10" Type="http://schemas.openxmlformats.org/officeDocument/2006/relationships/hyperlink" Target="https://www.linkedin.com/learning/paths/torne-se-um-lider?trk=ondemandfile" TargetMode="External"/><Relationship Id="rId31" Type="http://schemas.openxmlformats.org/officeDocument/2006/relationships/hyperlink" Target="https://www.linkedin.com/learning/sustainability-strategies?trk=ondemandfile" TargetMode="External"/><Relationship Id="rId52" Type="http://schemas.openxmlformats.org/officeDocument/2006/relationships/hyperlink" Target="https://www.linkedin.com/learning/creating-a-culture-of-change-3?trk=ondemandfile" TargetMode="External"/><Relationship Id="rId73" Type="http://schemas.openxmlformats.org/officeDocument/2006/relationships/hyperlink" Target="https://www.linkedin.com/learning/die-kreative-organisation?trk=ondemandfile" TargetMode="External"/><Relationship Id="rId78" Type="http://schemas.openxmlformats.org/officeDocument/2006/relationships/hyperlink" Target="https://www.linkedin.com/learning/como-estimular-o-pensamento-criativo-da-sua-equipe?trk=contentmappingfile" TargetMode="External"/><Relationship Id="rId94" Type="http://schemas.openxmlformats.org/officeDocument/2006/relationships/hyperlink" Target="https://www.linkedin.com/learning/00-inteligencia-emocional-y-finanzas?trk=ondemandfile" TargetMode="External"/><Relationship Id="rId99" Type="http://schemas.openxmlformats.org/officeDocument/2006/relationships/hyperlink" Target="https://www.linkedin.com/learning/00-intrapreneurship-y-mentalidad-de-crecimiento?trk=ondemandfile" TargetMode="External"/><Relationship Id="rId101" Type="http://schemas.openxmlformats.org/officeDocument/2006/relationships/hyperlink" Target="https://www.linkedin.com/learning/dicas-e-estrategias-para-exercer-uma-lideranca-de-alto-impacto?trk=contentmappingfile" TargetMode="External"/><Relationship Id="rId122" Type="http://schemas.openxmlformats.org/officeDocument/2006/relationships/hyperlink" Target="https://www.linkedin.com/learning/marketing-in-zeiten-der-veranderung?trk=ondemandfile" TargetMode="External"/><Relationship Id="rId143" Type="http://schemas.openxmlformats.org/officeDocument/2006/relationships/hyperlink" Target="https://www.linkedin.com/learning/change-management-tips-for-leaders?trk=ondemandfile" TargetMode="External"/><Relationship Id="rId148" Type="http://schemas.openxmlformats.org/officeDocument/2006/relationships/hyperlink" Target="https://www.linkedin.com/learning/performing-under-pressure?trk=ondemandfile" TargetMode="External"/><Relationship Id="rId164" Type="http://schemas.openxmlformats.org/officeDocument/2006/relationships/hyperlink" Target="https://www.linkedin.com/learning/leading-with-kindness-and-strength?trk=ondemandfile" TargetMode="External"/><Relationship Id="rId169" Type="http://schemas.openxmlformats.org/officeDocument/2006/relationships/hyperlink" Target="https://www.linkedin.com/learning/design-of-podcast-emily-cohen-consultant-speaker-brutally-honest?trk=ondemandfile" TargetMode="External"/><Relationship Id="rId4" Type="http://schemas.openxmlformats.org/officeDocument/2006/relationships/hyperlink" Target="https://www.linkedin.com/learning/paths/liderazgo-en-tiempos-de-transformacion-digital?trk=ondemandfile" TargetMode="External"/><Relationship Id="rId9" Type="http://schemas.openxmlformats.org/officeDocument/2006/relationships/hyperlink" Target="https://www.linkedin.com/learning/a-linguagem-corporal-da-lideranca?trk=contentmappingfile" TargetMode="External"/><Relationship Id="rId26" Type="http://schemas.openxmlformats.org/officeDocument/2006/relationships/hyperlink" Target="https://www.linkedin.com/learning/paths/gestiona-los-cambios?trk=ondemandfile" TargetMode="External"/><Relationship Id="rId47" Type="http://schemas.openxmlformats.org/officeDocument/2006/relationships/hyperlink" Target="https://www.linkedin.com/learning/paths/manage-change-and-develop-your-adaptability-skills?trk=ondemandfile" TargetMode="External"/><Relationship Id="rId68" Type="http://schemas.openxmlformats.org/officeDocument/2006/relationships/hyperlink" Target="https://www.linkedin.com/learning/el-camino-hacia-el-liderazgo-femenino?trk=contentmappingfile" TargetMode="External"/><Relationship Id="rId89" Type="http://schemas.openxmlformats.org/officeDocument/2006/relationships/hyperlink" Target="https://www.linkedin.com/learning/how-to-be-an-inclusive-leader-getabstract-summary?trk=ondemandfile" TargetMode="External"/><Relationship Id="rId112" Type="http://schemas.openxmlformats.org/officeDocument/2006/relationships/hyperlink" Target="https://www.linkedin.com/learning/fuhrung-und-kommunikation-im-digitalen-zeitalter?trk=ondemandfile" TargetMode="External"/><Relationship Id="rId133" Type="http://schemas.openxmlformats.org/officeDocument/2006/relationships/hyperlink" Target="https://www.linkedin.com/learning/storytelling-para-el-liderazgo?trk=contentmappingfile" TargetMode="External"/><Relationship Id="rId154" Type="http://schemas.openxmlformats.org/officeDocument/2006/relationships/hyperlink" Target="https://www.linkedin.com/learning/creating-a-great-place-to-work-for-all?trk=ondemandfile" TargetMode="External"/><Relationship Id="rId175" Type="http://schemas.openxmlformats.org/officeDocument/2006/relationships/hyperlink" Target="https://www.linkedin.com/learning/change-management-roadmap-to-execution?trk=ondemandfile" TargetMode="External"/><Relationship Id="rId16" Type="http://schemas.openxmlformats.org/officeDocument/2006/relationships/hyperlink" Target="https://www.linkedin.com/learning/paths/amplia-tus-competencias-como-lider-para-la-transformacion-digital?trk=ondemandfile" TargetMode="External"/><Relationship Id="rId37" Type="http://schemas.openxmlformats.org/officeDocument/2006/relationships/hyperlink" Target="https://www.linkedin.com/learning/como-comunicar-mudancas-em-uma-organizacao-em-transformacao?trk=contentmappingfile" TargetMode="External"/><Relationship Id="rId58" Type="http://schemas.openxmlformats.org/officeDocument/2006/relationships/hyperlink" Target="https://www.linkedin.com/learning/change-management-grundlagen?trk=ondemandfile" TargetMode="External"/><Relationship Id="rId79" Type="http://schemas.openxmlformats.org/officeDocument/2006/relationships/hyperlink" Target="https://www.linkedin.com/learning/building-creative-organizations-3?trk=ondemandfile" TargetMode="External"/><Relationship Id="rId102" Type="http://schemas.openxmlformats.org/officeDocument/2006/relationships/hyperlink" Target="https://www.linkedin.com/learning/risk-taking-for-leaders-2?trk=ondemandfile" TargetMode="External"/><Relationship Id="rId123" Type="http://schemas.openxmlformats.org/officeDocument/2006/relationships/hyperlink" Target="https://www.linkedin.com/learning/leading-with-values?trk=ondemandfile" TargetMode="External"/><Relationship Id="rId144" Type="http://schemas.openxmlformats.org/officeDocument/2006/relationships/hyperlink" Target="https://www.linkedin.com/learning/cultivating-a-growth-mindset?trk=ondemandfile" TargetMode="External"/><Relationship Id="rId90" Type="http://schemas.openxmlformats.org/officeDocument/2006/relationships/hyperlink" Target="https://www.linkedin.com/learning/00-business-innovation?trk=ondemandfile" TargetMode="External"/><Relationship Id="rId165" Type="http://schemas.openxmlformats.org/officeDocument/2006/relationships/hyperlink" Target="https://www.linkedin.com/learning/communicating-an-enterprise-wide-transformation?trk=ondemandfile" TargetMode="External"/><Relationship Id="rId27" Type="http://schemas.openxmlformats.org/officeDocument/2006/relationships/hyperlink" Target="https://www.linkedin.com/learning/agiler-fuhren-eine-einfuhrung?trk=ondemandfile" TargetMode="External"/><Relationship Id="rId48" Type="http://schemas.openxmlformats.org/officeDocument/2006/relationships/hyperlink" Target="https://www.linkedin.com/learning/creer-une-culture-du-changement?trk=contentmappingfile" TargetMode="External"/><Relationship Id="rId69" Type="http://schemas.openxmlformats.org/officeDocument/2006/relationships/hyperlink" Target="https://www.linkedin.com/learning/00-design-thinking?trk=ondemandfile" TargetMode="External"/><Relationship Id="rId113" Type="http://schemas.openxmlformats.org/officeDocument/2006/relationships/hyperlink" Target="https://www.linkedin.com/learning/fundamentos-de-inovacao-empresarial?trk=contentmappingfile" TargetMode="External"/><Relationship Id="rId134" Type="http://schemas.openxmlformats.org/officeDocument/2006/relationships/hyperlink" Target="https://www.linkedin.com/learning/veranderungen-im-beruf-erfolgreich-bewaltigen?trk=ondemandfile" TargetMode="External"/><Relationship Id="rId80" Type="http://schemas.openxmlformats.org/officeDocument/2006/relationships/hyperlink" Target="https://www.linkedin.com/learning/using-emotions-to-leverage-and-accelerate-change-a-guide-for-leaders?trk=ondemandfile" TargetMode="External"/><Relationship Id="rId155" Type="http://schemas.openxmlformats.org/officeDocument/2006/relationships/hyperlink" Target="https://www.linkedin.com/learning/change-management-tips-for-individuals?trk=ondemandfile" TargetMode="External"/><Relationship Id="rId176" Type="http://schemas.openxmlformats.org/officeDocument/2006/relationships/hyperlink" Target="https://www.linkedin.com/learning/how-to-be-more-inclusive?trk=ondemandfile" TargetMode="External"/><Relationship Id="rId17" Type="http://schemas.openxmlformats.org/officeDocument/2006/relationships/hyperlink" Target="https://www.linkedin.com/learning/agile-und-digitale-transformation?trk=ondemandfile" TargetMode="External"/><Relationship Id="rId38" Type="http://schemas.openxmlformats.org/officeDocument/2006/relationships/hyperlink" Target="https://www.linkedin.com/learning/change-management-for-projects-15870814?trk=contentmappingfile" TargetMode="External"/><Relationship Id="rId59" Type="http://schemas.openxmlformats.org/officeDocument/2006/relationships/hyperlink" Target="https://www.linkedin.com/learning/leading-change-3?trk=ondemandfile" TargetMode="External"/><Relationship Id="rId103" Type="http://schemas.openxmlformats.org/officeDocument/2006/relationships/hyperlink" Target="https://www.linkedin.com/learning/the-purpose-effect-getabstract-summary?trk=ondemandfile" TargetMode="External"/><Relationship Id="rId124" Type="http://schemas.openxmlformats.org/officeDocument/2006/relationships/hyperlink" Target="https://www.linkedin.com/learning/00-risk-taking-for-leaders?trk=ondemandfile" TargetMode="External"/><Relationship Id="rId70" Type="http://schemas.openxmlformats.org/officeDocument/2006/relationships/hyperlink" Target="https://www.linkedin.com/learning/strategic-agility-3?trk=ondemandfile" TargetMode="External"/><Relationship Id="rId91" Type="http://schemas.openxmlformats.org/officeDocument/2006/relationships/hyperlink" Target="https://www.linkedin.com/learning/ein-agiles-mindset-entwickeln?trk=ondemandfile" TargetMode="External"/><Relationship Id="rId145" Type="http://schemas.openxmlformats.org/officeDocument/2006/relationships/hyperlink" Target="https://www.linkedin.com/learning/developing-a-learning-mindset?trk=ondemandfile" TargetMode="External"/><Relationship Id="rId166" Type="http://schemas.openxmlformats.org/officeDocument/2006/relationships/hyperlink" Target="https://www.linkedin.com/learning/how-to-innovate-and-stay-relevant-in-times-of-change-and-uncertainty?trk=ondemandfile" TargetMode="External"/></Relationships>
</file>

<file path=xl/worksheets/_rels/sheet24.xml.rels><?xml version="1.0" encoding="UTF-8" standalone="yes"?>
<Relationships xmlns="http://schemas.openxmlformats.org/package/2006/relationships"><Relationship Id="rId117" Type="http://schemas.openxmlformats.org/officeDocument/2006/relationships/hyperlink" Target="https://www.linkedin.com/learning/social-media-for-leadership-14544067?trk=contentmappingfile" TargetMode="External"/><Relationship Id="rId299" Type="http://schemas.openxmlformats.org/officeDocument/2006/relationships/hyperlink" Target="https://www.linkedin.com/learning/work-on-purpose?trk=ondemandfile" TargetMode="External"/><Relationship Id="rId21" Type="http://schemas.openxmlformats.org/officeDocument/2006/relationships/hyperlink" Target="https://www.linkedin.com/learning/como-apoiar-sua-equipe-na-gestao-da-ansiedade?trk=contentmappingfile" TargetMode="External"/><Relationship Id="rId63" Type="http://schemas.openxmlformats.org/officeDocument/2006/relationships/hyperlink" Target="https://www.linkedin.com/learning/como-liderar-con-eficacia?trk=ondemandfile" TargetMode="External"/><Relationship Id="rId159" Type="http://schemas.openxmlformats.org/officeDocument/2006/relationships/hyperlink" Target="https://www.linkedin.com/learning/executive-decision-making-4?trk=ondemandfile" TargetMode="External"/><Relationship Id="rId324" Type="http://schemas.openxmlformats.org/officeDocument/2006/relationships/hyperlink" Target="https://www.linkedin.com/learning/adaptive-leadership-for-vuca-challenges?trk=ondemandfile" TargetMode="External"/><Relationship Id="rId170" Type="http://schemas.openxmlformats.org/officeDocument/2006/relationships/hyperlink" Target="https://www.linkedin.com/learning/dicas-e-estrategias-para-exercer-uma-lideranca-de-alto-impacto?trk=contentmappingfile" TargetMode="External"/><Relationship Id="rId226" Type="http://schemas.openxmlformats.org/officeDocument/2006/relationships/hyperlink" Target="https://www.linkedin.com/learning/mehrere-generationen-managen?trk=ondemandfile" TargetMode="External"/><Relationship Id="rId268" Type="http://schemas.openxmlformats.org/officeDocument/2006/relationships/hyperlink" Target="https://www.linkedin.com/learning/leading-a-marketing-team?trk=ondemandfile" TargetMode="External"/><Relationship Id="rId32" Type="http://schemas.openxmlformats.org/officeDocument/2006/relationships/hyperlink" Target="https://www.linkedin.com/learning/paths/como-implementar-a-gestao-de-mudancas?trk=ondemandfile" TargetMode="External"/><Relationship Id="rId74" Type="http://schemas.openxmlformats.org/officeDocument/2006/relationships/hyperlink" Target="https://www.linkedin.com/learning/creating-the-conditions-for-others-to-thrive-9615462?trk=contentmappingfile" TargetMode="External"/><Relationship Id="rId128" Type="http://schemas.openxmlformats.org/officeDocument/2006/relationships/hyperlink" Target="https://www.linkedin.com/learning/managing-experienced-managers?trk=ondemandfile" TargetMode="External"/><Relationship Id="rId335" Type="http://schemas.openxmlformats.org/officeDocument/2006/relationships/hyperlink" Target="https://www.linkedin.com/learning/leading-with-a-heavy-heart?trk=ondemandfile" TargetMode="External"/><Relationship Id="rId5" Type="http://schemas.openxmlformats.org/officeDocument/2006/relationships/hyperlink" Target="https://www.linkedin.com/learning/paths/mejora-tus-dotes-de-liderazgo-y-gestion-de-equipos-de-trabajo?trk=ondemandfile" TargetMode="External"/><Relationship Id="rId181" Type="http://schemas.openxmlformats.org/officeDocument/2006/relationships/hyperlink" Target="https://www.linkedin.com/learning/le-leadership-inclusif-devenir-un-allie-une-alliee?trk=contentmappingfile" TargetMode="External"/><Relationship Id="rId237" Type="http://schemas.openxmlformats.org/officeDocument/2006/relationships/hyperlink" Target="https://www.linkedin.com/learning/executive-leadership-4?trk=ondemandfile" TargetMode="External"/><Relationship Id="rId279" Type="http://schemas.openxmlformats.org/officeDocument/2006/relationships/hyperlink" Target="https://www.linkedin.com/learning/compassionate-leadership?trk=ondemandfile" TargetMode="External"/><Relationship Id="rId43" Type="http://schemas.openxmlformats.org/officeDocument/2006/relationships/hyperlink" Target="https://www.linkedin.com/learning/paths/diversity-inclusion-and-belonging-for-leaders-and-managers?trk=ondemandfile" TargetMode="External"/><Relationship Id="rId139" Type="http://schemas.openxmlformats.org/officeDocument/2006/relationships/hyperlink" Target="https://www.linkedin.com/learning/developing-managers-in-organizations?trk=ondemandfile" TargetMode="External"/><Relationship Id="rId290" Type="http://schemas.openxmlformats.org/officeDocument/2006/relationships/hyperlink" Target="https://www.linkedin.com/learning/jeff-weiner-on-how-to-lead-like-a-ceo?trk=ondemandfile" TargetMode="External"/><Relationship Id="rId304" Type="http://schemas.openxmlformats.org/officeDocument/2006/relationships/hyperlink" Target="https://www.linkedin.com/learning/how-to-inspire-and-develop-your-direct-reports?trk=ondemandfile" TargetMode="External"/><Relationship Id="rId85" Type="http://schemas.openxmlformats.org/officeDocument/2006/relationships/hyperlink" Target="https://www.linkedin.com/learning/der-fuhrungs-talk?trk=contentmappingfile" TargetMode="External"/><Relationship Id="rId150" Type="http://schemas.openxmlformats.org/officeDocument/2006/relationships/hyperlink" Target="https://www.linkedin.com/learning/gerer-ses-relations-avec-son-chef-sa-cheffe-ses-collegues-et-ses-employes-employees?trk=contentmappingfile" TargetMode="External"/><Relationship Id="rId192" Type="http://schemas.openxmlformats.org/officeDocument/2006/relationships/hyperlink" Target="https://www.linkedin.com/learning/0205c79a-985b-337b-8a72-81f0f9bde52b?trk=ondemandfile" TargetMode="External"/><Relationship Id="rId206" Type="http://schemas.openxmlformats.org/officeDocument/2006/relationships/hyperlink" Target="https://www.linkedin.com/learning/sanyin-siang-on-strategic-mentoring?trk=ondemandfile" TargetMode="External"/><Relationship Id="rId248" Type="http://schemas.openxmlformats.org/officeDocument/2006/relationships/hyperlink" Target="https://www.linkedin.com/learning/selbstmanagement-tipps-fur-fuhrungskrafte?trk=ondemandfile" TargetMode="External"/><Relationship Id="rId12" Type="http://schemas.openxmlformats.org/officeDocument/2006/relationships/hyperlink" Target="https://www.linkedin.com/learning/paths/3db8a531-c16b-3623-9891-2cd47ac19f68?trk=ondemandfile" TargetMode="External"/><Relationship Id="rId108" Type="http://schemas.openxmlformats.org/officeDocument/2006/relationships/hyperlink" Target="https://www.linkedin.com/learning/entscheidungen-auf-fuhrungsebene-treffen?trk=ondemandfile" TargetMode="External"/><Relationship Id="rId315" Type="http://schemas.openxmlformats.org/officeDocument/2006/relationships/hyperlink" Target="https://www.linkedin.com/learning/how-to-negotiate-your-leadership-success?trk=ondemandfile" TargetMode="External"/><Relationship Id="rId54" Type="http://schemas.openxmlformats.org/officeDocument/2006/relationships/hyperlink" Target="https://www.linkedin.com/learning/como-gestionar-los-puntos-ciegos-del-liderazgo?trk=ondemandfile" TargetMode="External"/><Relationship Id="rId96" Type="http://schemas.openxmlformats.org/officeDocument/2006/relationships/hyperlink" Target="https://www.linkedin.com/learning/devenir-une-personne-charismatique-et-influente?trk=contentmappingfile" TargetMode="External"/><Relationship Id="rId161" Type="http://schemas.openxmlformats.org/officeDocument/2006/relationships/hyperlink" Target="https://www.linkedin.com/learning/executive-decision-making?trk=ondemandfile" TargetMode="External"/><Relationship Id="rId217" Type="http://schemas.openxmlformats.org/officeDocument/2006/relationships/hyperlink" Target="https://www.linkedin.com/learning/leading-and-working-in-teams-3?trk=ondemandfile" TargetMode="External"/><Relationship Id="rId259" Type="http://schemas.openxmlformats.org/officeDocument/2006/relationships/hyperlink" Target="https://www.linkedin.com/learning/storytelling-fur-fuhrungskrafte?trk=ondemandfile" TargetMode="External"/><Relationship Id="rId23" Type="http://schemas.openxmlformats.org/officeDocument/2006/relationships/hyperlink" Target="https://www.linkedin.com/learning/transition-from-manager-to-leader-3?trk=ondemandfile" TargetMode="External"/><Relationship Id="rId119" Type="http://schemas.openxmlformats.org/officeDocument/2006/relationships/hyperlink" Target="https://www.linkedin.com/learning/00-developing-your-leadership-philosophy?trk=ondemandfile" TargetMode="External"/><Relationship Id="rId270" Type="http://schemas.openxmlformats.org/officeDocument/2006/relationships/hyperlink" Target="https://www.linkedin.com/learning/sustentabilidade-ambiental-um-guia-para-lideres-empresariais?trk=contentmappingfile" TargetMode="External"/><Relationship Id="rId326" Type="http://schemas.openxmlformats.org/officeDocument/2006/relationships/hyperlink" Target="https://www.linkedin.com/learning/bill-george-on-self-awareness-authenticity-and-leadership?trk=ondemandfile" TargetMode="External"/><Relationship Id="rId65" Type="http://schemas.openxmlformats.org/officeDocument/2006/relationships/hyperlink" Target="https://www.linkedin.com/learning/coaching-skills-fur-fuhrungskrafte?trk=ondemandfile" TargetMode="External"/><Relationship Id="rId130" Type="http://schemas.openxmlformats.org/officeDocument/2006/relationships/hyperlink" Target="https://www.linkedin.com/learning/fair-fuhren-inclusive-leadership-im-unternehmen-fordern?trk=contentmappingfile" TargetMode="External"/><Relationship Id="rId172" Type="http://schemas.openxmlformats.org/officeDocument/2006/relationships/hyperlink" Target="https://www.linkedin.com/learning/human-centered-leadership?trk=ondemandfile" TargetMode="External"/><Relationship Id="rId228" Type="http://schemas.openxmlformats.org/officeDocument/2006/relationships/hyperlink" Target="https://www.linkedin.com/learning/leadership-foundations-4?trk=ondemandfile" TargetMode="External"/><Relationship Id="rId281" Type="http://schemas.openxmlformats.org/officeDocument/2006/relationships/hyperlink" Target="https://www.linkedin.com/learning/creative-thinking-strategies-for-leaders?trk=ondemandfile" TargetMode="External"/><Relationship Id="rId34" Type="http://schemas.openxmlformats.org/officeDocument/2006/relationships/hyperlink" Target="https://www.linkedin.com/learning/leading-with-innovation?trk=ondemandfile" TargetMode="External"/><Relationship Id="rId76" Type="http://schemas.openxmlformats.org/officeDocument/2006/relationships/hyperlink" Target="https://www.linkedin.com/learning/paths/remote-working-setting-yourself-and-your-teams-up-for-success?trk=ondemandfile" TargetMode="External"/><Relationship Id="rId141" Type="http://schemas.openxmlformats.org/officeDocument/2006/relationships/hyperlink" Target="https://www.linkedin.com/learning/fuhren-mit-emotionaler-intelligenz-16505108?trk=contentmappingfile" TargetMode="External"/><Relationship Id="rId7" Type="http://schemas.openxmlformats.org/officeDocument/2006/relationships/hyperlink" Target="https://www.linkedin.com/learning/paths/fuehren-im-zeitalter-der-digitalen-transformation?trk=ondemandfile" TargetMode="External"/><Relationship Id="rId183" Type="http://schemas.openxmlformats.org/officeDocument/2006/relationships/hyperlink" Target="https://www.linkedin.com/learning/fuhrungsqualitaten-fur-topmanager?trk=ondemandfile" TargetMode="External"/><Relationship Id="rId239" Type="http://schemas.openxmlformats.org/officeDocument/2006/relationships/hyperlink" Target="https://www.linkedin.com/learning/feel-good-management?trk=ondemandfile" TargetMode="External"/><Relationship Id="rId250" Type="http://schemas.openxmlformats.org/officeDocument/2006/relationships/hyperlink" Target="https://www.linkedin.com/learning/servant-leadership-dienende-fuhrung?trk=ondemandfile" TargetMode="External"/><Relationship Id="rId292" Type="http://schemas.openxmlformats.org/officeDocument/2006/relationships/hyperlink" Target="https://www.linkedin.com/learning/the-leader-s-guide-to-mindfulness-getabstract-summary?trk=ondemandfile" TargetMode="External"/><Relationship Id="rId306" Type="http://schemas.openxmlformats.org/officeDocument/2006/relationships/hyperlink" Target="https://www.linkedin.com/learning/overcoming-obstacles-to-leading-with-confidence?trk=ondemandfile" TargetMode="External"/><Relationship Id="rId24" Type="http://schemas.openxmlformats.org/officeDocument/2006/relationships/hyperlink" Target="https://www.linkedin.com/learning/paths/34149b5d-1fd7-337a-8fd6-c725fdd05bf9?trk=ondemandfile" TargetMode="External"/><Relationship Id="rId45" Type="http://schemas.openxmlformats.org/officeDocument/2006/relationships/hyperlink" Target="https://www.linkedin.com/learning/como-gestionar-al-personal-de-alto-rendimiento?trk=contentmappingfile" TargetMode="External"/><Relationship Id="rId66" Type="http://schemas.openxmlformats.org/officeDocument/2006/relationships/hyperlink" Target="https://www.linkedin.com/learning/what-is-servant-leadership?trk=contentmappingfile" TargetMode="External"/><Relationship Id="rId87" Type="http://schemas.openxmlformats.org/officeDocument/2006/relationships/hyperlink" Target="https://www.linkedin.com/learning/como-exercer-a-lideranca-compassiva-a-perspectiva-de-jeff-weiner?trk=contentmappingfile" TargetMode="External"/><Relationship Id="rId110" Type="http://schemas.openxmlformats.org/officeDocument/2006/relationships/hyperlink" Target="https://www.linkedin.com/learning/balancing-multiple-roles-as-a-leader-3?trk=contentmappingfile" TargetMode="External"/><Relationship Id="rId131" Type="http://schemas.openxmlformats.org/officeDocument/2006/relationships/hyperlink" Target="https://www.linkedin.com/learning/managing-high-potentials-15917491?trk=contentmappingfile" TargetMode="External"/><Relationship Id="rId327" Type="http://schemas.openxmlformats.org/officeDocument/2006/relationships/hyperlink" Target="https://www.linkedin.com/learning/fred-kofman-on-accountability?trk=ondemandfile" TargetMode="External"/><Relationship Id="rId152" Type="http://schemas.openxmlformats.org/officeDocument/2006/relationships/hyperlink" Target="https://www.linkedin.com/learning/fuhren-ohne-positionsmacht?trk=ondemandfile" TargetMode="External"/><Relationship Id="rId173" Type="http://schemas.openxmlformats.org/officeDocument/2006/relationships/hyperlink" Target="https://www.linkedin.com/learning/liderazgo-en-tiempos-de-crisis?trk=ondemandfile" TargetMode="External"/><Relationship Id="rId194" Type="http://schemas.openxmlformats.org/officeDocument/2006/relationships/hyperlink" Target="https://www.linkedin.com/learning/motivaci-n-e-implicaci-n-en-la-empresa?trk=ondemandfile" TargetMode="External"/><Relationship Id="rId208" Type="http://schemas.openxmlformats.org/officeDocument/2006/relationships/hyperlink" Target="https://www.linkedin.com/learning/ihre-fuhrungsphilosophie-entwickeln?trk=ondemandfile" TargetMode="External"/><Relationship Id="rId229" Type="http://schemas.openxmlformats.org/officeDocument/2006/relationships/hyperlink" Target="https://www.linkedin.com/learning/mentoring-im-tandem-zum-erfolg-blinkist-kernaussagen?trk=ondemandfile" TargetMode="External"/><Relationship Id="rId240" Type="http://schemas.openxmlformats.org/officeDocument/2006/relationships/hyperlink" Target="https://www.linkedin.com/learning/developing-assertive-leadership?trk=ondemandfile" TargetMode="External"/><Relationship Id="rId261" Type="http://schemas.openxmlformats.org/officeDocument/2006/relationships/hyperlink" Target="https://www.linkedin.com/learning/systemisch-fuhren?trk=ondemandfile" TargetMode="External"/><Relationship Id="rId14" Type="http://schemas.openxmlformats.org/officeDocument/2006/relationships/hyperlink" Target="https://www.linkedin.com/learning/paths/become-an-inclusive-leader?trk=ondemandfile" TargetMode="External"/><Relationship Id="rId35" Type="http://schemas.openxmlformats.org/officeDocument/2006/relationships/hyperlink" Target="https://www.linkedin.com/learning/paths/become-a-thought-leader?trk=ondemandfile" TargetMode="External"/><Relationship Id="rId56" Type="http://schemas.openxmlformats.org/officeDocument/2006/relationships/hyperlink" Target="https://www.linkedin.com/learning/blinde-flecke-in-der-fuhrung-erkennen-und-uberwinden?trk=ondemandfile" TargetMode="External"/><Relationship Id="rId77" Type="http://schemas.openxmlformats.org/officeDocument/2006/relationships/hyperlink" Target="https://www.linkedin.com/learning/de-l-impuissance-au-pouvoir-la-prise-de-controle?trk=contentmappingfile" TargetMode="External"/><Relationship Id="rId100" Type="http://schemas.openxmlformats.org/officeDocument/2006/relationships/hyperlink" Target="https://www.linkedin.com/learning/leadership-strategies-for-women-2?trk=ondemandfile" TargetMode="External"/><Relationship Id="rId282" Type="http://schemas.openxmlformats.org/officeDocument/2006/relationships/hyperlink" Target="https://www.linkedin.com/learning/leading-and-motivating-different-personalities?trk=ondemandfile" TargetMode="External"/><Relationship Id="rId317" Type="http://schemas.openxmlformats.org/officeDocument/2006/relationships/hyperlink" Target="https://www.linkedin.com/learning/building-and-managing-a-high-performing-sales-team?trk=ondemandfile" TargetMode="External"/><Relationship Id="rId8" Type="http://schemas.openxmlformats.org/officeDocument/2006/relationships/hyperlink" Target="https://www.linkedin.com/learning/conducting-one-on-one-meetings?trk=contentmappingfile" TargetMode="External"/><Relationship Id="rId98" Type="http://schemas.openxmlformats.org/officeDocument/2006/relationships/hyperlink" Target="https://www.linkedin.com/learning/die-ersten-100-tage-als-fuhrungskraft-2?trk=ondemandfile" TargetMode="External"/><Relationship Id="rId121" Type="http://schemas.openxmlformats.org/officeDocument/2006/relationships/hyperlink" Target="https://www.linkedin.com/learning/leadership-strategies-for-women-14677199?trk=contentmappingfile" TargetMode="External"/><Relationship Id="rId142" Type="http://schemas.openxmlformats.org/officeDocument/2006/relationships/hyperlink" Target="https://www.linkedin.com/learning/new-manager-foundations-4?trk=contentmappingfile" TargetMode="External"/><Relationship Id="rId163" Type="http://schemas.openxmlformats.org/officeDocument/2006/relationships/hyperlink" Target="https://www.linkedin.com/learning/fuhrung-im-team-warum-teams-die-besseren-fuhrungskrafte-sind?trk=contentmappingfile" TargetMode="External"/><Relationship Id="rId184" Type="http://schemas.openxmlformats.org/officeDocument/2006/relationships/hyperlink" Target="https://www.linkedin.com/learning/managing-high-potentials-3?trk=ondemandfile" TargetMode="External"/><Relationship Id="rId219" Type="http://schemas.openxmlformats.org/officeDocument/2006/relationships/hyperlink" Target="https://www.linkedin.com/learning/00-korpersprache?trk=ondemandfile" TargetMode="External"/><Relationship Id="rId230" Type="http://schemas.openxmlformats.org/officeDocument/2006/relationships/hyperlink" Target="https://www.linkedin.com/learning/executive-decision-making-3?trk=ondemandfile" TargetMode="External"/><Relationship Id="rId251" Type="http://schemas.openxmlformats.org/officeDocument/2006/relationships/hyperlink" Target="https://www.linkedin.com/learning/leading-at-a-distance?trk=ondemandfile" TargetMode="External"/><Relationship Id="rId25" Type="http://schemas.openxmlformats.org/officeDocument/2006/relationships/hyperlink" Target="https://www.linkedin.com/learning/leadership-stories-5-minute-lessons-in-leading-people?trk=ondemandfile" TargetMode="External"/><Relationship Id="rId46" Type="http://schemas.openxmlformats.org/officeDocument/2006/relationships/hyperlink" Target="https://www.linkedin.com/learning/paths/profundiza-tu-capacidad-estrategica?trk=ondemandfile" TargetMode="External"/><Relationship Id="rId67" Type="http://schemas.openxmlformats.org/officeDocument/2006/relationships/hyperlink" Target="https://www.linkedin.com/learning/como-demitir-colaboradores?trk=contentmappingfile" TargetMode="External"/><Relationship Id="rId272" Type="http://schemas.openxmlformats.org/officeDocument/2006/relationships/hyperlink" Target="https://www.linkedin.com/learning/00-fragenfuehren?trk=ondemandfile" TargetMode="External"/><Relationship Id="rId293" Type="http://schemas.openxmlformats.org/officeDocument/2006/relationships/hyperlink" Target="https://www.linkedin.com/learning/supporting-your-team-as-offices-reopen?trk=ondemandfile" TargetMode="External"/><Relationship Id="rId307" Type="http://schemas.openxmlformats.org/officeDocument/2006/relationships/hyperlink" Target="https://www.linkedin.com/learning/effective-sponsorship-across-difference-for-sponsors?trk=contentmappingfile" TargetMode="External"/><Relationship Id="rId328" Type="http://schemas.openxmlformats.org/officeDocument/2006/relationships/hyperlink" Target="https://www.linkedin.com/learning/leading-in-crisis?trk=ondemandfile" TargetMode="External"/><Relationship Id="rId88" Type="http://schemas.openxmlformats.org/officeDocument/2006/relationships/hyperlink" Target="https://www.linkedin.com/learning/cultivating-a-growth-mindset-3?trk=ondemandfile" TargetMode="External"/><Relationship Id="rId111" Type="http://schemas.openxmlformats.org/officeDocument/2006/relationships/hyperlink" Target="https://www.linkedin.com/learning/the-7-secrets-of-responsive-leadership-getabstract-summary?trk=ondemandfile" TargetMode="External"/><Relationship Id="rId132" Type="http://schemas.openxmlformats.org/officeDocument/2006/relationships/hyperlink" Target="https://www.linkedin.com/learning/como-passar-da-gerencia-a-lideranca?trk=contentmappingfile" TargetMode="External"/><Relationship Id="rId153" Type="http://schemas.openxmlformats.org/officeDocument/2006/relationships/hyperlink" Target="https://www.linkedin.com/learning/what-is-power-and-influence?trk=contentmappingfile" TargetMode="External"/><Relationship Id="rId174" Type="http://schemas.openxmlformats.org/officeDocument/2006/relationships/hyperlink" Target="https://www.linkedin.com/learning/fuhrung-in-zeiten-von-unsicherheit?trk=ondemandfile" TargetMode="External"/><Relationship Id="rId195" Type="http://schemas.openxmlformats.org/officeDocument/2006/relationships/hyperlink" Target="https://www.linkedin.com/learning/gesund-fuhren?trk=contentmappingfile" TargetMode="External"/><Relationship Id="rId209" Type="http://schemas.openxmlformats.org/officeDocument/2006/relationships/hyperlink" Target="https://www.linkedin.com/learning/gestao-de-conflitos-como-lidar-com-as-divergencias-na-empresa?trk=contentmappingfile" TargetMode="External"/><Relationship Id="rId220" Type="http://schemas.openxmlformats.org/officeDocument/2006/relationships/hyperlink" Target="https://www.linkedin.com/learning/risk-taking-for-leaders-2?trk=ondemandfile" TargetMode="External"/><Relationship Id="rId241" Type="http://schemas.openxmlformats.org/officeDocument/2006/relationships/hyperlink" Target="https://www.linkedin.com/learning/multikulturelle-teams-f-hren?trk=ondemandfile" TargetMode="External"/><Relationship Id="rId15" Type="http://schemas.openxmlformats.org/officeDocument/2006/relationships/hyperlink" Target="https://www.linkedin.com/learning/accroitre-la-securite-psychologique-de-votre-equipe?trk=contentmappingfile" TargetMode="External"/><Relationship Id="rId36" Type="http://schemas.openxmlformats.org/officeDocument/2006/relationships/hyperlink" Target="https://www.linkedin.com/learning/como-gestionar-a-personas-con-alto-potencial?trk=contentmappingfile" TargetMode="External"/><Relationship Id="rId57" Type="http://schemas.openxmlformats.org/officeDocument/2006/relationships/hyperlink" Target="https://www.linkedin.com/learning/paths/teams-aufbauen-und-fuehren?trk=ondemandfile" TargetMode="External"/><Relationship Id="rId262" Type="http://schemas.openxmlformats.org/officeDocument/2006/relationships/hyperlink" Target="https://www.linkedin.com/learning/lead-like-a-boss?trk=ondemandfile" TargetMode="External"/><Relationship Id="rId283" Type="http://schemas.openxmlformats.org/officeDocument/2006/relationships/hyperlink" Target="https://www.linkedin.com/learning/leading-in-the-moment?trk=ondemandfile" TargetMode="External"/><Relationship Id="rId318" Type="http://schemas.openxmlformats.org/officeDocument/2006/relationships/hyperlink" Target="https://www.linkedin.com/learning/predictive-analytics-essential-training-for-executives?trk=ondemandfile" TargetMode="External"/><Relationship Id="rId78" Type="http://schemas.openxmlformats.org/officeDocument/2006/relationships/hyperlink" Target="https://www.linkedin.com/learning/como-liderar-equipos-de-alto-potencial?trk=contentmappingfile" TargetMode="External"/><Relationship Id="rId99" Type="http://schemas.openxmlformats.org/officeDocument/2006/relationships/hyperlink" Target="https://www.linkedin.com/learning/leadership-foundation?trk=ondemandfile" TargetMode="External"/><Relationship Id="rId101" Type="http://schemas.openxmlformats.org/officeDocument/2006/relationships/hyperlink" Target="https://www.linkedin.com/learning/cmo-foundations-working-with-leadership-and-board-of-directors?trk=ondemandfile" TargetMode="External"/><Relationship Id="rId122" Type="http://schemas.openxmlformats.org/officeDocument/2006/relationships/hyperlink" Target="https://www.linkedin.com/learning/building-accountability-into-your-culture-3?trk=ondemandfile" TargetMode="External"/><Relationship Id="rId143" Type="http://schemas.openxmlformats.org/officeDocument/2006/relationships/hyperlink" Target="https://www.linkedin.com/learning/influencing-others-4?trk=ondemandfile" TargetMode="External"/><Relationship Id="rId164" Type="http://schemas.openxmlformats.org/officeDocument/2006/relationships/hyperlink" Target="https://www.linkedin.com/learning/developing-your-leadership-philosophy-4?trk=ondemandfile" TargetMode="External"/><Relationship Id="rId185" Type="http://schemas.openxmlformats.org/officeDocument/2006/relationships/hyperlink" Target="https://www.linkedin.com/learning/navigating-executive-politics?trk=ondemandfile" TargetMode="External"/><Relationship Id="rId9" Type="http://schemas.openxmlformats.org/officeDocument/2006/relationships/hyperlink" Target="https://www.linkedin.com/learning/a-linguagem-corporal-da-lideranca?trk=contentmappingfile" TargetMode="External"/><Relationship Id="rId210" Type="http://schemas.openxmlformats.org/officeDocument/2006/relationships/hyperlink" Target="https://www.linkedin.com/learning/leadership-foundations-2?trk=ondemandfile" TargetMode="External"/><Relationship Id="rId26" Type="http://schemas.openxmlformats.org/officeDocument/2006/relationships/hyperlink" Target="https://www.linkedin.com/learning/paths/become-a-leader?trk=ondemandfile" TargetMode="External"/><Relationship Id="rId231" Type="http://schemas.openxmlformats.org/officeDocument/2006/relationships/hyperlink" Target="https://www.linkedin.com/learning/management-foundations-2019?trk=ondemandfile" TargetMode="External"/><Relationship Id="rId252" Type="http://schemas.openxmlformats.org/officeDocument/2006/relationships/hyperlink" Target="https://www.linkedin.com/learning/sich-selbst-fuhren?trk=ondemandfile" TargetMode="External"/><Relationship Id="rId273" Type="http://schemas.openxmlformats.org/officeDocument/2006/relationships/hyperlink" Target="https://www.linkedin.com/learning/business-ethics-for-managers-and-leaders?trk=ondemandfile" TargetMode="External"/><Relationship Id="rId294" Type="http://schemas.openxmlformats.org/officeDocument/2006/relationships/hyperlink" Target="https://www.linkedin.com/learning/inspirational-leadership-skills-practical-motivational-leadership?trk=ondemandfile" TargetMode="External"/><Relationship Id="rId308" Type="http://schemas.openxmlformats.org/officeDocument/2006/relationships/hyperlink" Target="https://www.linkedin.com/learning/exercising-a-growth-mindset-as-a-leader-nine-common-workplace-challenges?trk=ondemandfile" TargetMode="External"/><Relationship Id="rId329" Type="http://schemas.openxmlformats.org/officeDocument/2006/relationships/hyperlink" Target="https://www.linkedin.com/learning/the-fearless-organization-blinkist-summary?trk=ondemandfile" TargetMode="External"/><Relationship Id="rId47" Type="http://schemas.openxmlformats.org/officeDocument/2006/relationships/hyperlink" Target="https://www.linkedin.com/learning/bereit-zur-fuhrung?trk=ondemandfile" TargetMode="External"/><Relationship Id="rId68" Type="http://schemas.openxmlformats.org/officeDocument/2006/relationships/hyperlink" Target="https://www.linkedin.com/learning/collaborative-leadership-3?trk=ondemandfile" TargetMode="External"/><Relationship Id="rId89" Type="http://schemas.openxmlformats.org/officeDocument/2006/relationships/hyperlink" Target="https://www.linkedin.com/learning/vision-in-action-leaders-live-case-studies?trk=ondemandfile" TargetMode="External"/><Relationship Id="rId112" Type="http://schemas.openxmlformats.org/officeDocument/2006/relationships/hyperlink" Target="https://www.linkedin.com/learning/diriger-grace-a-l-intelligence-emotionnelle?trk=contentmappingfile" TargetMode="External"/><Relationship Id="rId133" Type="http://schemas.openxmlformats.org/officeDocument/2006/relationships/hyperlink" Target="https://www.linkedin.com/learning/leading-change-2?trk=ondemandfile" TargetMode="External"/><Relationship Id="rId154" Type="http://schemas.openxmlformats.org/officeDocument/2006/relationships/hyperlink" Target="https://www.linkedin.com/learning/contratacao-de-colaboradores-tecnicas-para-gerentes?trk=contentmappingfile" TargetMode="External"/><Relationship Id="rId175" Type="http://schemas.openxmlformats.org/officeDocument/2006/relationships/hyperlink" Target="https://www.linkedin.com/learning/unlock-your-team-s-creativity-2?trk=ondemandfile" TargetMode="External"/><Relationship Id="rId196" Type="http://schemas.openxmlformats.org/officeDocument/2006/relationships/hyperlink" Target="https://www.linkedin.com/learning/performance-management-conducting-performance-reviews-2?trk=ondemandfile" TargetMode="External"/><Relationship Id="rId200" Type="http://schemas.openxmlformats.org/officeDocument/2006/relationships/hyperlink" Target="https://www.linkedin.com/learning/grundlagen-von-fuhrung-2?trk=ondemandfile" TargetMode="External"/><Relationship Id="rId16" Type="http://schemas.openxmlformats.org/officeDocument/2006/relationships/hyperlink" Target="https://www.linkedin.com/learning/00-bill-george-sobre-self-awareness-autenticidad-y-liderazgo?trk=ondemandfile" TargetMode="External"/><Relationship Id="rId221" Type="http://schemas.openxmlformats.org/officeDocument/2006/relationships/hyperlink" Target="https://www.linkedin.com/learning/leadership-foundations-leadership-styles-and-models?trk=ondemandfile" TargetMode="External"/><Relationship Id="rId242" Type="http://schemas.openxmlformats.org/officeDocument/2006/relationships/hyperlink" Target="https://www.linkedin.com/learning/lideranca-global-como-gerenciar-a-complexidade-e-a-diversidade?trk=contentmappingfile" TargetMode="External"/><Relationship Id="rId263" Type="http://schemas.openxmlformats.org/officeDocument/2006/relationships/hyperlink" Target="https://www.linkedin.com/learning/00-teams-bilden?trk=ondemandfile" TargetMode="External"/><Relationship Id="rId284" Type="http://schemas.openxmlformats.org/officeDocument/2006/relationships/hyperlink" Target="https://www.linkedin.com/learning/coaching-virtually?trk=ondemandfile" TargetMode="External"/><Relationship Id="rId319" Type="http://schemas.openxmlformats.org/officeDocument/2006/relationships/hyperlink" Target="https://www.linkedin.com/learning/leadership-mindsets?trk=ondemandfile" TargetMode="External"/><Relationship Id="rId37" Type="http://schemas.openxmlformats.org/officeDocument/2006/relationships/hyperlink" Target="https://www.linkedin.com/learning/paths/conviertete-en-lider?trk=ondemandfile" TargetMode="External"/><Relationship Id="rId58" Type="http://schemas.openxmlformats.org/officeDocument/2006/relationships/hyperlink" Target="https://www.linkedin.com/learning/leading-with-emotional-intelligence?trk=ondemandfile" TargetMode="External"/><Relationship Id="rId79" Type="http://schemas.openxmlformats.org/officeDocument/2006/relationships/hyperlink" Target="https://www.linkedin.com/learning/den-eigenen-fuhrungsstil-entwickeln?trk=ondemandfile" TargetMode="External"/><Relationship Id="rId102" Type="http://schemas.openxmlformats.org/officeDocument/2006/relationships/hyperlink" Target="https://www.linkedin.com/learning/como-medir-el-rendimiento-de-tu-equipo?trk=contentmappingfile" TargetMode="External"/><Relationship Id="rId123" Type="http://schemas.openxmlformats.org/officeDocument/2006/relationships/hyperlink" Target="https://www.linkedin.com/learning/transformational-leadership?trk=ondemandfile" TargetMode="External"/><Relationship Id="rId144" Type="http://schemas.openxmlformats.org/officeDocument/2006/relationships/hyperlink" Target="https://www.linkedin.com/learning/hr-and-digital-transformation?trk=ondemandfile" TargetMode="External"/><Relationship Id="rId330" Type="http://schemas.openxmlformats.org/officeDocument/2006/relationships/hyperlink" Target="https://www.linkedin.com/learning/what-s-next-reinventing-work-in-the-new-normal?trk=ondemandfile" TargetMode="External"/><Relationship Id="rId90" Type="http://schemas.openxmlformats.org/officeDocument/2006/relationships/hyperlink" Target="https://www.linkedin.com/learning/devenir-un-manager-bienveillant-une-manager-bienveillante?trk=contentmappingfile" TargetMode="External"/><Relationship Id="rId165" Type="http://schemas.openxmlformats.org/officeDocument/2006/relationships/hyperlink" Target="https://www.linkedin.com/learning/jeff-weiner-on-managing-compassionately-13800446?trk=contentmappingfile" TargetMode="External"/><Relationship Id="rId186" Type="http://schemas.openxmlformats.org/officeDocument/2006/relationships/hyperlink" Target="https://www.linkedin.com/learning/liderazgo-y-recursos-humanos-estrategia-de-ubicacion-para-una-fuerza-de-trabajo-hibrida?trk=contentmappingfile" TargetMode="External"/><Relationship Id="rId211" Type="http://schemas.openxmlformats.org/officeDocument/2006/relationships/hyperlink" Target="https://www.linkedin.com/learning/using-emotions-to-leverage-and-accelerate-change-a-guide-for-leaders?trk=ondemandfile" TargetMode="External"/><Relationship Id="rId232" Type="http://schemas.openxmlformats.org/officeDocument/2006/relationships/hyperlink" Target="https://www.linkedin.com/learning/mit-depressionen-am-arbeitsplatz-umgehen?trk=ondemandfile" TargetMode="External"/><Relationship Id="rId253" Type="http://schemas.openxmlformats.org/officeDocument/2006/relationships/hyperlink" Target="https://www.linkedin.com/learning/mulheres-na-lideranca-como-impulsionar-a-equidade-nas-organizacoes?trk=contentmappingfile" TargetMode="External"/><Relationship Id="rId274" Type="http://schemas.openxmlformats.org/officeDocument/2006/relationships/hyperlink" Target="https://www.linkedin.com/learning/virtuelle-teams-fuhren-16362149?trk=contentmappingfile" TargetMode="External"/><Relationship Id="rId295" Type="http://schemas.openxmlformats.org/officeDocument/2006/relationships/hyperlink" Target="https://www.linkedin.com/learning/leading-yourself-2017?trk=ondemandfile" TargetMode="External"/><Relationship Id="rId309" Type="http://schemas.openxmlformats.org/officeDocument/2006/relationships/hyperlink" Target="https://www.linkedin.com/learning/demonstrating-accountability-as-a-leader?trk=ondemandfile" TargetMode="External"/><Relationship Id="rId27" Type="http://schemas.openxmlformats.org/officeDocument/2006/relationships/hyperlink" Target="https://www.linkedin.com/learning/como-dar-y-recibir-feedback-o-retroalimentacion?trk=contentmappingfile" TargetMode="External"/><Relationship Id="rId48" Type="http://schemas.openxmlformats.org/officeDocument/2006/relationships/hyperlink" Target="https://www.linkedin.com/learning/paths/leader-in-werden?trk=ondemandfile" TargetMode="External"/><Relationship Id="rId69" Type="http://schemas.openxmlformats.org/officeDocument/2006/relationships/hyperlink" Target="https://www.linkedin.com/learning/lean-technology-strategy-purposeful-organizations?trk=ondemandfile" TargetMode="External"/><Relationship Id="rId113" Type="http://schemas.openxmlformats.org/officeDocument/2006/relationships/hyperlink" Target="https://www.linkedin.com/learning/del-victimismo-a-la-acci-n-asume-el-control?trk=ondemandfile" TargetMode="External"/><Relationship Id="rId134" Type="http://schemas.openxmlformats.org/officeDocument/2006/relationships/hyperlink" Target="https://www.linkedin.com/learning/the-future-of-performance-management?trk=ondemandfile" TargetMode="External"/><Relationship Id="rId320" Type="http://schemas.openxmlformats.org/officeDocument/2006/relationships/hyperlink" Target="https://www.linkedin.com/learning/how-leaders-can-motivate-by-creating-meaning?trk=ondemandfile" TargetMode="External"/><Relationship Id="rId80" Type="http://schemas.openxmlformats.org/officeDocument/2006/relationships/hyperlink" Target="https://www.linkedin.com/learning/leading-with-stories-14851159?trk=contentmappingfile" TargetMode="External"/><Relationship Id="rId155" Type="http://schemas.openxmlformats.org/officeDocument/2006/relationships/hyperlink" Target="https://www.linkedin.com/learning/84777a9a-010b-3e75-8b28-27d3706e8c9a?trk=ondemandfile" TargetMode="External"/><Relationship Id="rId176" Type="http://schemas.openxmlformats.org/officeDocument/2006/relationships/hyperlink" Target="https://www.linkedin.com/learning/building-resilience-as-a-leader?trk=ondemandfile" TargetMode="External"/><Relationship Id="rId197" Type="http://schemas.openxmlformats.org/officeDocument/2006/relationships/hyperlink" Target="https://www.linkedin.com/learning/executive-influence?trk=ondemandfile" TargetMode="External"/><Relationship Id="rId201" Type="http://schemas.openxmlformats.org/officeDocument/2006/relationships/hyperlink" Target="https://www.linkedin.com/learning/executive-presence-on-video-conference-calls-17489051?trk=contentmappingfile" TargetMode="External"/><Relationship Id="rId222" Type="http://schemas.openxmlformats.org/officeDocument/2006/relationships/hyperlink" Target="https://www.linkedin.com/learning/motiver-ses-equipes-quand-on-est-soi-meme-epuise-et-stresse?trk=contentmappingfile" TargetMode="External"/><Relationship Id="rId243" Type="http://schemas.openxmlformats.org/officeDocument/2006/relationships/hyperlink" Target="https://www.linkedin.com/learning/leadership-fundamentals?trk=ondemandfile" TargetMode="External"/><Relationship Id="rId264" Type="http://schemas.openxmlformats.org/officeDocument/2006/relationships/hyperlink" Target="https://www.linkedin.com/learning/leading-and-working-in-teams?trk=ondemandfile" TargetMode="External"/><Relationship Id="rId285" Type="http://schemas.openxmlformats.org/officeDocument/2006/relationships/hyperlink" Target="https://www.linkedin.com/learning/body-language-for-leaders-2?trk=ondemandfile" TargetMode="External"/><Relationship Id="rId17" Type="http://schemas.openxmlformats.org/officeDocument/2006/relationships/hyperlink" Target="https://www.linkedin.com/learning/paths/domina-las-habilidades-de-vida-a-nivel-de-liderazgo?trk=ondemandfile" TargetMode="External"/><Relationship Id="rId38" Type="http://schemas.openxmlformats.org/officeDocument/2006/relationships/hyperlink" Target="https://www.linkedin.com/learning/als-ingenieur-in-oder-it-expert-in-mitarbeiter-fuhren?trk=ondemandfile" TargetMode="External"/><Relationship Id="rId59" Type="http://schemas.openxmlformats.org/officeDocument/2006/relationships/hyperlink" Target="https://www.linkedin.com/learning/transformational-leadership-3?trk=contentmappingfile" TargetMode="External"/><Relationship Id="rId103" Type="http://schemas.openxmlformats.org/officeDocument/2006/relationships/hyperlink" Target="https://www.linkedin.com/learning/ein-team-im-kundenservice-leiten?trk=ondemandfile" TargetMode="External"/><Relationship Id="rId124" Type="http://schemas.openxmlformats.org/officeDocument/2006/relationships/hyperlink" Target="https://www.linkedin.com/learning/el-camino-hacia-el-liderazgo-femenino?trk=contentmappingfile" TargetMode="External"/><Relationship Id="rId310" Type="http://schemas.openxmlformats.org/officeDocument/2006/relationships/hyperlink" Target="https://www.linkedin.com/learning/fostering-belonging-as-a-leader?trk=ondemandfile" TargetMode="External"/><Relationship Id="rId70" Type="http://schemas.openxmlformats.org/officeDocument/2006/relationships/hyperlink" Target="https://www.linkedin.com/learning/paths/master-in-demand-skills-for-technology-leadership?trk=ondemandfile" TargetMode="External"/><Relationship Id="rId91" Type="http://schemas.openxmlformats.org/officeDocument/2006/relationships/hyperlink" Target="https://www.linkedin.com/learning/como-liderar-reuniones-individuales-productivas?trk=ondemandfile" TargetMode="External"/><Relationship Id="rId145" Type="http://schemas.openxmlformats.org/officeDocument/2006/relationships/hyperlink" Target="https://www.linkedin.com/learning/fundamentos-y-consejos-para-gerentes-principiantes?trk=contentmappingfile" TargetMode="External"/><Relationship Id="rId166" Type="http://schemas.openxmlformats.org/officeDocument/2006/relationships/hyperlink" Target="https://www.linkedin.com/learning/executive-leadership?trk=ondemandfile" TargetMode="External"/><Relationship Id="rId187" Type="http://schemas.openxmlformats.org/officeDocument/2006/relationships/hyperlink" Target="https://www.linkedin.com/learning/fuhrungsstarke-ausstrahlen?trk=ondemandfile" TargetMode="External"/><Relationship Id="rId331" Type="http://schemas.openxmlformats.org/officeDocument/2006/relationships/hyperlink" Target="https://www.linkedin.com/learning/advice-for-leaders-during-a-crisis?trk=ondemandfile" TargetMode="External"/><Relationship Id="rId1" Type="http://schemas.openxmlformats.org/officeDocument/2006/relationships/hyperlink" Target="https://www.linkedin.com/learning/privacy-for-executives?trk=ondemandfile" TargetMode="External"/><Relationship Id="rId212" Type="http://schemas.openxmlformats.org/officeDocument/2006/relationships/hyperlink" Target="https://www.linkedin.com/learning/les-meilleures-pratiques-du-leadership?trk=contentmappingfile" TargetMode="External"/><Relationship Id="rId233" Type="http://schemas.openxmlformats.org/officeDocument/2006/relationships/hyperlink" Target="https://www.linkedin.com/learning/leading-with-emotional-intelligence-2?trk=ondemandfile" TargetMode="External"/><Relationship Id="rId254" Type="http://schemas.openxmlformats.org/officeDocument/2006/relationships/hyperlink" Target="https://www.linkedin.com/learning/managing-technical-professionals?trk=ondemandfile" TargetMode="External"/><Relationship Id="rId28" Type="http://schemas.openxmlformats.org/officeDocument/2006/relationships/hyperlink" Target="https://www.linkedin.com/learning/paths/amplia-tus-competencias-como-lider-para-la-transformacion-digital?trk=ondemandfile" TargetMode="External"/><Relationship Id="rId49" Type="http://schemas.openxmlformats.org/officeDocument/2006/relationships/hyperlink" Target="https://www.linkedin.com/learning/developing-executive-presence-14758456?trk=contentmappingfile" TargetMode="External"/><Relationship Id="rId114" Type="http://schemas.openxmlformats.org/officeDocument/2006/relationships/hyperlink" Target="https://www.linkedin.com/learning/erfahrene-fuhrungskrafte-fuhren?trk=ondemandfile" TargetMode="External"/><Relationship Id="rId275" Type="http://schemas.openxmlformats.org/officeDocument/2006/relationships/hyperlink" Target="https://www.linkedin.com/learning/lessons-in-enlightened-leadership?trk=ondemandfile" TargetMode="External"/><Relationship Id="rId296" Type="http://schemas.openxmlformats.org/officeDocument/2006/relationships/hyperlink" Target="https://www.linkedin.com/learning/women-transforming-tech-finding-a-mentor?trk=ondemandfile" TargetMode="External"/><Relationship Id="rId300" Type="http://schemas.openxmlformats.org/officeDocument/2006/relationships/hyperlink" Target="https://www.linkedin.com/learning/superhuman-innovation-blinkist-summary?trk=ondemandfile" TargetMode="External"/><Relationship Id="rId60" Type="http://schemas.openxmlformats.org/officeDocument/2006/relationships/hyperlink" Target="https://www.linkedin.com/learning/good-to-great?trk=ondemandfile" TargetMode="External"/><Relationship Id="rId81" Type="http://schemas.openxmlformats.org/officeDocument/2006/relationships/hyperlink" Target="https://www.linkedin.com/learning/como-estimular-o-pensamento-criativo-da-sua-equipe?trk=contentmappingfile" TargetMode="External"/><Relationship Id="rId135" Type="http://schemas.openxmlformats.org/officeDocument/2006/relationships/hyperlink" Target="https://www.linkedin.com/learning/00-fred-kofman-on-accountability?trk=ondemandfile" TargetMode="External"/><Relationship Id="rId156" Type="http://schemas.openxmlformats.org/officeDocument/2006/relationships/hyperlink" Target="https://www.linkedin.com/learning/developing-your-leadership-philosophy?trk=ondemandfile" TargetMode="External"/><Relationship Id="rId177" Type="http://schemas.openxmlformats.org/officeDocument/2006/relationships/hyperlink" Target="https://www.linkedin.com/learning/liderazgo-inclusivo?trk=ondemandfile" TargetMode="External"/><Relationship Id="rId198" Type="http://schemas.openxmlformats.org/officeDocument/2006/relationships/hyperlink" Target="https://www.linkedin.com/learning/les-fondements-de-la-prise-de-risque-pour-les-dirigeants-dirigeantes?trk=contentmappingfile" TargetMode="External"/><Relationship Id="rId321" Type="http://schemas.openxmlformats.org/officeDocument/2006/relationships/hyperlink" Target="https://www.linkedin.com/learning/how-to-innovate-and-stay-relevant-in-times-of-change-and-uncertainty?trk=ondemandfile" TargetMode="External"/><Relationship Id="rId202" Type="http://schemas.openxmlformats.org/officeDocument/2006/relationships/hyperlink" Target="https://www.linkedin.com/learning/leading-with-vision?trk=ondemandfile" TargetMode="External"/><Relationship Id="rId223" Type="http://schemas.openxmlformats.org/officeDocument/2006/relationships/hyperlink" Target="https://www.linkedin.com/learning/mehr-ausstrahlung-mit-dem-charisma-code?trk=ondemandfile" TargetMode="External"/><Relationship Id="rId244" Type="http://schemas.openxmlformats.org/officeDocument/2006/relationships/hyperlink" Target="https://www.linkedin.com/learning/neue-fuhrungskrafte-fuhren?trk=ondemandfile" TargetMode="External"/><Relationship Id="rId18" Type="http://schemas.openxmlformats.org/officeDocument/2006/relationships/hyperlink" Target="https://www.linkedin.com/learning/als-fuhrungskraft-das-agile-lernen-im-team-unterstutzen?trk=ondemandfile" TargetMode="External"/><Relationship Id="rId39" Type="http://schemas.openxmlformats.org/officeDocument/2006/relationships/hyperlink" Target="https://www.linkedin.com/learning/paths/fuehrungsqualitten-entwickeln?trk=ondemandfile" TargetMode="External"/><Relationship Id="rId265" Type="http://schemas.openxmlformats.org/officeDocument/2006/relationships/hyperlink" Target="https://www.linkedin.com/learning/technische-fachkrafte-fuhren?trk=ondemandfile" TargetMode="External"/><Relationship Id="rId286" Type="http://schemas.openxmlformats.org/officeDocument/2006/relationships/hyperlink" Target="https://www.linkedin.com/learning/jeff-weiner-on-compassionate-leadership-from-stanford?trk=ondemandfile" TargetMode="External"/><Relationship Id="rId50" Type="http://schemas.openxmlformats.org/officeDocument/2006/relationships/hyperlink" Target="https://www.linkedin.com/learning/inclusive-leadership-2?trk=ondemandfile" TargetMode="External"/><Relationship Id="rId104" Type="http://schemas.openxmlformats.org/officeDocument/2006/relationships/hyperlink" Target="https://www.linkedin.com/learning/creative-tricks-for-leaders?trk=ondemandfile" TargetMode="External"/><Relationship Id="rId125" Type="http://schemas.openxmlformats.org/officeDocument/2006/relationships/hyperlink" Target="https://www.linkedin.com/learning/expert-innen-fuhren?trk=ondemandfile" TargetMode="External"/><Relationship Id="rId146" Type="http://schemas.openxmlformats.org/officeDocument/2006/relationships/hyperlink" Target="https://www.linkedin.com/learning/fuhren-mit-innovation?trk=ondemandfile" TargetMode="External"/><Relationship Id="rId167" Type="http://schemas.openxmlformats.org/officeDocument/2006/relationships/hyperlink" Target="https://www.linkedin.com/learning/jeff-weiner-le-management-compassionnel?trk=contentmappingfile" TargetMode="External"/><Relationship Id="rId188" Type="http://schemas.openxmlformats.org/officeDocument/2006/relationships/hyperlink" Target="https://www.linkedin.com/learning/managing-high-performers-3?trk=ondemandfile" TargetMode="External"/><Relationship Id="rId311" Type="http://schemas.openxmlformats.org/officeDocument/2006/relationships/hyperlink" Target="https://www.linkedin.com/learning/leadership-skills-for-the-future?trk=ondemandfile" TargetMode="External"/><Relationship Id="rId332" Type="http://schemas.openxmlformats.org/officeDocument/2006/relationships/hyperlink" Target="https://www.linkedin.com/learning/leadership-in-tech?trk=ondemandfile" TargetMode="External"/><Relationship Id="rId71" Type="http://schemas.openxmlformats.org/officeDocument/2006/relationships/hyperlink" Target="https://www.linkedin.com/learning/como-liderar-el-cambio-en-tu-empresa?trk=ondemandfile" TargetMode="External"/><Relationship Id="rId92" Type="http://schemas.openxmlformats.org/officeDocument/2006/relationships/hyperlink" Target="https://www.linkedin.com/learning/die-5-rollen-einer-fuhrungskraft?trk=contentmappingfile" TargetMode="External"/><Relationship Id="rId213" Type="http://schemas.openxmlformats.org/officeDocument/2006/relationships/hyperlink" Target="https://www.linkedin.com/learning/00-anteilmanag?trk=ondemandfile" TargetMode="External"/><Relationship Id="rId234" Type="http://schemas.openxmlformats.org/officeDocument/2006/relationships/hyperlink" Target="https://www.linkedin.com/learning/implementing-continuous-impro-vement-a-case-study?trk=ondemandfile" TargetMode="External"/><Relationship Id="rId2" Type="http://schemas.openxmlformats.org/officeDocument/2006/relationships/hyperlink" Target="https://www.linkedin.com/learning/paths/build-a-company-learning-and-development-program?trk=ondemandfile" TargetMode="External"/><Relationship Id="rId29" Type="http://schemas.openxmlformats.org/officeDocument/2006/relationships/hyperlink" Target="https://www.linkedin.com/learning/risk-taking-lead?trk=ondemandfile" TargetMode="External"/><Relationship Id="rId255" Type="http://schemas.openxmlformats.org/officeDocument/2006/relationships/hyperlink" Target="https://www.linkedin.com/learning/social-media-fur-fuhrungskrafte?trk=contentmappingfile" TargetMode="External"/><Relationship Id="rId276" Type="http://schemas.openxmlformats.org/officeDocument/2006/relationships/hyperlink" Target="https://www.linkedin.com/learning/00-beurteilung?trk=ondemandfile" TargetMode="External"/><Relationship Id="rId297" Type="http://schemas.openxmlformats.org/officeDocument/2006/relationships/hyperlink" Target="https://www.linkedin.com/learning/women-transforming-tech-round-table-discussion?trk=ondemandfile" TargetMode="External"/><Relationship Id="rId40" Type="http://schemas.openxmlformats.org/officeDocument/2006/relationships/hyperlink" Target="https://www.linkedin.com/learning/leading-inclusive-teams-14683165?trk=contentmappingfile" TargetMode="External"/><Relationship Id="rId115" Type="http://schemas.openxmlformats.org/officeDocument/2006/relationships/hyperlink" Target="https://www.linkedin.com/learning/collaborative-leadership-9064543?trk=ondemandfile" TargetMode="External"/><Relationship Id="rId136" Type="http://schemas.openxmlformats.org/officeDocument/2006/relationships/hyperlink" Target="https://www.linkedin.com/learning/fair-fuhren-blinkist-kernaussagen?trk=ondemandfile" TargetMode="External"/><Relationship Id="rId157" Type="http://schemas.openxmlformats.org/officeDocument/2006/relationships/hyperlink" Target="https://www.linkedin.com/learning/00-jeff-weiner-on-compassionate-management?trk=ondemandfile" TargetMode="External"/><Relationship Id="rId178" Type="http://schemas.openxmlformats.org/officeDocument/2006/relationships/hyperlink" Target="https://www.linkedin.com/learning/00-fuhrungsfallen?trk=ondemandfile" TargetMode="External"/><Relationship Id="rId301" Type="http://schemas.openxmlformats.org/officeDocument/2006/relationships/hyperlink" Target="https://www.linkedin.com/learning/inclusive-communication?trk=ondemandfile" TargetMode="External"/><Relationship Id="rId322" Type="http://schemas.openxmlformats.org/officeDocument/2006/relationships/hyperlink" Target="https://www.linkedin.com/learning/leading-in-uncertain-times?trk=ondemandfile" TargetMode="External"/><Relationship Id="rId61" Type="http://schemas.openxmlformats.org/officeDocument/2006/relationships/hyperlink" Target="https://www.linkedin.com/learning/paths/linkedin-manager-to-leader?trk=ondemandfile" TargetMode="External"/><Relationship Id="rId82" Type="http://schemas.openxmlformats.org/officeDocument/2006/relationships/hyperlink" Target="https://www.linkedin.com/learning/grit-how-teams-persevere-to-accomplish-great-goals-2?trk=contentmappingfile" TargetMode="External"/><Relationship Id="rId199" Type="http://schemas.openxmlformats.org/officeDocument/2006/relationships/hyperlink" Target="https://www.linkedin.com/learning/storytelling-para-el-liderazgo?trk=contentmappingfile" TargetMode="External"/><Relationship Id="rId203" Type="http://schemas.openxmlformats.org/officeDocument/2006/relationships/hyperlink" Target="https://www.linkedin.com/learning/00-executive-decision-making?trk=ondemandfile" TargetMode="External"/><Relationship Id="rId19" Type="http://schemas.openxmlformats.org/officeDocument/2006/relationships/hyperlink" Target="https://www.linkedin.com/learning/paths/fuehrungskompetenz-weiterentwickeln?trk=ondemandfile" TargetMode="External"/><Relationship Id="rId224" Type="http://schemas.openxmlformats.org/officeDocument/2006/relationships/hyperlink" Target="https://www.linkedin.com/learning/body-language-for-leaders?trk=ondemandfile" TargetMode="External"/><Relationship Id="rId245" Type="http://schemas.openxmlformats.org/officeDocument/2006/relationships/hyperlink" Target="https://www.linkedin.com/learning/key-mental-shifts-for-servant-leadership?trk=ondemandfile" TargetMode="External"/><Relationship Id="rId266" Type="http://schemas.openxmlformats.org/officeDocument/2006/relationships/hyperlink" Target="https://www.linkedin.com/learning/leading-effectively?trk=ondemandfile" TargetMode="External"/><Relationship Id="rId287" Type="http://schemas.openxmlformats.org/officeDocument/2006/relationships/hyperlink" Target="https://www.linkedin.com/learning/the-secret-what-great-leaders-know-and-do-getabstract-summary?trk=ondemandfile" TargetMode="External"/><Relationship Id="rId30" Type="http://schemas.openxmlformats.org/officeDocument/2006/relationships/hyperlink" Target="https://www.linkedin.com/learning/paths/fuhrungskraft-werden?trk=ondemandfile" TargetMode="External"/><Relationship Id="rId105" Type="http://schemas.openxmlformats.org/officeDocument/2006/relationships/hyperlink" Target="https://www.linkedin.com/learning/executive-presence-for-women-3?trk=ondemandfile" TargetMode="External"/><Relationship Id="rId126" Type="http://schemas.openxmlformats.org/officeDocument/2006/relationships/hyperlink" Target="https://www.linkedin.com/learning/managing-high-performers-15918448?trk=contentmappingfile" TargetMode="External"/><Relationship Id="rId147" Type="http://schemas.openxmlformats.org/officeDocument/2006/relationships/hyperlink" Target="https://www.linkedin.com/learning/managing-new-managers-8329868?trk=ondemandfile" TargetMode="External"/><Relationship Id="rId168" Type="http://schemas.openxmlformats.org/officeDocument/2006/relationships/hyperlink" Target="https://www.linkedin.com/learning/liderazgo-creativo?trk=ondemandfile" TargetMode="External"/><Relationship Id="rId312" Type="http://schemas.openxmlformats.org/officeDocument/2006/relationships/hyperlink" Target="https://www.linkedin.com/learning/how-to-successfully-lead-a-pmo?trk=ondemandfile" TargetMode="External"/><Relationship Id="rId333" Type="http://schemas.openxmlformats.org/officeDocument/2006/relationships/hyperlink" Target="https://www.linkedin.com/learning/communicating-internally-during-times-of-uncertainty?trk=ondemandfile" TargetMode="External"/><Relationship Id="rId51" Type="http://schemas.openxmlformats.org/officeDocument/2006/relationships/hyperlink" Target="https://www.linkedin.com/learning/doing-good-to-build-a-profitable-business?trk=ondemandfile" TargetMode="External"/><Relationship Id="rId72" Type="http://schemas.openxmlformats.org/officeDocument/2006/relationships/hyperlink" Target="https://www.linkedin.com/learning/de-3036?trk=ondemandfile" TargetMode="External"/><Relationship Id="rId93" Type="http://schemas.openxmlformats.org/officeDocument/2006/relationships/hyperlink" Target="https://www.linkedin.com/learning/transition-from-manager-to-leader-2?trk=ondemandfile" TargetMode="External"/><Relationship Id="rId189" Type="http://schemas.openxmlformats.org/officeDocument/2006/relationships/hyperlink" Target="https://www.linkedin.com/learning/leading-with-values?trk=ondemandfile" TargetMode="External"/><Relationship Id="rId3" Type="http://schemas.openxmlformats.org/officeDocument/2006/relationships/hyperlink" Target="https://www.linkedin.com/learning/10-minutes-un-livre-comment-trouver-le-leader-en-vous?trk=contentmappingfile" TargetMode="External"/><Relationship Id="rId214" Type="http://schemas.openxmlformats.org/officeDocument/2006/relationships/hyperlink" Target="https://www.linkedin.com/learning/leadership-blind-spots-4?trk=ondemandfile" TargetMode="External"/><Relationship Id="rId235" Type="http://schemas.openxmlformats.org/officeDocument/2006/relationships/hyperlink" Target="https://www.linkedin.com/learning/s-affirmer-par-le-travail-de-la-voix?trk=contentmappingfile" TargetMode="External"/><Relationship Id="rId256" Type="http://schemas.openxmlformats.org/officeDocument/2006/relationships/hyperlink" Target="https://www.linkedin.com/learning/leading-with-emotional-intelligence-2018?trk=ondemandfile" TargetMode="External"/><Relationship Id="rId277" Type="http://schemas.openxmlformats.org/officeDocument/2006/relationships/hyperlink" Target="https://www.linkedin.com/learning/having-career-conversations-with-your-team?trk=ondemandfile" TargetMode="External"/><Relationship Id="rId298" Type="http://schemas.openxmlformats.org/officeDocument/2006/relationships/hyperlink" Target="https://www.linkedin.com/learning/become-a-courageous-female-leader?trk=ondemandfile" TargetMode="External"/><Relationship Id="rId116" Type="http://schemas.openxmlformats.org/officeDocument/2006/relationships/hyperlink" Target="https://www.linkedin.com/learning/como-liderar-e-incentivar-equipes-virtuais-para-estimular-a-motivacao-no-trabalho?trk=contentmappingfile" TargetMode="External"/><Relationship Id="rId137" Type="http://schemas.openxmlformats.org/officeDocument/2006/relationships/hyperlink" Target="https://www.linkedin.com/learning/navigating-environmental-sustainability-a-guide-for-leaders-14877682?trk=contentmappingfile" TargetMode="External"/><Relationship Id="rId158" Type="http://schemas.openxmlformats.org/officeDocument/2006/relationships/hyperlink" Target="https://www.linkedin.com/learning/00-fuhrung-21-jahrhundert?trk=ondemandfile" TargetMode="External"/><Relationship Id="rId302" Type="http://schemas.openxmlformats.org/officeDocument/2006/relationships/hyperlink" Target="https://www.linkedin.com/learning/project-leadership?trk=ondemandfile" TargetMode="External"/><Relationship Id="rId323" Type="http://schemas.openxmlformats.org/officeDocument/2006/relationships/hyperlink" Target="https://www.linkedin.com/learning/the-definitive-drucker-getabstract-summary?trk=ondemandfile" TargetMode="External"/><Relationship Id="rId20" Type="http://schemas.openxmlformats.org/officeDocument/2006/relationships/hyperlink" Target="https://www.linkedin.com/learning/setting-team-and-employee-goals-14797875?trk=contentmappingfile" TargetMode="External"/><Relationship Id="rId41" Type="http://schemas.openxmlformats.org/officeDocument/2006/relationships/hyperlink" Target="https://www.linkedin.com/learning/leading-with-innovation-4?trk=ondemandfile" TargetMode="External"/><Relationship Id="rId62" Type="http://schemas.openxmlformats.org/officeDocument/2006/relationships/hyperlink" Target="https://www.linkedin.com/learning/conseils-et-astuces-pour-les-dirigeants-dirigeantes?trk=contentmappingfile" TargetMode="External"/><Relationship Id="rId83" Type="http://schemas.openxmlformats.org/officeDocument/2006/relationships/hyperlink" Target="https://www.linkedin.com/learning/leading-change-2018?trk=ondemandfile" TargetMode="External"/><Relationship Id="rId179" Type="http://schemas.openxmlformats.org/officeDocument/2006/relationships/hyperlink" Target="https://www.linkedin.com/learning/leading-with-stories-3?trk=ondemandfile" TargetMode="External"/><Relationship Id="rId190" Type="http://schemas.openxmlformats.org/officeDocument/2006/relationships/hyperlink" Target="https://www.linkedin.com/learning/00-liderazgo-y-trabajo-en-equipo?trk=ondemandfile" TargetMode="External"/><Relationship Id="rId204" Type="http://schemas.openxmlformats.org/officeDocument/2006/relationships/hyperlink" Target="https://www.linkedin.com/learning/hybride-teams-fuhren?trk=contentmappingfile" TargetMode="External"/><Relationship Id="rId225" Type="http://schemas.openxmlformats.org/officeDocument/2006/relationships/hyperlink" Target="https://www.linkedin.com/learning/leadership-practical-skills?trk=ondemandfile" TargetMode="External"/><Relationship Id="rId246" Type="http://schemas.openxmlformats.org/officeDocument/2006/relationships/hyperlink" Target="https://www.linkedin.com/learning/00-projektmanagement-teamfuhrung?trk=ondemandfile" TargetMode="External"/><Relationship Id="rId267" Type="http://schemas.openxmlformats.org/officeDocument/2006/relationships/hyperlink" Target="https://www.linkedin.com/learning/00-fuhrungstipps?trk=ondemandfile" TargetMode="External"/><Relationship Id="rId288" Type="http://schemas.openxmlformats.org/officeDocument/2006/relationships/hyperlink" Target="https://www.linkedin.com/learning/become-a-digital-nomad?trk=ondemandfile" TargetMode="External"/><Relationship Id="rId106" Type="http://schemas.openxmlformats.org/officeDocument/2006/relationships/hyperlink" Target="https://www.linkedin.com/learning/leading-organizations-ten-timeless-truths-getabstract-summary?trk=ondemandfile" TargetMode="External"/><Relationship Id="rId127" Type="http://schemas.openxmlformats.org/officeDocument/2006/relationships/hyperlink" Target="https://www.linkedin.com/learning/building-self-confidence?trk=ondemandfile" TargetMode="External"/><Relationship Id="rId313" Type="http://schemas.openxmlformats.org/officeDocument/2006/relationships/hyperlink" Target="https://www.linkedin.com/learning/leading-projects?trk=ondemandfile" TargetMode="External"/><Relationship Id="rId10" Type="http://schemas.openxmlformats.org/officeDocument/2006/relationships/hyperlink" Target="https://www.linkedin.com/learning/paths/torne-se-um-lider?trk=ondemandfile" TargetMode="External"/><Relationship Id="rId31" Type="http://schemas.openxmlformats.org/officeDocument/2006/relationships/hyperlink" Target="https://www.linkedin.com/learning/inclusive-leadership-3?trk=ondemandfile" TargetMode="External"/><Relationship Id="rId52" Type="http://schemas.openxmlformats.org/officeDocument/2006/relationships/hyperlink" Target="https://www.linkedin.com/learning/paths/leading-others-effectively?trk=ondemandfile" TargetMode="External"/><Relationship Id="rId73" Type="http://schemas.openxmlformats.org/officeDocument/2006/relationships/hyperlink" Target="https://www.linkedin.com/learning/jeff-weiner-on-managing-compassionately-2?trk=contentmappingfile" TargetMode="External"/><Relationship Id="rId94" Type="http://schemas.openxmlformats.org/officeDocument/2006/relationships/hyperlink" Target="https://www.linkedin.com/learning/developing-executive-presence-2?trk=ondemandfile" TargetMode="External"/><Relationship Id="rId148" Type="http://schemas.openxmlformats.org/officeDocument/2006/relationships/hyperlink" Target="https://www.linkedin.com/learning/becoming-a-thought-leader?trk=ondemandfile" TargetMode="External"/><Relationship Id="rId169" Type="http://schemas.openxmlformats.org/officeDocument/2006/relationships/hyperlink" Target="https://www.linkedin.com/learning/fuhrung-im-vertrieb-limbecks-leadership-lektionen?trk=ondemandfile" TargetMode="External"/><Relationship Id="rId334" Type="http://schemas.openxmlformats.org/officeDocument/2006/relationships/hyperlink" Target="https://www.linkedin.com/learning/redesigning-how-we-work-in-2021?trk=ondemandfile" TargetMode="External"/><Relationship Id="rId4" Type="http://schemas.openxmlformats.org/officeDocument/2006/relationships/hyperlink" Target="https://www.linkedin.com/learning/agile-en-accion-construye-tu-equipo-agil?trk=ondemandfile" TargetMode="External"/><Relationship Id="rId180" Type="http://schemas.openxmlformats.org/officeDocument/2006/relationships/hyperlink" Target="https://www.linkedin.com/learning/leading-with-purpose?trk=ondemandfile" TargetMode="External"/><Relationship Id="rId215" Type="http://schemas.openxmlformats.org/officeDocument/2006/relationships/hyperlink" Target="https://www.linkedin.com/learning/ken-blanchard-on-servant-leadership?trk=ondemandfile" TargetMode="External"/><Relationship Id="rId236" Type="http://schemas.openxmlformats.org/officeDocument/2006/relationships/hyperlink" Target="https://www.linkedin.com/learning/mit-schwierigen-mitarbeiter-innen-umgehen?trk=ondemandfile" TargetMode="External"/><Relationship Id="rId257" Type="http://schemas.openxmlformats.org/officeDocument/2006/relationships/hyperlink" Target="https://www.linkedin.com/learning/potenzialtrager-fuhren?trk=ondemandfile" TargetMode="External"/><Relationship Id="rId278" Type="http://schemas.openxmlformats.org/officeDocument/2006/relationships/hyperlink" Target="https://www.linkedin.com/learning/00-ohnmaechtig?trk=ondemandfile" TargetMode="External"/><Relationship Id="rId303" Type="http://schemas.openxmlformats.org/officeDocument/2006/relationships/hyperlink" Target="https://www.linkedin.com/learning/navigating-complexity-in-your-organization?trk=ondemandfile" TargetMode="External"/><Relationship Id="rId42" Type="http://schemas.openxmlformats.org/officeDocument/2006/relationships/hyperlink" Target="https://www.linkedin.com/learning/inclusive-leadership?trk=ondemandfile" TargetMode="External"/><Relationship Id="rId84" Type="http://schemas.openxmlformats.org/officeDocument/2006/relationships/hyperlink" Target="https://www.linkedin.com/learning/como-liderar-equipos-inclusivos?trk=ondemandfile" TargetMode="External"/><Relationship Id="rId138" Type="http://schemas.openxmlformats.org/officeDocument/2006/relationships/hyperlink" Target="https://www.linkedin.com/learning/developing-your-leadership-philosophy-3?trk=ondemandfile" TargetMode="External"/><Relationship Id="rId191" Type="http://schemas.openxmlformats.org/officeDocument/2006/relationships/hyperlink" Target="https://www.linkedin.com/learning/fuhrungsstarke-ausstrahlen-tipps-fur-frauen?trk=ondemandfile" TargetMode="External"/><Relationship Id="rId205" Type="http://schemas.openxmlformats.org/officeDocument/2006/relationships/hyperlink" Target="https://www.linkedin.com/learning/project-management-foundations-leading-projects-2?trk=ondemandfile" TargetMode="External"/><Relationship Id="rId247" Type="http://schemas.openxmlformats.org/officeDocument/2006/relationships/hyperlink" Target="https://www.linkedin.com/learning/creating-a-culture-that-inspires-your-employees?trk=ondemandfile" TargetMode="External"/><Relationship Id="rId107" Type="http://schemas.openxmlformats.org/officeDocument/2006/relationships/hyperlink" Target="https://www.linkedin.com/learning/como-mejorar-el-rendimiento-de-tu-personal?trk=contentmappingfile" TargetMode="External"/><Relationship Id="rId289" Type="http://schemas.openxmlformats.org/officeDocument/2006/relationships/hyperlink" Target="https://www.linkedin.com/learning/conducting-motivational-1-on-1-reviews?trk=ondemandfile" TargetMode="External"/><Relationship Id="rId11" Type="http://schemas.openxmlformats.org/officeDocument/2006/relationships/hyperlink" Target="https://www.linkedin.com/learning/leading-virtual-meetings-9615175?trk=contentmappingfile" TargetMode="External"/><Relationship Id="rId53" Type="http://schemas.openxmlformats.org/officeDocument/2006/relationships/hyperlink" Target="https://www.linkedin.com/learning/conseils-d-experte-manager-la-generation-z?trk=contentmappingfile" TargetMode="External"/><Relationship Id="rId149" Type="http://schemas.openxmlformats.org/officeDocument/2006/relationships/hyperlink" Target="https://www.linkedin.com/learning/collaborative-leadership?trk=ondemandfile" TargetMode="External"/><Relationship Id="rId314" Type="http://schemas.openxmlformats.org/officeDocument/2006/relationships/hyperlink" Target="https://www.linkedin.com/learning/leading-with-kindness-and-strength?trk=ondemandfile" TargetMode="External"/><Relationship Id="rId95" Type="http://schemas.openxmlformats.org/officeDocument/2006/relationships/hyperlink" Target="https://www.linkedin.com/learning/leading-the-organization-monthly?trk=ondemandfile" TargetMode="External"/><Relationship Id="rId160" Type="http://schemas.openxmlformats.org/officeDocument/2006/relationships/hyperlink" Target="https://www.linkedin.com/learning/leading-effectively-3?trk=ondemandfile" TargetMode="External"/><Relationship Id="rId216" Type="http://schemas.openxmlformats.org/officeDocument/2006/relationships/hyperlink" Target="https://www.linkedin.com/learning/kollaborative-fuhrung?trk=ondemandfile" TargetMode="External"/><Relationship Id="rId258" Type="http://schemas.openxmlformats.org/officeDocument/2006/relationships/hyperlink" Target="https://www.linkedin.com/learning/leading-with-stories-2?trk=ondemandfile" TargetMode="External"/><Relationship Id="rId22" Type="http://schemas.openxmlformats.org/officeDocument/2006/relationships/hyperlink" Target="https://www.linkedin.com/learning/paths/transforme-se-num-lider-disruptivo?trk=ondemandfile" TargetMode="External"/><Relationship Id="rId64" Type="http://schemas.openxmlformats.org/officeDocument/2006/relationships/hyperlink" Target="https://www.linkedin.com/learning/paths/mujeres-en-el-liderazgo?trk=ondemandfile" TargetMode="External"/><Relationship Id="rId118" Type="http://schemas.openxmlformats.org/officeDocument/2006/relationships/hyperlink" Target="https://www.linkedin.com/learning/transition-from-manager-to-leader?trk=ondemandfile" TargetMode="External"/><Relationship Id="rId325" Type="http://schemas.openxmlformats.org/officeDocument/2006/relationships/hyperlink" Target="https://www.linkedin.com/learning/mastering-organizational-chaos?trk=ondemandfile" TargetMode="External"/><Relationship Id="rId171" Type="http://schemas.openxmlformats.org/officeDocument/2006/relationships/hyperlink" Target="https://www.linkedin.com/learning/leading-without-formal-authority-4?trk=ondemandfile" TargetMode="External"/><Relationship Id="rId227" Type="http://schemas.openxmlformats.org/officeDocument/2006/relationships/hyperlink" Target="https://www.linkedin.com/learning/leading-productive-one-on-one-meetings?trk=ondemandfile" TargetMode="External"/><Relationship Id="rId269" Type="http://schemas.openxmlformats.org/officeDocument/2006/relationships/hyperlink" Target="https://www.linkedin.com/learning/unconscious-bias-unbewusste-denkmuster-erkennen-und-andern?trk=ondemandfile" TargetMode="External"/><Relationship Id="rId33" Type="http://schemas.openxmlformats.org/officeDocument/2006/relationships/hyperlink" Target="https://www.linkedin.com/learning/creating-a-high-performance-culture-4?trk=ondemandfile" TargetMode="External"/><Relationship Id="rId129" Type="http://schemas.openxmlformats.org/officeDocument/2006/relationships/hyperlink" Target="https://www.linkedin.com/learning/el-futuro-de-la-gestion-del-rendimiento?trk=ondemandfile" TargetMode="External"/><Relationship Id="rId280" Type="http://schemas.openxmlformats.org/officeDocument/2006/relationships/hyperlink" Target="https://www.linkedin.com/learning/werteorientiertes-management?trk=ondemandfile" TargetMode="External"/><Relationship Id="rId75" Type="http://schemas.openxmlformats.org/officeDocument/2006/relationships/hyperlink" Target="https://www.linkedin.com/learning/counterintuitive-leadership-strategies-for-a-vuca-environment?trk=ondemandfile" TargetMode="External"/><Relationship Id="rId140" Type="http://schemas.openxmlformats.org/officeDocument/2006/relationships/hyperlink" Target="https://www.linkedin.com/learning/00-fundamentos-de-la-gestion-de-proyectos-liderazgo?trk=ondemandfile" TargetMode="External"/><Relationship Id="rId182" Type="http://schemas.openxmlformats.org/officeDocument/2006/relationships/hyperlink" Target="https://www.linkedin.com/learning/00-risk-taking-for-leaders?trk=ondemandfile" TargetMode="External"/><Relationship Id="rId6" Type="http://schemas.openxmlformats.org/officeDocument/2006/relationships/hyperlink" Target="https://www.linkedin.com/learning/agiler-fuhren-eine-einfuhrung?trk=ondemandfile" TargetMode="External"/><Relationship Id="rId238" Type="http://schemas.openxmlformats.org/officeDocument/2006/relationships/hyperlink" Target="https://www.linkedin.com/learning/culture-of-kaizen?trk=ondemandfile" TargetMode="External"/><Relationship Id="rId291" Type="http://schemas.openxmlformats.org/officeDocument/2006/relationships/hyperlink" Target="https://www.linkedin.com/learning/becoming-a-manager-your-team-loves?trk=ondemandfile" TargetMode="External"/><Relationship Id="rId305" Type="http://schemas.openxmlformats.org/officeDocument/2006/relationships/hyperlink" Target="https://www.linkedin.com/learning/leading-through-chaos?trk=ondemandfile" TargetMode="External"/><Relationship Id="rId44" Type="http://schemas.openxmlformats.org/officeDocument/2006/relationships/hyperlink" Target="https://www.linkedin.com/learning/conseils-d-expert-creer-une-culture-de-coaching-entre-pairs?trk=contentmappingfile" TargetMode="External"/><Relationship Id="rId86" Type="http://schemas.openxmlformats.org/officeDocument/2006/relationships/hyperlink" Target="https://www.linkedin.com/learning/leading-and-working-in-teams-2?trk=ondemandfile" TargetMode="External"/><Relationship Id="rId151" Type="http://schemas.openxmlformats.org/officeDocument/2006/relationships/hyperlink" Target="https://www.linkedin.com/learning/00-inteligencia-emocional-y-finanzas?trk=ondemandfile" TargetMode="External"/><Relationship Id="rId193" Type="http://schemas.openxmlformats.org/officeDocument/2006/relationships/hyperlink" Target="https://www.linkedin.com/learning/taking-charge-of-your-leadership-conversations?trk=ondemandfile" TargetMode="External"/><Relationship Id="rId207" Type="http://schemas.openxmlformats.org/officeDocument/2006/relationships/hyperlink" Target="https://www.linkedin.com/learning/transicion-de-responsable-a-lider?trk=contentmappingfile" TargetMode="External"/><Relationship Id="rId249" Type="http://schemas.openxmlformats.org/officeDocument/2006/relationships/hyperlink" Target="https://www.linkedin.com/learning/developing-credibility-as-a-leader?trk=ondemandfile" TargetMode="External"/><Relationship Id="rId13" Type="http://schemas.openxmlformats.org/officeDocument/2006/relationships/hyperlink" Target="https://www.linkedin.com/learning/ryan-holmes-on-social-leadership?trk=ondemandfile" TargetMode="External"/><Relationship Id="rId109" Type="http://schemas.openxmlformats.org/officeDocument/2006/relationships/hyperlink" Target="https://www.linkedin.com/learning/risk-taking-for-leaders-3?trk=ondemandfile" TargetMode="External"/><Relationship Id="rId260" Type="http://schemas.openxmlformats.org/officeDocument/2006/relationships/hyperlink" Target="https://www.linkedin.com/learning/coaching-skills-for-leaders-and-managers?trk=ondemandfile" TargetMode="External"/><Relationship Id="rId316" Type="http://schemas.openxmlformats.org/officeDocument/2006/relationships/hyperlink" Target="https://www.linkedin.com/learning/powerless-to-powerful-taking-control?trk=ondemandfile" TargetMode="External"/><Relationship Id="rId55" Type="http://schemas.openxmlformats.org/officeDocument/2006/relationships/hyperlink" Target="https://www.linkedin.com/learning/paths/trabajo-a-distancia-preparandote-a-ti-mismo-y-a-tus-equipos-para-el-exito?trk=ondemandfile" TargetMode="External"/><Relationship Id="rId97" Type="http://schemas.openxmlformats.org/officeDocument/2006/relationships/hyperlink" Target="https://www.linkedin.com/learning/leading-without-formal-authority-3?trk=ondemandfile" TargetMode="External"/><Relationship Id="rId120" Type="http://schemas.openxmlformats.org/officeDocument/2006/relationships/hyperlink" Target="https://www.linkedin.com/learning/erfolgsstrategien-fur-frauen-in-fuhrungspositionen?trk=ondemandfile" TargetMode="External"/><Relationship Id="rId162" Type="http://schemas.openxmlformats.org/officeDocument/2006/relationships/hyperlink" Target="https://www.linkedin.com/learning/leading-with-innovation-3?trk=ondemandfile" TargetMode="External"/><Relationship Id="rId218" Type="http://schemas.openxmlformats.org/officeDocument/2006/relationships/hyperlink" Target="https://www.linkedin.com/learning/emerging-leader-foundations?trk=ondemandfile" TargetMode="External"/><Relationship Id="rId271" Type="http://schemas.openxmlformats.org/officeDocument/2006/relationships/hyperlink" Target="https://www.linkedin.com/learning/leading-through-relationships?trk=ondemandfile" TargetMode="External"/></Relationships>
</file>

<file path=xl/worksheets/_rels/sheet25.xml.rels><?xml version="1.0" encoding="UTF-8" standalone="yes"?>
<Relationships xmlns="http://schemas.openxmlformats.org/package/2006/relationships"><Relationship Id="rId117" Type="http://schemas.openxmlformats.org/officeDocument/2006/relationships/hyperlink" Target="https://www.linkedin.com/learning/00-performance-review-fundamentals?trk=ondemandfile" TargetMode="External"/><Relationship Id="rId21" Type="http://schemas.openxmlformats.org/officeDocument/2006/relationships/hyperlink" Target="https://www.linkedin.com/learning/transitioning-from-individual-contributor-to-manager-3?trk=ondemandfile" TargetMode="External"/><Relationship Id="rId42" Type="http://schemas.openxmlformats.org/officeDocument/2006/relationships/hyperlink" Target="https://www.linkedin.com/learning/talent-management?trk=ondemandfile" TargetMode="External"/><Relationship Id="rId63" Type="http://schemas.openxmlformats.org/officeDocument/2006/relationships/hyperlink" Target="https://www.linkedin.com/learning/performance-management-conducting-performance-reviews-14623662?trk=contentmappingfile" TargetMode="External"/><Relationship Id="rId84" Type="http://schemas.openxmlformats.org/officeDocument/2006/relationships/hyperlink" Target="https://www.linkedin.com/learning/transitioning-from-individual-contributor-to-manager-2?trk=ondemandfile" TargetMode="External"/><Relationship Id="rId138" Type="http://schemas.openxmlformats.org/officeDocument/2006/relationships/hyperlink" Target="https://www.linkedin.com/learning/managers-as-multipliers-of-well-being?trk=ondemandfile" TargetMode="External"/><Relationship Id="rId159" Type="http://schemas.openxmlformats.org/officeDocument/2006/relationships/hyperlink" Target="https://www.linkedin.com/learning/motivaci-n-e-implicaci-n-en-la-empresa?trk=ondemandfile" TargetMode="External"/><Relationship Id="rId170" Type="http://schemas.openxmlformats.org/officeDocument/2006/relationships/hyperlink" Target="https://www.linkedin.com/learning/managing-employee-performance-problems-5?trk=ondemandfile" TargetMode="External"/><Relationship Id="rId191" Type="http://schemas.openxmlformats.org/officeDocument/2006/relationships/hyperlink" Target="https://www.linkedin.com/learning/coaching-new-hires?trk=ondemandfile" TargetMode="External"/><Relationship Id="rId205" Type="http://schemas.openxmlformats.org/officeDocument/2006/relationships/hyperlink" Target="https://www.linkedin.com/learning/coaching-employees-through-difficult-situations?trk=ondemandfile" TargetMode="External"/><Relationship Id="rId226" Type="http://schemas.openxmlformats.org/officeDocument/2006/relationships/hyperlink" Target="https://www.linkedin.com/learning/delegating-from-a-distance?trk=ondemandfile" TargetMode="External"/><Relationship Id="rId247" Type="http://schemas.openxmlformats.org/officeDocument/2006/relationships/hyperlink" Target="https://www.linkedin.com/learning/advice-for-leaders-during-a-crisis?trk=ondemandfile" TargetMode="External"/><Relationship Id="rId107" Type="http://schemas.openxmlformats.org/officeDocument/2006/relationships/hyperlink" Target="https://www.linkedin.com/learning/delivering-employee-feedback-2?trk=ondemandfile" TargetMode="External"/><Relationship Id="rId11" Type="http://schemas.openxmlformats.org/officeDocument/2006/relationships/hyperlink" Target="https://www.linkedin.com/learning/paths/15e85c29-5b7c-3b12-a882-4bfdeb3c83c7?trk=ondemandfile" TargetMode="External"/><Relationship Id="rId32" Type="http://schemas.openxmlformats.org/officeDocument/2006/relationships/hyperlink" Target="https://www.linkedin.com/learning/paths/87c473ed-01ce-32f8-90ac-61be15e449c9?trk=ondemandfile" TargetMode="External"/><Relationship Id="rId53" Type="http://schemas.openxmlformats.org/officeDocument/2006/relationships/hyperlink" Target="https://www.linkedin.com/learning/como-gestionar-al-personal-de-alto-rendimiento?trk=contentmappingfile" TargetMode="External"/><Relationship Id="rId74" Type="http://schemas.openxmlformats.org/officeDocument/2006/relationships/hyperlink" Target="https://www.linkedin.com/learning/como-gestionar-un-equipo-multigeneracional?trk=contentmappingfile" TargetMode="External"/><Relationship Id="rId128" Type="http://schemas.openxmlformats.org/officeDocument/2006/relationships/hyperlink" Target="https://www.linkedin.com/learning/implementing-continuous-impro-vement-a-case-study?trk=ondemandfile" TargetMode="External"/><Relationship Id="rId149" Type="http://schemas.openxmlformats.org/officeDocument/2006/relationships/hyperlink" Target="https://www.linkedin.com/learning/etablir-des-objectifs-pour-son-equipe-et-ses-employes-employees?trk=contentmappingfile" TargetMode="External"/><Relationship Id="rId5" Type="http://schemas.openxmlformats.org/officeDocument/2006/relationships/hyperlink" Target="https://www.linkedin.com/learning/paths/mejora-tus-dotes-de-liderazgo-y-gestion-de-equipos-de-trabajo?trk=ondemandfile" TargetMode="External"/><Relationship Id="rId95" Type="http://schemas.openxmlformats.org/officeDocument/2006/relationships/hyperlink" Target="https://www.linkedin.com/learning/mehrere-generationen-managen?trk=ondemandfile" TargetMode="External"/><Relationship Id="rId160" Type="http://schemas.openxmlformats.org/officeDocument/2006/relationships/hyperlink" Target="https://www.linkedin.com/learning/ziele-fur-mitarbeiter-innen-und-teams-setzen?trk=ondemandfile" TargetMode="External"/><Relationship Id="rId181" Type="http://schemas.openxmlformats.org/officeDocument/2006/relationships/hyperlink" Target="https://www.linkedin.com/learning/gestao-de-conflitos-como-lidar-com-as-divergencias-na-empresa?trk=contentmappingfile" TargetMode="External"/><Relationship Id="rId216" Type="http://schemas.openxmlformats.org/officeDocument/2006/relationships/hyperlink" Target="https://www.linkedin.com/learning/principios-basicos-para-gerentes-iniciantes-17445021?trk=contentmappingfile" TargetMode="External"/><Relationship Id="rId237" Type="http://schemas.openxmlformats.org/officeDocument/2006/relationships/hyperlink" Target="https://www.linkedin.com/learning/just-ask-todd-dewett-2020?trk=ondemandfile" TargetMode="External"/><Relationship Id="rId22" Type="http://schemas.openxmlformats.org/officeDocument/2006/relationships/hyperlink" Target="https://www.linkedin.com/learning/paths/3db8a531-c16b-3623-9891-2cd47ac19f68?trk=ondemandfile" TargetMode="External"/><Relationship Id="rId43" Type="http://schemas.openxmlformats.org/officeDocument/2006/relationships/hyperlink" Target="https://www.linkedin.com/learning/paths/grow-your-impact-as-a-mentor?trk=ondemandfile" TargetMode="External"/><Relationship Id="rId64" Type="http://schemas.openxmlformats.org/officeDocument/2006/relationships/hyperlink" Target="https://www.linkedin.com/learning/98373539-7768-37d9-bfa1-0425382fc5b8?trk=ondemandfile" TargetMode="External"/><Relationship Id="rId118" Type="http://schemas.openxmlformats.org/officeDocument/2006/relationships/hyperlink" Target="https://www.linkedin.com/learning/modernes-leistungsmanagement?trk=ondemandfile" TargetMode="External"/><Relationship Id="rId139" Type="http://schemas.openxmlformats.org/officeDocument/2006/relationships/hyperlink" Target="https://www.linkedin.com/learning/00-managing-employee-performance-problems?trk=ondemandfile" TargetMode="External"/><Relationship Id="rId85" Type="http://schemas.openxmlformats.org/officeDocument/2006/relationships/hyperlink" Target="https://www.linkedin.com/learning/como-desenvolver-a-lideranca-de-pensamento?trk=contentmappingfile" TargetMode="External"/><Relationship Id="rId150" Type="http://schemas.openxmlformats.org/officeDocument/2006/relationships/hyperlink" Target="https://www.linkedin.com/learning/00-liderazgo-y-trabajo-en-equipo?trk=ondemandfile" TargetMode="External"/><Relationship Id="rId171" Type="http://schemas.openxmlformats.org/officeDocument/2006/relationships/hyperlink" Target="https://www.linkedin.com/learning/improving-employee-performance?trk=ondemandfile" TargetMode="External"/><Relationship Id="rId192" Type="http://schemas.openxmlformats.org/officeDocument/2006/relationships/hyperlink" Target="https://www.linkedin.com/learning/performance-management-conducting-performance-reviews-2?trk=ondemandfile" TargetMode="External"/><Relationship Id="rId206" Type="http://schemas.openxmlformats.org/officeDocument/2006/relationships/hyperlink" Target="https://www.linkedin.com/learning/les-meilleures-pratiques-du-leadership?trk=contentmappingfile" TargetMode="External"/><Relationship Id="rId227" Type="http://schemas.openxmlformats.org/officeDocument/2006/relationships/hyperlink" Target="https://www.linkedin.com/learning/become-a-better-coach-for-your-team?trk=ondemandfile" TargetMode="External"/><Relationship Id="rId248" Type="http://schemas.openxmlformats.org/officeDocument/2006/relationships/hyperlink" Target="https://www.linkedin.com/learning/sales-management-simplified-blinkist-summary?trk=ondemandfile" TargetMode="External"/><Relationship Id="rId12" Type="http://schemas.openxmlformats.org/officeDocument/2006/relationships/hyperlink" Target="https://www.linkedin.com/learning/the-new-rules-of-work?trk=ondemandfile" TargetMode="External"/><Relationship Id="rId33" Type="http://schemas.openxmlformats.org/officeDocument/2006/relationships/hyperlink" Target="https://www.linkedin.com/learning/creating-a-high-performance-culture?trk=ondemandfile" TargetMode="External"/><Relationship Id="rId108" Type="http://schemas.openxmlformats.org/officeDocument/2006/relationships/hyperlink" Target="https://www.linkedin.com/learning/como-gerenciar-sua-equipe-em-tempos-dificeis?trk=contentmappingfile" TargetMode="External"/><Relationship Id="rId129" Type="http://schemas.openxmlformats.org/officeDocument/2006/relationships/hyperlink" Target="https://www.linkedin.com/learning/diriger-comme-un-patron-une-patronne?trk=contentmappingfile" TargetMode="External"/><Relationship Id="rId54" Type="http://schemas.openxmlformats.org/officeDocument/2006/relationships/hyperlink" Target="https://www.linkedin.com/learning/die-unternehmensleistung-messen?trk=ondemandfile" TargetMode="External"/><Relationship Id="rId75" Type="http://schemas.openxmlformats.org/officeDocument/2006/relationships/hyperlink" Target="https://www.linkedin.com/learning/expert-innen-fuhren?trk=ondemandfile" TargetMode="External"/><Relationship Id="rId96" Type="http://schemas.openxmlformats.org/officeDocument/2006/relationships/hyperlink" Target="https://www.linkedin.com/learning/managing-new-managers-8329868?trk=ondemandfile" TargetMode="External"/><Relationship Id="rId140" Type="http://schemas.openxmlformats.org/officeDocument/2006/relationships/hyperlink" Target="https://www.linkedin.com/learning/die-teamleistung-messen?trk=ondemandfile" TargetMode="External"/><Relationship Id="rId161" Type="http://schemas.openxmlformats.org/officeDocument/2006/relationships/hyperlink" Target="https://www.linkedin.com/learning/contratacao-de-colaboradores-tecnicas-para-gerentes?trk=contentmappingfile" TargetMode="External"/><Relationship Id="rId182" Type="http://schemas.openxmlformats.org/officeDocument/2006/relationships/hyperlink" Target="https://www.linkedin.com/learning/managing-new-managers-4?trk=ondemandfile" TargetMode="External"/><Relationship Id="rId217" Type="http://schemas.openxmlformats.org/officeDocument/2006/relationships/hyperlink" Target="https://www.linkedin.com/learning/managing-for-better-ideas?trk=ondemandfile" TargetMode="External"/><Relationship Id="rId6" Type="http://schemas.openxmlformats.org/officeDocument/2006/relationships/hyperlink" Target="https://www.linkedin.com/learning/als-ingenieur-in-oder-it-expert-in-mitarbeiter-fuhren?trk=ondemandfile" TargetMode="External"/><Relationship Id="rId238" Type="http://schemas.openxmlformats.org/officeDocument/2006/relationships/hyperlink" Target="https://www.linkedin.com/learning/recognizing-and-rewarding-your-workers?trk=ondemandfile" TargetMode="External"/><Relationship Id="rId23" Type="http://schemas.openxmlformats.org/officeDocument/2006/relationships/hyperlink" Target="https://www.linkedin.com/learning/managing-globally?trk=ondemandfile" TargetMode="External"/><Relationship Id="rId119" Type="http://schemas.openxmlformats.org/officeDocument/2006/relationships/hyperlink" Target="https://www.linkedin.com/learning/managing-employee-performance-problems-14175702?trk=ondemandfile" TargetMode="External"/><Relationship Id="rId44" Type="http://schemas.openxmlformats.org/officeDocument/2006/relationships/hyperlink" Target="https://www.linkedin.com/learning/ameliorer-les-performances-des-employes-employees?trk=contentmappingfile" TargetMode="External"/><Relationship Id="rId65" Type="http://schemas.openxmlformats.org/officeDocument/2006/relationships/hyperlink" Target="https://www.linkedin.com/learning/employee-experience?trk=ondemandfile" TargetMode="External"/><Relationship Id="rId86" Type="http://schemas.openxmlformats.org/officeDocument/2006/relationships/hyperlink" Target="https://www.linkedin.com/learning/developing-executive-presence-2?trk=ondemandfile" TargetMode="External"/><Relationship Id="rId130" Type="http://schemas.openxmlformats.org/officeDocument/2006/relationships/hyperlink" Target="https://www.linkedin.com/learning/fundamentos-y-consejos-para-gerentes-principiantes?trk=contentmappingfile" TargetMode="External"/><Relationship Id="rId151" Type="http://schemas.openxmlformats.org/officeDocument/2006/relationships/hyperlink" Target="https://www.linkedin.com/learning/technische-fachkrafte-fuhren?trk=ondemandfile" TargetMode="External"/><Relationship Id="rId172" Type="http://schemas.openxmlformats.org/officeDocument/2006/relationships/hyperlink" Target="https://www.linkedin.com/learning/managing-team-conflict-15962506?trk=contentmappingfile" TargetMode="External"/><Relationship Id="rId193" Type="http://schemas.openxmlformats.org/officeDocument/2006/relationships/hyperlink" Target="https://www.linkedin.com/learning/be-the-manager-people-won-t-leave?trk=ondemandfile" TargetMode="External"/><Relationship Id="rId207" Type="http://schemas.openxmlformats.org/officeDocument/2006/relationships/hyperlink" Target="https://www.linkedin.com/learning/leading-and-working-in-teams-3?trk=ondemandfile" TargetMode="External"/><Relationship Id="rId228" Type="http://schemas.openxmlformats.org/officeDocument/2006/relationships/hyperlink" Target="https://www.linkedin.com/learning/boosting-your-team-s-productivity?trk=ondemandfile" TargetMode="External"/><Relationship Id="rId249" Type="http://schemas.openxmlformats.org/officeDocument/2006/relationships/hyperlink" Target="https://www.linkedin.com/learning/backgrounder-difficult-conversations-and-negotiations?trk=ondemandfile" TargetMode="External"/><Relationship Id="rId13" Type="http://schemas.openxmlformats.org/officeDocument/2006/relationships/hyperlink" Target="https://www.linkedin.com/learning/paths/become-a-manager?trk=ondemandfile" TargetMode="External"/><Relationship Id="rId109" Type="http://schemas.openxmlformats.org/officeDocument/2006/relationships/hyperlink" Target="https://www.linkedin.com/learning/building-high-performance-teams-4?trk=ondemandfile" TargetMode="External"/><Relationship Id="rId34" Type="http://schemas.openxmlformats.org/officeDocument/2006/relationships/hyperlink" Target="https://www.linkedin.com/learning/paths/develop-motivate-and-retain-employees?trk=ondemandfile" TargetMode="External"/><Relationship Id="rId55" Type="http://schemas.openxmlformats.org/officeDocument/2006/relationships/hyperlink" Target="https://www.linkedin.com/learning/managing-virtual-teams?trk=ondemandfile" TargetMode="External"/><Relationship Id="rId76" Type="http://schemas.openxmlformats.org/officeDocument/2006/relationships/hyperlink" Target="https://www.linkedin.com/learning/management-foundations-4?trk=ondemandfile" TargetMode="External"/><Relationship Id="rId97" Type="http://schemas.openxmlformats.org/officeDocument/2006/relationships/hyperlink" Target="https://www.linkedin.com/learning/como-enfrentar-a-ansiedade-no-trabalho?trk=contentmappingfile" TargetMode="External"/><Relationship Id="rId120" Type="http://schemas.openxmlformats.org/officeDocument/2006/relationships/hyperlink" Target="https://www.linkedin.com/learning/como-integrar-novos-colaboradores-e-colaboradoras-a-empresa?trk=contentmappingfile" TargetMode="External"/><Relationship Id="rId141" Type="http://schemas.openxmlformats.org/officeDocument/2006/relationships/hyperlink" Target="https://www.linkedin.com/learning/como-prevenir-o-assedio-no-trabalho-e-criar-um-ambiente-seguro?trk=contentmappingfile" TargetMode="External"/><Relationship Id="rId7" Type="http://schemas.openxmlformats.org/officeDocument/2006/relationships/hyperlink" Target="https://www.linkedin.com/learning/paths/teams-aufbauen-und-fuehren?trk=ondemandfile" TargetMode="External"/><Relationship Id="rId162" Type="http://schemas.openxmlformats.org/officeDocument/2006/relationships/hyperlink" Target="https://www.linkedin.com/learning/managing-diversity?trk=ondemandfile" TargetMode="External"/><Relationship Id="rId183" Type="http://schemas.openxmlformats.org/officeDocument/2006/relationships/hyperlink" Target="https://www.linkedin.com/learning/motivating-and-engaging-employees-2?trk=ondemandfile" TargetMode="External"/><Relationship Id="rId218" Type="http://schemas.openxmlformats.org/officeDocument/2006/relationships/hyperlink" Target="https://www.linkedin.com/learning/principios-basicos-para-novos-cargos-de-gestao?trk=contentmappingfile" TargetMode="External"/><Relationship Id="rId239" Type="http://schemas.openxmlformats.org/officeDocument/2006/relationships/hyperlink" Target="https://www.linkedin.com/learning/building-a-coaching-culture-improving-performance-through-timely-feedback?trk=ondemandfile" TargetMode="External"/><Relationship Id="rId24" Type="http://schemas.openxmlformats.org/officeDocument/2006/relationships/hyperlink" Target="https://www.linkedin.com/learning/paths/become-a-senior-manager?trk=ondemandfile" TargetMode="External"/><Relationship Id="rId45" Type="http://schemas.openxmlformats.org/officeDocument/2006/relationships/hyperlink" Target="https://www.linkedin.com/learning/como-gestionar-a-personas-con-alto-potencial?trk=contentmappingfile" TargetMode="External"/><Relationship Id="rId66" Type="http://schemas.openxmlformats.org/officeDocument/2006/relationships/hyperlink" Target="https://www.linkedin.com/learning/paths/managing-others-effectively-3?trk=ondemandfile" TargetMode="External"/><Relationship Id="rId87" Type="http://schemas.openxmlformats.org/officeDocument/2006/relationships/hyperlink" Target="https://www.linkedin.com/learning/coaching-new-managers?trk=ondemandfile" TargetMode="External"/><Relationship Id="rId110" Type="http://schemas.openxmlformats.org/officeDocument/2006/relationships/hyperlink" Target="https://www.linkedin.com/learning/how-to-give-and-receive-useful-feedback-every-month?trk=ondemandfile" TargetMode="External"/><Relationship Id="rId131" Type="http://schemas.openxmlformats.org/officeDocument/2006/relationships/hyperlink" Target="https://www.linkedin.com/learning/selbstmanagement-tipps-fur-fuhrungskrafte?trk=ondemandfile" TargetMode="External"/><Relationship Id="rId152" Type="http://schemas.openxmlformats.org/officeDocument/2006/relationships/hyperlink" Target="https://www.linkedin.com/learning/just-ask-developing-a-career-in-project-management?trk=contentmappingfile" TargetMode="External"/><Relationship Id="rId173" Type="http://schemas.openxmlformats.org/officeDocument/2006/relationships/hyperlink" Target="https://www.linkedin.com/learning/management-top-tips?trk=ondemandfile" TargetMode="External"/><Relationship Id="rId194" Type="http://schemas.openxmlformats.org/officeDocument/2006/relationships/hyperlink" Target="https://www.linkedin.com/learning/working-as-a-contract-or-temporary-employee-15915284?trk=contentmappingfile" TargetMode="External"/><Relationship Id="rId208" Type="http://schemas.openxmlformats.org/officeDocument/2006/relationships/hyperlink" Target="https://www.linkedin.com/learning/developing-executive-presence?trk=ondemandfile" TargetMode="External"/><Relationship Id="rId229" Type="http://schemas.openxmlformats.org/officeDocument/2006/relationships/hyperlink" Target="https://www.linkedin.com/learning/having-difficult-conversations-2?trk=ondemandfile" TargetMode="External"/><Relationship Id="rId240" Type="http://schemas.openxmlformats.org/officeDocument/2006/relationships/hyperlink" Target="https://www.linkedin.com/learning/how-leaders-can-motivate-by-creating-meaning?trk=ondemandfile" TargetMode="External"/><Relationship Id="rId14" Type="http://schemas.openxmlformats.org/officeDocument/2006/relationships/hyperlink" Target="https://www.linkedin.com/learning/10-minutes-un-livre-constituer-son-equipe-pour-atteindre-le-succes?trk=contentmappingfile" TargetMode="External"/><Relationship Id="rId35" Type="http://schemas.openxmlformats.org/officeDocument/2006/relationships/hyperlink" Target="https://www.linkedin.com/learning/accroitre-la-securite-psychologique-de-votre-equipe?trk=contentmappingfile" TargetMode="External"/><Relationship Id="rId56" Type="http://schemas.openxmlformats.org/officeDocument/2006/relationships/hyperlink" Target="https://www.linkedin.com/learning/paths/trabalho-remoto-colaboracao-foco-e-produtividade?trk=ondemandfile" TargetMode="External"/><Relationship Id="rId77" Type="http://schemas.openxmlformats.org/officeDocument/2006/relationships/hyperlink" Target="https://www.linkedin.com/learning/como-demitir-colaboradores?trk=contentmappingfile" TargetMode="External"/><Relationship Id="rId100" Type="http://schemas.openxmlformats.org/officeDocument/2006/relationships/hyperlink" Target="https://www.linkedin.com/learning/como-orientar-y-desarrollar-a-tu-personal?trk=contentmappingfile" TargetMode="External"/><Relationship Id="rId8" Type="http://schemas.openxmlformats.org/officeDocument/2006/relationships/hyperlink" Target="https://www.linkedin.com/learning/key-account-management-17123908?trk=contentmappingfile" TargetMode="External"/><Relationship Id="rId98" Type="http://schemas.openxmlformats.org/officeDocument/2006/relationships/hyperlink" Target="https://www.linkedin.com/learning/having-difficult-conversations?trk=ondemandfile" TargetMode="External"/><Relationship Id="rId121" Type="http://schemas.openxmlformats.org/officeDocument/2006/relationships/hyperlink" Target="https://www.linkedin.com/learning/84777a9a-010b-3e75-8b28-27d3706e8c9a?trk=ondemandfile" TargetMode="External"/><Relationship Id="rId142" Type="http://schemas.openxmlformats.org/officeDocument/2006/relationships/hyperlink" Target="https://www.linkedin.com/learning/time-management-fundamentals-3?trk=ondemandfile" TargetMode="External"/><Relationship Id="rId163" Type="http://schemas.openxmlformats.org/officeDocument/2006/relationships/hyperlink" Target="https://www.linkedin.com/learning/leading-virtual-meetings?trk=ondemandfile" TargetMode="External"/><Relationship Id="rId184" Type="http://schemas.openxmlformats.org/officeDocument/2006/relationships/hyperlink" Target="https://www.linkedin.com/learning/gestao-de-novos-cargos-de-gerencia?trk=contentmappingfile" TargetMode="External"/><Relationship Id="rId219" Type="http://schemas.openxmlformats.org/officeDocument/2006/relationships/hyperlink" Target="https://www.linkedin.com/learning/having-career-conversations-with-your-team?trk=ondemandfile" TargetMode="External"/><Relationship Id="rId230" Type="http://schemas.openxmlformats.org/officeDocument/2006/relationships/hyperlink" Target="https://www.linkedin.com/learning/configure-and-manage-office-365-workload-integrations?trk=ondemandfile" TargetMode="External"/><Relationship Id="rId25" Type="http://schemas.openxmlformats.org/officeDocument/2006/relationships/hyperlink" Target="https://www.linkedin.com/learning/10-minutes-un-livre-soignez-la-reunionite?trk=contentmappingfile" TargetMode="External"/><Relationship Id="rId46" Type="http://schemas.openxmlformats.org/officeDocument/2006/relationships/hyperlink" Target="https://www.linkedin.com/learning/die-leistung-der-mitarbeiter-innen-steigern?trk=ondemandfile" TargetMode="External"/><Relationship Id="rId67" Type="http://schemas.openxmlformats.org/officeDocument/2006/relationships/hyperlink" Target="https://www.linkedin.com/learning/coacher-et-aider-ses-employes-employees-a-se-developper?trk=contentmappingfile" TargetMode="External"/><Relationship Id="rId88" Type="http://schemas.openxmlformats.org/officeDocument/2006/relationships/hyperlink" Target="https://www.linkedin.com/learning/como-liderar-reuniones-individuales-productivas?trk=ondemandfile" TargetMode="External"/><Relationship Id="rId111" Type="http://schemas.openxmlformats.org/officeDocument/2006/relationships/hyperlink" Target="https://www.linkedin.com/learning/developper-la-motivation-et-l-engagement-des-employes-employees?trk=contentmappingfile" TargetMode="External"/><Relationship Id="rId132" Type="http://schemas.openxmlformats.org/officeDocument/2006/relationships/hyperlink" Target="https://www.linkedin.com/learning/onboarding-new-hires-2?trk=contentmappingfile" TargetMode="External"/><Relationship Id="rId153" Type="http://schemas.openxmlformats.org/officeDocument/2006/relationships/hyperlink" Target="https://www.linkedin.com/learning/new-manager-foundations-2?trk=ondemandfile" TargetMode="External"/><Relationship Id="rId174" Type="http://schemas.openxmlformats.org/officeDocument/2006/relationships/hyperlink" Target="https://www.linkedin.com/learning/gerer-les-managers-experimentes-experimentees?trk=contentmappingfile" TargetMode="External"/><Relationship Id="rId195" Type="http://schemas.openxmlformats.org/officeDocument/2006/relationships/hyperlink" Target="https://www.linkedin.com/learning/managing-up-down-and-across-the-organization-14407231?trk=contentmappingfile" TargetMode="External"/><Relationship Id="rId209" Type="http://schemas.openxmlformats.org/officeDocument/2006/relationships/hyperlink" Target="https://www.linkedin.com/learning/executive-leadership-4?trk=ondemandfile" TargetMode="External"/><Relationship Id="rId220" Type="http://schemas.openxmlformats.org/officeDocument/2006/relationships/hyperlink" Target="https://www.linkedin.com/learning/succeeding-as-a-first-time-t-ech-manager?trk=ondemandfile" TargetMode="External"/><Relationship Id="rId241" Type="http://schemas.openxmlformats.org/officeDocument/2006/relationships/hyperlink" Target="https://www.linkedin.com/learning/the-definitive-drucker-getabstract-summary?trk=ondemandfile" TargetMode="External"/><Relationship Id="rId15" Type="http://schemas.openxmlformats.org/officeDocument/2006/relationships/hyperlink" Target="https://www.linkedin.com/learning/como-crear-una-cultura-de-alto-rendimiento?trk=ondemandfile" TargetMode="External"/><Relationship Id="rId36" Type="http://schemas.openxmlformats.org/officeDocument/2006/relationships/hyperlink" Target="https://www.linkedin.com/learning/como-desarrollar-la-presencia-ejecutiva?trk=ondemandfile" TargetMode="External"/><Relationship Id="rId57" Type="http://schemas.openxmlformats.org/officeDocument/2006/relationships/hyperlink" Target="https://www.linkedin.com/learning/change-management-for-projects-15870814?trk=contentmappingfile" TargetMode="External"/><Relationship Id="rId78" Type="http://schemas.openxmlformats.org/officeDocument/2006/relationships/hyperlink" Target="https://www.linkedin.com/learning/delegating-tasks-to-your-team-2?trk=ondemandfile" TargetMode="External"/><Relationship Id="rId99" Type="http://schemas.openxmlformats.org/officeDocument/2006/relationships/hyperlink" Target="https://www.linkedin.com/learning/managing-high-potentials?trk=ondemandfile" TargetMode="External"/><Relationship Id="rId101" Type="http://schemas.openxmlformats.org/officeDocument/2006/relationships/hyperlink" Target="https://www.linkedin.com/learning/mit-schwierigen-mitarbeiter-innen-umgehen?trk=ondemandfile" TargetMode="External"/><Relationship Id="rId122" Type="http://schemas.openxmlformats.org/officeDocument/2006/relationships/hyperlink" Target="https://www.linkedin.com/learning/the-benefits-of-standardization-and-standard-work?trk=ondemandfile" TargetMode="External"/><Relationship Id="rId143" Type="http://schemas.openxmlformats.org/officeDocument/2006/relationships/hyperlink" Target="https://www.linkedin.com/learning/motivate-remote-teams?trk=ondemandfile" TargetMode="External"/><Relationship Id="rId164" Type="http://schemas.openxmlformats.org/officeDocument/2006/relationships/hyperlink" Target="https://www.linkedin.com/learning/gerer-les-employes-tres-performants-employees-tres-performantes?trk=contentmappingfile" TargetMode="External"/><Relationship Id="rId185" Type="http://schemas.openxmlformats.org/officeDocument/2006/relationships/hyperlink" Target="https://www.linkedin.com/learning/managing-virtual-teams-3?trk=ondemandfile" TargetMode="External"/><Relationship Id="rId4" Type="http://schemas.openxmlformats.org/officeDocument/2006/relationships/hyperlink" Target="https://www.linkedin.com/learning/como-administrar-por-objetivos?trk=ondemandfile" TargetMode="External"/><Relationship Id="rId9" Type="http://schemas.openxmlformats.org/officeDocument/2006/relationships/hyperlink" Target="https://www.linkedin.com/learning/paths/torne-se-um-gestor-de-projetos?trk=ondemandfile" TargetMode="External"/><Relationship Id="rId180" Type="http://schemas.openxmlformats.org/officeDocument/2006/relationships/hyperlink" Target="https://www.linkedin.com/learning/gerer-ses-relations-avec-son-chef-sa-cheffe-ses-collegues-et-ses-employes-employees?trk=contentmappingfile" TargetMode="External"/><Relationship Id="rId210" Type="http://schemas.openxmlformats.org/officeDocument/2006/relationships/hyperlink" Target="https://www.linkedin.com/learning/developing-leaders-on-your-team?trk=ondemandfile" TargetMode="External"/><Relationship Id="rId215" Type="http://schemas.openxmlformats.org/officeDocument/2006/relationships/hyperlink" Target="https://www.linkedin.com/learning/business-ethics-for-managers-and-leaders?trk=ondemandfile" TargetMode="External"/><Relationship Id="rId236" Type="http://schemas.openxmlformats.org/officeDocument/2006/relationships/hyperlink" Target="https://www.linkedin.com/learning/how-to-stop-wasting-time-in-meetings?trk=ondemandfile" TargetMode="External"/><Relationship Id="rId26" Type="http://schemas.openxmlformats.org/officeDocument/2006/relationships/hyperlink" Target="https://www.linkedin.com/learning/como-dar-y-recibir-feedback-o-retroalimentacion?trk=contentmappingfile" TargetMode="External"/><Relationship Id="rId231" Type="http://schemas.openxmlformats.org/officeDocument/2006/relationships/hyperlink" Target="https://www.linkedin.com/learning/hr-guidelines-everyone-should-know?trk=ondemandfile" TargetMode="External"/><Relationship Id="rId47" Type="http://schemas.openxmlformats.org/officeDocument/2006/relationships/hyperlink" Target="https://www.linkedin.com/learning/leading-and-working-in-teams-2?trk=ondemandfile" TargetMode="External"/><Relationship Id="rId68" Type="http://schemas.openxmlformats.org/officeDocument/2006/relationships/hyperlink" Target="https://www.linkedin.com/learning/como-gestionar-los-puntos-ciegos-del-liderazgo?trk=ondemandfile" TargetMode="External"/><Relationship Id="rId89" Type="http://schemas.openxmlformats.org/officeDocument/2006/relationships/hyperlink" Target="https://www.linkedin.com/learning/leistungstrager-fuhren?trk=ondemandfile" TargetMode="External"/><Relationship Id="rId112" Type="http://schemas.openxmlformats.org/officeDocument/2006/relationships/hyperlink" Target="https://www.linkedin.com/learning/fundamentos-de-gestion-de-equipos-it-y-programacion?trk=ondemandfile" TargetMode="External"/><Relationship Id="rId133" Type="http://schemas.openxmlformats.org/officeDocument/2006/relationships/hyperlink" Target="https://www.linkedin.com/learning/culture-of-kaizen?trk=ondemandfile" TargetMode="External"/><Relationship Id="rId154" Type="http://schemas.openxmlformats.org/officeDocument/2006/relationships/hyperlink" Target="https://www.linkedin.com/learning/evoluer-de-collaborateur-collaboratrice-a-manager?trk=contentmappingfile" TargetMode="External"/><Relationship Id="rId175" Type="http://schemas.openxmlformats.org/officeDocument/2006/relationships/hyperlink" Target="https://www.linkedin.com/learning/management-foundations-2?trk=ondemandfile" TargetMode="External"/><Relationship Id="rId196" Type="http://schemas.openxmlformats.org/officeDocument/2006/relationships/hyperlink" Target="https://www.linkedin.com/learning/le-leadership-inclusif-devenir-un-allie-une-alliee?trk=contentmappingfile" TargetMode="External"/><Relationship Id="rId200" Type="http://schemas.openxmlformats.org/officeDocument/2006/relationships/hyperlink" Target="https://www.linkedin.com/learning/time-management-for-managers?trk=ondemandfile" TargetMode="External"/><Relationship Id="rId16" Type="http://schemas.openxmlformats.org/officeDocument/2006/relationships/hyperlink" Target="https://www.linkedin.com/learning/paths/fomenta-la-colaboracion-en-tu-equipo?trk=ondemandfile" TargetMode="External"/><Relationship Id="rId221" Type="http://schemas.openxmlformats.org/officeDocument/2006/relationships/hyperlink" Target="https://www.linkedin.com/learning/managing-skills-for-remote-leaders?trk=ondemandfile" TargetMode="External"/><Relationship Id="rId242" Type="http://schemas.openxmlformats.org/officeDocument/2006/relationships/hyperlink" Target="https://www.linkedin.com/learning/creating-winning-teams?trk=ondemandfile" TargetMode="External"/><Relationship Id="rId37" Type="http://schemas.openxmlformats.org/officeDocument/2006/relationships/hyperlink" Target="https://www.linkedin.com/learning/die-ersten-100-tage-als-fuhrungskraft-2?trk=ondemandfile" TargetMode="External"/><Relationship Id="rId58" Type="http://schemas.openxmlformats.org/officeDocument/2006/relationships/hyperlink" Target="https://www.linkedin.com/learning/creating-the-conditions-for-others-to-thrive?trk=ondemandfile" TargetMode="External"/><Relationship Id="rId79" Type="http://schemas.openxmlformats.org/officeDocument/2006/relationships/hyperlink" Target="https://www.linkedin.com/learning/managing-new-managers?trk=ondemandfile" TargetMode="External"/><Relationship Id="rId102" Type="http://schemas.openxmlformats.org/officeDocument/2006/relationships/hyperlink" Target="https://www.linkedin.com/learning/measuring-business-performance-4?trk=ondemandfile" TargetMode="External"/><Relationship Id="rId123" Type="http://schemas.openxmlformats.org/officeDocument/2006/relationships/hyperlink" Target="https://www.linkedin.com/learning/devenir-un-manager-bienveillant-une-manager-bienveillante?trk=contentmappingfile" TargetMode="External"/><Relationship Id="rId144" Type="http://schemas.openxmlformats.org/officeDocument/2006/relationships/hyperlink" Target="https://www.linkedin.com/learning/gestion-del-tiempo-para-lideres?trk=contentmappingfile" TargetMode="External"/><Relationship Id="rId90" Type="http://schemas.openxmlformats.org/officeDocument/2006/relationships/hyperlink" Target="https://www.linkedin.com/learning/giving-and-receiving-feedback-3?trk=ondemandfile" TargetMode="External"/><Relationship Id="rId165" Type="http://schemas.openxmlformats.org/officeDocument/2006/relationships/hyperlink" Target="https://www.linkedin.com/learning/primeros-pasos-en-el-liderazgo-de-equipos?trk=contentmappingfile" TargetMode="External"/><Relationship Id="rId186" Type="http://schemas.openxmlformats.org/officeDocument/2006/relationships/hyperlink" Target="https://www.linkedin.com/learning/building-change-capability-for-managers?trk=ondemandfile" TargetMode="External"/><Relationship Id="rId211" Type="http://schemas.openxmlformats.org/officeDocument/2006/relationships/hyperlink" Target="https://www.linkedin.com/learning/facilitation-skills-for-managers-and-leaders?trk=ondemandfile" TargetMode="External"/><Relationship Id="rId232" Type="http://schemas.openxmlformats.org/officeDocument/2006/relationships/hyperlink" Target="https://www.linkedin.com/learning/project-leadership?trk=ondemandfile" TargetMode="External"/><Relationship Id="rId27" Type="http://schemas.openxmlformats.org/officeDocument/2006/relationships/hyperlink" Target="https://www.linkedin.com/learning/paths/crea-una-atmosfera-de-trabajo-productiva?trk=ondemandfile" TargetMode="External"/><Relationship Id="rId48" Type="http://schemas.openxmlformats.org/officeDocument/2006/relationships/hyperlink" Target="https://www.linkedin.com/learning/paths/transforme-se-num-lider-disruptivo?trk=ondemandfile" TargetMode="External"/><Relationship Id="rId69" Type="http://schemas.openxmlformats.org/officeDocument/2006/relationships/hyperlink" Target="https://www.linkedin.com/learning/00-ergebnis-manag?trk=ondemandfile" TargetMode="External"/><Relationship Id="rId113" Type="http://schemas.openxmlformats.org/officeDocument/2006/relationships/hyperlink" Target="https://www.linkedin.com/learning/mitarbeiter-innen-motivieren?trk=ondemandfile" TargetMode="External"/><Relationship Id="rId134" Type="http://schemas.openxmlformats.org/officeDocument/2006/relationships/hyperlink" Target="https://www.linkedin.com/learning/gestion-de-equipos-mediante-okr-s-o-misiones-objetivos-y-resultados-clave?trk=contentmappingfile" TargetMode="External"/><Relationship Id="rId80" Type="http://schemas.openxmlformats.org/officeDocument/2006/relationships/hyperlink" Target="https://www.linkedin.com/learning/paths/master-in-demand-professional-soft-skills?trk=ondemandfile" TargetMode="External"/><Relationship Id="rId155" Type="http://schemas.openxmlformats.org/officeDocument/2006/relationships/hyperlink" Target="https://www.linkedin.com/learning/microsoft-dynamics-365-for-talent-esencial?trk=ondemandfile" TargetMode="External"/><Relationship Id="rId176" Type="http://schemas.openxmlformats.org/officeDocument/2006/relationships/hyperlink" Target="https://www.linkedin.com/learning/managing-teams-2018?trk=ondemandfile" TargetMode="External"/><Relationship Id="rId197" Type="http://schemas.openxmlformats.org/officeDocument/2006/relationships/hyperlink" Target="https://www.linkedin.com/learning/powerless-to-powerful-taking-control-2?trk=ondemandfile" TargetMode="External"/><Relationship Id="rId201" Type="http://schemas.openxmlformats.org/officeDocument/2006/relationships/hyperlink" Target="https://www.linkedin.com/learning/measuring-team-performance-5?trk=ondemandfile" TargetMode="External"/><Relationship Id="rId222" Type="http://schemas.openxmlformats.org/officeDocument/2006/relationships/hyperlink" Target="https://www.linkedin.com/learning/leadership-through-feedback?trk=ondemandfile" TargetMode="External"/><Relationship Id="rId243" Type="http://schemas.openxmlformats.org/officeDocument/2006/relationships/hyperlink" Target="https://www.linkedin.com/learning/creating-an-adaptable-team?trk=ondemandfile" TargetMode="External"/><Relationship Id="rId17" Type="http://schemas.openxmlformats.org/officeDocument/2006/relationships/hyperlink" Target="https://www.linkedin.com/learning/00-arbmethodmanag?trk=ondemandfile" TargetMode="External"/><Relationship Id="rId38" Type="http://schemas.openxmlformats.org/officeDocument/2006/relationships/hyperlink" Target="https://www.linkedin.com/learning/managing-for-results-3?trk=ondemandfile" TargetMode="External"/><Relationship Id="rId59" Type="http://schemas.openxmlformats.org/officeDocument/2006/relationships/hyperlink" Target="https://www.linkedin.com/learning/paths/managing-and-leading-developers?trk=ondemandfile" TargetMode="External"/><Relationship Id="rId103" Type="http://schemas.openxmlformats.org/officeDocument/2006/relationships/hyperlink" Target="https://www.linkedin.com/learning/building-your-team-4?trk=ondemandfile" TargetMode="External"/><Relationship Id="rId124" Type="http://schemas.openxmlformats.org/officeDocument/2006/relationships/hyperlink" Target="https://www.linkedin.com/learning/fundamentos-de-la-gesti-n-empresarial?trk=ondemandfile" TargetMode="External"/><Relationship Id="rId70" Type="http://schemas.openxmlformats.org/officeDocument/2006/relationships/hyperlink" Target="https://www.linkedin.com/learning/onboarding-new-hires-as-a-manager-14635568?trk=contentmappingfile" TargetMode="External"/><Relationship Id="rId91" Type="http://schemas.openxmlformats.org/officeDocument/2006/relationships/hyperlink" Target="https://www.linkedin.com/learning/como-desenvolver-novas-habilidades-para-o-futuro-do-trabalho?trk=contentmappingfile" TargetMode="External"/><Relationship Id="rId145" Type="http://schemas.openxmlformats.org/officeDocument/2006/relationships/hyperlink" Target="https://www.linkedin.com/learning/00-teams-bilden?trk=ondemandfile" TargetMode="External"/><Relationship Id="rId166" Type="http://schemas.openxmlformats.org/officeDocument/2006/relationships/hyperlink" Target="https://www.linkedin.com/learning/00-zielvereinbarung?trk=ondemandfile" TargetMode="External"/><Relationship Id="rId187" Type="http://schemas.openxmlformats.org/officeDocument/2006/relationships/hyperlink" Target="https://www.linkedin.com/learning/b83c5b95-31a5-31a0-9bbe-8eb3a913b66f?trk=ondemandfile" TargetMode="External"/><Relationship Id="rId1" Type="http://schemas.openxmlformats.org/officeDocument/2006/relationships/hyperlink" Target="https://www.linkedin.com/learning/leading-the-organization-monthly?trk=ondemandfile" TargetMode="External"/><Relationship Id="rId212" Type="http://schemas.openxmlformats.org/officeDocument/2006/relationships/hyperlink" Target="https://www.linkedin.com/learning/leading-and-working-in-teams?trk=ondemandfile" TargetMode="External"/><Relationship Id="rId233" Type="http://schemas.openxmlformats.org/officeDocument/2006/relationships/hyperlink" Target="https://www.linkedin.com/learning/how-to-effectively-deliver-criticism?trk=ondemandfile" TargetMode="External"/><Relationship Id="rId28" Type="http://schemas.openxmlformats.org/officeDocument/2006/relationships/hyperlink" Target="https://www.linkedin.com/learning/beurteilungsgesprache-fuhren?trk=ondemandfile" TargetMode="External"/><Relationship Id="rId49" Type="http://schemas.openxmlformats.org/officeDocument/2006/relationships/hyperlink" Target="https://www.linkedin.com/learning/creating-a-high-performance-culture-4?trk=ondemandfile" TargetMode="External"/><Relationship Id="rId114" Type="http://schemas.openxmlformats.org/officeDocument/2006/relationships/hyperlink" Target="https://www.linkedin.com/learning/improving-employee-performance-4?trk=ondemandfile" TargetMode="External"/><Relationship Id="rId60" Type="http://schemas.openxmlformats.org/officeDocument/2006/relationships/hyperlink" Target="https://www.linkedin.com/learning/choisir-d-etre-un-bon-manager?trk=contentmappingfile" TargetMode="External"/><Relationship Id="rId81" Type="http://schemas.openxmlformats.org/officeDocument/2006/relationships/hyperlink" Target="https://www.linkedin.com/learning/conseils-d-experte-manager-la-generation-z?trk=contentmappingfile" TargetMode="External"/><Relationship Id="rId135" Type="http://schemas.openxmlformats.org/officeDocument/2006/relationships/hyperlink" Target="https://www.linkedin.com/learning/potenzialtrager-fuhren?trk=ondemandfile" TargetMode="External"/><Relationship Id="rId156" Type="http://schemas.openxmlformats.org/officeDocument/2006/relationships/hyperlink" Target="https://www.linkedin.com/learning/virtuelle-teams-fuhren-16362149?trk=contentmappingfile" TargetMode="External"/><Relationship Id="rId177" Type="http://schemas.openxmlformats.org/officeDocument/2006/relationships/hyperlink" Target="https://www.linkedin.com/learning/gerer-les-techniciens-techniciennes?trk=contentmappingfile" TargetMode="External"/><Relationship Id="rId198" Type="http://schemas.openxmlformats.org/officeDocument/2006/relationships/hyperlink" Target="https://www.linkedin.com/learning/delegating-tasks?trk=ondemandfile" TargetMode="External"/><Relationship Id="rId202" Type="http://schemas.openxmlformats.org/officeDocument/2006/relationships/hyperlink" Target="https://www.linkedin.com/learning/managing-generation-z?trk=ondemandfile" TargetMode="External"/><Relationship Id="rId223" Type="http://schemas.openxmlformats.org/officeDocument/2006/relationships/hyperlink" Target="https://www.linkedin.com/learning/management-tips?trk=ondemandfile" TargetMode="External"/><Relationship Id="rId244" Type="http://schemas.openxmlformats.org/officeDocument/2006/relationships/hyperlink" Target="https://www.linkedin.com/learning/the-superbosses-playbook?trk=ondemandfile" TargetMode="External"/><Relationship Id="rId18" Type="http://schemas.openxmlformats.org/officeDocument/2006/relationships/hyperlink" Target="https://www.linkedin.com/learning/paths/fuhrungskraft-werden?trk=ondemandfile" TargetMode="External"/><Relationship Id="rId39" Type="http://schemas.openxmlformats.org/officeDocument/2006/relationships/hyperlink" Target="https://www.linkedin.com/learning/paths/torne-se-um-lider?trk=ondemandfile" TargetMode="External"/><Relationship Id="rId50" Type="http://schemas.openxmlformats.org/officeDocument/2006/relationships/hyperlink" Target="https://www.linkedin.com/learning/paths/a0eb3d8c-a473-3d5e-b3a6-750ac02b3b49?trk=ondemandfile" TargetMode="External"/><Relationship Id="rId104" Type="http://schemas.openxmlformats.org/officeDocument/2006/relationships/hyperlink" Target="https://www.linkedin.com/learning/how-to-set-team-and-employee-goals?trk=ondemandfile" TargetMode="External"/><Relationship Id="rId125" Type="http://schemas.openxmlformats.org/officeDocument/2006/relationships/hyperlink" Target="https://www.linkedin.com/learning/00-projektmanagement-teamfuhrung?trk=ondemandfile" TargetMode="External"/><Relationship Id="rId146" Type="http://schemas.openxmlformats.org/officeDocument/2006/relationships/hyperlink" Target="https://www.linkedin.com/learning/como-promover-a-empatia-no-mundo-das-tecnologias-de-informacao?trk=contentmappingfile" TargetMode="External"/><Relationship Id="rId167" Type="http://schemas.openxmlformats.org/officeDocument/2006/relationships/hyperlink" Target="https://www.linkedin.com/learning/managing-meetings-3?trk=ondemandfile" TargetMode="External"/><Relationship Id="rId188" Type="http://schemas.openxmlformats.org/officeDocument/2006/relationships/hyperlink" Target="https://www.linkedin.com/learning/managing-introverts?trk=ondemandfile" TargetMode="External"/><Relationship Id="rId71" Type="http://schemas.openxmlformats.org/officeDocument/2006/relationships/hyperlink" Target="https://www.linkedin.com/learning/managing-up-down-and-across-the-organization-3?trk=ondemandfile" TargetMode="External"/><Relationship Id="rId92" Type="http://schemas.openxmlformats.org/officeDocument/2006/relationships/hyperlink" Target="https://www.linkedin.com/learning/supporting-a-grieving-employee-a-manager-s-guide-3?trk=contentmappingfile" TargetMode="External"/><Relationship Id="rId213" Type="http://schemas.openxmlformats.org/officeDocument/2006/relationships/hyperlink" Target="https://www.linkedin.com/learning/motiver-ses-equipes-quand-on-est-soi-meme-epuise-et-stresse?trk=contentmappingfile" TargetMode="External"/><Relationship Id="rId234" Type="http://schemas.openxmlformats.org/officeDocument/2006/relationships/hyperlink" Target="https://www.linkedin.com/learning/mindful-leadership?trk=ondemandfile" TargetMode="External"/><Relationship Id="rId2" Type="http://schemas.openxmlformats.org/officeDocument/2006/relationships/hyperlink" Target="https://www.linkedin.com/learning/paths/advance-your-skills-as-a-manager?trk=ondemandfile" TargetMode="External"/><Relationship Id="rId29" Type="http://schemas.openxmlformats.org/officeDocument/2006/relationships/hyperlink" Target="https://www.linkedin.com/learning/paths/fuehrungskompetenz-weiterentwickeln?trk=ondemandfile" TargetMode="External"/><Relationship Id="rId40" Type="http://schemas.openxmlformats.org/officeDocument/2006/relationships/hyperlink" Target="https://www.linkedin.com/learning/supply-chain-foundations-2?trk=contentmappingfile" TargetMode="External"/><Relationship Id="rId115" Type="http://schemas.openxmlformats.org/officeDocument/2006/relationships/hyperlink" Target="https://www.linkedin.com/learning/embracing-unexpected-change-2?trk=contentmappingfile" TargetMode="External"/><Relationship Id="rId136" Type="http://schemas.openxmlformats.org/officeDocument/2006/relationships/hyperlink" Target="https://www.linkedin.com/learning/como-passar-da-colaboracao-a-gerencia?trk=contentmappingfile" TargetMode="External"/><Relationship Id="rId157" Type="http://schemas.openxmlformats.org/officeDocument/2006/relationships/hyperlink" Target="https://www.linkedin.com/learning/project-management-simplified?trk=contentmappingfile" TargetMode="External"/><Relationship Id="rId178" Type="http://schemas.openxmlformats.org/officeDocument/2006/relationships/hyperlink" Target="https://www.linkedin.com/learning/managing-a-diverse-team-2?trk=ondemandfile" TargetMode="External"/><Relationship Id="rId61" Type="http://schemas.openxmlformats.org/officeDocument/2006/relationships/hyperlink" Target="https://www.linkedin.com/learning/c-mo-gestionar-equipos-de-trabajo?trk=ondemandfile" TargetMode="External"/><Relationship Id="rId82" Type="http://schemas.openxmlformats.org/officeDocument/2006/relationships/hyperlink" Target="https://www.linkedin.com/learning/como-liderar-equipos-inclusivos?trk=ondemandfile" TargetMode="External"/><Relationship Id="rId199" Type="http://schemas.openxmlformats.org/officeDocument/2006/relationships/hyperlink" Target="https://www.linkedin.com/learning/setting-team-and-employee-goals-3?trk=ondemandfile" TargetMode="External"/><Relationship Id="rId203" Type="http://schemas.openxmlformats.org/officeDocument/2006/relationships/hyperlink" Target="https://www.linkedin.com/learning/les-fondements-du-nouveau-et-de-la-nouvelle-manager?trk=contentmappingfile" TargetMode="External"/><Relationship Id="rId19" Type="http://schemas.openxmlformats.org/officeDocument/2006/relationships/hyperlink" Target="https://www.linkedin.com/learning/managing-multiple-generations-8332500?trk=ondemandfile" TargetMode="External"/><Relationship Id="rId224" Type="http://schemas.openxmlformats.org/officeDocument/2006/relationships/hyperlink" Target="https://www.linkedin.com/learning/how-to-be-an-effective-remote-manager?trk=ondemandfile" TargetMode="External"/><Relationship Id="rId245" Type="http://schemas.openxmlformats.org/officeDocument/2006/relationships/hyperlink" Target="https://www.linkedin.com/learning/creating-a-communications-strategy?trk=ondemandfile" TargetMode="External"/><Relationship Id="rId30" Type="http://schemas.openxmlformats.org/officeDocument/2006/relationships/hyperlink" Target="https://www.linkedin.com/learning/delegating-tasks-to-your-team-3?trk=ondemandfile" TargetMode="External"/><Relationship Id="rId105" Type="http://schemas.openxmlformats.org/officeDocument/2006/relationships/hyperlink" Target="https://www.linkedin.com/learning/el-futuro-de-la-gestion-del-rendimiento?trk=ondemandfile" TargetMode="External"/><Relationship Id="rId126" Type="http://schemas.openxmlformats.org/officeDocument/2006/relationships/hyperlink" Target="https://www.linkedin.com/learning/coaching-and-developing-employee?trk=ondemandfile" TargetMode="External"/><Relationship Id="rId147" Type="http://schemas.openxmlformats.org/officeDocument/2006/relationships/hyperlink" Target="https://www.linkedin.com/learning/unlock-your-team-s-creativity-2?trk=ondemandfile" TargetMode="External"/><Relationship Id="rId168" Type="http://schemas.openxmlformats.org/officeDocument/2006/relationships/hyperlink" Target="https://www.linkedin.com/learning/coaching-and-developing-employees-2019?trk=ondemandfile" TargetMode="External"/><Relationship Id="rId51" Type="http://schemas.openxmlformats.org/officeDocument/2006/relationships/hyperlink" Target="https://www.linkedin.com/learning/goal-setting-objectives-and-key-results-okrs?trk=ondemandfile" TargetMode="External"/><Relationship Id="rId72" Type="http://schemas.openxmlformats.org/officeDocument/2006/relationships/hyperlink" Target="https://www.linkedin.com/learning/measuring-team-performance?trk=ondemandfile" TargetMode="External"/><Relationship Id="rId93" Type="http://schemas.openxmlformats.org/officeDocument/2006/relationships/hyperlink" Target="https://www.linkedin.com/learning/managing-high-performers?trk=ondemandfile" TargetMode="External"/><Relationship Id="rId189" Type="http://schemas.openxmlformats.org/officeDocument/2006/relationships/hyperlink" Target="https://www.linkedin.com/learning/jeff-weiner-le-management-compassionnel?trk=contentmappingfile" TargetMode="External"/><Relationship Id="rId3" Type="http://schemas.openxmlformats.org/officeDocument/2006/relationships/hyperlink" Target="https://www.linkedin.com/learning/10-minutes-un-livre-comment-trouver-le-leader-en-vous?trk=contentmappingfile" TargetMode="External"/><Relationship Id="rId214" Type="http://schemas.openxmlformats.org/officeDocument/2006/relationships/hyperlink" Target="https://www.linkedin.com/learning/managing-employee-performance-problems-2018?trk=ondemandfile" TargetMode="External"/><Relationship Id="rId235" Type="http://schemas.openxmlformats.org/officeDocument/2006/relationships/hyperlink" Target="https://www.linkedin.com/learning/the-art-of-leadership-getabstract-summary?trk=ondemandfile" TargetMode="External"/><Relationship Id="rId116" Type="http://schemas.openxmlformats.org/officeDocument/2006/relationships/hyperlink" Target="https://www.linkedin.com/learning/simple-manager-tools-that-cure-the-under-management-epi-demic?trk=ondemandfile" TargetMode="External"/><Relationship Id="rId137" Type="http://schemas.openxmlformats.org/officeDocument/2006/relationships/hyperlink" Target="https://www.linkedin.com/learning/new-manager-foundations-3?trk=ondemandfile" TargetMode="External"/><Relationship Id="rId158" Type="http://schemas.openxmlformats.org/officeDocument/2006/relationships/hyperlink" Target="https://www.linkedin.com/learning/performance-management-setting-goals-and-managing-performance?trk=ondemandfile" TargetMode="External"/><Relationship Id="rId20" Type="http://schemas.openxmlformats.org/officeDocument/2006/relationships/hyperlink" Target="https://www.linkedin.com/learning/como-apoiar-sua-equipe-na-gestao-da-ansiedade?trk=contentmappingfile" TargetMode="External"/><Relationship Id="rId41" Type="http://schemas.openxmlformats.org/officeDocument/2006/relationships/hyperlink" Target="https://www.linkedin.com/learning/paths/90c69069-2437-32f7-a15c-be75af1531ab?trk=ondemandfile" TargetMode="External"/><Relationship Id="rId62" Type="http://schemas.openxmlformats.org/officeDocument/2006/relationships/hyperlink" Target="https://www.linkedin.com/learning/eine-hochleistungskultur-schaffen?trk=ondemandfile" TargetMode="External"/><Relationship Id="rId83" Type="http://schemas.openxmlformats.org/officeDocument/2006/relationships/hyperlink" Target="https://www.linkedin.com/learning/hochleistungsteams-aufbauen?trk=ondemandfile" TargetMode="External"/><Relationship Id="rId179" Type="http://schemas.openxmlformats.org/officeDocument/2006/relationships/hyperlink" Target="https://www.linkedin.com/learning/managing-temporary-and-contract-employees?trk=ondemandfile" TargetMode="External"/><Relationship Id="rId190" Type="http://schemas.openxmlformats.org/officeDocument/2006/relationships/hyperlink" Target="https://www.linkedin.com/learning/0205c79a-985b-337b-8a72-81f0f9bde52b?trk=ondemandfile" TargetMode="External"/><Relationship Id="rId204" Type="http://schemas.openxmlformats.org/officeDocument/2006/relationships/hyperlink" Target="https://www.linkedin.com/learning/coaching-and-developing-employees-3?trk=ondemandfile" TargetMode="External"/><Relationship Id="rId225" Type="http://schemas.openxmlformats.org/officeDocument/2006/relationships/hyperlink" Target="https://www.linkedin.com/learning/how-to-build-virtual-accountability?trk=ondemandfile" TargetMode="External"/><Relationship Id="rId246" Type="http://schemas.openxmlformats.org/officeDocument/2006/relationships/hyperlink" Target="https://www.linkedin.com/learning/foundations-of-performance-management?trk=ondemandfile" TargetMode="External"/><Relationship Id="rId106" Type="http://schemas.openxmlformats.org/officeDocument/2006/relationships/hyperlink" Target="https://www.linkedin.com/learning/00-feedback?trk=ondemandfile" TargetMode="External"/><Relationship Id="rId127" Type="http://schemas.openxmlformats.org/officeDocument/2006/relationships/hyperlink" Target="https://www.linkedin.com/learning/agile-at-work-building-your-agile-team-3?trk=ondemandfile" TargetMode="External"/><Relationship Id="rId10" Type="http://schemas.openxmlformats.org/officeDocument/2006/relationships/hyperlink" Target="https://www.linkedin.com/learning/delivering-employee-feedback-3?trk=ondemandfile" TargetMode="External"/><Relationship Id="rId31" Type="http://schemas.openxmlformats.org/officeDocument/2006/relationships/hyperlink" Target="https://www.linkedin.com/learning/managing-for-results-2?trk=ondemandfile" TargetMode="External"/><Relationship Id="rId52" Type="http://schemas.openxmlformats.org/officeDocument/2006/relationships/hyperlink" Target="https://www.linkedin.com/learning/paths/improve-your-coaching-skills-as-a-manager?trk=ondemandfile" TargetMode="External"/><Relationship Id="rId73" Type="http://schemas.openxmlformats.org/officeDocument/2006/relationships/hyperlink" Target="https://www.linkedin.com/learning/paths/managing-performance?trk=ondemandfile" TargetMode="External"/><Relationship Id="rId94" Type="http://schemas.openxmlformats.org/officeDocument/2006/relationships/hyperlink" Target="https://www.linkedin.com/learning/como-mejorar-el-rendimiento-de-tu-personal?trk=contentmappingfile" TargetMode="External"/><Relationship Id="rId148" Type="http://schemas.openxmlformats.org/officeDocument/2006/relationships/hyperlink" Target="https://www.linkedin.com/learning/identify-and-unleash-potential-in-your-employees?trk=ondemandfile" TargetMode="External"/><Relationship Id="rId169" Type="http://schemas.openxmlformats.org/officeDocument/2006/relationships/hyperlink" Target="https://www.linkedin.com/learning/gerer-les-experts-expertes?trk=contentmappingfile"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https://www.linkedin.com/learning/supply-chain-foundations?trk=ondemandfile" TargetMode="External"/><Relationship Id="rId21" Type="http://schemas.openxmlformats.org/officeDocument/2006/relationships/hyperlink" Target="https://www.linkedin.com/learning/aprende-las-bases-de-las-cadenas-de-suministro?trk=ondemandfile" TargetMode="External"/><Relationship Id="rId42" Type="http://schemas.openxmlformats.org/officeDocument/2006/relationships/hyperlink" Target="https://www.linkedin.com/learning/microsoft-azure-policy-fur-devops?trk=contentmappingfile" TargetMode="External"/><Relationship Id="rId63" Type="http://schemas.openxmlformats.org/officeDocument/2006/relationships/hyperlink" Target="https://www.linkedin.com/learning/facilitacion-de-la-excelencia-operativa-y-kaizen?trk=contentmappingfile" TargetMode="External"/><Relationship Id="rId84" Type="http://schemas.openxmlformats.org/officeDocument/2006/relationships/hyperlink" Target="https://www.linkedin.com/learning/agile-at-work-building-your-agile-team-3?trk=ondemandfile" TargetMode="External"/><Relationship Id="rId138" Type="http://schemas.openxmlformats.org/officeDocument/2006/relationships/hyperlink" Target="https://www.linkedin.com/learning/excel-supply-chain-analysis-solving-transportation-problems?trk=ondemandfile" TargetMode="External"/><Relationship Id="rId159" Type="http://schemas.openxmlformats.org/officeDocument/2006/relationships/hyperlink" Target="https://www.linkedin.com/learning/supply-chain-basics-for-everyone?trk=ondemandfile" TargetMode="External"/><Relationship Id="rId107" Type="http://schemas.openxmlformats.org/officeDocument/2006/relationships/hyperlink" Target="https://www.linkedin.com/learning/inventory-management-foundations?trk=ondemandfile" TargetMode="External"/><Relationship Id="rId11" Type="http://schemas.openxmlformats.org/officeDocument/2006/relationships/hyperlink" Target="https://www.linkedin.com/learning/paths/becoming-a-six-sigma-black-belt?trk=ondemandfile" TargetMode="External"/><Relationship Id="rId32" Type="http://schemas.openxmlformats.org/officeDocument/2006/relationships/hyperlink" Target="https://www.linkedin.com/learning/lean-technology-strategy-financial-management-to-support-business-agility?trk=ondemandfile" TargetMode="External"/><Relationship Id="rId53" Type="http://schemas.openxmlformats.org/officeDocument/2006/relationships/hyperlink" Target="https://www.linkedin.com/learning/six-sigma-grundlagen?trk=ondemandfile" TargetMode="External"/><Relationship Id="rId74" Type="http://schemas.openxmlformats.org/officeDocument/2006/relationships/hyperlink" Target="https://www.linkedin.com/learning/00-process-improvement-fundamentals?trk=ondemandfile" TargetMode="External"/><Relationship Id="rId128" Type="http://schemas.openxmlformats.org/officeDocument/2006/relationships/hyperlink" Target="https://www.linkedin.com/learning/pricing-strategy-explained?trk=ondemandfile" TargetMode="External"/><Relationship Id="rId149" Type="http://schemas.openxmlformats.org/officeDocument/2006/relationships/hyperlink" Target="https://www.linkedin.com/learning/business-investment-analysis?trk=ondemandfile" TargetMode="External"/><Relationship Id="rId5" Type="http://schemas.openxmlformats.org/officeDocument/2006/relationships/hyperlink" Target="https://www.linkedin.com/learning/paths/six-sigma-green-belt-werden?trk=ondemandfile" TargetMode="External"/><Relationship Id="rId95" Type="http://schemas.openxmlformats.org/officeDocument/2006/relationships/hyperlink" Target="https://www.linkedin.com/learning/lean-six-sigma-herramientas-de-las-fases-definicion-y-medicion?trk=contentmappingfile" TargetMode="External"/><Relationship Id="rId160" Type="http://schemas.openxmlformats.org/officeDocument/2006/relationships/hyperlink" Target="https://www.linkedin.com/learning/operational-excellence-foundations?trk=ondemandfile" TargetMode="External"/><Relationship Id="rId22" Type="http://schemas.openxmlformats.org/officeDocument/2006/relationships/hyperlink" Target="https://www.linkedin.com/learning/devops-grundkurs?trk=ondemandfile" TargetMode="External"/><Relationship Id="rId43" Type="http://schemas.openxmlformats.org/officeDocument/2006/relationships/hyperlink" Target="https://www.linkedin.com/learning/process-improvement-foundations-3?trk=ondemandfile" TargetMode="External"/><Relationship Id="rId64" Type="http://schemas.openxmlformats.org/officeDocument/2006/relationships/hyperlink" Target="https://www.linkedin.com/learning/six-sigma-green-belt-2?trk=ondemandfile" TargetMode="External"/><Relationship Id="rId118" Type="http://schemas.openxmlformats.org/officeDocument/2006/relationships/hyperlink" Target="https://www.linkedin.com/learning/introducing-ai-to-your-organization?trk=ondemandfile" TargetMode="External"/><Relationship Id="rId139" Type="http://schemas.openxmlformats.org/officeDocument/2006/relationships/hyperlink" Target="https://www.linkedin.com/learning/enterprise-agile-changing-your-culture?trk=ondemandfile" TargetMode="External"/><Relationship Id="rId85" Type="http://schemas.openxmlformats.org/officeDocument/2006/relationships/hyperlink" Target="https://www.linkedin.com/learning/implementing-continuous-impro-vement-a-case-study?trk=ondemandfile" TargetMode="External"/><Relationship Id="rId150" Type="http://schemas.openxmlformats.org/officeDocument/2006/relationships/hyperlink" Target="https://www.linkedin.com/learning/managing-logistics?trk=ondemandfile" TargetMode="External"/><Relationship Id="rId12" Type="http://schemas.openxmlformats.org/officeDocument/2006/relationships/hyperlink" Target="https://www.linkedin.com/learning/aprende-a-usar-la-metodologia-lean?trk=ondemandfile" TargetMode="External"/><Relationship Id="rId17" Type="http://schemas.openxmlformats.org/officeDocument/2006/relationships/hyperlink" Target="https://www.linkedin.com/learning/mergers-acquisitions-fundamentals?trk=ondemandfile" TargetMode="External"/><Relationship Id="rId33" Type="http://schemas.openxmlformats.org/officeDocument/2006/relationships/hyperlink" Target="https://www.linkedin.com/learning/paths/build-a-privacy-program?trk=ondemandfile" TargetMode="External"/><Relationship Id="rId38" Type="http://schemas.openxmlformats.org/officeDocument/2006/relationships/hyperlink" Target="https://www.linkedin.com/learning/digital-transformation-2?trk=ondemandfile" TargetMode="External"/><Relationship Id="rId59" Type="http://schemas.openxmlformats.org/officeDocument/2006/relationships/hyperlink" Target="https://www.linkedin.com/learning/six-sigma-black-belt-3?trk=ondemandfile" TargetMode="External"/><Relationship Id="rId103" Type="http://schemas.openxmlformats.org/officeDocument/2006/relationships/hyperlink" Target="https://www.linkedin.com/learning/cost-reduction-cut-costs-and-maximise-profits?trk=ondemandfile" TargetMode="External"/><Relationship Id="rId108" Type="http://schemas.openxmlformats.org/officeDocument/2006/relationships/hyperlink" Target="https://www.linkedin.com/learning/designing-growth-strategies-2?trk=ondemandfile" TargetMode="External"/><Relationship Id="rId124" Type="http://schemas.openxmlformats.org/officeDocument/2006/relationships/hyperlink" Target="https://www.linkedin.com/learning/outsourcing-fundamentals?trk=ondemandfile" TargetMode="External"/><Relationship Id="rId129" Type="http://schemas.openxmlformats.org/officeDocument/2006/relationships/hyperlink" Target="https://www.linkedin.com/learning/data-ethics-managing-your-private-customer-data?trk=ondemandfile" TargetMode="External"/><Relationship Id="rId54" Type="http://schemas.openxmlformats.org/officeDocument/2006/relationships/hyperlink" Target="https://www.linkedin.com/learning/fundamentos-da-criatividade-o-processo-de-criacao-de-ideias?trk=contentmappingfile" TargetMode="External"/><Relationship Id="rId70" Type="http://schemas.openxmlformats.org/officeDocument/2006/relationships/hyperlink" Target="https://www.linkedin.com/learning/scaling-up-excellence?trk=ondemandfile" TargetMode="External"/><Relationship Id="rId75" Type="http://schemas.openxmlformats.org/officeDocument/2006/relationships/hyperlink" Target="https://www.linkedin.com/learning/84777a9a-010b-3e75-8b28-27d3706e8c9a?trk=ondemandfile" TargetMode="External"/><Relationship Id="rId91" Type="http://schemas.openxmlformats.org/officeDocument/2006/relationships/hyperlink" Target="https://www.linkedin.com/learning/devops-foundations-accelerating-continuous-delivery-in-the-enterprise?trk=ondemandfile" TargetMode="External"/><Relationship Id="rId96" Type="http://schemas.openxmlformats.org/officeDocument/2006/relationships/hyperlink" Target="https://www.linkedin.com/learning/productivity-tips-finding-your-productive-mindset-2?trk=contentmappingfile" TargetMode="External"/><Relationship Id="rId140" Type="http://schemas.openxmlformats.org/officeDocument/2006/relationships/hyperlink" Target="https://www.linkedin.com/learning/implementing-supply-chain-management?trk=ondemandfile" TargetMode="External"/><Relationship Id="rId145" Type="http://schemas.openxmlformats.org/officeDocument/2006/relationships/hyperlink" Target="https://www.linkedin.com/learning/product-management-building-a-product-strategy?trk=ondemandfile" TargetMode="External"/><Relationship Id="rId161" Type="http://schemas.openxmlformats.org/officeDocument/2006/relationships/hyperlink" Target="https://www.linkedin.com/learning/supply-chain-and-operations-careers-certification-tips-and-tricks?trk=ondemandfile" TargetMode="External"/><Relationship Id="rId1" Type="http://schemas.openxmlformats.org/officeDocument/2006/relationships/hyperlink" Target="https://www.linkedin.com/learning/agile-software-development-creating-an-agile-culture?trk=ondemandfile" TargetMode="External"/><Relationship Id="rId6" Type="http://schemas.openxmlformats.org/officeDocument/2006/relationships/hyperlink" Target="https://www.linkedin.com/learning/operations-management-foundations-9360167?trk=contentmappingfile" TargetMode="External"/><Relationship Id="rId23" Type="http://schemas.openxmlformats.org/officeDocument/2006/relationships/hyperlink" Target="https://www.linkedin.com/learning/paths/ihr-weg-zum-devops-engineer?trk=ondemandfile" TargetMode="External"/><Relationship Id="rId28" Type="http://schemas.openxmlformats.org/officeDocument/2006/relationships/hyperlink" Target="https://www.linkedin.com/learning/como-crear-una-cultura-de-alto-rendimiento?trk=ondemandfile" TargetMode="External"/><Relationship Id="rId49" Type="http://schemas.openxmlformats.org/officeDocument/2006/relationships/hyperlink" Target="https://www.linkedin.com/learning/six-sigma-foundations-2?trk=ondemandfile" TargetMode="External"/><Relationship Id="rId114" Type="http://schemas.openxmlformats.org/officeDocument/2006/relationships/hyperlink" Target="https://www.linkedin.com/learning/lean-six-sigma-foundations?trk=ondemandfile" TargetMode="External"/><Relationship Id="rId119" Type="http://schemas.openxmlformats.org/officeDocument/2006/relationships/hyperlink" Target="https://www.linkedin.com/learning/understanding-business?trk=ondemandfile" TargetMode="External"/><Relationship Id="rId44" Type="http://schemas.openxmlformats.org/officeDocument/2006/relationships/hyperlink" Target="https://www.linkedin.com/learning/supply-chain-foundations-2?trk=contentmappingfile" TargetMode="External"/><Relationship Id="rId60" Type="http://schemas.openxmlformats.org/officeDocument/2006/relationships/hyperlink" Target="https://www.linkedin.com/learning/six-sigma-black-belt-5?trk=ondemandfile" TargetMode="External"/><Relationship Id="rId65" Type="http://schemas.openxmlformats.org/officeDocument/2006/relationships/hyperlink" Target="https://www.linkedin.com/learning/creating-a-high-performance-culture-4?trk=ondemandfile" TargetMode="External"/><Relationship Id="rId81" Type="http://schemas.openxmlformats.org/officeDocument/2006/relationships/hyperlink" Target="https://www.linkedin.com/learning/agile-at-work-driving-productive-agile-meetings-3?trk=ondemandfile" TargetMode="External"/><Relationship Id="rId86" Type="http://schemas.openxmlformats.org/officeDocument/2006/relationships/hyperlink" Target="https://www.linkedin.com/learning/00-six-sigma-green-belt?trk=ondemandfile" TargetMode="External"/><Relationship Id="rId130" Type="http://schemas.openxmlformats.org/officeDocument/2006/relationships/hyperlink" Target="https://www.linkedin.com/learning/quality-management-foundations?trk=ondemandfile" TargetMode="External"/><Relationship Id="rId135" Type="http://schemas.openxmlformats.org/officeDocument/2006/relationships/hyperlink" Target="https://www.linkedin.com/learning/implementing-a-vulnerability-management-lifecycle?trk=ondemandfile" TargetMode="External"/><Relationship Id="rId151" Type="http://schemas.openxmlformats.org/officeDocument/2006/relationships/hyperlink" Target="https://www.linkedin.com/learning/excel-implementing-balanced-scorecards-with-kpis?trk=ondemandfile" TargetMode="External"/><Relationship Id="rId156" Type="http://schemas.openxmlformats.org/officeDocument/2006/relationships/hyperlink" Target="https://www.linkedin.com/learning/introduction-to-sap-bi-bw?trk=ondemandfile" TargetMode="External"/><Relationship Id="rId13" Type="http://schemas.openxmlformats.org/officeDocument/2006/relationships/hyperlink" Target="https://www.linkedin.com/learning/betriebsmanagement-grundlagen?trk=ondemandfile" TargetMode="External"/><Relationship Id="rId18" Type="http://schemas.openxmlformats.org/officeDocument/2006/relationships/hyperlink" Target="https://www.linkedin.com/learning/paths/2d050229-0442-3320-8921-9151a1345b8e?trk=ondemandfile" TargetMode="External"/><Relationship Id="rId39" Type="http://schemas.openxmlformats.org/officeDocument/2006/relationships/hyperlink" Target="https://www.linkedin.com/learning/paths/improve-processes-and-deliver-operational-excellence?trk=ondemandfile" TargetMode="External"/><Relationship Id="rId109" Type="http://schemas.openxmlformats.org/officeDocument/2006/relationships/hyperlink" Target="https://www.linkedin.com/learning/job-skills-supply-chain-and-operations?trk=ondemandfile" TargetMode="External"/><Relationship Id="rId34" Type="http://schemas.openxmlformats.org/officeDocument/2006/relationships/hyperlink" Target="https://www.linkedin.com/learning/como-mejorar-el-rendimiento-de-tu-personal?trk=contentmappingfile" TargetMode="External"/><Relationship Id="rId50" Type="http://schemas.openxmlformats.org/officeDocument/2006/relationships/hyperlink" Target="https://www.linkedin.com/learning/cybersecurity-for-executives?trk=ondemandfile" TargetMode="External"/><Relationship Id="rId55" Type="http://schemas.openxmlformats.org/officeDocument/2006/relationships/hyperlink" Target="https://www.linkedin.com/learning/six-sigma-green-belt-3?trk=ondemandfile" TargetMode="External"/><Relationship Id="rId76" Type="http://schemas.openxmlformats.org/officeDocument/2006/relationships/hyperlink" Target="https://www.linkedin.com/learning/organizational-thought-leadership?trk=ondemandfile" TargetMode="External"/><Relationship Id="rId97" Type="http://schemas.openxmlformats.org/officeDocument/2006/relationships/hyperlink" Target="https://www.linkedin.com/learning/mastering-organizational-chaos?trk=ondemandfile" TargetMode="External"/><Relationship Id="rId104" Type="http://schemas.openxmlformats.org/officeDocument/2006/relationships/hyperlink" Target="https://www.linkedin.com/learning/performance-management-conducting-performance-reviews-2?trk=ondemandfile" TargetMode="External"/><Relationship Id="rId120" Type="http://schemas.openxmlformats.org/officeDocument/2006/relationships/hyperlink" Target="https://www.linkedin.com/learning/lean-deep-dive-job-instruction?trk=ondemandfile" TargetMode="External"/><Relationship Id="rId125" Type="http://schemas.openxmlformats.org/officeDocument/2006/relationships/hyperlink" Target="https://www.linkedin.com/learning/outsourcing-managing-service-transition?trk=ondemandfile" TargetMode="External"/><Relationship Id="rId141" Type="http://schemas.openxmlformats.org/officeDocument/2006/relationships/hyperlink" Target="https://www.linkedin.com/learning/lean-six-sigma-analyze-improve-and-control-tools?trk=ondemandfile" TargetMode="External"/><Relationship Id="rId146" Type="http://schemas.openxmlformats.org/officeDocument/2006/relationships/hyperlink" Target="https://www.linkedin.com/learning/purchasing?trk=ondemandfile" TargetMode="External"/><Relationship Id="rId7" Type="http://schemas.openxmlformats.org/officeDocument/2006/relationships/hyperlink" Target="https://www.linkedin.com/learning/paths/torne-se-um-gestor-de-projetos?trk=ondemandfile" TargetMode="External"/><Relationship Id="rId71" Type="http://schemas.openxmlformats.org/officeDocument/2006/relationships/hyperlink" Target="https://www.linkedin.com/learning/fundamentos-de-la-gestion-de-operaciones?trk=ondemandfile" TargetMode="External"/><Relationship Id="rId92" Type="http://schemas.openxmlformats.org/officeDocument/2006/relationships/hyperlink" Target="https://www.linkedin.com/learning/guia-corporativa-a-la-sostenibilidad-y-al-impacto-empresarial-positivo?trk=contentmappingfile" TargetMode="External"/><Relationship Id="rId162" Type="http://schemas.openxmlformats.org/officeDocument/2006/relationships/hyperlink" Target="https://www.linkedin.com/learning/how-to-make-strategic-thinking-a-habit?trk=ondemandfile" TargetMode="External"/><Relationship Id="rId2" Type="http://schemas.openxmlformats.org/officeDocument/2006/relationships/hyperlink" Target="https://www.linkedin.com/learning/paths/become-a-business-operations-associate?trk=ondemandfile" TargetMode="External"/><Relationship Id="rId29" Type="http://schemas.openxmlformats.org/officeDocument/2006/relationships/hyperlink" Target="https://www.linkedin.com/learning/grundlagen-der-prozessverbesserung?trk=ondemandfile" TargetMode="External"/><Relationship Id="rId24" Type="http://schemas.openxmlformats.org/officeDocument/2006/relationships/hyperlink" Target="https://www.linkedin.com/learning/six-sigma-green-belt-4?trk=ondemandfile" TargetMode="External"/><Relationship Id="rId40" Type="http://schemas.openxmlformats.org/officeDocument/2006/relationships/hyperlink" Target="https://www.linkedin.com/learning/les-fondements-du-lean-six-sigma?trk=contentmappingfile" TargetMode="External"/><Relationship Id="rId45" Type="http://schemas.openxmlformats.org/officeDocument/2006/relationships/hyperlink" Target="https://www.linkedin.com/learning/creating-a-product-centric-organization?trk=ondemandfile" TargetMode="External"/><Relationship Id="rId66" Type="http://schemas.openxmlformats.org/officeDocument/2006/relationships/hyperlink" Target="https://www.linkedin.com/learning/creating-a-culture-of-privacy?trk=ondemandfile" TargetMode="External"/><Relationship Id="rId87" Type="http://schemas.openxmlformats.org/officeDocument/2006/relationships/hyperlink" Target="https://www.linkedin.com/learning/agile-at-work-getting-better-with-agile-retrospectives-3?trk=ondemandfile" TargetMode="External"/><Relationship Id="rId110" Type="http://schemas.openxmlformats.org/officeDocument/2006/relationships/hyperlink" Target="https://www.linkedin.com/learning/measuring-team-performance-5?trk=ondemandfile" TargetMode="External"/><Relationship Id="rId115" Type="http://schemas.openxmlformats.org/officeDocument/2006/relationships/hyperlink" Target="https://www.linkedin.com/learning/operations-management-foundations?trk=ondemandfile" TargetMode="External"/><Relationship Id="rId131" Type="http://schemas.openxmlformats.org/officeDocument/2006/relationships/hyperlink" Target="https://www.linkedin.com/learning/operations-management-weekly-serial-planning-q2-2018?trk=ondemandfile" TargetMode="External"/><Relationship Id="rId136" Type="http://schemas.openxmlformats.org/officeDocument/2006/relationships/hyperlink" Target="https://www.linkedin.com/learning/business-process-improvement?trk=ondemandfile" TargetMode="External"/><Relationship Id="rId157" Type="http://schemas.openxmlformats.org/officeDocument/2006/relationships/hyperlink" Target="https://www.linkedin.com/learning/sap-bi-bw-project-design-and-implementation?trk=ondemandfile" TargetMode="External"/><Relationship Id="rId61" Type="http://schemas.openxmlformats.org/officeDocument/2006/relationships/hyperlink" Target="https://www.linkedin.com/learning/skip-level-meetings?trk=ondemandfile" TargetMode="External"/><Relationship Id="rId82" Type="http://schemas.openxmlformats.org/officeDocument/2006/relationships/hyperlink" Target="https://www.linkedin.com/learning/workplace-visualization?trk=ondemandfile" TargetMode="External"/><Relationship Id="rId152" Type="http://schemas.openxmlformats.org/officeDocument/2006/relationships/hyperlink" Target="https://www.linkedin.com/learning/agile-software-development-clean-coding-practices?trk=ondemandfile" TargetMode="External"/><Relationship Id="rId19" Type="http://schemas.openxmlformats.org/officeDocument/2006/relationships/hyperlink" Target="https://www.linkedin.com/learning/sustainability-strategies?trk=ondemandfile" TargetMode="External"/><Relationship Id="rId14" Type="http://schemas.openxmlformats.org/officeDocument/2006/relationships/hyperlink" Target="https://www.linkedin.com/learning/paths/six-sigma-black-belt-werden?trk=ondemandfile" TargetMode="External"/><Relationship Id="rId30" Type="http://schemas.openxmlformats.org/officeDocument/2006/relationships/hyperlink" Target="https://www.linkedin.com/learning/six-sigma-foundations-3?trk=ondemandfile" TargetMode="External"/><Relationship Id="rId35" Type="http://schemas.openxmlformats.org/officeDocument/2006/relationships/hyperlink" Target="https://www.linkedin.com/learning/lean-six-sigma-grundlagen?trk=ondemandfile" TargetMode="External"/><Relationship Id="rId56" Type="http://schemas.openxmlformats.org/officeDocument/2006/relationships/hyperlink" Target="https://www.linkedin.com/learning/reid-hoffman-and-chris-yeh-on-blitzscaling?trk=ondemandfile" TargetMode="External"/><Relationship Id="rId77" Type="http://schemas.openxmlformats.org/officeDocument/2006/relationships/hyperlink" Target="https://www.linkedin.com/learning/fundamentos-de-lean-six-sigma?trk=ondemandfile" TargetMode="External"/><Relationship Id="rId100" Type="http://schemas.openxmlformats.org/officeDocument/2006/relationships/hyperlink" Target="https://www.linkedin.com/learning/a3-problem-solving-for-continuous-improvement?trk=ondemandfile" TargetMode="External"/><Relationship Id="rId105" Type="http://schemas.openxmlformats.org/officeDocument/2006/relationships/hyperlink" Target="https://www.linkedin.com/learning/devops-foundations?trk=ondemandfile" TargetMode="External"/><Relationship Id="rId126" Type="http://schemas.openxmlformats.org/officeDocument/2006/relationships/hyperlink" Target="https://www.linkedin.com/learning/the-most-important-content-kpis-for-creators?trk=ondemandfile" TargetMode="External"/><Relationship Id="rId147" Type="http://schemas.openxmlformats.org/officeDocument/2006/relationships/hyperlink" Target="https://www.linkedin.com/learning/six-sigma-black-belt?trk=ondemandfile" TargetMode="External"/><Relationship Id="rId8" Type="http://schemas.openxmlformats.org/officeDocument/2006/relationships/hyperlink" Target="https://www.linkedin.com/learning/devops-foundations-2?trk=ondemandfile" TargetMode="External"/><Relationship Id="rId51" Type="http://schemas.openxmlformats.org/officeDocument/2006/relationships/hyperlink" Target="https://www.linkedin.com/learning/paths/stay-ahead-in-sustainability-and-green-building?trk=ondemandfile" TargetMode="External"/><Relationship Id="rId72" Type="http://schemas.openxmlformats.org/officeDocument/2006/relationships/hyperlink" Target="https://www.linkedin.com/learning/operational-excellence-foundations-4?trk=ondemandfile" TargetMode="External"/><Relationship Id="rId93" Type="http://schemas.openxmlformats.org/officeDocument/2006/relationships/hyperlink" Target="https://www.linkedin.com/learning/process-improvement-foundations-2?trk=ondemandfile" TargetMode="External"/><Relationship Id="rId98" Type="http://schemas.openxmlformats.org/officeDocument/2006/relationships/hyperlink" Target="https://www.linkedin.com/learning/scrum-advanced-3?trk=ondemandfile" TargetMode="External"/><Relationship Id="rId121" Type="http://schemas.openxmlformats.org/officeDocument/2006/relationships/hyperlink" Target="https://www.linkedin.com/learning/implementing-lean-a-case-study?trk=ondemandfile" TargetMode="External"/><Relationship Id="rId142" Type="http://schemas.openxmlformats.org/officeDocument/2006/relationships/hyperlink" Target="https://www.linkedin.com/learning/lean-six-sigma-define-and-measure-tools?trk=ondemandfile" TargetMode="External"/><Relationship Id="rId163" Type="http://schemas.openxmlformats.org/officeDocument/2006/relationships/hyperlink" Target="https://www.linkedin.com/learning/design-thinking-understanding-the-process?trk=ondemandfile" TargetMode="External"/><Relationship Id="rId3" Type="http://schemas.openxmlformats.org/officeDocument/2006/relationships/hyperlink" Target="https://www.linkedin.com/learning/agile-en-accion-construye-tu-equipo-agil?trk=ondemandfile" TargetMode="External"/><Relationship Id="rId25" Type="http://schemas.openxmlformats.org/officeDocument/2006/relationships/hyperlink" Target="https://www.linkedin.com/learning/enterprise-agile-growing-scrum-2?trk=contentmappingfile" TargetMode="External"/><Relationship Id="rId46" Type="http://schemas.openxmlformats.org/officeDocument/2006/relationships/hyperlink" Target="https://www.linkedin.com/learning/paths/improve-your-continuous-delivery-skills?trk=ondemandfile" TargetMode="External"/><Relationship Id="rId67" Type="http://schemas.openxmlformats.org/officeDocument/2006/relationships/hyperlink" Target="https://www.linkedin.com/learning/fundamentos-de-la-excelencia-operativa?trk=ondemandfile" TargetMode="External"/><Relationship Id="rId116" Type="http://schemas.openxmlformats.org/officeDocument/2006/relationships/hyperlink" Target="https://www.linkedin.com/learning/process-improvement-foundations?trk=ondemandfile" TargetMode="External"/><Relationship Id="rId137" Type="http://schemas.openxmlformats.org/officeDocument/2006/relationships/hyperlink" Target="https://www.linkedin.com/learning/ux-deep-dive-remote-research?trk=ondemandfile" TargetMode="External"/><Relationship Id="rId158" Type="http://schemas.openxmlformats.org/officeDocument/2006/relationships/hyperlink" Target="https://www.linkedin.com/learning/following-the-digital-thread?trk=ondemandfile" TargetMode="External"/><Relationship Id="rId20" Type="http://schemas.openxmlformats.org/officeDocument/2006/relationships/hyperlink" Target="https://www.linkedin.com/learning/paths/becoming-a-six-sigma-green-belt?trk=ondemandfile" TargetMode="External"/><Relationship Id="rId41" Type="http://schemas.openxmlformats.org/officeDocument/2006/relationships/hyperlink" Target="https://www.linkedin.com/learning/como-ser-parte-de-un-ambiente-de-trabajo-positivo?trk=ondemandfile" TargetMode="External"/><Relationship Id="rId62" Type="http://schemas.openxmlformats.org/officeDocument/2006/relationships/hyperlink" Target="https://www.linkedin.com/learning/paths/understand-gdpr-and-data-privacy?trk=ondemandfile" TargetMode="External"/><Relationship Id="rId83" Type="http://schemas.openxmlformats.org/officeDocument/2006/relationships/hyperlink" Target="https://www.linkedin.com/learning/fundamentos-de-six-sigma-black-belt?trk=ondemandfile" TargetMode="External"/><Relationship Id="rId88" Type="http://schemas.openxmlformats.org/officeDocument/2006/relationships/hyperlink" Target="https://www.linkedin.com/learning/devops-foundations-lean-and-agile?trk=ondemandfile" TargetMode="External"/><Relationship Id="rId111" Type="http://schemas.openxmlformats.org/officeDocument/2006/relationships/hyperlink" Target="https://www.linkedin.com/learning/lean-foundations?trk=ondemandfile" TargetMode="External"/><Relationship Id="rId132" Type="http://schemas.openxmlformats.org/officeDocument/2006/relationships/hyperlink" Target="https://www.linkedin.com/learning/how-blockchains-will-change-business?trk=ondemandfile" TargetMode="External"/><Relationship Id="rId153" Type="http://schemas.openxmlformats.org/officeDocument/2006/relationships/hyperlink" Target="https://www.linkedin.com/learning/predictive-analytics-essential-training-for-executives?trk=ondemandfile" TargetMode="External"/><Relationship Id="rId15" Type="http://schemas.openxmlformats.org/officeDocument/2006/relationships/hyperlink" Target="https://www.linkedin.com/learning/supply-chain-foundations-16373958?trk=contentmappingfile" TargetMode="External"/><Relationship Id="rId36" Type="http://schemas.openxmlformats.org/officeDocument/2006/relationships/hyperlink" Target="https://www.linkedin.com/learning/developing-business-acumen-2?trk=ondemandfile" TargetMode="External"/><Relationship Id="rId57" Type="http://schemas.openxmlformats.org/officeDocument/2006/relationships/hyperlink" Target="https://www.linkedin.com/learning/paths/stay-competitive-using-design-thinking?trk=ondemandfile" TargetMode="External"/><Relationship Id="rId106" Type="http://schemas.openxmlformats.org/officeDocument/2006/relationships/hyperlink" Target="https://www.linkedin.com/learning/job-skills-supply-chain-and-operations-2?trk=ondemandfile" TargetMode="External"/><Relationship Id="rId127" Type="http://schemas.openxmlformats.org/officeDocument/2006/relationships/hyperlink" Target="https://www.linkedin.com/learning/revenue-staffing-and-expense-models-explained?trk=ondemandfile" TargetMode="External"/><Relationship Id="rId10" Type="http://schemas.openxmlformats.org/officeDocument/2006/relationships/hyperlink" Target="https://www.linkedin.com/learning/mergers-acquisitions?trk=ondemandfile" TargetMode="External"/><Relationship Id="rId31" Type="http://schemas.openxmlformats.org/officeDocument/2006/relationships/hyperlink" Target="https://www.linkedin.com/learning/characteristics-of-a-great-scrum-master-3?trk=ondemandfile" TargetMode="External"/><Relationship Id="rId52" Type="http://schemas.openxmlformats.org/officeDocument/2006/relationships/hyperlink" Target="https://www.linkedin.com/learning/00-devops-esencial?trk=ondemandfile" TargetMode="External"/><Relationship Id="rId73" Type="http://schemas.openxmlformats.org/officeDocument/2006/relationships/hyperlink" Target="https://www.linkedin.com/learning/organization-design?trk=ondemandfile" TargetMode="External"/><Relationship Id="rId78" Type="http://schemas.openxmlformats.org/officeDocument/2006/relationships/hyperlink" Target="https://www.linkedin.com/learning/agile-at-work-reporting-with-agile-charts-and-boards-2?trk=ondemandfile" TargetMode="External"/><Relationship Id="rId94" Type="http://schemas.openxmlformats.org/officeDocument/2006/relationships/hyperlink" Target="https://www.linkedin.com/learning/microsoft-flow-advanced-business-automation?trk=ondemandfile" TargetMode="External"/><Relationship Id="rId99" Type="http://schemas.openxmlformats.org/officeDocument/2006/relationships/hyperlink" Target="https://www.linkedin.com/learning/agile-project-management-with-microsoft-project-3?trk=ondemandfile" TargetMode="External"/><Relationship Id="rId101" Type="http://schemas.openxmlformats.org/officeDocument/2006/relationships/hyperlink" Target="https://www.linkedin.com/learning/scrum-con-un-cafe?trk=ondemandfile" TargetMode="External"/><Relationship Id="rId122" Type="http://schemas.openxmlformats.org/officeDocument/2006/relationships/hyperlink" Target="https://www.linkedin.com/learning/from-resisting-to-embracing-lean-a-case-study?trk=ondemandfile" TargetMode="External"/><Relationship Id="rId143" Type="http://schemas.openxmlformats.org/officeDocument/2006/relationships/hyperlink" Target="https://www.linkedin.com/learning/lean-technology-strategy-starting-your-business-transformation-2?trk=ondemandfile" TargetMode="External"/><Relationship Id="rId148" Type="http://schemas.openxmlformats.org/officeDocument/2006/relationships/hyperlink" Target="https://www.linkedin.com/learning/six-sigma-green-belt?trk=ondemandfile" TargetMode="External"/><Relationship Id="rId164" Type="http://schemas.openxmlformats.org/officeDocument/2006/relationships/hyperlink" Target="https://www.linkedin.com/learning/outsourcing-critical-success-factors?trk=ondemandfile" TargetMode="External"/><Relationship Id="rId4" Type="http://schemas.openxmlformats.org/officeDocument/2006/relationships/hyperlink" Target="https://www.linkedin.com/learning/azure-devops-grundkurs?trk=ondemandfile" TargetMode="External"/><Relationship Id="rId9" Type="http://schemas.openxmlformats.org/officeDocument/2006/relationships/hyperlink" Target="https://www.linkedin.com/learning/paths/15e85c29-5b7c-3b12-a882-4bfdeb3c83c7?trk=ondemandfile" TargetMode="External"/><Relationship Id="rId26" Type="http://schemas.openxmlformats.org/officeDocument/2006/relationships/hyperlink" Target="https://www.linkedin.com/learning/lean-technology-strategy-purposeful-organizations?trk=ondemandfile" TargetMode="External"/><Relationship Id="rId47" Type="http://schemas.openxmlformats.org/officeDocument/2006/relationships/hyperlink" Target="https://www.linkedin.com/learning/designops-habilidades-personales-esencial?trk=ondemandfile" TargetMode="External"/><Relationship Id="rId68" Type="http://schemas.openxmlformats.org/officeDocument/2006/relationships/hyperlink" Target="https://www.linkedin.com/learning/die-teamleistung-messen?trk=ondemandfile" TargetMode="External"/><Relationship Id="rId89" Type="http://schemas.openxmlformats.org/officeDocument/2006/relationships/hyperlink" Target="https://www.linkedin.com/learning/fundamentos-del-soporte-tecnico-telecomunicaciones?trk=ondemandfile" TargetMode="External"/><Relationship Id="rId112" Type="http://schemas.openxmlformats.org/officeDocument/2006/relationships/hyperlink" Target="https://www.linkedin.com/learning/operations-management-foundations-4?trk=ondemandfile" TargetMode="External"/><Relationship Id="rId133" Type="http://schemas.openxmlformats.org/officeDocument/2006/relationships/hyperlink" Target="https://www.linkedin.com/learning/design-thinking-implementing-the-process?trk=ondemandfile" TargetMode="External"/><Relationship Id="rId154" Type="http://schemas.openxmlformats.org/officeDocument/2006/relationships/hyperlink" Target="https://www.linkedin.com/learning/sap-ariba-supply-chain-collaboration-overview?trk=ondemandfile" TargetMode="External"/><Relationship Id="rId16" Type="http://schemas.openxmlformats.org/officeDocument/2006/relationships/hyperlink" Target="https://www.linkedin.com/learning/paths/trabalho-remoto-colaboracao-foco-e-produtividade?trk=ondemandfile" TargetMode="External"/><Relationship Id="rId37" Type="http://schemas.openxmlformats.org/officeDocument/2006/relationships/hyperlink" Target="https://www.linkedin.com/learning/supply-chain-basics-for-everyone-2?trk=contentmappingfile" TargetMode="External"/><Relationship Id="rId58" Type="http://schemas.openxmlformats.org/officeDocument/2006/relationships/hyperlink" Target="https://www.linkedin.com/learning/el-futuro-de-la-gestion-del-rendimiento?trk=ondemandfile" TargetMode="External"/><Relationship Id="rId79" Type="http://schemas.openxmlformats.org/officeDocument/2006/relationships/hyperlink" Target="https://www.linkedin.com/learning/implementing-an-information-security-program?trk=ondemandfile" TargetMode="External"/><Relationship Id="rId102" Type="http://schemas.openxmlformats.org/officeDocument/2006/relationships/hyperlink" Target="https://www.linkedin.com/learning/lean-six-sigma-foundations-4?trk=ondemandfile" TargetMode="External"/><Relationship Id="rId123" Type="http://schemas.openxmlformats.org/officeDocument/2006/relationships/hyperlink" Target="https://www.linkedin.com/learning/5s-workplace-productivity?trk=ondemandfile" TargetMode="External"/><Relationship Id="rId144" Type="http://schemas.openxmlformats.org/officeDocument/2006/relationships/hyperlink" Target="https://www.linkedin.com/learning/lean-six-sigma-work-out-and-kaizen-facilitator?trk=ondemandfile" TargetMode="External"/><Relationship Id="rId90" Type="http://schemas.openxmlformats.org/officeDocument/2006/relationships/hyperlink" Target="https://www.linkedin.com/learning/agile-at-work-planning-with-agile-user-stories-3?trk=ondemandfile" TargetMode="External"/><Relationship Id="rId165" Type="http://schemas.openxmlformats.org/officeDocument/2006/relationships/hyperlink" Target="https://www.linkedin.com/learning/outsourcing-management?trk=ondemandfile" TargetMode="External"/><Relationship Id="rId27" Type="http://schemas.openxmlformats.org/officeDocument/2006/relationships/hyperlink" Target="https://www.linkedin.com/learning/paths/become-a-six-sigma-yellow-belt?trk=ondemandfile" TargetMode="External"/><Relationship Id="rId48" Type="http://schemas.openxmlformats.org/officeDocument/2006/relationships/hyperlink" Target="https://www.linkedin.com/learning/operative-exzellenz-grundlagen?trk=ondemandfile" TargetMode="External"/><Relationship Id="rId69" Type="http://schemas.openxmlformats.org/officeDocument/2006/relationships/hyperlink" Target="https://www.linkedin.com/learning/operational-excellence-work-out-and-kaizen-facilitator-15912440?trk=contentmappingfile" TargetMode="External"/><Relationship Id="rId113" Type="http://schemas.openxmlformats.org/officeDocument/2006/relationships/hyperlink" Target="https://www.linkedin.com/learning/lean-inventory-management?trk=ondemandfile" TargetMode="External"/><Relationship Id="rId134" Type="http://schemas.openxmlformats.org/officeDocument/2006/relationships/hyperlink" Target="https://www.linkedin.com/learning/understanding-logistics?trk=ondemandfile" TargetMode="External"/><Relationship Id="rId80" Type="http://schemas.openxmlformats.org/officeDocument/2006/relationships/hyperlink" Target="https://www.linkedin.com/learning/00-fundamentos-de-six-sigma?trk=ondemandfile" TargetMode="External"/><Relationship Id="rId155" Type="http://schemas.openxmlformats.org/officeDocument/2006/relationships/hyperlink" Target="https://www.linkedin.com/learning/ai-in-fintech-essential-training?trk=ondemandfile" TargetMode="External"/></Relationships>
</file>

<file path=xl/worksheets/_rels/sheet27.xml.rels><?xml version="1.0" encoding="UTF-8" standalone="yes"?>
<Relationships xmlns="http://schemas.openxmlformats.org/package/2006/relationships"><Relationship Id="rId117" Type="http://schemas.openxmlformats.org/officeDocument/2006/relationships/hyperlink" Target="https://www.linkedin.com/learning/00-powerpoint-2019-para-mac-esencial?trk=ondemandfile" TargetMode="External"/><Relationship Id="rId21" Type="http://schemas.openxmlformats.org/officeDocument/2006/relationships/hyperlink" Target="https://www.linkedin.com/learning/00-auftritt-weekly?trk=ondemandfile" TargetMode="External"/><Relationship Id="rId42" Type="http://schemas.openxmlformats.org/officeDocument/2006/relationships/hyperlink" Target="https://www.linkedin.com/learning/powerpoint-essential-training-office-365-microsoft-365-2?trk=contentmappingfile" TargetMode="External"/><Relationship Id="rId63" Type="http://schemas.openxmlformats.org/officeDocument/2006/relationships/hyperlink" Target="https://www.linkedin.com/learning/4bddab10-145f-3bdb-9cc3-b64313f38564?trk=ondemandfile" TargetMode="External"/><Relationship Id="rId84" Type="http://schemas.openxmlformats.org/officeDocument/2006/relationships/hyperlink" Target="https://www.linkedin.com/learning/pitching-your-ideas-strategically-17477395?trk=contentmappingfile" TargetMode="External"/><Relationship Id="rId138" Type="http://schemas.openxmlformats.org/officeDocument/2006/relationships/hyperlink" Target="https://www.linkedin.com/learning/creating-and-giving-business-presentations?trk=ondemandfile" TargetMode="External"/><Relationship Id="rId159" Type="http://schemas.openxmlformats.org/officeDocument/2006/relationships/hyperlink" Target="https://www.linkedin.com/learning/finding-your-idea-hook?trk=ondemandfile" TargetMode="External"/><Relationship Id="rId170" Type="http://schemas.openxmlformats.org/officeDocument/2006/relationships/hyperlink" Target="https://www.linkedin.com/learning/how-to-stand-out-remotely?trk=ondemandfile" TargetMode="External"/><Relationship Id="rId107" Type="http://schemas.openxmlformats.org/officeDocument/2006/relationships/hyperlink" Target="https://www.linkedin.com/learning/00-powerpoint-2016-para-mac-esencial?trk=ondemandfile" TargetMode="External"/><Relationship Id="rId11" Type="http://schemas.openxmlformats.org/officeDocument/2006/relationships/hyperlink" Target="https://www.linkedin.com/learning/aprende-powerpoint-office-365-microsoft-365?trk=contentmappingfile" TargetMode="External"/><Relationship Id="rId32" Type="http://schemas.openxmlformats.org/officeDocument/2006/relationships/hyperlink" Target="https://www.linkedin.com/learning/paths/improve-your-presentation-skills?trk=ondemandfile" TargetMode="External"/><Relationship Id="rId53" Type="http://schemas.openxmlformats.org/officeDocument/2006/relationships/hyperlink" Target="https://www.linkedin.com/learning/business-english-mastering-online-meetings-16136133?trk=contentmappingfile" TargetMode="External"/><Relationship Id="rId74" Type="http://schemas.openxmlformats.org/officeDocument/2006/relationships/hyperlink" Target="https://www.linkedin.com/learning/own-your-voice-improve-presentations-and-executive-presence?trk=ondemandfile" TargetMode="External"/><Relationship Id="rId128" Type="http://schemas.openxmlformats.org/officeDocument/2006/relationships/hyperlink" Target="https://www.linkedin.com/learning/powerpoint-visualisierung?trk=ondemandfile" TargetMode="External"/><Relationship Id="rId149" Type="http://schemas.openxmlformats.org/officeDocument/2006/relationships/hyperlink" Target="https://www.linkedin.com/learning/managing-your-anxiety-while-presenting?trk=ondemandfile" TargetMode="External"/><Relationship Id="rId5" Type="http://schemas.openxmlformats.org/officeDocument/2006/relationships/hyperlink" Target="https://www.linkedin.com/learning/besprechungen-moderieren?trk=ondemandfile" TargetMode="External"/><Relationship Id="rId95" Type="http://schemas.openxmlformats.org/officeDocument/2006/relationships/hyperlink" Target="https://www.linkedin.com/learning/00-powerpoint-2016-avanzado-shortcuts?trk=ondemandfile" TargetMode="External"/><Relationship Id="rId160" Type="http://schemas.openxmlformats.org/officeDocument/2006/relationships/hyperlink" Target="https://www.linkedin.com/learning/storytelling-fur-fuhrungskrafte?trk=ondemandfile" TargetMode="External"/><Relationship Id="rId22" Type="http://schemas.openxmlformats.org/officeDocument/2006/relationships/hyperlink" Target="https://www.linkedin.com/learning/paths/powerpoint-2016-expert-in-werden?trk=ondemandfile" TargetMode="External"/><Relationship Id="rId43" Type="http://schemas.openxmlformats.org/officeDocument/2006/relationships/hyperlink" Target="https://www.linkedin.com/learning/executive-presence-on-video-conference-calls?trk=ondemandfile" TargetMode="External"/><Relationship Id="rId64" Type="http://schemas.openxmlformats.org/officeDocument/2006/relationships/hyperlink" Target="https://www.linkedin.com/learning/overcoming-your-fear-of-public-speaking-2?trk=ondemandfile" TargetMode="External"/><Relationship Id="rId118" Type="http://schemas.openxmlformats.org/officeDocument/2006/relationships/hyperlink" Target="https://www.linkedin.com/learning/powerpoint-diagramme?trk=ondemandfile" TargetMode="External"/><Relationship Id="rId139" Type="http://schemas.openxmlformats.org/officeDocument/2006/relationships/hyperlink" Target="https://www.linkedin.com/learning/00-ueberzeugpsych?trk=ondemandfile" TargetMode="External"/><Relationship Id="rId85" Type="http://schemas.openxmlformats.org/officeDocument/2006/relationships/hyperlink" Target="https://www.linkedin.com/learning/how-to-present-and-stay-on-point-2019?trk=ondemandfile" TargetMode="External"/><Relationship Id="rId150" Type="http://schemas.openxmlformats.org/officeDocument/2006/relationships/hyperlink" Target="https://www.linkedin.com/learning/schlagfertigkeit-fur-fortgeschrittene?trk=ondemandfile" TargetMode="External"/><Relationship Id="rId12" Type="http://schemas.openxmlformats.org/officeDocument/2006/relationships/hyperlink" Target="https://www.linkedin.com/learning/paths/mejora-tus-dotes-de-presentacion-orales-en-publico?trk=ondemandfile" TargetMode="External"/><Relationship Id="rId33" Type="http://schemas.openxmlformats.org/officeDocument/2006/relationships/hyperlink" Target="https://www.linkedin.com/learning/c-mo-dise-ar-una-presentaci-n?trk=ondemandfile" TargetMode="External"/><Relationship Id="rId108" Type="http://schemas.openxmlformats.org/officeDocument/2006/relationships/hyperlink" Target="https://www.linkedin.com/learning/powerpoint-animationen-und-folienubergange?trk=ondemandfile" TargetMode="External"/><Relationship Id="rId129" Type="http://schemas.openxmlformats.org/officeDocument/2006/relationships/hyperlink" Target="https://www.linkedin.com/learning/impromptu-speaking?trk=ondemandfile" TargetMode="External"/><Relationship Id="rId54" Type="http://schemas.openxmlformats.org/officeDocument/2006/relationships/hyperlink" Target="https://www.linkedin.com/learning/learning-powerpoint-2019?trk=ondemandfile" TargetMode="External"/><Relationship Id="rId70" Type="http://schemas.openxmlformats.org/officeDocument/2006/relationships/hyperlink" Target="https://www.linkedin.com/learning/00-fundamentos-de-la-curacion-de-contenidos?trk=ondemandfile" TargetMode="External"/><Relationship Id="rId75" Type="http://schemas.openxmlformats.org/officeDocument/2006/relationships/hyperlink" Target="https://www.linkedin.com/learning/00-fundamentos-de-las-presentaciones-profesionales?trk=ondemandfile" TargetMode="External"/><Relationship Id="rId91" Type="http://schemas.openxmlformats.org/officeDocument/2006/relationships/hyperlink" Target="https://www.linkedin.com/learning/herramientas-para-presentaciones-online-trucos?trk=ondemandfile" TargetMode="External"/><Relationship Id="rId96" Type="http://schemas.openxmlformats.org/officeDocument/2006/relationships/hyperlink" Target="https://www.linkedin.com/learning/powerpoint-365-grundkurs?trk=ondemandfile" TargetMode="External"/><Relationship Id="rId140" Type="http://schemas.openxmlformats.org/officeDocument/2006/relationships/hyperlink" Target="https://www.linkedin.com/learning/making-great-sales-presentations?trk=ondemandfile" TargetMode="External"/><Relationship Id="rId145" Type="http://schemas.openxmlformats.org/officeDocument/2006/relationships/hyperlink" Target="https://www.linkedin.com/learning/00-vortrag-form?trk=ondemandfile" TargetMode="External"/><Relationship Id="rId161" Type="http://schemas.openxmlformats.org/officeDocument/2006/relationships/hyperlink" Target="https://www.linkedin.com/learning/presenting-to-senior-executives?trk=ondemandfile" TargetMode="External"/><Relationship Id="rId166" Type="http://schemas.openxmlformats.org/officeDocument/2006/relationships/hyperlink" Target="https://www.linkedin.com/learning/powerpoint-design-savvy?trk=ondemandfile" TargetMode="External"/><Relationship Id="rId1" Type="http://schemas.openxmlformats.org/officeDocument/2006/relationships/hyperlink" Target="https://www.linkedin.com/learning/communication-tips-for-pitching-to-investors?trk=ondemandfile" TargetMode="External"/><Relationship Id="rId6" Type="http://schemas.openxmlformats.org/officeDocument/2006/relationships/hyperlink" Target="https://www.linkedin.com/learning/paths/besser-prasentieren?trk=ondemandfile" TargetMode="External"/><Relationship Id="rId23" Type="http://schemas.openxmlformats.org/officeDocument/2006/relationships/hyperlink" Target="https://www.linkedin.com/learning/powerpoint-2016-essential-training-3?trk=ondemandfile" TargetMode="External"/><Relationship Id="rId28" Type="http://schemas.openxmlformats.org/officeDocument/2006/relationships/hyperlink" Target="https://www.linkedin.com/learning/data-science-lernen-storytelling-mit-daten?trk=ondemandfile" TargetMode="External"/><Relationship Id="rId49" Type="http://schemas.openxmlformats.org/officeDocument/2006/relationships/hyperlink" Target="https://www.linkedin.com/learning/establishing-credibility-as-a-speaker?trk=ondemandfile" TargetMode="External"/><Relationship Id="rId114" Type="http://schemas.openxmlformats.org/officeDocument/2006/relationships/hyperlink" Target="https://www.linkedin.com/learning/powerpoint-daten-aus-excel-bernehmen?trk=ondemandfile" TargetMode="External"/><Relationship Id="rId119" Type="http://schemas.openxmlformats.org/officeDocument/2006/relationships/hyperlink" Target="https://www.linkedin.com/learning/engaging-your-virtual-audience?trk=ondemandfile" TargetMode="External"/><Relationship Id="rId44" Type="http://schemas.openxmlformats.org/officeDocument/2006/relationships/hyperlink" Target="https://www.linkedin.com/learning/paths/visual-communication-for-business-professionals?trk=ondemandfile" TargetMode="External"/><Relationship Id="rId60" Type="http://schemas.openxmlformats.org/officeDocument/2006/relationships/hyperlink" Target="https://www.linkedin.com/learning/00-communicating-with-confidence?trk=ondemandfile" TargetMode="External"/><Relationship Id="rId65" Type="http://schemas.openxmlformats.org/officeDocument/2006/relationships/hyperlink" Target="https://www.linkedin.com/learning/el-arte-de-presentar-en-publico-presencial-online-e-hibrido?trk=contentmappingfile" TargetMode="External"/><Relationship Id="rId81" Type="http://schemas.openxmlformats.org/officeDocument/2006/relationships/hyperlink" Target="https://www.linkedin.com/learning/gestiona-tu-entrevista-de-trabajo-en-videoconferencia?trk=ondemandfile" TargetMode="External"/><Relationship Id="rId86" Type="http://schemas.openxmlformats.org/officeDocument/2006/relationships/hyperlink" Target="https://www.linkedin.com/learning/google-presentaciones-esencial-2018?trk=contentmappingfile" TargetMode="External"/><Relationship Id="rId130" Type="http://schemas.openxmlformats.org/officeDocument/2006/relationships/hyperlink" Target="https://www.linkedin.com/learning/powerpoint-trucos-office-365-microsoft-365?trk=contentmappingfile" TargetMode="External"/><Relationship Id="rId135" Type="http://schemas.openxmlformats.org/officeDocument/2006/relationships/hyperlink" Target="https://www.linkedin.com/learning/data-driven-presentations-with-excel-and-powerpoint-365-2019?trk=ondemandfile" TargetMode="External"/><Relationship Id="rId151" Type="http://schemas.openxmlformats.org/officeDocument/2006/relationships/hyperlink" Target="https://www.linkedin.com/learning/connecting-with-your-audience-using-video?trk=ondemandfile" TargetMode="External"/><Relationship Id="rId156" Type="http://schemas.openxmlformats.org/officeDocument/2006/relationships/hyperlink" Target="https://www.linkedin.com/learning/00-spannung?trk=ondemandfile" TargetMode="External"/><Relationship Id="rId13" Type="http://schemas.openxmlformats.org/officeDocument/2006/relationships/hyperlink" Target="https://www.linkedin.com/learning/bessere-foliengestaltung-in-powerpoint-tipps-und-tricks?trk=contentmappingfile" TargetMode="External"/><Relationship Id="rId18" Type="http://schemas.openxmlformats.org/officeDocument/2006/relationships/hyperlink" Target="https://www.linkedin.com/learning/paths/develop-your-presentation-skills?trk=ondemandfile" TargetMode="External"/><Relationship Id="rId39" Type="http://schemas.openxmlformats.org/officeDocument/2006/relationships/hyperlink" Target="https://www.linkedin.com/learning/como-liderar-reuniones-individuales-productivas?trk=ondemandfile" TargetMode="External"/><Relationship Id="rId109" Type="http://schemas.openxmlformats.org/officeDocument/2006/relationships/hyperlink" Target="https://www.linkedin.com/learning/learning-lucidchart?trk=ondemandfile" TargetMode="External"/><Relationship Id="rId34" Type="http://schemas.openxmlformats.org/officeDocument/2006/relationships/hyperlink" Target="https://www.linkedin.com/learning/die-7-schlimmsten-kommunikationsfehler?trk=contentmappingfile" TargetMode="External"/><Relationship Id="rId50" Type="http://schemas.openxmlformats.org/officeDocument/2006/relationships/hyperlink" Target="https://www.linkedin.com/learning/como-prepararse-para-presentar-en-publico?trk=contentmappingfile" TargetMode="External"/><Relationship Id="rId55" Type="http://schemas.openxmlformats.org/officeDocument/2006/relationships/hyperlink" Target="https://www.linkedin.com/learning/c-mo-presentar-y-enganchar-a-tu-p-blico?trk=ondemandfile" TargetMode="External"/><Relationship Id="rId76" Type="http://schemas.openxmlformats.org/officeDocument/2006/relationships/hyperlink" Target="https://www.linkedin.com/learning/korpersprache-fur-frauen?trk=ondemandfile" TargetMode="External"/><Relationship Id="rId97" Type="http://schemas.openxmlformats.org/officeDocument/2006/relationships/hyperlink" Target="https://www.linkedin.com/learning/executive-presence-on-video-conference-calls-17489051?trk=contentmappingfile" TargetMode="External"/><Relationship Id="rId104" Type="http://schemas.openxmlformats.org/officeDocument/2006/relationships/hyperlink" Target="https://www.linkedin.com/learning/powerpoint-3d-grafiken?trk=ondemandfile" TargetMode="External"/><Relationship Id="rId120" Type="http://schemas.openxmlformats.org/officeDocument/2006/relationships/hyperlink" Target="https://www.linkedin.com/learning/powerpoint-creer-des-graphiques-pour-les-reseaux-sociaux-microsoft-365-office-365?trk=contentmappingfile" TargetMode="External"/><Relationship Id="rId125" Type="http://schemas.openxmlformats.org/officeDocument/2006/relationships/hyperlink" Target="https://www.linkedin.com/learning/powerpoint-tipps-tricks-techniken-365-2019?trk=ondemandfile" TargetMode="External"/><Relationship Id="rId141" Type="http://schemas.openxmlformats.org/officeDocument/2006/relationships/hyperlink" Target="https://www.linkedin.com/learning/rede-vortrag-prasentation-die-buhnen-basics?trk=ondemandfile" TargetMode="External"/><Relationship Id="rId146" Type="http://schemas.openxmlformats.org/officeDocument/2006/relationships/hyperlink" Target="https://www.linkedin.com/learning/workshop-facilitation?trk=ondemandfile" TargetMode="External"/><Relationship Id="rId167" Type="http://schemas.openxmlformats.org/officeDocument/2006/relationships/hyperlink" Target="https://www.linkedin.com/learning/shane-snow-on-storytelling?trk=ondemandfile" TargetMode="External"/><Relationship Id="rId7" Type="http://schemas.openxmlformats.org/officeDocument/2006/relationships/hyperlink" Target="https://www.linkedin.com/learning/powerpoint-2016?trk=ondemandfile" TargetMode="External"/><Relationship Id="rId71" Type="http://schemas.openxmlformats.org/officeDocument/2006/relationships/hyperlink" Target="https://www.linkedin.com/learning/kommunikation-mit-empathie?trk=contentmappingfile" TargetMode="External"/><Relationship Id="rId92" Type="http://schemas.openxmlformats.org/officeDocument/2006/relationships/hyperlink" Target="https://www.linkedin.com/learning/powerpoint-fur-das-web-lernen-office-365-microsoft-365?trk=ondemandfile" TargetMode="External"/><Relationship Id="rId162" Type="http://schemas.openxmlformats.org/officeDocument/2006/relationships/hyperlink" Target="https://www.linkedin.com/learning/webinare-gestalten-und-durchfuhren?trk=ondemandfile" TargetMode="External"/><Relationship Id="rId2" Type="http://schemas.openxmlformats.org/officeDocument/2006/relationships/hyperlink" Target="https://www.linkedin.com/learning/paths/create-a-successful-pitch-for-investors?trk=ondemandfile" TargetMode="External"/><Relationship Id="rId29" Type="http://schemas.openxmlformats.org/officeDocument/2006/relationships/hyperlink" Target="https://www.linkedin.com/learning/powerpoint-2019-essential-training-the-basics-2?trk=contentmappingfile" TargetMode="External"/><Relationship Id="rId24" Type="http://schemas.openxmlformats.org/officeDocument/2006/relationships/hyperlink" Target="https://www.linkedin.com/learning/86096956-705e-3ba6-94e0-77d08363a1a0?trk=ondemandfile" TargetMode="External"/><Relationship Id="rId40" Type="http://schemas.openxmlformats.org/officeDocument/2006/relationships/hyperlink" Target="https://www.linkedin.com/learning/die-erfolgreiche-verkaufsprasentation?trk=ondemandfile" TargetMode="External"/><Relationship Id="rId45" Type="http://schemas.openxmlformats.org/officeDocument/2006/relationships/hyperlink" Target="https://www.linkedin.com/learning/como-liderar-reuniones-productivas?trk=ondemandfile" TargetMode="External"/><Relationship Id="rId66" Type="http://schemas.openxmlformats.org/officeDocument/2006/relationships/hyperlink" Target="https://www.linkedin.com/learning/in-medieninterviews-uberzeugen?trk=ondemandfile" TargetMode="External"/><Relationship Id="rId87" Type="http://schemas.openxmlformats.org/officeDocument/2006/relationships/hyperlink" Target="https://www.linkedin.com/learning/mehr-ausstrahlung-mit-dem-charisma-code?trk=ondemandfile" TargetMode="External"/><Relationship Id="rId110" Type="http://schemas.openxmlformats.org/officeDocument/2006/relationships/hyperlink" Target="https://www.linkedin.com/learning/00-fundamentos-de-la-gestion-de-proyectos-etica-2?trk=ondemandfile" TargetMode="External"/><Relationship Id="rId115" Type="http://schemas.openxmlformats.org/officeDocument/2006/relationships/hyperlink" Target="https://www.linkedin.com/learning/business-analysis-essential-facilitation-and-workshop-skills?trk=ondemandfile" TargetMode="External"/><Relationship Id="rId131" Type="http://schemas.openxmlformats.org/officeDocument/2006/relationships/hyperlink" Target="https://www.linkedin.com/learning/powerpoint-tipps-fur-eilige?trk=ondemandfile" TargetMode="External"/><Relationship Id="rId136" Type="http://schemas.openxmlformats.org/officeDocument/2006/relationships/hyperlink" Target="https://www.linkedin.com/learning/reuniones-eficaces?trk=contentmappingfile" TargetMode="External"/><Relationship Id="rId157" Type="http://schemas.openxmlformats.org/officeDocument/2006/relationships/hyperlink" Target="https://www.linkedin.com/learning/17-pr-mistakes-to-avoid?trk=ondemandfile" TargetMode="External"/><Relationship Id="rId61" Type="http://schemas.openxmlformats.org/officeDocument/2006/relationships/hyperlink" Target="https://www.linkedin.com/learning/datenviz?trk=ondemandfile" TargetMode="External"/><Relationship Id="rId82" Type="http://schemas.openxmlformats.org/officeDocument/2006/relationships/hyperlink" Target="https://www.linkedin.com/learning/00-korpersprache?trk=ondemandfile" TargetMode="External"/><Relationship Id="rId152" Type="http://schemas.openxmlformats.org/officeDocument/2006/relationships/hyperlink" Target="https://www.linkedin.com/learning/schwierige-sachverhalte-einfach-vermitteln?trk=contentmappingfile" TargetMode="External"/><Relationship Id="rId19" Type="http://schemas.openxmlformats.org/officeDocument/2006/relationships/hyperlink" Target="https://www.linkedin.com/learning/00-aprende-powerpoint-2016?trk=ondemandfile" TargetMode="External"/><Relationship Id="rId14" Type="http://schemas.openxmlformats.org/officeDocument/2006/relationships/hyperlink" Target="https://www.linkedin.com/learning/paths/ihr-gestalterisches-auge-schaerfen?trk=ondemandfile" TargetMode="External"/><Relationship Id="rId30" Type="http://schemas.openxmlformats.org/officeDocument/2006/relationships/hyperlink" Target="https://www.linkedin.com/learning/4af0b126-85d8-32a0-9225-43a79661e3a8-2?trk=ondemandfile" TargetMode="External"/><Relationship Id="rId35" Type="http://schemas.openxmlformats.org/officeDocument/2006/relationships/hyperlink" Target="https://www.linkedin.com/learning/powerpoint-2013-2?trk=ondemandfile" TargetMode="External"/><Relationship Id="rId56" Type="http://schemas.openxmlformats.org/officeDocument/2006/relationships/hyperlink" Target="https://www.linkedin.com/learning/das-einmaleins-des-guten-designs-pr-sentationen?trk=ondemandfile" TargetMode="External"/><Relationship Id="rId77" Type="http://schemas.openxmlformats.org/officeDocument/2006/relationships/hyperlink" Target="https://www.linkedin.com/learning/how-to-present-and-stay-on-point-3?trk=ondemandfile" TargetMode="External"/><Relationship Id="rId100" Type="http://schemas.openxmlformats.org/officeDocument/2006/relationships/hyperlink" Target="https://www.linkedin.com/learning/office-365-pp-lernen?trk=ondemandfile" TargetMode="External"/><Relationship Id="rId105" Type="http://schemas.openxmlformats.org/officeDocument/2006/relationships/hyperlink" Target="https://www.linkedin.com/learning/leading-productive-meetings-4?trk=ondemandfile" TargetMode="External"/><Relationship Id="rId126" Type="http://schemas.openxmlformats.org/officeDocument/2006/relationships/hyperlink" Target="https://www.linkedin.com/learning/powerpoint-2019-essential-training?trk=ondemandfile" TargetMode="External"/><Relationship Id="rId147" Type="http://schemas.openxmlformats.org/officeDocument/2006/relationships/hyperlink" Target="https://www.linkedin.com/learning/travailler-sa-repartie?trk=contentmappingfile" TargetMode="External"/><Relationship Id="rId168" Type="http://schemas.openxmlformats.org/officeDocument/2006/relationships/hyperlink" Target="https://www.linkedin.com/learning/delivery-tips-for-speaking-in-public?trk=ondemandfile" TargetMode="External"/><Relationship Id="rId8" Type="http://schemas.openxmlformats.org/officeDocument/2006/relationships/hyperlink" Target="https://www.linkedin.com/learning/powerpoint-2013-essential-training-3?trk=ondemandfile" TargetMode="External"/><Relationship Id="rId51" Type="http://schemas.openxmlformats.org/officeDocument/2006/relationships/hyperlink" Target="https://www.linkedin.com/learning/00-rhetorik?trk=ondemandfile" TargetMode="External"/><Relationship Id="rId72" Type="http://schemas.openxmlformats.org/officeDocument/2006/relationships/hyperlink" Target="https://www.linkedin.com/learning/communicating-with-confidence-2?trk=ondemandfile" TargetMode="External"/><Relationship Id="rId93" Type="http://schemas.openxmlformats.org/officeDocument/2006/relationships/hyperlink" Target="https://www.linkedin.com/learning/managing-meetings-3?trk=ondemandfile" TargetMode="External"/><Relationship Id="rId98" Type="http://schemas.openxmlformats.org/officeDocument/2006/relationships/hyperlink" Target="https://www.linkedin.com/learning/speaking-confidently-and-effectively?trk=ondemandfile" TargetMode="External"/><Relationship Id="rId121" Type="http://schemas.openxmlformats.org/officeDocument/2006/relationships/hyperlink" Target="https://www.linkedin.com/learning/powerpoint-esencial-office-365-microsoft-365?trk=contentmappingfile" TargetMode="External"/><Relationship Id="rId142" Type="http://schemas.openxmlformats.org/officeDocument/2006/relationships/hyperlink" Target="https://www.linkedin.com/learning/meeting-facilitation?trk=ondemandfile" TargetMode="External"/><Relationship Id="rId163" Type="http://schemas.openxmlformats.org/officeDocument/2006/relationships/hyperlink" Target="https://www.linkedin.com/learning/how-to-own-a-room?trk=ondemandfile" TargetMode="External"/><Relationship Id="rId3" Type="http://schemas.openxmlformats.org/officeDocument/2006/relationships/hyperlink" Target="https://www.linkedin.com/learning/agile-en-accion-impulsar-reuniones-agiles-y-productivas?trk=ondemandfile" TargetMode="External"/><Relationship Id="rId25" Type="http://schemas.openxmlformats.org/officeDocument/2006/relationships/hyperlink" Target="https://www.linkedin.com/learning/leading-productive-meetings-2018?trk=ondemandfile" TargetMode="External"/><Relationship Id="rId46" Type="http://schemas.openxmlformats.org/officeDocument/2006/relationships/hyperlink" Target="https://www.linkedin.com/learning/eloquenz-fur-fuhrungskrafte?trk=ondemandfile" TargetMode="External"/><Relationship Id="rId67" Type="http://schemas.openxmlformats.org/officeDocument/2006/relationships/hyperlink" Target="https://www.linkedin.com/learning/improving-your-listening-skills-14598134?trk=contentmappingfile" TargetMode="External"/><Relationship Id="rId116" Type="http://schemas.openxmlformats.org/officeDocument/2006/relationships/hyperlink" Target="https://www.linkedin.com/learning/powerpoint-astuces-rapides-microsoft-365-office-365?trk=contentmappingfile" TargetMode="External"/><Relationship Id="rId137" Type="http://schemas.openxmlformats.org/officeDocument/2006/relationships/hyperlink" Target="https://www.linkedin.com/learning/how-to-present-and-stay-on-point-2?trk=ondemandfile" TargetMode="External"/><Relationship Id="rId158" Type="http://schemas.openxmlformats.org/officeDocument/2006/relationships/hyperlink" Target="https://www.linkedin.com/learning/sprechen-wie-ein-profi?trk=ondemandfile" TargetMode="External"/><Relationship Id="rId20" Type="http://schemas.openxmlformats.org/officeDocument/2006/relationships/hyperlink" Target="https://www.linkedin.com/learning/paths/mejora-la-comunicacion-en-el-ambito-empresarial?trk=ondemandfile" TargetMode="External"/><Relationship Id="rId41" Type="http://schemas.openxmlformats.org/officeDocument/2006/relationships/hyperlink" Target="https://www.linkedin.com/learning/microsoft-365-powerpoint-essential-training-the-basics?trk=contentmappingfile" TargetMode="External"/><Relationship Id="rId62" Type="http://schemas.openxmlformats.org/officeDocument/2006/relationships/hyperlink" Target="https://www.linkedin.com/learning/managing-meetings-2?trk=ondemandfile" TargetMode="External"/><Relationship Id="rId83" Type="http://schemas.openxmlformats.org/officeDocument/2006/relationships/hyperlink" Target="https://www.linkedin.com/learning/creating-and-giving-business-presentations-3?trk=ondemandfile" TargetMode="External"/><Relationship Id="rId88" Type="http://schemas.openxmlformats.org/officeDocument/2006/relationships/hyperlink" Target="https://www.linkedin.com/learning/getting-your-ideas-approved-2?trk=ondemandfile" TargetMode="External"/><Relationship Id="rId111" Type="http://schemas.openxmlformats.org/officeDocument/2006/relationships/hyperlink" Target="https://www.linkedin.com/learning/powerpoint-audio-und-video?trk=ondemandfile" TargetMode="External"/><Relationship Id="rId132" Type="http://schemas.openxmlformats.org/officeDocument/2006/relationships/hyperlink" Target="https://www.linkedin.com/learning/powerpoint-8-easy-ways-to-make-your-presentations-look-better?trk=ondemandfile" TargetMode="External"/><Relationship Id="rId153" Type="http://schemas.openxmlformats.org/officeDocument/2006/relationships/hyperlink" Target="https://www.linkedin.com/learning/how-to-create-and-run-a-brilliant-remote-workshop?trk=ondemandfile" TargetMode="External"/><Relationship Id="rId15" Type="http://schemas.openxmlformats.org/officeDocument/2006/relationships/hyperlink" Target="https://www.linkedin.com/learning/learning-powerpoint-2016?trk=ondemandfile" TargetMode="External"/><Relationship Id="rId36" Type="http://schemas.openxmlformats.org/officeDocument/2006/relationships/hyperlink" Target="https://www.linkedin.com/learning/powerpoint-2019-essential-training-2?trk=ondemandfile" TargetMode="External"/><Relationship Id="rId57" Type="http://schemas.openxmlformats.org/officeDocument/2006/relationships/hyperlink" Target="https://www.linkedin.com/learning/business-english-foundations-making-presentations?trk=contentmappingfile" TargetMode="External"/><Relationship Id="rId106" Type="http://schemas.openxmlformats.org/officeDocument/2006/relationships/hyperlink" Target="https://www.linkedin.com/learning/smart-video-production-with-your-webcam?trk=ondemandfile" TargetMode="External"/><Relationship Id="rId127" Type="http://schemas.openxmlformats.org/officeDocument/2006/relationships/hyperlink" Target="https://www.linkedin.com/learning/powerpoint-animaciones?trk=ondemandfile" TargetMode="External"/><Relationship Id="rId10" Type="http://schemas.openxmlformats.org/officeDocument/2006/relationships/hyperlink" Target="https://www.linkedin.com/learning/paths/create-and-deliver-engaging-presentations?trk=ondemandfile" TargetMode="External"/><Relationship Id="rId31" Type="http://schemas.openxmlformats.org/officeDocument/2006/relationships/hyperlink" Target="https://www.linkedin.com/learning/facilitation-skills-for-managers-and-leaders?trk=ondemandfile" TargetMode="External"/><Relationship Id="rId52" Type="http://schemas.openxmlformats.org/officeDocument/2006/relationships/hyperlink" Target="https://www.linkedin.com/learning/learning-to-be-assertive-14827737?trk=contentmappingfile" TargetMode="External"/><Relationship Id="rId73" Type="http://schemas.openxmlformats.org/officeDocument/2006/relationships/hyperlink" Target="https://www.linkedin.com/learning/digital-body-language-9622362?trk=contentmappingfile" TargetMode="External"/><Relationship Id="rId78" Type="http://schemas.openxmlformats.org/officeDocument/2006/relationships/hyperlink" Target="https://www.linkedin.com/learning/data-visualization-storytelling-2?trk=ondemandfile" TargetMode="External"/><Relationship Id="rId94" Type="http://schemas.openxmlformats.org/officeDocument/2006/relationships/hyperlink" Target="https://www.linkedin.com/learning/how-to-turn-your-entrepreneur-journey-into-a-successful-keynote-talk?trk=ondemandfile" TargetMode="External"/><Relationship Id="rId99" Type="http://schemas.openxmlformats.org/officeDocument/2006/relationships/hyperlink" Target="https://www.linkedin.com/learning/25-trucos-b-sicos-para-crear-las-mejores-presentaciones-en-powerpoint?trk=ondemandfile" TargetMode="External"/><Relationship Id="rId101" Type="http://schemas.openxmlformats.org/officeDocument/2006/relationships/hyperlink" Target="https://www.linkedin.com/learning/interviewing-techniques?trk=ondemandfile" TargetMode="External"/><Relationship Id="rId122" Type="http://schemas.openxmlformats.org/officeDocument/2006/relationships/hyperlink" Target="https://www.linkedin.com/learning/powerpoint-tabellen?trk=ondemandfile" TargetMode="External"/><Relationship Id="rId143" Type="http://schemas.openxmlformats.org/officeDocument/2006/relationships/hyperlink" Target="https://www.linkedin.com/learning/00-vortraginhalt?trk=ondemandfile" TargetMode="External"/><Relationship Id="rId148" Type="http://schemas.openxmlformats.org/officeDocument/2006/relationships/hyperlink" Target="https://www.linkedin.com/learning/rhetorik-mit-argumenten-uberzeugen?trk=ondemandfile" TargetMode="External"/><Relationship Id="rId164" Type="http://schemas.openxmlformats.org/officeDocument/2006/relationships/hyperlink" Target="https://www.linkedin.com/learning/zahlen-spannend-prasentieren?trk=contentmappingfile" TargetMode="External"/><Relationship Id="rId169" Type="http://schemas.openxmlformats.org/officeDocument/2006/relationships/hyperlink" Target="https://www.linkedin.com/learning/presentation-tips-weekly?trk=ondemandfile" TargetMode="External"/><Relationship Id="rId4" Type="http://schemas.openxmlformats.org/officeDocument/2006/relationships/hyperlink" Target="https://www.linkedin.com/learning/paths/mejora-los-disenos-de-tus-presentaciones?trk=ondemandfile" TargetMode="External"/><Relationship Id="rId9" Type="http://schemas.openxmlformats.org/officeDocument/2006/relationships/hyperlink" Target="https://www.linkedin.com/learning/common-meeting-problems?trk=ondemandfile" TargetMode="External"/><Relationship Id="rId26" Type="http://schemas.openxmlformats.org/officeDocument/2006/relationships/hyperlink" Target="https://www.linkedin.com/learning/paths/getting-started-with-microsoft-powerpoint?trk=ondemandfile" TargetMode="External"/><Relationship Id="rId47" Type="http://schemas.openxmlformats.org/officeDocument/2006/relationships/hyperlink" Target="https://www.linkedin.com/learning/public-speaking-foundations-3?trk=ondemandfile" TargetMode="External"/><Relationship Id="rId68" Type="http://schemas.openxmlformats.org/officeDocument/2006/relationships/hyperlink" Target="https://www.linkedin.com/learning/agile-at-work-driving-productive-agile-meetings-3?trk=ondemandfile" TargetMode="External"/><Relationship Id="rId89" Type="http://schemas.openxmlformats.org/officeDocument/2006/relationships/hyperlink" Target="https://www.linkedin.com/learning/creating-and-giving-business-presentations-2?trk=ondemandfile" TargetMode="External"/><Relationship Id="rId112" Type="http://schemas.openxmlformats.org/officeDocument/2006/relationships/hyperlink" Target="https://www.linkedin.com/learning/producing-screencast-videos-on-a-pc?trk=ondemandfile" TargetMode="External"/><Relationship Id="rId133" Type="http://schemas.openxmlformats.org/officeDocument/2006/relationships/hyperlink" Target="https://www.linkedin.com/learning/presentaciones-efectivas-con-el-ipad?trk=ondemandfile" TargetMode="External"/><Relationship Id="rId154" Type="http://schemas.openxmlformats.org/officeDocument/2006/relationships/hyperlink" Target="https://www.linkedin.com/learning/souveran-auftreten-und-uberzeugend-kommunizieren?trk=contentmappingfile" TargetMode="External"/><Relationship Id="rId16" Type="http://schemas.openxmlformats.org/officeDocument/2006/relationships/hyperlink" Target="https://www.linkedin.com/learning/4af0b126-85d8-32a0-9225-43a79661e3a8?trk=ondemandfile" TargetMode="External"/><Relationship Id="rId37" Type="http://schemas.openxmlformats.org/officeDocument/2006/relationships/hyperlink" Target="https://www.linkedin.com/learning/graphic-facilitation-for-productive-team-meetings?trk=ondemandfile" TargetMode="External"/><Relationship Id="rId58" Type="http://schemas.openxmlformats.org/officeDocument/2006/relationships/hyperlink" Target="https://www.linkedin.com/learning/how-to-present-and-stay-on-point-4?trk=ondemandfile" TargetMode="External"/><Relationship Id="rId79" Type="http://schemas.openxmlformats.org/officeDocument/2006/relationships/hyperlink" Target="https://www.linkedin.com/learning/public-speaking-energise-and-engage-your-audience?trk=ondemandfile" TargetMode="External"/><Relationship Id="rId102" Type="http://schemas.openxmlformats.org/officeDocument/2006/relationships/hyperlink" Target="https://www.linkedin.com/learning/boosting-your-confidence-public-speaking-and-performance?trk=ondemandfile" TargetMode="External"/><Relationship Id="rId123" Type="http://schemas.openxmlformats.org/officeDocument/2006/relationships/hyperlink" Target="https://www.linkedin.com/learning/present-a-techie-s-guide-to-public-speaking?trk=ondemandfile" TargetMode="External"/><Relationship Id="rId144" Type="http://schemas.openxmlformats.org/officeDocument/2006/relationships/hyperlink" Target="https://www.linkedin.com/learning/preparing-for-successful-communication?trk=ondemandfile" TargetMode="External"/><Relationship Id="rId90" Type="http://schemas.openxmlformats.org/officeDocument/2006/relationships/hyperlink" Target="https://www.linkedin.com/learning/how-to-project-vocal-confidence?trk=ondemandfile" TargetMode="External"/><Relationship Id="rId165" Type="http://schemas.openxmlformats.org/officeDocument/2006/relationships/hyperlink" Target="https://www.linkedin.com/learning/master-confident-presentations?trk=ondemandfile" TargetMode="External"/><Relationship Id="rId27" Type="http://schemas.openxmlformats.org/officeDocument/2006/relationships/hyperlink" Target="https://www.linkedin.com/learning/como-desarrollar-tu-elevator-pitch?trk=ondemandfile" TargetMode="External"/><Relationship Id="rId48" Type="http://schemas.openxmlformats.org/officeDocument/2006/relationships/hyperlink" Target="https://www.linkedin.com/learning/public-speaking-foundations-4?trk=ondemandfile" TargetMode="External"/><Relationship Id="rId69" Type="http://schemas.openxmlformats.org/officeDocument/2006/relationships/hyperlink" Target="https://www.linkedin.com/learning/public-speaking-foundations-2?trk=ondemandfile" TargetMode="External"/><Relationship Id="rId113" Type="http://schemas.openxmlformats.org/officeDocument/2006/relationships/hyperlink" Target="https://www.linkedin.com/learning/00-powerpoint-2019-esencial?trk=ondemandfile" TargetMode="External"/><Relationship Id="rId134" Type="http://schemas.openxmlformats.org/officeDocument/2006/relationships/hyperlink" Target="https://www.linkedin.com/learning/fragen-in-prasentationen?trk=ondemandfile" TargetMode="External"/><Relationship Id="rId80" Type="http://schemas.openxmlformats.org/officeDocument/2006/relationships/hyperlink" Target="https://www.linkedin.com/learning/l-essentiel-de-powerpoint-microsoft-365-office-365?trk=contentmappingfile" TargetMode="External"/><Relationship Id="rId155" Type="http://schemas.openxmlformats.org/officeDocument/2006/relationships/hyperlink" Target="https://www.linkedin.com/learning/communicating-with-confidence?trk=ondemandfile" TargetMode="External"/><Relationship Id="rId17" Type="http://schemas.openxmlformats.org/officeDocument/2006/relationships/hyperlink" Target="https://www.linkedin.com/learning/creating-a-meeting-agenda?trk=ondemandfile" TargetMode="External"/><Relationship Id="rId38" Type="http://schemas.openxmlformats.org/officeDocument/2006/relationships/hyperlink" Target="https://www.linkedin.com/learning/paths/master-microsoft-powerpoint?trk=ondemandfile" TargetMode="External"/><Relationship Id="rId59" Type="http://schemas.openxmlformats.org/officeDocument/2006/relationships/hyperlink" Target="https://www.linkedin.com/learning/managing-meetings?trk=ondemandfile" TargetMode="External"/><Relationship Id="rId103" Type="http://schemas.openxmlformats.org/officeDocument/2006/relationships/hyperlink" Target="https://www.linkedin.com/learning/powerpoint-2016-b-sico?trk=ondemandfile" TargetMode="External"/><Relationship Id="rId124" Type="http://schemas.openxmlformats.org/officeDocument/2006/relationships/hyperlink" Target="https://www.linkedin.com/learning/powerpoint-para-principiantes-preparar-una-presentacion-365-2019?trk=contentmappingfile" TargetMode="External"/></Relationships>
</file>

<file path=xl/worksheets/_rels/sheet28.xml.rels><?xml version="1.0" encoding="UTF-8" standalone="yes"?>
<Relationships xmlns="http://schemas.openxmlformats.org/package/2006/relationships"><Relationship Id="rId117" Type="http://schemas.openxmlformats.org/officeDocument/2006/relationships/hyperlink" Target="https://www.linkedin.com/learning/project-management-preventing-scope-creep-2?trk=ondemandfile" TargetMode="External"/><Relationship Id="rId21" Type="http://schemas.openxmlformats.org/officeDocument/2006/relationships/hyperlink" Target="https://www.linkedin.com/learning/00-asana?trk=ondemandfile" TargetMode="External"/><Relationship Id="rId63" Type="http://schemas.openxmlformats.org/officeDocument/2006/relationships/hyperlink" Target="https://www.linkedin.com/learning/managing-and-working-with-a-technical-team-for-nontechnical-professionals?trk=ondemandfile" TargetMode="External"/><Relationship Id="rId159" Type="http://schemas.openxmlformats.org/officeDocument/2006/relationships/hyperlink" Target="https://www.linkedin.com/learning/implementing-lean-a-case-study?trk=ondemandfile" TargetMode="External"/><Relationship Id="rId170" Type="http://schemas.openxmlformats.org/officeDocument/2006/relationships/hyperlink" Target="https://www.linkedin.com/learning/fundamentos-de-lean-six-sigma?trk=ondemandfile" TargetMode="External"/><Relationship Id="rId226" Type="http://schemas.openxmlformats.org/officeDocument/2006/relationships/hyperlink" Target="https://www.linkedin.com/learning/scrum-advanced-3?trk=ondemandfile" TargetMode="External"/><Relationship Id="rId268" Type="http://schemas.openxmlformats.org/officeDocument/2006/relationships/hyperlink" Target="https://www.linkedin.com/learning/how-to-fix-bad-agile?trk=ondemandfile" TargetMode="External"/><Relationship Id="rId32" Type="http://schemas.openxmlformats.org/officeDocument/2006/relationships/hyperlink" Target="https://www.linkedin.com/learning/agil-arbeiten-mit-user-stories-planen?trk=ondemandfile" TargetMode="External"/><Relationship Id="rId74" Type="http://schemas.openxmlformats.org/officeDocument/2006/relationships/hyperlink" Target="https://www.linkedin.com/learning/project-management-simplified?trk=contentmappingfile" TargetMode="External"/><Relationship Id="rId128" Type="http://schemas.openxmlformats.org/officeDocument/2006/relationships/hyperlink" Target="https://www.linkedin.com/learning/project-management-foundations-schedules-3?trk=ondemandfile" TargetMode="External"/><Relationship Id="rId5" Type="http://schemas.openxmlformats.org/officeDocument/2006/relationships/hyperlink" Target="https://www.linkedin.com/learning/agil-arbeiten-agile-meetings-produktiv-durchfuhren?trk=ondemandfile" TargetMode="External"/><Relationship Id="rId181" Type="http://schemas.openxmlformats.org/officeDocument/2006/relationships/hyperlink" Target="https://www.linkedin.com/learning/00-six-sigma-green-belt?trk=ondemandfile" TargetMode="External"/><Relationship Id="rId237" Type="http://schemas.openxmlformats.org/officeDocument/2006/relationships/hyperlink" Target="https://www.linkedin.com/learning/what-is-scrum?trk=ondemandfile" TargetMode="External"/><Relationship Id="rId258" Type="http://schemas.openxmlformats.org/officeDocument/2006/relationships/hyperlink" Target="https://www.linkedin.com/learning/how-to-build-a-product-roadmap?trk=ondemandfile" TargetMode="External"/><Relationship Id="rId279" Type="http://schemas.openxmlformats.org/officeDocument/2006/relationships/hyperlink" Target="https://www.linkedin.com/learning/advanced-agile-the-team-s-mindset?trk=ondemandfile" TargetMode="External"/><Relationship Id="rId22" Type="http://schemas.openxmlformats.org/officeDocument/2006/relationships/hyperlink" Target="https://www.linkedin.com/learning/paths/mejora-tus-dotes-de-liderazgo-y-gestion-de-equipos-de-trabajo?trk=ondemandfile" TargetMode="External"/><Relationship Id="rId43" Type="http://schemas.openxmlformats.org/officeDocument/2006/relationships/hyperlink" Target="https://www.linkedin.com/learning/operational-excellence-foundations-4?trk=ondemandfile" TargetMode="External"/><Relationship Id="rId64" Type="http://schemas.openxmlformats.org/officeDocument/2006/relationships/hyperlink" Target="https://www.linkedin.com/learning/paths/become-a-program-manager?trk=ondemandfile" TargetMode="External"/><Relationship Id="rId118" Type="http://schemas.openxmlformats.org/officeDocument/2006/relationships/hyperlink" Target="https://www.linkedin.com/learning/paths/become-a-technical-program-manager?trk=ondemandfile" TargetMode="External"/><Relationship Id="rId139" Type="http://schemas.openxmlformats.org/officeDocument/2006/relationships/hyperlink" Target="https://www.linkedin.com/learning/project-management-foundations-integration-9240935?trk=contentmappingfile" TargetMode="External"/><Relationship Id="rId85" Type="http://schemas.openxmlformats.org/officeDocument/2006/relationships/hyperlink" Target="https://www.linkedin.com/learning/project-management-foundation?trk=ondemandfile" TargetMode="External"/><Relationship Id="rId150" Type="http://schemas.openxmlformats.org/officeDocument/2006/relationships/hyperlink" Target="https://www.linkedin.com/learning/project-management-preventing-scope-creep-4?trk=ondemandfile" TargetMode="External"/><Relationship Id="rId171" Type="http://schemas.openxmlformats.org/officeDocument/2006/relationships/hyperlink" Target="https://www.linkedin.com/learning/projekt-kompass-blinkist-kernaussagen?trk=ondemandfile" TargetMode="External"/><Relationship Id="rId192" Type="http://schemas.openxmlformats.org/officeDocument/2006/relationships/hyperlink" Target="https://www.linkedin.com/learning/be-a-project-motivator-unlock-the-secrets-of-strengths-based-project-management?trk=ondemandfile" TargetMode="External"/><Relationship Id="rId206" Type="http://schemas.openxmlformats.org/officeDocument/2006/relationships/hyperlink" Target="https://www.linkedin.com/learning/00-pm-risiko?trk=ondemandfile" TargetMode="External"/><Relationship Id="rId227" Type="http://schemas.openxmlformats.org/officeDocument/2006/relationships/hyperlink" Target="https://www.linkedin.com/learning/scrum-mit-visual-studio-team-systems?trk=ondemandfile" TargetMode="External"/><Relationship Id="rId248" Type="http://schemas.openxmlformats.org/officeDocument/2006/relationships/hyperlink" Target="https://www.linkedin.com/learning/managing-change-on-an-agile-project?trk=ondemandfile" TargetMode="External"/><Relationship Id="rId269" Type="http://schemas.openxmlformats.org/officeDocument/2006/relationships/hyperlink" Target="https://www.linkedin.com/learning/agile-rebranding?trk=ondemandfile" TargetMode="External"/><Relationship Id="rId12" Type="http://schemas.openxmlformats.org/officeDocument/2006/relationships/hyperlink" Target="https://www.linkedin.com/learning/paths/become-a-business-analyst?trk=ondemandfile" TargetMode="External"/><Relationship Id="rId33" Type="http://schemas.openxmlformats.org/officeDocument/2006/relationships/hyperlink" Target="https://www.linkedin.com/learning/paths/projektmanager-in-werden?trk=ondemandfile" TargetMode="External"/><Relationship Id="rId108" Type="http://schemas.openxmlformats.org/officeDocument/2006/relationships/hyperlink" Target="https://www.linkedin.com/learning/00-design-thinking?trk=ondemandfile" TargetMode="External"/><Relationship Id="rId129" Type="http://schemas.openxmlformats.org/officeDocument/2006/relationships/hyperlink" Target="https://www.linkedin.com/learning/skilled-trades-resumes-and-portfolios?trk=ondemandfile" TargetMode="External"/><Relationship Id="rId280" Type="http://schemas.openxmlformats.org/officeDocument/2006/relationships/hyperlink" Target="https://www.linkedin.com/learning/how-to-manage-lean-six-sigma-projects-part-ii?trk=ondemandfile" TargetMode="External"/><Relationship Id="rId54" Type="http://schemas.openxmlformats.org/officeDocument/2006/relationships/hyperlink" Target="https://www.linkedin.com/learning/agiles-projektmanagement?trk=ondemandfile" TargetMode="External"/><Relationship Id="rId75" Type="http://schemas.openxmlformats.org/officeDocument/2006/relationships/hyperlink" Target="https://www.linkedin.com/learning/increase-effectiveness-with-lessons-learned?trk=ondemandfile" TargetMode="External"/><Relationship Id="rId96" Type="http://schemas.openxmlformats.org/officeDocument/2006/relationships/hyperlink" Target="https://www.linkedin.com/learning/design-sprint?trk=ondemandfile" TargetMode="External"/><Relationship Id="rId140" Type="http://schemas.openxmlformats.org/officeDocument/2006/relationships/hyperlink" Target="https://www.linkedin.com/learning/project-management-foundations-ethics?trk=ondemandfile" TargetMode="External"/><Relationship Id="rId161" Type="http://schemas.openxmlformats.org/officeDocument/2006/relationships/hyperlink" Target="https://www.linkedin.com/learning/progman?trk=ondemandfile" TargetMode="External"/><Relationship Id="rId182" Type="http://schemas.openxmlformats.org/officeDocument/2006/relationships/hyperlink" Target="https://www.linkedin.com/learning/00-projektmanagement-initiierung?trk=ondemandfile" TargetMode="External"/><Relationship Id="rId217" Type="http://schemas.openxmlformats.org/officeDocument/2006/relationships/hyperlink" Target="https://www.linkedin.com/learning/00-project-2019-esencial?trk=ondemandfile" TargetMode="External"/><Relationship Id="rId6" Type="http://schemas.openxmlformats.org/officeDocument/2006/relationships/hyperlink" Target="https://www.linkedin.com/learning/paths/agile-methoden-einsetzen?trk=ondemandfile" TargetMode="External"/><Relationship Id="rId238" Type="http://schemas.openxmlformats.org/officeDocument/2006/relationships/hyperlink" Target="https://www.linkedin.com/learning/trabajando-con-computadoras-y-dispositivos?trk=ondemandfile" TargetMode="External"/><Relationship Id="rId259" Type="http://schemas.openxmlformats.org/officeDocument/2006/relationships/hyperlink" Target="https://www.linkedin.com/learning/learning-program-management?trk=ondemandfile" TargetMode="External"/><Relationship Id="rId23" Type="http://schemas.openxmlformats.org/officeDocument/2006/relationships/hyperlink" Target="https://www.linkedin.com/learning/agil-arbeiten-ein-agiles-team-aufbauen?trk=ondemandfile" TargetMode="External"/><Relationship Id="rId119" Type="http://schemas.openxmlformats.org/officeDocument/2006/relationships/hyperlink" Target="https://www.linkedin.com/learning/00-fundamentos-de-la-gestion-de-proyectos-cambios?trk=ondemandfile" TargetMode="External"/><Relationship Id="rId270" Type="http://schemas.openxmlformats.org/officeDocument/2006/relationships/hyperlink" Target="https://www.linkedin.com/learning/what-is-disciplined-agile?trk=ondemandfile" TargetMode="External"/><Relationship Id="rId44" Type="http://schemas.openxmlformats.org/officeDocument/2006/relationships/hyperlink" Target="https://www.linkedin.com/learning/managing-in-a-matrixed-organization?trk=ondemandfile" TargetMode="External"/><Relationship Id="rId65" Type="http://schemas.openxmlformats.org/officeDocument/2006/relationships/hyperlink" Target="https://www.linkedin.com/learning/cuarta-revolucion-industrial-gestion-de-proyectos?trk=ondemandfile" TargetMode="External"/><Relationship Id="rId86" Type="http://schemas.openxmlformats.org/officeDocument/2006/relationships/hyperlink" Target="https://www.linkedin.com/learning/project-management-solving-common-project-problems-3?trk=ondemandfile" TargetMode="External"/><Relationship Id="rId130" Type="http://schemas.openxmlformats.org/officeDocument/2006/relationships/hyperlink" Target="https://www.linkedin.com/learning/paths/improve-your-business-analysis-skills?trk=ondemandfile" TargetMode="External"/><Relationship Id="rId151" Type="http://schemas.openxmlformats.org/officeDocument/2006/relationships/hyperlink" Target="https://www.linkedin.com/learning/project-management-simplified-2?trk=ondemandfile" TargetMode="External"/><Relationship Id="rId172" Type="http://schemas.openxmlformats.org/officeDocument/2006/relationships/hyperlink" Target="https://www.linkedin.com/learning/quarta-revolucao-industrial-gestao-de-projetos?trk=contentmappingfile" TargetMode="External"/><Relationship Id="rId193" Type="http://schemas.openxmlformats.org/officeDocument/2006/relationships/hyperlink" Target="https://www.linkedin.com/learning/00-project-management-simplified?trk=ondemandfile" TargetMode="External"/><Relationship Id="rId207" Type="http://schemas.openxmlformats.org/officeDocument/2006/relationships/hyperlink" Target="https://www.linkedin.com/learning/project-management-fundamentals-for-non-project-managers?trk=ondemandfile" TargetMode="External"/><Relationship Id="rId228" Type="http://schemas.openxmlformats.org/officeDocument/2006/relationships/hyperlink" Target="https://www.linkedin.com/learning/introduction-to-disciplined-agile?trk=ondemandfile" TargetMode="External"/><Relationship Id="rId249" Type="http://schemas.openxmlformats.org/officeDocument/2006/relationships/hyperlink" Target="https://www.linkedin.com/learning/why-projects-fail-and-how-to-improve-their-success?trk=contentmappingfile" TargetMode="External"/><Relationship Id="rId13" Type="http://schemas.openxmlformats.org/officeDocument/2006/relationships/hyperlink" Target="https://www.linkedin.com/learning/aprende-a-usar-la-metodologia-lean?trk=ondemandfile" TargetMode="External"/><Relationship Id="rId109" Type="http://schemas.openxmlformats.org/officeDocument/2006/relationships/hyperlink" Target="https://www.linkedin.com/learning/project-management-foundations-stakeholders?trk=ondemandfile" TargetMode="External"/><Relationship Id="rId260" Type="http://schemas.openxmlformats.org/officeDocument/2006/relationships/hyperlink" Target="https://www.linkedin.com/learning/project-management-foundations-budgets-2019?trk=ondemandfile" TargetMode="External"/><Relationship Id="rId34" Type="http://schemas.openxmlformats.org/officeDocument/2006/relationships/hyperlink" Target="https://www.linkedin.com/learning/learning-microsoft-project?trk=ondemandfile" TargetMode="External"/><Relationship Id="rId55" Type="http://schemas.openxmlformats.org/officeDocument/2006/relationships/hyperlink" Target="https://www.linkedin.com/learning/managing-actual-values-in-microsoft-project-2?trk=ondemandfile" TargetMode="External"/><Relationship Id="rId76" Type="http://schemas.openxmlformats.org/officeDocument/2006/relationships/hyperlink" Target="https://www.linkedin.com/learning/paths/become-a-project-manager?trk=ondemandfile" TargetMode="External"/><Relationship Id="rId97" Type="http://schemas.openxmlformats.org/officeDocument/2006/relationships/hyperlink" Target="https://www.linkedin.com/learning/3bfae77c-0d4b-3ec4-9799-44540831599e?trk=ondemandfile" TargetMode="External"/><Relationship Id="rId120" Type="http://schemas.openxmlformats.org/officeDocument/2006/relationships/hyperlink" Target="https://www.linkedin.com/learning/ein-agiles-mindset-entwickeln?trk=ondemandfile" TargetMode="External"/><Relationship Id="rId141" Type="http://schemas.openxmlformats.org/officeDocument/2006/relationships/hyperlink" Target="https://www.linkedin.com/learning/project-management-foundations-teams-2019?trk=ondemandfile" TargetMode="External"/><Relationship Id="rId7" Type="http://schemas.openxmlformats.org/officeDocument/2006/relationships/hyperlink" Target="https://www.linkedin.com/learning/microsoft-project-2013-essential-training-2?trk=ondemandfile" TargetMode="External"/><Relationship Id="rId162" Type="http://schemas.openxmlformats.org/officeDocument/2006/relationships/hyperlink" Target="https://www.linkedin.com/learning/project-management-foundations-risk-2?trk=ondemandfile" TargetMode="External"/><Relationship Id="rId183" Type="http://schemas.openxmlformats.org/officeDocument/2006/relationships/hyperlink" Target="https://www.linkedin.com/learning/productivity-prioritizing-at-work?trk=ondemandfile" TargetMode="External"/><Relationship Id="rId218" Type="http://schemas.openxmlformats.org/officeDocument/2006/relationships/hyperlink" Target="https://www.linkedin.com/learning/scope-creen-schleichende-umfangserweiterungen-in-projekten-vermeiden?trk=ondemandfile" TargetMode="External"/><Relationship Id="rId239" Type="http://schemas.openxmlformats.org/officeDocument/2006/relationships/hyperlink" Target="https://www.linkedin.com/learning/vereinfachtes-projektmanagement?trk=ondemandfile" TargetMode="External"/><Relationship Id="rId250" Type="http://schemas.openxmlformats.org/officeDocument/2006/relationships/hyperlink" Target="https://www.linkedin.com/learning/change-management-with-limited-resources?trk=contentmappingfile" TargetMode="External"/><Relationship Id="rId271" Type="http://schemas.openxmlformats.org/officeDocument/2006/relationships/hyperlink" Target="https://www.linkedin.com/learning/advanced-basecamp?trk=ondemandfile" TargetMode="External"/><Relationship Id="rId24" Type="http://schemas.openxmlformats.org/officeDocument/2006/relationships/hyperlink" Target="https://www.linkedin.com/learning/paths/projektkoordinator-in-werden?trk=ondemandfile" TargetMode="External"/><Relationship Id="rId45" Type="http://schemas.openxmlformats.org/officeDocument/2006/relationships/hyperlink" Target="https://www.linkedin.com/learning/paths/become-a-portfolio-manager?trk=ondemandfile" TargetMode="External"/><Relationship Id="rId66" Type="http://schemas.openxmlformats.org/officeDocument/2006/relationships/hyperlink" Target="https://www.linkedin.com/learning/arduino-f-r-einsteiger?trk=ondemandfile" TargetMode="External"/><Relationship Id="rId87" Type="http://schemas.openxmlformats.org/officeDocument/2006/relationships/hyperlink" Target="https://www.linkedin.com/learning/complex-project-tips-and-tricks?trk=ondemandfile" TargetMode="External"/><Relationship Id="rId110" Type="http://schemas.openxmlformats.org/officeDocument/2006/relationships/hyperlink" Target="https://www.linkedin.com/learning/project-management-foundations-teams-2?trk=ondemandfile" TargetMode="External"/><Relationship Id="rId131" Type="http://schemas.openxmlformats.org/officeDocument/2006/relationships/hyperlink" Target="https://www.linkedin.com/learning/00-fundamentos-de-la-gestion-de-proyectos-comunicacion?trk=ondemandfile" TargetMode="External"/><Relationship Id="rId152" Type="http://schemas.openxmlformats.org/officeDocument/2006/relationships/hyperlink" Target="https://www.linkedin.com/learning/00-fundamentos-de-la-gestion-de-proyectos-liderazgo?trk=ondemandfile" TargetMode="External"/><Relationship Id="rId173" Type="http://schemas.openxmlformats.org/officeDocument/2006/relationships/hyperlink" Target="https://www.linkedin.com/learning/time-management-tips-2019?trk=ondemandfile" TargetMode="External"/><Relationship Id="rId194" Type="http://schemas.openxmlformats.org/officeDocument/2006/relationships/hyperlink" Target="https://www.linkedin.com/learning/00-pm-krisen?trk=ondemandfile" TargetMode="External"/><Relationship Id="rId208" Type="http://schemas.openxmlformats.org/officeDocument/2006/relationships/hyperlink" Target="https://www.linkedin.com/learning/microsoft-teams-gestion-de-proyectos?trk=ondemandfile" TargetMode="External"/><Relationship Id="rId229" Type="http://schemas.openxmlformats.org/officeDocument/2006/relationships/hyperlink" Target="https://www.linkedin.com/learning/scrum-con-un-cafe?trk=ondemandfile" TargetMode="External"/><Relationship Id="rId240" Type="http://schemas.openxmlformats.org/officeDocument/2006/relationships/hyperlink" Target="https://www.linkedin.com/learning/how-to-create-and-run-a-brilliant-remote-workshop?trk=ondemandfile" TargetMode="External"/><Relationship Id="rId261" Type="http://schemas.openxmlformats.org/officeDocument/2006/relationships/hyperlink" Target="https://www.linkedin.com/learning/project-management-foundations-procurement-2?trk=ondemandfile" TargetMode="External"/><Relationship Id="rId14" Type="http://schemas.openxmlformats.org/officeDocument/2006/relationships/hyperlink" Target="https://www.linkedin.com/learning/paths/gestiona-tus-proyectos-con-project-2016?trk=ondemandfile" TargetMode="External"/><Relationship Id="rId35" Type="http://schemas.openxmlformats.org/officeDocument/2006/relationships/hyperlink" Target="https://www.linkedin.com/learning/agreements-for-success-in-global-projects-2?trk=ondemandfile" TargetMode="External"/><Relationship Id="rId56" Type="http://schemas.openxmlformats.org/officeDocument/2006/relationships/hyperlink" Target="https://www.linkedin.com/learning/agile-foundations-2?trk=ondemandfile" TargetMode="External"/><Relationship Id="rId77" Type="http://schemas.openxmlformats.org/officeDocument/2006/relationships/hyperlink" Target="https://www.linkedin.com/learning/designops-habilidades-personales-esencial?trk=ondemandfile" TargetMode="External"/><Relationship Id="rId100" Type="http://schemas.openxmlformats.org/officeDocument/2006/relationships/hyperlink" Target="https://www.linkedin.com/learning/paths/become-a-six-sigma-yellow-belt?trk=ondemandfile" TargetMode="External"/><Relationship Id="rId8" Type="http://schemas.openxmlformats.org/officeDocument/2006/relationships/hyperlink" Target="https://www.linkedin.com/learning/paths/torne-se-um-gestor-de-projetos?trk=ondemandfile" TargetMode="External"/><Relationship Id="rId98" Type="http://schemas.openxmlformats.org/officeDocument/2006/relationships/hyperlink" Target="https://www.linkedin.com/learning/project-management-foundations-stakeholders-2?trk=ondemandfile" TargetMode="External"/><Relationship Id="rId121" Type="http://schemas.openxmlformats.org/officeDocument/2006/relationships/hyperlink" Target="https://www.linkedin.com/learning/project-management-foundations-risk-4?trk=ondemandfile" TargetMode="External"/><Relationship Id="rId142" Type="http://schemas.openxmlformats.org/officeDocument/2006/relationships/hyperlink" Target="https://www.linkedin.com/learning/paths/stay-ahead-in-construction-management?trk=ondemandfile" TargetMode="External"/><Relationship Id="rId163" Type="http://schemas.openxmlformats.org/officeDocument/2006/relationships/hyperlink" Target="https://www.linkedin.com/learning/from-resisting-to-embracing-lean-a-case-study?trk=ondemandfile" TargetMode="External"/><Relationship Id="rId184" Type="http://schemas.openxmlformats.org/officeDocument/2006/relationships/hyperlink" Target="https://www.linkedin.com/learning/gestion-de-proyectos-agiles-con-trello?trk=contentmappingfile" TargetMode="External"/><Relationship Id="rId219" Type="http://schemas.openxmlformats.org/officeDocument/2006/relationships/hyperlink" Target="https://www.linkedin.com/learning/managing-project-stakeholders-2?trk=ondemandfile" TargetMode="External"/><Relationship Id="rId230" Type="http://schemas.openxmlformats.org/officeDocument/2006/relationships/hyperlink" Target="https://www.linkedin.com/learning/stakeholdermanagement?trk=ondemandfile" TargetMode="External"/><Relationship Id="rId251" Type="http://schemas.openxmlformats.org/officeDocument/2006/relationships/hyperlink" Target="https://www.linkedin.com/learning/data-driven-project-management-project-metrics-that-matter?trk=contentmappingfile" TargetMode="External"/><Relationship Id="rId25" Type="http://schemas.openxmlformats.org/officeDocument/2006/relationships/hyperlink" Target="https://www.linkedin.com/learning/microsoft-project-2021-and-project-online-desktop-client-essential-training?trk=contentmappingfile" TargetMode="External"/><Relationship Id="rId46" Type="http://schemas.openxmlformats.org/officeDocument/2006/relationships/hyperlink" Target="https://www.linkedin.com/learning/caracteristicas-de-un-gran-scrum-master?trk=ondemandfile" TargetMode="External"/><Relationship Id="rId67" Type="http://schemas.openxmlformats.org/officeDocument/2006/relationships/hyperlink" Target="https://www.linkedin.com/learning/managing-virtual-teams?trk=ondemandfile" TargetMode="External"/><Relationship Id="rId272" Type="http://schemas.openxmlformats.org/officeDocument/2006/relationships/hyperlink" Target="https://www.linkedin.com/learning/tailoring-project-delivery?trk=ondemandfile" TargetMode="External"/><Relationship Id="rId88" Type="http://schemas.openxmlformats.org/officeDocument/2006/relationships/hyperlink" Target="https://www.linkedin.com/learning/paths/becoming-a-six-sigma-black-belt?trk=ondemandfile" TargetMode="External"/><Relationship Id="rId111" Type="http://schemas.openxmlformats.org/officeDocument/2006/relationships/hyperlink" Target="https://www.linkedin.com/learning/project-management-foundations-small-projects-2?trk=ondemandfile" TargetMode="External"/><Relationship Id="rId132" Type="http://schemas.openxmlformats.org/officeDocument/2006/relationships/hyperlink" Target="https://www.linkedin.com/learning/gantt-diagramme-nutzen?trk=ondemandfile" TargetMode="External"/><Relationship Id="rId153" Type="http://schemas.openxmlformats.org/officeDocument/2006/relationships/hyperlink" Target="https://www.linkedin.com/learning/microsoft-project-2019-und-project-online-desktop-grundkurs?trk=ondemandfile" TargetMode="External"/><Relationship Id="rId174" Type="http://schemas.openxmlformats.org/officeDocument/2006/relationships/hyperlink" Target="https://www.linkedin.com/learning/00-fundamentos-de-six-sigma?trk=ondemandfile" TargetMode="External"/><Relationship Id="rId195" Type="http://schemas.openxmlformats.org/officeDocument/2006/relationships/hyperlink" Target="https://www.linkedin.com/learning/agile-it-s-not-just-for-software?trk=ondemandfile" TargetMode="External"/><Relationship Id="rId209" Type="http://schemas.openxmlformats.org/officeDocument/2006/relationships/hyperlink" Target="https://www.linkedin.com/learning/00-pm-steuer?trk=ondemandfile" TargetMode="External"/><Relationship Id="rId220" Type="http://schemas.openxmlformats.org/officeDocument/2006/relationships/hyperlink" Target="https://www.linkedin.com/learning/project-online-profesional-trucos?trk=ondemandfile" TargetMode="External"/><Relationship Id="rId241" Type="http://schemas.openxmlformats.org/officeDocument/2006/relationships/hyperlink" Target="https://www.linkedin.com/learning/trabajando-y-colaborando-online?trk=ondemandfile" TargetMode="External"/><Relationship Id="rId15" Type="http://schemas.openxmlformats.org/officeDocument/2006/relationships/hyperlink" Target="https://www.linkedin.com/learning/agil-arbeiten-besser-werden-mit-agilen-retrospektiven?trk=ondemandfile" TargetMode="External"/><Relationship Id="rId36" Type="http://schemas.openxmlformats.org/officeDocument/2006/relationships/hyperlink" Target="https://www.linkedin.com/learning/leading-remote-projects-and-virtual-teams?trk=ondemandfile" TargetMode="External"/><Relationship Id="rId57" Type="http://schemas.openxmlformats.org/officeDocument/2006/relationships/hyperlink" Target="https://www.linkedin.com/learning/agile-project-leadership?trk=ondemandfile" TargetMode="External"/><Relationship Id="rId262" Type="http://schemas.openxmlformats.org/officeDocument/2006/relationships/hyperlink" Target="https://www.linkedin.com/learning/project-management-foundations-risk-2018?trk=ondemandfile" TargetMode="External"/><Relationship Id="rId78" Type="http://schemas.openxmlformats.org/officeDocument/2006/relationships/hyperlink" Target="https://www.linkedin.com/learning/berufsbild-agiler-projektmanager?trk=ondemandfile" TargetMode="External"/><Relationship Id="rId99" Type="http://schemas.openxmlformats.org/officeDocument/2006/relationships/hyperlink" Target="https://www.linkedin.com/learning/agile-coaching?trk=ondemandfile" TargetMode="External"/><Relationship Id="rId101" Type="http://schemas.openxmlformats.org/officeDocument/2006/relationships/hyperlink" Target="https://www.linkedin.com/learning/00-agile-project-management?trk=ondemandfile" TargetMode="External"/><Relationship Id="rId122" Type="http://schemas.openxmlformats.org/officeDocument/2006/relationships/hyperlink" Target="https://www.linkedin.com/learning/project-management-foundations-integration-3?trk=ondemandfile" TargetMode="External"/><Relationship Id="rId143" Type="http://schemas.openxmlformats.org/officeDocument/2006/relationships/hyperlink" Target="https://www.linkedin.com/learning/00-fundamentos-de-la-gestion-de-proyectos-etica?trk=ondemandfile" TargetMode="External"/><Relationship Id="rId164" Type="http://schemas.openxmlformats.org/officeDocument/2006/relationships/hyperlink" Target="https://www.linkedin.com/learning/00-managing-project-risk?trk=ondemandfile" TargetMode="External"/><Relationship Id="rId185" Type="http://schemas.openxmlformats.org/officeDocument/2006/relationships/hyperlink" Target="https://www.linkedin.com/learning/projektmanagement-integration?trk=ondemandfile" TargetMode="External"/><Relationship Id="rId9" Type="http://schemas.openxmlformats.org/officeDocument/2006/relationships/hyperlink" Target="https://www.linkedin.com/learning/scrum-the-basics-3?trk=ondemandfile" TargetMode="External"/><Relationship Id="rId210" Type="http://schemas.openxmlformats.org/officeDocument/2006/relationships/hyperlink" Target="https://www.linkedin.com/learning/transition-management-for-agile-environments?trk=ondemandfile" TargetMode="External"/><Relationship Id="rId26" Type="http://schemas.openxmlformats.org/officeDocument/2006/relationships/hyperlink" Target="https://www.linkedin.com/learning/transitioning-from-waterfall-to-agile-project-management-4?trk=ondemandfile" TargetMode="External"/><Relationship Id="rId231" Type="http://schemas.openxmlformats.org/officeDocument/2006/relationships/hyperlink" Target="https://www.linkedin.com/learning/project-management-foundations-communication-2019?trk=ondemandfile" TargetMode="External"/><Relationship Id="rId252" Type="http://schemas.openxmlformats.org/officeDocument/2006/relationships/hyperlink" Target="https://www.linkedin.com/learning/how-to-successfully-lead-a-pmo?trk=ondemandfile" TargetMode="External"/><Relationship Id="rId273" Type="http://schemas.openxmlformats.org/officeDocument/2006/relationships/hyperlink" Target="https://www.linkedin.com/learning/hybrid-project-management-do-what-works?trk=ondemandfile" TargetMode="External"/><Relationship Id="rId47" Type="http://schemas.openxmlformats.org/officeDocument/2006/relationships/hyperlink" Target="https://www.linkedin.com/learning/agil-arbeiten-vom-wasserfall-zum-agilen-projektmanagement?trk=ondemandfile" TargetMode="External"/><Relationship Id="rId68" Type="http://schemas.openxmlformats.org/officeDocument/2006/relationships/hyperlink" Target="https://www.linkedin.com/learning/just-ask-developing-a-career-in-project-management?trk=contentmappingfile" TargetMode="External"/><Relationship Id="rId89" Type="http://schemas.openxmlformats.org/officeDocument/2006/relationships/hyperlink" Target="https://www.linkedin.com/learning/00-fundamentos-de-la-gestion-de-programas?trk=ondemandfile" TargetMode="External"/><Relationship Id="rId112" Type="http://schemas.openxmlformats.org/officeDocument/2006/relationships/hyperlink" Target="https://docs.google.com/spreadsheets/d/125lXqIcHUrmOCQ3PkPvx9WmMu_iMuq6e8fL-2NaMLiA/edit" TargetMode="External"/><Relationship Id="rId133" Type="http://schemas.openxmlformats.org/officeDocument/2006/relationships/hyperlink" Target="https://www.linkedin.com/learning/managing-small-projects-2?trk=ondemandfile" TargetMode="External"/><Relationship Id="rId154" Type="http://schemas.openxmlformats.org/officeDocument/2006/relationships/hyperlink" Target="https://www.linkedin.com/learning/project-management-foundations-budgets-2?trk=ondemandfile" TargetMode="External"/><Relationship Id="rId175" Type="http://schemas.openxmlformats.org/officeDocument/2006/relationships/hyperlink" Target="https://www.linkedin.com/learning/projektmanagement-anderungsmanagement?trk=ondemandfile" TargetMode="External"/><Relationship Id="rId196" Type="http://schemas.openxmlformats.org/officeDocument/2006/relationships/hyperlink" Target="https://www.linkedin.com/learning/gestion-de-proyectos-prevencion-del-deslizamiento-de-alcance?trk=ondemandfile" TargetMode="External"/><Relationship Id="rId200" Type="http://schemas.openxmlformats.org/officeDocument/2006/relationships/hyperlink" Target="https://www.linkedin.com/learning/00-pm-abschl?trk=ondemandfile" TargetMode="External"/><Relationship Id="rId16" Type="http://schemas.openxmlformats.org/officeDocument/2006/relationships/hyperlink" Target="https://www.linkedin.com/learning/paths/agile-r-projektmanager-in-werden?trk=ondemandfile" TargetMode="External"/><Relationship Id="rId221" Type="http://schemas.openxmlformats.org/officeDocument/2006/relationships/hyperlink" Target="https://www.linkedin.com/learning/00-product-owner?trk=ondemandfile" TargetMode="External"/><Relationship Id="rId242" Type="http://schemas.openxmlformats.org/officeDocument/2006/relationships/hyperlink" Target="https://www.linkedin.com/learning/comparing-agile-versus-waterfall-project-management?trk=ondemandfile" TargetMode="External"/><Relationship Id="rId263" Type="http://schemas.openxmlformats.org/officeDocument/2006/relationships/hyperlink" Target="https://www.linkedin.com/learning/the-top-pmo-challenges?trk=ondemandfile" TargetMode="External"/><Relationship Id="rId37" Type="http://schemas.openxmlformats.org/officeDocument/2006/relationships/hyperlink" Target="https://www.linkedin.com/learning/paths/become-a-healthcare-project-manager?trk=ondemandfile" TargetMode="External"/><Relationship Id="rId58" Type="http://schemas.openxmlformats.org/officeDocument/2006/relationships/hyperlink" Target="https://www.linkedin.com/learning/paths/become-a-product-manager-2?trk=ondemandfile" TargetMode="External"/><Relationship Id="rId79" Type="http://schemas.openxmlformats.org/officeDocument/2006/relationships/hyperlink" Target="https://www.linkedin.com/learning/change-management-for-projects-9618249?trk=contentmappingfile" TargetMode="External"/><Relationship Id="rId102" Type="http://schemas.openxmlformats.org/officeDocument/2006/relationships/hyperlink" Target="https://www.linkedin.com/learning/design-thinking-grundlagen?trk=ondemandfile" TargetMode="External"/><Relationship Id="rId123" Type="http://schemas.openxmlformats.org/officeDocument/2006/relationships/hyperlink" Target="https://www.linkedin.com/learning/project-management-foundations-ethics-2?trk=ondemandfile" TargetMode="External"/><Relationship Id="rId144" Type="http://schemas.openxmlformats.org/officeDocument/2006/relationships/hyperlink" Target="https://www.linkedin.com/learning/konfliktmanagement-in-projekten?trk=ondemandfile" TargetMode="External"/><Relationship Id="rId90" Type="http://schemas.openxmlformats.org/officeDocument/2006/relationships/hyperlink" Target="https://www.linkedin.com/learning/bc584969-6d6f-39e0-9c41-6ea464f2f577?trk=ondemandfile" TargetMode="External"/><Relationship Id="rId165" Type="http://schemas.openxmlformats.org/officeDocument/2006/relationships/hyperlink" Target="https://www.linkedin.com/learning/project-2013-grundkurs?trk=ondemandfile" TargetMode="External"/><Relationship Id="rId186" Type="http://schemas.openxmlformats.org/officeDocument/2006/relationships/hyperlink" Target="https://www.linkedin.com/learning/project-leadership?trk=ondemandfile" TargetMode="External"/><Relationship Id="rId211" Type="http://schemas.openxmlformats.org/officeDocument/2006/relationships/hyperlink" Target="https://www.linkedin.com/learning/00-project-2016-avanzado?trk=ondemandfile" TargetMode="External"/><Relationship Id="rId232" Type="http://schemas.openxmlformats.org/officeDocument/2006/relationships/hyperlink" Target="https://www.linkedin.com/learning/sharepoint-2019-trucos?trk=ondemandfile" TargetMode="External"/><Relationship Id="rId253" Type="http://schemas.openxmlformats.org/officeDocument/2006/relationships/hyperlink" Target="https://www.linkedin.com/learning/creating-a-program-strategy?trk=ondemandfile" TargetMode="External"/><Relationship Id="rId274" Type="http://schemas.openxmlformats.org/officeDocument/2006/relationships/hyperlink" Target="https://www.linkedin.com/learning/agile-project-management-with-microsoft-project-2021?trk=ondemandfile" TargetMode="External"/><Relationship Id="rId27" Type="http://schemas.openxmlformats.org/officeDocument/2006/relationships/hyperlink" Target="https://www.linkedin.com/learning/creating-a-culture-of-service?trk=ondemandfile" TargetMode="External"/><Relationship Id="rId48" Type="http://schemas.openxmlformats.org/officeDocument/2006/relationships/hyperlink" Target="https://www.linkedin.com/learning/paths/six-sigma-black-belt-werden?trk=ondemandfile" TargetMode="External"/><Relationship Id="rId69" Type="http://schemas.openxmlformats.org/officeDocument/2006/relationships/hyperlink" Target="https://www.linkedin.com/learning/project-management-choosing-the-right-online-too?trk=ondemandfile" TargetMode="External"/><Relationship Id="rId113" Type="http://schemas.openxmlformats.org/officeDocument/2006/relationships/hyperlink" Target="https://www.linkedin.com/learning/00-gestion-de-proyectos-calidad?trk=ondemandfile" TargetMode="External"/><Relationship Id="rId134" Type="http://schemas.openxmlformats.org/officeDocument/2006/relationships/hyperlink" Target="https://www.linkedin.com/learning/779ed34b-4bd3-393b-bda7-0163601fbcc8?trk=ondemandfile" TargetMode="External"/><Relationship Id="rId80" Type="http://schemas.openxmlformats.org/officeDocument/2006/relationships/hyperlink" Target="https://www.linkedin.com/learning/managing-international-projects?trk=ondemandfile" TargetMode="External"/><Relationship Id="rId155" Type="http://schemas.openxmlformats.org/officeDocument/2006/relationships/hyperlink" Target="https://www.linkedin.com/learning/hoshin-plan-ning?trk=ondemandfile" TargetMode="External"/><Relationship Id="rId176" Type="http://schemas.openxmlformats.org/officeDocument/2006/relationships/hyperlink" Target="https://www.linkedin.com/learning/time-management-tips-teamwork?trk=ondemandfile" TargetMode="External"/><Relationship Id="rId197" Type="http://schemas.openxmlformats.org/officeDocument/2006/relationships/hyperlink" Target="https://www.linkedin.com/learning/00-projektmanagement-planung?trk=ondemandfile" TargetMode="External"/><Relationship Id="rId201" Type="http://schemas.openxmlformats.org/officeDocument/2006/relationships/hyperlink" Target="https://www.linkedin.com/learning/mindfulness-a-critical-skill-for-project-managers?trk=ondemandfile" TargetMode="External"/><Relationship Id="rId222" Type="http://schemas.openxmlformats.org/officeDocument/2006/relationships/hyperlink" Target="https://www.linkedin.com/learning/transitioning-from-waterfall-to-agile-project-management-2019?trk=ondemandfile" TargetMode="External"/><Relationship Id="rId243" Type="http://schemas.openxmlformats.org/officeDocument/2006/relationships/hyperlink" Target="https://www.linkedin.com/learning/transicion-de-gestion-de-proyectos-en-cascada-a-gestion-de-proyectos-agile?trk=ondemandfile" TargetMode="External"/><Relationship Id="rId264" Type="http://schemas.openxmlformats.org/officeDocument/2006/relationships/hyperlink" Target="https://www.linkedin.com/learning/managing-projects-with-microsoft-teams?trk=ondemandfile" TargetMode="External"/><Relationship Id="rId17" Type="http://schemas.openxmlformats.org/officeDocument/2006/relationships/hyperlink" Target="https://www.linkedin.com/learning/8961390d-0b7b-3ec7-ae01-12fbcac6d659?trk=ondemandfile" TargetMode="External"/><Relationship Id="rId38" Type="http://schemas.openxmlformats.org/officeDocument/2006/relationships/hyperlink" Target="https://www.linkedin.com/learning/bim-con-un-cafe?trk=ondemandfile" TargetMode="External"/><Relationship Id="rId59" Type="http://schemas.openxmlformats.org/officeDocument/2006/relationships/hyperlink" Target="https://www.linkedin.com/learning/como-ser-parte-de-un-ambiente-de-trabajo-positivo?trk=ondemandfile" TargetMode="External"/><Relationship Id="rId103" Type="http://schemas.openxmlformats.org/officeDocument/2006/relationships/hyperlink" Target="https://www.linkedin.com/learning/project-management-preventing-scope-creep-14372697?trk=contentmappingfile" TargetMode="External"/><Relationship Id="rId124" Type="http://schemas.openxmlformats.org/officeDocument/2006/relationships/hyperlink" Target="https://www.linkedin.com/learning/paths/develop-your-project-management-skills?trk=ondemandfile" TargetMode="External"/><Relationship Id="rId70" Type="http://schemas.openxmlformats.org/officeDocument/2006/relationships/hyperlink" Target="https://www.linkedin.com/learning/paths/become-a-project-coordinator?trk=ondemandfile" TargetMode="External"/><Relationship Id="rId91" Type="http://schemas.openxmlformats.org/officeDocument/2006/relationships/hyperlink" Target="https://www.linkedin.com/learning/0ef59e20-2225-38cc-880e-6bd499f84bb1?trk=ondemandfile" TargetMode="External"/><Relationship Id="rId145" Type="http://schemas.openxmlformats.org/officeDocument/2006/relationships/hyperlink" Target="https://www.linkedin.com/learning/leading-projects-2?trk=ondemandfile" TargetMode="External"/><Relationship Id="rId166" Type="http://schemas.openxmlformats.org/officeDocument/2006/relationships/hyperlink" Target="https://www.linkedin.com/learning/project-management-tips?trk=ondemandfile" TargetMode="External"/><Relationship Id="rId187" Type="http://schemas.openxmlformats.org/officeDocument/2006/relationships/hyperlink" Target="https://www.linkedin.com/learning/gestion-de-proyectos-agiles-comparacion-de-herramientas-agiles?trk=contentmappingfile" TargetMode="External"/><Relationship Id="rId1" Type="http://schemas.openxmlformats.org/officeDocument/2006/relationships/hyperlink" Target="https://www.linkedin.com/learning/lean-technology-strategy-economic-frameworks-for-portfolio-and-product-management?trk=ondemandfile" TargetMode="External"/><Relationship Id="rId212" Type="http://schemas.openxmlformats.org/officeDocument/2006/relationships/hyperlink" Target="https://www.linkedin.com/learning/00-projektmanagement-teamfuhrung?trk=ondemandfile" TargetMode="External"/><Relationship Id="rId233" Type="http://schemas.openxmlformats.org/officeDocument/2006/relationships/hyperlink" Target="https://www.linkedin.com/learning/trello-grundkurs?trk=ondemandfile" TargetMode="External"/><Relationship Id="rId254" Type="http://schemas.openxmlformats.org/officeDocument/2006/relationships/hyperlink" Target="https://www.linkedin.com/learning/adaptive-project-leadership?trk=ondemandfile" TargetMode="External"/><Relationship Id="rId28" Type="http://schemas.openxmlformats.org/officeDocument/2006/relationships/hyperlink" Target="https://www.linkedin.com/learning/paths/become-a-government-project-manager?trk=ondemandfile" TargetMode="External"/><Relationship Id="rId49" Type="http://schemas.openxmlformats.org/officeDocument/2006/relationships/hyperlink" Target="https://www.linkedin.com/learning/microsoft-project-graphical-reports?trk=ondemandfile" TargetMode="External"/><Relationship Id="rId114" Type="http://schemas.openxmlformats.org/officeDocument/2006/relationships/hyperlink" Target="https://www.linkedin.com/learning/die-scrum-revolution-blinkist-kernaussagen?trk=ondemandfile" TargetMode="External"/><Relationship Id="rId275" Type="http://schemas.openxmlformats.org/officeDocument/2006/relationships/hyperlink" Target="https://www.linkedin.com/learning/project-management-technical-projects-2021?trk=ondemandfile" TargetMode="External"/><Relationship Id="rId60" Type="http://schemas.openxmlformats.org/officeDocument/2006/relationships/hyperlink" Target="https://www.linkedin.com/learning/agiles-projektmanagement-mit-microsoft-project?trk=ondemandfile" TargetMode="External"/><Relationship Id="rId81" Type="http://schemas.openxmlformats.org/officeDocument/2006/relationships/hyperlink" Target="https://www.linkedin.com/learning/job-interview-tips-for-project-managers?trk=ondemandfile" TargetMode="External"/><Relationship Id="rId135" Type="http://schemas.openxmlformats.org/officeDocument/2006/relationships/hyperlink" Target="https://www.linkedin.com/learning/project-management-foundations-requirements-2?trk=ondemandfile" TargetMode="External"/><Relationship Id="rId156" Type="http://schemas.openxmlformats.org/officeDocument/2006/relationships/hyperlink" Target="https://www.linkedin.com/learning/00-gestion-de-proyectos-presupuestos?trk=ondemandfile" TargetMode="External"/><Relationship Id="rId177" Type="http://schemas.openxmlformats.org/officeDocument/2006/relationships/hyperlink" Target="https://www.linkedin.com/learning/fundamentos-de-six-sigma-black-belt?trk=ondemandfile" TargetMode="External"/><Relationship Id="rId198" Type="http://schemas.openxmlformats.org/officeDocument/2006/relationships/hyperlink" Target="https://www.linkedin.com/learning/managing-projects-as-offices-reopen?trk=ondemandfile" TargetMode="External"/><Relationship Id="rId202" Type="http://schemas.openxmlformats.org/officeDocument/2006/relationships/hyperlink" Target="https://www.linkedin.com/learning/microsoft-teams-esencial?trk=ondemandfile" TargetMode="External"/><Relationship Id="rId223" Type="http://schemas.openxmlformats.org/officeDocument/2006/relationships/hyperlink" Target="https://www.linkedin.com/learning/project-agile-project-management?trk=ondemandfile" TargetMode="External"/><Relationship Id="rId244" Type="http://schemas.openxmlformats.org/officeDocument/2006/relationships/hyperlink" Target="https://www.linkedin.com/learning/linkedin-learning-highlights-project-management?trk=ondemandfile" TargetMode="External"/><Relationship Id="rId18" Type="http://schemas.openxmlformats.org/officeDocument/2006/relationships/hyperlink" Target="https://www.linkedin.com/learning/scrum-advanced-4?trk=ondemandfile" TargetMode="External"/><Relationship Id="rId39" Type="http://schemas.openxmlformats.org/officeDocument/2006/relationships/hyperlink" Target="https://www.linkedin.com/learning/agil-arbeiten-reporting-mit-agilen-boards-und-chars?trk=ondemandfile" TargetMode="External"/><Relationship Id="rId265" Type="http://schemas.openxmlformats.org/officeDocument/2006/relationships/hyperlink" Target="https://www.linkedin.com/learning/trello-for-agile-teams?trk=ondemandfile" TargetMode="External"/><Relationship Id="rId50" Type="http://schemas.openxmlformats.org/officeDocument/2006/relationships/hyperlink" Target="https://www.linkedin.com/learning/change-management-for-projects-15870814?trk=contentmappingfile" TargetMode="External"/><Relationship Id="rId104" Type="http://schemas.openxmlformats.org/officeDocument/2006/relationships/hyperlink" Target="https://www.linkedin.com/learning/project-management-foundations-change-2?trk=ondemandfile" TargetMode="External"/><Relationship Id="rId125" Type="http://schemas.openxmlformats.org/officeDocument/2006/relationships/hyperlink" Target="https://www.linkedin.com/learning/00-fundamentos-de-la-gestion-de-proyectos-compras?trk=ondemandfile" TargetMode="External"/><Relationship Id="rId146" Type="http://schemas.openxmlformats.org/officeDocument/2006/relationships/hyperlink" Target="https://www.linkedin.com/learning/project-management-foundations-quality-2?trk=ondemandfile" TargetMode="External"/><Relationship Id="rId167" Type="http://schemas.openxmlformats.org/officeDocument/2006/relationships/hyperlink" Target="https://www.linkedin.com/learning/00-transitioning-from-individual-contributor-to-manager-2?trk=ondemandfile" TargetMode="External"/><Relationship Id="rId188" Type="http://schemas.openxmlformats.org/officeDocument/2006/relationships/hyperlink" Target="https://www.linkedin.com/learning/00-pm-komm?trk=ondemandfile" TargetMode="External"/><Relationship Id="rId71" Type="http://schemas.openxmlformats.org/officeDocument/2006/relationships/hyperlink" Target="https://www.linkedin.com/learning/designops-con-un-cafe?trk=ondemandfile" TargetMode="External"/><Relationship Id="rId92" Type="http://schemas.openxmlformats.org/officeDocument/2006/relationships/hyperlink" Target="https://www.linkedin.com/learning/project-management-foundations-3?trk=ondemandfile" TargetMode="External"/><Relationship Id="rId213" Type="http://schemas.openxmlformats.org/officeDocument/2006/relationships/hyperlink" Target="https://www.linkedin.com/learning/project-management-foundations-2019?trk=ondemandfile" TargetMode="External"/><Relationship Id="rId234" Type="http://schemas.openxmlformats.org/officeDocument/2006/relationships/hyperlink" Target="https://www.linkedin.com/learning/what-is-a-pmo?trk=ondemandfile" TargetMode="External"/><Relationship Id="rId2" Type="http://schemas.openxmlformats.org/officeDocument/2006/relationships/hyperlink" Target="https://www.linkedin.com/learning/paths/become-an-agile-project-manager?trk=ondemandfile" TargetMode="External"/><Relationship Id="rId29" Type="http://schemas.openxmlformats.org/officeDocument/2006/relationships/hyperlink" Target="https://www.linkedin.com/learning/agile-au-travail-planifier-avec-des-user-stories-agiles?trk=contentmappingfile" TargetMode="External"/><Relationship Id="rId255" Type="http://schemas.openxmlformats.org/officeDocument/2006/relationships/hyperlink" Target="https://www.linkedin.com/learning/blending-project-management-methods?trk=ondemandfile" TargetMode="External"/><Relationship Id="rId276" Type="http://schemas.openxmlformats.org/officeDocument/2006/relationships/hyperlink" Target="https://www.linkedin.com/learning/how-to-manage-lean-six-sigma-projects-part-i?trk=ondemandfile" TargetMode="External"/><Relationship Id="rId40" Type="http://schemas.openxmlformats.org/officeDocument/2006/relationships/hyperlink" Target="https://www.linkedin.com/learning/paths/six-sigma-green-belt-werden?trk=ondemandfile" TargetMode="External"/><Relationship Id="rId115" Type="http://schemas.openxmlformats.org/officeDocument/2006/relationships/hyperlink" Target="https://www.linkedin.com/learning/82a9ac63-32a2-33be-b6e0-788f1f5d6271?trk=ondemandfile" TargetMode="External"/><Relationship Id="rId136" Type="http://schemas.openxmlformats.org/officeDocument/2006/relationships/hyperlink" Target="https://www.linkedin.com/learning/paths/prepare-for-the-pmi-acp-certification?trk=ondemandfile" TargetMode="External"/><Relationship Id="rId157" Type="http://schemas.openxmlformats.org/officeDocument/2006/relationships/hyperlink" Target="https://www.linkedin.com/learning/office-365-project?trk=ondemandfile" TargetMode="External"/><Relationship Id="rId178" Type="http://schemas.openxmlformats.org/officeDocument/2006/relationships/hyperlink" Target="https://www.linkedin.com/learning/projektmanagement-ethik-und-compliance?trk=ondemandfile" TargetMode="External"/><Relationship Id="rId61" Type="http://schemas.openxmlformats.org/officeDocument/2006/relationships/hyperlink" Target="https://www.linkedin.com/learning/agile-project-management-foundations-2?trk=ondemandfile" TargetMode="External"/><Relationship Id="rId82" Type="http://schemas.openxmlformats.org/officeDocument/2006/relationships/hyperlink" Target="https://www.linkedin.com/learning/paths/become-a-project-scheduler?trk=ondemandfile" TargetMode="External"/><Relationship Id="rId199" Type="http://schemas.openxmlformats.org/officeDocument/2006/relationships/hyperlink" Target="https://www.linkedin.com/learning/00-solving-common-project-problems?trk=ondemandfile" TargetMode="External"/><Relationship Id="rId203" Type="http://schemas.openxmlformats.org/officeDocument/2006/relationships/hyperlink" Target="https://www.linkedin.com/learning/00-pm-quali?trk=ondemandfile" TargetMode="External"/><Relationship Id="rId19" Type="http://schemas.openxmlformats.org/officeDocument/2006/relationships/hyperlink" Target="https://www.linkedin.com/learning/business-analyst-foundations-babok-knowledge-areas?trk=ondemandfile" TargetMode="External"/><Relationship Id="rId224" Type="http://schemas.openxmlformats.org/officeDocument/2006/relationships/hyperlink" Target="https://www.linkedin.com/learning/d469e5e3-91ef-356a-bd71-342c807fe1b6?trk=ondemandfile" TargetMode="External"/><Relationship Id="rId245" Type="http://schemas.openxmlformats.org/officeDocument/2006/relationships/hyperlink" Target="https://www.linkedin.com/learning/emotional-intelligence-for-project-managers-blinkist-summary?trk=ondemandfile" TargetMode="External"/><Relationship Id="rId266" Type="http://schemas.openxmlformats.org/officeDocument/2006/relationships/hyperlink" Target="https://www.linkedin.com/learning/jira-basic-administration?trk=ondemandfile" TargetMode="External"/><Relationship Id="rId30" Type="http://schemas.openxmlformats.org/officeDocument/2006/relationships/hyperlink" Target="https://www.linkedin.com/learning/aprende-las-bases-de-las-cadenas-de-suministro?trk=ondemandfile" TargetMode="External"/><Relationship Id="rId105" Type="http://schemas.openxmlformats.org/officeDocument/2006/relationships/hyperlink" Target="https://www.linkedin.com/learning/project-management-foundations-integration-2?trk=ondemandfile" TargetMode="External"/><Relationship Id="rId126" Type="http://schemas.openxmlformats.org/officeDocument/2006/relationships/hyperlink" Target="https://www.linkedin.com/learning/00-projektmanagement-grundlagen?trk=ondemandfile" TargetMode="External"/><Relationship Id="rId147" Type="http://schemas.openxmlformats.org/officeDocument/2006/relationships/hyperlink" Target="https://www.linkedin.com/learning/software-project-management-foundations?trk=ondemandfile" TargetMode="External"/><Relationship Id="rId168" Type="http://schemas.openxmlformats.org/officeDocument/2006/relationships/hyperlink" Target="https://www.linkedin.com/learning/00-project-2016-grundlagen?trk=ondemandfile" TargetMode="External"/><Relationship Id="rId51" Type="http://schemas.openxmlformats.org/officeDocument/2006/relationships/hyperlink" Target="https://www.linkedin.com/learning/management-tips?trk=ondemandfile" TargetMode="External"/><Relationship Id="rId72" Type="http://schemas.openxmlformats.org/officeDocument/2006/relationships/hyperlink" Target="https://www.linkedin.com/learning/azure-devops-grundkurs?trk=ondemandfile" TargetMode="External"/><Relationship Id="rId93" Type="http://schemas.openxmlformats.org/officeDocument/2006/relationships/hyperlink" Target="https://www.linkedin.com/learning/project-management-for-creative-projects-3?trk=ondemandfile" TargetMode="External"/><Relationship Id="rId189" Type="http://schemas.openxmlformats.org/officeDocument/2006/relationships/hyperlink" Target="https://www.linkedin.com/learning/project-management-foundations-quality-2020?trk=ondemandfile" TargetMode="External"/><Relationship Id="rId3" Type="http://schemas.openxmlformats.org/officeDocument/2006/relationships/hyperlink" Target="https://www.linkedin.com/learning/agile-en-accion-construye-tu-equipo-agil?trk=ondemandfile" TargetMode="External"/><Relationship Id="rId214" Type="http://schemas.openxmlformats.org/officeDocument/2006/relationships/hyperlink" Target="https://www.linkedin.com/learning/00-project-2016-esencial?trk=ondemandfile" TargetMode="External"/><Relationship Id="rId235" Type="http://schemas.openxmlformats.org/officeDocument/2006/relationships/hyperlink" Target="https://www.linkedin.com/learning/storytelling-para-comunicacion-de-proyectos-de-ingenieria?trk=contentmappingfile" TargetMode="External"/><Relationship Id="rId256" Type="http://schemas.openxmlformats.org/officeDocument/2006/relationships/hyperlink" Target="https://www.linkedin.com/learning/9367b560-3855-3d38-9d9b-4ff0d83dd4d4?trk=ondemandfile" TargetMode="External"/><Relationship Id="rId277" Type="http://schemas.openxmlformats.org/officeDocument/2006/relationships/hyperlink" Target="https://www.linkedin.com/learning/project-resource-management?trk=ondemandfile" TargetMode="External"/><Relationship Id="rId116" Type="http://schemas.openxmlformats.org/officeDocument/2006/relationships/hyperlink" Target="https://www.linkedin.com/learning/a7988dab-5b06-3f1a-bd7c-7ac9d6c0ef18?trk=ondemandfile" TargetMode="External"/><Relationship Id="rId137" Type="http://schemas.openxmlformats.org/officeDocument/2006/relationships/hyperlink" Target="https://www.linkedin.com/learning/00-project-management-foundations-teams?trk=ondemandfile" TargetMode="External"/><Relationship Id="rId158" Type="http://schemas.openxmlformats.org/officeDocument/2006/relationships/hyperlink" Target="https://www.linkedin.com/learning/project-management-foundations-leading-projects-2?trk=ondemandfile" TargetMode="External"/><Relationship Id="rId20" Type="http://schemas.openxmlformats.org/officeDocument/2006/relationships/hyperlink" Target="https://www.linkedin.com/learning/paths/become-a-business-intelligence-specialist?trk=ondemandfile" TargetMode="External"/><Relationship Id="rId41" Type="http://schemas.openxmlformats.org/officeDocument/2006/relationships/hyperlink" Target="https://www.linkedin.com/learning/agile-project-management-with-microsoft-project-2?trk=ondemandfile" TargetMode="External"/><Relationship Id="rId62" Type="http://schemas.openxmlformats.org/officeDocument/2006/relationships/hyperlink" Target="https://www.linkedin.com/learning/agile-project-management-foundations-3?trk=ondemandfile" TargetMode="External"/><Relationship Id="rId83" Type="http://schemas.openxmlformats.org/officeDocument/2006/relationships/hyperlink" Target="https://www.linkedin.com/learning/disena-proyectos-de-marketing-con-business-model-canvas?trk=contentmappingfile" TargetMode="External"/><Relationship Id="rId179" Type="http://schemas.openxmlformats.org/officeDocument/2006/relationships/hyperlink" Target="https://www.linkedin.com/learning/introducing-the-pmbok-guide-seventh-edition?trk=ondemandfile" TargetMode="External"/><Relationship Id="rId190" Type="http://schemas.openxmlformats.org/officeDocument/2006/relationships/hyperlink" Target="https://www.linkedin.com/learning/gestion-de-proyectos-con-smartsheet?trk=ondemandfile" TargetMode="External"/><Relationship Id="rId204" Type="http://schemas.openxmlformats.org/officeDocument/2006/relationships/hyperlink" Target="https://www.linkedin.com/learning/build-a-successful-career-in-project-management?trk=ondemandfile" TargetMode="External"/><Relationship Id="rId225" Type="http://schemas.openxmlformats.org/officeDocument/2006/relationships/hyperlink" Target="https://www.linkedin.com/learning/construction-industry-safety?trk=ondemandfile" TargetMode="External"/><Relationship Id="rId246" Type="http://schemas.openxmlformats.org/officeDocument/2006/relationships/hyperlink" Target="https://www.linkedin.com/learning/gemba-kaizen-a-common-sense-approach-to-continuous-improvement-blinkist-summary?trk=ondemandfile" TargetMode="External"/><Relationship Id="rId267" Type="http://schemas.openxmlformats.org/officeDocument/2006/relationships/hyperlink" Target="https://www.linkedin.com/learning/artificial-intelligence-how-project-managers-can-leverage-ai?trk=ondemandfile" TargetMode="External"/><Relationship Id="rId106" Type="http://schemas.openxmlformats.org/officeDocument/2006/relationships/hyperlink" Target="https://www.linkedin.com/learning/paths/become-a-software-project-manager?trk=ondemandfile" TargetMode="External"/><Relationship Id="rId127" Type="http://schemas.openxmlformats.org/officeDocument/2006/relationships/hyperlink" Target="https://www.linkedin.com/learning/project-management-foundations-budgets-4?trk=ondemandfile" TargetMode="External"/><Relationship Id="rId10" Type="http://schemas.openxmlformats.org/officeDocument/2006/relationships/hyperlink" Target="https://www.linkedin.com/learning/paths/15e85c29-5b7c-3b12-a882-4bfdeb3c83c7?trk=ondemandfile" TargetMode="External"/><Relationship Id="rId31" Type="http://schemas.openxmlformats.org/officeDocument/2006/relationships/hyperlink" Target="https://www.linkedin.com/learning/paths/conviertete-en-coordinador-de-proyectos?trk=ondemandfile" TargetMode="External"/><Relationship Id="rId52" Type="http://schemas.openxmlformats.org/officeDocument/2006/relationships/hyperlink" Target="https://www.linkedin.com/learning/paths/become-an-outsourcing-specialist?trk=ondemandfile" TargetMode="External"/><Relationship Id="rId73" Type="http://schemas.openxmlformats.org/officeDocument/2006/relationships/hyperlink" Target="https://www.linkedin.com/learning/business-analysis-foundations?trk=ondemandfile" TargetMode="External"/><Relationship Id="rId94" Type="http://schemas.openxmlformats.org/officeDocument/2006/relationships/hyperlink" Target="https://www.linkedin.com/learning/paths/becoming-a-six-sigma-green-belt?trk=ondemandfile" TargetMode="External"/><Relationship Id="rId148" Type="http://schemas.openxmlformats.org/officeDocument/2006/relationships/hyperlink" Target="https://www.linkedin.com/learning/00-fundamentos-de-la-gestion-de-proyectos-integracion?trk=ondemandfile" TargetMode="External"/><Relationship Id="rId169" Type="http://schemas.openxmlformats.org/officeDocument/2006/relationships/hyperlink" Target="https://www.linkedin.com/learning/5s-workplace-productivity?trk=ondemandfile" TargetMode="External"/><Relationship Id="rId4" Type="http://schemas.openxmlformats.org/officeDocument/2006/relationships/hyperlink" Target="https://www.linkedin.com/learning/paths/conviertete-en-gestor-de-proyectos?trk=ondemandfile" TargetMode="External"/><Relationship Id="rId180" Type="http://schemas.openxmlformats.org/officeDocument/2006/relationships/hyperlink" Target="https://www.linkedin.com/learning/l-intelligence-artificielle-pour-les-chefs-cheffes-de-projet?trk=contentmappingfile" TargetMode="External"/><Relationship Id="rId215" Type="http://schemas.openxmlformats.org/officeDocument/2006/relationships/hyperlink" Target="https://www.linkedin.com/learning/00-pm-tools?trk=ondemandfile" TargetMode="External"/><Relationship Id="rId236" Type="http://schemas.openxmlformats.org/officeDocument/2006/relationships/hyperlink" Target="https://www.linkedin.com/learning/00-projprobl?trk=ondemandfile" TargetMode="External"/><Relationship Id="rId257" Type="http://schemas.openxmlformats.org/officeDocument/2006/relationships/hyperlink" Target="https://www.linkedin.com/learning/leading-projects?trk=ondemandfile" TargetMode="External"/><Relationship Id="rId278" Type="http://schemas.openxmlformats.org/officeDocument/2006/relationships/hyperlink" Target="https://www.linkedin.com/learning/tailoring-project-delivery?trk=ondemandfile" TargetMode="External"/><Relationship Id="rId42" Type="http://schemas.openxmlformats.org/officeDocument/2006/relationships/hyperlink" Target="https://www.linkedin.com/learning/competencias-basicas-de-gestao-de-projetos?trk=contentmappingfile" TargetMode="External"/><Relationship Id="rId84" Type="http://schemas.openxmlformats.org/officeDocument/2006/relationships/hyperlink" Target="https://www.linkedin.com/learning/berufsbild-projektmanagement?trk=ondemandfile" TargetMode="External"/><Relationship Id="rId138" Type="http://schemas.openxmlformats.org/officeDocument/2006/relationships/hyperlink" Target="https://www.linkedin.com/learning/grundlagen-der-programmierung-agile-softwareentwicklung?trk=ondemandfile" TargetMode="External"/><Relationship Id="rId191" Type="http://schemas.openxmlformats.org/officeDocument/2006/relationships/hyperlink" Target="https://www.linkedin.com/learning/projektmanagement-kosten-und-nutzen?trk=ondemandfile" TargetMode="External"/><Relationship Id="rId205" Type="http://schemas.openxmlformats.org/officeDocument/2006/relationships/hyperlink" Target="https://www.linkedin.com/learning/microsoft-teams-administrar-los-horarios-de-trabajo-del-personal-con-turnos?trk=ondemandfile" TargetMode="External"/><Relationship Id="rId247" Type="http://schemas.openxmlformats.org/officeDocument/2006/relationships/hyperlink" Target="https://www.linkedin.com/learning/become-a-project-management-entrepreneur?trk=ondemandfile" TargetMode="External"/><Relationship Id="rId107" Type="http://schemas.openxmlformats.org/officeDocument/2006/relationships/hyperlink" Target="https://www.linkedin.com/learning/00-managing-project-schedules?trk=ondemandfile" TargetMode="External"/><Relationship Id="rId11" Type="http://schemas.openxmlformats.org/officeDocument/2006/relationships/hyperlink" Target="https://www.linkedin.com/learning/how-to-be-an-effective-project-sponsor?trk=ondemandfile" TargetMode="External"/><Relationship Id="rId53" Type="http://schemas.openxmlformats.org/officeDocument/2006/relationships/hyperlink" Target="https://www.linkedin.com/learning/como-fijar-los-objetivos-de-la-unidad-de-negocio?trk=ondemandfile" TargetMode="External"/><Relationship Id="rId149" Type="http://schemas.openxmlformats.org/officeDocument/2006/relationships/hyperlink" Target="https://www.linkedin.com/learning/microsoft-365-rollout-fur-projektleiter?trk=contentmappingfile" TargetMode="External"/><Relationship Id="rId95" Type="http://schemas.openxmlformats.org/officeDocument/2006/relationships/hyperlink" Target="https://www.linkedin.com/learning/fundamentos-de-la-gestion-de-proyectos?trk=ondemandfile" TargetMode="External"/><Relationship Id="rId160" Type="http://schemas.openxmlformats.org/officeDocument/2006/relationships/hyperlink" Target="https://www.linkedin.com/learning/fundamentos-de-la-gestion-de-proyectos-proyectos-pequenos?trk=ondemandfile" TargetMode="External"/><Relationship Id="rId216" Type="http://schemas.openxmlformats.org/officeDocument/2006/relationships/hyperlink" Target="https://www.linkedin.com/learning/product-management-tips?trk=ondemandfile" TargetMode="External"/></Relationships>
</file>

<file path=xl/worksheets/_rels/sheet29.xml.rels><?xml version="1.0" encoding="UTF-8" standalone="yes"?>
<Relationships xmlns="http://schemas.openxmlformats.org/package/2006/relationships"><Relationship Id="rId117" Type="http://schemas.openxmlformats.org/officeDocument/2006/relationships/hyperlink" Target="https://www.linkedin.com/learning/neue-kunden-finden?trk=ondemandfile" TargetMode="External"/><Relationship Id="rId21" Type="http://schemas.openxmlformats.org/officeDocument/2006/relationships/hyperlink" Target="https://www.linkedin.com/learning/retail-sales-management?trk=ondemandfile" TargetMode="External"/><Relationship Id="rId42" Type="http://schemas.openxmlformats.org/officeDocument/2006/relationships/hyperlink" Target="https://www.linkedin.com/learning/inside-sales-managing-sales-rep-personas?trk=ondemandfile" TargetMode="External"/><Relationship Id="rId63" Type="http://schemas.openxmlformats.org/officeDocument/2006/relationships/hyperlink" Target="https://www.linkedin.com/learning/dynamics-365-for-sales-anpassung?trk=ondemandfile" TargetMode="External"/><Relationship Id="rId84" Type="http://schemas.openxmlformats.org/officeDocument/2006/relationships/hyperlink" Target="https://www.linkedin.com/learning/00-fragen-verkauf?trk=ondemandfile" TargetMode="External"/><Relationship Id="rId138" Type="http://schemas.openxmlformats.org/officeDocument/2006/relationships/hyperlink" Target="https://www.linkedin.com/learning/storytelling-fur-vertrieb-und-verkauf-einfuhrung-und-basics?trk=ondemandfile" TargetMode="External"/><Relationship Id="rId159" Type="http://schemas.openxmlformats.org/officeDocument/2006/relationships/hyperlink" Target="https://www.linkedin.com/learning/introduction-to-mind-like-sky-meditation?trk=ondemandfile" TargetMode="External"/><Relationship Id="rId170" Type="http://schemas.openxmlformats.org/officeDocument/2006/relationships/hyperlink" Target="https://www.linkedin.com/learning/the-top-three-negotiation-myths?trk=ondemandfile" TargetMode="External"/><Relationship Id="rId191" Type="http://schemas.openxmlformats.org/officeDocument/2006/relationships/hyperlink" Target="https://www.linkedin.com/learning/sales-channel-management?trk=ondemandfile" TargetMode="External"/><Relationship Id="rId205" Type="http://schemas.openxmlformats.org/officeDocument/2006/relationships/hyperlink" Target="https://www.linkedin.com/learning/selling-with-empathy-during-uncertain-times?trk=ondemandfile" TargetMode="External"/><Relationship Id="rId107" Type="http://schemas.openxmlformats.org/officeDocument/2006/relationships/hyperlink" Target="https://www.linkedin.com/learning/magento-2-grundkurs?trk=ondemandfile" TargetMode="External"/><Relationship Id="rId11" Type="http://schemas.openxmlformats.org/officeDocument/2006/relationships/hyperlink" Target="https://www.linkedin.com/learning/paths/3b9c9a89-02b2-326b-a8d9-5890aa750936?trk=ondemandfile" TargetMode="External"/><Relationship Id="rId32" Type="http://schemas.openxmlformats.org/officeDocument/2006/relationships/hyperlink" Target="https://www.linkedin.com/learning/das-verkaufsgesprach?trk=ondemandfile" TargetMode="External"/><Relationship Id="rId53" Type="http://schemas.openxmlformats.org/officeDocument/2006/relationships/hyperlink" Target="https://www.linkedin.com/learning/sales-prospecting-14783679?trk=contentmappingfile" TargetMode="External"/><Relationship Id="rId74" Type="http://schemas.openxmlformats.org/officeDocument/2006/relationships/hyperlink" Target="https://www.linkedin.com/learning/inclusive-selling-selling-across-culture-race-and-gender-differences?trk=ondemandfile" TargetMode="External"/><Relationship Id="rId128" Type="http://schemas.openxmlformats.org/officeDocument/2006/relationships/hyperlink" Target="https://www.linkedin.com/learning/salesforce-para-administradores-esencial?trk=ondemandfile" TargetMode="External"/><Relationship Id="rId149" Type="http://schemas.openxmlformats.org/officeDocument/2006/relationships/hyperlink" Target="https://www.linkedin.com/learning/how-to-make-work-more-meaningful?trk=ondemandfile" TargetMode="External"/><Relationship Id="rId5" Type="http://schemas.openxmlformats.org/officeDocument/2006/relationships/hyperlink" Target="https://www.linkedin.com/learning/paths/aplica-linkedin-en-tus-ventas?trk=ondemandfile" TargetMode="External"/><Relationship Id="rId95" Type="http://schemas.openxmlformats.org/officeDocument/2006/relationships/hyperlink" Target="https://www.linkedin.com/learning/sales-forecasting-2?trk=contentmappingfile" TargetMode="External"/><Relationship Id="rId160" Type="http://schemas.openxmlformats.org/officeDocument/2006/relationships/hyperlink" Target="https://www.linkedin.com/learning/introduction-to-loving-kindness-meditation?trk=ondemandfile" TargetMode="External"/><Relationship Id="rId181" Type="http://schemas.openxmlformats.org/officeDocument/2006/relationships/hyperlink" Target="https://www.linkedin.com/learning/business-to-business-sales?trk=ondemandfile" TargetMode="External"/><Relationship Id="rId216" Type="http://schemas.openxmlformats.org/officeDocument/2006/relationships/hyperlink" Target="https://www.linkedin.com/learning/running-a-design-business-writing-and-pricing-winning-proposals?trk=ondemandfile" TargetMode="External"/><Relationship Id="rId22" Type="http://schemas.openxmlformats.org/officeDocument/2006/relationships/hyperlink" Target="https://www.linkedin.com/learning/paths/become-a-retail-sales-associate?trk=ondemandfile" TargetMode="External"/><Relationship Id="rId43" Type="http://schemas.openxmlformats.org/officeDocument/2006/relationships/hyperlink" Target="https://www.linkedin.com/learning/paths/create-a-successful-pitch-for-investors?trk=ondemandfile" TargetMode="External"/><Relationship Id="rId64" Type="http://schemas.openxmlformats.org/officeDocument/2006/relationships/hyperlink" Target="https://www.linkedin.com/learning/persuasive-selling-3?trk=ondemandfile" TargetMode="External"/><Relationship Id="rId118" Type="http://schemas.openxmlformats.org/officeDocument/2006/relationships/hyperlink" Target="https://www.linkedin.com/learning/business-analytics-sales-data?trk=ondemandfile" TargetMode="External"/><Relationship Id="rId139" Type="http://schemas.openxmlformats.org/officeDocument/2006/relationships/hyperlink" Target="https://www.linkedin.com/learning/selling-while-human?trk=ondemandfile" TargetMode="External"/><Relationship Id="rId85" Type="http://schemas.openxmlformats.org/officeDocument/2006/relationships/hyperlink" Target="https://www.linkedin.com/learning/gestao-de-expectativas-dos-clientes-para-gerentes?trk=contentmappingfile" TargetMode="External"/><Relationship Id="rId150" Type="http://schemas.openxmlformats.org/officeDocument/2006/relationships/hyperlink" Target="https://www.linkedin.com/learning/verkaufsprognosen?trk=ondemandfile" TargetMode="External"/><Relationship Id="rId171" Type="http://schemas.openxmlformats.org/officeDocument/2006/relationships/hyperlink" Target="https://www.linkedin.com/learning/how-to-save-face-in-a-negotiation?trk=ondemandfile" TargetMode="External"/><Relationship Id="rId192" Type="http://schemas.openxmlformats.org/officeDocument/2006/relationships/hyperlink" Target="https://www.linkedin.com/learning/sales-performance-measurement-and-reporting?trk=ondemandfile" TargetMode="External"/><Relationship Id="rId206" Type="http://schemas.openxmlformats.org/officeDocument/2006/relationships/hyperlink" Target="https://www.linkedin.com/learning/social-selling-reaching-prospects?trk=ondemandfile" TargetMode="External"/><Relationship Id="rId12" Type="http://schemas.openxmlformats.org/officeDocument/2006/relationships/hyperlink" Target="https://www.linkedin.com/learning/business-fundamentals-for-customer-success-managers?trk=ondemandfile" TargetMode="External"/><Relationship Id="rId33" Type="http://schemas.openxmlformats.org/officeDocument/2006/relationships/hyperlink" Target="https://www.linkedin.com/learning/sales-foundations-4?trk=ondemandfile" TargetMode="External"/><Relationship Id="rId108" Type="http://schemas.openxmlformats.org/officeDocument/2006/relationships/hyperlink" Target="https://www.linkedin.com/learning/value-realization-best-practices-for-customer-success-management?trk=ondemandfile" TargetMode="External"/><Relationship Id="rId129" Type="http://schemas.openxmlformats.org/officeDocument/2006/relationships/hyperlink" Target="https://www.linkedin.com/learning/salesforce?trk=ondemandfile" TargetMode="External"/><Relationship Id="rId54" Type="http://schemas.openxmlformats.org/officeDocument/2006/relationships/hyperlink" Target="https://www.linkedin.com/learning/managing-a-customer-service-team-4?trk=ondemandfile" TargetMode="External"/><Relationship Id="rId75" Type="http://schemas.openxmlformats.org/officeDocument/2006/relationships/hyperlink" Target="https://www.linkedin.com/learning/como-vender-con-storytelling-parte-1-los-elementos-de-una-gran-historia?trk=ondemandfile" TargetMode="External"/><Relationship Id="rId96" Type="http://schemas.openxmlformats.org/officeDocument/2006/relationships/hyperlink" Target="https://www.linkedin.com/learning/following-up-after-a-sales-meeting?trk=ondemandfile" TargetMode="External"/><Relationship Id="rId140" Type="http://schemas.openxmlformats.org/officeDocument/2006/relationships/hyperlink" Target="https://www.linkedin.com/learning/vendre-a-des-cadres-superieurs-superieures?trk=contentmappingfile" TargetMode="External"/><Relationship Id="rId161" Type="http://schemas.openxmlformats.org/officeDocument/2006/relationships/hyperlink" Target="https://www.linkedin.com/learning/introduction-to-forgiveness-meditation?trk=ondemandfile" TargetMode="External"/><Relationship Id="rId182" Type="http://schemas.openxmlformats.org/officeDocument/2006/relationships/hyperlink" Target="https://www.linkedin.com/learning/creating-the-ideal-sales-culture?trk=ondemandfile" TargetMode="External"/><Relationship Id="rId217" Type="http://schemas.openxmlformats.org/officeDocument/2006/relationships/hyperlink" Target="https://www.linkedin.com/learning/just-ask-dean-karrel?trk=ondemandfile" TargetMode="External"/><Relationship Id="rId6" Type="http://schemas.openxmlformats.org/officeDocument/2006/relationships/hyperlink" Target="https://www.linkedin.com/learning/als-kundenservice-manager-in-die-erwartung-der-kundschaft-steuern?trk=ondemandfile" TargetMode="External"/><Relationship Id="rId23" Type="http://schemas.openxmlformats.org/officeDocument/2006/relationships/hyperlink" Target="https://www.linkedin.com/learning/como-desarrollar-tu-elevator-pitch?trk=ondemandfile" TargetMode="External"/><Relationship Id="rId119" Type="http://schemas.openxmlformats.org/officeDocument/2006/relationships/hyperlink" Target="https://www.linkedin.com/learning/la-venta-persuasiva?trk=ondemandfile" TargetMode="External"/><Relationship Id="rId44" Type="http://schemas.openxmlformats.org/officeDocument/2006/relationships/hyperlink" Target="https://www.linkedin.com/learning/evoluer-de-commercial-commerciale-a-responsable-des-ventes?trk=contentmappingfile" TargetMode="External"/><Relationship Id="rId65" Type="http://schemas.openxmlformats.org/officeDocument/2006/relationships/hyperlink" Target="https://www.linkedin.com/learning/purpose-driven-sales-2021?trk=contentmappingfile" TargetMode="External"/><Relationship Id="rId86" Type="http://schemas.openxmlformats.org/officeDocument/2006/relationships/hyperlink" Target="https://www.linkedin.com/learning/the-science-of-sales-2?trk=ondemandfile" TargetMode="External"/><Relationship Id="rId130" Type="http://schemas.openxmlformats.org/officeDocument/2006/relationships/hyperlink" Target="https://www.linkedin.com/learning/creating-your-sales-process-2?trk=ondemandfile" TargetMode="External"/><Relationship Id="rId151" Type="http://schemas.openxmlformats.org/officeDocument/2006/relationships/hyperlink" Target="https://www.linkedin.com/learning/mindful-productivity?trk=ondemandfile" TargetMode="External"/><Relationship Id="rId172" Type="http://schemas.openxmlformats.org/officeDocument/2006/relationships/hyperlink" Target="https://www.linkedin.com/learning/mindsets-and-strategies-for-negotiation-success?trk=ondemandfile" TargetMode="External"/><Relationship Id="rId193" Type="http://schemas.openxmlformats.org/officeDocument/2006/relationships/hyperlink" Target="https://www.linkedin.com/learning/develop-a-service-orientation?trk=ondemandfile" TargetMode="External"/><Relationship Id="rId207" Type="http://schemas.openxmlformats.org/officeDocument/2006/relationships/hyperlink" Target="https://www.linkedin.com/learning/cold-email-prospecting?trk=ondemandfile" TargetMode="External"/><Relationship Id="rId13" Type="http://schemas.openxmlformats.org/officeDocument/2006/relationships/hyperlink" Target="https://www.linkedin.com/learning/paths/become-a-sales-representative?trk=ondemandfile" TargetMode="External"/><Relationship Id="rId109" Type="http://schemas.openxmlformats.org/officeDocument/2006/relationships/hyperlink" Target="https://www.linkedin.com/learning/les-soft-skills-pour-les-commerciaux-commerciales?trk=contentmappingfile" TargetMode="External"/><Relationship Id="rId34" Type="http://schemas.openxmlformats.org/officeDocument/2006/relationships/hyperlink" Target="https://www.linkedin.com/learning/6256e3ef-3b72-3835-b959-5221f45dd589?trk=ondemandfile" TargetMode="External"/><Relationship Id="rId55" Type="http://schemas.openxmlformats.org/officeDocument/2006/relationships/hyperlink" Target="https://www.linkedin.com/learning/microsoft-dynamics-365-essential-training-2021?trk=ondemandfile" TargetMode="External"/><Relationship Id="rId76" Type="http://schemas.openxmlformats.org/officeDocument/2006/relationships/hyperlink" Target="https://www.linkedin.com/learning/bei-anruf-termin?trk=ondemandfile" TargetMode="External"/><Relationship Id="rId97" Type="http://schemas.openxmlformats.org/officeDocument/2006/relationships/hyperlink" Target="https://www.linkedin.com/learning/fundamentos-de-la-prevision-de-ventas?trk=ondemandfile" TargetMode="External"/><Relationship Id="rId120" Type="http://schemas.openxmlformats.org/officeDocument/2006/relationships/hyperlink" Target="https://www.linkedin.com/learning/preisgesprache-im-verkauf?trk=ondemandfile" TargetMode="External"/><Relationship Id="rId141" Type="http://schemas.openxmlformats.org/officeDocument/2006/relationships/hyperlink" Target="https://www.linkedin.com/learning/storytelling-fur-vertrieb-und-verkauf-in-der-praxis?trk=ondemandfile" TargetMode="External"/><Relationship Id="rId7" Type="http://schemas.openxmlformats.org/officeDocument/2006/relationships/hyperlink" Target="https://www.linkedin.com/learning/paths/verkaufer-in-werden?trk=ondemandfile" TargetMode="External"/><Relationship Id="rId162" Type="http://schemas.openxmlformats.org/officeDocument/2006/relationships/hyperlink" Target="https://www.linkedin.com/learning/introduction-to-visualization-meditation?trk=ondemandfile" TargetMode="External"/><Relationship Id="rId183" Type="http://schemas.openxmlformats.org/officeDocument/2006/relationships/hyperlink" Target="https://www.linkedin.com/learning/the-science-of-sales?trk=ondemandfile" TargetMode="External"/><Relationship Id="rId218" Type="http://schemas.openxmlformats.org/officeDocument/2006/relationships/hyperlink" Target="https://www.linkedin.com/learning/sales-management-simplified-blinkist-summary?trk=ondemandfile" TargetMode="External"/><Relationship Id="rId24" Type="http://schemas.openxmlformats.org/officeDocument/2006/relationships/hyperlink" Target="https://www.linkedin.com/learning/paths/conviertete-en-vendedor?trk=ondemandfile" TargetMode="External"/><Relationship Id="rId45" Type="http://schemas.openxmlformats.org/officeDocument/2006/relationships/hyperlink" Target="https://www.linkedin.com/learning/como-escribir-correos-electronicos-de-servicio-al-cliente?trk=ondemandfile" TargetMode="External"/><Relationship Id="rId66" Type="http://schemas.openxmlformats.org/officeDocument/2006/relationships/hyperlink" Target="https://www.linkedin.com/learning/gerer-la-force-de-vente-pour-les-directeurs-directrices-des-ventes?trk=contentmappingfile" TargetMode="External"/><Relationship Id="rId87" Type="http://schemas.openxmlformats.org/officeDocument/2006/relationships/hyperlink" Target="https://www.linkedin.com/learning/sales-management-foundations?trk=ondemandfile" TargetMode="External"/><Relationship Id="rId110" Type="http://schemas.openxmlformats.org/officeDocument/2006/relationships/hyperlink" Target="https://www.linkedin.com/learning/gestion-de-las-expectativas-de-los-clientes-para-gerentes?trk=ondemandfile" TargetMode="External"/><Relationship Id="rId131" Type="http://schemas.openxmlformats.org/officeDocument/2006/relationships/hyperlink" Target="https://www.linkedin.com/learning/repondre-aux-objections-de-ses-clients-clientes?trk=contentmappingfile" TargetMode="External"/><Relationship Id="rId152" Type="http://schemas.openxmlformats.org/officeDocument/2006/relationships/hyperlink" Target="https://www.linkedin.com/learning/vendre-sur-les-reseaux-sociaux-le-social-commerce?trk=contentmappingfile" TargetMode="External"/><Relationship Id="rId173" Type="http://schemas.openxmlformats.org/officeDocument/2006/relationships/hyperlink" Target="https://www.linkedin.com/learning/sales-well-being-managing-anxiety-burnout-and-rejection?trk=ondemandfile" TargetMode="External"/><Relationship Id="rId194" Type="http://schemas.openxmlformats.org/officeDocument/2006/relationships/hyperlink" Target="https://www.linkedin.com/learning/sales-customer-success?trk=ondemandfile" TargetMode="External"/><Relationship Id="rId208" Type="http://schemas.openxmlformats.org/officeDocument/2006/relationships/hyperlink" Target="https://www.linkedin.com/learning/managing-your-sales-process-2020?trk=ondemandfile" TargetMode="External"/><Relationship Id="rId14" Type="http://schemas.openxmlformats.org/officeDocument/2006/relationships/hyperlink" Target="https://www.linkedin.com/learning/annoncer-une-mauvaise-nouvelle-a-un-client-une-cliente?trk=contentmappingfile" TargetMode="External"/><Relationship Id="rId30" Type="http://schemas.openxmlformats.org/officeDocument/2006/relationships/hyperlink" Target="https://www.linkedin.com/learning/paths/build-your-skills-in-customer-billing-support?trk=ondemandfile" TargetMode="External"/><Relationship Id="rId35" Type="http://schemas.openxmlformats.org/officeDocument/2006/relationships/hyperlink" Target="https://www.linkedin.com/learning/sales-coaching-2021?trk=ondemandfile" TargetMode="External"/><Relationship Id="rId56" Type="http://schemas.openxmlformats.org/officeDocument/2006/relationships/hyperlink" Target="https://www.linkedin.com/learning/paths/develop-your-sales-knowledge-and-skills?trk=ondemandfile" TargetMode="External"/><Relationship Id="rId77" Type="http://schemas.openxmlformats.org/officeDocument/2006/relationships/hyperlink" Target="https://www.linkedin.com/learning/sales-prospecting-3?trk=ondemandfile" TargetMode="External"/><Relationship Id="rId100" Type="http://schemas.openxmlformats.org/officeDocument/2006/relationships/hyperlink" Target="https://www.linkedin.com/learning/fundamentos-de-las-ventas?trk=ondemandfile" TargetMode="External"/><Relationship Id="rId105" Type="http://schemas.openxmlformats.org/officeDocument/2006/relationships/hyperlink" Target="https://www.linkedin.com/learning/customer-success-management-fundamentals?trk=ondemandfile" TargetMode="External"/><Relationship Id="rId126" Type="http://schemas.openxmlformats.org/officeDocument/2006/relationships/hyperlink" Target="https://www.linkedin.com/learning/rechtsgrundlagen-e-mail-marketing?trk=ondemandfile" TargetMode="External"/><Relationship Id="rId147" Type="http://schemas.openxmlformats.org/officeDocument/2006/relationships/hyperlink" Target="https://www.linkedin.com/learning/mastering-authentic-influence-for-highly-successful-sales?trk=ondemandfile" TargetMode="External"/><Relationship Id="rId168" Type="http://schemas.openxmlformats.org/officeDocument/2006/relationships/hyperlink" Target="https://www.linkedin.com/learning/how-to-prepare-for-your-negotiations?trk=ondemandfile" TargetMode="External"/><Relationship Id="rId8" Type="http://schemas.openxmlformats.org/officeDocument/2006/relationships/hyperlink" Target="https://www.linkedin.com/learning/solution-sales-14173747?trk=contentmappingfile" TargetMode="External"/><Relationship Id="rId51" Type="http://schemas.openxmlformats.org/officeDocument/2006/relationships/hyperlink" Target="https://www.linkedin.com/learning/como-gestionar-el-enfado-en-la-clientela?trk=contentmappingfile" TargetMode="External"/><Relationship Id="rId72" Type="http://schemas.openxmlformats.org/officeDocument/2006/relationships/hyperlink" Target="https://www.linkedin.com/learning/einwandbehandlung-im-verkauf?trk=ondemandfile" TargetMode="External"/><Relationship Id="rId93" Type="http://schemas.openxmlformats.org/officeDocument/2006/relationships/hyperlink" Target="https://www.linkedin.com/learning/fundamentos-de-la-gestion-de-ventas?trk=ondemandfile" TargetMode="External"/><Relationship Id="rId98" Type="http://schemas.openxmlformats.org/officeDocument/2006/relationships/hyperlink" Target="https://www.linkedin.com/learning/key-account-management-5?trk=ondemandfile" TargetMode="External"/><Relationship Id="rId121" Type="http://schemas.openxmlformats.org/officeDocument/2006/relationships/hyperlink" Target="https://www.linkedin.com/learning/cold-calling-mastery?trk=ondemandfile" TargetMode="External"/><Relationship Id="rId142" Type="http://schemas.openxmlformats.org/officeDocument/2006/relationships/hyperlink" Target="https://www.linkedin.com/learning/jeffrey-gitomer-s-little-red-book-of-sales-answers-getabstract-summary?trk=ondemandfile" TargetMode="External"/><Relationship Id="rId163" Type="http://schemas.openxmlformats.org/officeDocument/2006/relationships/hyperlink" Target="https://www.linkedin.com/learning/mindful-leadership?trk=ondemandfile" TargetMode="External"/><Relationship Id="rId184" Type="http://schemas.openxmlformats.org/officeDocument/2006/relationships/hyperlink" Target="https://www.linkedin.com/learning/sales-prospecting?trk=ondemandfile" TargetMode="External"/><Relationship Id="rId189" Type="http://schemas.openxmlformats.org/officeDocument/2006/relationships/hyperlink" Target="https://www.linkedin.com/learning/sales-forecasting?trk=ondemandfile" TargetMode="External"/><Relationship Id="rId219" Type="http://schemas.openxmlformats.org/officeDocument/2006/relationships/hyperlink" Target="https://www.linkedin.com/learning/flip-the-script-a-toolkit-for-sellers-and-negotiators-blinkist-summary?trk=ondemandfile" TargetMode="External"/><Relationship Id="rId3" Type="http://schemas.openxmlformats.org/officeDocument/2006/relationships/hyperlink" Target="https://www.linkedin.com/learning/3-conseils-pour-avoir-le-bon-etat-d-esprit-lors-d-une-vente?trk=contentmappingfile" TargetMode="External"/><Relationship Id="rId214" Type="http://schemas.openxmlformats.org/officeDocument/2006/relationships/hyperlink" Target="https://www.linkedin.com/learning/advanced-lead-generation?trk=ondemandfile" TargetMode="External"/><Relationship Id="rId25" Type="http://schemas.openxmlformats.org/officeDocument/2006/relationships/hyperlink" Target="https://www.linkedin.com/learning/an-topmanager-innen-verkaufen?trk=ondemandfile" TargetMode="External"/><Relationship Id="rId46" Type="http://schemas.openxmlformats.org/officeDocument/2006/relationships/hyperlink" Target="https://www.linkedin.com/learning/die-wissenschaft-des-verkaufens?trk=ondemandfile" TargetMode="External"/><Relationship Id="rId67" Type="http://schemas.openxmlformats.org/officeDocument/2006/relationships/hyperlink" Target="https://www.linkedin.com/learning/como-medir-la-eficacia-de-tu-fuerza-de-ventas?trk=contentmappingfile" TargetMode="External"/><Relationship Id="rId116" Type="http://schemas.openxmlformats.org/officeDocument/2006/relationships/hyperlink" Target="https://www.linkedin.com/learning/la-ciencia-de-las-ventas?trk=ondemandfile" TargetMode="External"/><Relationship Id="rId137" Type="http://schemas.openxmlformats.org/officeDocument/2006/relationships/hyperlink" Target="https://www.linkedin.com/learning/cold-calling-overcoming-sales-objections?trk=ondemandfile" TargetMode="External"/><Relationship Id="rId158" Type="http://schemas.openxmlformats.org/officeDocument/2006/relationships/hyperlink" Target="https://www.linkedin.com/learning/introduction-to-gratitude-meditation?trk=ondemandfile" TargetMode="External"/><Relationship Id="rId20" Type="http://schemas.openxmlformats.org/officeDocument/2006/relationships/hyperlink" Target="https://www.linkedin.com/learning/influencing-others-4?trk=ondemandfile" TargetMode="External"/><Relationship Id="rId41" Type="http://schemas.openxmlformats.org/officeDocument/2006/relationships/hyperlink" Target="https://www.linkedin.com/learning/selling-with-stories-part-2-stories-great-sales-people-tell-2?trk=ondemandfile" TargetMode="External"/><Relationship Id="rId62" Type="http://schemas.openxmlformats.org/officeDocument/2006/relationships/hyperlink" Target="https://www.linkedin.com/learning/como-liderar-una-cultura-centrada-en-el-cliente?trk=ondemandfile" TargetMode="External"/><Relationship Id="rId83" Type="http://schemas.openxmlformats.org/officeDocument/2006/relationships/hyperlink" Target="https://www.linkedin.com/learning/cuarta-revolucion-industrial-estrategias-comerciales?trk=ondemandfile" TargetMode="External"/><Relationship Id="rId88" Type="http://schemas.openxmlformats.org/officeDocument/2006/relationships/hyperlink" Target="https://www.linkedin.com/learning/excel-crear-un-dashboard-comercial-con-power-query-y-power-pivot?trk=ondemandfile" TargetMode="External"/><Relationship Id="rId111" Type="http://schemas.openxmlformats.org/officeDocument/2006/relationships/hyperlink" Target="https://www.linkedin.com/learning/aufmerksamkeit-im-verkauf?trk=ondemandfile" TargetMode="External"/><Relationship Id="rId132" Type="http://schemas.openxmlformats.org/officeDocument/2006/relationships/hyperlink" Target="https://www.linkedin.com/learning/salesforce-para-gerentes-de-ventas?trk=ondemandfile" TargetMode="External"/><Relationship Id="rId153" Type="http://schemas.openxmlformats.org/officeDocument/2006/relationships/hyperlink" Target="https://www.linkedin.com/learning/selbstvertrieb?trk=ondemandfile" TargetMode="External"/><Relationship Id="rId174" Type="http://schemas.openxmlformats.org/officeDocument/2006/relationships/hyperlink" Target="https://www.linkedin.com/learning/startup-stories-clothing-salesman-invents-baby-harness?trk=ondemandfile" TargetMode="External"/><Relationship Id="rId179" Type="http://schemas.openxmlformats.org/officeDocument/2006/relationships/hyperlink" Target="https://www.linkedin.com/learning/new-sales-manager-fundamentals?trk=ondemandfile" TargetMode="External"/><Relationship Id="rId195" Type="http://schemas.openxmlformats.org/officeDocument/2006/relationships/hyperlink" Target="https://www.linkedin.com/learning/closing-a-complex-sale?trk=ondemandfile" TargetMode="External"/><Relationship Id="rId209" Type="http://schemas.openxmlformats.org/officeDocument/2006/relationships/hyperlink" Target="https://www.linkedin.com/learning/sales-and-the-science-of-trust?trk=ondemandfile" TargetMode="External"/><Relationship Id="rId190" Type="http://schemas.openxmlformats.org/officeDocument/2006/relationships/hyperlink" Target="https://www.linkedin.com/learning/key-account-management?trk=ondemandfile" TargetMode="External"/><Relationship Id="rId204" Type="http://schemas.openxmlformats.org/officeDocument/2006/relationships/hyperlink" Target="https://www.linkedin.com/learning/asking-great-sales-questions-2019?trk=ondemandfile" TargetMode="External"/><Relationship Id="rId220" Type="http://schemas.openxmlformats.org/officeDocument/2006/relationships/hyperlink" Target="https://www.linkedin.com/learning/how-to-create-a-life-of-meaning-and-purpose?trk=ondemandfile" TargetMode="External"/><Relationship Id="rId15" Type="http://schemas.openxmlformats.org/officeDocument/2006/relationships/hyperlink" Target="https://www.linkedin.com/learning/como-construir-la-lealtad-del-cliente?trk=ondemandfile" TargetMode="External"/><Relationship Id="rId36" Type="http://schemas.openxmlformats.org/officeDocument/2006/relationships/hyperlink" Target="https://www.linkedin.com/learning/paths/build-your-skills-in-sales-development?trk=ondemandfile" TargetMode="External"/><Relationship Id="rId57" Type="http://schemas.openxmlformats.org/officeDocument/2006/relationships/hyperlink" Target="https://www.linkedin.com/learning/como-identificar-oportunidades-de-crecimiento-en-las-ventas?trk=ondemandfile" TargetMode="External"/><Relationship Id="rId106" Type="http://schemas.openxmlformats.org/officeDocument/2006/relationships/hyperlink" Target="https://www.linkedin.com/learning/gestion-de-clientes-potenciales?trk=ondemandfile" TargetMode="External"/><Relationship Id="rId127" Type="http://schemas.openxmlformats.org/officeDocument/2006/relationships/hyperlink" Target="https://www.linkedin.com/learning/engagement-preparation-best-practices-for-customer-success-management?trk=ondemandfile" TargetMode="External"/><Relationship Id="rId10" Type="http://schemas.openxmlformats.org/officeDocument/2006/relationships/hyperlink" Target="https://www.linkedin.com/learning/key-account-management-4?trk=ondemandfile" TargetMode="External"/><Relationship Id="rId31" Type="http://schemas.openxmlformats.org/officeDocument/2006/relationships/hyperlink" Target="https://www.linkedin.com/learning/00-influencing-others?trk=ondemandfile" TargetMode="External"/><Relationship Id="rId52" Type="http://schemas.openxmlformats.org/officeDocument/2006/relationships/hyperlink" Target="https://www.linkedin.com/learning/digital-nudging-nutzererfahrung-und-nutzerentscheidungen-positiv-beeinflussen?trk=ondemandfile" TargetMode="External"/><Relationship Id="rId73" Type="http://schemas.openxmlformats.org/officeDocument/2006/relationships/hyperlink" Target="https://www.linkedin.com/learning/sales-foundations-2?trk=ondemandfile" TargetMode="External"/><Relationship Id="rId78" Type="http://schemas.openxmlformats.org/officeDocument/2006/relationships/hyperlink" Target="https://www.linkedin.com/learning/delivering-a-great-sales-pitch?trk=ondemandfile" TargetMode="External"/><Relationship Id="rId94" Type="http://schemas.openxmlformats.org/officeDocument/2006/relationships/hyperlink" Target="https://www.linkedin.com/learning/ihr-pers-nlicher-elevator-pitch?trk=ondemandfile" TargetMode="External"/><Relationship Id="rId99" Type="http://schemas.openxmlformats.org/officeDocument/2006/relationships/hyperlink" Target="https://www.linkedin.com/learning/sales-discovery?trk=ondemandfile" TargetMode="External"/><Relationship Id="rId101" Type="http://schemas.openxmlformats.org/officeDocument/2006/relationships/hyperlink" Target="https://www.linkedin.com/learning/kunden-gewinnen-mit-online-prasentationen?trk=ondemandfile" TargetMode="External"/><Relationship Id="rId122" Type="http://schemas.openxmlformats.org/officeDocument/2006/relationships/hyperlink" Target="https://www.linkedin.com/learning/linkedin-para-ventas-2?trk=ondemandfile" TargetMode="External"/><Relationship Id="rId143" Type="http://schemas.openxmlformats.org/officeDocument/2006/relationships/hyperlink" Target="https://www.linkedin.com/learning/strategisch-verhandeln?trk=ondemandfile" TargetMode="External"/><Relationship Id="rId148" Type="http://schemas.openxmlformats.org/officeDocument/2006/relationships/hyperlink" Target="https://www.linkedin.com/learning/59fb67c0-ba5b-3770-b982-3aab3ae1262e?trk=ondemandfile" TargetMode="External"/><Relationship Id="rId164" Type="http://schemas.openxmlformats.org/officeDocument/2006/relationships/hyperlink" Target="https://www.linkedin.com/learning/creating-flow?trk=ondemandfile" TargetMode="External"/><Relationship Id="rId169" Type="http://schemas.openxmlformats.org/officeDocument/2006/relationships/hyperlink" Target="https://www.linkedin.com/learning/three-tips-for-dealing-with-deception-in-negotiations?trk=ondemandfile" TargetMode="External"/><Relationship Id="rId185" Type="http://schemas.openxmlformats.org/officeDocument/2006/relationships/hyperlink" Target="https://www.linkedin.com/learning/making-great-sales-presentations?trk=ondemandfile" TargetMode="External"/><Relationship Id="rId4" Type="http://schemas.openxmlformats.org/officeDocument/2006/relationships/hyperlink" Target="https://www.linkedin.com/learning/aprende-microsoft-dynamics-365-finance?trk=contentmappingfile" TargetMode="External"/><Relationship Id="rId9" Type="http://schemas.openxmlformats.org/officeDocument/2006/relationships/hyperlink" Target="https://www.linkedin.com/learning/paths/torne-se-um-profissional-de-vendas?trk=ondemandfile" TargetMode="External"/><Relationship Id="rId180" Type="http://schemas.openxmlformats.org/officeDocument/2006/relationships/hyperlink" Target="https://www.linkedin.com/learning/customer-retention?trk=ondemandfile" TargetMode="External"/><Relationship Id="rId210" Type="http://schemas.openxmlformats.org/officeDocument/2006/relationships/hyperlink" Target="https://www.linkedin.com/learning/the-persuasion-code-the-neuroscience-of-sales?trk=ondemandfile" TargetMode="External"/><Relationship Id="rId215" Type="http://schemas.openxmlformats.org/officeDocument/2006/relationships/hyperlink" Target="https://www.linkedin.com/learning/influencing-others?trk=ondemandfile" TargetMode="External"/><Relationship Id="rId26" Type="http://schemas.openxmlformats.org/officeDocument/2006/relationships/hyperlink" Target="https://www.linkedin.com/learning/asking-great-sales-questions-14761647?trk=contentmappingfile" TargetMode="External"/><Relationship Id="rId47" Type="http://schemas.openxmlformats.org/officeDocument/2006/relationships/hyperlink" Target="https://www.linkedin.com/learning/selling-with-stories-part-2-stories-great-sales-people-tell-3?trk=ondemandfile" TargetMode="External"/><Relationship Id="rId68" Type="http://schemas.openxmlformats.org/officeDocument/2006/relationships/hyperlink" Target="https://www.linkedin.com/learning/e-commerce-recht-grundlagen?trk=ondemandfile" TargetMode="External"/><Relationship Id="rId89" Type="http://schemas.openxmlformats.org/officeDocument/2006/relationships/hyperlink" Target="https://www.linkedin.com/learning/fuhrung-im-vertrieb-limbecks-leadership-lektionen?trk=ondemandfile" TargetMode="External"/><Relationship Id="rId112" Type="http://schemas.openxmlformats.org/officeDocument/2006/relationships/hyperlink" Target="https://www.linkedin.com/learning/avoiding-common-pitfalls-in-customer-success-management?trk=ondemandfile" TargetMode="External"/><Relationship Id="rId133" Type="http://schemas.openxmlformats.org/officeDocument/2006/relationships/hyperlink" Target="https://www.linkedin.com/learning/shopware?trk=ondemandfile" TargetMode="External"/><Relationship Id="rId154" Type="http://schemas.openxmlformats.org/officeDocument/2006/relationships/hyperlink" Target="https://www.linkedin.com/learning/embracing-change-with-mindfulness?trk=ondemandfile" TargetMode="External"/><Relationship Id="rId175" Type="http://schemas.openxmlformats.org/officeDocument/2006/relationships/hyperlink" Target="https://www.linkedin.com/learning/aftersale-maintaining-relationships?trk=ondemandfile" TargetMode="External"/><Relationship Id="rId196" Type="http://schemas.openxmlformats.org/officeDocument/2006/relationships/hyperlink" Target="https://www.linkedin.com/learning/sales-pipeline-management?trk=ondemandfile" TargetMode="External"/><Relationship Id="rId200" Type="http://schemas.openxmlformats.org/officeDocument/2006/relationships/hyperlink" Target="https://www.linkedin.com/learning/sales-handling-objections?trk=ondemandfile" TargetMode="External"/><Relationship Id="rId16" Type="http://schemas.openxmlformats.org/officeDocument/2006/relationships/hyperlink" Target="https://www.linkedin.com/learning/paths/destaca-en-ventas?trk=ondemandfile" TargetMode="External"/><Relationship Id="rId37" Type="http://schemas.openxmlformats.org/officeDocument/2006/relationships/hyperlink" Target="https://www.linkedin.com/learning/devenir-une-personne-charismatique-et-influente?trk=contentmappingfile" TargetMode="External"/><Relationship Id="rId58" Type="http://schemas.openxmlformats.org/officeDocument/2006/relationships/hyperlink" Target="https://www.linkedin.com/learning/dynamics-365-business-central-grundkurs?trk=ondemandfile" TargetMode="External"/><Relationship Id="rId79" Type="http://schemas.openxmlformats.org/officeDocument/2006/relationships/hyperlink" Target="https://www.linkedin.com/learning/como-vender-soluciones?trk=contentmappingfile" TargetMode="External"/><Relationship Id="rId102" Type="http://schemas.openxmlformats.org/officeDocument/2006/relationships/hyperlink" Target="https://www.linkedin.com/learning/social-selling-foundations-2?trk=ondemandfile" TargetMode="External"/><Relationship Id="rId123" Type="http://schemas.openxmlformats.org/officeDocument/2006/relationships/hyperlink" Target="https://www.linkedin.com/learning/preisheiten-alles-was-sie-uber-preise-wissen-mussen-blinkist-kernaussagen?trk=ondemandfile" TargetMode="External"/><Relationship Id="rId144" Type="http://schemas.openxmlformats.org/officeDocument/2006/relationships/hyperlink" Target="https://www.linkedin.com/learning/cold-calling-business-leaders?trk=ondemandfile" TargetMode="External"/><Relationship Id="rId90" Type="http://schemas.openxmlformats.org/officeDocument/2006/relationships/hyperlink" Target="https://www.linkedin.com/learning/gestao-de-expectativas-dos-clientes-para-pessoal-da-linha-de-frente?trk=contentmappingfile" TargetMode="External"/><Relationship Id="rId165" Type="http://schemas.openxmlformats.org/officeDocument/2006/relationships/hyperlink" Target="https://www.linkedin.com/learning/overcoming-rejection?trk=ondemandfile" TargetMode="External"/><Relationship Id="rId186" Type="http://schemas.openxmlformats.org/officeDocument/2006/relationships/hyperlink" Target="https://www.linkedin.com/learning/identify-sales-growth-opportunities?trk=ondemandfile" TargetMode="External"/><Relationship Id="rId211" Type="http://schemas.openxmlformats.org/officeDocument/2006/relationships/hyperlink" Target="https://www.linkedin.com/learning/sales-closing-strategies?trk=ondemandfile" TargetMode="External"/><Relationship Id="rId27" Type="http://schemas.openxmlformats.org/officeDocument/2006/relationships/hyperlink" Target="https://www.linkedin.com/learning/como-comunicar-mas-noticias-aos-clientes?trk=contentmappingfile" TargetMode="External"/><Relationship Id="rId48" Type="http://schemas.openxmlformats.org/officeDocument/2006/relationships/hyperlink" Target="https://www.linkedin.com/learning/phone-based-customer-service-3?trk=ondemandfile" TargetMode="External"/><Relationship Id="rId69" Type="http://schemas.openxmlformats.org/officeDocument/2006/relationships/hyperlink" Target="https://www.linkedin.com/learning/soft-skills-for-sales-professionals-2?trk=ondemandfile" TargetMode="External"/><Relationship Id="rId113" Type="http://schemas.openxmlformats.org/officeDocument/2006/relationships/hyperlink" Target="https://www.linkedin.com/learning/habilidades-blandas-para-profesionales-de-las-ventas?trk=contentmappingfile" TargetMode="External"/><Relationship Id="rId134" Type="http://schemas.openxmlformats.org/officeDocument/2006/relationships/hyperlink" Target="https://www.linkedin.com/learning/sales-fundamentals?trk=ondemandfile" TargetMode="External"/><Relationship Id="rId80" Type="http://schemas.openxmlformats.org/officeDocument/2006/relationships/hyperlink" Target="https://www.linkedin.com/learning/erfolgreich-verkaufen?trk=ondemandfile" TargetMode="External"/><Relationship Id="rId155" Type="http://schemas.openxmlformats.org/officeDocument/2006/relationships/hyperlink" Target="https://www.linkedin.com/learning/vertrieb-geht-heute-anders-blinkist-kernaussagen?trk=ondemandfile" TargetMode="External"/><Relationship Id="rId176" Type="http://schemas.openxmlformats.org/officeDocument/2006/relationships/hyperlink" Target="https://www.linkedin.com/learning/reframing-to-overcome-sales-objections?trk=ondemandfile" TargetMode="External"/><Relationship Id="rId197" Type="http://schemas.openxmlformats.org/officeDocument/2006/relationships/hyperlink" Target="https://www.linkedin.com/learning/sales-data-driven-sales-management?trk=ondemandfile" TargetMode="External"/><Relationship Id="rId201" Type="http://schemas.openxmlformats.org/officeDocument/2006/relationships/hyperlink" Target="https://www.linkedin.com/learning/aligning-sales-and-marketing?trk=ondemandfile" TargetMode="External"/><Relationship Id="rId17" Type="http://schemas.openxmlformats.org/officeDocument/2006/relationships/hyperlink" Target="https://www.linkedin.com/learning/als-kundenservice-mitarbeiter-in-die-erwartung-der-kundschaft-steuern?trk=ondemandfile" TargetMode="External"/><Relationship Id="rId38" Type="http://schemas.openxmlformats.org/officeDocument/2006/relationships/hyperlink" Target="https://www.linkedin.com/learning/como-encontrar-los-mejores-argumentos-de-venta?trk=ondemandfile" TargetMode="External"/><Relationship Id="rId59" Type="http://schemas.openxmlformats.org/officeDocument/2006/relationships/hyperlink" Target="https://www.linkedin.com/learning/solution-selling?trk=ondemandfile" TargetMode="External"/><Relationship Id="rId103" Type="http://schemas.openxmlformats.org/officeDocument/2006/relationships/hyperlink" Target="https://www.linkedin.com/learning/fundamentos-de-marketing-b2b?trk=ondemandfile" TargetMode="External"/><Relationship Id="rId124" Type="http://schemas.openxmlformats.org/officeDocument/2006/relationships/hyperlink" Target="https://www.linkedin.com/learning/prepare-yourself-for-a-career-in-sales-2?trk=ondemandfile" TargetMode="External"/><Relationship Id="rId70" Type="http://schemas.openxmlformats.org/officeDocument/2006/relationships/hyperlink" Target="https://www.linkedin.com/learning/sales-strategies-and-approaches-in-a-new-world-of-selling?trk=ondemandfile" TargetMode="External"/><Relationship Id="rId91" Type="http://schemas.openxmlformats.org/officeDocument/2006/relationships/hyperlink" Target="https://www.linkedin.com/learning/sales-coaching-2?trk=ondemandfile" TargetMode="External"/><Relationship Id="rId145" Type="http://schemas.openxmlformats.org/officeDocument/2006/relationships/hyperlink" Target="https://www.linkedin.com/learning/vendre-avec-des-histoires-les-grandes-histoires-commerciales?trk=contentmappingfile" TargetMode="External"/><Relationship Id="rId166" Type="http://schemas.openxmlformats.org/officeDocument/2006/relationships/hyperlink" Target="https://www.linkedin.com/learning/the-52-best-sales-prospecting-tips?trk=ondemandfile" TargetMode="External"/><Relationship Id="rId187" Type="http://schemas.openxmlformats.org/officeDocument/2006/relationships/hyperlink" Target="https://www.linkedin.com/learning/sales-negotiation?trk=ondemandfile" TargetMode="External"/><Relationship Id="rId1" Type="http://schemas.openxmlformats.org/officeDocument/2006/relationships/hyperlink" Target="https://www.linkedin.com/learning/cmo-foundations-measuring-marketing-effectiveness-roi?trk=ondemandfile" TargetMode="External"/><Relationship Id="rId212" Type="http://schemas.openxmlformats.org/officeDocument/2006/relationships/hyperlink" Target="https://www.linkedin.com/learning/advanced-persuasive-selling-persuading-different-personality-types?trk=ondemandfile" TargetMode="External"/><Relationship Id="rId28" Type="http://schemas.openxmlformats.org/officeDocument/2006/relationships/hyperlink" Target="https://www.linkedin.com/learning/asking-great-sales-questions-4?trk=ondemandfile" TargetMode="External"/><Relationship Id="rId49" Type="http://schemas.openxmlformats.org/officeDocument/2006/relationships/hyperlink" Target="https://www.linkedin.com/learning/the-neuroscience-of-selling-remotely?trk=ondemandfile" TargetMode="External"/><Relationship Id="rId114" Type="http://schemas.openxmlformats.org/officeDocument/2006/relationships/hyperlink" Target="https://www.linkedin.com/learning/mit-schwierigen-kunden-umgehen?trk=ondemandfile" TargetMode="External"/><Relationship Id="rId60" Type="http://schemas.openxmlformats.org/officeDocument/2006/relationships/hyperlink" Target="https://www.linkedin.com/learning/salesforce-essential-training?trk=ondemandfile" TargetMode="External"/><Relationship Id="rId81" Type="http://schemas.openxmlformats.org/officeDocument/2006/relationships/hyperlink" Target="https://www.linkedin.com/learning/sales-closing-strategies-2?trk=ondemandfile" TargetMode="External"/><Relationship Id="rId135" Type="http://schemas.openxmlformats.org/officeDocument/2006/relationships/hyperlink" Target="https://www.linkedin.com/learning/servicio-de-atencion-al-cliente-creacion-de-valor-para-el-consumidor?trk=ondemandfile" TargetMode="External"/><Relationship Id="rId156" Type="http://schemas.openxmlformats.org/officeDocument/2006/relationships/hyperlink" Target="https://www.linkedin.com/learning/winding-down-get-a-better-night-s-sleep?trk=ondemandfile" TargetMode="External"/><Relationship Id="rId177" Type="http://schemas.openxmlformats.org/officeDocument/2006/relationships/hyperlink" Target="https://www.linkedin.com/learning/how-to-overcome-a-sales-slump?trk=ondemandfile" TargetMode="External"/><Relationship Id="rId198" Type="http://schemas.openxmlformats.org/officeDocument/2006/relationships/hyperlink" Target="https://www.linkedin.com/learning/social-selling-benchmarks-and-scorecard?trk=ondemandfile" TargetMode="External"/><Relationship Id="rId202" Type="http://schemas.openxmlformats.org/officeDocument/2006/relationships/hyperlink" Target="https://www.linkedin.com/learning/sales-enablement?trk=ondemandfile" TargetMode="External"/><Relationship Id="rId18" Type="http://schemas.openxmlformats.org/officeDocument/2006/relationships/hyperlink" Target="https://www.linkedin.com/learning/paths/rechtssicher-handeln-im-e-commerce?trk=ondemandfile" TargetMode="External"/><Relationship Id="rId39" Type="http://schemas.openxmlformats.org/officeDocument/2006/relationships/hyperlink" Target="https://www.linkedin.com/learning/die-erfolgreiche-verkaufsprasentation?trk=ondemandfile" TargetMode="External"/><Relationship Id="rId50" Type="http://schemas.openxmlformats.org/officeDocument/2006/relationships/hyperlink" Target="https://www.linkedin.com/learning/paths/develop-your-customer-service-skills?trk=ondemandfile" TargetMode="External"/><Relationship Id="rId104" Type="http://schemas.openxmlformats.org/officeDocument/2006/relationships/hyperlink" Target="https://www.linkedin.com/learning/00-magento-entwickler?trk=ondemandfile" TargetMode="External"/><Relationship Id="rId125" Type="http://schemas.openxmlformats.org/officeDocument/2006/relationships/hyperlink" Target="https://www.linkedin.com/learning/salesforce-esencial?trk=ondemandfile" TargetMode="External"/><Relationship Id="rId146" Type="http://schemas.openxmlformats.org/officeDocument/2006/relationships/hyperlink" Target="https://www.linkedin.com/learning/uberzeugendes-verkaufen?trk=ondemandfile" TargetMode="External"/><Relationship Id="rId167" Type="http://schemas.openxmlformats.org/officeDocument/2006/relationships/hyperlink" Target="https://www.linkedin.com/learning/sales-time-management?trk=ondemandfile" TargetMode="External"/><Relationship Id="rId188" Type="http://schemas.openxmlformats.org/officeDocument/2006/relationships/hyperlink" Target="https://www.linkedin.com/learning/persuasive-selling?trk=ondemandfile" TargetMode="External"/><Relationship Id="rId71" Type="http://schemas.openxmlformats.org/officeDocument/2006/relationships/hyperlink" Target="https://www.linkedin.com/learning/00-asking-great-sales-questions?trk=ondemandfile" TargetMode="External"/><Relationship Id="rId92" Type="http://schemas.openxmlformats.org/officeDocument/2006/relationships/hyperlink" Target="https://www.linkedin.com/learning/networking-for-sales-professionals?trk=ondemandfile" TargetMode="External"/><Relationship Id="rId213" Type="http://schemas.openxmlformats.org/officeDocument/2006/relationships/hyperlink" Target="https://www.linkedin.com/learning/selling-to-the-c-suite?trk=ondemandfile" TargetMode="External"/><Relationship Id="rId2" Type="http://schemas.openxmlformats.org/officeDocument/2006/relationships/hyperlink" Target="https://www.linkedin.com/learning/paths/become-a-sales-manager?trk=ondemandfile" TargetMode="External"/><Relationship Id="rId29" Type="http://schemas.openxmlformats.org/officeDocument/2006/relationships/hyperlink" Target="https://www.linkedin.com/learning/building-and-fostering-a-great-sales-culture?trk=ondemandfile" TargetMode="External"/><Relationship Id="rId40" Type="http://schemas.openxmlformats.org/officeDocument/2006/relationships/hyperlink" Target="https://www.linkedin.com/learning/selling-with-stories-part-1-what-makes-a-great-story-3?trk=ondemandfile" TargetMode="External"/><Relationship Id="rId115" Type="http://schemas.openxmlformats.org/officeDocument/2006/relationships/hyperlink" Target="https://www.linkedin.com/learning/onboarding-and-adoption-best-practices-for-customer-success-management?trk=ondemandfile" TargetMode="External"/><Relationship Id="rId136" Type="http://schemas.openxmlformats.org/officeDocument/2006/relationships/hyperlink" Target="https://www.linkedin.com/learning/social-selling-mit-linkedin-sales-navigator-kennenlernen?trk=ondemandfile" TargetMode="External"/><Relationship Id="rId157" Type="http://schemas.openxmlformats.org/officeDocument/2006/relationships/hyperlink" Target="https://www.linkedin.com/learning/mindful-stress-management?trk=ondemandfile" TargetMode="External"/><Relationship Id="rId178" Type="http://schemas.openxmlformats.org/officeDocument/2006/relationships/hyperlink" Target="https://www.linkedin.com/learning/creating-powerful-sales-proposals?trk=ondemandfile" TargetMode="External"/><Relationship Id="rId61" Type="http://schemas.openxmlformats.org/officeDocument/2006/relationships/hyperlink" Target="https://www.linkedin.com/learning/paths/succeeding-in-sales-during-times-of-volatility?trk=ondemandfile" TargetMode="External"/><Relationship Id="rId82" Type="http://schemas.openxmlformats.org/officeDocument/2006/relationships/hyperlink" Target="https://www.linkedin.com/learning/sales-foundations?trk=ondemandfile" TargetMode="External"/><Relationship Id="rId199" Type="http://schemas.openxmlformats.org/officeDocument/2006/relationships/hyperlink" Target="https://www.linkedin.com/learning/cross-selling?trk=ondemandfile" TargetMode="External"/><Relationship Id="rId203" Type="http://schemas.openxmlformats.org/officeDocument/2006/relationships/hyperlink" Target="https://www.linkedin.com/learning/empathy-for-sales-professionals?trk=ondemandfile" TargetMode="External"/><Relationship Id="rId19" Type="http://schemas.openxmlformats.org/officeDocument/2006/relationships/hyperlink" Target="https://www.linkedin.com/learning/influencing-others-3?trk=ondemandfile"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linkedin.com/learning/paths/crea-una-atmosfera-de-trabajo-productiva?trk=ondemandfile" TargetMode="External"/><Relationship Id="rId671" Type="http://schemas.openxmlformats.org/officeDocument/2006/relationships/hyperlink" Target="https://www.linkedin.com/learning/como-ser-parte-de-un-ambiente-de-trabajo-positivo?trk=ondemandfile" TargetMode="External"/><Relationship Id="rId769" Type="http://schemas.openxmlformats.org/officeDocument/2006/relationships/hyperlink" Target="https://www.linkedin.com/learning/project-agile-project-management?trk=ondemandfile" TargetMode="External"/><Relationship Id="rId21" Type="http://schemas.openxmlformats.org/officeDocument/2006/relationships/hyperlink" Target="https://www.linkedin.com/learning/00-learning-to-say-no?trk=ondemandfile" TargetMode="External"/><Relationship Id="rId324" Type="http://schemas.openxmlformats.org/officeDocument/2006/relationships/hyperlink" Target="https://www.linkedin.com/learning/conversion-rate-optimization?trk=ondemandfile" TargetMode="External"/><Relationship Id="rId531" Type="http://schemas.openxmlformats.org/officeDocument/2006/relationships/hyperlink" Target="https://www.linkedin.com/learning/como-medir-el-rendimiento-de-tu-equipo?trk=contentmappingfile" TargetMode="External"/><Relationship Id="rId629" Type="http://schemas.openxmlformats.org/officeDocument/2006/relationships/hyperlink" Target="https://www.linkedin.com/learning/liderazgo-en-tiempos-de-crisis?trk=ondemandfile" TargetMode="External"/><Relationship Id="rId170" Type="http://schemas.openxmlformats.org/officeDocument/2006/relationships/hyperlink" Target="https://www.linkedin.com/learning/paths/domina-las-habilidades-de-vida-sociales?trk=ondemandfile" TargetMode="External"/><Relationship Id="rId836" Type="http://schemas.openxmlformats.org/officeDocument/2006/relationships/hyperlink" Target="https://www.linkedin.com/learning/como-mejorar-el-rendimiento-de-tu-personal?trk=contentmappingfile" TargetMode="External"/><Relationship Id="rId268" Type="http://schemas.openxmlformats.org/officeDocument/2006/relationships/hyperlink" Target="https://www.linkedin.com/learning/gestionar-en-todas-las-direcciones-del-organigrama-empresarial?trk=ondemandfile" TargetMode="External"/><Relationship Id="rId475" Type="http://schemas.openxmlformats.org/officeDocument/2006/relationships/hyperlink" Target="https://www.linkedin.com/learning/python-para-data-scientist-avanzado?trk=ondemandfile" TargetMode="External"/><Relationship Id="rId682" Type="http://schemas.openxmlformats.org/officeDocument/2006/relationships/hyperlink" Target="https://www.linkedin.com/learning/00-six-sigma-green-belt?trk=ondemandfile" TargetMode="External"/><Relationship Id="rId903" Type="http://schemas.openxmlformats.org/officeDocument/2006/relationships/hyperlink" Target="https://www.linkedin.com/learning/executive-presence-for-women-2?trk=ondemandfile" TargetMode="External"/><Relationship Id="rId32" Type="http://schemas.openxmlformats.org/officeDocument/2006/relationships/hyperlink" Target="https://www.linkedin.com/learning/como-liderar-reuniones-individuales-productivas?trk=ondemandfile" TargetMode="External"/><Relationship Id="rId128" Type="http://schemas.openxmlformats.org/officeDocument/2006/relationships/hyperlink" Target="https://www.linkedin.com/learning/c-mo-gestionar-equipos-de-trabajo?trk=ondemandfile" TargetMode="External"/><Relationship Id="rId335" Type="http://schemas.openxmlformats.org/officeDocument/2006/relationships/hyperlink" Target="https://www.linkedin.com/learning/paths/profundiza-tus-competencias-en-metodologias-agiles-y-design-thinking?trk=ondemandfile" TargetMode="External"/><Relationship Id="rId542" Type="http://schemas.openxmlformats.org/officeDocument/2006/relationships/hyperlink" Target="https://www.linkedin.com/learning/00-fundamentos-de-recursos-humanos-busqueda-de-talentos?trk=ondemandfile" TargetMode="External"/><Relationship Id="rId181" Type="http://schemas.openxmlformats.org/officeDocument/2006/relationships/hyperlink" Target="https://www.linkedin.com/learning/comunicacion-con-atencion-plena-empatia-y-compasion?trk=ondemandfile" TargetMode="External"/><Relationship Id="rId402" Type="http://schemas.openxmlformats.org/officeDocument/2006/relationships/hyperlink" Target="https://www.linkedin.com/learning/fundamentos-del-soporte-tecnico-telecomunicaciones?trk=ondemandfile" TargetMode="External"/><Relationship Id="rId847" Type="http://schemas.openxmlformats.org/officeDocument/2006/relationships/hyperlink" Target="https://www.linkedin.com/learning/como-crear-una-cultura-de-alto-rendimiento?trk=ondemandfile" TargetMode="External"/><Relationship Id="rId279" Type="http://schemas.openxmlformats.org/officeDocument/2006/relationships/hyperlink" Target="https://www.linkedin.com/learning/paths/destaca-en-marketing-digital-en-tiempos-de-transformacion-digital?trk=ondemandfile" TargetMode="External"/><Relationship Id="rId486" Type="http://schemas.openxmlformats.org/officeDocument/2006/relationships/hyperlink" Target="https://www.linkedin.com/learning/paths/conviertete-en-asistente-administrativo?trk=ondemandfile" TargetMode="External"/><Relationship Id="rId693" Type="http://schemas.openxmlformats.org/officeDocument/2006/relationships/hyperlink" Target="https://www.linkedin.com/learning/paths/mejora-la-comunicacion-en-el-ambito-empresarial?trk=ondemandfile" TargetMode="External"/><Relationship Id="rId707" Type="http://schemas.openxmlformats.org/officeDocument/2006/relationships/hyperlink" Target="https://www.linkedin.com/learning/00-powerpoint-2016-avanzado-shortcuts?trk=ondemandfile" TargetMode="External"/><Relationship Id="rId914" Type="http://schemas.openxmlformats.org/officeDocument/2006/relationships/hyperlink" Target="https://www.linkedin.com/learning/paths/profundiza-la-gestion-de-documentos-digitales-con-adobe-acrobat-dc?trk=ondemandfile" TargetMode="External"/><Relationship Id="rId43" Type="http://schemas.openxmlformats.org/officeDocument/2006/relationships/hyperlink" Target="https://www.linkedin.com/learning/del-victimismo-a-la-acci-n-asume-el-control?trk=ondemandfile" TargetMode="External"/><Relationship Id="rId139" Type="http://schemas.openxmlformats.org/officeDocument/2006/relationships/hyperlink" Target="https://www.linkedin.com/learning/como-orientar-y-desarrollar-a-tu-personal?trk=contentmappingfile" TargetMode="External"/><Relationship Id="rId346" Type="http://schemas.openxmlformats.org/officeDocument/2006/relationships/hyperlink" Target="https://www.linkedin.com/learning/desbloquea-la-creatividad-de-tu-equipo?trk=contentmappingfile" TargetMode="External"/><Relationship Id="rId553" Type="http://schemas.openxmlformats.org/officeDocument/2006/relationships/hyperlink" Target="https://www.linkedin.com/learning/motivaci-n-e-implicaci-n-en-la-empresa?trk=ondemandfile" TargetMode="External"/><Relationship Id="rId760" Type="http://schemas.openxmlformats.org/officeDocument/2006/relationships/hyperlink" Target="https://www.linkedin.com/learning/gestion-de-proyectos-prevencion-del-deslizamiento-de-alcance?trk=ondemandfile" TargetMode="External"/><Relationship Id="rId192" Type="http://schemas.openxmlformats.org/officeDocument/2006/relationships/hyperlink" Target="https://www.linkedin.com/learning/00-consejos-para-trabajar-a-distancia?trk=ondemandfile" TargetMode="External"/><Relationship Id="rId206" Type="http://schemas.openxmlformats.org/officeDocument/2006/relationships/hyperlink" Target="https://www.linkedin.com/learning/como-comunicar-de-forma-efectiva-en-la-empresa?trk=ondemandfile" TargetMode="External"/><Relationship Id="rId413" Type="http://schemas.openxmlformats.org/officeDocument/2006/relationships/hyperlink" Target="https://www.linkedin.com/learning/tecnicas-innovadoras-de-atencion-al-cliente?trk=ondemandfile" TargetMode="External"/><Relationship Id="rId858" Type="http://schemas.openxmlformats.org/officeDocument/2006/relationships/hyperlink" Target="https://www.linkedin.com/learning/como-mejorar-el-rendimiento-de-tu-personal?trk=contentmappingfile" TargetMode="External"/><Relationship Id="rId497" Type="http://schemas.openxmlformats.org/officeDocument/2006/relationships/hyperlink" Target="https://www.linkedin.com/learning/fundamentos-de-la-contabilidad?trk=ondemandfile" TargetMode="External"/><Relationship Id="rId620" Type="http://schemas.openxmlformats.org/officeDocument/2006/relationships/hyperlink" Target="https://www.linkedin.com/learning/el-camino-hacia-el-liderazgo-femenino?trk=contentmappingfile" TargetMode="External"/><Relationship Id="rId718" Type="http://schemas.openxmlformats.org/officeDocument/2006/relationships/hyperlink" Target="https://www.linkedin.com/learning/presentaciones-efectivas-con-el-ipad?trk=ondemandfile" TargetMode="External"/><Relationship Id="rId925" Type="http://schemas.openxmlformats.org/officeDocument/2006/relationships/hyperlink" Target="https://www.linkedin.com/learning/alimentacion-saludable-y-digestion-optima?trk=ondemandfile" TargetMode="External"/><Relationship Id="rId357" Type="http://schemas.openxmlformats.org/officeDocument/2006/relationships/hyperlink" Target="https://www.linkedin.com/learning/00-en-un-minuto-trucos-creativos?trk=ondemandfile" TargetMode="External"/><Relationship Id="rId54" Type="http://schemas.openxmlformats.org/officeDocument/2006/relationships/hyperlink" Target="https://www.linkedin.com/learning/fundamentos-de-la-productividad?trk=ondemandfile" TargetMode="External"/><Relationship Id="rId217" Type="http://schemas.openxmlformats.org/officeDocument/2006/relationships/hyperlink" Target="https://www.linkedin.com/learning/paths/mejora-tu-capacidad-para-comunicar-con-las-personas?trk=ondemandfile" TargetMode="External"/><Relationship Id="rId564" Type="http://schemas.openxmlformats.org/officeDocument/2006/relationships/hyperlink" Target="https://www.linkedin.com/learning/00-agilidad-estrategica?trk=ondemandfile" TargetMode="External"/><Relationship Id="rId771" Type="http://schemas.openxmlformats.org/officeDocument/2006/relationships/hyperlink" Target="https://www.linkedin.com/learning/scrum-con-un-cafe?trk=ondemandfile" TargetMode="External"/><Relationship Id="rId869" Type="http://schemas.openxmlformats.org/officeDocument/2006/relationships/hyperlink" Target="https://www.linkedin.com/learning/motivaci-n-e-implicaci-n-en-la-empresa?trk=ondemandfile" TargetMode="External"/><Relationship Id="rId424" Type="http://schemas.openxmlformats.org/officeDocument/2006/relationships/hyperlink" Target="https://www.linkedin.com/learning/paths/conviertete-en-especialista-en-excel-2016-para-mac?trk=ondemandfile" TargetMode="External"/><Relationship Id="rId631" Type="http://schemas.openxmlformats.org/officeDocument/2006/relationships/hyperlink" Target="https://www.linkedin.com/learning/00-risk-taking-for-leaders?trk=ondemandfile" TargetMode="External"/><Relationship Id="rId729" Type="http://schemas.openxmlformats.org/officeDocument/2006/relationships/hyperlink" Target="https://www.linkedin.com/learning/caracteristicas-de-un-gran-scrum-master?trk=ondemandfile" TargetMode="External"/><Relationship Id="rId270" Type="http://schemas.openxmlformats.org/officeDocument/2006/relationships/hyperlink" Target="https://www.linkedin.com/learning/la-escucha-activa?trk=ondemandfile" TargetMode="External"/><Relationship Id="rId65" Type="http://schemas.openxmlformats.org/officeDocument/2006/relationships/hyperlink" Target="https://www.linkedin.com/learning/prepara-tu-curriculum-vitae-2?trk=ondemandfile" TargetMode="External"/><Relationship Id="rId130" Type="http://schemas.openxmlformats.org/officeDocument/2006/relationships/hyperlink" Target="https://www.linkedin.com/learning/como-gestionar-un-equipo-multigeneracional?trk=contentmappingfile" TargetMode="External"/><Relationship Id="rId368" Type="http://schemas.openxmlformats.org/officeDocument/2006/relationships/hyperlink" Target="https://www.linkedin.com/learning/c-mo-tomar-decisiones?trk=ondemandfile" TargetMode="External"/><Relationship Id="rId575" Type="http://schemas.openxmlformats.org/officeDocument/2006/relationships/hyperlink" Target="https://www.linkedin.com/learning/paths/trabajo-a-distancia-preparandote-a-ti-mismo-y-a-tus-equipos-para-el-exito?trk=ondemandfile" TargetMode="External"/><Relationship Id="rId782" Type="http://schemas.openxmlformats.org/officeDocument/2006/relationships/hyperlink" Target="https://www.linkedin.com/learning/paths/conviertete-en-vendedor?trk=ondemandfile" TargetMode="External"/><Relationship Id="rId228" Type="http://schemas.openxmlformats.org/officeDocument/2006/relationships/hyperlink" Target="https://www.linkedin.com/learning/00-tener-conversaciones-dificiles?trk=ondemandfile" TargetMode="External"/><Relationship Id="rId435" Type="http://schemas.openxmlformats.org/officeDocument/2006/relationships/hyperlink" Target="https://www.linkedin.com/learning/big-data-equipos-y-soluciones-para-la-empresa?trk=ondemandfile" TargetMode="External"/><Relationship Id="rId642" Type="http://schemas.openxmlformats.org/officeDocument/2006/relationships/hyperlink" Target="https://www.linkedin.com/learning/como-dar-y-recibir-feedback-o-retroalimentacion?trk=contentmappingfile" TargetMode="External"/><Relationship Id="rId281" Type="http://schemas.openxmlformats.org/officeDocument/2006/relationships/hyperlink" Target="https://www.linkedin.com/learning/paths/convirtete-en-experto-en-marketing-en-social-media?trk=ondemandfile" TargetMode="External"/><Relationship Id="rId502" Type="http://schemas.openxmlformats.org/officeDocument/2006/relationships/hyperlink" Target="https://www.linkedin.com/learning/educaci-n-financiera-decisiones-de-inversi-n?trk=ondemandfile" TargetMode="External"/><Relationship Id="rId76" Type="http://schemas.openxmlformats.org/officeDocument/2006/relationships/hyperlink" Target="https://www.linkedin.com/learning/paths/gestiona-los-cambios?trk=ondemandfile" TargetMode="External"/><Relationship Id="rId141" Type="http://schemas.openxmlformats.org/officeDocument/2006/relationships/hyperlink" Target="https://www.linkedin.com/learning/como-ser-un-miembro-eficaz-del-equipo?trk=contentmappingfile" TargetMode="External"/><Relationship Id="rId379" Type="http://schemas.openxmlformats.org/officeDocument/2006/relationships/hyperlink" Target="https://www.linkedin.com/learning/pensamiento-computacional?trk=ondemandfile" TargetMode="External"/><Relationship Id="rId586" Type="http://schemas.openxmlformats.org/officeDocument/2006/relationships/hyperlink" Target="https://www.linkedin.com/learning/00-intrapreneurship-y-mentalidad-de-crecimiento?trk=ondemandfile" TargetMode="External"/><Relationship Id="rId793" Type="http://schemas.openxmlformats.org/officeDocument/2006/relationships/hyperlink" Target="https://www.linkedin.com/learning/cuarta-revolucion-industrial-estrategias-comerciales?trk=ondemandfile" TargetMode="External"/><Relationship Id="rId807" Type="http://schemas.openxmlformats.org/officeDocument/2006/relationships/hyperlink" Target="https://www.linkedin.com/learning/salesforce-para-gerentes-de-ventas?trk=ondemandfile" TargetMode="External"/><Relationship Id="rId7" Type="http://schemas.openxmlformats.org/officeDocument/2006/relationships/hyperlink" Target="https://www.linkedin.com/learning/aumenta-cada-mi-rcoles-tu-productividad?trk=ondemandfile" TargetMode="External"/><Relationship Id="rId239" Type="http://schemas.openxmlformats.org/officeDocument/2006/relationships/hyperlink" Target="https://www.linkedin.com/learning/gestiona-tu-entrevista-de-trabajo-en-videoconferencia?trk=ondemandfile" TargetMode="External"/><Relationship Id="rId446" Type="http://schemas.openxmlformats.org/officeDocument/2006/relationships/hyperlink" Target="https://www.linkedin.com/learning/00-excel-2016-limpieza-de-datos?trk=ondemandfile" TargetMode="External"/><Relationship Id="rId653" Type="http://schemas.openxmlformats.org/officeDocument/2006/relationships/hyperlink" Target="https://www.linkedin.com/learning/como-orientar-y-desarrollar-a-tu-personal?trk=contentmappingfile" TargetMode="External"/><Relationship Id="rId292" Type="http://schemas.openxmlformats.org/officeDocument/2006/relationships/hyperlink" Target="https://www.linkedin.com/learning/00-ideation-for-marketers?trk=ondemandfile" TargetMode="External"/><Relationship Id="rId306" Type="http://schemas.openxmlformats.org/officeDocument/2006/relationships/hyperlink" Target="https://www.linkedin.com/learning/fundamentos-del-email-marketing?trk=ondemandfile" TargetMode="External"/><Relationship Id="rId860" Type="http://schemas.openxmlformats.org/officeDocument/2006/relationships/hyperlink" Target="https://www.linkedin.com/learning/el-futuro-de-la-gestion-del-rendimiento?trk=ondemandfile" TargetMode="External"/><Relationship Id="rId87" Type="http://schemas.openxmlformats.org/officeDocument/2006/relationships/hyperlink" Target="https://www.linkedin.com/learning/como-liderar-el-cambio-en-tu-empresa?trk=ondemandfile" TargetMode="External"/><Relationship Id="rId513" Type="http://schemas.openxmlformats.org/officeDocument/2006/relationships/hyperlink" Target="https://www.linkedin.com/learning/plantilla-grafico-para-representar-ingresos-y-gastos-cuenta-perdidas-y-ganancias-en-excel?trk=ondemandfile" TargetMode="External"/><Relationship Id="rId597" Type="http://schemas.openxmlformats.org/officeDocument/2006/relationships/hyperlink" Target="https://www.linkedin.com/learning/agile-en-accion-construye-tu-equipo-agil?trk=ondemandfile" TargetMode="External"/><Relationship Id="rId720" Type="http://schemas.openxmlformats.org/officeDocument/2006/relationships/hyperlink" Target="https://www.linkedin.com/learning/agile-en-accion-construye-tu-equipo-agil?trk=ondemandfile" TargetMode="External"/><Relationship Id="rId818" Type="http://schemas.openxmlformats.org/officeDocument/2006/relationships/hyperlink" Target="https://www.linkedin.com/learning/fundamentos-de-la-planificaci-n-estrat-gica?trk=ondemandfile" TargetMode="External"/><Relationship Id="rId152" Type="http://schemas.openxmlformats.org/officeDocument/2006/relationships/hyperlink" Target="https://www.linkedin.com/learning/liderazgo-agil-como-afrontar-la-nueva-normalidad?trk=ondemandfile" TargetMode="External"/><Relationship Id="rId457" Type="http://schemas.openxmlformats.org/officeDocument/2006/relationships/hyperlink" Target="https://www.linkedin.com/learning/excel-recursos-de-analisis-en-la-economia-de-empresa-office-365-microsoft-365?trk=contentmappingfile" TargetMode="External"/><Relationship Id="rId664" Type="http://schemas.openxmlformats.org/officeDocument/2006/relationships/hyperlink" Target="https://www.linkedin.com/learning/motivaci-n-e-implicaci-n-en-la-empresa?trk=ondemandfile" TargetMode="External"/><Relationship Id="rId871" Type="http://schemas.openxmlformats.org/officeDocument/2006/relationships/hyperlink" Target="https://www.linkedin.com/learning/como-comunicar-sobre-temas-culturalmente-sensibles?trk=ondemandfile" TargetMode="External"/><Relationship Id="rId14" Type="http://schemas.openxmlformats.org/officeDocument/2006/relationships/hyperlink" Target="https://www.linkedin.com/learning/paths/mejora-tu-capacidad-para-comunicar-con-las-personas?trk=ondemandfile" TargetMode="External"/><Relationship Id="rId317" Type="http://schemas.openxmlformats.org/officeDocument/2006/relationships/hyperlink" Target="https://www.linkedin.com/learning/linkedin-ads-creacion-de-campanas?trk=ondemandfile" TargetMode="External"/><Relationship Id="rId524" Type="http://schemas.openxmlformats.org/officeDocument/2006/relationships/hyperlink" Target="https://www.linkedin.com/learning/como-encontrar-un-trabajo-a-distancia?trk=ondemandfile" TargetMode="External"/><Relationship Id="rId731" Type="http://schemas.openxmlformats.org/officeDocument/2006/relationships/hyperlink" Target="https://www.linkedin.com/learning/como-ser-parte-de-un-ambiente-de-trabajo-positivo?trk=ondemandfile" TargetMode="External"/><Relationship Id="rId98" Type="http://schemas.openxmlformats.org/officeDocument/2006/relationships/hyperlink" Target="https://www.linkedin.com/learning/estrategias-para-salir-de-una-crisis-empresarial?trk=ondemandfile" TargetMode="External"/><Relationship Id="rId163" Type="http://schemas.openxmlformats.org/officeDocument/2006/relationships/hyperlink" Target="https://www.linkedin.com/learning/aprende-trabajo-colaborativo-con-android?trk=ondemandfile" TargetMode="External"/><Relationship Id="rId370" Type="http://schemas.openxmlformats.org/officeDocument/2006/relationships/hyperlink" Target="https://www.linkedin.com/learning/del-victimismo-a-la-acci-n-asume-el-control?trk=ondemandfile" TargetMode="External"/><Relationship Id="rId829" Type="http://schemas.openxmlformats.org/officeDocument/2006/relationships/hyperlink" Target="https://www.linkedin.com/learning/00-dar-y-recibir-feedback?trk=ondemandfile" TargetMode="External"/><Relationship Id="rId230" Type="http://schemas.openxmlformats.org/officeDocument/2006/relationships/hyperlink" Target="https://www.linkedin.com/learning/00-communicating-with-confidence?trk=ondemandfile" TargetMode="External"/><Relationship Id="rId468" Type="http://schemas.openxmlformats.org/officeDocument/2006/relationships/hyperlink" Target="https://www.linkedin.com/learning/microsoft-power-bi-en-power-platform-esencial?trk=ondemandfile" TargetMode="External"/><Relationship Id="rId675" Type="http://schemas.openxmlformats.org/officeDocument/2006/relationships/hyperlink" Target="https://www.linkedin.com/learning/facilitacion-de-la-excelencia-operativa-y-kaizen?trk=contentmappingfile" TargetMode="External"/><Relationship Id="rId882" Type="http://schemas.openxmlformats.org/officeDocument/2006/relationships/hyperlink" Target="https://www.linkedin.com/learning/como-enfrentar-los-prejuicios-superando-nuestras-diferencias?trk=ondemandfile" TargetMode="External"/><Relationship Id="rId25" Type="http://schemas.openxmlformats.org/officeDocument/2006/relationships/hyperlink" Target="https://www.linkedin.com/learning/como-ejercer-la-responsabilidad?trk=ondemandfile" TargetMode="External"/><Relationship Id="rId328" Type="http://schemas.openxmlformats.org/officeDocument/2006/relationships/hyperlink" Target="https://www.linkedin.com/learning/fundamentos-del-marketing-para-peque-as-empresas?trk=ondemandfile" TargetMode="External"/><Relationship Id="rId535" Type="http://schemas.openxmlformats.org/officeDocument/2006/relationships/hyperlink" Target="https://www.linkedin.com/learning/00-performance-based-hiring?trk=ondemandfile" TargetMode="External"/><Relationship Id="rId742" Type="http://schemas.openxmlformats.org/officeDocument/2006/relationships/hyperlink" Target="https://www.linkedin.com/learning/00-fundamentos-de-la-gestion-de-proyectos-compras?trk=ondemandfile" TargetMode="External"/><Relationship Id="rId174" Type="http://schemas.openxmlformats.org/officeDocument/2006/relationships/hyperlink" Target="https://www.linkedin.com/learning/paths/amplia-tus-competencias-de-trabajo-en-equipo-colaborativo-y-digital?trk=ondemandfile" TargetMode="External"/><Relationship Id="rId381" Type="http://schemas.openxmlformats.org/officeDocument/2006/relationships/hyperlink" Target="https://www.linkedin.com/learning/pensamiento-estrategico?trk=ondemandfile" TargetMode="External"/><Relationship Id="rId602" Type="http://schemas.openxmlformats.org/officeDocument/2006/relationships/hyperlink" Target="https://www.linkedin.com/learning/paths/amplia-tus-competencias-como-lider-para-la-transformacion-digital?trk=ondemandfile" TargetMode="External"/><Relationship Id="rId241" Type="http://schemas.openxmlformats.org/officeDocument/2006/relationships/hyperlink" Target="https://www.linkedin.com/learning/la-escucha-activa?trk=ondemandfile" TargetMode="External"/><Relationship Id="rId479" Type="http://schemas.openxmlformats.org/officeDocument/2006/relationships/hyperlink" Target="https://www.linkedin.com/learning/como-negociar-con-los-bancos?trk=ondemandfile" TargetMode="External"/><Relationship Id="rId686" Type="http://schemas.openxmlformats.org/officeDocument/2006/relationships/hyperlink" Target="https://www.linkedin.com/learning/scrum-advanced-3?trk=ondemandfile" TargetMode="External"/><Relationship Id="rId893" Type="http://schemas.openxmlformats.org/officeDocument/2006/relationships/hyperlink" Target="https://www.linkedin.com/learning/diversidad-inclusion-y-pertenencia?trk=ondemandfile" TargetMode="External"/><Relationship Id="rId907" Type="http://schemas.openxmlformats.org/officeDocument/2006/relationships/hyperlink" Target="https://www.linkedin.com/learning/como-comunicar-de-forma-efectiva-por-email?trk=ondemandfile" TargetMode="External"/><Relationship Id="rId36" Type="http://schemas.openxmlformats.org/officeDocument/2006/relationships/hyperlink" Target="https://www.linkedin.com/learning/como-reinventarse-y-capacitarse-en-tiempos-de-crisis?trk=ondemandfile" TargetMode="External"/><Relationship Id="rId339" Type="http://schemas.openxmlformats.org/officeDocument/2006/relationships/hyperlink" Target="https://www.linkedin.com/learning/c-mo-tener-ideas-para-un-nuevo-modelo-de-negocio?trk=ondemandfile" TargetMode="External"/><Relationship Id="rId546" Type="http://schemas.openxmlformats.org/officeDocument/2006/relationships/hyperlink" Target="https://www.linkedin.com/learning/gestion-de-equipos-mediante-okr-s-o-misiones-objetivos-y-resultados-clave?trk=contentmappingfile" TargetMode="External"/><Relationship Id="rId753" Type="http://schemas.openxmlformats.org/officeDocument/2006/relationships/hyperlink" Target="https://www.linkedin.com/learning/00-fundamentos-de-six-sigma?trk=ondemandfile" TargetMode="External"/><Relationship Id="rId101" Type="http://schemas.openxmlformats.org/officeDocument/2006/relationships/hyperlink" Target="https://www.linkedin.com/learning/gestion-del-estres-en-tiempos-de-incertidumbre-vivir-o-sobrevivir?trk=ondemandfile" TargetMode="External"/><Relationship Id="rId185" Type="http://schemas.openxmlformats.org/officeDocument/2006/relationships/hyperlink" Target="https://www.linkedin.com/learning/design-thinking-facilitacion-de-procesos-de-trabajo?trk=ondemandfile" TargetMode="External"/><Relationship Id="rId406" Type="http://schemas.openxmlformats.org/officeDocument/2006/relationships/hyperlink" Target="https://www.linkedin.com/learning/la-venta-persuasiva?trk=ondemandfile" TargetMode="External"/><Relationship Id="rId392" Type="http://schemas.openxmlformats.org/officeDocument/2006/relationships/hyperlink" Target="https://www.linkedin.com/learning/como-gestionar-un-equipo-de-atencion-al-cliente?trk=ondemandfile" TargetMode="External"/><Relationship Id="rId613" Type="http://schemas.openxmlformats.org/officeDocument/2006/relationships/hyperlink" Target="https://www.linkedin.com/learning/como-liderar-equipos-inclusivos?trk=ondemandfile" TargetMode="External"/><Relationship Id="rId697" Type="http://schemas.openxmlformats.org/officeDocument/2006/relationships/hyperlink" Target="https://www.linkedin.com/learning/como-liderar-reuniones-productivas?trk=ondemandfile" TargetMode="External"/><Relationship Id="rId820" Type="http://schemas.openxmlformats.org/officeDocument/2006/relationships/hyperlink" Target="https://www.linkedin.com/learning/00-critical-thinking?trk=ondemandfile" TargetMode="External"/><Relationship Id="rId918" Type="http://schemas.openxmlformats.org/officeDocument/2006/relationships/hyperlink" Target="https://www.linkedin.com/learning/00-como-redactar-un-post-exitoso?trk=ondemandfile" TargetMode="External"/><Relationship Id="rId252" Type="http://schemas.openxmlformats.org/officeDocument/2006/relationships/hyperlink" Target="https://www.linkedin.com/learning/paths/mejora-tus-dotes-de-liderazgo-y-gestion-de-equipos-de-trabajo?trk=ondemandfile" TargetMode="External"/><Relationship Id="rId47" Type="http://schemas.openxmlformats.org/officeDocument/2006/relationships/hyperlink" Target="https://www.linkedin.com/learning/dominar-la-auto-motivacion-en-tiempos-de-crisis?trk=ondemandfile" TargetMode="External"/><Relationship Id="rId112" Type="http://schemas.openxmlformats.org/officeDocument/2006/relationships/hyperlink" Target="https://www.linkedin.com/learning/agile-en-accion-impulsar-reuniones-agiles-y-productivas?trk=ondemandfile" TargetMode="External"/><Relationship Id="rId557" Type="http://schemas.openxmlformats.org/officeDocument/2006/relationships/hyperlink" Target="https://www.linkedin.com/learning/recursos-humanos-como-manejar-el-bullying-en-el-lugar-de-trabajo?trk=ondemandfile" TargetMode="External"/><Relationship Id="rId764" Type="http://schemas.openxmlformats.org/officeDocument/2006/relationships/hyperlink" Target="https://www.linkedin.com/learning/microsoft-teams-gestion-de-proyectos?trk=ondemandfile" TargetMode="External"/><Relationship Id="rId196" Type="http://schemas.openxmlformats.org/officeDocument/2006/relationships/hyperlink" Target="https://www.linkedin.com/learning/liderazgo-transformador?trk=ondemandfile" TargetMode="External"/><Relationship Id="rId417" Type="http://schemas.openxmlformats.org/officeDocument/2006/relationships/hyperlink" Target="https://www.linkedin.com/learning/aprende-analisis-de-datos?trk=ondemandfile" TargetMode="External"/><Relationship Id="rId624" Type="http://schemas.openxmlformats.org/officeDocument/2006/relationships/hyperlink" Target="https://www.linkedin.com/learning/fundamentos-y-consejos-para-gerentes-principiantes?trk=contentmappingfile" TargetMode="External"/><Relationship Id="rId831" Type="http://schemas.openxmlformats.org/officeDocument/2006/relationships/hyperlink" Target="https://www.linkedin.com/learning/como-gestionar-al-personal-de-alto-rendimiento?trk=contentmappingfile" TargetMode="External"/><Relationship Id="rId263" Type="http://schemas.openxmlformats.org/officeDocument/2006/relationships/hyperlink" Target="https://www.linkedin.com/learning/fred-kofman-y-la-gesti-n-de-conflictos?trk=ondemandfile" TargetMode="External"/><Relationship Id="rId470" Type="http://schemas.openxmlformats.org/officeDocument/2006/relationships/hyperlink" Target="https://www.linkedin.com/learning/power-bi-esencial?trk=ondemandfile" TargetMode="External"/><Relationship Id="rId929" Type="http://schemas.openxmlformats.org/officeDocument/2006/relationships/hyperlink" Target="https://www.linkedin.com/learning/como-conciliar-el-teletrabajo-con-la-vida-real-en-tiempos-de-crisis?trk=ondemandfile" TargetMode="External"/><Relationship Id="rId58" Type="http://schemas.openxmlformats.org/officeDocument/2006/relationships/hyperlink" Target="https://www.linkedin.com/learning/gestion-del-tiempo-para-lideres?trk=contentmappingfile" TargetMode="External"/><Relationship Id="rId123" Type="http://schemas.openxmlformats.org/officeDocument/2006/relationships/hyperlink" Target="https://www.linkedin.com/learning/paths/amplia-tus-competencias-de-trabajo-en-equipo-colaborativo-y-digital?trk=ondemandfile" TargetMode="External"/><Relationship Id="rId330" Type="http://schemas.openxmlformats.org/officeDocument/2006/relationships/hyperlink" Target="https://www.linkedin.com/learning/00-local-seo?trk=ondemandfile" TargetMode="External"/><Relationship Id="rId568" Type="http://schemas.openxmlformats.org/officeDocument/2006/relationships/hyperlink" Target="https://www.linkedin.com/learning/como-gestionar-los-puntos-ciegos-del-liderazgo?trk=ondemandfile" TargetMode="External"/><Relationship Id="rId775" Type="http://schemas.openxmlformats.org/officeDocument/2006/relationships/hyperlink" Target="https://www.linkedin.com/learning/trabajando-y-colaborando-online?trk=ondemandfile" TargetMode="External"/><Relationship Id="rId428" Type="http://schemas.openxmlformats.org/officeDocument/2006/relationships/hyperlink" Target="https://www.linkedin.com/learning/paths/conviertete-en-experto-de-big-data-para-los-negocios?trk=ondemandfile" TargetMode="External"/><Relationship Id="rId635" Type="http://schemas.openxmlformats.org/officeDocument/2006/relationships/hyperlink" Target="https://www.linkedin.com/learning/storytelling-para-el-liderazgo?trk=contentmappingfile" TargetMode="External"/><Relationship Id="rId842" Type="http://schemas.openxmlformats.org/officeDocument/2006/relationships/hyperlink" Target="https://www.linkedin.com/learning/gestion-de-equipos-mediante-okr-s-o-misiones-objetivos-y-resultados-clave?trk=contentmappingfile" TargetMode="External"/><Relationship Id="rId274" Type="http://schemas.openxmlformats.org/officeDocument/2006/relationships/hyperlink" Target="https://www.linkedin.com/learning/resoluci-n-de-problemas-empresariales?trk=ondemandfile" TargetMode="External"/><Relationship Id="rId481" Type="http://schemas.openxmlformats.org/officeDocument/2006/relationships/hyperlink" Target="https://www.linkedin.com/learning/00-contabilidad-y-finanzas-trucos-semanales?trk=ondemandfile" TargetMode="External"/><Relationship Id="rId702" Type="http://schemas.openxmlformats.org/officeDocument/2006/relationships/hyperlink" Target="https://www.linkedin.com/learning/00-fundamentos-de-la-curacion-de-contenidos?trk=ondemandfile" TargetMode="External"/><Relationship Id="rId69" Type="http://schemas.openxmlformats.org/officeDocument/2006/relationships/hyperlink" Target="https://www.linkedin.com/learning/aprende-las-claves-de-la-asertividad?trk=contentmappingfile" TargetMode="External"/><Relationship Id="rId134" Type="http://schemas.openxmlformats.org/officeDocument/2006/relationships/hyperlink" Target="https://www.linkedin.com/learning/como-liderar-equipos-de-alto-potencial?trk=contentmappingfile" TargetMode="External"/><Relationship Id="rId579" Type="http://schemas.openxmlformats.org/officeDocument/2006/relationships/hyperlink" Target="https://www.linkedin.com/learning/el-camino-hacia-el-liderazgo-femenino?trk=contentmappingfile" TargetMode="External"/><Relationship Id="rId786" Type="http://schemas.openxmlformats.org/officeDocument/2006/relationships/hyperlink" Target="https://www.linkedin.com/learning/como-gestionar-el-enfado-en-la-clientela?trk=contentmappingfile" TargetMode="External"/><Relationship Id="rId341" Type="http://schemas.openxmlformats.org/officeDocument/2006/relationships/hyperlink" Target="https://www.linkedin.com/learning/como-usar-preguntas-para-fomentar-el-pensamiento-critico-y-la-curiosidad?trk=ondemandfile" TargetMode="External"/><Relationship Id="rId439" Type="http://schemas.openxmlformats.org/officeDocument/2006/relationships/hyperlink" Target="https://www.linkedin.com/learning/data-scientist-azure-ml-y-power-bi-para-mineria-de-datos-esencial?trk=ondemandfile" TargetMode="External"/><Relationship Id="rId646" Type="http://schemas.openxmlformats.org/officeDocument/2006/relationships/hyperlink" Target="https://www.linkedin.com/learning/como-gestionar-al-personal-de-alto-rendimiento?trk=contentmappingfile" TargetMode="External"/><Relationship Id="rId201" Type="http://schemas.openxmlformats.org/officeDocument/2006/relationships/hyperlink" Target="https://www.linkedin.com/learning/teletrabajo?trk=ondemandfile" TargetMode="External"/><Relationship Id="rId285" Type="http://schemas.openxmlformats.org/officeDocument/2006/relationships/hyperlink" Target="https://www.linkedin.com/learning/00-auditorias-seo?trk=ondemandfile" TargetMode="External"/><Relationship Id="rId506" Type="http://schemas.openxmlformats.org/officeDocument/2006/relationships/hyperlink" Target="https://www.linkedin.com/learning/el-fondo-de-maniobra-en-la-empresa?trk=ondemandfile" TargetMode="External"/><Relationship Id="rId853" Type="http://schemas.openxmlformats.org/officeDocument/2006/relationships/hyperlink" Target="https://www.linkedin.com/learning/como-gestionar-un-equipo-multigeneracional?trk=contentmappingfile" TargetMode="External"/><Relationship Id="rId492" Type="http://schemas.openxmlformats.org/officeDocument/2006/relationships/hyperlink" Target="https://www.linkedin.com/learning/finanzas-para-dirigentes-no-especialistas-en-finanzas?trk=contentmappingfile" TargetMode="External"/><Relationship Id="rId713" Type="http://schemas.openxmlformats.org/officeDocument/2006/relationships/hyperlink" Target="https://www.linkedin.com/learning/00-powerpoint-2019-para-mac-esencial?trk=ondemandfile" TargetMode="External"/><Relationship Id="rId797" Type="http://schemas.openxmlformats.org/officeDocument/2006/relationships/hyperlink" Target="https://www.linkedin.com/learning/fundamentos-de-las-ventas?trk=ondemandfile" TargetMode="External"/><Relationship Id="rId920" Type="http://schemas.openxmlformats.org/officeDocument/2006/relationships/hyperlink" Target="https://www.linkedin.com/learning/refresca-tus-conocimientos-de-la-lengua-espanola-estilo-y-arquitectura-de-las-frases?trk=contentmappingfile" TargetMode="External"/><Relationship Id="rId145" Type="http://schemas.openxmlformats.org/officeDocument/2006/relationships/hyperlink" Target="https://www.linkedin.com/learning/empodera-a-tu-equipo?trk=contentmappingfile" TargetMode="External"/><Relationship Id="rId352" Type="http://schemas.openxmlformats.org/officeDocument/2006/relationships/hyperlink" Target="https://www.linkedin.com/learning/00-business-innovation?trk=ondemandfile" TargetMode="External"/><Relationship Id="rId212" Type="http://schemas.openxmlformats.org/officeDocument/2006/relationships/hyperlink" Target="https://www.linkedin.com/learning/c-mo-contactar-con-la-gente-y-que-te-respondan?trk=ondemandfile" TargetMode="External"/><Relationship Id="rId657" Type="http://schemas.openxmlformats.org/officeDocument/2006/relationships/hyperlink" Target="https://www.linkedin.com/learning/fundamentos-de-la-gesti-n-empresarial?trk=ondemandfile" TargetMode="External"/><Relationship Id="rId864" Type="http://schemas.openxmlformats.org/officeDocument/2006/relationships/hyperlink" Target="https://www.linkedin.com/learning/gestion-de-equipos-mediante-okr-s-o-misiones-objetivos-y-resultados-clave?trk=contentmappingfile" TargetMode="External"/><Relationship Id="rId296" Type="http://schemas.openxmlformats.org/officeDocument/2006/relationships/hyperlink" Target="https://www.linkedin.com/learning/facebook-ads-creacion-de-campanas?trk=ondemandfile" TargetMode="External"/><Relationship Id="rId517" Type="http://schemas.openxmlformats.org/officeDocument/2006/relationships/hyperlink" Target="https://www.linkedin.com/learning/big-data-recursos-humanos-y-gestion-del-bienestar-laboral?trk=contentmappingfile" TargetMode="External"/><Relationship Id="rId724" Type="http://schemas.openxmlformats.org/officeDocument/2006/relationships/hyperlink" Target="https://www.linkedin.com/learning/00-asana?trk=ondemandfile" TargetMode="External"/><Relationship Id="rId931" Type="http://schemas.openxmlformats.org/officeDocument/2006/relationships/hyperlink" Target="https://www.linkedin.com/learning/c-mo-manejar-el-estr-s?trk=ondemandfile" TargetMode="External"/><Relationship Id="rId60" Type="http://schemas.openxmlformats.org/officeDocument/2006/relationships/hyperlink" Target="https://www.linkedin.com/learning/habilidades-de-trabajo-fundamentales?trk=ondemandfile" TargetMode="External"/><Relationship Id="rId156" Type="http://schemas.openxmlformats.org/officeDocument/2006/relationships/hyperlink" Target="https://www.linkedin.com/learning/00-como-reclutar-y-desarrollar-a-tu-equipo?trk=ondemandfile" TargetMode="External"/><Relationship Id="rId363" Type="http://schemas.openxmlformats.org/officeDocument/2006/relationships/hyperlink" Target="https://www.linkedin.com/learning/00-learning-to-say-no?trk=ondemandfile" TargetMode="External"/><Relationship Id="rId570" Type="http://schemas.openxmlformats.org/officeDocument/2006/relationships/hyperlink" Target="https://www.linkedin.com/learning/como-liderar-el-cambio-en-tu-empresa?trk=ondemandfile" TargetMode="External"/><Relationship Id="rId223" Type="http://schemas.openxmlformats.org/officeDocument/2006/relationships/hyperlink" Target="https://www.linkedin.com/learning/paths/domina-las-habilidades-de-vida-a-nivel-de-liderazgo?trk=ondemandfile" TargetMode="External"/><Relationship Id="rId430" Type="http://schemas.openxmlformats.org/officeDocument/2006/relationships/hyperlink" Target="https://www.linkedin.com/learning/paths/conviertete-en-data-analyst?trk=ondemandfile" TargetMode="External"/><Relationship Id="rId668" Type="http://schemas.openxmlformats.org/officeDocument/2006/relationships/hyperlink" Target="https://www.linkedin.com/learning/aprende-las-bases-de-las-cadenas-de-suministro?trk=ondemandfile" TargetMode="External"/><Relationship Id="rId875" Type="http://schemas.openxmlformats.org/officeDocument/2006/relationships/hyperlink" Target="https://www.linkedin.com/learning/como-crear-documentos-accesibles-en-office-365-microsoft-365?trk=ondemandfile" TargetMode="External"/><Relationship Id="rId18" Type="http://schemas.openxmlformats.org/officeDocument/2006/relationships/hyperlink" Target="https://www.linkedin.com/learning/paths/amplia-tus-competencias-de-trabajo-en-equipo-colaborativo-y-digital?trk=ondemandfile" TargetMode="External"/><Relationship Id="rId528" Type="http://schemas.openxmlformats.org/officeDocument/2006/relationships/hyperlink" Target="https://www.linkedin.com/learning/como-identificar-y-retener-personal-con-alto-potencial?trk=ondemandfile" TargetMode="External"/><Relationship Id="rId735" Type="http://schemas.openxmlformats.org/officeDocument/2006/relationships/hyperlink" Target="https://www.linkedin.com/learning/disena-proyectos-de-marketing-con-business-model-canvas?trk=contentmappingfile" TargetMode="External"/><Relationship Id="rId167" Type="http://schemas.openxmlformats.org/officeDocument/2006/relationships/hyperlink" Target="https://www.linkedin.com/learning/00-dar-y-recibir-feedback?trk=ondemandfile" TargetMode="External"/><Relationship Id="rId374" Type="http://schemas.openxmlformats.org/officeDocument/2006/relationships/hyperlink" Target="https://www.linkedin.com/learning/00-conflict-resolution-fundamentals?trk=ondemandfile" TargetMode="External"/><Relationship Id="rId581" Type="http://schemas.openxmlformats.org/officeDocument/2006/relationships/hyperlink" Target="https://www.linkedin.com/learning/00-fundamentos-de-la-gestion-de-proyectos-cambios?trk=ondemandfile" TargetMode="External"/><Relationship Id="rId71" Type="http://schemas.openxmlformats.org/officeDocument/2006/relationships/hyperlink" Target="https://www.linkedin.com/learning/bienestar-coordinacion-y-flexibilidad-a-casa-y-en-el-trabajo?trk=ondemandfile" TargetMode="External"/><Relationship Id="rId234" Type="http://schemas.openxmlformats.org/officeDocument/2006/relationships/hyperlink" Target="https://www.linkedin.com/learning/comunicacion-y-prensa?trk=ondemandfile" TargetMode="External"/><Relationship Id="rId679" Type="http://schemas.openxmlformats.org/officeDocument/2006/relationships/hyperlink" Target="https://www.linkedin.com/learning/fundamentos-de-lean-six-sigma?trk=ondemandfile" TargetMode="External"/><Relationship Id="rId802" Type="http://schemas.openxmlformats.org/officeDocument/2006/relationships/hyperlink" Target="https://www.linkedin.com/learning/la-ciencia-de-las-ventas?trk=ondemandfile" TargetMode="External"/><Relationship Id="rId886" Type="http://schemas.openxmlformats.org/officeDocument/2006/relationships/hyperlink" Target="https://www.linkedin.com/learning/como-liderar-a-la-generacion-y?trk=contentmappingfile" TargetMode="External"/><Relationship Id="rId2" Type="http://schemas.openxmlformats.org/officeDocument/2006/relationships/hyperlink" Target="https://www.linkedin.com/learning/paths/crea-una-atmosfera-de-trabajo-productiva?trk=ondemandfile" TargetMode="External"/><Relationship Id="rId29" Type="http://schemas.openxmlformats.org/officeDocument/2006/relationships/hyperlink" Target="https://www.linkedin.com/learning/como-hacer-coaching-a-tu-personal-para-obtener-resultados?trk=contentmappingfile" TargetMode="External"/><Relationship Id="rId441" Type="http://schemas.openxmlformats.org/officeDocument/2006/relationships/hyperlink" Target="https://www.linkedin.com/learning/data-scientist-mineria-de-datos-esencial?trk=ondemandfile" TargetMode="External"/><Relationship Id="rId539" Type="http://schemas.openxmlformats.org/officeDocument/2006/relationships/hyperlink" Target="https://www.linkedin.com/learning/excel-crear-un-dashboard-para-rrhh-con-power-query-y-power-pivot?trk=ondemandfile" TargetMode="External"/><Relationship Id="rId746" Type="http://schemas.openxmlformats.org/officeDocument/2006/relationships/hyperlink" Target="https://www.linkedin.com/learning/00-fundamentos-de-la-gestion-de-proyectos-integracion?trk=ondemandfile" TargetMode="External"/><Relationship Id="rId178" Type="http://schemas.openxmlformats.org/officeDocument/2006/relationships/hyperlink" Target="https://www.linkedin.com/learning/paths/trabajo-a-distancia-preparandote-a-ti-mismo-y-a-tus-equipos-para-el-exito?trk=ondemandfile" TargetMode="External"/><Relationship Id="rId301" Type="http://schemas.openxmlformats.org/officeDocument/2006/relationships/hyperlink" Target="https://www.linkedin.com/learning/00-como-redactar-un-post-exitoso?trk=ondemandfile" TargetMode="External"/><Relationship Id="rId82" Type="http://schemas.openxmlformats.org/officeDocument/2006/relationships/hyperlink" Target="https://www.linkedin.com/learning/como-dar-y-recibir-feedback-o-retroalimentacion?trk=contentmappingfile" TargetMode="External"/><Relationship Id="rId385" Type="http://schemas.openxmlformats.org/officeDocument/2006/relationships/hyperlink" Target="https://www.linkedin.com/learning/aprende-mailchimp?trk=ondemandfile" TargetMode="External"/><Relationship Id="rId592" Type="http://schemas.openxmlformats.org/officeDocument/2006/relationships/hyperlink" Target="https://www.linkedin.com/learning/liderazgo-transformador?trk=ondemandfile" TargetMode="External"/><Relationship Id="rId606" Type="http://schemas.openxmlformats.org/officeDocument/2006/relationships/hyperlink" Target="https://www.linkedin.com/learning/paths/profundiza-tu-capacidad-estrategica?trk=ondemandfile" TargetMode="External"/><Relationship Id="rId813" Type="http://schemas.openxmlformats.org/officeDocument/2006/relationships/hyperlink" Target="https://www.linkedin.com/learning/como-superar-los-sesgos-cognitivos?trk=ondemandfile" TargetMode="External"/><Relationship Id="rId245" Type="http://schemas.openxmlformats.org/officeDocument/2006/relationships/hyperlink" Target="https://www.linkedin.com/learning/profundiza-la-lengua-espanola-uso-de-las-tildes?trk=ondemandfile" TargetMode="External"/><Relationship Id="rId452" Type="http://schemas.openxmlformats.org/officeDocument/2006/relationships/hyperlink" Target="https://www.linkedin.com/learning/excel-para-principiantes-cuadros-de-mando-con-fuente-de-datos-externa-365-2019?trk=contentmappingfile" TargetMode="External"/><Relationship Id="rId897" Type="http://schemas.openxmlformats.org/officeDocument/2006/relationships/hyperlink" Target="https://www.linkedin.com/learning/involucrate-en-lo-que-sucede-a-tu-alrededor-de-espectador-a-protagonista?trk=ondemandfile" TargetMode="External"/><Relationship Id="rId105" Type="http://schemas.openxmlformats.org/officeDocument/2006/relationships/hyperlink" Target="https://www.linkedin.com/learning/liderazgo-con-inteligencia-emocional?trk=ondemandfile" TargetMode="External"/><Relationship Id="rId312" Type="http://schemas.openxmlformats.org/officeDocument/2006/relationships/hyperlink" Target="https://www.linkedin.com/learning/creaci-n-de-campa-as-con-google-adwords?trk=ondemandfile" TargetMode="External"/><Relationship Id="rId757" Type="http://schemas.openxmlformats.org/officeDocument/2006/relationships/hyperlink" Target="https://www.linkedin.com/learning/gestion-de-proyectos-agiles-comparacion-de-herramientas-agiles?trk=contentmappingfile" TargetMode="External"/><Relationship Id="rId93" Type="http://schemas.openxmlformats.org/officeDocument/2006/relationships/hyperlink" Target="https://www.linkedin.com/learning/del-victimismo-a-la-acci-n-asume-el-control?trk=ondemandfile" TargetMode="External"/><Relationship Id="rId189" Type="http://schemas.openxmlformats.org/officeDocument/2006/relationships/hyperlink" Target="https://www.linkedin.com/learning/00-teletrabajo-trucos-y-consejos?trk=ondemandfile" TargetMode="External"/><Relationship Id="rId396" Type="http://schemas.openxmlformats.org/officeDocument/2006/relationships/hyperlink" Target="https://www.linkedin.com/learning/como-vender-con-storytelling-parte-1-los-elementos-de-una-gran-historia?trk=ondemandfile" TargetMode="External"/><Relationship Id="rId617" Type="http://schemas.openxmlformats.org/officeDocument/2006/relationships/hyperlink" Target="https://www.linkedin.com/learning/como-mejorar-el-rendimiento-de-tu-personal?trk=contentmappingfile" TargetMode="External"/><Relationship Id="rId824" Type="http://schemas.openxmlformats.org/officeDocument/2006/relationships/hyperlink" Target="https://www.linkedin.com/learning/como-construir-habitos-para-el-exito?trk=contentmappingfile" TargetMode="External"/><Relationship Id="rId256" Type="http://schemas.openxmlformats.org/officeDocument/2006/relationships/hyperlink" Target="https://www.linkedin.com/learning/como-gestionar-el-enfado-en-la-clientela?trk=contentmappingfile" TargetMode="External"/><Relationship Id="rId463" Type="http://schemas.openxmlformats.org/officeDocument/2006/relationships/hyperlink" Target="https://www.linkedin.com/learning/fundamentos-de-la-programacion-bases-de-datos-8625298?trk=ondemandfile" TargetMode="External"/><Relationship Id="rId670" Type="http://schemas.openxmlformats.org/officeDocument/2006/relationships/hyperlink" Target="https://www.linkedin.com/learning/como-mejorar-el-rendimiento-de-tu-personal?trk=contentmappingfile" TargetMode="External"/><Relationship Id="rId116" Type="http://schemas.openxmlformats.org/officeDocument/2006/relationships/hyperlink" Target="https://www.linkedin.com/learning/00-bill-george-sobre-self-awareness-autenticidad-y-liderazgo?trk=ondemandfile" TargetMode="External"/><Relationship Id="rId323" Type="http://schemas.openxmlformats.org/officeDocument/2006/relationships/hyperlink" Target="https://www.linkedin.com/learning/00-marketing-online-automatizacion-de-procesos?trk=ondemandfile" TargetMode="External"/><Relationship Id="rId530" Type="http://schemas.openxmlformats.org/officeDocument/2006/relationships/hyperlink" Target="https://www.linkedin.com/learning/como-liderar-equipos-inclusivos?trk=ondemandfile" TargetMode="External"/><Relationship Id="rId768" Type="http://schemas.openxmlformats.org/officeDocument/2006/relationships/hyperlink" Target="https://www.linkedin.com/learning/project-online-profesional-trucos?trk=ondemandfile" TargetMode="External"/><Relationship Id="rId20" Type="http://schemas.openxmlformats.org/officeDocument/2006/relationships/hyperlink" Target="https://www.linkedin.com/learning/00-dar-y-recibir-feedback?trk=ondemandfile" TargetMode="External"/><Relationship Id="rId628" Type="http://schemas.openxmlformats.org/officeDocument/2006/relationships/hyperlink" Target="https://www.linkedin.com/learning/liderazgo-creativo?trk=ondemandfile" TargetMode="External"/><Relationship Id="rId835" Type="http://schemas.openxmlformats.org/officeDocument/2006/relationships/hyperlink" Target="https://www.linkedin.com/learning/como-medir-el-rendimiento-de-tu-equipo?trk=contentmappingfile" TargetMode="External"/><Relationship Id="rId267" Type="http://schemas.openxmlformats.org/officeDocument/2006/relationships/hyperlink" Target="https://www.linkedin.com/learning/gestion-del-estres-en-tiempos-de-incertidumbre-vivir-o-sobrevivir?trk=ondemandfile" TargetMode="External"/><Relationship Id="rId474" Type="http://schemas.openxmlformats.org/officeDocument/2006/relationships/hyperlink" Target="https://www.linkedin.com/learning/00-python-para-big-data-esencial?trk=ondemandfile" TargetMode="External"/><Relationship Id="rId127" Type="http://schemas.openxmlformats.org/officeDocument/2006/relationships/hyperlink" Target="https://www.linkedin.com/learning/paths/trabajo-a-distancia-preparandote-a-ti-mismo-y-a-tus-equipos-para-el-exito?trk=ondemandfile" TargetMode="External"/><Relationship Id="rId681" Type="http://schemas.openxmlformats.org/officeDocument/2006/relationships/hyperlink" Target="https://www.linkedin.com/learning/fundamentos-de-six-sigma-black-belt?trk=ondemandfile" TargetMode="External"/><Relationship Id="rId779" Type="http://schemas.openxmlformats.org/officeDocument/2006/relationships/hyperlink" Target="https://www.linkedin.com/learning/como-construir-la-lealtad-del-cliente?trk=ondemandfile" TargetMode="External"/><Relationship Id="rId902" Type="http://schemas.openxmlformats.org/officeDocument/2006/relationships/hyperlink" Target="https://www.linkedin.com/learning/liderazgo-inclusivo?trk=ondemandfile" TargetMode="External"/><Relationship Id="rId31" Type="http://schemas.openxmlformats.org/officeDocument/2006/relationships/hyperlink" Target="https://www.linkedin.com/learning/como-liberar-tu-potencial?trk=ondemandfile" TargetMode="External"/><Relationship Id="rId334" Type="http://schemas.openxmlformats.org/officeDocument/2006/relationships/hyperlink" Target="https://www.linkedin.com/learning/alcanzar-la-felicidad-permanente-creando-con-proposito?trk=ondemandfile" TargetMode="External"/><Relationship Id="rId541" Type="http://schemas.openxmlformats.org/officeDocument/2006/relationships/hyperlink" Target="https://www.linkedin.com/learning/00-performance-review-fundamentals?trk=ondemandfile" TargetMode="External"/><Relationship Id="rId639" Type="http://schemas.openxmlformats.org/officeDocument/2006/relationships/hyperlink" Target="https://www.linkedin.com/learning/paths/mejora-tus-dotes-de-liderazgo-y-gestion-de-equipos-de-trabajo?trk=ondemandfile" TargetMode="External"/><Relationship Id="rId180" Type="http://schemas.openxmlformats.org/officeDocument/2006/relationships/hyperlink" Target="https://www.linkedin.com/learning/como-ser-parte-de-un-ambiente-de-trabajo-positivo?trk=ondemandfile" TargetMode="External"/><Relationship Id="rId278" Type="http://schemas.openxmlformats.org/officeDocument/2006/relationships/hyperlink" Target="https://www.linkedin.com/learning/00-copywriting?trk=ondemandfile" TargetMode="External"/><Relationship Id="rId401" Type="http://schemas.openxmlformats.org/officeDocument/2006/relationships/hyperlink" Target="https://www.linkedin.com/learning/fundamentos-de-servicio-de-atencion-al-cliente?trk=ondemandfile" TargetMode="External"/><Relationship Id="rId846" Type="http://schemas.openxmlformats.org/officeDocument/2006/relationships/hyperlink" Target="https://es.linkedin.com/learning/paths/profundiza-en-la-busqueda-seleccion-y-retencion-de-talentos?trk=ondemandfile" TargetMode="External"/><Relationship Id="rId485" Type="http://schemas.openxmlformats.org/officeDocument/2006/relationships/hyperlink" Target="https://www.linkedin.com/learning/excel-2016-practico-facturacion-y-control-de-gastos?trk=ondemandfile" TargetMode="External"/><Relationship Id="rId692" Type="http://schemas.openxmlformats.org/officeDocument/2006/relationships/hyperlink" Target="https://www.linkedin.com/learning/00-aprende-powerpoint-2016?trk=ondemandfile" TargetMode="External"/><Relationship Id="rId706" Type="http://schemas.openxmlformats.org/officeDocument/2006/relationships/hyperlink" Target="https://www.linkedin.com/learning/herramientas-para-presentaciones-online-trucos?trk=ondemandfile" TargetMode="External"/><Relationship Id="rId913" Type="http://schemas.openxmlformats.org/officeDocument/2006/relationships/hyperlink" Target="https://www.linkedin.com/learning/00-fundamentos-de-dactilografia?trk=ondemandfile" TargetMode="External"/><Relationship Id="rId42" Type="http://schemas.openxmlformats.org/officeDocument/2006/relationships/hyperlink" Target="https://www.linkedin.com/learning/curiosidad-aplicada?trk=ondemandfile" TargetMode="External"/><Relationship Id="rId138" Type="http://schemas.openxmlformats.org/officeDocument/2006/relationships/hyperlink" Target="https://www.linkedin.com/learning/como-mejorar-el-rendimiento-de-tu-personal?trk=contentmappingfile" TargetMode="External"/><Relationship Id="rId345" Type="http://schemas.openxmlformats.org/officeDocument/2006/relationships/hyperlink" Target="https://www.linkedin.com/learning/00-building-creative-organizations?trk=ondemandfile" TargetMode="External"/><Relationship Id="rId552" Type="http://schemas.openxmlformats.org/officeDocument/2006/relationships/hyperlink" Target="https://www.linkedin.com/learning/microsoft-teams-administrar-los-horarios-de-trabajo-del-personal-con-turnos?trk=ondemandfile" TargetMode="External"/><Relationship Id="rId191" Type="http://schemas.openxmlformats.org/officeDocument/2006/relationships/hyperlink" Target="https://www.linkedin.com/learning/habilidades-de-trabajo-fundamentales?trk=ondemandfile" TargetMode="External"/><Relationship Id="rId205" Type="http://schemas.openxmlformats.org/officeDocument/2006/relationships/hyperlink" Target="https://www.linkedin.com/learning/paths/mejora-los-disenos-de-tus-presentaciones?trk=ondemandfile" TargetMode="External"/><Relationship Id="rId412" Type="http://schemas.openxmlformats.org/officeDocument/2006/relationships/hyperlink" Target="https://www.linkedin.com/learning/servicio-de-atencion-al-cliente-creacion-de-valor-para-el-consumidor?trk=ondemandfile" TargetMode="External"/><Relationship Id="rId857" Type="http://schemas.openxmlformats.org/officeDocument/2006/relationships/hyperlink" Target="https://www.linkedin.com/learning/como-medir-el-rendimiento-de-tu-equipo?trk=contentmappingfile" TargetMode="External"/><Relationship Id="rId289" Type="http://schemas.openxmlformats.org/officeDocument/2006/relationships/hyperlink" Target="https://www.linkedin.com/learning/como-integrar-la-marca-con-la-estrategia-de-marketing?trk=ondemandfile" TargetMode="External"/><Relationship Id="rId496" Type="http://schemas.openxmlformats.org/officeDocument/2006/relationships/hyperlink" Target="https://www.linkedin.com/learning/00-fundamentos-de-fintech-o-finanza-tecnologica?trk=ondemandfile" TargetMode="External"/><Relationship Id="rId717" Type="http://schemas.openxmlformats.org/officeDocument/2006/relationships/hyperlink" Target="https://www.linkedin.com/learning/powerpoint-trucos-office-365-microsoft-365?trk=contentmappingfile" TargetMode="External"/><Relationship Id="rId924" Type="http://schemas.openxmlformats.org/officeDocument/2006/relationships/hyperlink" Target="https://www.linkedin.com/learning/activa-el-cuerpo-entrenamiento-facil-y-sencillo-de-cardio-y-fuerza?trk=contentmappingfile" TargetMode="External"/><Relationship Id="rId53" Type="http://schemas.openxmlformats.org/officeDocument/2006/relationships/hyperlink" Target="https://www.linkedin.com/learning/fundamentos-de-la-productividad-2?trk=ondemandfile" TargetMode="External"/><Relationship Id="rId149" Type="http://schemas.openxmlformats.org/officeDocument/2006/relationships/hyperlink" Target="https://www.linkedin.com/learning/fundamentos-de-la-productividad?trk=ondemandfile" TargetMode="External"/><Relationship Id="rId356" Type="http://schemas.openxmlformats.org/officeDocument/2006/relationships/hyperlink" Target="https://www.linkedin.com/learning/tecnicas-innovadoras-de-atencion-al-cliente?trk=ondemandfile" TargetMode="External"/><Relationship Id="rId563" Type="http://schemas.openxmlformats.org/officeDocument/2006/relationships/hyperlink" Target="https://www.linkedin.com/learning/00-transformacion-digital-el-rol-de-recursos-humanos?trk=ondemandfile" TargetMode="External"/><Relationship Id="rId770" Type="http://schemas.openxmlformats.org/officeDocument/2006/relationships/hyperlink" Target="https://www.linkedin.com/learning/scrum-advanced-3?trk=ondemandfile" TargetMode="External"/><Relationship Id="rId216" Type="http://schemas.openxmlformats.org/officeDocument/2006/relationships/hyperlink" Target="https://www.linkedin.com/learning/00-influencing-others?trk=ondemandfile" TargetMode="External"/><Relationship Id="rId423" Type="http://schemas.openxmlformats.org/officeDocument/2006/relationships/hyperlink" Target="https://www.linkedin.com/learning/aprende-big-data-visualizacion-de-datos?trk=ondemandfile" TargetMode="External"/><Relationship Id="rId868" Type="http://schemas.openxmlformats.org/officeDocument/2006/relationships/hyperlink" Target="https://www.linkedin.com/learning/microsoft-dynamics-365-for-talent-esencial?trk=ondemandfile" TargetMode="External"/><Relationship Id="rId630" Type="http://schemas.openxmlformats.org/officeDocument/2006/relationships/hyperlink" Target="https://www.linkedin.com/learning/liderazgo-inclusivo?trk=ondemandfile" TargetMode="External"/><Relationship Id="rId728" Type="http://schemas.openxmlformats.org/officeDocument/2006/relationships/hyperlink" Target="https://www.linkedin.com/learning/bim-con-un-cafe?trk=ondemandfile" TargetMode="External"/><Relationship Id="rId935" Type="http://schemas.openxmlformats.org/officeDocument/2006/relationships/hyperlink" Target="https://www.linkedin.com/learning/toma-de-decisiones-en-situaciones-de-gran-estres?trk=ondemandfile" TargetMode="External"/><Relationship Id="rId64" Type="http://schemas.openxmlformats.org/officeDocument/2006/relationships/hyperlink" Target="https://www.linkedin.com/learning/outlook-gestion-del-tiempo-con-calendario-y-tareas-office-365-microsoft-365?trk=ondemandfile" TargetMode="External"/><Relationship Id="rId367" Type="http://schemas.openxmlformats.org/officeDocument/2006/relationships/hyperlink" Target="https://www.linkedin.com/learning/como-superar-los-sesgos-cognitivos?trk=ondemandfile" TargetMode="External"/><Relationship Id="rId574" Type="http://schemas.openxmlformats.org/officeDocument/2006/relationships/hyperlink" Target="https://www.linkedin.com/learning/como-liderar-reuniones-individuales-productivas?trk=ondemandfile" TargetMode="External"/><Relationship Id="rId227" Type="http://schemas.openxmlformats.org/officeDocument/2006/relationships/hyperlink" Target="https://www.linkedin.com/learning/00-asking-great-sales-questions?trk=ondemandfile" TargetMode="External"/><Relationship Id="rId781" Type="http://schemas.openxmlformats.org/officeDocument/2006/relationships/hyperlink" Target="https://www.linkedin.com/learning/como-desarrollar-tu-elevator-pitch?trk=ondemandfile" TargetMode="External"/><Relationship Id="rId879" Type="http://schemas.openxmlformats.org/officeDocument/2006/relationships/hyperlink" Target="https://www.linkedin.com/learning/00-developing-cross-cultural-intelligence?trk=ondemandfile" TargetMode="External"/><Relationship Id="rId434" Type="http://schemas.openxmlformats.org/officeDocument/2006/relationships/hyperlink" Target="https://www.linkedin.com/learning/big-data-recursos-humanos-y-gestion-del-bienestar-laboral?trk=contentmappingfile" TargetMode="External"/><Relationship Id="rId641" Type="http://schemas.openxmlformats.org/officeDocument/2006/relationships/hyperlink" Target="https://www.linkedin.com/learning/paths/fomenta-la-colaboracion-en-tu-equipo?trk=ondemandfile" TargetMode="External"/><Relationship Id="rId739" Type="http://schemas.openxmlformats.org/officeDocument/2006/relationships/hyperlink" Target="https://www.linkedin.com/learning/00-managing-project-schedules?trk=ondemandfile" TargetMode="External"/><Relationship Id="rId280" Type="http://schemas.openxmlformats.org/officeDocument/2006/relationships/hyperlink" Target="https://www.linkedin.com/learning/aprende-facebook-ads?trk=ondemandfile" TargetMode="External"/><Relationship Id="rId501" Type="http://schemas.openxmlformats.org/officeDocument/2006/relationships/hyperlink" Target="https://www.linkedin.com/learning/educaci-n-financiera-control-y-reducci-n-de-costes?trk=ondemandfile" TargetMode="External"/><Relationship Id="rId75" Type="http://schemas.openxmlformats.org/officeDocument/2006/relationships/hyperlink" Target="https://www.linkedin.com/learning/alcanzar-la-felicidad-permanente-creando-con-proposito?trk=ondemandfile" TargetMode="External"/><Relationship Id="rId140" Type="http://schemas.openxmlformats.org/officeDocument/2006/relationships/hyperlink" Target="https://www.linkedin.com/learning/como-ser-parte-de-un-ambiente-de-trabajo-positivo?trk=ondemandfile" TargetMode="External"/><Relationship Id="rId378" Type="http://schemas.openxmlformats.org/officeDocument/2006/relationships/hyperlink" Target="https://www.linkedin.com/learning/mejora-tu-competencia-en-conflictos?trk=ondemandfile" TargetMode="External"/><Relationship Id="rId585" Type="http://schemas.openxmlformats.org/officeDocument/2006/relationships/hyperlink" Target="https://www.linkedin.com/learning/00-inteligencia-emocional-y-finanzas?trk=ondemandfile" TargetMode="External"/><Relationship Id="rId792" Type="http://schemas.openxmlformats.org/officeDocument/2006/relationships/hyperlink" Target="https://www.linkedin.com/learning/como-vender-soluciones?trk=contentmappingfile" TargetMode="External"/><Relationship Id="rId806" Type="http://schemas.openxmlformats.org/officeDocument/2006/relationships/hyperlink" Target="https://www.linkedin.com/learning/salesforce-para-administradores-esencial?trk=ondemandfile" TargetMode="External"/><Relationship Id="rId6" Type="http://schemas.openxmlformats.org/officeDocument/2006/relationships/hyperlink" Target="https://www.linkedin.com/learning/paths/mejora-tu-gestin-de-tiempo-y-productividad?trk=ondemandfile" TargetMode="External"/><Relationship Id="rId238" Type="http://schemas.openxmlformats.org/officeDocument/2006/relationships/hyperlink" Target="https://www.linkedin.com/learning/00-negociacion-fundamentos?trk=ondemandfile" TargetMode="External"/><Relationship Id="rId445" Type="http://schemas.openxmlformats.org/officeDocument/2006/relationships/hyperlink" Target="https://www.linkedin.com/learning/excel-2016-gr-ficos-y-presentaci-n-de-datos?trk=ondemandfile" TargetMode="External"/><Relationship Id="rId652" Type="http://schemas.openxmlformats.org/officeDocument/2006/relationships/hyperlink" Target="https://www.linkedin.com/learning/como-mejorar-el-rendimiento-de-tu-personal?trk=contentmappingfile" TargetMode="External"/><Relationship Id="rId291" Type="http://schemas.openxmlformats.org/officeDocument/2006/relationships/hyperlink" Target="https://www.linkedin.com/learning/como-vender-con-storytelling-parte-1-los-elementos-de-una-gran-historia?trk=ondemandfile" TargetMode="External"/><Relationship Id="rId305" Type="http://schemas.openxmlformats.org/officeDocument/2006/relationships/hyperlink" Target="https://www.linkedin.com/learning/fundamentos-del-display-marketing?trk=ondemandfile" TargetMode="External"/><Relationship Id="rId512" Type="http://schemas.openxmlformats.org/officeDocument/2006/relationships/hyperlink" Target="https://www.linkedin.com/learning/plantilla-controla-perdidas-y-ganancias-con-este-panel-de-power-bi?trk=ondemandfile" TargetMode="External"/><Relationship Id="rId86" Type="http://schemas.openxmlformats.org/officeDocument/2006/relationships/hyperlink" Target="https://www.linkedin.com/learning/como-hackear-tu-mente-y-recuperar-el-control-sobre-el-estres?trk=ondemandfile" TargetMode="External"/><Relationship Id="rId151" Type="http://schemas.openxmlformats.org/officeDocument/2006/relationships/hyperlink" Target="https://www.linkedin.com/learning/herramientas-online-para-teletrabajo-trucos?trk=ondemandfile" TargetMode="External"/><Relationship Id="rId389" Type="http://schemas.openxmlformats.org/officeDocument/2006/relationships/hyperlink" Target="https://www.linkedin.com/learning/como-escribir-correos-electronicos-de-servicio-al-cliente?trk=ondemandfile" TargetMode="External"/><Relationship Id="rId596" Type="http://schemas.openxmlformats.org/officeDocument/2006/relationships/hyperlink" Target="https://www.linkedin.com/learning/storytelling-para-el-liderazgo?trk=contentmappingfile" TargetMode="External"/><Relationship Id="rId817" Type="http://schemas.openxmlformats.org/officeDocument/2006/relationships/hyperlink" Target="https://www.linkedin.com/learning/estrategias-para-tomar-decisiones?trk=ondemandfile" TargetMode="External"/><Relationship Id="rId249" Type="http://schemas.openxmlformats.org/officeDocument/2006/relationships/hyperlink" Target="https://www.linkedin.com/learning/00-dar-y-recibir-feedback?trk=ondemandfile" TargetMode="External"/><Relationship Id="rId456" Type="http://schemas.openxmlformats.org/officeDocument/2006/relationships/hyperlink" Target="https://www.linkedin.com/learning/excel-limpieza-de-datos?trk=contentmappingfile" TargetMode="External"/><Relationship Id="rId663" Type="http://schemas.openxmlformats.org/officeDocument/2006/relationships/hyperlink" Target="https://www.linkedin.com/learning/microsoft-dynamics-365-for-talent-esencial?trk=ondemandfile" TargetMode="External"/><Relationship Id="rId870" Type="http://schemas.openxmlformats.org/officeDocument/2006/relationships/hyperlink" Target="https://www.linkedin.com/learning/teletrabajo-y-gestion-de-equipos-remotos?trk=contentmappingfile" TargetMode="External"/><Relationship Id="rId13" Type="http://schemas.openxmlformats.org/officeDocument/2006/relationships/hyperlink" Target="https://www.linkedin.com/learning/como-coordinar-reuniones?trk=ondemandfile" TargetMode="External"/><Relationship Id="rId109" Type="http://schemas.openxmlformats.org/officeDocument/2006/relationships/hyperlink" Target="https://www.linkedin.com/learning/prepara-tu-curriculum-vitae-2?trk=ondemandfile" TargetMode="External"/><Relationship Id="rId316" Type="http://schemas.openxmlformats.org/officeDocument/2006/relationships/hyperlink" Target="https://www.linkedin.com/learning/la-venta-persuasiva?trk=ondemandfile" TargetMode="External"/><Relationship Id="rId523" Type="http://schemas.openxmlformats.org/officeDocument/2006/relationships/hyperlink" Target="https://www.linkedin.com/learning/como-detener-el-acoso-laboral-y-la-intimidacion?trk=ondemandfile" TargetMode="External"/><Relationship Id="rId97" Type="http://schemas.openxmlformats.org/officeDocument/2006/relationships/hyperlink" Target="https://www.linkedin.com/learning/dominar-la-auto-motivacion-en-tiempos-de-crisis?trk=ondemandfile" TargetMode="External"/><Relationship Id="rId730" Type="http://schemas.openxmlformats.org/officeDocument/2006/relationships/hyperlink" Target="https://www.linkedin.com/learning/como-fijar-los-objetivos-de-la-unidad-de-negocio?trk=ondemandfile" TargetMode="External"/><Relationship Id="rId828" Type="http://schemas.openxmlformats.org/officeDocument/2006/relationships/hyperlink" Target="https://www.linkedin.com/learning/como-dar-feedback-a-tu-personal?trk=contentmappingfile" TargetMode="External"/><Relationship Id="rId162" Type="http://schemas.openxmlformats.org/officeDocument/2006/relationships/hyperlink" Target="https://www.linkedin.com/learning/paths/crea-una-atmosfera-de-trabajo-productiva?trk=ondemandfile" TargetMode="External"/><Relationship Id="rId467" Type="http://schemas.openxmlformats.org/officeDocument/2006/relationships/hyperlink" Target="https://www.linkedin.com/learning/matlab-esencial?trk=ondemandfile" TargetMode="External"/><Relationship Id="rId674" Type="http://schemas.openxmlformats.org/officeDocument/2006/relationships/hyperlink" Target="https://www.linkedin.com/learning/el-futuro-de-la-gestion-del-rendimiento?trk=ondemandfile" TargetMode="External"/><Relationship Id="rId881" Type="http://schemas.openxmlformats.org/officeDocument/2006/relationships/hyperlink" Target="https://www.linkedin.com/learning/como-dirigir-en-un-entorno-global-o-internacional?trk=ondemandfile" TargetMode="External"/><Relationship Id="rId24" Type="http://schemas.openxmlformats.org/officeDocument/2006/relationships/hyperlink" Target="https://www.linkedin.com/learning/como-desarrollar-tu-carrera-y-crear-un-plan-de-aprendizaje-70-20-10?trk=ondemandfile" TargetMode="External"/><Relationship Id="rId327" Type="http://schemas.openxmlformats.org/officeDocument/2006/relationships/hyperlink" Target="https://www.linkedin.com/learning/marketing-online-herramientas-de-optimizacion?trk=ondemandfile" TargetMode="External"/><Relationship Id="rId534" Type="http://schemas.openxmlformats.org/officeDocument/2006/relationships/hyperlink" Target="https://www.linkedin.com/learning/como-ser-parte-de-un-ambiente-de-trabajo-positivo?trk=ondemandfile" TargetMode="External"/><Relationship Id="rId741" Type="http://schemas.openxmlformats.org/officeDocument/2006/relationships/hyperlink" Target="https://www.linkedin.com/learning/00-fundamentos-de-la-gestion-de-proyectos-cambios?trk=ondemandfile" TargetMode="External"/><Relationship Id="rId839" Type="http://schemas.openxmlformats.org/officeDocument/2006/relationships/hyperlink" Target="https://www.linkedin.com/learning/desbloquea-la-creatividad-de-tu-equipo?trk=contentmappingfile" TargetMode="External"/><Relationship Id="rId173" Type="http://schemas.openxmlformats.org/officeDocument/2006/relationships/hyperlink" Target="https://www.linkedin.com/learning/building-trust-2?trk=ondemandfile" TargetMode="External"/><Relationship Id="rId380" Type="http://schemas.openxmlformats.org/officeDocument/2006/relationships/hyperlink" Target="https://www.linkedin.com/learning/00-critical-thinking?trk=ondemandfile" TargetMode="External"/><Relationship Id="rId601" Type="http://schemas.openxmlformats.org/officeDocument/2006/relationships/hyperlink" Target="https://www.linkedin.com/learning/como-dar-y-recibir-feedback-o-retroalimentacion?trk=contentmappingfile" TargetMode="External"/><Relationship Id="rId240" Type="http://schemas.openxmlformats.org/officeDocument/2006/relationships/hyperlink" Target="https://www.linkedin.com/learning/habilidades-de-conversacion-inclusiva?trk=ondemandfile" TargetMode="External"/><Relationship Id="rId478" Type="http://schemas.openxmlformats.org/officeDocument/2006/relationships/hyperlink" Target="https://www.linkedin.com/learning/tableau-esencial?trk=ondemandfile" TargetMode="External"/><Relationship Id="rId685" Type="http://schemas.openxmlformats.org/officeDocument/2006/relationships/hyperlink" Target="https://www.linkedin.com/learning/lean-six-sigma-herramientas-de-las-fases-definicion-y-medicion?trk=contentmappingfile" TargetMode="External"/><Relationship Id="rId892" Type="http://schemas.openxmlformats.org/officeDocument/2006/relationships/hyperlink" Target="https://www.linkedin.com/learning/diversidad-e-inclusion-en-empresas-globales?trk=ondemandfile" TargetMode="External"/><Relationship Id="rId906" Type="http://schemas.openxmlformats.org/officeDocument/2006/relationships/hyperlink" Target="https://www.linkedin.com/learning/paths/conviertete-en-editor-de-e-books?trk=ondemandfile" TargetMode="External"/><Relationship Id="rId35" Type="http://schemas.openxmlformats.org/officeDocument/2006/relationships/hyperlink" Target="https://www.linkedin.com/learning/00-measuring-business-performance?trk=ondemandfile" TargetMode="External"/><Relationship Id="rId100" Type="http://schemas.openxmlformats.org/officeDocument/2006/relationships/hyperlink" Target="https://www.linkedin.com/learning/00-change-management?trk=ondemandfile" TargetMode="External"/><Relationship Id="rId338" Type="http://schemas.openxmlformats.org/officeDocument/2006/relationships/hyperlink" Target="https://www.linkedin.com/learning/como-generar-ideas?trk=ondemandfile" TargetMode="External"/><Relationship Id="rId545" Type="http://schemas.openxmlformats.org/officeDocument/2006/relationships/hyperlink" Target="https://www.linkedin.com/learning/00-fundamentos-de-recursos-humanos-reclutamiento?trk=ondemandfile" TargetMode="External"/><Relationship Id="rId752" Type="http://schemas.openxmlformats.org/officeDocument/2006/relationships/hyperlink" Target="https://www.linkedin.com/learning/fundamentos-de-lean-six-sigma?trk=ondemandfile" TargetMode="External"/><Relationship Id="rId184" Type="http://schemas.openxmlformats.org/officeDocument/2006/relationships/hyperlink" Target="https://www.linkedin.com/learning/comunicacion-interpersonal?trk=ondemandfile" TargetMode="External"/><Relationship Id="rId391" Type="http://schemas.openxmlformats.org/officeDocument/2006/relationships/hyperlink" Target="https://www.linkedin.com/learning/como-gestionar-las-expectativas-del-cliente-en-puestos-de-cara-al-publico?trk=ondemandfile" TargetMode="External"/><Relationship Id="rId405" Type="http://schemas.openxmlformats.org/officeDocument/2006/relationships/hyperlink" Target="https://www.linkedin.com/learning/la-ciencia-de-las-ventas?trk=ondemandfile" TargetMode="External"/><Relationship Id="rId612" Type="http://schemas.openxmlformats.org/officeDocument/2006/relationships/hyperlink" Target="https://www.linkedin.com/learning/como-liderar-equipos-de-alto-potencial?trk=contentmappingfile" TargetMode="External"/><Relationship Id="rId251" Type="http://schemas.openxmlformats.org/officeDocument/2006/relationships/hyperlink" Target="https://www.linkedin.com/learning/00-learning-to-say-no?trk=ondemandfile" TargetMode="External"/><Relationship Id="rId489" Type="http://schemas.openxmlformats.org/officeDocument/2006/relationships/hyperlink" Target="https://www.linkedin.com/learning/excel-para-analisis-financiero-y-finanzas-corporativas-office-365-microsoft-365?trk=contentmappingfile" TargetMode="External"/><Relationship Id="rId696" Type="http://schemas.openxmlformats.org/officeDocument/2006/relationships/hyperlink" Target="https://www.linkedin.com/learning/como-liderar-reuniones-individuales-productivas?trk=ondemandfile" TargetMode="External"/><Relationship Id="rId917" Type="http://schemas.openxmlformats.org/officeDocument/2006/relationships/hyperlink" Target="https://www.linkedin.com/learning/00-fundamentos-del-content-marketing-blogs?trk=ondemandfile" TargetMode="External"/><Relationship Id="rId46" Type="http://schemas.openxmlformats.org/officeDocument/2006/relationships/hyperlink" Target="https://www.linkedin.com/learning/designops-habilidades-personales-esencial?trk=ondemandfile" TargetMode="External"/><Relationship Id="rId349" Type="http://schemas.openxmlformats.org/officeDocument/2006/relationships/hyperlink" Target="https://www.linkedin.com/learning/fundamentos-de-la-economia-naranja?trk=ondemandfile" TargetMode="External"/><Relationship Id="rId556" Type="http://schemas.openxmlformats.org/officeDocument/2006/relationships/hyperlink" Target="https://www.linkedin.com/learning/recursos-humanos-como-entrevistar-aspirantes?trk=contentmappingfile" TargetMode="External"/><Relationship Id="rId763" Type="http://schemas.openxmlformats.org/officeDocument/2006/relationships/hyperlink" Target="https://www.linkedin.com/learning/microsoft-teams-administrar-los-horarios-de-trabajo-del-personal-con-turnos?trk=ondemandfile" TargetMode="External"/><Relationship Id="rId111" Type="http://schemas.openxmlformats.org/officeDocument/2006/relationships/hyperlink" Target="https://www.linkedin.com/learning/paths/conviertete-en-jefe-de-equipo-2?trk=ondemandfile" TargetMode="External"/><Relationship Id="rId195" Type="http://schemas.openxmlformats.org/officeDocument/2006/relationships/hyperlink" Target="https://www.linkedin.com/learning/liderazgo-agil-como-afrontar-la-nueva-normalidad?trk=ondemandfile" TargetMode="External"/><Relationship Id="rId209" Type="http://schemas.openxmlformats.org/officeDocument/2006/relationships/hyperlink" Target="https://www.linkedin.com/learning/paths/profundiza-en-tus-habilidades-de-comunicacion-en-la-empresa?trk=ondemandfile" TargetMode="External"/><Relationship Id="rId416" Type="http://schemas.openxmlformats.org/officeDocument/2006/relationships/hyperlink" Target="https://www.linkedin.com/learning/paths/conviertete-en-experto-en-excel-2016?trk=ondemandfile" TargetMode="External"/><Relationship Id="rId623" Type="http://schemas.openxmlformats.org/officeDocument/2006/relationships/hyperlink" Target="https://www.linkedin.com/learning/00-fundamentos-de-la-gestion-de-proyectos-liderazgo?trk=ondemandfile" TargetMode="External"/><Relationship Id="rId830" Type="http://schemas.openxmlformats.org/officeDocument/2006/relationships/hyperlink" Target="https://www.linkedin.com/learning/como-gestionar-a-personas-con-alto-potencial?trk=contentmappingfile" TargetMode="External"/><Relationship Id="rId928" Type="http://schemas.openxmlformats.org/officeDocument/2006/relationships/hyperlink" Target="https://www.linkedin.com/learning/como-balancear-e-integrar-tu-vida-laboral-y-personal?trk=ondemandfile" TargetMode="External"/><Relationship Id="rId57" Type="http://schemas.openxmlformats.org/officeDocument/2006/relationships/hyperlink" Target="https://www.linkedin.com/learning/gestion-del-fracaso-para-tener-exito?trk=contentmappingfile" TargetMode="External"/><Relationship Id="rId262" Type="http://schemas.openxmlformats.org/officeDocument/2006/relationships/hyperlink" Target="https://www.linkedin.com/learning/estrategias-para-salir-de-una-crisis-empresarial?trk=ondemandfile" TargetMode="External"/><Relationship Id="rId567" Type="http://schemas.openxmlformats.org/officeDocument/2006/relationships/hyperlink" Target="https://www.linkedin.com/learning/paths/amplia-tus-competencias-como-lider-para-la-transformacion-digital?trk=ondemandfile" TargetMode="External"/><Relationship Id="rId122" Type="http://schemas.openxmlformats.org/officeDocument/2006/relationships/hyperlink" Target="https://www.linkedin.com/learning/como-crear-una-cultura-de-alto-rendimiento?trk=ondemandfile" TargetMode="External"/><Relationship Id="rId774" Type="http://schemas.openxmlformats.org/officeDocument/2006/relationships/hyperlink" Target="https://www.linkedin.com/learning/trabajando-con-computadoras-y-dispositivos?trk=ondemandfile" TargetMode="External"/><Relationship Id="rId427" Type="http://schemas.openxmlformats.org/officeDocument/2006/relationships/hyperlink" Target="https://www.linkedin.com/learning/00-aprende-data-science-cuenta-historias-con-los-datos?trk=ondemandfile" TargetMode="External"/><Relationship Id="rId634" Type="http://schemas.openxmlformats.org/officeDocument/2006/relationships/hyperlink" Target="https://www.linkedin.com/learning/motivaci-n-e-implicaci-n-en-la-empresa?trk=ondemandfile" TargetMode="External"/><Relationship Id="rId841" Type="http://schemas.openxmlformats.org/officeDocument/2006/relationships/hyperlink" Target="https://www.linkedin.com/learning/fundamentos-y-consejos-para-gerentes-principiantes?trk=contentmappingfile" TargetMode="External"/><Relationship Id="rId273" Type="http://schemas.openxmlformats.org/officeDocument/2006/relationships/hyperlink" Target="https://www.linkedin.com/learning/improving-your-listening-skills-3?trk=ondemandfile" TargetMode="External"/><Relationship Id="rId480" Type="http://schemas.openxmlformats.org/officeDocument/2006/relationships/hyperlink" Target="https://www.linkedin.com/learning/paths/optimiza-tu-gestion-financiera?trk=ondemandfile" TargetMode="External"/><Relationship Id="rId701" Type="http://schemas.openxmlformats.org/officeDocument/2006/relationships/hyperlink" Target="https://www.linkedin.com/learning/el-arte-de-presentar-en-publico-presencial-online-e-hibrido?trk=contentmappingfile" TargetMode="External"/><Relationship Id="rId68" Type="http://schemas.openxmlformats.org/officeDocument/2006/relationships/hyperlink" Target="https://www.linkedin.com/learning/vitalidad-y-capacidad-de-concentracion-a-traves-de-la-alimentacion-sana?trk=ondemandfile" TargetMode="External"/><Relationship Id="rId133" Type="http://schemas.openxmlformats.org/officeDocument/2006/relationships/hyperlink" Target="https://www.linkedin.com/learning/como-integrar-a-personas-nuevas-en-la-empresa?trk=contentmappingfile" TargetMode="External"/><Relationship Id="rId340" Type="http://schemas.openxmlformats.org/officeDocument/2006/relationships/hyperlink" Target="https://www.linkedin.com/learning/como-superar-el-bloqueo-creativo?trk=ondemandfile" TargetMode="External"/><Relationship Id="rId578" Type="http://schemas.openxmlformats.org/officeDocument/2006/relationships/hyperlink" Target="https://www.linkedin.com/learning/00-building-creative-organizations?trk=ondemandfile" TargetMode="External"/><Relationship Id="rId785" Type="http://schemas.openxmlformats.org/officeDocument/2006/relationships/hyperlink" Target="https://www.linkedin.com/learning/como-escribir-correos-electronicos-de-servicio-al-cliente?trk=ondemandfile" TargetMode="External"/><Relationship Id="rId200" Type="http://schemas.openxmlformats.org/officeDocument/2006/relationships/hyperlink" Target="https://www.linkedin.com/learning/recursos-humanos-como-manejar-el-bullying-en-el-lugar-de-trabajo?trk=ondemandfile" TargetMode="External"/><Relationship Id="rId438" Type="http://schemas.openxmlformats.org/officeDocument/2006/relationships/hyperlink" Target="https://www.linkedin.com/learning/data-analyst-tecnicas-y-herramientas-de-informes-esencial?trk=ondemandfile" TargetMode="External"/><Relationship Id="rId645" Type="http://schemas.openxmlformats.org/officeDocument/2006/relationships/hyperlink" Target="https://www.linkedin.com/learning/como-gestionar-a-personas-con-alto-potencial?trk=contentmappingfile" TargetMode="External"/><Relationship Id="rId852" Type="http://schemas.openxmlformats.org/officeDocument/2006/relationships/hyperlink" Target="https://www.linkedin.com/learning/como-gestionar-al-personal-de-alto-rendimiento?trk=contentmappingfile" TargetMode="External"/><Relationship Id="rId284" Type="http://schemas.openxmlformats.org/officeDocument/2006/relationships/hyperlink" Target="https://www.linkedin.com/learning/aprende-mailchimp?trk=ondemandfile" TargetMode="External"/><Relationship Id="rId491" Type="http://schemas.openxmlformats.org/officeDocument/2006/relationships/hyperlink" Target="https://www.linkedin.com/learning/excel-para-principiantes-crear-y-gestionar-facturas-365-2019?trk=contentmappingfile" TargetMode="External"/><Relationship Id="rId505" Type="http://schemas.openxmlformats.org/officeDocument/2006/relationships/hyperlink" Target="https://www.linkedin.com/learning/gestion-de-cuentas-clave?trk=ondemandfile" TargetMode="External"/><Relationship Id="rId712" Type="http://schemas.openxmlformats.org/officeDocument/2006/relationships/hyperlink" Target="https://www.linkedin.com/learning/00-powerpoint-2019-esencial?trk=ondemandfile" TargetMode="External"/><Relationship Id="rId79" Type="http://schemas.openxmlformats.org/officeDocument/2006/relationships/hyperlink" Target="https://www.linkedin.com/learning/c-mo-aumentar-la-resiliencia?trk=ondemandfile" TargetMode="External"/><Relationship Id="rId144" Type="http://schemas.openxmlformats.org/officeDocument/2006/relationships/hyperlink" Target="https://www.linkedin.com/learning/el-futuro-de-la-gestion-del-rendimiento?trk=ondemandfile" TargetMode="External"/><Relationship Id="rId589" Type="http://schemas.openxmlformats.org/officeDocument/2006/relationships/hyperlink" Target="https://www.linkedin.com/learning/liderazgo-con-inteligencia-emocional?trk=ondemandfile" TargetMode="External"/><Relationship Id="rId796" Type="http://schemas.openxmlformats.org/officeDocument/2006/relationships/hyperlink" Target="https://www.linkedin.com/learning/fundamentos-de-la-prevision-de-ventas?trk=ondemandfile" TargetMode="External"/><Relationship Id="rId351" Type="http://schemas.openxmlformats.org/officeDocument/2006/relationships/hyperlink" Target="https://www.linkedin.com/learning/fundamentos-de-matematica-bases-y-calculo-mental?trk=ondemandfile" TargetMode="External"/><Relationship Id="rId449" Type="http://schemas.openxmlformats.org/officeDocument/2006/relationships/hyperlink" Target="https://www.linkedin.com/learning/excel-business-intelligence-2-modelado-de-datos-365-2019?trk=contentmappingfile" TargetMode="External"/><Relationship Id="rId656" Type="http://schemas.openxmlformats.org/officeDocument/2006/relationships/hyperlink" Target="https://www.linkedin.com/learning/00-performance-review-fundamentals?trk=ondemandfile" TargetMode="External"/><Relationship Id="rId863" Type="http://schemas.openxmlformats.org/officeDocument/2006/relationships/hyperlink" Target="https://www.linkedin.com/learning/fundamentos-de-la-gesti-n-empresarial?trk=ondemandfile" TargetMode="External"/><Relationship Id="rId211" Type="http://schemas.openxmlformats.org/officeDocument/2006/relationships/hyperlink" Target="https://www.linkedin.com/learning/paths/mejora-la-comunicacion-en-el-ambito-empresarial?trk=ondemandfile" TargetMode="External"/><Relationship Id="rId295" Type="http://schemas.openxmlformats.org/officeDocument/2006/relationships/hyperlink" Target="https://www.linkedin.com/learning/facebook-ads-avanzado?trk=ondemandfile" TargetMode="External"/><Relationship Id="rId309" Type="http://schemas.openxmlformats.org/officeDocument/2006/relationships/hyperlink" Target="https://www.linkedin.com/learning/fundamentos-del-marketing-internacional?trk=ondemandfile" TargetMode="External"/><Relationship Id="rId516" Type="http://schemas.openxmlformats.org/officeDocument/2006/relationships/hyperlink" Target="https://www.linkedin.com/learning/paths/conviertete-en-reclutador-de-talentos?trk=ondemandfile" TargetMode="External"/><Relationship Id="rId723" Type="http://schemas.openxmlformats.org/officeDocument/2006/relationships/hyperlink" Target="https://www.linkedin.com/learning/paths/gestiona-tus-proyectos-con-project-2016?trk=ondemandfile" TargetMode="External"/><Relationship Id="rId930" Type="http://schemas.openxmlformats.org/officeDocument/2006/relationships/hyperlink" Target="https://www.linkedin.com/learning/como-hackear-tu-mente-y-recuperar-el-control-sobre-el-estres?trk=ondemandfile" TargetMode="External"/><Relationship Id="rId155" Type="http://schemas.openxmlformats.org/officeDocument/2006/relationships/hyperlink" Target="https://www.linkedin.com/learning/motivaci-n-e-implicaci-n-en-la-empresa?trk=ondemandfile" TargetMode="External"/><Relationship Id="rId362" Type="http://schemas.openxmlformats.org/officeDocument/2006/relationships/hyperlink" Target="https://www.linkedin.com/learning/paths/domina-las-habilidades-de-vida-a-nivel-de-liderazgo?trk=ondemandfile" TargetMode="External"/><Relationship Id="rId222" Type="http://schemas.openxmlformats.org/officeDocument/2006/relationships/hyperlink" Target="https://www.linkedin.com/learning/como-liderar-reuniones-productivas?trk=ondemandfile" TargetMode="External"/><Relationship Id="rId667" Type="http://schemas.openxmlformats.org/officeDocument/2006/relationships/hyperlink" Target="https://www.linkedin.com/learning/aprende-a-usar-la-metodologia-lean?trk=ondemandfile" TargetMode="External"/><Relationship Id="rId874" Type="http://schemas.openxmlformats.org/officeDocument/2006/relationships/hyperlink" Target="https://www.linkedin.com/learning/paths/conviertete-en-lider?trk=ondemandfile" TargetMode="External"/><Relationship Id="rId17" Type="http://schemas.openxmlformats.org/officeDocument/2006/relationships/hyperlink" Target="https://www.linkedin.com/learning/como-crear-una-cultura-de-alto-rendimiento?trk=ondemandfile" TargetMode="External"/><Relationship Id="rId59" Type="http://schemas.openxmlformats.org/officeDocument/2006/relationships/hyperlink" Target="https://www.linkedin.com/learning/getting-things-done-organ-zate-con-eficacia?trk=ondemandfile" TargetMode="External"/><Relationship Id="rId124" Type="http://schemas.openxmlformats.org/officeDocument/2006/relationships/hyperlink" Target="https://www.linkedin.com/learning/como-dar-feedback-a-tu-personal?trk=contentmappingfile" TargetMode="External"/><Relationship Id="rId527" Type="http://schemas.openxmlformats.org/officeDocument/2006/relationships/hyperlink" Target="https://www.linkedin.com/learning/como-hacer-coaching-a-tu-personal-para-obtener-resultados?trk=contentmappingfile" TargetMode="External"/><Relationship Id="rId569" Type="http://schemas.openxmlformats.org/officeDocument/2006/relationships/hyperlink" Target="https://www.linkedin.com/learning/paths/gestiona-los-cambios?trk=ondemandfile" TargetMode="External"/><Relationship Id="rId734" Type="http://schemas.openxmlformats.org/officeDocument/2006/relationships/hyperlink" Target="https://www.linkedin.com/learning/designops-habilidades-personales-esencial?trk=ondemandfile" TargetMode="External"/><Relationship Id="rId776" Type="http://schemas.openxmlformats.org/officeDocument/2006/relationships/hyperlink" Target="https://www.linkedin.com/learning/transicion-de-gestion-de-proyectos-en-cascada-a-gestion-de-proyectos-agile?trk=ondemandfile" TargetMode="External"/><Relationship Id="rId70" Type="http://schemas.openxmlformats.org/officeDocument/2006/relationships/hyperlink" Target="https://www.linkedin.com/learning/paths/domina-las-habilidades-de-vida-personales?trk=ondemandfile" TargetMode="External"/><Relationship Id="rId166" Type="http://schemas.openxmlformats.org/officeDocument/2006/relationships/hyperlink" Target="https://www.linkedin.com/learning/paths/mejora-la-comunicacion-en-el-ambito-empresarial?trk=ondemandfile" TargetMode="External"/><Relationship Id="rId331" Type="http://schemas.openxmlformats.org/officeDocument/2006/relationships/hyperlink" Target="https://www.linkedin.com/learning/lunes-de-marketing-digital-trucos-con-guillermo-pareja-y-nico-roddz?trk=ondemandfile" TargetMode="External"/><Relationship Id="rId373" Type="http://schemas.openxmlformats.org/officeDocument/2006/relationships/hyperlink" Target="https://www.linkedin.com/learning/fred-kofman-y-la-gesti-n-de-conflictos?trk=ondemandfile" TargetMode="External"/><Relationship Id="rId429" Type="http://schemas.openxmlformats.org/officeDocument/2006/relationships/hyperlink" Target="https://www.linkedin.com/learning/00-aprende-diseno-de-base-de-datos?trk=ondemandfile" TargetMode="External"/><Relationship Id="rId580" Type="http://schemas.openxmlformats.org/officeDocument/2006/relationships/hyperlink" Target="https://www.linkedin.com/learning/estrategias-para-salir-de-una-crisis-empresarial?trk=ondemandfile" TargetMode="External"/><Relationship Id="rId636" Type="http://schemas.openxmlformats.org/officeDocument/2006/relationships/hyperlink" Target="https://www.linkedin.com/learning/00-executive-decision-making?trk=ondemandfile" TargetMode="External"/><Relationship Id="rId801" Type="http://schemas.openxmlformats.org/officeDocument/2006/relationships/hyperlink" Target="https://www.linkedin.com/learning/habilidades-blandas-para-profesionales-de-las-ventas?trk=contentmappingfile" TargetMode="External"/><Relationship Id="rId1" Type="http://schemas.openxmlformats.org/officeDocument/2006/relationships/hyperlink" Target="https://www.linkedin.com/learning/agile-en-accion-construye-tu-equipo-agil?trk=ondemandfile" TargetMode="External"/><Relationship Id="rId233" Type="http://schemas.openxmlformats.org/officeDocument/2006/relationships/hyperlink" Target="https://www.linkedin.com/learning/comunicacion-interpersonal?trk=ondemandfile" TargetMode="External"/><Relationship Id="rId440" Type="http://schemas.openxmlformats.org/officeDocument/2006/relationships/hyperlink" Target="https://www.linkedin.com/learning/data-scientist-estadistica-esencial?trk=ondemandfile" TargetMode="External"/><Relationship Id="rId678" Type="http://schemas.openxmlformats.org/officeDocument/2006/relationships/hyperlink" Target="https://www.linkedin.com/learning/00-process-improvement-fundamentals?trk=ondemandfile" TargetMode="External"/><Relationship Id="rId843" Type="http://schemas.openxmlformats.org/officeDocument/2006/relationships/hyperlink" Target="https://www.linkedin.com/learning/00-managing-employee-performance-problems?trk=ondemandfile" TargetMode="External"/><Relationship Id="rId885" Type="http://schemas.openxmlformats.org/officeDocument/2006/relationships/hyperlink" Target="https://www.linkedin.com/learning/como-impulsar-el-cambio-y-el-antirracismo?trk=ondemandfile" TargetMode="External"/><Relationship Id="rId28" Type="http://schemas.openxmlformats.org/officeDocument/2006/relationships/hyperlink" Target="https://www.linkedin.com/learning/c-mo-gestionar-mejor-tu-tiempo?trk=ondemandfile" TargetMode="External"/><Relationship Id="rId275" Type="http://schemas.openxmlformats.org/officeDocument/2006/relationships/hyperlink" Target="https://www.linkedin.com/learning/toma-de-decisiones-en-situaciones-de-gran-estres?trk=ondemandfile" TargetMode="External"/><Relationship Id="rId300" Type="http://schemas.openxmlformats.org/officeDocument/2006/relationships/hyperlink" Target="https://www.linkedin.com/learning/00-fundamentos-del-content-marketing-blogs?trk=ondemandfile" TargetMode="External"/><Relationship Id="rId482" Type="http://schemas.openxmlformats.org/officeDocument/2006/relationships/hyperlink" Target="https://www.linkedin.com/learning/paths/conviertete-en-responsable-financiero?trk=ondemandfile" TargetMode="External"/><Relationship Id="rId538" Type="http://schemas.openxmlformats.org/officeDocument/2006/relationships/hyperlink" Target="https://www.linkedin.com/learning/empodera-a-tu-equipo?trk=contentmappingfile" TargetMode="External"/><Relationship Id="rId703" Type="http://schemas.openxmlformats.org/officeDocument/2006/relationships/hyperlink" Target="https://www.linkedin.com/learning/00-fundamentos-de-las-presentaciones-profesionales?trk=ondemandfile" TargetMode="External"/><Relationship Id="rId745" Type="http://schemas.openxmlformats.org/officeDocument/2006/relationships/hyperlink" Target="https://www.linkedin.com/learning/00-fundamentos-de-la-gestion-de-proyectos-etica?trk=ondemandfile" TargetMode="External"/><Relationship Id="rId910" Type="http://schemas.openxmlformats.org/officeDocument/2006/relationships/hyperlink" Target="https://www.linkedin.com/learning/paths/profundiza-la-gestion-de-documentos-digitales-con-adobe-acrobat-xi?trk=ondemandfile" TargetMode="External"/><Relationship Id="rId81" Type="http://schemas.openxmlformats.org/officeDocument/2006/relationships/hyperlink" Target="https://www.linkedin.com/learning/como-cultivar-una-mentalidad-de-crecimiento?trk=ondemandfile" TargetMode="External"/><Relationship Id="rId135" Type="http://schemas.openxmlformats.org/officeDocument/2006/relationships/hyperlink" Target="https://www.linkedin.com/learning/como-liderar-equipos-inclusivos?trk=ondemandfile" TargetMode="External"/><Relationship Id="rId177" Type="http://schemas.openxmlformats.org/officeDocument/2006/relationships/hyperlink" Target="https://www.linkedin.com/learning/como-liderar-equipos-inclusivos?trk=ondemandfile" TargetMode="External"/><Relationship Id="rId342" Type="http://schemas.openxmlformats.org/officeDocument/2006/relationships/hyperlink" Target="https://www.linkedin.com/learning/creatividad-en-la-empresa?trk=ondemandfile" TargetMode="External"/><Relationship Id="rId384" Type="http://schemas.openxmlformats.org/officeDocument/2006/relationships/hyperlink" Target="https://www.linkedin.com/learning/toma-de-decisiones-en-situaciones-de-gran-estres?trk=ondemandfile" TargetMode="External"/><Relationship Id="rId591" Type="http://schemas.openxmlformats.org/officeDocument/2006/relationships/hyperlink" Target="https://www.linkedin.com/learning/liderazgo-inclusivo?trk=ondemandfile" TargetMode="External"/><Relationship Id="rId605" Type="http://schemas.openxmlformats.org/officeDocument/2006/relationships/hyperlink" Target="https://www.linkedin.com/learning/como-gestionar-al-personal-de-alto-rendimiento?trk=contentmappingfile" TargetMode="External"/><Relationship Id="rId787" Type="http://schemas.openxmlformats.org/officeDocument/2006/relationships/hyperlink" Target="https://www.linkedin.com/learning/como-identificar-oportunidades-de-crecimiento-en-las-ventas?trk=ondemandfile" TargetMode="External"/><Relationship Id="rId812" Type="http://schemas.openxmlformats.org/officeDocument/2006/relationships/hyperlink" Target="https://www.linkedin.com/learning/como-mejorar-tu-capacidad-de-toma-de-decisiones?trk=ondemandfile" TargetMode="External"/><Relationship Id="rId202" Type="http://schemas.openxmlformats.org/officeDocument/2006/relationships/hyperlink" Target="https://www.linkedin.com/learning/trabajando-y-colaborando-online?trk=ondemandfile" TargetMode="External"/><Relationship Id="rId244" Type="http://schemas.openxmlformats.org/officeDocument/2006/relationships/hyperlink" Target="https://www.linkedin.com/learning/00-persuadir-a-los-demas?trk=ondemandfile" TargetMode="External"/><Relationship Id="rId647" Type="http://schemas.openxmlformats.org/officeDocument/2006/relationships/hyperlink" Target="https://www.linkedin.com/learning/c-mo-gestionar-equipos-de-trabajo?trk=ondemandfile" TargetMode="External"/><Relationship Id="rId689" Type="http://schemas.openxmlformats.org/officeDocument/2006/relationships/hyperlink" Target="https://www.linkedin.com/learning/paths/mejora-los-disenos-de-tus-presentaciones?trk=ondemandfile" TargetMode="External"/><Relationship Id="rId854" Type="http://schemas.openxmlformats.org/officeDocument/2006/relationships/hyperlink" Target="https://www.linkedin.com/learning/como-hacer-coaching-a-tu-personal-para-obtener-resultados?trk=contentmappingfile" TargetMode="External"/><Relationship Id="rId896" Type="http://schemas.openxmlformats.org/officeDocument/2006/relationships/hyperlink" Target="https://www.linkedin.com/learning/integrar-personas-con-diversidad-funcional-en-la-empresa?trk=contentmappingfile" TargetMode="External"/><Relationship Id="rId39" Type="http://schemas.openxmlformats.org/officeDocument/2006/relationships/hyperlink" Target="https://www.linkedin.com/learning/c-mo-tomar-decisiones?trk=ondemandfile" TargetMode="External"/><Relationship Id="rId286" Type="http://schemas.openxmlformats.org/officeDocument/2006/relationships/hyperlink" Target="https://www.linkedin.com/learning/00-bing-ads-esencial?trk=ondemandfile" TargetMode="External"/><Relationship Id="rId451" Type="http://schemas.openxmlformats.org/officeDocument/2006/relationships/hyperlink" Target="https://www.linkedin.com/learning/excel-para-principiantes-buscar-datos-365-2019?trk=contentmappingfile" TargetMode="External"/><Relationship Id="rId493" Type="http://schemas.openxmlformats.org/officeDocument/2006/relationships/hyperlink" Target="https://www.linkedin.com/learning/finanzas-para-peque-as-empresas?trk=ondemandfile" TargetMode="External"/><Relationship Id="rId507" Type="http://schemas.openxmlformats.org/officeDocument/2006/relationships/hyperlink" Target="https://www.linkedin.com/learning/gestion-financiera-rentabilidad?trk=ondemandfile" TargetMode="External"/><Relationship Id="rId549" Type="http://schemas.openxmlformats.org/officeDocument/2006/relationships/hyperlink" Target="https://www.linkedin.com/learning/liderazgo-y-recursos-humanos-estrategia-de-ubicacion-para-una-fuerza-de-trabajo-hibrida?trk=contentmappingfile" TargetMode="External"/><Relationship Id="rId714" Type="http://schemas.openxmlformats.org/officeDocument/2006/relationships/hyperlink" Target="https://www.linkedin.com/learning/powerpoint-esencial-office-365-microsoft-365?trk=contentmappingfile" TargetMode="External"/><Relationship Id="rId756" Type="http://schemas.openxmlformats.org/officeDocument/2006/relationships/hyperlink" Target="https://www.linkedin.com/learning/gestion-de-proyectos-agiles-con-trello?trk=contentmappingfile" TargetMode="External"/><Relationship Id="rId921" Type="http://schemas.openxmlformats.org/officeDocument/2006/relationships/hyperlink" Target="https://www.linkedin.com/learning/profundiza-la-lengua-espanola-uso-de-las-tildes?trk=ondemandfile" TargetMode="External"/><Relationship Id="rId50" Type="http://schemas.openxmlformats.org/officeDocument/2006/relationships/hyperlink" Target="https://www.linkedin.com/learning/fundamentos-de-la-excelencia-operativa?trk=ondemandfile" TargetMode="External"/><Relationship Id="rId104" Type="http://schemas.openxmlformats.org/officeDocument/2006/relationships/hyperlink" Target="https://www.linkedin.com/learning/00-la-importancia-de-las-habilidades-de-vida-o-soft-skills-fronesis?trk=ondemandfile" TargetMode="External"/><Relationship Id="rId146" Type="http://schemas.openxmlformats.org/officeDocument/2006/relationships/hyperlink" Target="https://www.linkedin.com/learning/fundamentos-de-gestion-de-equipos-it-y-programacion?trk=ondemandfile" TargetMode="External"/><Relationship Id="rId188" Type="http://schemas.openxmlformats.org/officeDocument/2006/relationships/hyperlink" Target="https://www.linkedin.com/learning/00-professional-networking-fundamentals?trk=ondemandfile" TargetMode="External"/><Relationship Id="rId311" Type="http://schemas.openxmlformats.org/officeDocument/2006/relationships/hyperlink" Target="https://www.linkedin.com/learning/google-ads-creacion-de-campana?trk=ondemandfile" TargetMode="External"/><Relationship Id="rId353" Type="http://schemas.openxmlformats.org/officeDocument/2006/relationships/hyperlink" Target="https://www.linkedin.com/learning/leading-with-innovation-3?trk=ondemandfile" TargetMode="External"/><Relationship Id="rId395" Type="http://schemas.openxmlformats.org/officeDocument/2006/relationships/hyperlink" Target="https://www.linkedin.com/learning/00-asking-great-sales-questions?trk=ondemandfile" TargetMode="External"/><Relationship Id="rId409" Type="http://schemas.openxmlformats.org/officeDocument/2006/relationships/hyperlink" Target="https://www.linkedin.com/learning/salesforce-para-administradores-esencial?trk=ondemandfile" TargetMode="External"/><Relationship Id="rId560" Type="http://schemas.openxmlformats.org/officeDocument/2006/relationships/hyperlink" Target="https://www.linkedin.com/learning/recursos-humanos-reclutamiento-de-la-diversidad?trk=ondemandfile" TargetMode="External"/><Relationship Id="rId798" Type="http://schemas.openxmlformats.org/officeDocument/2006/relationships/hyperlink" Target="https://www.linkedin.com/learning/fundamentos-de-marketing-b2b?trk=ondemandfile" TargetMode="External"/><Relationship Id="rId92" Type="http://schemas.openxmlformats.org/officeDocument/2006/relationships/hyperlink" Target="https://www.linkedin.com/learning/00-comunicacion-de-la-gestion-del-cambio?trk=ondemandfile" TargetMode="External"/><Relationship Id="rId213" Type="http://schemas.openxmlformats.org/officeDocument/2006/relationships/hyperlink" Target="https://www.linkedin.com/learning/paths/domina-las-habilidades-de-vida-sociales?trk=ondemandfile" TargetMode="External"/><Relationship Id="rId420" Type="http://schemas.openxmlformats.org/officeDocument/2006/relationships/hyperlink" Target="https://www.linkedin.com/learning/paths/crea-y-gestiona-tablas-dinamicas-en-excel?trk=ondemandfile" TargetMode="External"/><Relationship Id="rId616" Type="http://schemas.openxmlformats.org/officeDocument/2006/relationships/hyperlink" Target="https://www.linkedin.com/learning/como-medir-el-rendimiento-de-tu-equipo?trk=contentmappingfile" TargetMode="External"/><Relationship Id="rId658" Type="http://schemas.openxmlformats.org/officeDocument/2006/relationships/hyperlink" Target="https://www.linkedin.com/learning/fundamentos-y-consejos-para-gerentes-principiantes?trk=contentmappingfile" TargetMode="External"/><Relationship Id="rId823" Type="http://schemas.openxmlformats.org/officeDocument/2006/relationships/hyperlink" Target="https://www.linkedin.com/learning/00-executive-decision-making?trk=ondemandfile" TargetMode="External"/><Relationship Id="rId865" Type="http://schemas.openxmlformats.org/officeDocument/2006/relationships/hyperlink" Target="https://www.linkedin.com/learning/00-managing-employee-performance-problems?trk=ondemandfile" TargetMode="External"/><Relationship Id="rId255" Type="http://schemas.openxmlformats.org/officeDocument/2006/relationships/hyperlink" Target="https://www.linkedin.com/learning/como-detener-el-acoso-laboral-y-la-intimidacion?trk=ondemandfile" TargetMode="External"/><Relationship Id="rId297" Type="http://schemas.openxmlformats.org/officeDocument/2006/relationships/hyperlink" Target="https://www.linkedin.com/learning/fundamentos-de-marketing-b2b?trk=ondemandfile" TargetMode="External"/><Relationship Id="rId462" Type="http://schemas.openxmlformats.org/officeDocument/2006/relationships/hyperlink" Target="https://www.linkedin.com/learning/00-fundamentos-de-data-science-conceptos-basicos?trk=ondemandfile" TargetMode="External"/><Relationship Id="rId518" Type="http://schemas.openxmlformats.org/officeDocument/2006/relationships/hyperlink" Target="https://www.linkedin.com/learning/paths/profundiza-en-la-busqueda-seleccion-y-retencion-de-talentos?trk=ondemandfile" TargetMode="External"/><Relationship Id="rId725" Type="http://schemas.openxmlformats.org/officeDocument/2006/relationships/hyperlink" Target="https://www.linkedin.com/learning/paths/mejora-tus-dotes-de-liderazgo-y-gestion-de-equipos-de-trabajo?trk=ondemandfile" TargetMode="External"/><Relationship Id="rId932" Type="http://schemas.openxmlformats.org/officeDocument/2006/relationships/hyperlink" Target="https://www.linkedin.com/learning/gestion-del-estres-en-tiempos-de-incertidumbre-vivir-o-sobrevivir?trk=ondemandfile" TargetMode="External"/><Relationship Id="rId115" Type="http://schemas.openxmlformats.org/officeDocument/2006/relationships/hyperlink" Target="https://www.linkedin.com/learning/paths/mejora-tu-gestin-de-tiempo-y-productividad?trk=ondemandfile" TargetMode="External"/><Relationship Id="rId157" Type="http://schemas.openxmlformats.org/officeDocument/2006/relationships/hyperlink" Target="https://www.linkedin.com/learning/teletrabajo-y-gestion-de-equipos-remotos?trk=contentmappingfile" TargetMode="External"/><Relationship Id="rId322" Type="http://schemas.openxmlformats.org/officeDocument/2006/relationships/hyperlink" Target="https://www.linkedin.com/learning/00-social-media-roi?trk=ondemandfile" TargetMode="External"/><Relationship Id="rId364" Type="http://schemas.openxmlformats.org/officeDocument/2006/relationships/hyperlink" Target="https://www.linkedin.com/learning/paths/mejora-tus-habilidades-para-resolver-problemas?trk=ondemandfile" TargetMode="External"/><Relationship Id="rId767" Type="http://schemas.openxmlformats.org/officeDocument/2006/relationships/hyperlink" Target="https://www.linkedin.com/learning/00-project-2019-esencial?trk=ondemandfile" TargetMode="External"/><Relationship Id="rId61" Type="http://schemas.openxmlformats.org/officeDocument/2006/relationships/hyperlink" Target="https://www.linkedin.com/learning/herramientas-online-para-teletrabajo-trucos?trk=ondemandfile" TargetMode="External"/><Relationship Id="rId199" Type="http://schemas.openxmlformats.org/officeDocument/2006/relationships/hyperlink" Target="https://www.linkedin.com/learning/motivaci-n-e-implicaci-n-en-la-empresa?trk=ondemandfile" TargetMode="External"/><Relationship Id="rId571" Type="http://schemas.openxmlformats.org/officeDocument/2006/relationships/hyperlink" Target="https://www.linkedin.com/learning/paths/domina-las-habilidades-de-vida-a-nivel-de-liderazgo?trk=ondemandfile" TargetMode="External"/><Relationship Id="rId627" Type="http://schemas.openxmlformats.org/officeDocument/2006/relationships/hyperlink" Target="https://www.linkedin.com/learning/leading-with-innovation-3?trk=ondemandfile" TargetMode="External"/><Relationship Id="rId669" Type="http://schemas.openxmlformats.org/officeDocument/2006/relationships/hyperlink" Target="https://www.linkedin.com/learning/como-crear-una-cultura-de-alto-rendimiento?trk=ondemandfile" TargetMode="External"/><Relationship Id="rId834" Type="http://schemas.openxmlformats.org/officeDocument/2006/relationships/hyperlink" Target="https://www.linkedin.com/learning/como-liderar-equipos-de-alto-potencial?trk=contentmappingfile" TargetMode="External"/><Relationship Id="rId876" Type="http://schemas.openxmlformats.org/officeDocument/2006/relationships/hyperlink" Target="https://www.linkedin.com/learning/00-building-accountability-into-your-culture?trk=ondemandfile" TargetMode="External"/><Relationship Id="rId19" Type="http://schemas.openxmlformats.org/officeDocument/2006/relationships/hyperlink" Target="https://www.linkedin.com/learning/00-building-accountability-into-your-culture?trk=ondemandfile" TargetMode="External"/><Relationship Id="rId224" Type="http://schemas.openxmlformats.org/officeDocument/2006/relationships/hyperlink" Target="https://www.linkedin.com/learning/como-medir-el-rendimiento-de-tu-equipo?trk=contentmappingfile" TargetMode="External"/><Relationship Id="rId266" Type="http://schemas.openxmlformats.org/officeDocument/2006/relationships/hyperlink" Target="https://www.linkedin.com/learning/00-solving-common-project-problems?trk=ondemandfile" TargetMode="External"/><Relationship Id="rId431" Type="http://schemas.openxmlformats.org/officeDocument/2006/relationships/hyperlink" Target="https://www.linkedin.com/learning/aprende-power-bi?trk=ondemandfile" TargetMode="External"/><Relationship Id="rId473" Type="http://schemas.openxmlformats.org/officeDocument/2006/relationships/hyperlink" Target="https://www.linkedin.com/learning/power-bi-visualizaciones-e-informes?trk=ondemandfile" TargetMode="External"/><Relationship Id="rId529" Type="http://schemas.openxmlformats.org/officeDocument/2006/relationships/hyperlink" Target="https://www.linkedin.com/learning/como-integrar-a-personas-nuevas-en-la-empresa?trk=contentmappingfile" TargetMode="External"/><Relationship Id="rId680" Type="http://schemas.openxmlformats.org/officeDocument/2006/relationships/hyperlink" Target="https://www.linkedin.com/learning/00-fundamentos-de-six-sigma?trk=ondemandfile" TargetMode="External"/><Relationship Id="rId736" Type="http://schemas.openxmlformats.org/officeDocument/2006/relationships/hyperlink" Target="https://www.linkedin.com/learning/00-fundamentos-de-la-gestion-de-programas?trk=ondemandfile" TargetMode="External"/><Relationship Id="rId901" Type="http://schemas.openxmlformats.org/officeDocument/2006/relationships/hyperlink" Target="https://www.linkedin.com/learning/la-salud-tu-mejor-talento?trk=ondemandfile" TargetMode="External"/><Relationship Id="rId30" Type="http://schemas.openxmlformats.org/officeDocument/2006/relationships/hyperlink" Target="https://www.linkedin.com/learning/como-identificar-tu-proposito?trk=ondemandfile" TargetMode="External"/><Relationship Id="rId126" Type="http://schemas.openxmlformats.org/officeDocument/2006/relationships/hyperlink" Target="https://www.linkedin.com/learning/como-dar-y-recibir-feedback-o-retroalimentacion?trk=contentmappingfile" TargetMode="External"/><Relationship Id="rId168" Type="http://schemas.openxmlformats.org/officeDocument/2006/relationships/hyperlink" Target="https://www.linkedin.com/learning/paths/fomenta-la-colaboracion-en-tu-equipo?trk=ondemandfile" TargetMode="External"/><Relationship Id="rId333" Type="http://schemas.openxmlformats.org/officeDocument/2006/relationships/hyperlink" Target="https://www.linkedin.com/learning/00-como-anunciarse-en-youtube?trk=ondemandfile" TargetMode="External"/><Relationship Id="rId540" Type="http://schemas.openxmlformats.org/officeDocument/2006/relationships/hyperlink" Target="https://www.linkedin.com/learning/fundamentos-de-gestion-de-equipos-it-y-programacion?trk=ondemandfile" TargetMode="External"/><Relationship Id="rId778" Type="http://schemas.openxmlformats.org/officeDocument/2006/relationships/hyperlink" Target="https://www.linkedin.com/learning/paths/aplica-linkedin-en-tus-ventas?trk=ondemandfile" TargetMode="External"/><Relationship Id="rId72" Type="http://schemas.openxmlformats.org/officeDocument/2006/relationships/hyperlink" Target="https://www.linkedin.com/learning/paths/liderazgo-en-tiempos-de-transformacion-digital?trk=ondemandfile" TargetMode="External"/><Relationship Id="rId375" Type="http://schemas.openxmlformats.org/officeDocument/2006/relationships/hyperlink" Target="https://www.linkedin.com/learning/00-solving-common-project-problems?trk=ondemandfile" TargetMode="External"/><Relationship Id="rId582" Type="http://schemas.openxmlformats.org/officeDocument/2006/relationships/hyperlink" Target="https://www.linkedin.com/learning/00-fundamentos-de-la-gestion-de-proyectos-liderazgo?trk=ondemandfile" TargetMode="External"/><Relationship Id="rId638" Type="http://schemas.openxmlformats.org/officeDocument/2006/relationships/hyperlink" Target="https://www.linkedin.com/learning/como-administrar-por-objetivos?trk=ondemandfile" TargetMode="External"/><Relationship Id="rId803" Type="http://schemas.openxmlformats.org/officeDocument/2006/relationships/hyperlink" Target="https://www.linkedin.com/learning/la-venta-persuasiva?trk=ondemandfile" TargetMode="External"/><Relationship Id="rId845" Type="http://schemas.openxmlformats.org/officeDocument/2006/relationships/hyperlink" Target="https://www.linkedin.com/learning/como-administrar-por-objetivos?trk=ondemandfile" TargetMode="External"/><Relationship Id="rId3" Type="http://schemas.openxmlformats.org/officeDocument/2006/relationships/hyperlink" Target="https://www.linkedin.com/learning/agile-en-accion-impulsar-reuniones-agiles-y-productivas?trk=ondemandfile" TargetMode="External"/><Relationship Id="rId235" Type="http://schemas.openxmlformats.org/officeDocument/2006/relationships/hyperlink" Target="https://www.linkedin.com/learning/00-etiqueta-profesional?trk=ondemandfile" TargetMode="External"/><Relationship Id="rId277" Type="http://schemas.openxmlformats.org/officeDocument/2006/relationships/hyperlink" Target="https://www.linkedin.com/learning/paths/conviertete-en-experto-seo?trk=ondemandfile" TargetMode="External"/><Relationship Id="rId400" Type="http://schemas.openxmlformats.org/officeDocument/2006/relationships/hyperlink" Target="https://www.linkedin.com/learning/fundamentos-de-marketing-b2b?trk=ondemandfile" TargetMode="External"/><Relationship Id="rId442" Type="http://schemas.openxmlformats.org/officeDocument/2006/relationships/hyperlink" Target="https://www.linkedin.com/learning/00-excel-2016-para-mac-analisis-gestion-y-validacion-de-datos?trk=ondemandfile" TargetMode="External"/><Relationship Id="rId484" Type="http://schemas.openxmlformats.org/officeDocument/2006/relationships/hyperlink" Target="https://www.linkedin.com/learning/paths/conviertete-en-asistente-de-contabilidad?trk=ondemandfile" TargetMode="External"/><Relationship Id="rId705" Type="http://schemas.openxmlformats.org/officeDocument/2006/relationships/hyperlink" Target="https://www.linkedin.com/learning/google-presentaciones-esencial-2018?trk=contentmappingfile" TargetMode="External"/><Relationship Id="rId887" Type="http://schemas.openxmlformats.org/officeDocument/2006/relationships/hyperlink" Target="https://www.linkedin.com/learning/como-liderar-equipos-inclusivos?trk=ondemandfile" TargetMode="External"/><Relationship Id="rId137" Type="http://schemas.openxmlformats.org/officeDocument/2006/relationships/hyperlink" Target="https://www.linkedin.com/learning/como-medir-el-rendimiento-de-tu-equipo?trk=contentmappingfile" TargetMode="External"/><Relationship Id="rId302" Type="http://schemas.openxmlformats.org/officeDocument/2006/relationships/hyperlink" Target="https://www.linkedin.com/learning/fundamentos-del-marketing?trk=ondemandfile" TargetMode="External"/><Relationship Id="rId344" Type="http://schemas.openxmlformats.org/officeDocument/2006/relationships/hyperlink" Target="https://www.linkedin.com/learning/desarrolla-tu-creatividad-trucos?trk=ondemandfile" TargetMode="External"/><Relationship Id="rId691" Type="http://schemas.openxmlformats.org/officeDocument/2006/relationships/hyperlink" Target="https://www.linkedin.com/learning/paths/mejora-tus-dotes-de-presentacion-orales-en-publico?trk=ondemandfile" TargetMode="External"/><Relationship Id="rId747" Type="http://schemas.openxmlformats.org/officeDocument/2006/relationships/hyperlink" Target="https://www.linkedin.com/learning/00-fundamentos-de-la-gestion-de-proyectos-liderazgo?trk=ondemandfile" TargetMode="External"/><Relationship Id="rId789" Type="http://schemas.openxmlformats.org/officeDocument/2006/relationships/hyperlink" Target="https://www.linkedin.com/learning/como-medir-la-eficacia-de-tu-fuerza-de-ventas?trk=contentmappingfile" TargetMode="External"/><Relationship Id="rId912" Type="http://schemas.openxmlformats.org/officeDocument/2006/relationships/hyperlink" Target="https://www.linkedin.com/learning/paths/domina-el-arte-del-email-con-outlook-2016-para-mac?trk=ondemandfile" TargetMode="External"/><Relationship Id="rId41" Type="http://schemas.openxmlformats.org/officeDocument/2006/relationships/hyperlink" Target="https://www.linkedin.com/learning/00-por-que-aprender?trk=ondemandfile" TargetMode="External"/><Relationship Id="rId83" Type="http://schemas.openxmlformats.org/officeDocument/2006/relationships/hyperlink" Target="https://www.linkedin.com/learning/como-desarrollar-tu-propia-capacidad-de-adaptacion?trk=ondemandfile" TargetMode="External"/><Relationship Id="rId179" Type="http://schemas.openxmlformats.org/officeDocument/2006/relationships/hyperlink" Target="https://www.linkedin.com/learning/como-liderar-reuniones-individuales-productivas?trk=ondemandfile" TargetMode="External"/><Relationship Id="rId386" Type="http://schemas.openxmlformats.org/officeDocument/2006/relationships/hyperlink" Target="https://www.linkedin.com/learning/paths/conviertete-en-vendedor?trk=ondemandfile" TargetMode="External"/><Relationship Id="rId551" Type="http://schemas.openxmlformats.org/officeDocument/2006/relationships/hyperlink" Target="https://www.linkedin.com/learning/microsoft-dynamics-365-for-talent-esencial?trk=ondemandfile" TargetMode="External"/><Relationship Id="rId593" Type="http://schemas.openxmlformats.org/officeDocument/2006/relationships/hyperlink" Target="https://www.linkedin.com/learning/00-risk-taking-for-leaders?trk=ondemandfile" TargetMode="External"/><Relationship Id="rId607" Type="http://schemas.openxmlformats.org/officeDocument/2006/relationships/hyperlink" Target="https://www.linkedin.com/learning/como-gestionar-los-puntos-ciegos-del-liderazgo?trk=ondemandfile" TargetMode="External"/><Relationship Id="rId649" Type="http://schemas.openxmlformats.org/officeDocument/2006/relationships/hyperlink" Target="https://www.linkedin.com/learning/como-gestionar-un-equipo-multigeneracional?trk=contentmappingfile" TargetMode="External"/><Relationship Id="rId814" Type="http://schemas.openxmlformats.org/officeDocument/2006/relationships/hyperlink" Target="https://www.linkedin.com/learning/00-designing-growth-strategies?trk=ondemandfile" TargetMode="External"/><Relationship Id="rId856" Type="http://schemas.openxmlformats.org/officeDocument/2006/relationships/hyperlink" Target="https://www.linkedin.com/learning/como-liderar-equipos-de-alto-potencial?trk=contentmappingfile" TargetMode="External"/><Relationship Id="rId190" Type="http://schemas.openxmlformats.org/officeDocument/2006/relationships/hyperlink" Target="https://www.linkedin.com/learning/gestionar-en-todas-las-direcciones-del-organigrama-empresarial?trk=ondemandfile" TargetMode="External"/><Relationship Id="rId204" Type="http://schemas.openxmlformats.org/officeDocument/2006/relationships/hyperlink" Target="https://www.linkedin.com/learning/agile-en-accion-impulsar-reuniones-agiles-y-productivas?trk=ondemandfile" TargetMode="External"/><Relationship Id="rId246" Type="http://schemas.openxmlformats.org/officeDocument/2006/relationships/hyperlink" Target="https://www.linkedin.com/learning/reuniones-eficaces?trk=ondemandfile" TargetMode="External"/><Relationship Id="rId288" Type="http://schemas.openxmlformats.org/officeDocument/2006/relationships/hyperlink" Target="https://www.linkedin.com/learning/como-construir-tu-propio-conjunto-de-tecnologias-de-marketing?trk=ondemandfile" TargetMode="External"/><Relationship Id="rId411" Type="http://schemas.openxmlformats.org/officeDocument/2006/relationships/hyperlink" Target="https://www.linkedin.com/learning/phone-based-customer-service-2?trk=ondemandfile" TargetMode="External"/><Relationship Id="rId453" Type="http://schemas.openxmlformats.org/officeDocument/2006/relationships/hyperlink" Target="https://www.linkedin.com/learning/excel-para-principiantes-cuadros-de-mando-simples?trk=ondemandfile" TargetMode="External"/><Relationship Id="rId509" Type="http://schemas.openxmlformats.org/officeDocument/2006/relationships/hyperlink" Target="https://www.linkedin.com/learning/modelizacion-financiera-y-prevision-de-estados-financieros?trk=contentmappingfile" TargetMode="External"/><Relationship Id="rId660" Type="http://schemas.openxmlformats.org/officeDocument/2006/relationships/hyperlink" Target="https://www.linkedin.com/learning/00-managing-employee-performance-problems?trk=ondemandfile" TargetMode="External"/><Relationship Id="rId898" Type="http://schemas.openxmlformats.org/officeDocument/2006/relationships/hyperlink" Target="https://www.linkedin.com/learning/00-jeff-weiner-on-establishing-a-culture-and-a-plan-for-scaling?trk=ondemandfile" TargetMode="External"/><Relationship Id="rId106" Type="http://schemas.openxmlformats.org/officeDocument/2006/relationships/hyperlink" Target="https://www.linkedin.com/learning/liderazgo-transformador?trk=ondemandfile" TargetMode="External"/><Relationship Id="rId313" Type="http://schemas.openxmlformats.org/officeDocument/2006/relationships/hyperlink" Target="https://www.linkedin.com/learning/google-analytics-esencial-2?trk=ondemandfile" TargetMode="External"/><Relationship Id="rId495" Type="http://schemas.openxmlformats.org/officeDocument/2006/relationships/hyperlink" Target="https://www.linkedin.com/learning/finanzas-personales-trucos-avanzados?trk=ondemandfile" TargetMode="External"/><Relationship Id="rId716" Type="http://schemas.openxmlformats.org/officeDocument/2006/relationships/hyperlink" Target="https://www.linkedin.com/learning/powerpoint-animaciones?trk=ondemandfile" TargetMode="External"/><Relationship Id="rId758" Type="http://schemas.openxmlformats.org/officeDocument/2006/relationships/hyperlink" Target="https://www.linkedin.com/learning/gestion-de-proyectos-con-smartsheet?trk=ondemandfile" TargetMode="External"/><Relationship Id="rId923" Type="http://schemas.openxmlformats.org/officeDocument/2006/relationships/hyperlink" Target="https://www.linkedin.com/learning/00-pdd-2?trk=ondemandfile" TargetMode="External"/><Relationship Id="rId10" Type="http://schemas.openxmlformats.org/officeDocument/2006/relationships/hyperlink" Target="https://www.linkedin.com/learning/paths/mejora-tu-productividad-con-estas-metodologias?trk=ondemandfile" TargetMode="External"/><Relationship Id="rId52" Type="http://schemas.openxmlformats.org/officeDocument/2006/relationships/hyperlink" Target="https://www.linkedin.com/learning/00-process-improvement-fundamentals?trk=ondemandfile" TargetMode="External"/><Relationship Id="rId94" Type="http://schemas.openxmlformats.org/officeDocument/2006/relationships/hyperlink" Target="https://www.linkedin.com/learning/00-desarrolla-la-adaptabilidad-de-tus-empleados?trk=ondemandfile" TargetMode="External"/><Relationship Id="rId148" Type="http://schemas.openxmlformats.org/officeDocument/2006/relationships/hyperlink" Target="https://www.linkedin.com/learning/00-fundamentos-de-la-gestion-de-proyectos-liderazgo?trk=ondemandfile" TargetMode="External"/><Relationship Id="rId355" Type="http://schemas.openxmlformats.org/officeDocument/2006/relationships/hyperlink" Target="https://www.linkedin.com/learning/00-los-cinco-pasos-del-proceso-creativo?trk=ondemandfile" TargetMode="External"/><Relationship Id="rId397" Type="http://schemas.openxmlformats.org/officeDocument/2006/relationships/hyperlink" Target="https://www.linkedin.com/learning/cuarta-revolucion-industrial-estrategias-comerciales?trk=ondemandfile" TargetMode="External"/><Relationship Id="rId520" Type="http://schemas.openxmlformats.org/officeDocument/2006/relationships/hyperlink" Target="https://www.linkedin.com/learning/paths/gestiona-el-rendimiento?trk=ondemandfile" TargetMode="External"/><Relationship Id="rId562" Type="http://schemas.openxmlformats.org/officeDocument/2006/relationships/hyperlink" Target="https://www.linkedin.com/learning/teletrabajo-y-gestion-de-equipos-remotos?trk=contentmappingfile" TargetMode="External"/><Relationship Id="rId618" Type="http://schemas.openxmlformats.org/officeDocument/2006/relationships/hyperlink" Target="https://www.linkedin.com/learning/del-victimismo-a-la-acci-n-asume-el-control?trk=ondemandfile" TargetMode="External"/><Relationship Id="rId825" Type="http://schemas.openxmlformats.org/officeDocument/2006/relationships/hyperlink" Target="https://www.linkedin.com/learning/paths/conviertete-en-jefe-de-equipo-2?trk=ondemandfile" TargetMode="External"/><Relationship Id="rId215" Type="http://schemas.openxmlformats.org/officeDocument/2006/relationships/hyperlink" Target="https://www.linkedin.com/learning/paths/domina-el-arte-del-email-con-outlook-2016?trk=ondemandfile" TargetMode="External"/><Relationship Id="rId257" Type="http://schemas.openxmlformats.org/officeDocument/2006/relationships/hyperlink" Target="https://www.linkedin.com/learning/como-superar-los-sesgos-cognitivos?trk=ondemandfile" TargetMode="External"/><Relationship Id="rId422" Type="http://schemas.openxmlformats.org/officeDocument/2006/relationships/hyperlink" Target="https://www.linkedin.com/learning/paths/crea-informes-usando-microsoft-excel?trk=ondemandfile" TargetMode="External"/><Relationship Id="rId464" Type="http://schemas.openxmlformats.org/officeDocument/2006/relationships/hyperlink" Target="https://www.linkedin.com/learning/business-analysis-foundations-3?trk=ondemandfile" TargetMode="External"/><Relationship Id="rId867" Type="http://schemas.openxmlformats.org/officeDocument/2006/relationships/hyperlink" Target="https://www.linkedin.com/learning/00-jeff-weiner-on-establishing-a-culture-and-a-plan-for-scaling?trk=ondemandfile" TargetMode="External"/><Relationship Id="rId299" Type="http://schemas.openxmlformats.org/officeDocument/2006/relationships/hyperlink" Target="https://www.linkedin.com/learning/fundamentos-del-comercio-electronico-woocommerce-en-wordpress?trk=ondemandfile" TargetMode="External"/><Relationship Id="rId727" Type="http://schemas.openxmlformats.org/officeDocument/2006/relationships/hyperlink" Target="https://www.linkedin.com/learning/paths/conviertete-en-coordinador-de-proyectos?trk=ondemandfile" TargetMode="External"/><Relationship Id="rId934" Type="http://schemas.openxmlformats.org/officeDocument/2006/relationships/hyperlink" Target="https://www.linkedin.com/learning/mindfulness-3?trk=ondemandfile" TargetMode="External"/><Relationship Id="rId63" Type="http://schemas.openxmlformats.org/officeDocument/2006/relationships/hyperlink" Target="https://www.linkedin.com/learning/motivaci-n-e-implicaci-n-en-la-empresa?trk=ondemandfile" TargetMode="External"/><Relationship Id="rId159" Type="http://schemas.openxmlformats.org/officeDocument/2006/relationships/hyperlink" Target="https://www.linkedin.com/learning/00-fundamentos-del-trabajo-en-equipo?trk=ondemandfile" TargetMode="External"/><Relationship Id="rId366" Type="http://schemas.openxmlformats.org/officeDocument/2006/relationships/hyperlink" Target="https://www.linkedin.com/learning/como-mejorar-tu-capacidad-de-toma-de-decisiones?trk=ondemandfile" TargetMode="External"/><Relationship Id="rId573" Type="http://schemas.openxmlformats.org/officeDocument/2006/relationships/hyperlink" Target="https://www.linkedin.com/learning/paths/fomenta-la-innovacion?trk=ondemandfile" TargetMode="External"/><Relationship Id="rId780" Type="http://schemas.openxmlformats.org/officeDocument/2006/relationships/hyperlink" Target="https://www.linkedin.com/learning/paths/destaca-en-ventas?trk=ondemandfile" TargetMode="External"/><Relationship Id="rId226" Type="http://schemas.openxmlformats.org/officeDocument/2006/relationships/hyperlink" Target="https://www.linkedin.com/learning/como-negociar-tu-salario?trk=ondemandfile" TargetMode="External"/><Relationship Id="rId433" Type="http://schemas.openxmlformats.org/officeDocument/2006/relationships/hyperlink" Target="https://www.linkedin.com/learning/bases-de-datos-con-un-cafe?trk=ondemandfile" TargetMode="External"/><Relationship Id="rId878" Type="http://schemas.openxmlformats.org/officeDocument/2006/relationships/hyperlink" Target="https://www.linkedin.com/learning/como-desactivar-la-comunicacion-toxica?trk=ondemandfile" TargetMode="External"/><Relationship Id="rId640" Type="http://schemas.openxmlformats.org/officeDocument/2006/relationships/hyperlink" Target="https://www.linkedin.com/learning/como-crear-una-cultura-de-alto-rendimiento?trk=ondemandfile" TargetMode="External"/><Relationship Id="rId738" Type="http://schemas.openxmlformats.org/officeDocument/2006/relationships/hyperlink" Target="https://www.linkedin.com/learning/00-agile-project-management?trk=ondemandfile" TargetMode="External"/><Relationship Id="rId74" Type="http://schemas.openxmlformats.org/officeDocument/2006/relationships/hyperlink" Target="https://www.linkedin.com/learning/paths/profundiza-tu-capacidad-para-superar-el-desempleo?trk=ondemandfile" TargetMode="External"/><Relationship Id="rId377" Type="http://schemas.openxmlformats.org/officeDocument/2006/relationships/hyperlink" Target="https://www.linkedin.com/learning/00-intrapreneurship-y-mentalidad-de-crecimiento?trk=ondemandfile" TargetMode="External"/><Relationship Id="rId500" Type="http://schemas.openxmlformats.org/officeDocument/2006/relationships/hyperlink" Target="https://www.linkedin.com/learning/educaci-n-financiera-comprensi-n-de-informes-financieros?trk=ondemandfile" TargetMode="External"/><Relationship Id="rId584" Type="http://schemas.openxmlformats.org/officeDocument/2006/relationships/hyperlink" Target="https://www.linkedin.com/learning/00-business-innovation?trk=ondemandfile" TargetMode="External"/><Relationship Id="rId805" Type="http://schemas.openxmlformats.org/officeDocument/2006/relationships/hyperlink" Target="https://www.linkedin.com/learning/salesforce-esencial?trk=ondemandfile" TargetMode="External"/><Relationship Id="rId5" Type="http://schemas.openxmlformats.org/officeDocument/2006/relationships/hyperlink" Target="https://www.linkedin.com/learning/agile-en-accion-mejorar-con-retrospectivas-agiles?trk=contentmappingfile" TargetMode="External"/><Relationship Id="rId237" Type="http://schemas.openxmlformats.org/officeDocument/2006/relationships/hyperlink" Target="https://www.linkedin.com/learning/00-fundamentos-de-la-gestion-de-proyectos-comunicacion?trk=ondemandfile" TargetMode="External"/><Relationship Id="rId791" Type="http://schemas.openxmlformats.org/officeDocument/2006/relationships/hyperlink" Target="https://www.linkedin.com/learning/como-vender-con-storytelling-parte-1-los-elementos-de-una-gran-historia?trk=ondemandfile" TargetMode="External"/><Relationship Id="rId889" Type="http://schemas.openxmlformats.org/officeDocument/2006/relationships/hyperlink" Target="https://www.linkedin.com/learning/como-superar-los-sesgos-cognitivos?trk=ondemandfile" TargetMode="External"/><Relationship Id="rId444" Type="http://schemas.openxmlformats.org/officeDocument/2006/relationships/hyperlink" Target="https://www.linkedin.com/learning/excel-2016-an-lisis-y-gesti-n-de-datos?trk=ondemandfile" TargetMode="External"/><Relationship Id="rId651" Type="http://schemas.openxmlformats.org/officeDocument/2006/relationships/hyperlink" Target="https://www.linkedin.com/learning/como-liderar-reuniones-individuales-productivas?trk=ondemandfile" TargetMode="External"/><Relationship Id="rId749" Type="http://schemas.openxmlformats.org/officeDocument/2006/relationships/hyperlink" Target="https://www.linkedin.com/learning/fundamentos-de-la-gestion-de-proyectos-proyectos-pequenos?trk=ondemandfile" TargetMode="External"/><Relationship Id="rId290" Type="http://schemas.openxmlformats.org/officeDocument/2006/relationships/hyperlink" Target="https://www.linkedin.com/learning/como-liderar-un-equipo-de-marketing?trk=ondemandfile" TargetMode="External"/><Relationship Id="rId304" Type="http://schemas.openxmlformats.org/officeDocument/2006/relationships/hyperlink" Target="https://www.linkedin.com/learning/content-marketing-fundamentals-2?trk=ondemandfile" TargetMode="External"/><Relationship Id="rId388" Type="http://schemas.openxmlformats.org/officeDocument/2006/relationships/hyperlink" Target="https://www.linkedin.com/learning/como-dirigir-el-servicio-de-atencion-al-cliente?trk=ondemandfile" TargetMode="External"/><Relationship Id="rId511" Type="http://schemas.openxmlformats.org/officeDocument/2006/relationships/hyperlink" Target="https://www.linkedin.com/learning/plantilla-analisis-vertical-cuenta-de-perdidas-y-ganancias-con-excel?trk=ondemandfile" TargetMode="External"/><Relationship Id="rId609" Type="http://schemas.openxmlformats.org/officeDocument/2006/relationships/hyperlink" Target="https://www.linkedin.com/learning/como-liderar-con-eficacia?trk=ondemandfile" TargetMode="External"/><Relationship Id="rId85" Type="http://schemas.openxmlformats.org/officeDocument/2006/relationships/hyperlink" Target="https://www.linkedin.com/learning/como-generar-ideas?trk=ondemandfile" TargetMode="External"/><Relationship Id="rId150" Type="http://schemas.openxmlformats.org/officeDocument/2006/relationships/hyperlink" Target="https://www.linkedin.com/learning/gestion-de-equipos-mediante-okr-s-o-misiones-objetivos-y-resultados-clave?trk=contentmappingfile" TargetMode="External"/><Relationship Id="rId595" Type="http://schemas.openxmlformats.org/officeDocument/2006/relationships/hyperlink" Target="https://www.linkedin.com/learning/00-liderazgo-y-trabajo-en-equipo?trk=ondemandfile" TargetMode="External"/><Relationship Id="rId816" Type="http://schemas.openxmlformats.org/officeDocument/2006/relationships/hyperlink" Target="https://www.linkedin.com/learning/estrategias-para-salir-de-una-crisis-empresarial?trk=ondemandfile" TargetMode="External"/><Relationship Id="rId248" Type="http://schemas.openxmlformats.org/officeDocument/2006/relationships/hyperlink" Target="https://www.linkedin.com/learning/00-fundamentos-del-trabajo-en-equipo?trk=ondemandfile" TargetMode="External"/><Relationship Id="rId455" Type="http://schemas.openxmlformats.org/officeDocument/2006/relationships/hyperlink" Target="https://www.linkedin.com/learning/excel-analisis-gestion-y-validacion-de-datos-office-365-microsoft-365?trk=contentmappingfile" TargetMode="External"/><Relationship Id="rId662" Type="http://schemas.openxmlformats.org/officeDocument/2006/relationships/hyperlink" Target="https://www.linkedin.com/learning/00-liderazgo-y-trabajo-en-equipo?trk=ondemandfile" TargetMode="External"/><Relationship Id="rId12" Type="http://schemas.openxmlformats.org/officeDocument/2006/relationships/hyperlink" Target="https://www.linkedin.com/learning/paths/fomenta-la-colaboracion-en-tu-equipo?trk=ondemandfile" TargetMode="External"/><Relationship Id="rId108" Type="http://schemas.openxmlformats.org/officeDocument/2006/relationships/hyperlink" Target="https://www.linkedin.com/learning/navegar-el-cambio-en-tiempos-dificiles?trk=ondemandfile" TargetMode="External"/><Relationship Id="rId315" Type="http://schemas.openxmlformats.org/officeDocument/2006/relationships/hyperlink" Target="https://www.linkedin.com/learning/comunicados-de-marketing?trk=ondemandfile" TargetMode="External"/><Relationship Id="rId522" Type="http://schemas.openxmlformats.org/officeDocument/2006/relationships/hyperlink" Target="https://www.linkedin.com/learning/paths/trabajo-a-distancia-preparandote-a-ti-mismo-y-a-tus-equipos-para-el-exito?trk=ondemandfile" TargetMode="External"/><Relationship Id="rId96" Type="http://schemas.openxmlformats.org/officeDocument/2006/relationships/hyperlink" Target="https://www.linkedin.com/learning/design-thinking-herramientas-y-tecnicas-presenciales-y-en-teletrabajo?trk=ondemandfile" TargetMode="External"/><Relationship Id="rId161" Type="http://schemas.openxmlformats.org/officeDocument/2006/relationships/hyperlink" Target="https://www.linkedin.com/learning/aprende-google-drive-2?trk=ondemandfile" TargetMode="External"/><Relationship Id="rId399" Type="http://schemas.openxmlformats.org/officeDocument/2006/relationships/hyperlink" Target="https://www.linkedin.com/learning/fundamentos-de-la-gestion-de-ventas?trk=ondemandfile" TargetMode="External"/><Relationship Id="rId827" Type="http://schemas.openxmlformats.org/officeDocument/2006/relationships/hyperlink" Target="https://www.linkedin.com/learning/como-crear-una-cultura-de-alto-rendimiento?trk=ondemandfile" TargetMode="External"/><Relationship Id="rId259" Type="http://schemas.openxmlformats.org/officeDocument/2006/relationships/hyperlink" Target="https://www.linkedin.com/learning/c-mo-tomar-decisiones?trk=ondemandfile" TargetMode="External"/><Relationship Id="rId466" Type="http://schemas.openxmlformats.org/officeDocument/2006/relationships/hyperlink" Target="https://www.linkedin.com/learning/introducci-n-a-la-visualizaci-n-de-datos?trk=ondemandfile" TargetMode="External"/><Relationship Id="rId673" Type="http://schemas.openxmlformats.org/officeDocument/2006/relationships/hyperlink" Target="https://www.linkedin.com/learning/00-devops-esencial?trk=ondemandfile" TargetMode="External"/><Relationship Id="rId880" Type="http://schemas.openxmlformats.org/officeDocument/2006/relationships/hyperlink" Target="https://www.linkedin.com/learning/como-desarrollar-un-programa-de-diversidad-inclusion-y-pertenencia?trk=ondemandfile" TargetMode="External"/><Relationship Id="rId23" Type="http://schemas.openxmlformats.org/officeDocument/2006/relationships/hyperlink" Target="https://www.linkedin.com/learning/como-desarrollar-el-autoconocimiento?trk=ondemandfile" TargetMode="External"/><Relationship Id="rId119" Type="http://schemas.openxmlformats.org/officeDocument/2006/relationships/hyperlink" Target="https://www.linkedin.com/learning/paths/fomenta-la-colaboracion-en-tu-equipo?trk=ondemandfile" TargetMode="External"/><Relationship Id="rId326" Type="http://schemas.openxmlformats.org/officeDocument/2006/relationships/hyperlink" Target="https://www.linkedin.com/learning/00-building-an-integrated-online-marketing-plan?trk=ondemandfile" TargetMode="External"/><Relationship Id="rId533" Type="http://schemas.openxmlformats.org/officeDocument/2006/relationships/hyperlink" Target="https://www.linkedin.com/learning/como-orientar-y-desarrollar-a-tu-personal?trk=contentmappingfile" TargetMode="External"/><Relationship Id="rId740" Type="http://schemas.openxmlformats.org/officeDocument/2006/relationships/hyperlink" Target="https://www.linkedin.com/learning/00-gestion-de-proyectos-calidad?trk=ondemandfile" TargetMode="External"/><Relationship Id="rId838" Type="http://schemas.openxmlformats.org/officeDocument/2006/relationships/hyperlink" Target="https://www.linkedin.com/learning/como-ser-un-miembro-eficaz-del-equipo?trk=contentmappingfile" TargetMode="External"/><Relationship Id="rId172" Type="http://schemas.openxmlformats.org/officeDocument/2006/relationships/hyperlink" Target="https://www.linkedin.com/learning/paths/mejora-tu-capacidad-para-comunicar-con-las-personas?trk=ondemandfile" TargetMode="External"/><Relationship Id="rId477" Type="http://schemas.openxmlformats.org/officeDocument/2006/relationships/hyperlink" Target="https://www.linkedin.com/learning/r-para-data-scientist-avanzado?trk=ondemandfile" TargetMode="External"/><Relationship Id="rId600" Type="http://schemas.openxmlformats.org/officeDocument/2006/relationships/hyperlink" Target="https://www.linkedin.com/learning/paths/domina-las-habilidades-de-vida-a-nivel-de-liderazgo?trk=ondemandfile" TargetMode="External"/><Relationship Id="rId684" Type="http://schemas.openxmlformats.org/officeDocument/2006/relationships/hyperlink" Target="https://www.linkedin.com/learning/guia-corporativa-a-la-sostenibilidad-y-al-impacto-empresarial-positivo?trk=contentmappingfile" TargetMode="External"/><Relationship Id="rId337" Type="http://schemas.openxmlformats.org/officeDocument/2006/relationships/hyperlink" Target="https://www.linkedin.com/learning/paths/fomenta-la-innovacion?trk=ondemandfile" TargetMode="External"/><Relationship Id="rId891" Type="http://schemas.openxmlformats.org/officeDocument/2006/relationships/hyperlink" Target="https://www.linkedin.com/learning/00-comunicacion-intercultural?trk=ondemandfile" TargetMode="External"/><Relationship Id="rId905" Type="http://schemas.openxmlformats.org/officeDocument/2006/relationships/hyperlink" Target="https://www.linkedin.com/learning/aprende-a-tomar-notas-en-dispositivos-digitales?trk=ondemandfile" TargetMode="External"/><Relationship Id="rId34" Type="http://schemas.openxmlformats.org/officeDocument/2006/relationships/hyperlink" Target="https://www.linkedin.com/learning/como-medir-el-rendimiento-de-tu-equipo?trk=contentmappingfile" TargetMode="External"/><Relationship Id="rId544" Type="http://schemas.openxmlformats.org/officeDocument/2006/relationships/hyperlink" Target="https://www.linkedin.com/learning/00-fundamentos-de-recursos-humanos-gestion-de-la-incorporacion-corporativa?trk=ondemandfile" TargetMode="External"/><Relationship Id="rId751" Type="http://schemas.openxmlformats.org/officeDocument/2006/relationships/hyperlink" Target="https://www.linkedin.com/learning/00-transitioning-from-individual-contributor-to-manager-2?trk=ondemandfile" TargetMode="External"/><Relationship Id="rId849" Type="http://schemas.openxmlformats.org/officeDocument/2006/relationships/hyperlink" Target="https://www.linkedin.com/learning/como-cultivar-una-mentalidad-de-crecimiento?trk=ondemandfile" TargetMode="External"/><Relationship Id="rId183" Type="http://schemas.openxmlformats.org/officeDocument/2006/relationships/hyperlink" Target="https://www.linkedin.com/learning/00-comunicacion-intercultural?trk=ondemandfile" TargetMode="External"/><Relationship Id="rId390" Type="http://schemas.openxmlformats.org/officeDocument/2006/relationships/hyperlink" Target="https://www.linkedin.com/learning/como-gestionar-el-enfado-en-la-clientela?trk=contentmappingfile" TargetMode="External"/><Relationship Id="rId404" Type="http://schemas.openxmlformats.org/officeDocument/2006/relationships/hyperlink" Target="https://www.linkedin.com/learning/gestion-de-las-expectativas-de-los-clientes-para-gerentes?trk=ondemandfile" TargetMode="External"/><Relationship Id="rId611" Type="http://schemas.openxmlformats.org/officeDocument/2006/relationships/hyperlink" Target="https://www.linkedin.com/learning/como-liderar-el-cambio-en-tu-empresa?trk=ondemandfile" TargetMode="External"/><Relationship Id="rId250" Type="http://schemas.openxmlformats.org/officeDocument/2006/relationships/hyperlink" Target="https://www.linkedin.com/learning/paths/mejora-tu-capacidad-para-comunicar-con-las-personas?trk=ondemandfile" TargetMode="External"/><Relationship Id="rId488" Type="http://schemas.openxmlformats.org/officeDocument/2006/relationships/hyperlink" Target="https://www.linkedin.com/learning/creaci-n-de-un-plan-de-viabilidad-econ-mico-financiero-en-excel?trk=ondemandfile" TargetMode="External"/><Relationship Id="rId695" Type="http://schemas.openxmlformats.org/officeDocument/2006/relationships/hyperlink" Target="https://www.linkedin.com/learning/c-mo-dise-ar-una-presentaci-n?trk=ondemandfile" TargetMode="External"/><Relationship Id="rId709" Type="http://schemas.openxmlformats.org/officeDocument/2006/relationships/hyperlink" Target="https://www.linkedin.com/learning/powerpoint-2016-b-sico?trk=ondemandfile" TargetMode="External"/><Relationship Id="rId916" Type="http://schemas.openxmlformats.org/officeDocument/2006/relationships/hyperlink" Target="https://www.linkedin.com/learning/00-fundamentos-de-escritura-para-negocios?trk=ondemandfile" TargetMode="External"/><Relationship Id="rId45" Type="http://schemas.openxmlformats.org/officeDocument/2006/relationships/hyperlink" Target="https://www.linkedin.com/learning/design-thinking-herramientas-y-tecnicas-presenciales-y-en-teletrabajo?trk=ondemandfile" TargetMode="External"/><Relationship Id="rId110" Type="http://schemas.openxmlformats.org/officeDocument/2006/relationships/hyperlink" Target="https://www.linkedin.com/learning/agile-en-accion-construye-tu-equipo-agil?trk=ondemandfile" TargetMode="External"/><Relationship Id="rId348" Type="http://schemas.openxmlformats.org/officeDocument/2006/relationships/hyperlink" Target="https://www.linkedin.com/learning/design-thinking-entender-el-proceso?trk=ondemandfile" TargetMode="External"/><Relationship Id="rId555" Type="http://schemas.openxmlformats.org/officeDocument/2006/relationships/hyperlink" Target="https://www.linkedin.com/learning/recursos-humanos-estrategicos?trk=ondemandfile" TargetMode="External"/><Relationship Id="rId762" Type="http://schemas.openxmlformats.org/officeDocument/2006/relationships/hyperlink" Target="https://www.linkedin.com/learning/microsoft-teams-esencial?trk=ondemandfile" TargetMode="External"/><Relationship Id="rId194" Type="http://schemas.openxmlformats.org/officeDocument/2006/relationships/hyperlink" Target="https://www.linkedin.com/learning/la-escucha-activa?trk=ondemandfile" TargetMode="External"/><Relationship Id="rId208" Type="http://schemas.openxmlformats.org/officeDocument/2006/relationships/hyperlink" Target="https://www.linkedin.com/learning/como-comunicar-de-forma-efectiva-por-email?trk=ondemandfile" TargetMode="External"/><Relationship Id="rId415" Type="http://schemas.openxmlformats.org/officeDocument/2006/relationships/hyperlink" Target="https://www.linkedin.com/learning/00-vba-para-access-avanzado-acceso-a-datos?trk=ondemandfile" TargetMode="External"/><Relationship Id="rId622" Type="http://schemas.openxmlformats.org/officeDocument/2006/relationships/hyperlink" Target="https://www.linkedin.com/learning/00-fred-kofman-on-accountability?trk=ondemandfile" TargetMode="External"/><Relationship Id="rId261" Type="http://schemas.openxmlformats.org/officeDocument/2006/relationships/hyperlink" Target="https://www.linkedin.com/learning/00-comunicacion-de-la-gestion-del-cambio?trk=ondemandfile" TargetMode="External"/><Relationship Id="rId499" Type="http://schemas.openxmlformats.org/officeDocument/2006/relationships/hyperlink" Target="https://www.linkedin.com/learning/educaci-n-financiera-an-lisis-de-informes-financieros?trk=ondemandfile" TargetMode="External"/><Relationship Id="rId927" Type="http://schemas.openxmlformats.org/officeDocument/2006/relationships/hyperlink" Target="https://www.linkedin.com/learning/alcanzar-la-felicidad-permanente-creando-con-proposito?trk=ondemandfile" TargetMode="External"/><Relationship Id="rId56" Type="http://schemas.openxmlformats.org/officeDocument/2006/relationships/hyperlink" Target="https://www.linkedin.com/learning/00-solving-common-project-problems?trk=ondemandfile" TargetMode="External"/><Relationship Id="rId359" Type="http://schemas.openxmlformats.org/officeDocument/2006/relationships/hyperlink" Target="https://www.linkedin.com/learning/00-learning-from-failure?trk=ondemandfile" TargetMode="External"/><Relationship Id="rId566" Type="http://schemas.openxmlformats.org/officeDocument/2006/relationships/hyperlink" Target="https://www.linkedin.com/learning/00-bill-george-sobre-self-awareness-autenticidad-y-liderazgo?trk=ondemandfile" TargetMode="External"/><Relationship Id="rId773" Type="http://schemas.openxmlformats.org/officeDocument/2006/relationships/hyperlink" Target="https://www.linkedin.com/learning/storytelling-para-comunicacion-de-proyectos-de-ingenieria?trk=contentmappingfile" TargetMode="External"/><Relationship Id="rId121" Type="http://schemas.openxmlformats.org/officeDocument/2006/relationships/hyperlink" Target="https://www.linkedin.com/learning/paths/liderazgo-en-tiempos-de-transformacion-digital?trk=ondemandfile" TargetMode="External"/><Relationship Id="rId219" Type="http://schemas.openxmlformats.org/officeDocument/2006/relationships/hyperlink" Target="https://www.linkedin.com/learning/paths/domina-el-arte-de-las-presentaciones-con-powerpoint-2016?trk=ondemandfile" TargetMode="External"/><Relationship Id="rId426" Type="http://schemas.openxmlformats.org/officeDocument/2006/relationships/hyperlink" Target="https://www.linkedin.com/learning/paths/conviertete-en-un-especialista-en-big-data-para-it?trk=ondemandfile" TargetMode="External"/><Relationship Id="rId633" Type="http://schemas.openxmlformats.org/officeDocument/2006/relationships/hyperlink" Target="https://www.linkedin.com/learning/00-liderazgo-y-trabajo-en-equipo?trk=ondemandfile" TargetMode="External"/><Relationship Id="rId840" Type="http://schemas.openxmlformats.org/officeDocument/2006/relationships/hyperlink" Target="https://www.linkedin.com/learning/empodera-a-tu-equipo?trk=contentmappingfile" TargetMode="External"/><Relationship Id="rId67" Type="http://schemas.openxmlformats.org/officeDocument/2006/relationships/hyperlink" Target="https://www.linkedin.com/learning/tecnicas-de-resolucion-de-problemas?trk=ondemandfile" TargetMode="External"/><Relationship Id="rId272" Type="http://schemas.openxmlformats.org/officeDocument/2006/relationships/hyperlink" Target="https://www.linkedin.com/learning/mejora-tu-competencia-en-conflictos?trk=ondemandfile" TargetMode="External"/><Relationship Id="rId577" Type="http://schemas.openxmlformats.org/officeDocument/2006/relationships/hyperlink" Target="https://www.linkedin.com/learning/paths/mujeres-en-el-liderazgo?trk=ondemandfile" TargetMode="External"/><Relationship Id="rId700" Type="http://schemas.openxmlformats.org/officeDocument/2006/relationships/hyperlink" Target="https://www.linkedin.com/learning/00-communicating-with-confidence?trk=ondemandfile" TargetMode="External"/><Relationship Id="rId132" Type="http://schemas.openxmlformats.org/officeDocument/2006/relationships/hyperlink" Target="https://www.linkedin.com/learning/como-identificar-y-retener-personal-con-alto-potencial?trk=ondemandfile" TargetMode="External"/><Relationship Id="rId784" Type="http://schemas.openxmlformats.org/officeDocument/2006/relationships/hyperlink" Target="https://www.linkedin.com/learning/como-encontrar-los-mejores-argumentos-de-venta?trk=ondemandfile" TargetMode="External"/><Relationship Id="rId437" Type="http://schemas.openxmlformats.org/officeDocument/2006/relationships/hyperlink" Target="https://www.linkedin.com/learning/c-mo-tener-ideas-para-un-nuevo-modelo-de-negocio?trk=ondemandfile" TargetMode="External"/><Relationship Id="rId644" Type="http://schemas.openxmlformats.org/officeDocument/2006/relationships/hyperlink" Target="https://www.linkedin.com/learning/como-desarrollar-la-presencia-ejecutiva?trk=ondemandfile" TargetMode="External"/><Relationship Id="rId851" Type="http://schemas.openxmlformats.org/officeDocument/2006/relationships/hyperlink" Target="https://www.linkedin.com/learning/como-gestionar-a-personas-con-alto-potencial?trk=contentmappingfile" TargetMode="External"/><Relationship Id="rId283" Type="http://schemas.openxmlformats.org/officeDocument/2006/relationships/hyperlink" Target="https://www.linkedin.com/learning/aprende-linkedin-sponsored-updates?trk=ondemandfile" TargetMode="External"/><Relationship Id="rId490" Type="http://schemas.openxmlformats.org/officeDocument/2006/relationships/hyperlink" Target="https://www.linkedin.com/learning/excel-herramientas-de-analisis-avanzadas?trk=ondemandfile" TargetMode="External"/><Relationship Id="rId504" Type="http://schemas.openxmlformats.org/officeDocument/2006/relationships/hyperlink" Target="https://www.linkedin.com/learning/fundamentos-de-matematica-bases-y-calculo-mental?trk=ondemandfile" TargetMode="External"/><Relationship Id="rId711" Type="http://schemas.openxmlformats.org/officeDocument/2006/relationships/hyperlink" Target="https://www.linkedin.com/learning/00-fundamentos-de-la-gestion-de-proyectos-etica-2?trk=ondemandfile" TargetMode="External"/><Relationship Id="rId78" Type="http://schemas.openxmlformats.org/officeDocument/2006/relationships/hyperlink" Target="https://www.linkedin.com/learning/paths/fomenta-el-cambio-cultural-en-tu-empresa?trk=ondemandfile" TargetMode="External"/><Relationship Id="rId143" Type="http://schemas.openxmlformats.org/officeDocument/2006/relationships/hyperlink" Target="https://www.linkedin.com/learning/00-desarrolla-la-adaptabilidad-de-tus-empleados?trk=ondemandfile" TargetMode="External"/><Relationship Id="rId350" Type="http://schemas.openxmlformats.org/officeDocument/2006/relationships/hyperlink" Target="https://www.linkedin.com/learning/fundamentos-de-matematica-aplicaciones-utiles-en-tu-dia-a-dia?trk=ondemandfile" TargetMode="External"/><Relationship Id="rId588" Type="http://schemas.openxmlformats.org/officeDocument/2006/relationships/hyperlink" Target="https://www.linkedin.com/learning/leading-with-innovation-3?trk=ondemandfile" TargetMode="External"/><Relationship Id="rId795" Type="http://schemas.openxmlformats.org/officeDocument/2006/relationships/hyperlink" Target="https://www.linkedin.com/learning/fundamentos-de-la-gestion-de-ventas?trk=ondemandfile" TargetMode="External"/><Relationship Id="rId809" Type="http://schemas.openxmlformats.org/officeDocument/2006/relationships/hyperlink" Target="https://www.linkedin.com/learning/00-agilidad-estrategica?trk=ondemandfile" TargetMode="External"/><Relationship Id="rId9" Type="http://schemas.openxmlformats.org/officeDocument/2006/relationships/hyperlink" Target="https://www.linkedin.com/learning/busqueda-de-empleo-con-redes-sociales?trk=ondemandfile" TargetMode="External"/><Relationship Id="rId210" Type="http://schemas.openxmlformats.org/officeDocument/2006/relationships/hyperlink" Target="https://www.linkedin.com/learning/communication-within-teams-2?trk=ondemandfile" TargetMode="External"/><Relationship Id="rId448" Type="http://schemas.openxmlformats.org/officeDocument/2006/relationships/hyperlink" Target="https://www.linkedin.com/learning/excel-business-intelligence-1-obtener-y-transformar-power-query-365-2019?trk=contentmappingfile" TargetMode="External"/><Relationship Id="rId655" Type="http://schemas.openxmlformats.org/officeDocument/2006/relationships/hyperlink" Target="https://www.linkedin.com/learning/fundamentos-de-gestion-de-equipos-it-y-programacion?trk=ondemandfile" TargetMode="External"/><Relationship Id="rId862" Type="http://schemas.openxmlformats.org/officeDocument/2006/relationships/hyperlink" Target="https://www.linkedin.com/learning/00-performance-review-fundamentals?trk=ondemandfile" TargetMode="External"/><Relationship Id="rId294" Type="http://schemas.openxmlformats.org/officeDocument/2006/relationships/hyperlink" Target="https://www.linkedin.com/learning/disena-proyectos-de-marketing-con-business-model-canvas?trk=contentmappingfile" TargetMode="External"/><Relationship Id="rId308" Type="http://schemas.openxmlformats.org/officeDocument/2006/relationships/hyperlink" Target="https://www.linkedin.com/learning/fundamentos-del-growth-hacking?trk=ondemandfile" TargetMode="External"/><Relationship Id="rId515" Type="http://schemas.openxmlformats.org/officeDocument/2006/relationships/hyperlink" Target="https://www.linkedin.com/learning/agile-en-accion-construye-tu-equipo-agil?trk=ondemandfile" TargetMode="External"/><Relationship Id="rId722" Type="http://schemas.openxmlformats.org/officeDocument/2006/relationships/hyperlink" Target="https://www.linkedin.com/learning/aprende-a-usar-la-metodologia-lean?trk=ondemandfile" TargetMode="External"/><Relationship Id="rId89" Type="http://schemas.openxmlformats.org/officeDocument/2006/relationships/hyperlink" Target="https://www.linkedin.com/learning/como-superar-los-sesgos-cognitivos?trk=ondemandfile" TargetMode="External"/><Relationship Id="rId154" Type="http://schemas.openxmlformats.org/officeDocument/2006/relationships/hyperlink" Target="https://www.linkedin.com/learning/00-liderazgo-y-trabajo-en-equipo?trk=ondemandfile" TargetMode="External"/><Relationship Id="rId361" Type="http://schemas.openxmlformats.org/officeDocument/2006/relationships/hyperlink" Target="https://www.linkedin.com/learning/c-mo-aumentar-la-resiliencia?trk=ondemandfile" TargetMode="External"/><Relationship Id="rId599" Type="http://schemas.openxmlformats.org/officeDocument/2006/relationships/hyperlink" Target="https://www.linkedin.com/learning/00-bill-george-sobre-self-awareness-autenticidad-y-liderazgo?trk=ondemandfile" TargetMode="External"/><Relationship Id="rId459" Type="http://schemas.openxmlformats.org/officeDocument/2006/relationships/hyperlink" Target="https://www.linkedin.com/learning/00-que-es-el-big-data-y-como-afecta-a-la-empresa?trk=ondemandfile" TargetMode="External"/><Relationship Id="rId666" Type="http://schemas.openxmlformats.org/officeDocument/2006/relationships/hyperlink" Target="https://www.linkedin.com/learning/agile-en-accion-construye-tu-equipo-agil?trk=ondemandfile" TargetMode="External"/><Relationship Id="rId873" Type="http://schemas.openxmlformats.org/officeDocument/2006/relationships/hyperlink" Target="https://www.linkedin.com/learning/como-convertirse-en-un-aliado-femenino-en-el-trabajo?trk=ondemandfile" TargetMode="External"/><Relationship Id="rId16" Type="http://schemas.openxmlformats.org/officeDocument/2006/relationships/hyperlink" Target="https://www.linkedin.com/learning/paths/gestiona-el-rendimiento?trk=ondemandfile" TargetMode="External"/><Relationship Id="rId221" Type="http://schemas.openxmlformats.org/officeDocument/2006/relationships/hyperlink" Target="https://www.linkedin.com/learning/paths/domina-el-arte-del-email-con-outlook-2016-para-mac?trk=ondemandfile" TargetMode="External"/><Relationship Id="rId319" Type="http://schemas.openxmlformats.org/officeDocument/2006/relationships/hyperlink" Target="https://www.linkedin.com/learning/linkedin-para-social-selling?trk=ondemandfile" TargetMode="External"/><Relationship Id="rId526" Type="http://schemas.openxmlformats.org/officeDocument/2006/relationships/hyperlink" Target="https://www.linkedin.com/learning/como-gestionar-al-personal-de-alto-rendimiento?trk=contentmappingfile" TargetMode="External"/><Relationship Id="rId733" Type="http://schemas.openxmlformats.org/officeDocument/2006/relationships/hyperlink" Target="https://www.linkedin.com/learning/designops-con-un-cafe?trk=ondemandfile" TargetMode="External"/><Relationship Id="rId165" Type="http://schemas.openxmlformats.org/officeDocument/2006/relationships/hyperlink" Target="https://www.linkedin.com/learning/00-bill-george-sobre-self-awareness-autenticidad-y-liderazgo?trk=ondemandfile" TargetMode="External"/><Relationship Id="rId372" Type="http://schemas.openxmlformats.org/officeDocument/2006/relationships/hyperlink" Target="https://www.linkedin.com/learning/estrategias-para-tomar-decisiones?trk=ondemandfile" TargetMode="External"/><Relationship Id="rId677" Type="http://schemas.openxmlformats.org/officeDocument/2006/relationships/hyperlink" Target="https://www.linkedin.com/learning/fundamentos-de-la-gestion-de-operaciones?trk=ondemandfile" TargetMode="External"/><Relationship Id="rId800" Type="http://schemas.openxmlformats.org/officeDocument/2006/relationships/hyperlink" Target="https://www.linkedin.com/learning/gestion-de-las-expectativas-de-los-clientes-para-gerentes?trk=ondemandfile" TargetMode="External"/><Relationship Id="rId232" Type="http://schemas.openxmlformats.org/officeDocument/2006/relationships/hyperlink" Target="https://www.linkedin.com/learning/00-comunicacion-intercultural?trk=ondemandfile" TargetMode="External"/><Relationship Id="rId884" Type="http://schemas.openxmlformats.org/officeDocument/2006/relationships/hyperlink" Target="https://www.linkedin.com/learning/como-gestionar-un-equipo-multigeneracional?trk=contentmappingfile" TargetMode="External"/><Relationship Id="rId27" Type="http://schemas.openxmlformats.org/officeDocument/2006/relationships/hyperlink" Target="https://www.linkedin.com/learning/como-fijar-los-objetivos-de-la-unidad-de-negocio?trk=contentmappingfile" TargetMode="External"/><Relationship Id="rId537" Type="http://schemas.openxmlformats.org/officeDocument/2006/relationships/hyperlink" Target="https://www.linkedin.com/learning/el-futuro-de-la-gestion-del-rendimiento?trk=ondemandfile" TargetMode="External"/><Relationship Id="rId744" Type="http://schemas.openxmlformats.org/officeDocument/2006/relationships/hyperlink" Target="https://www.linkedin.com/learning/00-project-management-foundations-teams?trk=ondemandfile" TargetMode="External"/><Relationship Id="rId80" Type="http://schemas.openxmlformats.org/officeDocument/2006/relationships/hyperlink" Target="https://www.linkedin.com/learning/como-balancear-e-integrar-tu-vida-laboral-y-personal?trk=ondemandfile" TargetMode="External"/><Relationship Id="rId176" Type="http://schemas.openxmlformats.org/officeDocument/2006/relationships/hyperlink" Target="https://www.linkedin.com/learning/paths/domina-las-herramientas-de-trabajo-en-equipo-colaborativo-y-digital?trk=ondemandfile" TargetMode="External"/><Relationship Id="rId383" Type="http://schemas.openxmlformats.org/officeDocument/2006/relationships/hyperlink" Target="https://www.linkedin.com/learning/00-executive-decision-making?trk=ondemandfile" TargetMode="External"/><Relationship Id="rId590" Type="http://schemas.openxmlformats.org/officeDocument/2006/relationships/hyperlink" Target="https://www.linkedin.com/learning/liderazgo-en-tiempos-de-crisis?trk=ondemandfile" TargetMode="External"/><Relationship Id="rId604" Type="http://schemas.openxmlformats.org/officeDocument/2006/relationships/hyperlink" Target="https://www.linkedin.com/learning/paths/conviertete-en-lider?trk=ondemandfile" TargetMode="External"/><Relationship Id="rId811" Type="http://schemas.openxmlformats.org/officeDocument/2006/relationships/hyperlink" Target="https://www.linkedin.com/learning/como-cultivar-una-mentalidad-de-crecimiento?trk=ondemandfile" TargetMode="External"/><Relationship Id="rId243" Type="http://schemas.openxmlformats.org/officeDocument/2006/relationships/hyperlink" Target="https://www.linkedin.com/learning/00-strategic-negotiation?trk=ondemandfile" TargetMode="External"/><Relationship Id="rId450" Type="http://schemas.openxmlformats.org/officeDocument/2006/relationships/hyperlink" Target="https://www.linkedin.com/learning/excel-para-principiantes-analisis-de-datos-365-2019?trk=contentmappingfile" TargetMode="External"/><Relationship Id="rId688" Type="http://schemas.openxmlformats.org/officeDocument/2006/relationships/hyperlink" Target="https://www.linkedin.com/learning/agile-en-accion-impulsar-reuniones-agiles-y-productivas?trk=ondemandfile" TargetMode="External"/><Relationship Id="rId895" Type="http://schemas.openxmlformats.org/officeDocument/2006/relationships/hyperlink" Target="https://www.linkedin.com/learning/habilidades-de-conversacion-inclusiva?trk=ondemandfile" TargetMode="External"/><Relationship Id="rId909" Type="http://schemas.openxmlformats.org/officeDocument/2006/relationships/hyperlink" Target="https://www.linkedin.com/learning/como-escribir-con-eficacia?trk=ondemandfile" TargetMode="External"/><Relationship Id="rId38" Type="http://schemas.openxmlformats.org/officeDocument/2006/relationships/hyperlink" Target="https://www.linkedin.com/learning/como-superar-la-procrastinacion?trk=ondemandfile" TargetMode="External"/><Relationship Id="rId103" Type="http://schemas.openxmlformats.org/officeDocument/2006/relationships/hyperlink" Target="https://www.linkedin.com/learning/00-intrapreneurship-y-mentalidad-de-crecimiento?trk=ondemandfile" TargetMode="External"/><Relationship Id="rId310" Type="http://schemas.openxmlformats.org/officeDocument/2006/relationships/hyperlink" Target="https://www.linkedin.com/learning/google-ads-avanzado?trk=ondemandfile" TargetMode="External"/><Relationship Id="rId548" Type="http://schemas.openxmlformats.org/officeDocument/2006/relationships/hyperlink" Target="https://www.linkedin.com/learning/gestiona-tu-entrevista-de-trabajo-en-videoconferencia?trk=ondemandfile" TargetMode="External"/><Relationship Id="rId755" Type="http://schemas.openxmlformats.org/officeDocument/2006/relationships/hyperlink" Target="https://www.linkedin.com/learning/00-six-sigma-green-belt?trk=ondemandfile" TargetMode="External"/><Relationship Id="rId91" Type="http://schemas.openxmlformats.org/officeDocument/2006/relationships/hyperlink" Target="https://www.linkedin.com/learning/00-por-que-aprender?trk=ondemandfile" TargetMode="External"/><Relationship Id="rId187" Type="http://schemas.openxmlformats.org/officeDocument/2006/relationships/hyperlink" Target="https://www.linkedin.com/learning/00-fundamentos-de-la-gestion-de-proyectos-comunicacion?trk=ondemandfile" TargetMode="External"/><Relationship Id="rId394" Type="http://schemas.openxmlformats.org/officeDocument/2006/relationships/hyperlink" Target="https://www.linkedin.com/learning/como-liderar-una-cultura-centrada-en-el-cliente?trk=ondemandfile" TargetMode="External"/><Relationship Id="rId408" Type="http://schemas.openxmlformats.org/officeDocument/2006/relationships/hyperlink" Target="https://www.linkedin.com/learning/salesforce-esencial?trk=ondemandfile" TargetMode="External"/><Relationship Id="rId615" Type="http://schemas.openxmlformats.org/officeDocument/2006/relationships/hyperlink" Target="https://www.linkedin.com/learning/leading-without-formal-authority-3?trk=ondemandfile" TargetMode="External"/><Relationship Id="rId822" Type="http://schemas.openxmlformats.org/officeDocument/2006/relationships/hyperlink" Target="https://www.linkedin.com/learning/recursos-humanos-estrategicos?trk=ondemandfile" TargetMode="External"/><Relationship Id="rId254" Type="http://schemas.openxmlformats.org/officeDocument/2006/relationships/hyperlink" Target="https://www.linkedin.com/learning/paths/domina-las-habilidades-de-vida-sociales?trk=ondemandfile" TargetMode="External"/><Relationship Id="rId699" Type="http://schemas.openxmlformats.org/officeDocument/2006/relationships/hyperlink" Target="https://www.linkedin.com/learning/c-mo-presentar-y-enganchar-a-tu-p-blico?trk=ondemandfile" TargetMode="External"/><Relationship Id="rId49" Type="http://schemas.openxmlformats.org/officeDocument/2006/relationships/hyperlink" Target="https://www.linkedin.com/learning/00-fred-kofman-on-accountability?trk=ondemandfile" TargetMode="External"/><Relationship Id="rId114" Type="http://schemas.openxmlformats.org/officeDocument/2006/relationships/hyperlink" Target="https://www.linkedin.com/learning/big-data-recursos-humanos-y-gestion-del-bienestar-laboral?trk=contentmappingfile" TargetMode="External"/><Relationship Id="rId461" Type="http://schemas.openxmlformats.org/officeDocument/2006/relationships/hyperlink" Target="https://www.linkedin.com/learning/00-fundamentos-de-big-data-tecnicas-y-conceptos?trk=ondemandfile" TargetMode="External"/><Relationship Id="rId559" Type="http://schemas.openxmlformats.org/officeDocument/2006/relationships/hyperlink" Target="https://www.linkedin.com/learning/aprende-recursos-humanos-para-contratacion-it?trk=ondemandfile" TargetMode="External"/><Relationship Id="rId766" Type="http://schemas.openxmlformats.org/officeDocument/2006/relationships/hyperlink" Target="https://www.linkedin.com/learning/00-project-2016-esencial?trk=ondemandfile" TargetMode="External"/><Relationship Id="rId198" Type="http://schemas.openxmlformats.org/officeDocument/2006/relationships/hyperlink" Target="https://www.linkedin.com/learning/improving-your-listening-skills-3?trk=ondemandfile" TargetMode="External"/><Relationship Id="rId321" Type="http://schemas.openxmlformats.org/officeDocument/2006/relationships/hyperlink" Target="https://www.linkedin.com/learning/00-marketing-digital-avanzado-resolucion-de-problemas?trk=ondemandfile" TargetMode="External"/><Relationship Id="rId419" Type="http://schemas.openxmlformats.org/officeDocument/2006/relationships/hyperlink" Target="https://www.linkedin.com/learning/aprende-analisis-y-visualizacion-de-datos-con-hojas-de-calculo-de-google?trk=ondemandfile" TargetMode="External"/><Relationship Id="rId626" Type="http://schemas.openxmlformats.org/officeDocument/2006/relationships/hyperlink" Target="https://www.linkedin.com/learning/00-jeff-weiner-on-compassionate-management?trk=ondemandfile" TargetMode="External"/><Relationship Id="rId833" Type="http://schemas.openxmlformats.org/officeDocument/2006/relationships/hyperlink" Target="https://www.linkedin.com/learning/como-identificar-y-retener-personal-con-alto-potencial?trk=ondemandfile" TargetMode="External"/><Relationship Id="rId265" Type="http://schemas.openxmlformats.org/officeDocument/2006/relationships/hyperlink" Target="https://www.linkedin.com/learning/00-conflict-resolution-fundamentals?trk=ondemandfile" TargetMode="External"/><Relationship Id="rId472" Type="http://schemas.openxmlformats.org/officeDocument/2006/relationships/hyperlink" Target="https://www.linkedin.com/learning/power-bi-trabajo-colaborativo-desde-el-servicio-power-bi?trk=ondemandfile" TargetMode="External"/><Relationship Id="rId900" Type="http://schemas.openxmlformats.org/officeDocument/2006/relationships/hyperlink" Target="https://www.linkedin.com/learning/la-importancia-del-lenguaje-inclusivo?trk=ondemandfile" TargetMode="External"/><Relationship Id="rId125" Type="http://schemas.openxmlformats.org/officeDocument/2006/relationships/hyperlink" Target="https://www.linkedin.com/learning/paths/profundiza-en-la-busqueda-seleccion-y-retencion-de-talentos?trk=ondemandfile" TargetMode="External"/><Relationship Id="rId332" Type="http://schemas.openxmlformats.org/officeDocument/2006/relationships/hyperlink" Target="https://www.linkedin.com/learning/00-wordpress-seo?trk=ondemandfile" TargetMode="External"/><Relationship Id="rId777" Type="http://schemas.openxmlformats.org/officeDocument/2006/relationships/hyperlink" Target="https://www.linkedin.com/learning/aprende-microsoft-dynamics-365-finance?trk=contentmappingfile" TargetMode="External"/><Relationship Id="rId637" Type="http://schemas.openxmlformats.org/officeDocument/2006/relationships/hyperlink" Target="https://www.linkedin.com/learning/transicion-de-responsable-a-lider?trk=contentmappingfile" TargetMode="External"/><Relationship Id="rId844" Type="http://schemas.openxmlformats.org/officeDocument/2006/relationships/hyperlink" Target="https://www.linkedin.com/learning/00-mentoring-others?trk=ondemandfile" TargetMode="External"/><Relationship Id="rId276" Type="http://schemas.openxmlformats.org/officeDocument/2006/relationships/hyperlink" Target="https://www.linkedin.com/learning/00-agile-marketing?trk=ondemandfile" TargetMode="External"/><Relationship Id="rId483" Type="http://schemas.openxmlformats.org/officeDocument/2006/relationships/hyperlink" Target="https://www.linkedin.com/learning/economia-de-la-empresa?trk=contentmappingfile" TargetMode="External"/><Relationship Id="rId690" Type="http://schemas.openxmlformats.org/officeDocument/2006/relationships/hyperlink" Target="https://www.linkedin.com/learning/aprende-powerpoint-office-365-microsoft-365?trk=contentmappingfile" TargetMode="External"/><Relationship Id="rId704" Type="http://schemas.openxmlformats.org/officeDocument/2006/relationships/hyperlink" Target="https://www.linkedin.com/learning/gestiona-tu-entrevista-de-trabajo-en-videoconferencia?trk=ondemandfile" TargetMode="External"/><Relationship Id="rId911" Type="http://schemas.openxmlformats.org/officeDocument/2006/relationships/hyperlink" Target="https://www.linkedin.com/learning/como-escribir-correos-electronicos-de-servicio-al-cliente?trk=ondemandfile" TargetMode="External"/><Relationship Id="rId40" Type="http://schemas.openxmlformats.org/officeDocument/2006/relationships/hyperlink" Target="https://www.linkedin.com/learning/como-trabajar-con-gente-dificil?trk=ondemandfile" TargetMode="External"/><Relationship Id="rId136" Type="http://schemas.openxmlformats.org/officeDocument/2006/relationships/hyperlink" Target="https://www.linkedin.com/learning/como-liderar-reuniones-individuales-productivas?trk=ondemandfile" TargetMode="External"/><Relationship Id="rId343" Type="http://schemas.openxmlformats.org/officeDocument/2006/relationships/hyperlink" Target="https://www.linkedin.com/learning/00-ideation-for-marketers?trk=ondemandfile" TargetMode="External"/><Relationship Id="rId550" Type="http://schemas.openxmlformats.org/officeDocument/2006/relationships/hyperlink" Target="https://www.linkedin.com/learning/linkedin-para-recursos-humanos-2?trk=ondemandfile" TargetMode="External"/><Relationship Id="rId788" Type="http://schemas.openxmlformats.org/officeDocument/2006/relationships/hyperlink" Target="https://www.linkedin.com/learning/como-liderar-una-cultura-centrada-en-el-cliente?trk=ondemandfile" TargetMode="External"/><Relationship Id="rId203" Type="http://schemas.openxmlformats.org/officeDocument/2006/relationships/hyperlink" Target="https://www.linkedin.com/learning/00-fundamentos-del-trabajo-en-equipo?trk=ondemandfile" TargetMode="External"/><Relationship Id="rId648" Type="http://schemas.openxmlformats.org/officeDocument/2006/relationships/hyperlink" Target="https://www.linkedin.com/learning/como-gestionar-los-puntos-ciegos-del-liderazgo?trk=ondemandfile" TargetMode="External"/><Relationship Id="rId855" Type="http://schemas.openxmlformats.org/officeDocument/2006/relationships/hyperlink" Target="https://www.linkedin.com/learning/como-identificar-y-retener-personal-con-alto-potencial?trk=ondemandfile" TargetMode="External"/><Relationship Id="rId287" Type="http://schemas.openxmlformats.org/officeDocument/2006/relationships/hyperlink" Target="https://www.linkedin.com/learning/c-c-chapman-creador-de-marketing-de-contenido?trk=contentmappingfile" TargetMode="External"/><Relationship Id="rId410" Type="http://schemas.openxmlformats.org/officeDocument/2006/relationships/hyperlink" Target="https://www.linkedin.com/learning/salesforce-para-gerentes-de-ventas?trk=ondemandfile" TargetMode="External"/><Relationship Id="rId494" Type="http://schemas.openxmlformats.org/officeDocument/2006/relationships/hyperlink" Target="https://www.linkedin.com/learning/finanzas-personales-trucos?trk=ondemandfile" TargetMode="External"/><Relationship Id="rId508" Type="http://schemas.openxmlformats.org/officeDocument/2006/relationships/hyperlink" Target="https://www.linkedin.com/learning/gestiona-tus-finanzas-personales-en-tiempos-de-crisis?trk=ondemandfile" TargetMode="External"/><Relationship Id="rId715" Type="http://schemas.openxmlformats.org/officeDocument/2006/relationships/hyperlink" Target="https://www.linkedin.com/learning/powerpoint-para-principiantes-preparar-una-presentacion-365-2019?trk=contentmappingfile" TargetMode="External"/><Relationship Id="rId922" Type="http://schemas.openxmlformats.org/officeDocument/2006/relationships/hyperlink" Target="https://www.linkedin.com/learning/tecnicas-de-escritura-creativa-para-negocios-trucos?trk=contentmappingfile" TargetMode="External"/><Relationship Id="rId147" Type="http://schemas.openxmlformats.org/officeDocument/2006/relationships/hyperlink" Target="https://www.linkedin.com/learning/00-project-management-foundations-teams?trk=ondemandfile" TargetMode="External"/><Relationship Id="rId354" Type="http://schemas.openxmlformats.org/officeDocument/2006/relationships/hyperlink" Target="https://www.linkedin.com/learning/liderazgo-creativo?trk=ondemandfile" TargetMode="External"/><Relationship Id="rId799" Type="http://schemas.openxmlformats.org/officeDocument/2006/relationships/hyperlink" Target="https://www.linkedin.com/learning/gestion-de-clientes-potenciales?trk=ondemandfile" TargetMode="External"/><Relationship Id="rId51" Type="http://schemas.openxmlformats.org/officeDocument/2006/relationships/hyperlink" Target="https://www.linkedin.com/learning/00-gestion-eficaz-del-tiempo?trk=ondemandfile" TargetMode="External"/><Relationship Id="rId561" Type="http://schemas.openxmlformats.org/officeDocument/2006/relationships/hyperlink" Target="https://www.linkedin.com/learning/00-como-reclutar-y-desarrollar-a-tu-equipo?trk=ondemandfile" TargetMode="External"/><Relationship Id="rId659" Type="http://schemas.openxmlformats.org/officeDocument/2006/relationships/hyperlink" Target="https://www.linkedin.com/learning/gestion-de-equipos-mediante-okr-s-o-misiones-objetivos-y-resultados-clave?trk=contentmappingfile" TargetMode="External"/><Relationship Id="rId866" Type="http://schemas.openxmlformats.org/officeDocument/2006/relationships/hyperlink" Target="https://www.linkedin.com/learning/incrementar-el-compromiso-con-los-programas-de-aprendizaje-electronico?trk=ondemandfile" TargetMode="External"/><Relationship Id="rId214" Type="http://schemas.openxmlformats.org/officeDocument/2006/relationships/hyperlink" Target="https://www.linkedin.com/learning/como-desarrollar-tu-elevator-pitch?trk=ondemandfile" TargetMode="External"/><Relationship Id="rId298" Type="http://schemas.openxmlformats.org/officeDocument/2006/relationships/hyperlink" Target="https://www.linkedin.com/learning/fundamentos-de-seo-2?trk=ondemandfile" TargetMode="External"/><Relationship Id="rId421" Type="http://schemas.openxmlformats.org/officeDocument/2006/relationships/hyperlink" Target="https://www.linkedin.com/learning/aprende-big-data-analisis-de-datos?trk=ondemandfile" TargetMode="External"/><Relationship Id="rId519" Type="http://schemas.openxmlformats.org/officeDocument/2006/relationships/hyperlink" Target="https://www.linkedin.com/learning/00-building-high-performance-teams?trk=ondemandfile" TargetMode="External"/><Relationship Id="rId158" Type="http://schemas.openxmlformats.org/officeDocument/2006/relationships/hyperlink" Target="https://www.linkedin.com/learning/trabajando-y-colaborando-online?trk=ondemandfile" TargetMode="External"/><Relationship Id="rId726" Type="http://schemas.openxmlformats.org/officeDocument/2006/relationships/hyperlink" Target="https://www.linkedin.com/learning/aprende-las-bases-de-las-cadenas-de-suministro?trk=ondemandfile" TargetMode="External"/><Relationship Id="rId933" Type="http://schemas.openxmlformats.org/officeDocument/2006/relationships/hyperlink" Target="https://www.linkedin.com/learning/la-salud-tu-mejor-talento?trk=ondemandfile" TargetMode="External"/><Relationship Id="rId62" Type="http://schemas.openxmlformats.org/officeDocument/2006/relationships/hyperlink" Target="https://www.linkedin.com/learning/00-enhancing-your-productivity?trk=ondemandfile" TargetMode="External"/><Relationship Id="rId365" Type="http://schemas.openxmlformats.org/officeDocument/2006/relationships/hyperlink" Target="https://www.linkedin.com/learning/como-gestionar-los-puntos-ciegos-del-liderazgo?trk=ondemandfile" TargetMode="External"/><Relationship Id="rId572" Type="http://schemas.openxmlformats.org/officeDocument/2006/relationships/hyperlink" Target="https://www.linkedin.com/learning/como-liderar-equipos-de-alto-potencial?trk=contentmappingfile" TargetMode="External"/><Relationship Id="rId225" Type="http://schemas.openxmlformats.org/officeDocument/2006/relationships/hyperlink" Target="https://www.linkedin.com/learning/como-negociar-tu-oferta-de-trabajo?trk=ondemandfile" TargetMode="External"/><Relationship Id="rId432" Type="http://schemas.openxmlformats.org/officeDocument/2006/relationships/hyperlink" Target="https://www.linkedin.com/learning/azure-data-explorer-esencial?trk=ondemandfile" TargetMode="External"/><Relationship Id="rId877" Type="http://schemas.openxmlformats.org/officeDocument/2006/relationships/hyperlink" Target="https://www.linkedin.com/learning/como-cultivar-la-habilidad-y-la-inclusion-cultural?trk=ondemandfile" TargetMode="External"/><Relationship Id="rId737" Type="http://schemas.openxmlformats.org/officeDocument/2006/relationships/hyperlink" Target="https://www.linkedin.com/learning/fundamentos-de-la-gestion-de-proyectos?trk=ondemandfile" TargetMode="External"/><Relationship Id="rId73" Type="http://schemas.openxmlformats.org/officeDocument/2006/relationships/hyperlink" Target="https://www.linkedin.com/learning/busqueda-de-empleo-con-redes-sociales?trk=ondemandfile" TargetMode="External"/><Relationship Id="rId169" Type="http://schemas.openxmlformats.org/officeDocument/2006/relationships/hyperlink" Target="https://www.linkedin.com/learning/00-developing-emotional-intelligence?trk=ondemandfile" TargetMode="External"/><Relationship Id="rId376" Type="http://schemas.openxmlformats.org/officeDocument/2006/relationships/hyperlink" Target="https://www.linkedin.com/learning/gestion-del-estres-en-tiempos-de-incertidumbre-vivir-o-sobrevivir?trk=ondemandfile" TargetMode="External"/><Relationship Id="rId583" Type="http://schemas.openxmlformats.org/officeDocument/2006/relationships/hyperlink" Target="https://www.linkedin.com/learning/gestion-del-estres-en-tiempos-de-incertidumbre-vivir-o-sobrevivir?trk=ondemandfile" TargetMode="External"/><Relationship Id="rId790" Type="http://schemas.openxmlformats.org/officeDocument/2006/relationships/hyperlink" Target="https://www.linkedin.com/learning/00-asking-great-sales-questions?trk=ondemandfile" TargetMode="External"/><Relationship Id="rId804" Type="http://schemas.openxmlformats.org/officeDocument/2006/relationships/hyperlink" Target="https://www.linkedin.com/learning/linkedin-para-ventas-2?trk=ondemandfile" TargetMode="External"/><Relationship Id="rId4" Type="http://schemas.openxmlformats.org/officeDocument/2006/relationships/hyperlink" Target="https://www.linkedin.com/learning/paths/mejora-tus-dotes-de-liderazgo-y-gestion-de-equipos-de-trabajo?trk=ondemandfile" TargetMode="External"/><Relationship Id="rId236" Type="http://schemas.openxmlformats.org/officeDocument/2006/relationships/hyperlink" Target="https://www.linkedin.com/learning/communication-foundations-3?trk=ondemandfile" TargetMode="External"/><Relationship Id="rId443" Type="http://schemas.openxmlformats.org/officeDocument/2006/relationships/hyperlink" Target="https://www.linkedin.com/learning/00-excel-for-mac-2016-charts-in-depth?trk=ondemandfile" TargetMode="External"/><Relationship Id="rId650" Type="http://schemas.openxmlformats.org/officeDocument/2006/relationships/hyperlink" Target="https://www.linkedin.com/learning/como-liderar-equipos-inclusivos?trk=ondemandfile" TargetMode="External"/><Relationship Id="rId888" Type="http://schemas.openxmlformats.org/officeDocument/2006/relationships/hyperlink" Target="https://www.linkedin.com/learning/como-ser-parte-de-un-ambiente-de-trabajo-positivo?trk=ondemandfile" TargetMode="External"/><Relationship Id="rId303" Type="http://schemas.openxmlformats.org/officeDocument/2006/relationships/hyperlink" Target="https://www.linkedin.com/learning/fundamentos-del-marketing-digital-mobile-marketing?trk=ondemandfile" TargetMode="External"/><Relationship Id="rId748" Type="http://schemas.openxmlformats.org/officeDocument/2006/relationships/hyperlink" Target="https://www.linkedin.com/learning/00-gestion-de-proyectos-presupuestos?trk=ondemandfile" TargetMode="External"/><Relationship Id="rId84" Type="http://schemas.openxmlformats.org/officeDocument/2006/relationships/hyperlink" Target="https://www.linkedin.com/learning/c-mo-enfrentarse-a-los-cambios?trk=ondemandfile" TargetMode="External"/><Relationship Id="rId387" Type="http://schemas.openxmlformats.org/officeDocument/2006/relationships/hyperlink" Target="https://www.linkedin.com/learning/como-construir-la-lealtad-del-cliente?trk=ondemandfile" TargetMode="External"/><Relationship Id="rId510" Type="http://schemas.openxmlformats.org/officeDocument/2006/relationships/hyperlink" Target="https://www.linkedin.com/learning/plan-de-viabilidad-economico-financiero-para-el-emprendimiento?trk=contentmappingfile" TargetMode="External"/><Relationship Id="rId594" Type="http://schemas.openxmlformats.org/officeDocument/2006/relationships/hyperlink" Target="https://www.linkedin.com/learning/liderazgo-y-recursos-humanos-estrategia-de-ubicacion-para-una-fuerza-de-trabajo-hibrida?trk=contentmappingfile" TargetMode="External"/><Relationship Id="rId608" Type="http://schemas.openxmlformats.org/officeDocument/2006/relationships/hyperlink" Target="https://www.linkedin.com/learning/paths/trabajo-a-distancia-preparandote-a-ti-mismo-y-a-tus-equipos-para-el-exito?trk=ondemandfile" TargetMode="External"/><Relationship Id="rId815" Type="http://schemas.openxmlformats.org/officeDocument/2006/relationships/hyperlink" Target="https://www.linkedin.com/learning/00-competitive-strategy?trk=ondemandfile" TargetMode="External"/><Relationship Id="rId247" Type="http://schemas.openxmlformats.org/officeDocument/2006/relationships/hyperlink" Target="https://www.linkedin.com/learning/storytelling-para-comunicacion-de-proyectos-de-ingenieria?trk=contentmappingfile" TargetMode="External"/><Relationship Id="rId899" Type="http://schemas.openxmlformats.org/officeDocument/2006/relationships/hyperlink" Target="https://www.linkedin.com/learning/business-ethics-3?trk=ondemandfile" TargetMode="External"/><Relationship Id="rId107" Type="http://schemas.openxmlformats.org/officeDocument/2006/relationships/hyperlink" Target="https://www.linkedin.com/learning/mindfulness-3?trk=ondemandfile" TargetMode="External"/><Relationship Id="rId454" Type="http://schemas.openxmlformats.org/officeDocument/2006/relationships/hyperlink" Target="https://www.linkedin.com/learning/excel-para-principiantes-ingresar-datos-correctamente-365-2019?trk=contentmappingfile" TargetMode="External"/><Relationship Id="rId661" Type="http://schemas.openxmlformats.org/officeDocument/2006/relationships/hyperlink" Target="https://www.linkedin.com/learning/gestion-del-tiempo-para-lideres?trk=contentmappingfile" TargetMode="External"/><Relationship Id="rId759" Type="http://schemas.openxmlformats.org/officeDocument/2006/relationships/hyperlink" Target="https://www.linkedin.com/learning/00-project-management-simplified?trk=ondemandfile" TargetMode="External"/><Relationship Id="rId11" Type="http://schemas.openxmlformats.org/officeDocument/2006/relationships/hyperlink" Target="https://www.linkedin.com/learning/c-mo-aumentar-la-resiliencia?trk=ondemandfile" TargetMode="External"/><Relationship Id="rId314" Type="http://schemas.openxmlformats.org/officeDocument/2006/relationships/hyperlink" Target="https://www.linkedin.com/learning/introduccion-al-marketing-digital-en-tiempos-de-crisis?trk=ondemandfile" TargetMode="External"/><Relationship Id="rId398" Type="http://schemas.openxmlformats.org/officeDocument/2006/relationships/hyperlink" Target="https://www.linkedin.com/learning/00-tecnicas-de-atencion-al-cliente-y-soporte-para-it?trk=ondemandfile" TargetMode="External"/><Relationship Id="rId521" Type="http://schemas.openxmlformats.org/officeDocument/2006/relationships/hyperlink" Target="https://www.linkedin.com/learning/como-crear-una-cultura-de-alto-rendimiento?trk=ondemandfile" TargetMode="External"/><Relationship Id="rId619" Type="http://schemas.openxmlformats.org/officeDocument/2006/relationships/hyperlink" Target="https://www.linkedin.com/learning/00-developing-your-leadership-philosophy?trk=ondemandfile" TargetMode="External"/><Relationship Id="rId95" Type="http://schemas.openxmlformats.org/officeDocument/2006/relationships/hyperlink" Target="https://www.linkedin.com/learning/design-thinking-facilitacion-de-procesos-de-trabajo?trk=ondemandfile" TargetMode="External"/><Relationship Id="rId160" Type="http://schemas.openxmlformats.org/officeDocument/2006/relationships/hyperlink" Target="https://www.linkedin.com/learning/00-working-in-virtual-teams?trk=ondemandfile" TargetMode="External"/><Relationship Id="rId826" Type="http://schemas.openxmlformats.org/officeDocument/2006/relationships/hyperlink" Target="https://www.linkedin.com/learning/00-building-high-performance-teams?trk=ondemandfile" TargetMode="External"/><Relationship Id="rId258" Type="http://schemas.openxmlformats.org/officeDocument/2006/relationships/hyperlink" Target="https://www.linkedin.com/learning/00-tener-conversaciones-dificiles?trk=ondemandfile" TargetMode="External"/><Relationship Id="rId465" Type="http://schemas.openxmlformats.org/officeDocument/2006/relationships/hyperlink" Target="https://www.linkedin.com/learning/gdpr-implementacion-practica-en-la-empresa?trk=ondemandfile" TargetMode="External"/><Relationship Id="rId672" Type="http://schemas.openxmlformats.org/officeDocument/2006/relationships/hyperlink" Target="https://www.linkedin.com/learning/designops-habilidades-personales-esencial?trk=ondemandfile" TargetMode="External"/><Relationship Id="rId22" Type="http://schemas.openxmlformats.org/officeDocument/2006/relationships/hyperlink" Target="https://www.linkedin.com/learning/c-mo-delegar-tareas-en-la-empresa?trk=ondemandfile" TargetMode="External"/><Relationship Id="rId118" Type="http://schemas.openxmlformats.org/officeDocument/2006/relationships/hyperlink" Target="https://www.linkedin.com/learning/communication-within-teams-2?trk=ondemandfile" TargetMode="External"/><Relationship Id="rId325" Type="http://schemas.openxmlformats.org/officeDocument/2006/relationships/hyperlink" Target="https://www.linkedin.com/learning/marketing-online-creacion-de-un-calendario-editorial?trk=ondemandfile" TargetMode="External"/><Relationship Id="rId532" Type="http://schemas.openxmlformats.org/officeDocument/2006/relationships/hyperlink" Target="https://www.linkedin.com/learning/como-mejorar-el-rendimiento-de-tu-personal?trk=contentmappingfile" TargetMode="External"/><Relationship Id="rId171" Type="http://schemas.openxmlformats.org/officeDocument/2006/relationships/hyperlink" Target="https://www.linkedin.com/learning/como-encontrar-un-trabajo-a-distancia?trk=ondemandfile" TargetMode="External"/><Relationship Id="rId837" Type="http://schemas.openxmlformats.org/officeDocument/2006/relationships/hyperlink" Target="https://www.linkedin.com/learning/como-orientar-y-desarrollar-a-tu-personal?trk=contentmappingfile" TargetMode="External"/><Relationship Id="rId269" Type="http://schemas.openxmlformats.org/officeDocument/2006/relationships/hyperlink" Target="https://www.linkedin.com/learning/00-jeff-weiner-on-compassionate-management?trk=ondemandfile" TargetMode="External"/><Relationship Id="rId476" Type="http://schemas.openxmlformats.org/officeDocument/2006/relationships/hyperlink" Target="https://www.linkedin.com/learning/00-r-para-big-data-esencial?trk=ondemandfile" TargetMode="External"/><Relationship Id="rId683" Type="http://schemas.openxmlformats.org/officeDocument/2006/relationships/hyperlink" Target="https://www.linkedin.com/learning/fundamentos-del-soporte-tecnico-telecomunicaciones?trk=ondemandfile" TargetMode="External"/><Relationship Id="rId890" Type="http://schemas.openxmlformats.org/officeDocument/2006/relationships/hyperlink" Target="https://www.linkedin.com/learning/comprender-e-integrar-la-diversidad-funcional?trk=ondemandfile" TargetMode="External"/><Relationship Id="rId904" Type="http://schemas.openxmlformats.org/officeDocument/2006/relationships/hyperlink" Target="https://www.linkedin.com/learning/presencia-ejecutiva-sugerencias-para-las-mujeres?trk=ondemandfile" TargetMode="External"/><Relationship Id="rId33" Type="http://schemas.openxmlformats.org/officeDocument/2006/relationships/hyperlink" Target="https://www.linkedin.com/learning/como-liderar-reuniones-productivas?trk=ondemandfile" TargetMode="External"/><Relationship Id="rId129" Type="http://schemas.openxmlformats.org/officeDocument/2006/relationships/hyperlink" Target="https://www.linkedin.com/learning/como-gestionar-un-equipo-de-atencion-al-cliente?trk=ondemandfile" TargetMode="External"/><Relationship Id="rId336" Type="http://schemas.openxmlformats.org/officeDocument/2006/relationships/hyperlink" Target="https://www.linkedin.com/learning/c-mo-desarrollar-la-capacidad-de-ingenio?trk=ondemandfile" TargetMode="External"/><Relationship Id="rId543" Type="http://schemas.openxmlformats.org/officeDocument/2006/relationships/hyperlink" Target="https://www.linkedin.com/learning/00-human-resources-pay-strategy-lp-finding-talent-4?trk=ondemandfile" TargetMode="External"/><Relationship Id="rId182" Type="http://schemas.openxmlformats.org/officeDocument/2006/relationships/hyperlink" Target="https://www.linkedin.com/learning/00-communicating-with-confidence?trk=ondemandfile" TargetMode="External"/><Relationship Id="rId403" Type="http://schemas.openxmlformats.org/officeDocument/2006/relationships/hyperlink" Target="https://www.linkedin.com/learning/gestion-de-clientes-potenciales?trk=ondemandfile" TargetMode="External"/><Relationship Id="rId750" Type="http://schemas.openxmlformats.org/officeDocument/2006/relationships/hyperlink" Target="https://www.linkedin.com/learning/00-managing-project-risk?trk=ondemandfile" TargetMode="External"/><Relationship Id="rId848" Type="http://schemas.openxmlformats.org/officeDocument/2006/relationships/hyperlink" Target="https://es.linkedin.com/learning/paths/conviertete-en-reclutador-de-talentos?trk=ondemandfile" TargetMode="External"/><Relationship Id="rId487" Type="http://schemas.openxmlformats.org/officeDocument/2006/relationships/hyperlink" Target="https://www.linkedin.com/learning/excel-2016-practico-gestion-de-tesoreria-para-pymes?trk=ondemandfile" TargetMode="External"/><Relationship Id="rId610" Type="http://schemas.openxmlformats.org/officeDocument/2006/relationships/hyperlink" Target="https://www.linkedin.com/learning/paths/mujeres-en-el-liderazgo?trk=ondemandfile" TargetMode="External"/><Relationship Id="rId694" Type="http://schemas.openxmlformats.org/officeDocument/2006/relationships/hyperlink" Target="https://www.linkedin.com/learning/como-desarrollar-tu-elevator-pitch?trk=ondemandfile" TargetMode="External"/><Relationship Id="rId708" Type="http://schemas.openxmlformats.org/officeDocument/2006/relationships/hyperlink" Target="https://www.linkedin.com/learning/25-trucos-b-sicos-para-crear-las-mejores-presentaciones-en-powerpoint?trk=ondemandfile" TargetMode="External"/><Relationship Id="rId915" Type="http://schemas.openxmlformats.org/officeDocument/2006/relationships/hyperlink" Target="https://www.linkedin.com/learning/00-fundamentos-de-la-curacion-de-contenidos?trk=ondemandfile" TargetMode="External"/><Relationship Id="rId347" Type="http://schemas.openxmlformats.org/officeDocument/2006/relationships/hyperlink" Target="https://www.linkedin.com/learning/design-thinking-implementar-el-proceso?trk=ondemandfile" TargetMode="External"/><Relationship Id="rId44" Type="http://schemas.openxmlformats.org/officeDocument/2006/relationships/hyperlink" Target="https://www.linkedin.com/learning/design-thinking-facilitacion-de-procesos-de-trabajo?trk=ondemandfile" TargetMode="External"/><Relationship Id="rId554" Type="http://schemas.openxmlformats.org/officeDocument/2006/relationships/hyperlink" Target="https://www.linkedin.com/learning/plantilla-curriculum-vitae-con-word?trk=ondemandfile" TargetMode="External"/><Relationship Id="rId761" Type="http://schemas.openxmlformats.org/officeDocument/2006/relationships/hyperlink" Target="https://www.linkedin.com/learning/00-solving-common-project-problems?trk=ondemandfile" TargetMode="External"/><Relationship Id="rId859" Type="http://schemas.openxmlformats.org/officeDocument/2006/relationships/hyperlink" Target="https://www.linkedin.com/learning/como-orientar-y-desarrollar-a-tu-personal?trk=contentmappingfile" TargetMode="External"/><Relationship Id="rId193" Type="http://schemas.openxmlformats.org/officeDocument/2006/relationships/hyperlink" Target="https://www.linkedin.com/learning/herramientas-online-para-teletrabajo-trucos?trk=ondemandfile" TargetMode="External"/><Relationship Id="rId207" Type="http://schemas.openxmlformats.org/officeDocument/2006/relationships/hyperlink" Target="https://www.linkedin.com/learning/paths/mejora-tus-dotes-de-presentacion-orales-en-publico?trk=ondemandfile" TargetMode="External"/><Relationship Id="rId414" Type="http://schemas.openxmlformats.org/officeDocument/2006/relationships/hyperlink" Target="https://www.linkedin.com/learning/whatsapp-business-esencial?trk=ondemandfile" TargetMode="External"/><Relationship Id="rId498" Type="http://schemas.openxmlformats.org/officeDocument/2006/relationships/hyperlink" Target="https://www.linkedin.com/learning/00-gestion-de-proyectos-presupuestos?trk=ondemandfile" TargetMode="External"/><Relationship Id="rId621" Type="http://schemas.openxmlformats.org/officeDocument/2006/relationships/hyperlink" Target="https://www.linkedin.com/learning/el-futuro-de-la-gestion-del-rendimiento?trk=ondemandfile" TargetMode="External"/><Relationship Id="rId260" Type="http://schemas.openxmlformats.org/officeDocument/2006/relationships/hyperlink" Target="https://www.linkedin.com/learning/como-trabajar-con-gerentes-dificiles?trk=contentmappingfile" TargetMode="External"/><Relationship Id="rId719" Type="http://schemas.openxmlformats.org/officeDocument/2006/relationships/hyperlink" Target="https://www.linkedin.com/learning/reuniones-eficaces?trk=contentmappingfile" TargetMode="External"/><Relationship Id="rId926" Type="http://schemas.openxmlformats.org/officeDocument/2006/relationships/hyperlink" Target="https://www.linkedin.com/learning/00-bienestar-y-felicidad-trucos-semanales?trk=ondemandfile" TargetMode="External"/><Relationship Id="rId55" Type="http://schemas.openxmlformats.org/officeDocument/2006/relationships/hyperlink" Target="https://www.linkedin.com/learning/gestion-de-equipos-mediante-okr-s-o-misiones-objetivos-y-resultados-clave?trk=contentmappingfile" TargetMode="External"/><Relationship Id="rId120" Type="http://schemas.openxmlformats.org/officeDocument/2006/relationships/hyperlink" Target="https://www.linkedin.com/learning/00-building-high-performance-teams?trk=ondemandfile" TargetMode="External"/><Relationship Id="rId358" Type="http://schemas.openxmlformats.org/officeDocument/2006/relationships/hyperlink" Target="https://www.linkedin.com/learning/gente-creativa-trucos?trk=ondemandfile" TargetMode="External"/><Relationship Id="rId565" Type="http://schemas.openxmlformats.org/officeDocument/2006/relationships/hyperlink" Target="https://www.linkedin.com/learning/paths/liderazgo-en-tiempos-de-transformacion-digital?trk=ondemandfile" TargetMode="External"/><Relationship Id="rId772" Type="http://schemas.openxmlformats.org/officeDocument/2006/relationships/hyperlink" Target="https://www.linkedin.com/learning/sharepoint-2019-trucos?trk=ondemandfile" TargetMode="External"/><Relationship Id="rId218" Type="http://schemas.openxmlformats.org/officeDocument/2006/relationships/hyperlink" Target="https://www.linkedin.com/learning/building-trust-2?trk=ondemandfile" TargetMode="External"/><Relationship Id="rId425" Type="http://schemas.openxmlformats.org/officeDocument/2006/relationships/hyperlink" Target="https://www.linkedin.com/learning/00-aprende-data-science-conceptos-basicos?trk=ondemandfile" TargetMode="External"/><Relationship Id="rId632" Type="http://schemas.openxmlformats.org/officeDocument/2006/relationships/hyperlink" Target="https://www.linkedin.com/learning/liderazgo-y-recursos-humanos-estrategia-de-ubicacion-para-una-fuerza-de-trabajo-hibrida?trk=contentmappingfile" TargetMode="External"/><Relationship Id="rId271" Type="http://schemas.openxmlformats.org/officeDocument/2006/relationships/hyperlink" Target="https://www.linkedin.com/learning/00-marketing-digital-avanzado-resolucion-de-problemas?trk=ondemandfile" TargetMode="External"/><Relationship Id="rId66" Type="http://schemas.openxmlformats.org/officeDocument/2006/relationships/hyperlink" Target="https://www.linkedin.com/learning/reuniones-eficaces?trk=ondemandfile" TargetMode="External"/><Relationship Id="rId131" Type="http://schemas.openxmlformats.org/officeDocument/2006/relationships/hyperlink" Target="https://www.linkedin.com/learning/como-hacer-coaching-a-tu-personal-para-obtener-resultados?trk=contentmappingfile" TargetMode="External"/><Relationship Id="rId369" Type="http://schemas.openxmlformats.org/officeDocument/2006/relationships/hyperlink" Target="https://www.linkedin.com/learning/00-por-que-aprender?trk=ondemandfile" TargetMode="External"/><Relationship Id="rId576" Type="http://schemas.openxmlformats.org/officeDocument/2006/relationships/hyperlink" Target="https://www.linkedin.com/learning/00-comunicacion-de-la-gestion-del-cambio?trk=ondemandfile" TargetMode="External"/><Relationship Id="rId783" Type="http://schemas.openxmlformats.org/officeDocument/2006/relationships/hyperlink" Target="https://www.linkedin.com/learning/00-influencing-others?trk=ondemandfile" TargetMode="External"/><Relationship Id="rId229" Type="http://schemas.openxmlformats.org/officeDocument/2006/relationships/hyperlink" Target="https://www.linkedin.com/learning/comunicacion-con-atencion-plena-empatia-y-compasion?trk=ondemandfile" TargetMode="External"/><Relationship Id="rId436" Type="http://schemas.openxmlformats.org/officeDocument/2006/relationships/hyperlink" Target="https://www.linkedin.com/learning/00-big-data-para-la-empresa-escucha-activa?trk=ondemandfile" TargetMode="External"/><Relationship Id="rId643" Type="http://schemas.openxmlformats.org/officeDocument/2006/relationships/hyperlink" Target="https://www.linkedin.com/learning/paths/crea-una-atmosfera-de-trabajo-productiva?trk=ondemandfile" TargetMode="External"/><Relationship Id="rId850" Type="http://schemas.openxmlformats.org/officeDocument/2006/relationships/hyperlink" Target="https://www.linkedin.com/learning/paths/conviertete-en-jefe-de-equipo-2?trk=ondemandfile" TargetMode="External"/><Relationship Id="rId77" Type="http://schemas.openxmlformats.org/officeDocument/2006/relationships/hyperlink" Target="https://www.linkedin.com/learning/00-learning-from-failure?trk=ondemandfile" TargetMode="External"/><Relationship Id="rId282" Type="http://schemas.openxmlformats.org/officeDocument/2006/relationships/hyperlink" Target="https://www.linkedin.com/learning/aprende-linkedin-sponsored-inmail?trk=ondemandfile" TargetMode="External"/><Relationship Id="rId503" Type="http://schemas.openxmlformats.org/officeDocument/2006/relationships/hyperlink" Target="https://www.linkedin.com/learning/educaci-n-financiera-terminolog-a-econ-mico-financiera?trk=ondemandfile" TargetMode="External"/><Relationship Id="rId587" Type="http://schemas.openxmlformats.org/officeDocument/2006/relationships/hyperlink" Target="https://www.linkedin.com/learning/liderazgo-agil-como-afrontar-la-nueva-normalidad?trk=ondemandfile" TargetMode="External"/><Relationship Id="rId710" Type="http://schemas.openxmlformats.org/officeDocument/2006/relationships/hyperlink" Target="https://www.linkedin.com/learning/00-powerpoint-2016-para-mac-esencial?trk=ondemandfile" TargetMode="External"/><Relationship Id="rId808" Type="http://schemas.openxmlformats.org/officeDocument/2006/relationships/hyperlink" Target="https://www.linkedin.com/learning/servicio-de-atencion-al-cliente-creacion-de-valor-para-el-consumidor?trk=ondemandfile" TargetMode="External"/><Relationship Id="rId8" Type="http://schemas.openxmlformats.org/officeDocument/2006/relationships/hyperlink" Target="https://www.linkedin.com/learning/paths/domina-el-trabajo-remoto?trk=ondemandfile" TargetMode="External"/><Relationship Id="rId142" Type="http://schemas.openxmlformats.org/officeDocument/2006/relationships/hyperlink" Target="https://www.linkedin.com/learning/creatividad-en-la-empresa?trk=ondemandfile" TargetMode="External"/><Relationship Id="rId447" Type="http://schemas.openxmlformats.org/officeDocument/2006/relationships/hyperlink" Target="https://www.linkedin.com/learning/excel-2016-validacion-de-datos?trk=ondemandfile" TargetMode="External"/><Relationship Id="rId794" Type="http://schemas.openxmlformats.org/officeDocument/2006/relationships/hyperlink" Target="https://www.linkedin.com/learning/excel-crear-un-dashboard-comercial-con-power-query-y-power-pivot?trk=ondemandfile" TargetMode="External"/><Relationship Id="rId654" Type="http://schemas.openxmlformats.org/officeDocument/2006/relationships/hyperlink" Target="https://www.linkedin.com/learning/el-futuro-de-la-gestion-del-rendimiento?trk=ondemandfile" TargetMode="External"/><Relationship Id="rId861" Type="http://schemas.openxmlformats.org/officeDocument/2006/relationships/hyperlink" Target="https://www.linkedin.com/learning/empodera-a-tu-equipo?trk=contentmappingfile" TargetMode="External"/><Relationship Id="rId293" Type="http://schemas.openxmlformats.org/officeDocument/2006/relationships/hyperlink" Target="https://www.linkedin.com/learning/00-derechos-de-autor-de-material-audiovisual-para-marketing?trk=ondemandfile" TargetMode="External"/><Relationship Id="rId307" Type="http://schemas.openxmlformats.org/officeDocument/2006/relationships/hyperlink" Target="https://www.linkedin.com/learning/fundamentos-del-marketing-online-search-marketing?trk=ondemandfile" TargetMode="External"/><Relationship Id="rId514" Type="http://schemas.openxmlformats.org/officeDocument/2006/relationships/hyperlink" Target="https://www.linkedin.com/learning/presupuestos-para-peque-as-empresas?trk=ondemandfile" TargetMode="External"/><Relationship Id="rId721" Type="http://schemas.openxmlformats.org/officeDocument/2006/relationships/hyperlink" Target="https://www.linkedin.com/learning/paths/conviertete-en-gestor-de-proyectos?trk=ondemandfile" TargetMode="External"/><Relationship Id="rId88" Type="http://schemas.openxmlformats.org/officeDocument/2006/relationships/hyperlink" Target="https://www.linkedin.com/learning/c-mo-manejar-el-estr-s?trk=ondemandfile" TargetMode="External"/><Relationship Id="rId153" Type="http://schemas.openxmlformats.org/officeDocument/2006/relationships/hyperlink" Target="https://www.linkedin.com/learning/liderazgo-transformador?trk=ondemandfile" TargetMode="External"/><Relationship Id="rId360" Type="http://schemas.openxmlformats.org/officeDocument/2006/relationships/hyperlink" Target="https://www.linkedin.com/learning/paths/domina-las-habilidades-de-vida-personales?trk=ondemandfile" TargetMode="External"/><Relationship Id="rId598" Type="http://schemas.openxmlformats.org/officeDocument/2006/relationships/hyperlink" Target="https://www.linkedin.com/learning/paths/mejora-tus-dotes-de-liderazgo-y-gestion-de-equipos-de-trabajo?trk=ondemandfile" TargetMode="External"/><Relationship Id="rId819" Type="http://schemas.openxmlformats.org/officeDocument/2006/relationships/hyperlink" Target="https://www.linkedin.com/learning/00-jeff-weiner-on-establishing-a-culture-and-a-plan-for-scaling?trk=ondemandfile" TargetMode="External"/><Relationship Id="rId220" Type="http://schemas.openxmlformats.org/officeDocument/2006/relationships/hyperlink" Target="https://www.linkedin.com/learning/como-liderar-reuniones-individuales-productivas?trk=ondemandfile" TargetMode="External"/><Relationship Id="rId458" Type="http://schemas.openxmlformats.org/officeDocument/2006/relationships/hyperlink" Target="https://www.linkedin.com/learning/analisis-de-informacion-fundamentos?trk=ondemandfile" TargetMode="External"/><Relationship Id="rId665" Type="http://schemas.openxmlformats.org/officeDocument/2006/relationships/hyperlink" Target="https://www.linkedin.com/learning/primeros-pasos-en-el-liderazgo-de-equipos?trk=contentmappingfile" TargetMode="External"/><Relationship Id="rId872" Type="http://schemas.openxmlformats.org/officeDocument/2006/relationships/hyperlink" Target="https://www.linkedin.com/learning/paths/mujeres-en-el-liderazgo?trk=ondemandfile" TargetMode="External"/><Relationship Id="rId15" Type="http://schemas.openxmlformats.org/officeDocument/2006/relationships/hyperlink" Target="https://www.linkedin.com/learning/00-building-high-performance-teams?trk=ondemandfile" TargetMode="External"/><Relationship Id="rId318" Type="http://schemas.openxmlformats.org/officeDocument/2006/relationships/hyperlink" Target="https://www.linkedin.com/learning/linkedin-para-empresas-2?trk=ondemandfile" TargetMode="External"/><Relationship Id="rId525" Type="http://schemas.openxmlformats.org/officeDocument/2006/relationships/hyperlink" Target="https://www.linkedin.com/learning/como-gestionar-a-personas-con-alto-potencial?trk=contentmappingfile" TargetMode="External"/><Relationship Id="rId732" Type="http://schemas.openxmlformats.org/officeDocument/2006/relationships/hyperlink" Target="https://www.linkedin.com/learning/cuarta-revolucion-industrial-gestion-de-proyectos?trk=ondemandfile" TargetMode="External"/><Relationship Id="rId99" Type="http://schemas.openxmlformats.org/officeDocument/2006/relationships/hyperlink" Target="https://www.linkedin.com/learning/00-fundamentos-de-la-gestion-de-proyectos-cambios?trk=ondemandfile" TargetMode="External"/><Relationship Id="rId164" Type="http://schemas.openxmlformats.org/officeDocument/2006/relationships/hyperlink" Target="https://www.linkedin.com/learning/paths/profundiza-en-tus-habilidades-de-comunicacion-en-la-empresa?trk=ondemandfile" TargetMode="External"/><Relationship Id="rId371" Type="http://schemas.openxmlformats.org/officeDocument/2006/relationships/hyperlink" Target="https://www.linkedin.com/learning/estrategias-para-salir-de-una-crisis-empresarial?trk=ondemandfile" TargetMode="External"/><Relationship Id="rId469" Type="http://schemas.openxmlformats.org/officeDocument/2006/relationships/hyperlink" Target="https://www.linkedin.com/learning/mongodb-esencial?trk=ondemandfile" TargetMode="External"/><Relationship Id="rId676" Type="http://schemas.openxmlformats.org/officeDocument/2006/relationships/hyperlink" Target="https://www.linkedin.com/learning/fundamentos-de-la-excelencia-operativa?trk=ondemandfile" TargetMode="External"/><Relationship Id="rId883" Type="http://schemas.openxmlformats.org/officeDocument/2006/relationships/hyperlink" Target="https://www.linkedin.com/learning/como-gestionar-la-diversidad?trk=ondemandfile" TargetMode="External"/><Relationship Id="rId26" Type="http://schemas.openxmlformats.org/officeDocument/2006/relationships/hyperlink" Target="https://www.linkedin.com/learning/como-establecer-y-cumplir-tus-objetivos-profesionales?trk=ondemandfile" TargetMode="External"/><Relationship Id="rId231" Type="http://schemas.openxmlformats.org/officeDocument/2006/relationships/hyperlink" Target="https://www.linkedin.com/learning/00-comunicacion-de-la-gestion-del-cambio?trk=ondemandfile" TargetMode="External"/><Relationship Id="rId329" Type="http://schemas.openxmlformats.org/officeDocument/2006/relationships/hyperlink" Target="https://www.linkedin.com/learning/redacta-tu-plan-de-marketing?trk=ondemandfile" TargetMode="External"/><Relationship Id="rId536" Type="http://schemas.openxmlformats.org/officeDocument/2006/relationships/hyperlink" Target="https://www.linkedin.com/learning/00-desarrolla-la-adaptabilidad-de-tus-empleados?trk=ondemandfile" TargetMode="External"/><Relationship Id="rId175" Type="http://schemas.openxmlformats.org/officeDocument/2006/relationships/hyperlink" Target="https://www.linkedin.com/learning/como-gestionar-a-tu-superior?trk=contentmappingfile" TargetMode="External"/><Relationship Id="rId743" Type="http://schemas.openxmlformats.org/officeDocument/2006/relationships/hyperlink" Target="https://www.linkedin.com/learning/00-fundamentos-de-la-gestion-de-proyectos-comunicacion?trk=ondemandfile" TargetMode="External"/><Relationship Id="rId382" Type="http://schemas.openxmlformats.org/officeDocument/2006/relationships/hyperlink" Target="https://www.linkedin.com/learning/resoluci-n-de-problemas-empresariales?trk=ondemandfile" TargetMode="External"/><Relationship Id="rId603" Type="http://schemas.openxmlformats.org/officeDocument/2006/relationships/hyperlink" Target="https://www.linkedin.com/learning/como-gestionar-a-personas-con-alto-potencial?trk=contentmappingfile" TargetMode="External"/><Relationship Id="rId687" Type="http://schemas.openxmlformats.org/officeDocument/2006/relationships/hyperlink" Target="https://www.linkedin.com/learning/scrum-con-un-cafe?trk=ondemandfile" TargetMode="External"/><Relationship Id="rId810" Type="http://schemas.openxmlformats.org/officeDocument/2006/relationships/hyperlink" Target="https://www.linkedin.com/learning/paths/profundiza-tu-capacidad-estrategica?trk=ondemandfile" TargetMode="External"/><Relationship Id="rId908" Type="http://schemas.openxmlformats.org/officeDocument/2006/relationships/hyperlink" Target="https://www.linkedin.com/learning/paths/domina-el-arte-del-email-con-outlook-2016?trk=ondemandfile" TargetMode="External"/><Relationship Id="rId242" Type="http://schemas.openxmlformats.org/officeDocument/2006/relationships/hyperlink" Target="https://www.linkedin.com/learning/improving-your-listening-skills-3?trk=ondemandfile" TargetMode="External"/><Relationship Id="rId894" Type="http://schemas.openxmlformats.org/officeDocument/2006/relationships/hyperlink" Target="https://www.linkedin.com/learning/estrategias-exitosas-para-mujeres-en-el-ambiente-de-trabajo?trk=ondemandfile" TargetMode="External"/><Relationship Id="rId37" Type="http://schemas.openxmlformats.org/officeDocument/2006/relationships/hyperlink" Target="https://www.linkedin.com/learning/como-ser-parte-de-un-ambiente-de-trabajo-positivo?trk=ondemandfile" TargetMode="External"/><Relationship Id="rId102" Type="http://schemas.openxmlformats.org/officeDocument/2006/relationships/hyperlink" Target="https://www.linkedin.com/learning/00-business-innovation?trk=ondemandfile" TargetMode="External"/><Relationship Id="rId547" Type="http://schemas.openxmlformats.org/officeDocument/2006/relationships/hyperlink" Target="https://www.linkedin.com/learning/00-managing-employee-performance-problems?trk=ondemandfile" TargetMode="External"/><Relationship Id="rId754" Type="http://schemas.openxmlformats.org/officeDocument/2006/relationships/hyperlink" Target="https://www.linkedin.com/learning/fundamentos-de-six-sigma-black-belt?trk=ondemandfile" TargetMode="External"/><Relationship Id="rId90" Type="http://schemas.openxmlformats.org/officeDocument/2006/relationships/hyperlink" Target="https://www.linkedin.com/learning/como-trabajar-con-gerentes-dificiles?trk=contentmappingfile" TargetMode="External"/><Relationship Id="rId186" Type="http://schemas.openxmlformats.org/officeDocument/2006/relationships/hyperlink" Target="https://www.linkedin.com/learning/design-thinking-herramientas-y-tecnicas-presenciales-y-en-teletrabajo?trk=ondemandfile" TargetMode="External"/><Relationship Id="rId393" Type="http://schemas.openxmlformats.org/officeDocument/2006/relationships/hyperlink" Target="https://www.linkedin.com/learning/como-identificar-oportunidades-de-crecimiento-en-las-ventas?trk=ondemandfile" TargetMode="External"/><Relationship Id="rId407" Type="http://schemas.openxmlformats.org/officeDocument/2006/relationships/hyperlink" Target="https://www.linkedin.com/learning/normas-de-calidad-en-el-servicio-de-atencion-al-cliente?trk=ondemandfile" TargetMode="External"/><Relationship Id="rId614" Type="http://schemas.openxmlformats.org/officeDocument/2006/relationships/hyperlink" Target="https://www.linkedin.com/learning/como-liderar-reuniones-individuales-productivas?trk=ondemandfile" TargetMode="External"/><Relationship Id="rId821" Type="http://schemas.openxmlformats.org/officeDocument/2006/relationships/hyperlink" Target="https://www.linkedin.com/learning/pensamiento-estrategico?trk=ondemandfile" TargetMode="External"/><Relationship Id="rId253" Type="http://schemas.openxmlformats.org/officeDocument/2006/relationships/hyperlink" Target="https://www.linkedin.com/learning/como-despedir-a-tu-personal?trk=contentmappingfile" TargetMode="External"/><Relationship Id="rId460" Type="http://schemas.openxmlformats.org/officeDocument/2006/relationships/hyperlink" Target="https://www.linkedin.com/learning/00-big-data-modelos-de-negocio?trk=ondemandfile" TargetMode="External"/><Relationship Id="rId698" Type="http://schemas.openxmlformats.org/officeDocument/2006/relationships/hyperlink" Target="https://www.linkedin.com/learning/como-prepararse-para-presentar-en-publico?trk=contentmappingfile" TargetMode="External"/><Relationship Id="rId919" Type="http://schemas.openxmlformats.org/officeDocument/2006/relationships/hyperlink" Target="https://www.linkedin.com/learning/ingles-de-negocios-como-escribir-correos-electronicos-de-negocios-con-exito?trk=ondemandfile" TargetMode="External"/><Relationship Id="rId48" Type="http://schemas.openxmlformats.org/officeDocument/2006/relationships/hyperlink" Target="https://www.linkedin.com/learning/el-futuro-de-la-gestion-del-rendimiento?trk=ondemandfile" TargetMode="External"/><Relationship Id="rId113" Type="http://schemas.openxmlformats.org/officeDocument/2006/relationships/hyperlink" Target="https://www.linkedin.com/learning/paths/mejora-tus-dotes-de-liderazgo-y-gestion-de-equipos-de-trabajo?trk=ondemandfile" TargetMode="External"/><Relationship Id="rId320" Type="http://schemas.openxmlformats.org/officeDocument/2006/relationships/hyperlink" Target="https://www.linkedin.com/learning/linkedin-para-ventas-2?trk=ondemandfile" TargetMode="External"/><Relationship Id="rId558" Type="http://schemas.openxmlformats.org/officeDocument/2006/relationships/hyperlink" Target="https://www.linkedin.com/learning/recursos-humanos-contratacion-de-perfiles-de-desarrollo?trk=contentmappingfile" TargetMode="External"/><Relationship Id="rId765" Type="http://schemas.openxmlformats.org/officeDocument/2006/relationships/hyperlink" Target="https://www.linkedin.com/learning/00-project-2016-avanzado?trk=ondemandfile" TargetMode="External"/><Relationship Id="rId197" Type="http://schemas.openxmlformats.org/officeDocument/2006/relationships/hyperlink" Target="https://www.linkedin.com/learning/00-liderazgo-y-trabajo-en-equipo?trk=ondemandfile" TargetMode="External"/><Relationship Id="rId418" Type="http://schemas.openxmlformats.org/officeDocument/2006/relationships/hyperlink" Target="https://www.linkedin.com/learning/paths/domina-excel-2016?trk=ondemandfile" TargetMode="External"/><Relationship Id="rId625" Type="http://schemas.openxmlformats.org/officeDocument/2006/relationships/hyperlink" Target="https://www.linkedin.com/learning/00-inteligencia-emocional-y-finanzas?trk=ondemandfile" TargetMode="External"/><Relationship Id="rId832" Type="http://schemas.openxmlformats.org/officeDocument/2006/relationships/hyperlink" Target="https://www.linkedin.com/learning/como-hacer-coaching-a-tu-personal-para-obtener-resultados?trk=contentmappingfile" TargetMode="External"/><Relationship Id="rId264" Type="http://schemas.openxmlformats.org/officeDocument/2006/relationships/hyperlink" Target="https://www.linkedin.com/learning/00-project-management-foundations-teams?trk=ondemandfile" TargetMode="External"/><Relationship Id="rId471" Type="http://schemas.openxmlformats.org/officeDocument/2006/relationships/hyperlink" Target="https://www.linkedin.com/learning/power-bi-para-principiantes-analisis-de-datos?trk=ondemandfile" TargetMode="External"/></Relationships>
</file>

<file path=xl/worksheets/_rels/sheet30.xml.rels><?xml version="1.0" encoding="UTF-8" standalone="yes"?>
<Relationships xmlns="http://schemas.openxmlformats.org/package/2006/relationships"><Relationship Id="rId117" Type="http://schemas.openxmlformats.org/officeDocument/2006/relationships/hyperlink" Target="https://www.linkedin.com/learning/strategic-planning-case-studies?trk=ondemandfile" TargetMode="External"/><Relationship Id="rId21" Type="http://schemas.openxmlformats.org/officeDocument/2006/relationships/hyperlink" Target="https://www.linkedin.com/learning/developing-business-acumen-2?trk=ondemandfile" TargetMode="External"/><Relationship Id="rId42" Type="http://schemas.openxmlformats.org/officeDocument/2006/relationships/hyperlink" Target="https://www.linkedin.com/learning/paths/build-essential-data-skills?trk=ondemandfile" TargetMode="External"/><Relationship Id="rId63" Type="http://schemas.openxmlformats.org/officeDocument/2006/relationships/hyperlink" Target="https://www.linkedin.com/learning/disrupt-yourself-erfinden-sie-sich-neu?trk=ondemandfile" TargetMode="External"/><Relationship Id="rId84" Type="http://schemas.openxmlformats.org/officeDocument/2006/relationships/hyperlink" Target="https://www.linkedin.com/learning/risk-taking-for-leaders-2?trk=ondemandfile" TargetMode="External"/><Relationship Id="rId138" Type="http://schemas.openxmlformats.org/officeDocument/2006/relationships/hyperlink" Target="https://www.linkedin.com/learning/business-law-for-managers?trk=ondemandfile" TargetMode="External"/><Relationship Id="rId159" Type="http://schemas.openxmlformats.org/officeDocument/2006/relationships/hyperlink" Target="https://www.linkedin.com/learning/business-lessons-from-a-chess-champion?trk=ondemandfile" TargetMode="External"/><Relationship Id="rId170" Type="http://schemas.openxmlformats.org/officeDocument/2006/relationships/hyperlink" Target="https://www.linkedin.com/learning/design-of-podcast-emily-cohen-consultant-speaker-brutally-honest?trk=ondemandfile" TargetMode="External"/><Relationship Id="rId107" Type="http://schemas.openxmlformats.org/officeDocument/2006/relationships/hyperlink" Target="https://www.linkedin.com/learning/executive-leadership?trk=ondemandfile" TargetMode="External"/><Relationship Id="rId11" Type="http://schemas.openxmlformats.org/officeDocument/2006/relationships/hyperlink" Target="https://www.linkedin.com/learning/paths/become-a-business-analyst?trk=ondemandfile" TargetMode="External"/><Relationship Id="rId32" Type="http://schemas.openxmlformats.org/officeDocument/2006/relationships/hyperlink" Target="https://www.linkedin.com/learning/das-personal-der-zukunft?trk=ondemandfile" TargetMode="External"/><Relationship Id="rId53" Type="http://schemas.openxmlformats.org/officeDocument/2006/relationships/hyperlink" Target="https://www.linkedin.com/learning/strategic-agility-3?trk=ondemandfile" TargetMode="External"/><Relationship Id="rId74" Type="http://schemas.openxmlformats.org/officeDocument/2006/relationships/hyperlink" Target="https://www.linkedin.com/learning/les-fondements-de-la-prise-de-risque-pour-les-dirigeants-dirigeantes?trk=contentmappingfile" TargetMode="External"/><Relationship Id="rId128" Type="http://schemas.openxmlformats.org/officeDocument/2006/relationships/hyperlink" Target="https://www.linkedin.com/learning/strategisches-denken?trk=ondemandfile" TargetMode="External"/><Relationship Id="rId149" Type="http://schemas.openxmlformats.org/officeDocument/2006/relationships/hyperlink" Target="https://www.linkedin.com/learning/designing-an-authentic-brand?trk=ondemandfile" TargetMode="External"/><Relationship Id="rId5" Type="http://schemas.openxmlformats.org/officeDocument/2006/relationships/hyperlink" Target="https://www.linkedin.com/learning/agile-und-digitale-transformation?trk=ondemandfile" TargetMode="External"/><Relationship Id="rId95" Type="http://schemas.openxmlformats.org/officeDocument/2006/relationships/hyperlink" Target="https://www.linkedin.com/learning/digital-technologies-case-studies-ai-iot-robotics-blockchain?trk=ondemandfile" TargetMode="External"/><Relationship Id="rId160" Type="http://schemas.openxmlformats.org/officeDocument/2006/relationships/hyperlink" Target="https://www.linkedin.com/learning/supply-chain-analytics-foundations?trk=ondemandfile" TargetMode="External"/><Relationship Id="rId181" Type="http://schemas.openxmlformats.org/officeDocument/2006/relationships/hyperlink" Target="https://www.linkedin.com/learning/communicating-an-enterprise-wide-transformation?trk=ondemandfile" TargetMode="External"/><Relationship Id="rId22" Type="http://schemas.openxmlformats.org/officeDocument/2006/relationships/hyperlink" Target="https://www.linkedin.com/learning/developing-business-acumen-3?trk=ondemandfile" TargetMode="External"/><Relationship Id="rId43" Type="http://schemas.openxmlformats.org/officeDocument/2006/relationships/hyperlink" Target="https://www.linkedin.com/learning/estrategias-para-salir-de-una-crisis-empresarial?trk=ondemandfile" TargetMode="External"/><Relationship Id="rId64" Type="http://schemas.openxmlformats.org/officeDocument/2006/relationships/hyperlink" Target="https://www.linkedin.com/learning/creating-a-culture-of-learning?trk=ondemandfile" TargetMode="External"/><Relationship Id="rId118" Type="http://schemas.openxmlformats.org/officeDocument/2006/relationships/hyperlink" Target="https://www.linkedin.com/learning/eine-unternehmensstrategie-entwickeln?trk=ondemandfile" TargetMode="External"/><Relationship Id="rId139" Type="http://schemas.openxmlformats.org/officeDocument/2006/relationships/hyperlink" Target="https://www.linkedin.com/learning/everything-as-a-service-xaas-is-the-future-of-business?trk=ondemandfile" TargetMode="External"/><Relationship Id="rId85" Type="http://schemas.openxmlformats.org/officeDocument/2006/relationships/hyperlink" Target="https://www.linkedin.com/learning/reid-hoffman-and-chris-yeh-on-blitzscaling?trk=ondemandfile" TargetMode="External"/><Relationship Id="rId150" Type="http://schemas.openxmlformats.org/officeDocument/2006/relationships/hyperlink" Target="https://www.linkedin.com/learning/sap-erp-essential-training?trk=ondemandfile" TargetMode="External"/><Relationship Id="rId171" Type="http://schemas.openxmlformats.org/officeDocument/2006/relationships/hyperlink" Target="https://www.linkedin.com/learning/how-to-make-strategic-thinking-a-habit?trk=ondemandfile" TargetMode="External"/><Relationship Id="rId12" Type="http://schemas.openxmlformats.org/officeDocument/2006/relationships/hyperlink" Target="https://www.linkedin.com/learning/como-cultivar-una-mentalidad-de-crecimiento?trk=ondemandfile" TargetMode="External"/><Relationship Id="rId33" Type="http://schemas.openxmlformats.org/officeDocument/2006/relationships/hyperlink" Target="https://www.linkedin.com/learning/strategic-planning-foundations-3?trk=ondemandfile" TargetMode="External"/><Relationship Id="rId108" Type="http://schemas.openxmlformats.org/officeDocument/2006/relationships/hyperlink" Target="https://www.linkedin.com/learning/marketing-strategien-das-online-marketing-cockpit?trk=ondemandfile" TargetMode="External"/><Relationship Id="rId129" Type="http://schemas.openxmlformats.org/officeDocument/2006/relationships/hyperlink" Target="https://www.linkedin.com/learning/blue-ocean-shift?trk=ondemandfile" TargetMode="External"/><Relationship Id="rId54" Type="http://schemas.openxmlformats.org/officeDocument/2006/relationships/hyperlink" Target="https://www.linkedin.com/learning/data-strategy?trk=contentmappingfile" TargetMode="External"/><Relationship Id="rId75" Type="http://schemas.openxmlformats.org/officeDocument/2006/relationships/hyperlink" Target="https://www.linkedin.com/learning/recursos-humanos-estrategicos?trk=ondemandfile" TargetMode="External"/><Relationship Id="rId96" Type="http://schemas.openxmlformats.org/officeDocument/2006/relationships/hyperlink" Target="https://www.linkedin.com/learning/industrie-4-0-grundlagen-und-okosysteme?trk=ondemandfile" TargetMode="External"/><Relationship Id="rId140" Type="http://schemas.openxmlformats.org/officeDocument/2006/relationships/hyperlink" Target="https://www.linkedin.com/learning/mulitpliers?trk=ondemandfile" TargetMode="External"/><Relationship Id="rId161" Type="http://schemas.openxmlformats.org/officeDocument/2006/relationships/hyperlink" Target="https://www.linkedin.com/learning/business-innovation-foundations-2020?trk=ondemandfile" TargetMode="External"/><Relationship Id="rId182" Type="http://schemas.openxmlformats.org/officeDocument/2006/relationships/hyperlink" Target="https://www.linkedin.com/learning/azure-for-architects-design-a-migration-strategy?trk=ondemandfile" TargetMode="External"/><Relationship Id="rId6" Type="http://schemas.openxmlformats.org/officeDocument/2006/relationships/hyperlink" Target="https://www.linkedin.com/learning/paths/ins-strategische-controlling-einsteigen?trk=ondemandfile" TargetMode="External"/><Relationship Id="rId23" Type="http://schemas.openxmlformats.org/officeDocument/2006/relationships/hyperlink" Target="https://www.linkedin.com/learning/digital-strategy?trk=ondemandfile" TargetMode="External"/><Relationship Id="rId119" Type="http://schemas.openxmlformats.org/officeDocument/2006/relationships/hyperlink" Target="https://www.linkedin.com/learning/balancing-innovation-and-risk?trk=ondemandfile" TargetMode="External"/><Relationship Id="rId44" Type="http://schemas.openxmlformats.org/officeDocument/2006/relationships/hyperlink" Target="https://www.linkedin.com/learning/die-orbit-organisation-blinkist-kernaussagen?trk=ondemandfile" TargetMode="External"/><Relationship Id="rId65" Type="http://schemas.openxmlformats.org/officeDocument/2006/relationships/hyperlink" Target="https://www.linkedin.com/learning/mergers-acquisitions?trk=ondemandfile" TargetMode="External"/><Relationship Id="rId86" Type="http://schemas.openxmlformats.org/officeDocument/2006/relationships/hyperlink" Target="https://www.linkedin.com/learning/fit-fur-die-geschaftsfuhrung-im-digitalen-zeitalter-blinkist-kernaussagen?trk=ondemandfile" TargetMode="External"/><Relationship Id="rId130" Type="http://schemas.openxmlformats.org/officeDocument/2006/relationships/hyperlink" Target="https://www.linkedin.com/learning/65e30dde-df28-3a85-89cd-faaf0c298709?trk=ondemandfile" TargetMode="External"/><Relationship Id="rId151" Type="http://schemas.openxmlformats.org/officeDocument/2006/relationships/hyperlink" Target="https://www.linkedin.com/learning/learning-logo-design?trk=ondemandfile" TargetMode="External"/><Relationship Id="rId172" Type="http://schemas.openxmlformats.org/officeDocument/2006/relationships/hyperlink" Target="https://www.linkedin.com/learning/thinking-in-new-boxes-a-new-paradigm-for-business-creativity?trk=ondemandfile" TargetMode="External"/><Relationship Id="rId13" Type="http://schemas.openxmlformats.org/officeDocument/2006/relationships/hyperlink" Target="https://www.linkedin.com/learning/agilitat-mit-strategie?trk=ondemandfile" TargetMode="External"/><Relationship Id="rId18" Type="http://schemas.openxmlformats.org/officeDocument/2006/relationships/hyperlink" Target="https://www.linkedin.com/learning/paths/become-a-business-operations-associate?trk=ondemandfile" TargetMode="External"/><Relationship Id="rId39" Type="http://schemas.openxmlformats.org/officeDocument/2006/relationships/hyperlink" Target="https://www.linkedin.com/learning/measuring-business-performance-4?trk=ondemandfile" TargetMode="External"/><Relationship Id="rId109" Type="http://schemas.openxmlformats.org/officeDocument/2006/relationships/hyperlink" Target="https://www.linkedin.com/learning/organizational-learning-and-development?trk=ondemandfile" TargetMode="External"/><Relationship Id="rId34" Type="http://schemas.openxmlformats.org/officeDocument/2006/relationships/hyperlink" Target="https://www.linkedin.com/learning/cultivating-a-growth-mindset-3?trk=ondemandfile" TargetMode="External"/><Relationship Id="rId50" Type="http://schemas.openxmlformats.org/officeDocument/2006/relationships/hyperlink" Target="https://www.linkedin.com/learning/estrategias-para-tomar-decisiones?trk=ondemandfile" TargetMode="External"/><Relationship Id="rId55" Type="http://schemas.openxmlformats.org/officeDocument/2006/relationships/hyperlink" Target="https://www.linkedin.com/learning/paths/digital-transformation-for-leaders?trk=ondemandfile" TargetMode="External"/><Relationship Id="rId76" Type="http://schemas.openxmlformats.org/officeDocument/2006/relationships/hyperlink" Target="https://www.linkedin.com/learning/einen-marketingplan-schreiben?trk=ondemandfile" TargetMode="External"/><Relationship Id="rId97" Type="http://schemas.openxmlformats.org/officeDocument/2006/relationships/hyperlink" Target="https://www.linkedin.com/learning/organizational-thought-leadership?trk=ondemandfile" TargetMode="External"/><Relationship Id="rId104" Type="http://schemas.openxmlformats.org/officeDocument/2006/relationships/hyperlink" Target="https://www.linkedin.com/learning/kunstliche-intelligenz-strategie-und-kommunikation-im-unternehmen?trk=ondemandfile" TargetMode="External"/><Relationship Id="rId120" Type="http://schemas.openxmlformats.org/officeDocument/2006/relationships/hyperlink" Target="https://www.linkedin.com/learning/strategisch-verhandeln?trk=ondemandfile" TargetMode="External"/><Relationship Id="rId125" Type="http://schemas.openxmlformats.org/officeDocument/2006/relationships/hyperlink" Target="https://www.linkedin.com/learning/scaling-up-excellence?trk=ondemandfile" TargetMode="External"/><Relationship Id="rId141" Type="http://schemas.openxmlformats.org/officeDocument/2006/relationships/hyperlink" Target="https://www.linkedin.com/learning/retail-sales-management?trk=ondemandfile" TargetMode="External"/><Relationship Id="rId146" Type="http://schemas.openxmlformats.org/officeDocument/2006/relationships/hyperlink" Target="https://www.linkedin.com/learning/how-to-become-a-thought-leader-and-advance-your-career?trk=ondemandfile" TargetMode="External"/><Relationship Id="rId167" Type="http://schemas.openxmlformats.org/officeDocument/2006/relationships/hyperlink" Target="https://www.linkedin.com/learning/business-analysis-for-busy-professionals?trk=ondemandfile" TargetMode="External"/><Relationship Id="rId7" Type="http://schemas.openxmlformats.org/officeDocument/2006/relationships/hyperlink" Target="https://www.linkedin.com/learning/strategic-agility-14172913?trk=ondemandfile" TargetMode="External"/><Relationship Id="rId71" Type="http://schemas.openxmlformats.org/officeDocument/2006/relationships/hyperlink" Target="https://www.linkedin.com/learning/competstrat?trk=ondemandfile" TargetMode="External"/><Relationship Id="rId92" Type="http://schemas.openxmlformats.org/officeDocument/2006/relationships/hyperlink" Target="https://www.linkedin.com/learning/fuhrungsqualitaten-fur-topmanager?trk=ondemandfile" TargetMode="External"/><Relationship Id="rId162" Type="http://schemas.openxmlformats.org/officeDocument/2006/relationships/hyperlink" Target="https://www.linkedin.com/learning/international-business-foundations?trk=ondemandfile" TargetMode="External"/><Relationship Id="rId183" Type="http://schemas.openxmlformats.org/officeDocument/2006/relationships/hyperlink" Target="https://www.linkedin.com/learning/ethical-hacking-cryptography?trk=ondemandfile" TargetMode="External"/><Relationship Id="rId2" Type="http://schemas.openxmlformats.org/officeDocument/2006/relationships/hyperlink" Target="https://www.linkedin.com/learning/paths/applying-lean-devops-and-agile-to-your-it-organization?trk=ondemandfile" TargetMode="External"/><Relationship Id="rId29" Type="http://schemas.openxmlformats.org/officeDocument/2006/relationships/hyperlink" Target="https://www.linkedin.com/learning/creating-your-it-strategy?trk=ondemandfile" TargetMode="External"/><Relationship Id="rId24" Type="http://schemas.openxmlformats.org/officeDocument/2006/relationships/hyperlink" Target="https://www.linkedin.com/learning/paths/become-a-business-unit-manager-2?trk=ondemandfile" TargetMode="External"/><Relationship Id="rId40" Type="http://schemas.openxmlformats.org/officeDocument/2006/relationships/hyperlink" Target="https://www.linkedin.com/learning/developing-executive-presence-2?trk=ondemandfile" TargetMode="External"/><Relationship Id="rId45" Type="http://schemas.openxmlformats.org/officeDocument/2006/relationships/hyperlink" Target="https://www.linkedin.com/learning/developing-a-competitive-strategy-3?trk=ondemandfile" TargetMode="External"/><Relationship Id="rId66" Type="http://schemas.openxmlformats.org/officeDocument/2006/relationships/hyperlink" Target="https://www.linkedin.com/learning/00-critical-thinking?trk=ondemandfile" TargetMode="External"/><Relationship Id="rId87" Type="http://schemas.openxmlformats.org/officeDocument/2006/relationships/hyperlink" Target="https://www.linkedin.com/learning/executive-decision-making-3?trk=ondemandfile" TargetMode="External"/><Relationship Id="rId110" Type="http://schemas.openxmlformats.org/officeDocument/2006/relationships/hyperlink" Target="https://www.linkedin.com/learning/nachhaltigkeit-im-unternehmen?trk=ondemandfile" TargetMode="External"/><Relationship Id="rId115" Type="http://schemas.openxmlformats.org/officeDocument/2006/relationships/hyperlink" Target="https://www.linkedin.com/learning/leading-from-the-middle?trk=ondemandfile" TargetMode="External"/><Relationship Id="rId131" Type="http://schemas.openxmlformats.org/officeDocument/2006/relationships/hyperlink" Target="https://www.linkedin.com/learning/agile-negotiation?trk=ondemandfile" TargetMode="External"/><Relationship Id="rId136" Type="http://schemas.openxmlformats.org/officeDocument/2006/relationships/hyperlink" Target="https://www.linkedin.com/learning/management-foundations-2018?trk=ondemandfile" TargetMode="External"/><Relationship Id="rId157" Type="http://schemas.openxmlformats.org/officeDocument/2006/relationships/hyperlink" Target="https://www.linkedin.com/learning/outsourcing-managing-service-transition?trk=ondemandfile" TargetMode="External"/><Relationship Id="rId178" Type="http://schemas.openxmlformats.org/officeDocument/2006/relationships/hyperlink" Target="https://www.linkedin.com/learning/corporate-finance-strategies-for-business-leaders?trk=ondemandfile" TargetMode="External"/><Relationship Id="rId61" Type="http://schemas.openxmlformats.org/officeDocument/2006/relationships/hyperlink" Target="https://www.linkedin.com/learning/paths/managing-change?trk=ondemandfile" TargetMode="External"/><Relationship Id="rId82" Type="http://schemas.openxmlformats.org/officeDocument/2006/relationships/hyperlink" Target="https://www.linkedin.com/learning/aaron-dignan-on-transformational-change?trk=ondemandfile" TargetMode="External"/><Relationship Id="rId152" Type="http://schemas.openxmlformats.org/officeDocument/2006/relationships/hyperlink" Target="https://www.linkedin.com/learning/strategic-thinking?trk=ondemandfile" TargetMode="External"/><Relationship Id="rId173" Type="http://schemas.openxmlformats.org/officeDocument/2006/relationships/hyperlink" Target="https://www.linkedin.com/learning/technology-and-design-ethics?trk=ondemandfile" TargetMode="External"/><Relationship Id="rId19" Type="http://schemas.openxmlformats.org/officeDocument/2006/relationships/hyperlink" Target="https://www.linkedin.com/learning/como-mejorar-tu-capacidad-de-toma-de-decisiones?trk=ondemandfile" TargetMode="External"/><Relationship Id="rId14" Type="http://schemas.openxmlformats.org/officeDocument/2006/relationships/hyperlink" Target="https://www.linkedin.com/learning/paths/innovation-fordern?trk=ondemandfile?trk=ondemandfile" TargetMode="External"/><Relationship Id="rId30" Type="http://schemas.openxmlformats.org/officeDocument/2006/relationships/hyperlink" Target="https://www.linkedin.com/learning/paths/become-a-corporate-financial-planning-analyst?trk=ondemandfile" TargetMode="External"/><Relationship Id="rId35" Type="http://schemas.openxmlformats.org/officeDocument/2006/relationships/hyperlink" Target="https://www.linkedin.com/learning/implementing-your-it-strategy?trk=ondemandfile" TargetMode="External"/><Relationship Id="rId56" Type="http://schemas.openxmlformats.org/officeDocument/2006/relationships/hyperlink" Target="https://www.linkedin.com/learning/fundamentos-de-la-planificaci-n-estrat-gica?trk=ondemandfile" TargetMode="External"/><Relationship Id="rId77" Type="http://schemas.openxmlformats.org/officeDocument/2006/relationships/hyperlink" Target="https://www.linkedin.com/learning/designing-growth-strategies-2?trk=ondemandfile" TargetMode="External"/><Relationship Id="rId100" Type="http://schemas.openxmlformats.org/officeDocument/2006/relationships/hyperlink" Target="https://www.linkedin.com/learning/iot-grundlagen-modelle-und-anwendungen?trk=ondemandfile" TargetMode="External"/><Relationship Id="rId105" Type="http://schemas.openxmlformats.org/officeDocument/2006/relationships/hyperlink" Target="https://www.linkedin.com/learning/executive-decision-making?trk=ondemandfile" TargetMode="External"/><Relationship Id="rId126" Type="http://schemas.openxmlformats.org/officeDocument/2006/relationships/hyperlink" Target="https://www.linkedin.com/learning/strategisches-controlling-ein-uberblick?trk=ondemandfile" TargetMode="External"/><Relationship Id="rId147" Type="http://schemas.openxmlformats.org/officeDocument/2006/relationships/hyperlink" Target="https://www.linkedin.com/learning/business-development-strategic-planning?trk=ondemandfile" TargetMode="External"/><Relationship Id="rId168" Type="http://schemas.openxmlformats.org/officeDocument/2006/relationships/hyperlink" Target="https://www.linkedin.com/learning/conducting-a-swot-analysis?trk=ondemandfile" TargetMode="External"/><Relationship Id="rId8" Type="http://schemas.openxmlformats.org/officeDocument/2006/relationships/hyperlink" Target="https://www.linkedin.com/learning/a-linguagem-corporal-da-lideranca?trk=contentmappingfile" TargetMode="External"/><Relationship Id="rId51" Type="http://schemas.openxmlformats.org/officeDocument/2006/relationships/hyperlink" Target="https://www.linkedin.com/learning/die-unternehmensleistung-messen?trk=ondemandfile" TargetMode="External"/><Relationship Id="rId72" Type="http://schemas.openxmlformats.org/officeDocument/2006/relationships/hyperlink" Target="https://www.linkedin.com/learning/performance-management-conducting-performance-reviews-2?trk=ondemandfile" TargetMode="External"/><Relationship Id="rId93" Type="http://schemas.openxmlformats.org/officeDocument/2006/relationships/hyperlink" Target="https://www.linkedin.com/learning/strategic-partnerships-ecosystems-and-platforms?trk=ondemandfile" TargetMode="External"/><Relationship Id="rId98" Type="http://schemas.openxmlformats.org/officeDocument/2006/relationships/hyperlink" Target="https://www.linkedin.com/learning/innovation-in-unternehmen?trk=ondemandfile" TargetMode="External"/><Relationship Id="rId121" Type="http://schemas.openxmlformats.org/officeDocument/2006/relationships/hyperlink" Target="https://www.linkedin.com/learning/the-future-of-performance-management?trk=ondemandfile" TargetMode="External"/><Relationship Id="rId142" Type="http://schemas.openxmlformats.org/officeDocument/2006/relationships/hyperlink" Target="https://www.linkedin.com/learning/business-development?trk=ondemandfile" TargetMode="External"/><Relationship Id="rId163" Type="http://schemas.openxmlformats.org/officeDocument/2006/relationships/hyperlink" Target="https://www.linkedin.com/learning/introduction-to-abusive-ai?trk=ondemandfile" TargetMode="External"/><Relationship Id="rId184" Type="http://schemas.openxmlformats.org/officeDocument/2006/relationships/hyperlink" Target="https://www.linkedin.com/learning/azure-for-architects-design-a-business-continuity-strategy-2?trk=ondemandfile" TargetMode="External"/><Relationship Id="rId3" Type="http://schemas.openxmlformats.org/officeDocument/2006/relationships/hyperlink" Target="https://www.linkedin.com/learning/00-agilidad-estrategica?trk=ondemandfile" TargetMode="External"/><Relationship Id="rId25" Type="http://schemas.openxmlformats.org/officeDocument/2006/relationships/hyperlink" Target="https://www.linkedin.com/learning/como-superar-los-sesgos-cognitivos?trk=ondemandfile" TargetMode="External"/><Relationship Id="rId46" Type="http://schemas.openxmlformats.org/officeDocument/2006/relationships/hyperlink" Target="https://www.linkedin.com/learning/fundamentos-de-inovacao-empresarial?trk=contentmappingfile" TargetMode="External"/><Relationship Id="rId67" Type="http://schemas.openxmlformats.org/officeDocument/2006/relationships/hyperlink" Target="https://www.linkedin.com/learning/ein-agiles-mindset-entwickeln?trk=ondemandfile" TargetMode="External"/><Relationship Id="rId116" Type="http://schemas.openxmlformats.org/officeDocument/2006/relationships/hyperlink" Target="https://www.linkedin.com/learning/progman?trk=ondemandfile" TargetMode="External"/><Relationship Id="rId137" Type="http://schemas.openxmlformats.org/officeDocument/2006/relationships/hyperlink" Target="https://www.linkedin.com/learning/how-to-be-more-strategic-in-six-steps?trk=contentmappingfile" TargetMode="External"/><Relationship Id="rId158" Type="http://schemas.openxmlformats.org/officeDocument/2006/relationships/hyperlink" Target="https://www.linkedin.com/learning/change-management-tips-for-individuals?trk=ondemandfile" TargetMode="External"/><Relationship Id="rId20" Type="http://schemas.openxmlformats.org/officeDocument/2006/relationships/hyperlink" Target="https://www.linkedin.com/learning/risk-taking-lead?trk=ondemandfile" TargetMode="External"/><Relationship Id="rId41" Type="http://schemas.openxmlformats.org/officeDocument/2006/relationships/hyperlink" Target="https://www.linkedin.com/learning/digital-transformation-2?trk=ondemandfile" TargetMode="External"/><Relationship Id="rId62" Type="http://schemas.openxmlformats.org/officeDocument/2006/relationships/hyperlink" Target="https://www.linkedin.com/learning/00-jeff-weiner-on-establishing-a-culture-and-a-plan-for-scaling?trk=ondemandfile" TargetMode="External"/><Relationship Id="rId83" Type="http://schemas.openxmlformats.org/officeDocument/2006/relationships/hyperlink" Target="https://www.linkedin.com/learning/8806380a-9091-31ee-accd-2c173a41388d?trk=ondemandfile" TargetMode="External"/><Relationship Id="rId88" Type="http://schemas.openxmlformats.org/officeDocument/2006/relationships/hyperlink" Target="https://www.linkedin.com/learning/leading-with-vision?trk=ondemandfile" TargetMode="External"/><Relationship Id="rId111" Type="http://schemas.openxmlformats.org/officeDocument/2006/relationships/hyperlink" Target="https://www.linkedin.com/learning/setting-business-unit-goals?trk=ondemandfile" TargetMode="External"/><Relationship Id="rId132" Type="http://schemas.openxmlformats.org/officeDocument/2006/relationships/hyperlink" Target="https://www.linkedin.com/learning/unternehmerische-fahigkeiten-entwickeln?trk=ondemandfile" TargetMode="External"/><Relationship Id="rId153" Type="http://schemas.openxmlformats.org/officeDocument/2006/relationships/hyperlink" Target="https://www.linkedin.com/learning/defining-and-segmenting-competition?trk=ondemandfile" TargetMode="External"/><Relationship Id="rId174" Type="http://schemas.openxmlformats.org/officeDocument/2006/relationships/hyperlink" Target="https://www.linkedin.com/learning/following-the-digital-thread?trk=ondemandfile" TargetMode="External"/><Relationship Id="rId179" Type="http://schemas.openxmlformats.org/officeDocument/2006/relationships/hyperlink" Target="https://www.linkedin.com/learning/create-a-go-to-market-plan-2?trk=ondemandfile" TargetMode="External"/><Relationship Id="rId15" Type="http://schemas.openxmlformats.org/officeDocument/2006/relationships/hyperlink" Target="https://www.linkedin.com/learning/digital-transformation?trk=ondemandfile" TargetMode="External"/><Relationship Id="rId36" Type="http://schemas.openxmlformats.org/officeDocument/2006/relationships/hyperlink" Target="https://www.linkedin.com/learning/paths/become-a-content-strategist-2?trk=ondemandfile" TargetMode="External"/><Relationship Id="rId57" Type="http://schemas.openxmlformats.org/officeDocument/2006/relationships/hyperlink" Target="https://www.linkedin.com/learning/digitale-transformation?trk=ondemandfile" TargetMode="External"/><Relationship Id="rId106" Type="http://schemas.openxmlformats.org/officeDocument/2006/relationships/hyperlink" Target="https://www.linkedin.com/learning/management-y-agile-scrum-design-thinking-co-blinkist-kernaussagen?trk=ondemandfile" TargetMode="External"/><Relationship Id="rId127" Type="http://schemas.openxmlformats.org/officeDocument/2006/relationships/hyperlink" Target="https://www.linkedin.com/learning/strategic-focus-for-managers?trk=ondemandfile" TargetMode="External"/><Relationship Id="rId10" Type="http://schemas.openxmlformats.org/officeDocument/2006/relationships/hyperlink" Target="https://www.linkedin.com/learning/creating-a-culture-of-strategy-execution?trk=ondemandfile" TargetMode="External"/><Relationship Id="rId31" Type="http://schemas.openxmlformats.org/officeDocument/2006/relationships/hyperlink" Target="https://www.linkedin.com/learning/00-designing-growth-strategies?trk=ondemandfile" TargetMode="External"/><Relationship Id="rId52" Type="http://schemas.openxmlformats.org/officeDocument/2006/relationships/hyperlink" Target="https://www.linkedin.com/learning/executive-decision-making-4?trk=ondemandfile" TargetMode="External"/><Relationship Id="rId73" Type="http://schemas.openxmlformats.org/officeDocument/2006/relationships/hyperlink" Target="https://www.linkedin.com/learning/designing-growth-strategies?trk=ondemandfile" TargetMode="External"/><Relationship Id="rId78" Type="http://schemas.openxmlformats.org/officeDocument/2006/relationships/hyperlink" Target="https://www.linkedin.com/learning/sustainability-strategies?trk=ondemandfile" TargetMode="External"/><Relationship Id="rId94" Type="http://schemas.openxmlformats.org/officeDocument/2006/relationships/hyperlink" Target="https://www.linkedin.com/learning/gesch-ftsmodelle-mit-dem-business-model-canvas-entwickeln?trk=ondemandfile" TargetMode="External"/><Relationship Id="rId99" Type="http://schemas.openxmlformats.org/officeDocument/2006/relationships/hyperlink" Target="https://www.linkedin.com/learning/goal-setting-objectives-and-key-results-okrs?trk=ondemandfile" TargetMode="External"/><Relationship Id="rId101" Type="http://schemas.openxmlformats.org/officeDocument/2006/relationships/hyperlink" Target="https://www.linkedin.com/learning/strategic-partnerships?trk=ondemandfile" TargetMode="External"/><Relationship Id="rId122" Type="http://schemas.openxmlformats.org/officeDocument/2006/relationships/hyperlink" Target="https://www.linkedin.com/learning/strategische-analysen?trk=ondemandfile" TargetMode="External"/><Relationship Id="rId143" Type="http://schemas.openxmlformats.org/officeDocument/2006/relationships/hyperlink" Target="https://www.linkedin.com/learning/developing-executive-presence?trk=ondemandfile" TargetMode="External"/><Relationship Id="rId148" Type="http://schemas.openxmlformats.org/officeDocument/2006/relationships/hyperlink" Target="https://www.linkedin.com/learning/adaptive-leadership-for-vuca-challenges?trk=ondemandfile" TargetMode="External"/><Relationship Id="rId164" Type="http://schemas.openxmlformats.org/officeDocument/2006/relationships/hyperlink" Target="https://www.linkedin.com/learning/45-minute-business-plan?trk=ondemandfile" TargetMode="External"/><Relationship Id="rId169" Type="http://schemas.openxmlformats.org/officeDocument/2006/relationships/hyperlink" Target="https://www.linkedin.com/learning/the-new-age-of-risk-management-strategy-for-business?trk=ondemandfile" TargetMode="External"/><Relationship Id="rId185" Type="http://schemas.openxmlformats.org/officeDocument/2006/relationships/hyperlink" Target="https://www.linkedin.com/learning/cybersecurity-foundations-2?trk=ondemandfile" TargetMode="External"/><Relationship Id="rId4" Type="http://schemas.openxmlformats.org/officeDocument/2006/relationships/hyperlink" Target="https://www.linkedin.com/learning/paths/profundiza-tu-capacidad-estrategica?trk=ondemandfile" TargetMode="External"/><Relationship Id="rId9" Type="http://schemas.openxmlformats.org/officeDocument/2006/relationships/hyperlink" Target="https://www.linkedin.com/learning/business-innovation-foundations-3?trk=ondemandfile" TargetMode="External"/><Relationship Id="rId180" Type="http://schemas.openxmlformats.org/officeDocument/2006/relationships/hyperlink" Target="https://www.linkedin.com/learning/strategic-human-resources?trk=ondemandfile" TargetMode="External"/><Relationship Id="rId26" Type="http://schemas.openxmlformats.org/officeDocument/2006/relationships/hyperlink" Target="https://www.linkedin.com/learning/businessplan-f-r-ihr-unternehmen?trk=ondemandfile" TargetMode="External"/><Relationship Id="rId47" Type="http://schemas.openxmlformats.org/officeDocument/2006/relationships/hyperlink" Target="https://www.linkedin.com/learning/strategic-thinking-4?trk=ondemandfile" TargetMode="External"/><Relationship Id="rId68" Type="http://schemas.openxmlformats.org/officeDocument/2006/relationships/hyperlink" Target="https://www.linkedin.com/learning/agile-at-work-planning-with-agile-user-stories-3?trk=ondemandfile" TargetMode="External"/><Relationship Id="rId89" Type="http://schemas.openxmlformats.org/officeDocument/2006/relationships/hyperlink" Target="https://www.linkedin.com/learning/fuhren-mit-innovation?trk=ondemandfile" TargetMode="External"/><Relationship Id="rId112" Type="http://schemas.openxmlformats.org/officeDocument/2006/relationships/hyperlink" Target="https://www.linkedin.com/learning/hr-strategien?trk=ondemandfile" TargetMode="External"/><Relationship Id="rId133" Type="http://schemas.openxmlformats.org/officeDocument/2006/relationships/hyperlink" Target="https://www.linkedin.com/learning/business-leadership-social-change-and-movements?trk=ondemandfile" TargetMode="External"/><Relationship Id="rId154" Type="http://schemas.openxmlformats.org/officeDocument/2006/relationships/hyperlink" Target="https://www.linkedin.com/learning/creating-a-unique-competitive-advantage?trk=ondemandfile" TargetMode="External"/><Relationship Id="rId175" Type="http://schemas.openxmlformats.org/officeDocument/2006/relationships/hyperlink" Target="https://www.linkedin.com/learning/outsourcing-critical-success-factors?trk=ondemandfile" TargetMode="External"/><Relationship Id="rId16" Type="http://schemas.openxmlformats.org/officeDocument/2006/relationships/hyperlink" Target="https://www.linkedin.com/learning/developing-a-competitive-strategy-2?trk=ondemandfile" TargetMode="External"/><Relationship Id="rId37" Type="http://schemas.openxmlformats.org/officeDocument/2006/relationships/hyperlink" Target="https://www.linkedin.com/learning/00-competitive-strategy?trk=ondemandfile" TargetMode="External"/><Relationship Id="rId58" Type="http://schemas.openxmlformats.org/officeDocument/2006/relationships/hyperlink" Target="https://www.linkedin.com/learning/decision-making-strategies-3?trk=ondemandfile" TargetMode="External"/><Relationship Id="rId79" Type="http://schemas.openxmlformats.org/officeDocument/2006/relationships/hyperlink" Target="https://www.linkedin.com/learning/00-executive-decision-making?trk=ondemandfile" TargetMode="External"/><Relationship Id="rId102" Type="http://schemas.openxmlformats.org/officeDocument/2006/relationships/hyperlink" Target="https://www.linkedin.com/learning/kunstliche-intelligenz-grundlagenwissen-fur-manager-und-fuhrungskrafte?trk=ondemandfile" TargetMode="External"/><Relationship Id="rId123" Type="http://schemas.openxmlformats.org/officeDocument/2006/relationships/hyperlink" Target="https://www.linkedin.com/learning/creating-a-culture-of-privacy?trk=ondemandfile" TargetMode="External"/><Relationship Id="rId144" Type="http://schemas.openxmlformats.org/officeDocument/2006/relationships/hyperlink" Target="https://www.linkedin.com/learning/change-management-tips-for-leaders?trk=ondemandfile" TargetMode="External"/><Relationship Id="rId90" Type="http://schemas.openxmlformats.org/officeDocument/2006/relationships/hyperlink" Target="https://www.linkedin.com/learning/executive-leadership-4?trk=ondemandfile" TargetMode="External"/><Relationship Id="rId165" Type="http://schemas.openxmlformats.org/officeDocument/2006/relationships/hyperlink" Target="https://www.linkedin.com/learning/business-analysis-essential-tools-and-techniques?trk=ondemandfile" TargetMode="External"/><Relationship Id="rId27" Type="http://schemas.openxmlformats.org/officeDocument/2006/relationships/hyperlink" Target="https://www.linkedin.com/learning/strategic-negotiation-3?trk=ondemandfile" TargetMode="External"/><Relationship Id="rId48" Type="http://schemas.openxmlformats.org/officeDocument/2006/relationships/hyperlink" Target="https://www.linkedin.com/learning/assessing-digital-maturity?trk=ondemandfile" TargetMode="External"/><Relationship Id="rId69" Type="http://schemas.openxmlformats.org/officeDocument/2006/relationships/hyperlink" Target="https://www.linkedin.com/learning/competitive-strategy?trk=ondemandfile" TargetMode="External"/><Relationship Id="rId113" Type="http://schemas.openxmlformats.org/officeDocument/2006/relationships/hyperlink" Target="https://www.linkedin.com/learning/strategic-planning-foundations?trk=ondemandfile" TargetMode="External"/><Relationship Id="rId134" Type="http://schemas.openxmlformats.org/officeDocument/2006/relationships/hyperlink" Target="https://www.linkedin.com/learning/growth-strategy?trk=ondemandfile" TargetMode="External"/><Relationship Id="rId80" Type="http://schemas.openxmlformats.org/officeDocument/2006/relationships/hyperlink" Target="https://www.linkedin.com/learning/entscheidungen-auf-fuhrungsebene-treffen?trk=ondemandfile" TargetMode="External"/><Relationship Id="rId155" Type="http://schemas.openxmlformats.org/officeDocument/2006/relationships/hyperlink" Target="https://www.linkedin.com/learning/azure-understanding-the-big-picture-2?trk=ondemandfile" TargetMode="External"/><Relationship Id="rId176" Type="http://schemas.openxmlformats.org/officeDocument/2006/relationships/hyperlink" Target="https://www.linkedin.com/learning/outsourcing-management?trk=ondemandfile" TargetMode="External"/><Relationship Id="rId17" Type="http://schemas.openxmlformats.org/officeDocument/2006/relationships/hyperlink" Target="https://www.linkedin.com/learning/global-strategy?trk=ondemandfile" TargetMode="External"/><Relationship Id="rId38" Type="http://schemas.openxmlformats.org/officeDocument/2006/relationships/hyperlink" Target="https://www.linkedin.com/learning/der-weg-zu-den-besten-blinkist-kernaussagen?trk=ondemandfile" TargetMode="External"/><Relationship Id="rId59" Type="http://schemas.openxmlformats.org/officeDocument/2006/relationships/hyperlink" Target="https://www.linkedin.com/learning/strategic-planning-foundations-2?trk=ondemandfile" TargetMode="External"/><Relationship Id="rId103" Type="http://schemas.openxmlformats.org/officeDocument/2006/relationships/hyperlink" Target="https://www.linkedin.com/learning/analyzing-and-evaluating-strategic-plans?trk=ondemandfile" TargetMode="External"/><Relationship Id="rId124" Type="http://schemas.openxmlformats.org/officeDocument/2006/relationships/hyperlink" Target="https://www.linkedin.com/learning/e8d38af9-0283-3b39-a22a-ecb29a021ef1?trk=ondemandfile" TargetMode="External"/><Relationship Id="rId70" Type="http://schemas.openxmlformats.org/officeDocument/2006/relationships/hyperlink" Target="https://www.linkedin.com/learning/pensamiento-estrategico?trk=ondemandfile" TargetMode="External"/><Relationship Id="rId91" Type="http://schemas.openxmlformats.org/officeDocument/2006/relationships/hyperlink" Target="https://www.linkedin.com/learning/strategic-agility?trk=ondemandfile" TargetMode="External"/><Relationship Id="rId145" Type="http://schemas.openxmlformats.org/officeDocument/2006/relationships/hyperlink" Target="https://www.linkedin.com/learning/the-secret-what-great-leaders-know-and-do-getabstract-summary?trk=ondemandfile" TargetMode="External"/><Relationship Id="rId166" Type="http://schemas.openxmlformats.org/officeDocument/2006/relationships/hyperlink" Target="https://www.linkedin.com/learning/developing-business-partnerships?trk=ondemandfile" TargetMode="External"/><Relationship Id="rId1" Type="http://schemas.openxmlformats.org/officeDocument/2006/relationships/hyperlink" Target="https://www.linkedin.com/learning/creating-a-culture-of-change?trk=ondemandfile" TargetMode="External"/><Relationship Id="rId28" Type="http://schemas.openxmlformats.org/officeDocument/2006/relationships/hyperlink" Target="https://www.linkedin.com/learning/developing-a-learning-mindset-3?trk=ondemandfile" TargetMode="External"/><Relationship Id="rId49" Type="http://schemas.openxmlformats.org/officeDocument/2006/relationships/hyperlink" Target="https://www.linkedin.com/learning/paths/develop-your-strategic-planning-skills?trk=ondemandfile" TargetMode="External"/><Relationship Id="rId114" Type="http://schemas.openxmlformats.org/officeDocument/2006/relationships/hyperlink" Target="https://www.linkedin.com/learning/preisheiten-alles-was-sie-uber-preise-wissen-mussen-blinkist-kernaussagen?trk=ondemandfile" TargetMode="External"/><Relationship Id="rId60" Type="http://schemas.openxmlformats.org/officeDocument/2006/relationships/hyperlink" Target="https://www.linkedin.com/learning/privacy-for-executives?trk=ondemandfile" TargetMode="External"/><Relationship Id="rId81" Type="http://schemas.openxmlformats.org/officeDocument/2006/relationships/hyperlink" Target="https://www.linkedin.com/learning/measuring-business-performance-3?trk=ondemandfile" TargetMode="External"/><Relationship Id="rId135" Type="http://schemas.openxmlformats.org/officeDocument/2006/relationships/hyperlink" Target="https://www.linkedin.com/learning/planning-for-the-remote-first-work-from-anywhere-asynchronous-organization?trk=ondemandfile" TargetMode="External"/><Relationship Id="rId156" Type="http://schemas.openxmlformats.org/officeDocument/2006/relationships/hyperlink" Target="https://www.linkedin.com/learning/introduction-to-business-analytics?trk=ondemandfile" TargetMode="External"/><Relationship Id="rId177" Type="http://schemas.openxmlformats.org/officeDocument/2006/relationships/hyperlink" Target="https://www.linkedin.com/learning/content-marketing-roi?trk=ondemandfile" TargetMode="External"/></Relationships>
</file>

<file path=xl/worksheets/_rels/sheet31.xml.rels><?xml version="1.0" encoding="UTF-8" standalone="yes"?>
<Relationships xmlns="http://schemas.openxmlformats.org/package/2006/relationships"><Relationship Id="rId117" Type="http://schemas.openxmlformats.org/officeDocument/2006/relationships/hyperlink" Target="https://www.linkedin.com/learning/hiring-and-developing-your-future-workforce-2?trk=ondemandfile" TargetMode="External"/><Relationship Id="rId21" Type="http://schemas.openxmlformats.org/officeDocument/2006/relationships/hyperlink" Target="https://www.linkedin.com/learning/paths/2d050229-0442-3320-8921-9151a1345b8e?trk=ondemandfile" TargetMode="External"/><Relationship Id="rId42" Type="http://schemas.openxmlformats.org/officeDocument/2006/relationships/hyperlink" Target="https://www.linkedin.com/learning/como-dar-feedback-aos-colaboradores?trk=contentmappingfile" TargetMode="External"/><Relationship Id="rId63" Type="http://schemas.openxmlformats.org/officeDocument/2006/relationships/hyperlink" Target="https://www.linkedin.com/learning/goal-setting-objectives-and-key-results-okrs?trk=ondemandfile" TargetMode="External"/><Relationship Id="rId84" Type="http://schemas.openxmlformats.org/officeDocument/2006/relationships/hyperlink" Target="https://www.linkedin.com/learning/como-orientar-y-desarrollar-a-tu-personal?trk=contentmappingfile" TargetMode="External"/><Relationship Id="rId138" Type="http://schemas.openxmlformats.org/officeDocument/2006/relationships/hyperlink" Target="https://www.linkedin.com/learning/managing-high-performers?trk=ondemandfile" TargetMode="External"/><Relationship Id="rId159" Type="http://schemas.openxmlformats.org/officeDocument/2006/relationships/hyperlink" Target="https://www.linkedin.com/learning/coaching-employees-through-difficult-situations?trk=ondemandfile" TargetMode="External"/><Relationship Id="rId170" Type="http://schemas.openxmlformats.org/officeDocument/2006/relationships/hyperlink" Target="https://www.linkedin.com/learning/women-transforming-tech-tips-for-career-success?trk=ondemandfile" TargetMode="External"/><Relationship Id="rId107" Type="http://schemas.openxmlformats.org/officeDocument/2006/relationships/hyperlink" Target="https://www.linkedin.com/learning/managing-multiple-generations-2?trk=ondemandfile" TargetMode="External"/><Relationship Id="rId11" Type="http://schemas.openxmlformats.org/officeDocument/2006/relationships/hyperlink" Target="https://www.linkedin.com/learning/paths/3db8a531-c16b-3623-9891-2cd47ac19f68?trk=ondemandfile" TargetMode="External"/><Relationship Id="rId32" Type="http://schemas.openxmlformats.org/officeDocument/2006/relationships/hyperlink" Target="https://www.linkedin.com/learning/como-dar-feedback-a-tu-personal?trk=contentmappingfile" TargetMode="External"/><Relationship Id="rId53" Type="http://schemas.openxmlformats.org/officeDocument/2006/relationships/hyperlink" Target="https://www.linkedin.com/learning/das-personal-der-zukunft?trk=ondemandfile" TargetMode="External"/><Relationship Id="rId74" Type="http://schemas.openxmlformats.org/officeDocument/2006/relationships/hyperlink" Target="https://www.linkedin.com/learning/expert-innen-fuhren?trk=ondemandfile" TargetMode="External"/><Relationship Id="rId128" Type="http://schemas.openxmlformats.org/officeDocument/2006/relationships/hyperlink" Target="https://www.linkedin.com/learning/becoming-a-thought-leader-2?trk=ondemandfile" TargetMode="External"/><Relationship Id="rId149" Type="http://schemas.openxmlformats.org/officeDocument/2006/relationships/hyperlink" Target="https://www.linkedin.com/learning/tipps-fur-mehr-erfolg-jede-woche-neu?trk=contentmappingfile" TargetMode="External"/><Relationship Id="rId5" Type="http://schemas.openxmlformats.org/officeDocument/2006/relationships/hyperlink" Target="https://www.linkedin.com/learning/paths/conviertete-en-jefe-de-equipo-2?trk=ondemandfile" TargetMode="External"/><Relationship Id="rId95" Type="http://schemas.openxmlformats.org/officeDocument/2006/relationships/hyperlink" Target="https://www.linkedin.com/learning/desbloquea-la-creatividad-de-tu-equipo?trk=contentmappingfile" TargetMode="External"/><Relationship Id="rId160" Type="http://schemas.openxmlformats.org/officeDocument/2006/relationships/hyperlink" Target="https://www.linkedin.com/learning/coaching-skills-for-leaders-and-managers?trk=ondemandfile" TargetMode="External"/><Relationship Id="rId181" Type="http://schemas.openxmlformats.org/officeDocument/2006/relationships/hyperlink" Target="https://www.linkedin.com/learning/executive-coaching?trk=ondemandfile" TargetMode="External"/><Relationship Id="rId22" Type="http://schemas.openxmlformats.org/officeDocument/2006/relationships/hyperlink" Target="https://www.linkedin.com/learning/good-to-great?trk=ondemandfile" TargetMode="External"/><Relationship Id="rId43" Type="http://schemas.openxmlformats.org/officeDocument/2006/relationships/hyperlink" Target="https://www.linkedin.com/learning/performance-based-hiring-2?trk=ondemandfile" TargetMode="External"/><Relationship Id="rId64" Type="http://schemas.openxmlformats.org/officeDocument/2006/relationships/hyperlink" Target="https://www.linkedin.com/learning/como-identificar-y-retener-personal-con-alto-potencial?trk=ondemandfile" TargetMode="External"/><Relationship Id="rId118" Type="http://schemas.openxmlformats.org/officeDocument/2006/relationships/hyperlink" Target="https://www.linkedin.com/learning/developing-managers-in-organizations?trk=ondemandfile" TargetMode="External"/><Relationship Id="rId139" Type="http://schemas.openxmlformats.org/officeDocument/2006/relationships/hyperlink" Target="https://www.linkedin.com/learning/interview-recruitung?trk=ondemandfile" TargetMode="External"/><Relationship Id="rId85" Type="http://schemas.openxmlformats.org/officeDocument/2006/relationships/hyperlink" Target="https://www.linkedin.com/learning/ihre-starken-finden?trk=contentmappingfile" TargetMode="External"/><Relationship Id="rId150" Type="http://schemas.openxmlformats.org/officeDocument/2006/relationships/hyperlink" Target="https://www.linkedin.com/learning/improving-employee-performance?trk=ondemandfile" TargetMode="External"/><Relationship Id="rId171" Type="http://schemas.openxmlformats.org/officeDocument/2006/relationships/hyperlink" Target="https://www.linkedin.com/learning/foundations-of-corporate-training?trk=ondemandfile" TargetMode="External"/><Relationship Id="rId12" Type="http://schemas.openxmlformats.org/officeDocument/2006/relationships/hyperlink" Target="https://www.linkedin.com/learning/built-to-last-successful-habits-of-visionary-companies?trk=ondemandfile" TargetMode="External"/><Relationship Id="rId33" Type="http://schemas.openxmlformats.org/officeDocument/2006/relationships/hyperlink" Target="https://www.linkedin.com/learning/beurteilungsgesprache-fuhren?trk=ondemandfile" TargetMode="External"/><Relationship Id="rId108" Type="http://schemas.openxmlformats.org/officeDocument/2006/relationships/hyperlink" Target="https://www.linkedin.com/learning/etablir-des-objectifs-pour-son-equipe-et-ses-employes-employees?trk=contentmappingfile" TargetMode="External"/><Relationship Id="rId129" Type="http://schemas.openxmlformats.org/officeDocument/2006/relationships/hyperlink" Target="https://www.linkedin.com/learning/hr-strategien?trk=ondemandfile" TargetMode="External"/><Relationship Id="rId54" Type="http://schemas.openxmlformats.org/officeDocument/2006/relationships/hyperlink" Target="https://www.linkedin.com/learning/learning-to-say-no-16410576?trk=contentmappingfile" TargetMode="External"/><Relationship Id="rId75" Type="http://schemas.openxmlformats.org/officeDocument/2006/relationships/hyperlink" Target="https://www.linkedin.com/learning/como-promover-a-empatia-no-mundo-das-tecnologias-de-informacao?trk=contentmappingfile" TargetMode="External"/><Relationship Id="rId96" Type="http://schemas.openxmlformats.org/officeDocument/2006/relationships/hyperlink" Target="https://www.linkedin.com/learning/00-kulturskal?trk=ondemandfile" TargetMode="External"/><Relationship Id="rId140" Type="http://schemas.openxmlformats.org/officeDocument/2006/relationships/hyperlink" Target="https://www.linkedin.com/learning/managing-high-potentials?trk=ondemandfile" TargetMode="External"/><Relationship Id="rId161" Type="http://schemas.openxmlformats.org/officeDocument/2006/relationships/hyperlink" Target="https://www.linkedin.com/learning/developing-leaders-on-your-team?trk=ondemandfile" TargetMode="External"/><Relationship Id="rId182" Type="http://schemas.openxmlformats.org/officeDocument/2006/relationships/hyperlink" Target="https://www.linkedin.com/learning/all-you-have-to-do-is-ask-how-to-ask-for-help-when-you-need-it?trk=ondemandfile" TargetMode="External"/><Relationship Id="rId6" Type="http://schemas.openxmlformats.org/officeDocument/2006/relationships/hyperlink" Target="https://www.linkedin.com/learning/agile-lernformate-fur-organisationen?trk=ondemandfile" TargetMode="External"/><Relationship Id="rId23" Type="http://schemas.openxmlformats.org/officeDocument/2006/relationships/hyperlink" Target="https://www.linkedin.com/learning/paths/become-an-ld-professional?trk=ondemandfile" TargetMode="External"/><Relationship Id="rId119" Type="http://schemas.openxmlformats.org/officeDocument/2006/relationships/hyperlink" Target="https://www.linkedin.com/learning/gerer-les-employes-tres-performants-employees-tres-performantes?trk=contentmappingfile" TargetMode="External"/><Relationship Id="rId44" Type="http://schemas.openxmlformats.org/officeDocument/2006/relationships/hyperlink" Target="https://www.linkedin.com/learning/creating-a-high-performance-culture?trk=ondemandfile" TargetMode="External"/><Relationship Id="rId65" Type="http://schemas.openxmlformats.org/officeDocument/2006/relationships/hyperlink" Target="https://www.linkedin.com/learning/einfuhrung-ins-e-learning?trk=ondemandfile" TargetMode="External"/><Relationship Id="rId86" Type="http://schemas.openxmlformats.org/officeDocument/2006/relationships/hyperlink" Target="https://www.linkedin.com/learning/competencias-profissionais-imprescindiveis-na-carreira-de-qualquer-profissional?trk=contentmappingfile" TargetMode="External"/><Relationship Id="rId130" Type="http://schemas.openxmlformats.org/officeDocument/2006/relationships/hyperlink" Target="https://www.linkedin.com/learning/developing-a-mentoring-program?trk=ondemandfile" TargetMode="External"/><Relationship Id="rId151" Type="http://schemas.openxmlformats.org/officeDocument/2006/relationships/hyperlink" Target="https://www.linkedin.com/learning/ziele-fur-mitarbeiter-innen-und-teams-setzen?trk=ondemandfile" TargetMode="External"/><Relationship Id="rId172" Type="http://schemas.openxmlformats.org/officeDocument/2006/relationships/hyperlink" Target="https://www.linkedin.com/learning/women-transforming-tech-finding-a-mentor?trk=ondemandfile" TargetMode="External"/><Relationship Id="rId13" Type="http://schemas.openxmlformats.org/officeDocument/2006/relationships/hyperlink" Target="https://www.linkedin.com/learning/paths/become-an-administrative-professional?trk=ondemandfile" TargetMode="External"/><Relationship Id="rId18" Type="http://schemas.openxmlformats.org/officeDocument/2006/relationships/hyperlink" Target="https://www.linkedin.com/learning/solution-sales-14173747?trk=ondemandfile" TargetMode="External"/><Relationship Id="rId39" Type="http://schemas.openxmlformats.org/officeDocument/2006/relationships/hyperlink" Target="https://www.linkedin.com/learning/00-dar-y-recibir-feedback?trk=ondemandfile" TargetMode="External"/><Relationship Id="rId109" Type="http://schemas.openxmlformats.org/officeDocument/2006/relationships/hyperlink" Target="https://www.linkedin.com/learning/gestion-de-equipos-mediante-okr-s-o-misiones-objetivos-y-resultados-clave?trk=contentmappingfile" TargetMode="External"/><Relationship Id="rId34" Type="http://schemas.openxmlformats.org/officeDocument/2006/relationships/hyperlink" Target="https://www.linkedin.com/learning/jeff-weiner-on-establishing-a-culture-and-a-plan-for-scaling-2?trk=ondemandfile" TargetMode="External"/><Relationship Id="rId50" Type="http://schemas.openxmlformats.org/officeDocument/2006/relationships/hyperlink" Target="https://www.linkedin.com/learning/creating-a-positive-and-healthy-work-environment?trk=ondemandfile" TargetMode="External"/><Relationship Id="rId55" Type="http://schemas.openxmlformats.org/officeDocument/2006/relationships/hyperlink" Target="https://www.linkedin.com/learning/como-desenvolver-novas-habilidades-para-o-futuro-do-trabalho?trk=contentmappingfile" TargetMode="External"/><Relationship Id="rId76" Type="http://schemas.openxmlformats.org/officeDocument/2006/relationships/hyperlink" Target="https://www.linkedin.com/learning/developing-your-professional-image-3?trk=ondemandfile" TargetMode="External"/><Relationship Id="rId97" Type="http://schemas.openxmlformats.org/officeDocument/2006/relationships/hyperlink" Target="https://www.linkedin.com/learning/contratacao-e-desenvolvimento-de-futuros-colaboradores-e-colaboradoras?trk=contentmappingfile" TargetMode="External"/><Relationship Id="rId104" Type="http://schemas.openxmlformats.org/officeDocument/2006/relationships/hyperlink" Target="https://www.linkedin.com/learning/fundamentos-y-consejos-para-gerentes-principiantes?trk=contentmappingfile" TargetMode="External"/><Relationship Id="rId120" Type="http://schemas.openxmlformats.org/officeDocument/2006/relationships/hyperlink" Target="https://www.linkedin.com/learning/00-mentoring-others?trk=ondemandfile" TargetMode="External"/><Relationship Id="rId125" Type="http://schemas.openxmlformats.org/officeDocument/2006/relationships/hyperlink" Target="https://www.linkedin.com/learning/mitarbeiter-innen-motivieren?trk=ondemandfile" TargetMode="External"/><Relationship Id="rId141" Type="http://schemas.openxmlformats.org/officeDocument/2006/relationships/hyperlink" Target="https://www.linkedin.com/learning/servant-leadership-dienende-fuhrung?trk=ondemandfile" TargetMode="External"/><Relationship Id="rId146" Type="http://schemas.openxmlformats.org/officeDocument/2006/relationships/hyperlink" Target="https://www.linkedin.com/learning/transitioning-from-technical-professional-to-manager?trk=ondemandfile" TargetMode="External"/><Relationship Id="rId167" Type="http://schemas.openxmlformats.org/officeDocument/2006/relationships/hyperlink" Target="https://www.linkedin.com/learning/become-a-better-coach-for-your-team?trk=ondemandfile" TargetMode="External"/><Relationship Id="rId188" Type="http://schemas.openxmlformats.org/officeDocument/2006/relationships/hyperlink" Target="https://www.linkedin.com/learning/a-toolkit-for-giving-and-receiving-better-feedback?trk=ondemandfile" TargetMode="External"/><Relationship Id="rId7" Type="http://schemas.openxmlformats.org/officeDocument/2006/relationships/hyperlink" Target="https://www.linkedin.com/learning/paths/mitarbeiter-finden-und-halten?trk=ondemandfile" TargetMode="External"/><Relationship Id="rId71" Type="http://schemas.openxmlformats.org/officeDocument/2006/relationships/hyperlink" Target="https://www.linkedin.com/learning/84777a9a-010b-3e75-8b28-27d3706e8c9a?trk=ondemandfile" TargetMode="External"/><Relationship Id="rId92" Type="http://schemas.openxmlformats.org/officeDocument/2006/relationships/hyperlink" Target="https://www.linkedin.com/learning/managing-high-potentials-3?trk=ondemandfile" TargetMode="External"/><Relationship Id="rId162" Type="http://schemas.openxmlformats.org/officeDocument/2006/relationships/hyperlink" Target="https://www.linkedin.com/learning/managing-employee-performance-problems-2018?trk=ondemandfile" TargetMode="External"/><Relationship Id="rId183" Type="http://schemas.openxmlformats.org/officeDocument/2006/relationships/hyperlink" Target="https://www.linkedin.com/learning/how-to-succeed-in-a-case-study-interview?trk=ondemandfile" TargetMode="External"/><Relationship Id="rId2" Type="http://schemas.openxmlformats.org/officeDocument/2006/relationships/hyperlink" Target="https://www.linkedin.com/learning/paths/advance-your-skills-as-a-manager?trk=ondemandfile" TargetMode="External"/><Relationship Id="rId29" Type="http://schemas.openxmlformats.org/officeDocument/2006/relationships/hyperlink" Target="https://www.linkedin.com/learning/paths/3b9c9a89-02b2-326b-a8d9-5890aa750936?trk=ondemandfile" TargetMode="External"/><Relationship Id="rId24" Type="http://schemas.openxmlformats.org/officeDocument/2006/relationships/hyperlink" Target="https://www.linkedin.com/learning/coacher-pour-generer-des-resultats?trk=contentmappingfile" TargetMode="External"/><Relationship Id="rId40" Type="http://schemas.openxmlformats.org/officeDocument/2006/relationships/hyperlink" Target="https://www.linkedin.com/learning/coaching-fur-mehr-wachstum?trk=ondemandfile" TargetMode="External"/><Relationship Id="rId45" Type="http://schemas.openxmlformats.org/officeDocument/2006/relationships/hyperlink" Target="https://www.linkedin.com/learning/paths/diversity-inclusion-and-belonging-for-leaders-and-managers?trk=ondemandfile" TargetMode="External"/><Relationship Id="rId66" Type="http://schemas.openxmlformats.org/officeDocument/2006/relationships/hyperlink" Target="https://www.linkedin.com/learning/como-integrar-novos-colaboradores-e-colaboradoras-a-empresa?trk=contentmappingfile" TargetMode="External"/><Relationship Id="rId87" Type="http://schemas.openxmlformats.org/officeDocument/2006/relationships/hyperlink" Target="https://www.linkedin.com/learning/managing-employee-performance-problems-5?trk=ondemandfile" TargetMode="External"/><Relationship Id="rId110" Type="http://schemas.openxmlformats.org/officeDocument/2006/relationships/hyperlink" Target="https://www.linkedin.com/learning/mit-schwierigen-mitarbeiter-innen-umgehen?trk=ondemandfile" TargetMode="External"/><Relationship Id="rId115" Type="http://schemas.openxmlformats.org/officeDocument/2006/relationships/hyperlink" Target="https://www.linkedin.com/learning/00-mitarbeiter-entickeln?trk=ondemandfile" TargetMode="External"/><Relationship Id="rId131" Type="http://schemas.openxmlformats.org/officeDocument/2006/relationships/hyperlink" Target="https://www.linkedin.com/learning/personalwesen-onboarding-programme-durchfuhren?trk=ondemandfile" TargetMode="External"/><Relationship Id="rId136" Type="http://schemas.openxmlformats.org/officeDocument/2006/relationships/hyperlink" Target="https://www.linkedin.com/learning/how-to-set-team-and-employee-goals?trk=ondemandfile" TargetMode="External"/><Relationship Id="rId157" Type="http://schemas.openxmlformats.org/officeDocument/2006/relationships/hyperlink" Target="https://www.linkedin.com/learning/building-high-performance-teams?trk=ondemandfile" TargetMode="External"/><Relationship Id="rId178" Type="http://schemas.openxmlformats.org/officeDocument/2006/relationships/hyperlink" Target="https://www.linkedin.com/learning/giving-and-receiving-feedback?trk=ondemandfile" TargetMode="External"/><Relationship Id="rId61" Type="http://schemas.openxmlformats.org/officeDocument/2006/relationships/hyperlink" Target="https://www.linkedin.com/learning/como-desenvolver-suas-competencias-de-mentoria?trk=contentmappingfile" TargetMode="External"/><Relationship Id="rId82" Type="http://schemas.openxmlformats.org/officeDocument/2006/relationships/hyperlink" Target="https://www.linkedin.com/learning/creating-a-leadership-development-program?trk=ondemandfile" TargetMode="External"/><Relationship Id="rId152" Type="http://schemas.openxmlformats.org/officeDocument/2006/relationships/hyperlink" Target="https://www.linkedin.com/learning/motivating-and-engaging-employees-2?trk=ondemandfile" TargetMode="External"/><Relationship Id="rId173" Type="http://schemas.openxmlformats.org/officeDocument/2006/relationships/hyperlink" Target="https://www.linkedin.com/learning/women-transforming-tech-breaking-in-and-staying-in-the-industry?trk=ondemandfile" TargetMode="External"/><Relationship Id="rId19" Type="http://schemas.openxmlformats.org/officeDocument/2006/relationships/hyperlink" Target="https://www.linkedin.com/learning/paths/transforme-se-num-lider-disruptivo?trk=ondemandfile" TargetMode="External"/><Relationship Id="rId14" Type="http://schemas.openxmlformats.org/officeDocument/2006/relationships/hyperlink" Target="https://www.linkedin.com/learning/coacher-et-aider-ses-employes-employees-a-se-developper?trk=contentmappingfile" TargetMode="External"/><Relationship Id="rId30" Type="http://schemas.openxmlformats.org/officeDocument/2006/relationships/hyperlink" Target="https://www.linkedin.com/learning/succession-planning?trk=ondemandfile" TargetMode="External"/><Relationship Id="rId35" Type="http://schemas.openxmlformats.org/officeDocument/2006/relationships/hyperlink" Target="https://www.linkedin.com/learning/delegating-tasks-to-your-team-2?trk=ondemandfile" TargetMode="External"/><Relationship Id="rId56" Type="http://schemas.openxmlformats.org/officeDocument/2006/relationships/hyperlink" Target="https://www.linkedin.com/learning/building-your-team-4?trk=ondemandfile" TargetMode="External"/><Relationship Id="rId77" Type="http://schemas.openxmlformats.org/officeDocument/2006/relationships/hyperlink" Target="https://www.linkedin.com/learning/the-purpose-effect-getabstract-summary?trk=ondemandfile" TargetMode="External"/><Relationship Id="rId100" Type="http://schemas.openxmlformats.org/officeDocument/2006/relationships/hyperlink" Target="https://www.linkedin.com/learning/empodera-a-tu-equipo?trk=contentmappingfile" TargetMode="External"/><Relationship Id="rId105" Type="http://schemas.openxmlformats.org/officeDocument/2006/relationships/hyperlink" Target="https://www.linkedin.com/learning/00-mentoring?trk=ondemandfile" TargetMode="External"/><Relationship Id="rId126" Type="http://schemas.openxmlformats.org/officeDocument/2006/relationships/hyperlink" Target="https://www.linkedin.com/learning/working-with-an-executive-coach?trk=ondemandfile" TargetMode="External"/><Relationship Id="rId147" Type="http://schemas.openxmlformats.org/officeDocument/2006/relationships/hyperlink" Target="https://www.linkedin.com/learning/00-teams-bilden?trk=ondemandfile" TargetMode="External"/><Relationship Id="rId168" Type="http://schemas.openxmlformats.org/officeDocument/2006/relationships/hyperlink" Target="https://www.linkedin.com/learning/using-neuroscience-for-more-effective-l-d?trk=ondemandfile" TargetMode="External"/><Relationship Id="rId8" Type="http://schemas.openxmlformats.org/officeDocument/2006/relationships/hyperlink" Target="https://www.linkedin.com/learning/disrupting-yourself-3?trk=contentmappingfile" TargetMode="External"/><Relationship Id="rId51" Type="http://schemas.openxmlformats.org/officeDocument/2006/relationships/hyperlink" Target="https://www.linkedin.com/learning/paths/finding-and-retaining-talent?trk=ondemandfile" TargetMode="External"/><Relationship Id="rId72" Type="http://schemas.openxmlformats.org/officeDocument/2006/relationships/hyperlink" Target="https://www.linkedin.com/learning/ram-charan-on-coaching-high-potentials?trk=ondemandfile" TargetMode="External"/><Relationship Id="rId93" Type="http://schemas.openxmlformats.org/officeDocument/2006/relationships/hyperlink" Target="https://www.linkedin.com/learning/measuring-team-performance?trk=ondemandfile" TargetMode="External"/><Relationship Id="rId98" Type="http://schemas.openxmlformats.org/officeDocument/2006/relationships/hyperlink" Target="https://www.linkedin.com/learning/managing-high-performers-3?trk=ondemandfile" TargetMode="External"/><Relationship Id="rId121" Type="http://schemas.openxmlformats.org/officeDocument/2006/relationships/hyperlink" Target="https://www.linkedin.com/learning/00-feedback?trk=ondemandfile" TargetMode="External"/><Relationship Id="rId142" Type="http://schemas.openxmlformats.org/officeDocument/2006/relationships/hyperlink" Target="https://www.linkedin.com/learning/virtual-performance-reviews-and-feedback?trk=ondemandfile" TargetMode="External"/><Relationship Id="rId163" Type="http://schemas.openxmlformats.org/officeDocument/2006/relationships/hyperlink" Target="https://www.linkedin.com/learning/persuasive-coaching?trk=ondemandfile" TargetMode="External"/><Relationship Id="rId184" Type="http://schemas.openxmlformats.org/officeDocument/2006/relationships/hyperlink" Target="https://www.linkedin.com/learning/habits-for-success?trk=ondemandfile" TargetMode="External"/><Relationship Id="rId3" Type="http://schemas.openxmlformats.org/officeDocument/2006/relationships/hyperlink" Target="https://www.linkedin.com/learning/ameliorer-les-performances-des-employes-employees?trk=contentmappingfile" TargetMode="External"/><Relationship Id="rId25" Type="http://schemas.openxmlformats.org/officeDocument/2006/relationships/hyperlink" Target="https://www.linkedin.com/learning/como-crear-una-cultura-de-alto-rendimiento?trk=ondemandfile" TargetMode="External"/><Relationship Id="rId46" Type="http://schemas.openxmlformats.org/officeDocument/2006/relationships/hyperlink" Target="https://www.linkedin.com/learning/como-gestionar-a-personas-con-alto-potencial?trk=contentmappingfile" TargetMode="External"/><Relationship Id="rId67" Type="http://schemas.openxmlformats.org/officeDocument/2006/relationships/hyperlink" Target="https://www.linkedin.com/learning/discovering-your-strengths?trk=ondemandfile" TargetMode="External"/><Relationship Id="rId116" Type="http://schemas.openxmlformats.org/officeDocument/2006/relationships/hyperlink" Target="https://www.linkedin.com/learning/fundamentos-da-criatividade-como-despertar-sua-curiosidade?trk=contentmappingfile" TargetMode="External"/><Relationship Id="rId137" Type="http://schemas.openxmlformats.org/officeDocument/2006/relationships/hyperlink" Target="https://www.linkedin.com/learning/fachkraftemangel-mit-modernem-recruiting-beheben?trk=ondemandfile" TargetMode="External"/><Relationship Id="rId158" Type="http://schemas.openxmlformats.org/officeDocument/2006/relationships/hyperlink" Target="https://www.linkedin.com/learning/coaching-for-results?trk=ondemandfile" TargetMode="External"/><Relationship Id="rId20" Type="http://schemas.openxmlformats.org/officeDocument/2006/relationships/hyperlink" Target="https://www.linkedin.com/learning/creating-a-high-performance-culture-4?trk=ondemandfile" TargetMode="External"/><Relationship Id="rId41" Type="http://schemas.openxmlformats.org/officeDocument/2006/relationships/hyperlink" Target="https://www.linkedin.com/learning/managing-stress-14665661?trk=contentmappingfile" TargetMode="External"/><Relationship Id="rId62" Type="http://schemas.openxmlformats.org/officeDocument/2006/relationships/hyperlink" Target="https://www.linkedin.com/learning/building-high-performance-teams-4?trk=ondemandfile" TargetMode="External"/><Relationship Id="rId83" Type="http://schemas.openxmlformats.org/officeDocument/2006/relationships/hyperlink" Target="https://www.linkedin.com/learning/developper-l-engagement-des-employes-employees?trk=contentmappingfile" TargetMode="External"/><Relationship Id="rId88" Type="http://schemas.openxmlformats.org/officeDocument/2006/relationships/hyperlink" Target="https://www.linkedin.com/learning/developing-adaptable-managers?trk=ondemandfile" TargetMode="External"/><Relationship Id="rId111" Type="http://schemas.openxmlformats.org/officeDocument/2006/relationships/hyperlink" Target="https://www.linkedin.com/learning/fundamentos-da-criatividade-como-despertar-o-talento-de-sua-equipe?trk=contentmappingfile" TargetMode="External"/><Relationship Id="rId132" Type="http://schemas.openxmlformats.org/officeDocument/2006/relationships/hyperlink" Target="https://www.linkedin.com/learning/coaching-new-managers?trk=ondemandfile" TargetMode="External"/><Relationship Id="rId153" Type="http://schemas.openxmlformats.org/officeDocument/2006/relationships/hyperlink" Target="https://www.linkedin.com/learning/coaching-and-developing-employees-2019?trk=ondemandfile" TargetMode="External"/><Relationship Id="rId174" Type="http://schemas.openxmlformats.org/officeDocument/2006/relationships/hyperlink" Target="https://www.linkedin.com/learning/effective-sponsorship-across-difference-for-proteges?trk=contentmappingfile" TargetMode="External"/><Relationship Id="rId179" Type="http://schemas.openxmlformats.org/officeDocument/2006/relationships/hyperlink" Target="https://www.linkedin.com/learning/how-to-be-a-good-mentee?trk=ondemandfile" TargetMode="External"/><Relationship Id="rId15" Type="http://schemas.openxmlformats.org/officeDocument/2006/relationships/hyperlink" Target="https://www.linkedin.com/learning/00-building-high-performance-teams?trk=ondemandfile" TargetMode="External"/><Relationship Id="rId36" Type="http://schemas.openxmlformats.org/officeDocument/2006/relationships/hyperlink" Target="https://www.linkedin.com/learning/paths/90c69069-2437-32f7-a15c-be75af1531ab?trk=ondemandfile" TargetMode="External"/><Relationship Id="rId57" Type="http://schemas.openxmlformats.org/officeDocument/2006/relationships/hyperlink" Target="https://www.linkedin.com/learning/talent-management?trk=ondemandfile" TargetMode="External"/><Relationship Id="rId106" Type="http://schemas.openxmlformats.org/officeDocument/2006/relationships/hyperlink" Target="https://www.linkedin.com/learning/measuring-team-performance-5?trk=ondemandfile" TargetMode="External"/><Relationship Id="rId127" Type="http://schemas.openxmlformats.org/officeDocument/2006/relationships/hyperlink" Target="https://www.linkedin.com/learning/00-onboarding?trk=ondemandfile" TargetMode="External"/><Relationship Id="rId10" Type="http://schemas.openxmlformats.org/officeDocument/2006/relationships/hyperlink" Target="https://www.linkedin.com/learning/delivering-employee-feedback-3?trk=ondemandfile" TargetMode="External"/><Relationship Id="rId31" Type="http://schemas.openxmlformats.org/officeDocument/2006/relationships/hyperlink" Target="https://www.linkedin.com/learning/paths/become-a-senior-manager?trk=ondemandfile" TargetMode="External"/><Relationship Id="rId52" Type="http://schemas.openxmlformats.org/officeDocument/2006/relationships/hyperlink" Target="https://www.linkedin.com/learning/como-gestionar-al-personal-de-alto-rendimiento?trk=contentmappingfile" TargetMode="External"/><Relationship Id="rId73" Type="http://schemas.openxmlformats.org/officeDocument/2006/relationships/hyperlink" Target="https://www.linkedin.com/learning/como-medir-el-rendimiento-de-tu-equipo?trk=contentmappingfile" TargetMode="External"/><Relationship Id="rId78" Type="http://schemas.openxmlformats.org/officeDocument/2006/relationships/hyperlink" Target="https://www.linkedin.com/learning/developper-la-motivation-et-l-engagement-des-employes-employees?trk=contentmappingfile" TargetMode="External"/><Relationship Id="rId94" Type="http://schemas.openxmlformats.org/officeDocument/2006/relationships/hyperlink" Target="https://www.linkedin.com/learning/donner-et-recevoir-du-feedback?trk=contentmappingfile" TargetMode="External"/><Relationship Id="rId99" Type="http://schemas.openxmlformats.org/officeDocument/2006/relationships/hyperlink" Target="https://www.linkedin.com/learning/creating-the-conditions-for-others-to-thrive?trk=ondemandfile" TargetMode="External"/><Relationship Id="rId101" Type="http://schemas.openxmlformats.org/officeDocument/2006/relationships/hyperlink" Target="https://www.linkedin.com/learning/leistungstrager-fuhren?trk=ondemandfile" TargetMode="External"/><Relationship Id="rId122" Type="http://schemas.openxmlformats.org/officeDocument/2006/relationships/hyperlink" Target="https://www.linkedin.com/learning/fundamentos-da-criatividade-como-soltar-sua-imaginacao-e-encontrar-novas-ideias?trk=contentmappingfile" TargetMode="External"/><Relationship Id="rId143" Type="http://schemas.openxmlformats.org/officeDocument/2006/relationships/hyperlink" Target="https://www.linkedin.com/learning/potenzialtrager-fuhren?trk=ondemandfile" TargetMode="External"/><Relationship Id="rId148" Type="http://schemas.openxmlformats.org/officeDocument/2006/relationships/hyperlink" Target="https://www.linkedin.com/learning/developing-adaptable-employees?trk=ondemandfile" TargetMode="External"/><Relationship Id="rId164" Type="http://schemas.openxmlformats.org/officeDocument/2006/relationships/hyperlink" Target="https://www.linkedin.com/learning/connecting-to-executives-2018?trk=ondemandfile" TargetMode="External"/><Relationship Id="rId169" Type="http://schemas.openxmlformats.org/officeDocument/2006/relationships/hyperlink" Target="https://www.linkedin.com/learning/using-assessments-to-hire-customer-service-reps?trk=ondemandfile" TargetMode="External"/><Relationship Id="rId185" Type="http://schemas.openxmlformats.org/officeDocument/2006/relationships/hyperlink" Target="https://www.linkedin.com/learning/getting-executive-buy-in-and-support-for-your-l-d-program?trk=ondemandfile" TargetMode="External"/><Relationship Id="rId4" Type="http://schemas.openxmlformats.org/officeDocument/2006/relationships/hyperlink" Target="https://www.linkedin.com/learning/como-construir-habitos-para-el-exito?trk=contentmappingfile" TargetMode="External"/><Relationship Id="rId9" Type="http://schemas.openxmlformats.org/officeDocument/2006/relationships/hyperlink" Target="https://www.linkedin.com/learning/paths/torne-se-um-lider?trk=ondemandfile" TargetMode="External"/><Relationship Id="rId180" Type="http://schemas.openxmlformats.org/officeDocument/2006/relationships/hyperlink" Target="https://www.linkedin.com/learning/boosting-your-team-s-productivity?trk=ondemandfile" TargetMode="External"/><Relationship Id="rId26" Type="http://schemas.openxmlformats.org/officeDocument/2006/relationships/hyperlink" Target="https://www.linkedin.com/learning/als-fuhrungskraft-das-agile-lernen-im-team-unterstutzen?trk=ondemandfile" TargetMode="External"/><Relationship Id="rId47" Type="http://schemas.openxmlformats.org/officeDocument/2006/relationships/hyperlink" Target="https://www.linkedin.com/learning/coaching-skills-fur-fuhrungskrafte?trk=ondemandfile" TargetMode="External"/><Relationship Id="rId68" Type="http://schemas.openxmlformats.org/officeDocument/2006/relationships/hyperlink" Target="https://www.linkedin.com/learning/rewarding-employee-performance?trk=ondemandfile" TargetMode="External"/><Relationship Id="rId89" Type="http://schemas.openxmlformats.org/officeDocument/2006/relationships/hyperlink" Target="https://www.linkedin.com/learning/como-ser-un-miembro-eficaz-del-equipo?trk=contentmappingfile" TargetMode="External"/><Relationship Id="rId112" Type="http://schemas.openxmlformats.org/officeDocument/2006/relationships/hyperlink" Target="https://www.linkedin.com/learning/coaching-and-developing-employees-3?trk=ondemandfile" TargetMode="External"/><Relationship Id="rId133" Type="http://schemas.openxmlformats.org/officeDocument/2006/relationships/hyperlink" Target="https://www.linkedin.com/learning/recruiting-grundlagen?trk=ondemandfile" TargetMode="External"/><Relationship Id="rId154" Type="http://schemas.openxmlformats.org/officeDocument/2006/relationships/hyperlink" Target="https://www.linkedin.com/learning/delivering-employee-feedback-2019?trk=ondemandfile" TargetMode="External"/><Relationship Id="rId175" Type="http://schemas.openxmlformats.org/officeDocument/2006/relationships/hyperlink" Target="https://www.linkedin.com/learning/the-secrets-to-success-at-work?trk=ondemandfile" TargetMode="External"/><Relationship Id="rId16" Type="http://schemas.openxmlformats.org/officeDocument/2006/relationships/hyperlink" Target="https://www.linkedin.com/learning/agiles-lernen-in-organisationen?trk=ondemandfile" TargetMode="External"/><Relationship Id="rId37" Type="http://schemas.openxmlformats.org/officeDocument/2006/relationships/hyperlink" Target="https://www.linkedin.com/learning/employee-engagement?trk=ondemandfile" TargetMode="External"/><Relationship Id="rId58" Type="http://schemas.openxmlformats.org/officeDocument/2006/relationships/hyperlink" Target="https://www.linkedin.com/learning/paths/improve-your-coaching-skills-as-a-manager?trk=ondemandfile" TargetMode="External"/><Relationship Id="rId79" Type="http://schemas.openxmlformats.org/officeDocument/2006/relationships/hyperlink" Target="https://www.linkedin.com/learning/como-mejorar-el-rendimiento-de-tu-personal?trk=contentmappingfile" TargetMode="External"/><Relationship Id="rId102" Type="http://schemas.openxmlformats.org/officeDocument/2006/relationships/hyperlink" Target="https://www.linkedin.com/learning/setting-team-and-employee-goals-3?trk=ondemandfile" TargetMode="External"/><Relationship Id="rId123" Type="http://schemas.openxmlformats.org/officeDocument/2006/relationships/hyperlink" Target="https://www.linkedin.com/learning/coaching-skills-for-leaders-and-managers-5?trk=ondemandfile" TargetMode="External"/><Relationship Id="rId144" Type="http://schemas.openxmlformats.org/officeDocument/2006/relationships/hyperlink" Target="https://www.linkedin.com/learning/lean-technology-strategy-building-high-performing-teams?trk=ondemandfile" TargetMode="External"/><Relationship Id="rId90" Type="http://schemas.openxmlformats.org/officeDocument/2006/relationships/hyperlink" Target="https://www.linkedin.com/learning/internationale-personalentwicklung?trk=ondemandfile" TargetMode="External"/><Relationship Id="rId165" Type="http://schemas.openxmlformats.org/officeDocument/2006/relationships/hyperlink" Target="https://www.linkedin.com/learning/building-and-fostering-a-great-sales-culture?trk=ondemandfile" TargetMode="External"/><Relationship Id="rId186" Type="http://schemas.openxmlformats.org/officeDocument/2006/relationships/hyperlink" Target="https://www.linkedin.com/learning/enhancing-team-innovation?trk=ondemandfile" TargetMode="External"/><Relationship Id="rId27" Type="http://schemas.openxmlformats.org/officeDocument/2006/relationships/hyperlink" Target="https://www.linkedin.com/learning/managing-multiple-generations-8332500?trk=ondemandfile" TargetMode="External"/><Relationship Id="rId48" Type="http://schemas.openxmlformats.org/officeDocument/2006/relationships/hyperlink" Target="https://www.linkedin.com/learning/smart-thinking-overcoming-complexity-15924090?trk=contentmappingfile" TargetMode="External"/><Relationship Id="rId69" Type="http://schemas.openxmlformats.org/officeDocument/2006/relationships/hyperlink" Target="https://www.linkedin.com/learning/como-liderar-equipos-de-alto-potencial?trk=contentmappingfile" TargetMode="External"/><Relationship Id="rId113" Type="http://schemas.openxmlformats.org/officeDocument/2006/relationships/hyperlink" Target="https://www.linkedin.com/learning/human-centered-leadership?trk=ondemandfile" TargetMode="External"/><Relationship Id="rId134" Type="http://schemas.openxmlformats.org/officeDocument/2006/relationships/hyperlink" Target="https://www.linkedin.com/learning/build-your-team?trk=ondemandfile" TargetMode="External"/><Relationship Id="rId80" Type="http://schemas.openxmlformats.org/officeDocument/2006/relationships/hyperlink" Target="https://www.linkedin.com/learning/gewohnheiten-verandern-oder-entwickeln?trk=contentmappingfile" TargetMode="External"/><Relationship Id="rId155" Type="http://schemas.openxmlformats.org/officeDocument/2006/relationships/hyperlink" Target="https://www.linkedin.com/learning/coaching-new-hires?trk=ondemandfile" TargetMode="External"/><Relationship Id="rId176" Type="http://schemas.openxmlformats.org/officeDocument/2006/relationships/hyperlink" Target="https://www.linkedin.com/learning/recognizing-and-rewarding-your-workers?trk=ondemandfile" TargetMode="External"/><Relationship Id="rId17" Type="http://schemas.openxmlformats.org/officeDocument/2006/relationships/hyperlink" Target="https://www.linkedin.com/learning/paths/recruiter-in-werden?trk=ondemandfile" TargetMode="External"/><Relationship Id="rId38" Type="http://schemas.openxmlformats.org/officeDocument/2006/relationships/hyperlink" Target="https://www.linkedin.com/learning/paths/develop-motivate-and-retain-employees?trk=ondemandfile" TargetMode="External"/><Relationship Id="rId59" Type="http://schemas.openxmlformats.org/officeDocument/2006/relationships/hyperlink" Target="https://www.linkedin.com/learning/como-hacer-coaching-a-tu-personal-para-obtener-resultados?trk=contentmappingfile" TargetMode="External"/><Relationship Id="rId103" Type="http://schemas.openxmlformats.org/officeDocument/2006/relationships/hyperlink" Target="https://www.linkedin.com/learning/employee-experience?trk=ondemandfile" TargetMode="External"/><Relationship Id="rId124" Type="http://schemas.openxmlformats.org/officeDocument/2006/relationships/hyperlink" Target="https://www.linkedin.com/learning/360-degree-feedback?trk=ondemandfile" TargetMode="External"/><Relationship Id="rId70" Type="http://schemas.openxmlformats.org/officeDocument/2006/relationships/hyperlink" Target="https://www.linkedin.com/learning/e-learning-technologien-und-systeme?trk=ondemandfile" TargetMode="External"/><Relationship Id="rId91" Type="http://schemas.openxmlformats.org/officeDocument/2006/relationships/hyperlink" Target="https://www.linkedin.com/learning/contratacao-de-colaboradores-tecnicas-para-gerentes?trk=contentmappingfile" TargetMode="External"/><Relationship Id="rId145" Type="http://schemas.openxmlformats.org/officeDocument/2006/relationships/hyperlink" Target="https://www.linkedin.com/learning/talente-finden-und-binden?trk=ondemandfile" TargetMode="External"/><Relationship Id="rId166" Type="http://schemas.openxmlformats.org/officeDocument/2006/relationships/hyperlink" Target="https://www.linkedin.com/learning/make-the-move-from-individual-contributor-to-manager?trk=ondemandfile" TargetMode="External"/><Relationship Id="rId187" Type="http://schemas.openxmlformats.org/officeDocument/2006/relationships/hyperlink" Target="https://www.linkedin.com/learning/building-a-coaching-culture-improving-performance-through-timely-feedback?trk=ondemandfile" TargetMode="External"/><Relationship Id="rId1" Type="http://schemas.openxmlformats.org/officeDocument/2006/relationships/hyperlink" Target="https://www.linkedin.com/learning/the-future-of-work-the-necessary-skills-of-your-future-workforce?trk=contentmappingfile" TargetMode="External"/><Relationship Id="rId28" Type="http://schemas.openxmlformats.org/officeDocument/2006/relationships/hyperlink" Target="https://www.linkedin.com/learning/giving-and-receiving-feedback-4?trk=ondemandfile" TargetMode="External"/><Relationship Id="rId49" Type="http://schemas.openxmlformats.org/officeDocument/2006/relationships/hyperlink" Target="https://www.linkedin.com/learning/becoming-a-good-mentor-2?trk=ondemandfile" TargetMode="External"/><Relationship Id="rId114" Type="http://schemas.openxmlformats.org/officeDocument/2006/relationships/hyperlink" Target="https://www.linkedin.com/learning/00-managing-employee-performance-problems?trk=ondemandfile" TargetMode="External"/><Relationship Id="rId60" Type="http://schemas.openxmlformats.org/officeDocument/2006/relationships/hyperlink" Target="https://www.linkedin.com/learning/00-teamkreativitat?trk=ondemandfile" TargetMode="External"/><Relationship Id="rId81" Type="http://schemas.openxmlformats.org/officeDocument/2006/relationships/hyperlink" Target="https://www.linkedin.com/learning/onboarding-new-hires-2?trk=contentmappingfile" TargetMode="External"/><Relationship Id="rId135" Type="http://schemas.openxmlformats.org/officeDocument/2006/relationships/hyperlink" Target="https://www.linkedin.com/learning/active-sourcing?trk=ondemandfile" TargetMode="External"/><Relationship Id="rId156" Type="http://schemas.openxmlformats.org/officeDocument/2006/relationships/hyperlink" Target="https://www.linkedin.com/learning/delegating-tasks?trk=ondemandfile" TargetMode="External"/><Relationship Id="rId177" Type="http://schemas.openxmlformats.org/officeDocument/2006/relationships/hyperlink" Target="https://www.linkedin.com/learning/increase-visibility-to-advance-your-career?trk=ondemandfile" TargetMode="External"/></Relationships>
</file>

<file path=xl/worksheets/_rels/sheet32.xml.rels><?xml version="1.0" encoding="UTF-8" standalone="yes"?>
<Relationships xmlns="http://schemas.openxmlformats.org/package/2006/relationships"><Relationship Id="rId117" Type="http://schemas.openxmlformats.org/officeDocument/2006/relationships/hyperlink" Target="https://www.linkedin.com/learning/00-managing-employee-performance-problems?trk=ondemandfile" TargetMode="External"/><Relationship Id="rId21" Type="http://schemas.openxmlformats.org/officeDocument/2006/relationships/hyperlink" Target="https://www.linkedin.com/learning/paths/torne-se-um-lider?trk=ondemandfile" TargetMode="External"/><Relationship Id="rId42" Type="http://schemas.openxmlformats.org/officeDocument/2006/relationships/hyperlink" Target="https://www.linkedin.com/learning/employer-branding-to-attract-talent?trk=ondemandfile" TargetMode="External"/><Relationship Id="rId63" Type="http://schemas.openxmlformats.org/officeDocument/2006/relationships/hyperlink" Target="https://www.linkedin.com/learning/building-your-team-4?trk=ondemandfile" TargetMode="External"/><Relationship Id="rId84" Type="http://schemas.openxmlformats.org/officeDocument/2006/relationships/hyperlink" Target="https://www.linkedin.com/learning/managing-employee-performance-problems-5?trk=ondemandfile" TargetMode="External"/><Relationship Id="rId138" Type="http://schemas.openxmlformats.org/officeDocument/2006/relationships/hyperlink" Target="https://www.linkedin.com/learning/hiring-an-employee-for-managers?trk=ondemandfile" TargetMode="External"/><Relationship Id="rId159" Type="http://schemas.openxmlformats.org/officeDocument/2006/relationships/hyperlink" Target="https://www.linkedin.com/learning/the-upskilling-imperative-blinkist-summary?trk=ondemandfile" TargetMode="External"/><Relationship Id="rId107" Type="http://schemas.openxmlformats.org/officeDocument/2006/relationships/hyperlink" Target="https://www.linkedin.com/learning/fundamentos-de-la-gesti-n-empresarial?trk=ondemandfile" TargetMode="External"/><Relationship Id="rId11" Type="http://schemas.openxmlformats.org/officeDocument/2006/relationships/hyperlink" Target="https://www.linkedin.com/learning/paths/3db8a531-c16b-3623-9891-2cd47ac19f68?trk=ondemandfile" TargetMode="External"/><Relationship Id="rId32" Type="http://schemas.openxmlformats.org/officeDocument/2006/relationships/hyperlink" Target="https://www.linkedin.com/learning/creating-a-high-performance-culture-4?trk=ondemandfile" TargetMode="External"/><Relationship Id="rId53" Type="http://schemas.openxmlformats.org/officeDocument/2006/relationships/hyperlink" Target="https://www.linkedin.com/learning/find-and-retain-high-potentials-2?trk=ondemandfile" TargetMode="External"/><Relationship Id="rId74" Type="http://schemas.openxmlformats.org/officeDocument/2006/relationships/hyperlink" Target="https://www.linkedin.com/learning/improving-your-listening-skills-14598134?trk=contentmappingfile" TargetMode="External"/><Relationship Id="rId128" Type="http://schemas.openxmlformats.org/officeDocument/2006/relationships/hyperlink" Target="https://www.linkedin.com/learning/setting-team-and-employee-goals-3?trk=ondemandfile" TargetMode="External"/><Relationship Id="rId149" Type="http://schemas.openxmlformats.org/officeDocument/2006/relationships/hyperlink" Target="https://www.linkedin.com/learning/se-distinguer-au-travail-grace-au-savoir-etre?trk=contentmappingfile" TargetMode="External"/><Relationship Id="rId5" Type="http://schemas.openxmlformats.org/officeDocument/2006/relationships/hyperlink" Target="https://es.linkedin.com/learning/paths/profundiza-en-la-busqueda-seleccion-y-retencion-de-talentos?trk=ondemandfile" TargetMode="External"/><Relationship Id="rId95" Type="http://schemas.openxmlformats.org/officeDocument/2006/relationships/hyperlink" Target="https://www.linkedin.com/learning/people-success-employee-assessments?trk=ondemandfile" TargetMode="External"/><Relationship Id="rId160" Type="http://schemas.openxmlformats.org/officeDocument/2006/relationships/hyperlink" Target="https://www.linkedin.com/learning/building-a-coaching-culture-improving-performance-through-timely-feedback?trk=ondemandfile" TargetMode="External"/><Relationship Id="rId22" Type="http://schemas.openxmlformats.org/officeDocument/2006/relationships/hyperlink" Target="https://www.linkedin.com/learning/managing-for-results-2?trk=ondemandfile" TargetMode="External"/><Relationship Id="rId43" Type="http://schemas.openxmlformats.org/officeDocument/2006/relationships/hyperlink" Target="https://www.linkedin.com/learning/paths/improve-your-coaching-skills-as-a-manager?trk=ondemandfile" TargetMode="External"/><Relationship Id="rId64" Type="http://schemas.openxmlformats.org/officeDocument/2006/relationships/hyperlink" Target="https://www.linkedin.com/learning/employee-experience?trk=ondemandfile" TargetMode="External"/><Relationship Id="rId118" Type="http://schemas.openxmlformats.org/officeDocument/2006/relationships/hyperlink" Target="https://www.linkedin.com/learning/ziele-fur-mitarbeiter-innen-und-teams-setzen?trk=ondemandfile" TargetMode="External"/><Relationship Id="rId139" Type="http://schemas.openxmlformats.org/officeDocument/2006/relationships/hyperlink" Target="https://www.linkedin.com/learning/coaching-and-developing-employees-2019?trk=ondemandfile" TargetMode="External"/><Relationship Id="rId85" Type="http://schemas.openxmlformats.org/officeDocument/2006/relationships/hyperlink" Target="https://www.linkedin.com/learning/hr-and-digital-transformation?trk=ondemandfile" TargetMode="External"/><Relationship Id="rId150" Type="http://schemas.openxmlformats.org/officeDocument/2006/relationships/hyperlink" Target="https://www.linkedin.com/learning/managing-for-results-2020?trk=ondemandfile" TargetMode="External"/><Relationship Id="rId12" Type="http://schemas.openxmlformats.org/officeDocument/2006/relationships/hyperlink" Target="https://www.linkedin.com/learning/creating-a-high-performance-culture?trk=ondemandfile" TargetMode="External"/><Relationship Id="rId17" Type="http://schemas.openxmlformats.org/officeDocument/2006/relationships/hyperlink" Target="https://www.linkedin.com/learning/beurteilungsgesprache-fuhren?trk=ondemandfile" TargetMode="External"/><Relationship Id="rId33" Type="http://schemas.openxmlformats.org/officeDocument/2006/relationships/hyperlink" Target="https://www.linkedin.com/learning/paths/90c69069-2437-32f7-a15c-be75af1531ab?trk=ondemandfile" TargetMode="External"/><Relationship Id="rId38" Type="http://schemas.openxmlformats.org/officeDocument/2006/relationships/hyperlink" Target="https://www.linkedin.com/learning/das-personal-der-zukunft?trk=ondemandfile" TargetMode="External"/><Relationship Id="rId59" Type="http://schemas.openxmlformats.org/officeDocument/2006/relationships/hyperlink" Target="https://www.linkedin.com/learning/como-hacer-coaching-a-tu-personal-para-obtener-resultados?trk=contentmappingfile" TargetMode="External"/><Relationship Id="rId103" Type="http://schemas.openxmlformats.org/officeDocument/2006/relationships/hyperlink" Target="https://www.linkedin.com/learning/feel-good-management?trk=ondemandfile" TargetMode="External"/><Relationship Id="rId108" Type="http://schemas.openxmlformats.org/officeDocument/2006/relationships/hyperlink" Target="https://www.linkedin.com/learning/administrative-personalarbeit?trk=ondemandfile" TargetMode="External"/><Relationship Id="rId124" Type="http://schemas.openxmlformats.org/officeDocument/2006/relationships/hyperlink" Target="https://www.linkedin.com/learning/performance-management-conducting-performance-reviews-2?trk=ondemandfile" TargetMode="External"/><Relationship Id="rId129" Type="http://schemas.openxmlformats.org/officeDocument/2006/relationships/hyperlink" Target="https://www.linkedin.com/learning/achieving-diversity-as-a-hiring-manager?trk=ondemandfile" TargetMode="External"/><Relationship Id="rId54" Type="http://schemas.openxmlformats.org/officeDocument/2006/relationships/hyperlink" Target="https://www.linkedin.com/learning/como-desenvolver-a-lideranca-de-pensamento?trk=contentmappingfile" TargetMode="External"/><Relationship Id="rId70" Type="http://schemas.openxmlformats.org/officeDocument/2006/relationships/hyperlink" Target="https://www.linkedin.com/learning/measuring-team-performance?trk=ondemandfile" TargetMode="External"/><Relationship Id="rId75" Type="http://schemas.openxmlformats.org/officeDocument/2006/relationships/hyperlink" Target="https://www.linkedin.com/learning/onboarding-new-hires-2?trk=contentmappingfile" TargetMode="External"/><Relationship Id="rId91" Type="http://schemas.openxmlformats.org/officeDocument/2006/relationships/hyperlink" Target="https://www.linkedin.com/learning/gerer-les-experts-expertes?trk=contentmappingfile" TargetMode="External"/><Relationship Id="rId96" Type="http://schemas.openxmlformats.org/officeDocument/2006/relationships/hyperlink" Target="https://www.linkedin.com/learning/empodera-a-tu-equipo?trk=contentmappingfile" TargetMode="External"/><Relationship Id="rId140" Type="http://schemas.openxmlformats.org/officeDocument/2006/relationships/hyperlink" Target="https://www.linkedin.com/learning/les-fondements-du-nouveau-et-de-la-nouvelle-manager?trk=contentmappingfile" TargetMode="External"/><Relationship Id="rId145" Type="http://schemas.openxmlformats.org/officeDocument/2006/relationships/hyperlink" Target="https://www.linkedin.com/learning/delegating-tasks?trk=ondemandfile" TargetMode="External"/><Relationship Id="rId161" Type="http://schemas.openxmlformats.org/officeDocument/2006/relationships/hyperlink" Target="https://www.linkedin.com/learning/driving-workplace-happiness?trk=ondemandfile" TargetMode="External"/><Relationship Id="rId1" Type="http://schemas.openxmlformats.org/officeDocument/2006/relationships/hyperlink" Target="https://www.linkedin.com/learning/jeff-weiner-on-establishing-a-culture-and-a-plan-for-scaling?trk=ondemandfile" TargetMode="External"/><Relationship Id="rId6" Type="http://schemas.openxmlformats.org/officeDocument/2006/relationships/hyperlink" Target="https://www.linkedin.com/learning/berufsbild-agiler-projektmanager?trk=ondemandfile" TargetMode="External"/><Relationship Id="rId23" Type="http://schemas.openxmlformats.org/officeDocument/2006/relationships/hyperlink" Target="https://www.linkedin.com/learning/paths/15e85c29-5b7c-3b12-a882-4bfdeb3c83c7?trk=ondemandfile" TargetMode="External"/><Relationship Id="rId28" Type="http://schemas.openxmlformats.org/officeDocument/2006/relationships/hyperlink" Target="https://www.linkedin.com/learning/paths/conviertete-en-jefe-de-equipo-2?trk=ondemandfile" TargetMode="External"/><Relationship Id="rId49" Type="http://schemas.openxmlformats.org/officeDocument/2006/relationships/hyperlink" Target="https://www.linkedin.com/learning/paths/managing-performance?trk=ondemandfile" TargetMode="External"/><Relationship Id="rId114" Type="http://schemas.openxmlformats.org/officeDocument/2006/relationships/hyperlink" Target="https://www.linkedin.com/learning/managing-high-potentials-3?trk=ondemandfile" TargetMode="External"/><Relationship Id="rId119" Type="http://schemas.openxmlformats.org/officeDocument/2006/relationships/hyperlink" Target="https://www.linkedin.com/learning/managing-high-performers-3?trk=ondemandfile" TargetMode="External"/><Relationship Id="rId44" Type="http://schemas.openxmlformats.org/officeDocument/2006/relationships/hyperlink" Target="https://www.linkedin.com/learning/como-gestionar-al-personal-de-alto-rendimiento?trk=contentmappingfile" TargetMode="External"/><Relationship Id="rId60" Type="http://schemas.openxmlformats.org/officeDocument/2006/relationships/hyperlink" Target="https://www.linkedin.com/learning/eine-hochleistungskultur-schaffen?trk=ondemandfile" TargetMode="External"/><Relationship Id="rId65" Type="http://schemas.openxmlformats.org/officeDocument/2006/relationships/hyperlink" Target="https://www.linkedin.com/learning/como-identificar-y-retener-personal-con-alto-potencial?trk=ondemandfile" TargetMode="External"/><Relationship Id="rId81" Type="http://schemas.openxmlformats.org/officeDocument/2006/relationships/hyperlink" Target="https://www.linkedin.com/learning/como-mejorar-el-rendimiento-de-tu-personal?trk=contentmappingfile" TargetMode="External"/><Relationship Id="rId86" Type="http://schemas.openxmlformats.org/officeDocument/2006/relationships/hyperlink" Target="https://www.linkedin.com/learning/gerer-les-employes-tres-performants-employees-tres-performantes?trk=contentmappingfile" TargetMode="External"/><Relationship Id="rId130" Type="http://schemas.openxmlformats.org/officeDocument/2006/relationships/hyperlink" Target="https://www.linkedin.com/learning/microsoft-dynamics-365-for-talent-esencial?trk=ondemandfile" TargetMode="External"/><Relationship Id="rId135" Type="http://schemas.openxmlformats.org/officeDocument/2006/relationships/hyperlink" Target="https://www.linkedin.com/learning/performance-management-setting-goals-and-managing-performance?trk=ondemandfile" TargetMode="External"/><Relationship Id="rId151" Type="http://schemas.openxmlformats.org/officeDocument/2006/relationships/hyperlink" Target="https://www.linkedin.com/learning/coaching-employees-through-difficult-situations?trk=ondemandfile" TargetMode="External"/><Relationship Id="rId156" Type="http://schemas.openxmlformats.org/officeDocument/2006/relationships/hyperlink" Target="https://www.linkedin.com/learning/foundations-of-performance-management?trk=ondemandfile" TargetMode="External"/><Relationship Id="rId13" Type="http://schemas.openxmlformats.org/officeDocument/2006/relationships/hyperlink" Target="https://www.linkedin.com/learning/paths/become-an-inclusive-leader?trk=ondemandfile" TargetMode="External"/><Relationship Id="rId18" Type="http://schemas.openxmlformats.org/officeDocument/2006/relationships/hyperlink" Target="https://www.linkedin.com/learning/paths/teams-aufbauen-und-fuehren?trk=ondemandfile" TargetMode="External"/><Relationship Id="rId39" Type="http://schemas.openxmlformats.org/officeDocument/2006/relationships/hyperlink" Target="https://www.linkedin.com/learning/building-high-performance-teams-3?trk=ondemandfile" TargetMode="External"/><Relationship Id="rId109" Type="http://schemas.openxmlformats.org/officeDocument/2006/relationships/hyperlink" Target="https://www.linkedin.com/learning/b83c5b95-31a5-31a0-9bbe-8eb3a913b66f?trk=ondemandfile" TargetMode="External"/><Relationship Id="rId34" Type="http://schemas.openxmlformats.org/officeDocument/2006/relationships/hyperlink" Target="https://www.linkedin.com/learning/getting-your-talent-to-bring-their-best-ideas-to-work?trk=ondemandfile" TargetMode="External"/><Relationship Id="rId50" Type="http://schemas.openxmlformats.org/officeDocument/2006/relationships/hyperlink" Target="https://www.linkedin.com/learning/developper-la-motivation-et-l-engagement-des-employes-employees?trk=contentmappingfile" TargetMode="External"/><Relationship Id="rId55" Type="http://schemas.openxmlformats.org/officeDocument/2006/relationships/hyperlink" Target="https://www.linkedin.com/learning/performance-based-hiring-2?trk=ondemandfile" TargetMode="External"/><Relationship Id="rId76" Type="http://schemas.openxmlformats.org/officeDocument/2006/relationships/hyperlink" Target="https://www.linkedin.com/learning/managing-experienced-managers?trk=ondemandfile" TargetMode="External"/><Relationship Id="rId97" Type="http://schemas.openxmlformats.org/officeDocument/2006/relationships/hyperlink" Target="https://www.linkedin.com/learning/mitarbeiter-innen-motivieren?trk=ondemandfile" TargetMode="External"/><Relationship Id="rId104" Type="http://schemas.openxmlformats.org/officeDocument/2006/relationships/hyperlink" Target="https://www.linkedin.com/learning/managing-virtual-teams-3?trk=ondemandfile" TargetMode="External"/><Relationship Id="rId120" Type="http://schemas.openxmlformats.org/officeDocument/2006/relationships/hyperlink" Target="https://www.linkedin.com/learning/virtual-performance-reviews-and-feedback?trk=ondemandfile" TargetMode="External"/><Relationship Id="rId125" Type="http://schemas.openxmlformats.org/officeDocument/2006/relationships/hyperlink" Target="https://www.linkedin.com/learning/managers-as-multipliers-of-well-being?trk=ondemandfile" TargetMode="External"/><Relationship Id="rId141" Type="http://schemas.openxmlformats.org/officeDocument/2006/relationships/hyperlink" Target="https://www.linkedin.com/learning/principios-basicos-para-novos-cargos-de-gestao?trk=contentmappingfile" TargetMode="External"/><Relationship Id="rId146" Type="http://schemas.openxmlformats.org/officeDocument/2006/relationships/hyperlink" Target="https://www.linkedin.com/learning/motiver-ses-equipes-quand-on-est-soi-meme-epuise-et-stresse?trk=contentmappingfile" TargetMode="External"/><Relationship Id="rId7" Type="http://schemas.openxmlformats.org/officeDocument/2006/relationships/hyperlink" Target="https://www.linkedin.com/learning/paths/leistungsorientiertes-management?trk=ondemandfile" TargetMode="External"/><Relationship Id="rId71" Type="http://schemas.openxmlformats.org/officeDocument/2006/relationships/hyperlink" Target="https://www.linkedin.com/learning/etablir-des-objectifs-pour-son-equipe-et-ses-employes-employees?trk=contentmappingfile" TargetMode="External"/><Relationship Id="rId92" Type="http://schemas.openxmlformats.org/officeDocument/2006/relationships/hyperlink" Target="https://www.linkedin.com/learning/el-futuro-de-la-gestion-del-rendimiento?trk=ondemandfile" TargetMode="External"/><Relationship Id="rId162" Type="http://schemas.openxmlformats.org/officeDocument/2006/relationships/hyperlink" Target="https://www.linkedin.com/learning/interviewing-t-echniques-2019?trk=ondemandfile" TargetMode="External"/><Relationship Id="rId2" Type="http://schemas.openxmlformats.org/officeDocument/2006/relationships/hyperlink" Target="https://www.linkedin.com/learning/paths/advance-your-skills-as-a-manager?trk=ondemandfile" TargetMode="External"/><Relationship Id="rId29" Type="http://schemas.openxmlformats.org/officeDocument/2006/relationships/hyperlink" Target="https://www.linkedin.com/learning/coaching-fur-mehr-wachstum?trk=ondemandfile" TargetMode="External"/><Relationship Id="rId24" Type="http://schemas.openxmlformats.org/officeDocument/2006/relationships/hyperlink" Target="https://www.linkedin.com/learning/creating-a-positive-and-healthy-work-environment?trk=ondemandfile" TargetMode="External"/><Relationship Id="rId40" Type="http://schemas.openxmlformats.org/officeDocument/2006/relationships/hyperlink" Target="https://www.linkedin.com/learning/paths/trabalho-remoto-colaboracao-foco-e-produtividade?trk=ondemandfile" TargetMode="External"/><Relationship Id="rId45" Type="http://schemas.openxmlformats.org/officeDocument/2006/relationships/hyperlink" Target="https://www.linkedin.com/learning/die-leistung-der-mitarbeiter-innen-steigern?trk=ondemandfile" TargetMode="External"/><Relationship Id="rId66" Type="http://schemas.openxmlformats.org/officeDocument/2006/relationships/hyperlink" Target="https://www.linkedin.com/learning/00-ergebnis-manag?trk=ondemandfile" TargetMode="External"/><Relationship Id="rId87" Type="http://schemas.openxmlformats.org/officeDocument/2006/relationships/hyperlink" Target="https://www.linkedin.com/learning/como-orientar-y-desarrollar-a-tu-personal?trk=contentmappingfile" TargetMode="External"/><Relationship Id="rId110" Type="http://schemas.openxmlformats.org/officeDocument/2006/relationships/hyperlink" Target="https://www.linkedin.com/learning/managing-high-potentials?trk=ondemandfile" TargetMode="External"/><Relationship Id="rId115" Type="http://schemas.openxmlformats.org/officeDocument/2006/relationships/hyperlink" Target="https://www.linkedin.com/learning/how-to-set-team-and-employee-goals?trk=ondemandfile" TargetMode="External"/><Relationship Id="rId131" Type="http://schemas.openxmlformats.org/officeDocument/2006/relationships/hyperlink" Target="https://www.linkedin.com/learning/measuring-team-performance-5?trk=ondemandfile" TargetMode="External"/><Relationship Id="rId136" Type="http://schemas.openxmlformats.org/officeDocument/2006/relationships/hyperlink" Target="https://www.linkedin.com/learning/teletrabajo-y-gestion-de-equipos-remotos?trk=contentmappingfile" TargetMode="External"/><Relationship Id="rId157" Type="http://schemas.openxmlformats.org/officeDocument/2006/relationships/hyperlink" Target="https://www.linkedin.com/learning/empathy-tips-for-hr-professionals?trk=ondemandfile" TargetMode="External"/><Relationship Id="rId61" Type="http://schemas.openxmlformats.org/officeDocument/2006/relationships/hyperlink" Target="https://www.linkedin.com/learning/overcoming-procrastination-14825895?trk=contentmappingfile" TargetMode="External"/><Relationship Id="rId82" Type="http://schemas.openxmlformats.org/officeDocument/2006/relationships/hyperlink" Target="https://www.linkedin.com/learning/mehrere-generationen-managen?trk=ondemandfile" TargetMode="External"/><Relationship Id="rId152" Type="http://schemas.openxmlformats.org/officeDocument/2006/relationships/hyperlink" Target="https://www.linkedin.com/learning/coaching-for-results?trk=ondemandfile" TargetMode="External"/><Relationship Id="rId19" Type="http://schemas.openxmlformats.org/officeDocument/2006/relationships/hyperlink" Target="https://www.linkedin.com/learning/managing-virtual-teams?trk=ondemandfile" TargetMode="External"/><Relationship Id="rId14" Type="http://schemas.openxmlformats.org/officeDocument/2006/relationships/hyperlink" Target="https://www.linkedin.com/learning/coacher-et-aider-ses-employes-employees-a-se-developper?trk=contentmappingfile" TargetMode="External"/><Relationship Id="rId30" Type="http://schemas.openxmlformats.org/officeDocument/2006/relationships/hyperlink" Target="https://www.linkedin.com/learning/learning-to-be-assertive-14827737?trk=contentmappingfile" TargetMode="External"/><Relationship Id="rId35" Type="http://schemas.openxmlformats.org/officeDocument/2006/relationships/hyperlink" Target="https://www.linkedin.com/learning/paths/finding-and-retaining-talent?trk=ondemandfile" TargetMode="External"/><Relationship Id="rId56" Type="http://schemas.openxmlformats.org/officeDocument/2006/relationships/hyperlink" Target="https://www.linkedin.com/learning/rewarding-employee-performance?trk=ondemandfile" TargetMode="External"/><Relationship Id="rId77" Type="http://schemas.openxmlformats.org/officeDocument/2006/relationships/hyperlink" Target="https://www.linkedin.com/learning/como-medir-el-rendimiento-de-tu-equipo?trk=contentmappingfile" TargetMode="External"/><Relationship Id="rId100" Type="http://schemas.openxmlformats.org/officeDocument/2006/relationships/hyperlink" Target="https://www.linkedin.com/learning/managing-experts?trk=ondemandfile" TargetMode="External"/><Relationship Id="rId105" Type="http://schemas.openxmlformats.org/officeDocument/2006/relationships/hyperlink" Target="https://www.linkedin.com/learning/managing-high-performers?trk=ondemandfile" TargetMode="External"/><Relationship Id="rId126" Type="http://schemas.openxmlformats.org/officeDocument/2006/relationships/hyperlink" Target="https://www.linkedin.com/learning/jeff-weiner-definir-une-culture-et-un-plan-d-evolution?trk=contentmappingfile" TargetMode="External"/><Relationship Id="rId147" Type="http://schemas.openxmlformats.org/officeDocument/2006/relationships/hyperlink" Target="https://www.linkedin.com/learning/using-feedback-to-drive-performance?trk=ondemandfile" TargetMode="External"/><Relationship Id="rId8" Type="http://schemas.openxmlformats.org/officeDocument/2006/relationships/hyperlink" Target="https://www.linkedin.com/learning/managing-for-results-3?trk=ondemandfile" TargetMode="External"/><Relationship Id="rId51" Type="http://schemas.openxmlformats.org/officeDocument/2006/relationships/hyperlink" Target="https://www.linkedin.com/learning/como-gestionar-un-equipo-multigeneracional?trk=contentmappingfile" TargetMode="External"/><Relationship Id="rId72" Type="http://schemas.openxmlformats.org/officeDocument/2006/relationships/hyperlink" Target="https://www.linkedin.com/learning/como-liderar-equipos-de-alto-potencial?trk=contentmappingfile" TargetMode="External"/><Relationship Id="rId93" Type="http://schemas.openxmlformats.org/officeDocument/2006/relationships/hyperlink" Target="https://www.linkedin.com/learning/00-feedback?trk=ondemandfile" TargetMode="External"/><Relationship Id="rId98" Type="http://schemas.openxmlformats.org/officeDocument/2006/relationships/hyperlink" Target="https://www.linkedin.com/learning/contratacao-de-colaboradores-tecnicas-para-gerentes?trk=contentmappingfile" TargetMode="External"/><Relationship Id="rId121" Type="http://schemas.openxmlformats.org/officeDocument/2006/relationships/hyperlink" Target="https://www.linkedin.com/learning/incrementar-el-compromiso-con-los-programas-de-aprendizaje-electronico?trk=ondemandfile" TargetMode="External"/><Relationship Id="rId142" Type="http://schemas.openxmlformats.org/officeDocument/2006/relationships/hyperlink" Target="https://www.linkedin.com/learning/improving-employee-performance?trk=ondemandfile" TargetMode="External"/><Relationship Id="rId163" Type="http://schemas.openxmlformats.org/officeDocument/2006/relationships/hyperlink" Target="https://www.linkedin.com/learning/predictive-analytics-essential-training-for-executives?trk=ondemandfile" TargetMode="External"/><Relationship Id="rId3" Type="http://schemas.openxmlformats.org/officeDocument/2006/relationships/hyperlink" Target="https://www.linkedin.com/learning/ameliorer-les-performances-des-employes-employees?trk=contentmappingfile" TargetMode="External"/><Relationship Id="rId25" Type="http://schemas.openxmlformats.org/officeDocument/2006/relationships/hyperlink" Target="https://www.linkedin.com/learning/paths/become-a-senior-manager?trk=ondemandfile" TargetMode="External"/><Relationship Id="rId46" Type="http://schemas.openxmlformats.org/officeDocument/2006/relationships/hyperlink" Target="https://www.linkedin.com/learning/management-foundations-4?trk=ondemandfile" TargetMode="External"/><Relationship Id="rId67" Type="http://schemas.openxmlformats.org/officeDocument/2006/relationships/hyperlink" Target="https://www.linkedin.com/learning/cultivating-a-growth-mindset-4?trk=ondemandfile" TargetMode="External"/><Relationship Id="rId116" Type="http://schemas.openxmlformats.org/officeDocument/2006/relationships/hyperlink" Target="https://www.linkedin.com/learning/gerer-son-stress-au-travail?trk=contentmappingfile" TargetMode="External"/><Relationship Id="rId137" Type="http://schemas.openxmlformats.org/officeDocument/2006/relationships/hyperlink" Target="https://www.linkedin.com/learning/interviewing-techniques?trk=ondemandfile" TargetMode="External"/><Relationship Id="rId158" Type="http://schemas.openxmlformats.org/officeDocument/2006/relationships/hyperlink" Target="https://www.linkedin.com/learning/boosting-your-team-s-productivity?trk=ondemandfile" TargetMode="External"/><Relationship Id="rId20" Type="http://schemas.openxmlformats.org/officeDocument/2006/relationships/hyperlink" Target="https://www.linkedin.com/learning/como-colaborar-de-forma-eficaz-com-sua-equipe?trk=contentmappingfile" TargetMode="External"/><Relationship Id="rId41" Type="http://schemas.openxmlformats.org/officeDocument/2006/relationships/hyperlink" Target="https://www.linkedin.com/learning/hiring-an-employee-for-managers-2?trk=ondemandfile" TargetMode="External"/><Relationship Id="rId62" Type="http://schemas.openxmlformats.org/officeDocument/2006/relationships/hyperlink" Target="https://www.linkedin.com/learning/como-desenvolver-novas-habilidades-para-o-futuro-do-trabalho?trk=contentmappingfile" TargetMode="External"/><Relationship Id="rId83" Type="http://schemas.openxmlformats.org/officeDocument/2006/relationships/hyperlink" Target="https://www.linkedin.com/learning/como-integrar-novos-colaboradores-e-colaboradoras-a-empresa?trk=contentmappingfile" TargetMode="External"/><Relationship Id="rId88" Type="http://schemas.openxmlformats.org/officeDocument/2006/relationships/hyperlink" Target="https://www.linkedin.com/learning/mit-schwierigen-mitarbeiter-innen-umgehen?trk=ondemandfile" TargetMode="External"/><Relationship Id="rId111" Type="http://schemas.openxmlformats.org/officeDocument/2006/relationships/hyperlink" Target="https://www.linkedin.com/learning/gerer-les-techniciens-techniciennes?trk=contentmappingfile" TargetMode="External"/><Relationship Id="rId132" Type="http://schemas.openxmlformats.org/officeDocument/2006/relationships/hyperlink" Target="https://www.linkedin.com/learning/performance-management-conducting-performance-reviews?trk=ondemandfile" TargetMode="External"/><Relationship Id="rId153" Type="http://schemas.openxmlformats.org/officeDocument/2006/relationships/hyperlink" Target="https://www.linkedin.com/learning/managing-employee-performance-problems-2018?trk=ondemandfile" TargetMode="External"/><Relationship Id="rId15" Type="http://schemas.openxmlformats.org/officeDocument/2006/relationships/hyperlink" Target="https://www.linkedin.com/learning/como-crear-una-cultura-de-alto-rendimiento?trk=ondemandfile" TargetMode="External"/><Relationship Id="rId36" Type="http://schemas.openxmlformats.org/officeDocument/2006/relationships/hyperlink" Target="https://www.linkedin.com/learning/conseils-d-experte-manager-la-generation-z?trk=contentmappingfile" TargetMode="External"/><Relationship Id="rId57" Type="http://schemas.openxmlformats.org/officeDocument/2006/relationships/hyperlink" Target="https://www.linkedin.com/learning/paths/recruit-and-maximize-talent?trk=ondemandfile" TargetMode="External"/><Relationship Id="rId106" Type="http://schemas.openxmlformats.org/officeDocument/2006/relationships/hyperlink" Target="https://www.linkedin.com/learning/gerer-les-problemes-de-performance-de-ses-employes-employees?trk=contentmappingfile" TargetMode="External"/><Relationship Id="rId127" Type="http://schemas.openxmlformats.org/officeDocument/2006/relationships/hyperlink" Target="https://www.linkedin.com/learning/00-jeff-weiner-on-establishing-a-culture-and-a-plan-for-scaling?trk=ondemandfile" TargetMode="External"/><Relationship Id="rId10" Type="http://schemas.openxmlformats.org/officeDocument/2006/relationships/hyperlink" Target="https://www.linkedin.com/learning/delivering-employee-feedback-3?trk=ondemandfile" TargetMode="External"/><Relationship Id="rId31" Type="http://schemas.openxmlformats.org/officeDocument/2006/relationships/hyperlink" Target="https://www.linkedin.com/learning/paths/transforme-se-num-lider-disruptivo?trk=ondemandfile" TargetMode="External"/><Relationship Id="rId52" Type="http://schemas.openxmlformats.org/officeDocument/2006/relationships/hyperlink" Target="https://www.linkedin.com/learning/die-unternehmensleistung-messen?trk=ondemandfile" TargetMode="External"/><Relationship Id="rId73" Type="http://schemas.openxmlformats.org/officeDocument/2006/relationships/hyperlink" Target="https://www.linkedin.com/learning/handwerkszeug-fur-fuhrungskrafte?trk=ondemandfile" TargetMode="External"/><Relationship Id="rId78" Type="http://schemas.openxmlformats.org/officeDocument/2006/relationships/hyperlink" Target="https://www.linkedin.com/learning/hochleistungsteams-aufbauen?trk=ondemandfile" TargetMode="External"/><Relationship Id="rId94" Type="http://schemas.openxmlformats.org/officeDocument/2006/relationships/hyperlink" Target="https://www.linkedin.com/learning/managing-a-diverse-team-2?trk=ondemandfile" TargetMode="External"/><Relationship Id="rId99" Type="http://schemas.openxmlformats.org/officeDocument/2006/relationships/hyperlink" Target="https://www.linkedin.com/learning/managing-new-managers-4?trk=ondemandfile" TargetMode="External"/><Relationship Id="rId101" Type="http://schemas.openxmlformats.org/officeDocument/2006/relationships/hyperlink" Target="https://www.linkedin.com/learning/gerer-les-managers-experimentes-experimentees?trk=contentmappingfile" TargetMode="External"/><Relationship Id="rId122" Type="http://schemas.openxmlformats.org/officeDocument/2006/relationships/hyperlink" Target="https://www.linkedin.com/learning/00-zielvereinbarung?trk=ondemandfile" TargetMode="External"/><Relationship Id="rId143" Type="http://schemas.openxmlformats.org/officeDocument/2006/relationships/hyperlink" Target="https://www.linkedin.com/learning/managing-virtual-teams-2019?trk=ondemandfile" TargetMode="External"/><Relationship Id="rId148" Type="http://schemas.openxmlformats.org/officeDocument/2006/relationships/hyperlink" Target="https://www.linkedin.com/learning/performance-management-employee-engagement?trk=ondemandfile" TargetMode="External"/><Relationship Id="rId164" Type="http://schemas.openxmlformats.org/officeDocument/2006/relationships/hyperlink" Target="https://www.linkedin.com/learning/running-a-design-business-the-staffing-rule-book?trk=ondemandfile" TargetMode="External"/><Relationship Id="rId4" Type="http://schemas.openxmlformats.org/officeDocument/2006/relationships/hyperlink" Target="https://www.linkedin.com/learning/como-administrar-por-objetivos?trk=ondemandfile" TargetMode="External"/><Relationship Id="rId9" Type="http://schemas.openxmlformats.org/officeDocument/2006/relationships/hyperlink" Target="https://www.linkedin.com/learning/paths/torne-se-um-gestor-de-projetos?trk=ondemandfile" TargetMode="External"/><Relationship Id="rId26" Type="http://schemas.openxmlformats.org/officeDocument/2006/relationships/hyperlink" Target="https://www.linkedin.com/learning/coacher-pour-generer-des-resultats?trk=contentmappingfile" TargetMode="External"/><Relationship Id="rId47" Type="http://schemas.openxmlformats.org/officeDocument/2006/relationships/hyperlink" Target="https://www.linkedin.com/learning/employee-engagement-3?trk=ondemandfile" TargetMode="External"/><Relationship Id="rId68" Type="http://schemas.openxmlformats.org/officeDocument/2006/relationships/hyperlink" Target="https://www.linkedin.com/learning/como-enfrentar-a-ansiedade-no-trabalho?trk=contentmappingfile" TargetMode="External"/><Relationship Id="rId89" Type="http://schemas.openxmlformats.org/officeDocument/2006/relationships/hyperlink" Target="https://www.linkedin.com/learning/management-foundations-2?trk=ondemandfile" TargetMode="External"/><Relationship Id="rId112" Type="http://schemas.openxmlformats.org/officeDocument/2006/relationships/hyperlink" Target="https://www.linkedin.com/learning/gestion-de-equipos-mediante-okr-s-o-misiones-objetivos-y-resultados-clave?trk=contentmappingfile" TargetMode="External"/><Relationship Id="rId133" Type="http://schemas.openxmlformats.org/officeDocument/2006/relationships/hyperlink" Target="https://www.linkedin.com/learning/motivaci-n-e-implicaci-n-en-la-empresa?trk=ondemandfile" TargetMode="External"/><Relationship Id="rId154" Type="http://schemas.openxmlformats.org/officeDocument/2006/relationships/hyperlink" Target="https://www.linkedin.com/learning/management-tips?trk=ondemandfile" TargetMode="External"/><Relationship Id="rId16" Type="http://schemas.openxmlformats.org/officeDocument/2006/relationships/hyperlink" Target="https://es.linkedin.com/learning/paths/conviertete-en-reclutador-de-talentos?trk=ondemandfile" TargetMode="External"/><Relationship Id="rId37" Type="http://schemas.openxmlformats.org/officeDocument/2006/relationships/hyperlink" Target="https://www.linkedin.com/learning/como-gestionar-a-personas-con-alto-potencial?trk=contentmappingfile" TargetMode="External"/><Relationship Id="rId58" Type="http://schemas.openxmlformats.org/officeDocument/2006/relationships/hyperlink" Target="https://www.linkedin.com/learning/devenir-un-manager-bienveillant-une-manager-bienveillante?trk=contentmappingfile" TargetMode="External"/><Relationship Id="rId79" Type="http://schemas.openxmlformats.org/officeDocument/2006/relationships/hyperlink" Target="https://www.linkedin.com/learning/new-manager-foundations-3?trk=ondemandfile" TargetMode="External"/><Relationship Id="rId102" Type="http://schemas.openxmlformats.org/officeDocument/2006/relationships/hyperlink" Target="https://www.linkedin.com/learning/00-performance-review-fundamentals?trk=ondemandfile" TargetMode="External"/><Relationship Id="rId123" Type="http://schemas.openxmlformats.org/officeDocument/2006/relationships/hyperlink" Target="https://www.linkedin.com/learning/gestao-de-novos-cargos-de-gerencia?trk=contentmappingfile" TargetMode="External"/><Relationship Id="rId144" Type="http://schemas.openxmlformats.org/officeDocument/2006/relationships/hyperlink" Target="https://www.linkedin.com/learning/motivating-and-engaging-employees-2?trk=ondemandfile" TargetMode="External"/><Relationship Id="rId90" Type="http://schemas.openxmlformats.org/officeDocument/2006/relationships/hyperlink" Target="https://www.linkedin.com/learning/finding-and-retaining-high-potentials-9018297?trk=ondemandfile" TargetMode="External"/><Relationship Id="rId165" Type="http://schemas.openxmlformats.org/officeDocument/2006/relationships/hyperlink" Target="https://www.linkedin.com/learning/rolling-out-a-dibs-training-program-in-your-company?trk=ondemandfile" TargetMode="External"/><Relationship Id="rId27" Type="http://schemas.openxmlformats.org/officeDocument/2006/relationships/hyperlink" Target="https://www.linkedin.com/learning/como-cultivar-una-mentalidad-de-crecimiento?trk=ondemandfile" TargetMode="External"/><Relationship Id="rId48" Type="http://schemas.openxmlformats.org/officeDocument/2006/relationships/hyperlink" Target="https://www.linkedin.com/learning/talent-management?trk=ondemandfile" TargetMode="External"/><Relationship Id="rId69" Type="http://schemas.openxmlformats.org/officeDocument/2006/relationships/hyperlink" Target="https://www.linkedin.com/learning/84777a9a-010b-3e75-8b28-27d3706e8c9a?trk=ondemandfile" TargetMode="External"/><Relationship Id="rId113" Type="http://schemas.openxmlformats.org/officeDocument/2006/relationships/hyperlink" Target="https://www.linkedin.com/learning/die-teamleistung-messen?trk=ondemandfile" TargetMode="External"/><Relationship Id="rId134" Type="http://schemas.openxmlformats.org/officeDocument/2006/relationships/hyperlink" Target="https://www.linkedin.com/learning/coaching-and-developing-employees-3?trk=ondemandfile" TargetMode="External"/><Relationship Id="rId80" Type="http://schemas.openxmlformats.org/officeDocument/2006/relationships/hyperlink" Target="https://www.linkedin.com/learning/developing-a-mentoring-program?trk=ondemandfile" TargetMode="External"/><Relationship Id="rId155" Type="http://schemas.openxmlformats.org/officeDocument/2006/relationships/hyperlink" Target="https://www.linkedin.com/learning/hr-recruiting-communication-strategies-to-attract-and-retain-top-talent?trk=ondemandfile" TargetMode="External"/></Relationships>
</file>

<file path=xl/worksheets/_rels/sheet33.xml.rels><?xml version="1.0" encoding="UTF-8" standalone="yes"?>
<Relationships xmlns="http://schemas.openxmlformats.org/package/2006/relationships"><Relationship Id="rId117" Type="http://schemas.openxmlformats.org/officeDocument/2006/relationships/hyperlink" Target="https://www.linkedin.com/learning/business-law-for-managers?trk=ondemandfile" TargetMode="External"/><Relationship Id="rId21" Type="http://schemas.openxmlformats.org/officeDocument/2006/relationships/hyperlink" Target="https://www.linkedin.com/learning/managing-globally?trk=ondemandfile" TargetMode="External"/><Relationship Id="rId42" Type="http://schemas.openxmlformats.org/officeDocument/2006/relationships/hyperlink" Target="https://www.linkedin.com/learning/como-desactivar-la-comunicacion-toxica?trk=ondemandfile" TargetMode="External"/><Relationship Id="rId63" Type="http://schemas.openxmlformats.org/officeDocument/2006/relationships/hyperlink" Target="https://www.linkedin.com/learning/ihre-wirkungsvolle-diversity-strategie-entwickeln?trk=contentmappingfile" TargetMode="External"/><Relationship Id="rId84" Type="http://schemas.openxmlformats.org/officeDocument/2006/relationships/hyperlink" Target="https://www.linkedin.com/learning/00-anteilmanag?trk=ondemandfile" TargetMode="External"/><Relationship Id="rId138" Type="http://schemas.openxmlformats.org/officeDocument/2006/relationships/hyperlink" Target="https://www.linkedin.com/learning/a-manager-s-guide-to-inclusive-teams?trk=ondemandfile" TargetMode="External"/><Relationship Id="rId159" Type="http://schemas.openxmlformats.org/officeDocument/2006/relationships/hyperlink" Target="https://www.linkedin.com/learning/leveraging-neuroscience-for-business-impact?trk=ondemandfile" TargetMode="External"/><Relationship Id="rId170" Type="http://schemas.openxmlformats.org/officeDocument/2006/relationships/hyperlink" Target="https://www.linkedin.com/learning/women-transforming-tech-finding-a-mentor?trk=ondemandfile" TargetMode="External"/><Relationship Id="rId191" Type="http://schemas.openxmlformats.org/officeDocument/2006/relationships/hyperlink" Target="https://www.linkedin.com/learning/mentorship-sponsorship-and-lifting-others-as-you-climb?trk=ondemandfile" TargetMode="External"/><Relationship Id="rId205" Type="http://schemas.openxmlformats.org/officeDocument/2006/relationships/hyperlink" Target="https://www.linkedin.com/learning/communicating-about-culturally-sensitive-issues?trk=ondemandfile" TargetMode="External"/><Relationship Id="rId226" Type="http://schemas.openxmlformats.org/officeDocument/2006/relationships/hyperlink" Target="https://www.linkedin.com/learning/bystander-training-from-bystander-to-upstander?trk=ondemandfile" TargetMode="External"/><Relationship Id="rId107" Type="http://schemas.openxmlformats.org/officeDocument/2006/relationships/hyperlink" Target="https://www.linkedin.com/learning/social-diversity-unternehmenserfolg-durch-soziale-vielfalt?trk=ondemandfile" TargetMode="External"/><Relationship Id="rId11" Type="http://schemas.openxmlformats.org/officeDocument/2006/relationships/hyperlink" Target="https://www.linkedin.com/learning/leading-globally?trk=ondemandfile" TargetMode="External"/><Relationship Id="rId32" Type="http://schemas.openxmlformats.org/officeDocument/2006/relationships/hyperlink" Target="https://www.linkedin.com/learning/diversity-and-inclusion-in-a-global-enterprise-5?trk=ondemandfile" TargetMode="External"/><Relationship Id="rId53" Type="http://schemas.openxmlformats.org/officeDocument/2006/relationships/hyperlink" Target="https://www.linkedin.com/learning/managing-a-multigenerational-workforce?trk=ondemandfile" TargetMode="External"/><Relationship Id="rId74" Type="http://schemas.openxmlformats.org/officeDocument/2006/relationships/hyperlink" Target="https://www.linkedin.com/learning/accessibility-for-the-workplace?trk=ondemandfile" TargetMode="External"/><Relationship Id="rId128" Type="http://schemas.openxmlformats.org/officeDocument/2006/relationships/hyperlink" Target="https://www.linkedin.com/learning/wertschatzende-kommunikation-trotz-unterschieden-erfolgreich-kommunizieren?trk=contentmappingfile" TargetMode="External"/><Relationship Id="rId149" Type="http://schemas.openxmlformats.org/officeDocument/2006/relationships/hyperlink" Target="https://www.linkedin.com/learning/how-to-speak-up-against-racism-at-work?trk=ondemandfile" TargetMode="External"/><Relationship Id="rId5" Type="http://schemas.openxmlformats.org/officeDocument/2006/relationships/hyperlink" Target="https://www.linkedin.com/learning/10-mythen-uber-diversity-inclusion-und-zugehorigkeit-am-arbeitsplatz?trk=contentmappingfile" TargetMode="External"/><Relationship Id="rId95" Type="http://schemas.openxmlformats.org/officeDocument/2006/relationships/hyperlink" Target="https://www.linkedin.com/learning/como-liderar-a-la-generacion-y?trk=contentmappingfile" TargetMode="External"/><Relationship Id="rId160" Type="http://schemas.openxmlformats.org/officeDocument/2006/relationships/hyperlink" Target="https://www.linkedin.com/learning/creating-a-great-place-to-work-for-all?trk=ondemandfile" TargetMode="External"/><Relationship Id="rId181" Type="http://schemas.openxmlformats.org/officeDocument/2006/relationships/hyperlink" Target="https://www.linkedin.com/learning/the-science-of-compassion-an-introduction?trk=ondemandfile" TargetMode="External"/><Relationship Id="rId216" Type="http://schemas.openxmlformats.org/officeDocument/2006/relationships/hyperlink" Target="https://www.linkedin.com/learning/leadership-in-tech?trk=ondemandfile" TargetMode="External"/><Relationship Id="rId237" Type="http://schemas.openxmlformats.org/officeDocument/2006/relationships/hyperlink" Target="https://www.linkedin.com/learning/success-strategies-for-women-in-the-workplace?trk=ondemandfile" TargetMode="External"/><Relationship Id="rId22" Type="http://schemas.openxmlformats.org/officeDocument/2006/relationships/hyperlink" Target="https://www.linkedin.com/learning/paths/build-a-more-equitable-and-inclusive-workplace?trk=ondemandfile" TargetMode="External"/><Relationship Id="rId43" Type="http://schemas.openxmlformats.org/officeDocument/2006/relationships/hyperlink" Target="https://www.linkedin.com/learning/erfolgsstrategien-fur-frauen-in-fuhrungspositionen?trk=ondemandfile" TargetMode="External"/><Relationship Id="rId64" Type="http://schemas.openxmlformats.org/officeDocument/2006/relationships/hyperlink" Target="https://www.linkedin.com/learning/diversity-recruiting-14836915?trk=contentmappingfile" TargetMode="External"/><Relationship Id="rId118" Type="http://schemas.openxmlformats.org/officeDocument/2006/relationships/hyperlink" Target="https://www.linkedin.com/learning/le-leadership-inclusif-devenir-un-allie-une-alliee?trk=contentmappingfile" TargetMode="External"/><Relationship Id="rId139" Type="http://schemas.openxmlformats.org/officeDocument/2006/relationships/hyperlink" Target="https://www.linkedin.com/learning/involucrate-en-lo-que-sucede-a-tu-alrededor-de-espectador-a-protagonista?trk=ondemandfile" TargetMode="External"/><Relationship Id="rId85" Type="http://schemas.openxmlformats.org/officeDocument/2006/relationships/hyperlink" Target="https://www.linkedin.com/learning/improving-your-judgment-3?trk=ondemandfile" TargetMode="External"/><Relationship Id="rId150" Type="http://schemas.openxmlformats.org/officeDocument/2006/relationships/hyperlink" Target="https://www.linkedin.com/learning/recruter-en-pensant-a-la-diversite?trk=contentmappingfile" TargetMode="External"/><Relationship Id="rId171" Type="http://schemas.openxmlformats.org/officeDocument/2006/relationships/hyperlink" Target="https://www.linkedin.com/learning/women-transforming-tech-breaking-in-and-staying-in-the-industry?trk=ondemandfile" TargetMode="External"/><Relationship Id="rId192" Type="http://schemas.openxmlformats.org/officeDocument/2006/relationships/hyperlink" Target="https://www.linkedin.com/learning/mindfulness-diversity-and-the-quest-for-inclusion?trk=ondemandfile" TargetMode="External"/><Relationship Id="rId206" Type="http://schemas.openxmlformats.org/officeDocument/2006/relationships/hyperlink" Target="https://www.linkedin.com/learning/understanding-and-supporting-asian-employees?trk=ondemandfile" TargetMode="External"/><Relationship Id="rId227" Type="http://schemas.openxmlformats.org/officeDocument/2006/relationships/hyperlink" Target="https://www.linkedin.com/learning/how-to-be-more-inclusive?trk=ondemandfile" TargetMode="External"/><Relationship Id="rId12" Type="http://schemas.openxmlformats.org/officeDocument/2006/relationships/hyperlink" Target="https://www.linkedin.com/learning/paths/become-a-thought-leader?trk=ondemandfile" TargetMode="External"/><Relationship Id="rId33" Type="http://schemas.openxmlformats.org/officeDocument/2006/relationships/hyperlink" Target="https://www.linkedin.com/learning/skills-for-inclusive-conversations-2?trk=ondemandfile" TargetMode="External"/><Relationship Id="rId108" Type="http://schemas.openxmlformats.org/officeDocument/2006/relationships/hyperlink" Target="https://www.linkedin.com/learning/managing-globally-4?trk=ondemandfile" TargetMode="External"/><Relationship Id="rId129" Type="http://schemas.openxmlformats.org/officeDocument/2006/relationships/hyperlink" Target="https://www.linkedin.com/learning/bystander-training-from-bystander-to-upstander-9242703?trk=contentmappingfile" TargetMode="External"/><Relationship Id="rId54" Type="http://schemas.openxmlformats.org/officeDocument/2006/relationships/hyperlink" Target="https://www.linkedin.com/learning/paths/stay-ahead-in-all-things-dibs?trk=ondemandfile" TargetMode="External"/><Relationship Id="rId75" Type="http://schemas.openxmlformats.org/officeDocument/2006/relationships/hyperlink" Target="https://www.linkedin.com/learning/paths/women-in-leadership-3?trk=ondemandfile" TargetMode="External"/><Relationship Id="rId96" Type="http://schemas.openxmlformats.org/officeDocument/2006/relationships/hyperlink" Target="https://www.linkedin.com/learning/multikulturelle-teams-f-hren?trk=ondemandfile" TargetMode="External"/><Relationship Id="rId140" Type="http://schemas.openxmlformats.org/officeDocument/2006/relationships/hyperlink" Target="https://www.linkedin.com/learning/lideranca-global-como-gerenciar-a-complexidade-e-a-diversidade?trk=contentmappingfile" TargetMode="External"/><Relationship Id="rId161" Type="http://schemas.openxmlformats.org/officeDocument/2006/relationships/hyperlink" Target="https://www.linkedin.com/learning/out-and-proud-approaching-lgbt-issues-in-the-workplace?trk=ondemandfile" TargetMode="External"/><Relationship Id="rId182" Type="http://schemas.openxmlformats.org/officeDocument/2006/relationships/hyperlink" Target="https://www.linkedin.com/learning/the-science-of-compassion-the-upward-spiral-of-compassion?trk=ondemandfile" TargetMode="External"/><Relationship Id="rId217" Type="http://schemas.openxmlformats.org/officeDocument/2006/relationships/hyperlink" Target="https://www.linkedin.com/learning/awakening-compassion-at-work-blinkist-summary?trk=ondemandfile" TargetMode="External"/><Relationship Id="rId6" Type="http://schemas.openxmlformats.org/officeDocument/2006/relationships/hyperlink" Target="https://www.linkedin.com/learning/paths/die-interkulturelle-kompetenz-erweitern?trk=ondemandfile" TargetMode="External"/><Relationship Id="rId238" Type="http://schemas.openxmlformats.org/officeDocument/2006/relationships/hyperlink" Target="https://www.linkedin.com/learning/creating-a-connection-culture?trk=ondemandfile" TargetMode="External"/><Relationship Id="rId23" Type="http://schemas.openxmlformats.org/officeDocument/2006/relationships/hyperlink" Target="https://www.linkedin.com/learning/como-crear-documentos-accesibles-en-office-365-microsoft-365?trk=ondemandfile" TargetMode="External"/><Relationship Id="rId119" Type="http://schemas.openxmlformats.org/officeDocument/2006/relationships/hyperlink" Target="https://www.linkedin.com/learning/00-comunicacion-intercultural?trk=ondemandfile" TargetMode="External"/><Relationship Id="rId44" Type="http://schemas.openxmlformats.org/officeDocument/2006/relationships/hyperlink" Target="https://www.linkedin.com/learning/managing-multiple-generations-8332500?trk=ondemandfile" TargetMode="External"/><Relationship Id="rId65" Type="http://schemas.openxmlformats.org/officeDocument/2006/relationships/hyperlink" Target="https://www.linkedin.com/learning/como-prevenir-o-assedio-no-trabalho-e-criar-um-ambiente-seguro?trk=contentmappingfile" TargetMode="External"/><Relationship Id="rId86" Type="http://schemas.openxmlformats.org/officeDocument/2006/relationships/hyperlink" Target="https://www.linkedin.com/learning/powerless-to-powerful-taking-control-2?trk=ondemandfile" TargetMode="External"/><Relationship Id="rId130" Type="http://schemas.openxmlformats.org/officeDocument/2006/relationships/hyperlink" Target="https://www.linkedin.com/learning/managing-a-diverse-team?trk=ondemandfile" TargetMode="External"/><Relationship Id="rId151" Type="http://schemas.openxmlformats.org/officeDocument/2006/relationships/hyperlink" Target="https://www.linkedin.com/learning/la-salud-tu-mejor-talento?trk=ondemandfile" TargetMode="External"/><Relationship Id="rId172" Type="http://schemas.openxmlformats.org/officeDocument/2006/relationships/hyperlink" Target="https://www.linkedin.com/learning/women-transforming-tech-networking?trk=ondemandfile" TargetMode="External"/><Relationship Id="rId193" Type="http://schemas.openxmlformats.org/officeDocument/2006/relationships/hyperlink" Target="https://www.linkedin.com/learning/talking-boldly-when-inclusion-meets-politics-at-the-office?trk=ondemandfile" TargetMode="External"/><Relationship Id="rId207" Type="http://schemas.openxmlformats.org/officeDocument/2006/relationships/hyperlink" Target="https://www.linkedin.com/learning/communicating-across-cultures-2?trk=ondemandfile" TargetMode="External"/><Relationship Id="rId228" Type="http://schemas.openxmlformats.org/officeDocument/2006/relationships/hyperlink" Target="https://www.linkedin.com/learning/digital-accessibility-for-the-modern-workplace-with-audio-descriptions?trk=ondemandfile" TargetMode="External"/><Relationship Id="rId13" Type="http://schemas.openxmlformats.org/officeDocument/2006/relationships/hyperlink" Target="https://www.linkedin.com/learning/ameliorer-son-index-d-egalite-professionnelle?trk=contentmappingfile" TargetMode="External"/><Relationship Id="rId109" Type="http://schemas.openxmlformats.org/officeDocument/2006/relationships/hyperlink" Target="https://www.linkedin.com/learning/achieving-diversity-as-a-hiring-manager?trk=ondemandfile" TargetMode="External"/><Relationship Id="rId34" Type="http://schemas.openxmlformats.org/officeDocument/2006/relationships/hyperlink" Target="https://www.linkedin.com/learning/how-to-be-an-inclusive-leader-getabstract-summary?trk=ondemandfile" TargetMode="External"/><Relationship Id="rId55" Type="http://schemas.openxmlformats.org/officeDocument/2006/relationships/hyperlink" Target="https://www.linkedin.com/learning/como-desarrollar-un-programa-de-diversidad-inclusion-y-pertenencia?trk=ondemandfile" TargetMode="External"/><Relationship Id="rId76" Type="http://schemas.openxmlformats.org/officeDocument/2006/relationships/hyperlink" Target="https://www.linkedin.com/learning/como-gestionar-la-diversidad?trk=ondemandfile" TargetMode="External"/><Relationship Id="rId97" Type="http://schemas.openxmlformats.org/officeDocument/2006/relationships/hyperlink" Target="https://www.linkedin.com/learning/proven-success-strategies-for-women-at-work-4?trk=ondemandfile" TargetMode="External"/><Relationship Id="rId120" Type="http://schemas.openxmlformats.org/officeDocument/2006/relationships/hyperlink" Target="https://www.linkedin.com/learning/00-fragenfuehren?trk=ondemandfile" TargetMode="External"/><Relationship Id="rId141" Type="http://schemas.openxmlformats.org/officeDocument/2006/relationships/hyperlink" Target="https://www.linkedin.com/learning/empowering-bipoc-through-mentorship?trk=ondemandfile" TargetMode="External"/><Relationship Id="rId7" Type="http://schemas.openxmlformats.org/officeDocument/2006/relationships/hyperlink" Target="https://www.linkedin.com/learning/creating-an-lgbt-friendly-work-environment?trk=ondemandfile" TargetMode="External"/><Relationship Id="rId162" Type="http://schemas.openxmlformats.org/officeDocument/2006/relationships/hyperlink" Target="https://www.linkedin.com/learning/diversity-inclusion-and-belonging-2?trk=ondemandfile" TargetMode="External"/><Relationship Id="rId183" Type="http://schemas.openxmlformats.org/officeDocument/2006/relationships/hyperlink" Target="https://www.linkedin.com/learning/al-empire-course-03?trk=ondemandfile" TargetMode="External"/><Relationship Id="rId218" Type="http://schemas.openxmlformats.org/officeDocument/2006/relationships/hyperlink" Target="https://www.linkedin.com/learning/driving-change-and-anti-racism?trk=ondemandfile" TargetMode="External"/><Relationship Id="rId239" Type="http://schemas.openxmlformats.org/officeDocument/2006/relationships/hyperlink" Target="https://www.linkedin.com/learning/fostering-belonging-as-a-leader?trk=ondemandfile" TargetMode="External"/><Relationship Id="rId24" Type="http://schemas.openxmlformats.org/officeDocument/2006/relationships/hyperlink" Target="https://www.linkedin.com/learning/einfach-gendern-gendersensible-sprache-in-der-unternehmenspraxis?trk=ondemandfile" TargetMode="External"/><Relationship Id="rId45" Type="http://schemas.openxmlformats.org/officeDocument/2006/relationships/hyperlink" Target="https://www.linkedin.com/learning/como-desenvolver-as-competencias-necessarias-para-abordar-conversas-inclusivas?trk=contentmappingfile" TargetMode="External"/><Relationship Id="rId66" Type="http://schemas.openxmlformats.org/officeDocument/2006/relationships/hyperlink" Target="https://www.linkedin.com/learning/unconscious-bias-4?trk=ondemandfile" TargetMode="External"/><Relationship Id="rId87" Type="http://schemas.openxmlformats.org/officeDocument/2006/relationships/hyperlink" Target="https://www.linkedin.com/learning/leading-your-org-on-a-journey-of-allyship?trk=ondemandfile" TargetMode="External"/><Relationship Id="rId110" Type="http://schemas.openxmlformats.org/officeDocument/2006/relationships/hyperlink" Target="https://www.linkedin.com/learning/como-superar-los-sesgos-cognitivos?trk=ondemandfile" TargetMode="External"/><Relationship Id="rId131" Type="http://schemas.openxmlformats.org/officeDocument/2006/relationships/hyperlink" Target="https://www.linkedin.com/learning/estrategias-exitosas-para-mujeres-en-el-ambiente-de-trabajo?trk=ondemandfile" TargetMode="External"/><Relationship Id="rId152" Type="http://schemas.openxmlformats.org/officeDocument/2006/relationships/hyperlink" Target="https://www.linkedin.com/learning/how-to-foster-antiracist-workplaces-a-practical-guide-for-all-employees?trk=ondemandfile" TargetMode="External"/><Relationship Id="rId173" Type="http://schemas.openxmlformats.org/officeDocument/2006/relationships/hyperlink" Target="https://www.linkedin.com/learning/finding-and-doing-the-one-thing?trk=ondemandfile" TargetMode="External"/><Relationship Id="rId194" Type="http://schemas.openxmlformats.org/officeDocument/2006/relationships/hyperlink" Target="https://www.linkedin.com/learning/building-inclusive-work-communities?trk=ondemandfile" TargetMode="External"/><Relationship Id="rId208" Type="http://schemas.openxmlformats.org/officeDocument/2006/relationships/hyperlink" Target="https://www.linkedin.com/learning/confronting-bias-thriving-across-our-differences?trk=ondemandfile" TargetMode="External"/><Relationship Id="rId229" Type="http://schemas.openxmlformats.org/officeDocument/2006/relationships/hyperlink" Target="https://www.linkedin.com/learning/succeeding-as-an-lgbt-professional?trk=ondemandfile" TargetMode="External"/><Relationship Id="rId240" Type="http://schemas.openxmlformats.org/officeDocument/2006/relationships/hyperlink" Target="https://www.linkedin.com/learning/leadership-strategies-for-women?trk=ondemandfile" TargetMode="External"/><Relationship Id="rId14" Type="http://schemas.openxmlformats.org/officeDocument/2006/relationships/hyperlink" Target="https://www.linkedin.com/learning/como-convertirse-en-un-aliado-femenino-en-el-trabajo?trk=ondemandfile" TargetMode="External"/><Relationship Id="rId35" Type="http://schemas.openxmlformats.org/officeDocument/2006/relationships/hyperlink" Target="https://www.linkedin.com/learning/paths/diversity-inclusion-and-belonging-for-leaders-and-managers?trk=ondemandfile" TargetMode="External"/><Relationship Id="rId56" Type="http://schemas.openxmlformats.org/officeDocument/2006/relationships/hyperlink" Target="https://www.linkedin.com/learning/fuhrungsstarke-ausstrahlen-tipps-fur-frauen?trk=ondemandfile" TargetMode="External"/><Relationship Id="rId77" Type="http://schemas.openxmlformats.org/officeDocument/2006/relationships/hyperlink" Target="https://www.linkedin.com/learning/internationale-personalentwicklung?trk=ondemandfile" TargetMode="External"/><Relationship Id="rId100" Type="http://schemas.openxmlformats.org/officeDocument/2006/relationships/hyperlink" Target="https://www.linkedin.com/learning/supporting-workers-with-disabilities?trk=ondemandfile" TargetMode="External"/><Relationship Id="rId8" Type="http://schemas.openxmlformats.org/officeDocument/2006/relationships/hyperlink" Target="https://www.linkedin.com/learning/paths/diversidade-inclusao-e-pertencimento-para-lideres-e-gerentes?trk=ondemandfile" TargetMode="External"/><Relationship Id="rId98" Type="http://schemas.openxmlformats.org/officeDocument/2006/relationships/hyperlink" Target="https://www.linkedin.com/learning/dez-mitos-sobre-diversidade-e-inclusao-no-trabalho?trk=contentmappingfile" TargetMode="External"/><Relationship Id="rId121" Type="http://schemas.openxmlformats.org/officeDocument/2006/relationships/hyperlink" Target="https://www.linkedin.com/learning/skills-for-inclusive-conversations-8953451?trk=ondemandfile" TargetMode="External"/><Relationship Id="rId142" Type="http://schemas.openxmlformats.org/officeDocument/2006/relationships/hyperlink" Target="https://www.linkedin.com/learning/00-jeff-weiner-on-establishing-a-culture-and-a-plan-for-scaling?trk=ondemandfile" TargetMode="External"/><Relationship Id="rId163" Type="http://schemas.openxmlformats.org/officeDocument/2006/relationships/hyperlink" Target="https://www.linkedin.com/learning/teaching-civility-in-the-workplace?trk=ondemandfile" TargetMode="External"/><Relationship Id="rId184" Type="http://schemas.openxmlformats.org/officeDocument/2006/relationships/hyperlink" Target="https://www.linkedin.com/learning/al-empire-course-04?trk=ondemandfile" TargetMode="External"/><Relationship Id="rId219" Type="http://schemas.openxmlformats.org/officeDocument/2006/relationships/hyperlink" Target="https://www.linkedin.com/learning/difficult-conversations-talking-about-race-at-work?trk=ondemandfile" TargetMode="External"/><Relationship Id="rId230" Type="http://schemas.openxmlformats.org/officeDocument/2006/relationships/hyperlink" Target="https://www.linkedin.com/learning/discussing-racism-with-dr-christina-greer?trk=ondemandfile" TargetMode="External"/><Relationship Id="rId25" Type="http://schemas.openxmlformats.org/officeDocument/2006/relationships/hyperlink" Target="https://www.linkedin.com/learning/paths/frauen-in-fuhrungspositionen?trk=ondemandfile" TargetMode="External"/><Relationship Id="rId46" Type="http://schemas.openxmlformats.org/officeDocument/2006/relationships/hyperlink" Target="https://www.linkedin.com/learning/developing-cross-cultural-intelligence-4?trk=ondemandfile" TargetMode="External"/><Relationship Id="rId67" Type="http://schemas.openxmlformats.org/officeDocument/2006/relationships/hyperlink" Target="https://www.linkedin.com/learning/developing-a-diversity-inclusion-and-belonging-program?trk=ondemandfile" TargetMode="External"/><Relationship Id="rId88" Type="http://schemas.openxmlformats.org/officeDocument/2006/relationships/hyperlink" Target="https://www.linkedin.com/learning/faire-face-aux-microagressions-au-travail?trk=contentmappingfile" TargetMode="External"/><Relationship Id="rId111" Type="http://schemas.openxmlformats.org/officeDocument/2006/relationships/hyperlink" Target="https://www.linkedin.com/learning/unconscious-bias-unbewusste-denkmuster-erkennen-und-andern?trk=ondemandfile" TargetMode="External"/><Relationship Id="rId132" Type="http://schemas.openxmlformats.org/officeDocument/2006/relationships/hyperlink" Target="https://www.linkedin.com/learning/kwame-christian-responde-sobre-como-abordar-assuntos-raciais?trk=contentmappingfile" TargetMode="External"/><Relationship Id="rId153" Type="http://schemas.openxmlformats.org/officeDocument/2006/relationships/hyperlink" Target="https://www.linkedin.com/learning/liderazgo-inclusivo?trk=ondemandfile" TargetMode="External"/><Relationship Id="rId174" Type="http://schemas.openxmlformats.org/officeDocument/2006/relationships/hyperlink" Target="https://www.linkedin.com/learning/collaborating-with-your-millennial-manager?trk=ondemandfile" TargetMode="External"/><Relationship Id="rId195" Type="http://schemas.openxmlformats.org/officeDocument/2006/relationships/hyperlink" Target="https://www.linkedin.com/learning/developing-your-authentic-self-to-ignite-change?trk=ondemandfile" TargetMode="External"/><Relationship Id="rId209" Type="http://schemas.openxmlformats.org/officeDocument/2006/relationships/hyperlink" Target="https://www.linkedin.com/learning/creating-change-diversity-and-inclusion-in-the-tech-industry?trk=ondemandfile" TargetMode="External"/><Relationship Id="rId220" Type="http://schemas.openxmlformats.org/officeDocument/2006/relationships/hyperlink" Target="https://www.linkedin.com/learning/just-ask-kwame-christian-on-discussing-race?trk=ondemandfile" TargetMode="External"/><Relationship Id="rId241" Type="http://schemas.openxmlformats.org/officeDocument/2006/relationships/hyperlink" Target="https://www.linkedin.com/learning/recruiting-veterans?trk=ondemandfile" TargetMode="External"/><Relationship Id="rId15" Type="http://schemas.openxmlformats.org/officeDocument/2006/relationships/hyperlink" Target="https://www.linkedin.com/learning/paths/conviertete-en-lider?trk=ondemandfile" TargetMode="External"/><Relationship Id="rId36" Type="http://schemas.openxmlformats.org/officeDocument/2006/relationships/hyperlink" Target="https://www.linkedin.com/learning/como-cultivar-la-habilidad-y-la-inclusion-cultural?trk=ondemandfile" TargetMode="External"/><Relationship Id="rId57" Type="http://schemas.openxmlformats.org/officeDocument/2006/relationships/hyperlink" Target="https://www.linkedin.com/learning/developing-a-diversity-inclusion-and-belonging-program-14391853?trk=contentmappingfile" TargetMode="External"/><Relationship Id="rId106" Type="http://schemas.openxmlformats.org/officeDocument/2006/relationships/hyperlink" Target="https://www.linkedin.com/learning/como-ser-parte-de-un-ambiente-de-trabajo-positivo?trk=ondemandfile" TargetMode="External"/><Relationship Id="rId127" Type="http://schemas.openxmlformats.org/officeDocument/2006/relationships/hyperlink" Target="https://www.linkedin.com/learning/diversidad-inclusion-y-pertenencia?trk=ondemandfile" TargetMode="External"/><Relationship Id="rId10" Type="http://schemas.openxmlformats.org/officeDocument/2006/relationships/hyperlink" Target="https://www.linkedin.com/learning/paths/38d7beaf-5ae2-37ca-8ff3-93e2f5dac41e?trk=ondemandfile" TargetMode="External"/><Relationship Id="rId31" Type="http://schemas.openxmlformats.org/officeDocument/2006/relationships/hyperlink" Target="https://www.linkedin.com/learning/empathie-und-kreativitat-als-neue-schlusselkompetenzen?trk=ondemandfile" TargetMode="External"/><Relationship Id="rId52" Type="http://schemas.openxmlformats.org/officeDocument/2006/relationships/hyperlink" Target="https://www.linkedin.com/learning/cultivating-cultural-competence-and-inclusion-9619710?trk=contentmappingfile" TargetMode="External"/><Relationship Id="rId73" Type="http://schemas.openxmlformats.org/officeDocument/2006/relationships/hyperlink" Target="https://www.linkedin.com/learning/managing-diversity?trk=ondemandfile" TargetMode="External"/><Relationship Id="rId78" Type="http://schemas.openxmlformats.org/officeDocument/2006/relationships/hyperlink" Target="https://www.linkedin.com/learning/confronting-bias-thriving-across-our-differences-14254791?trk=contentmappingfile" TargetMode="External"/><Relationship Id="rId94" Type="http://schemas.openxmlformats.org/officeDocument/2006/relationships/hyperlink" Target="https://www.linkedin.com/learning/favoriser-l-inclusion-lgbtq-plus-au-travail?trk=contentmappingfile" TargetMode="External"/><Relationship Id="rId99" Type="http://schemas.openxmlformats.org/officeDocument/2006/relationships/hyperlink" Target="https://www.linkedin.com/learning/leading-inclusive-teams-3?trk=ondemandfile" TargetMode="External"/><Relationship Id="rId101" Type="http://schemas.openxmlformats.org/officeDocument/2006/relationships/hyperlink" Target="https://www.linkedin.com/learning/como-liderar-equipos-inclusivos?trk=ondemandfile" TargetMode="External"/><Relationship Id="rId122" Type="http://schemas.openxmlformats.org/officeDocument/2006/relationships/hyperlink" Target="https://www.linkedin.com/learning/managing-generation-z?trk=ondemandfile" TargetMode="External"/><Relationship Id="rId143" Type="http://schemas.openxmlformats.org/officeDocument/2006/relationships/hyperlink" Target="https://www.linkedin.com/learning/inclusive-selling-selling-across-culture-race-and-gender-differences?trk=ondemandfile" TargetMode="External"/><Relationship Id="rId148" Type="http://schemas.openxmlformats.org/officeDocument/2006/relationships/hyperlink" Target="https://www.linkedin.com/learning/la-importancia-del-lenguaje-inclusivo?trk=ondemandfile" TargetMode="External"/><Relationship Id="rId164" Type="http://schemas.openxmlformats.org/officeDocument/2006/relationships/hyperlink" Target="https://www.linkedin.com/learning/women-transforming-tech-round-table-discussion?trk=ondemandfile" TargetMode="External"/><Relationship Id="rId169" Type="http://schemas.openxmlformats.org/officeDocument/2006/relationships/hyperlink" Target="https://www.linkedin.com/learning/women-transforming-tech-building-your-brand?trk=ondemandfile" TargetMode="External"/><Relationship Id="rId185" Type="http://schemas.openxmlformats.org/officeDocument/2006/relationships/hyperlink" Target="https://www.linkedin.com/learning/esl-for-business-multinational-communication-in-the-workplace?trk=ondemandfile" TargetMode="External"/><Relationship Id="rId4" Type="http://schemas.openxmlformats.org/officeDocument/2006/relationships/hyperlink" Target="https://www.linkedin.com/learning/paths/mujeres-en-el-liderazgo?trk=ondemandfile" TargetMode="External"/><Relationship Id="rId9" Type="http://schemas.openxmlformats.org/officeDocument/2006/relationships/hyperlink" Target="https://www.linkedin.com/learning/diversity-inclusion-and-belonging?trk=ondemandfile" TargetMode="External"/><Relationship Id="rId180" Type="http://schemas.openxmlformats.org/officeDocument/2006/relationships/hyperlink" Target="https://www.linkedin.com/learning/the-power-of-introverts?trk=ondemandfile" TargetMode="External"/><Relationship Id="rId210" Type="http://schemas.openxmlformats.org/officeDocument/2006/relationships/hyperlink" Target="https://www.linkedin.com/learning/developing-cross-cultural-intelligence?trk=ondemandfile" TargetMode="External"/><Relationship Id="rId215" Type="http://schemas.openxmlformats.org/officeDocument/2006/relationships/hyperlink" Target="https://www.linkedin.com/learning/having-bold-and-inclusive-conversations?trk=ondemandfile" TargetMode="External"/><Relationship Id="rId236" Type="http://schemas.openxmlformats.org/officeDocument/2006/relationships/hyperlink" Target="https://www.linkedin.com/learning/unlocking-authentic-communication-in-a-culturally-diverse-workplace?trk=ondemandfile" TargetMode="External"/><Relationship Id="rId26" Type="http://schemas.openxmlformats.org/officeDocument/2006/relationships/hyperlink" Target="https://www.linkedin.com/learning/leading-inclusive-teams-14683165?trk=contentmappingfile" TargetMode="External"/><Relationship Id="rId231" Type="http://schemas.openxmlformats.org/officeDocument/2006/relationships/hyperlink" Target="https://www.linkedin.com/learning/becoming-an-ally-to-all?trk=ondemandfile" TargetMode="External"/><Relationship Id="rId47" Type="http://schemas.openxmlformats.org/officeDocument/2006/relationships/hyperlink" Target="https://www.linkedin.com/learning/managing-multiple-generations-2?trk=ondemandfile" TargetMode="External"/><Relationship Id="rId68" Type="http://schemas.openxmlformats.org/officeDocument/2006/relationships/hyperlink" Target="https://www.linkedin.com/learning/paths/transition-from-military-to-student-life?trk=ondemandfile?" TargetMode="External"/><Relationship Id="rId89" Type="http://schemas.openxmlformats.org/officeDocument/2006/relationships/hyperlink" Target="https://www.linkedin.com/learning/como-impulsar-el-cambio-y-el-antirracismo?trk=ondemandfile" TargetMode="External"/><Relationship Id="rId112" Type="http://schemas.openxmlformats.org/officeDocument/2006/relationships/hyperlink" Target="https://www.linkedin.com/learning/cultivating-cultural-competence-and-inclusion-14487222?trk=contentmappingfile" TargetMode="External"/><Relationship Id="rId133" Type="http://schemas.openxmlformats.org/officeDocument/2006/relationships/hyperlink" Target="https://www.linkedin.com/learning/igniting-emotional-engagement?trk=ondemandfile" TargetMode="External"/><Relationship Id="rId154" Type="http://schemas.openxmlformats.org/officeDocument/2006/relationships/hyperlink" Target="https://www.linkedin.com/learning/a-guide-to-ergs-employee-resource-groups?trk=ondemandfile" TargetMode="External"/><Relationship Id="rId175" Type="http://schemas.openxmlformats.org/officeDocument/2006/relationships/hyperlink" Target="https://www.linkedin.com/learning/inclusion-during-difficult-times?trk=ondemandfile" TargetMode="External"/><Relationship Id="rId196" Type="http://schemas.openxmlformats.org/officeDocument/2006/relationships/hyperlink" Target="https://www.linkedin.com/learning/how-to-succeed-as-a-latina-in-a-global-work-environment?trk=ondemandfile" TargetMode="External"/><Relationship Id="rId200" Type="http://schemas.openxmlformats.org/officeDocument/2006/relationships/hyperlink" Target="https://www.linkedin.com/learning/strategies-to-foster-inclusive-language-at-work?trk=contentmappingfile" TargetMode="External"/><Relationship Id="rId16" Type="http://schemas.openxmlformats.org/officeDocument/2006/relationships/hyperlink" Target="https://www.linkedin.com/learning/diversitat-und-inklusion-in-globalen-unternehmen?trk=ondemandfile" TargetMode="External"/><Relationship Id="rId221" Type="http://schemas.openxmlformats.org/officeDocument/2006/relationships/hyperlink" Target="https://www.linkedin.com/learning/color-and-cultural-connections?trk=ondemandfile" TargetMode="External"/><Relationship Id="rId242" Type="http://schemas.openxmlformats.org/officeDocument/2006/relationships/hyperlink" Target="https://www.linkedin.com/learning/empathy-at-work?trk=ondemandfile" TargetMode="External"/><Relationship Id="rId37" Type="http://schemas.openxmlformats.org/officeDocument/2006/relationships/hyperlink" Target="https://www.linkedin.com/learning/erfolgsstrategien-fur-frauen-im-beruf?trk=ondemandfile" TargetMode="External"/><Relationship Id="rId58" Type="http://schemas.openxmlformats.org/officeDocument/2006/relationships/hyperlink" Target="https://www.linkedin.com/learning/women-transforming-tech-breaking-bias?trk=ondemandfile" TargetMode="External"/><Relationship Id="rId79" Type="http://schemas.openxmlformats.org/officeDocument/2006/relationships/hyperlink" Target="https://www.linkedin.com/learning/como-superar-o-assedio-no-trabalho?trk=contentmappingfile" TargetMode="External"/><Relationship Id="rId102" Type="http://schemas.openxmlformats.org/officeDocument/2006/relationships/hyperlink" Target="https://www.linkedin.com/learning/sich-und-andere-besser-verstehen?trk=ondemandfile" TargetMode="External"/><Relationship Id="rId123" Type="http://schemas.openxmlformats.org/officeDocument/2006/relationships/hyperlink" Target="https://www.linkedin.com/learning/diversidad-e-inclusion-en-empresas-globales?trk=ondemandfile" TargetMode="External"/><Relationship Id="rId144" Type="http://schemas.openxmlformats.org/officeDocument/2006/relationships/hyperlink" Target="https://www.linkedin.com/learning/business-ethics-3?trk=ondemandfile" TargetMode="External"/><Relationship Id="rId90" Type="http://schemas.openxmlformats.org/officeDocument/2006/relationships/hyperlink" Target="https://www.linkedin.com/learning/mehrere-generationen-managen?trk=ondemandfile" TargetMode="External"/><Relationship Id="rId165" Type="http://schemas.openxmlformats.org/officeDocument/2006/relationships/hyperlink" Target="https://www.linkedin.com/learning/women-transforming-tech-breaking-bias-2?trk=ondemandfile" TargetMode="External"/><Relationship Id="rId186" Type="http://schemas.openxmlformats.org/officeDocument/2006/relationships/hyperlink" Target="https://www.linkedin.com/learning/unconscious-bias?trk=ondemandfile" TargetMode="External"/><Relationship Id="rId211" Type="http://schemas.openxmlformats.org/officeDocument/2006/relationships/hyperlink" Target="https://www.linkedin.com/learning/esl-for-business-social-interactions-for-multinational-teams?trk=ondemandfile" TargetMode="External"/><Relationship Id="rId232" Type="http://schemas.openxmlformats.org/officeDocument/2006/relationships/hyperlink" Target="https://www.linkedin.com/learning/architectural-design-the-we-way-for-workplace-inclusivity?trk=ondemandfile" TargetMode="External"/><Relationship Id="rId27" Type="http://schemas.openxmlformats.org/officeDocument/2006/relationships/hyperlink" Target="https://www.linkedin.com/learning/agreements-for-success-in-global-projects-2?trk=ondemandfile" TargetMode="External"/><Relationship Id="rId48" Type="http://schemas.openxmlformats.org/officeDocument/2006/relationships/hyperlink" Target="https://www.linkedin.com/learning/paths/improve-your-coaching-skills-as-a-manager?trk=ondemandfile" TargetMode="External"/><Relationship Id="rId69" Type="http://schemas.openxmlformats.org/officeDocument/2006/relationships/hyperlink" Target="https://www.linkedin.com/learning/devenir-un-manager-bienveillant-une-manager-bienveillante?trk=contentmappingfile" TargetMode="External"/><Relationship Id="rId113" Type="http://schemas.openxmlformats.org/officeDocument/2006/relationships/hyperlink" Target="https://www.linkedin.com/learning/new-manager-foundations-2?trk=ondemandfile" TargetMode="External"/><Relationship Id="rId134" Type="http://schemas.openxmlformats.org/officeDocument/2006/relationships/hyperlink" Target="https://www.linkedin.com/learning/manager-en-environnement-multiculturel?trk=ondemandfile" TargetMode="External"/><Relationship Id="rId80" Type="http://schemas.openxmlformats.org/officeDocument/2006/relationships/hyperlink" Target="https://www.linkedin.com/learning/managing-a-diverse-team-2?trk=ondemandfile" TargetMode="External"/><Relationship Id="rId155" Type="http://schemas.openxmlformats.org/officeDocument/2006/relationships/hyperlink" Target="https://www.linkedin.com/learning/s-exprimer-contre-les-discriminations-au-travail?trk=contentmappingfile" TargetMode="External"/><Relationship Id="rId176" Type="http://schemas.openxmlformats.org/officeDocument/2006/relationships/hyperlink" Target="https://www.linkedin.com/learning/own-it-the-power-of-women-at-work?trk=ondemandfile" TargetMode="External"/><Relationship Id="rId197" Type="http://schemas.openxmlformats.org/officeDocument/2006/relationships/hyperlink" Target="https://www.linkedin.com/learning/fair-and-effective-interviewing-for-diversity-and-inclusion?trk=ondemandfile" TargetMode="External"/><Relationship Id="rId201" Type="http://schemas.openxmlformats.org/officeDocument/2006/relationships/hyperlink" Target="https://www.linkedin.com/learning/gender-in-negotiation?trk=ondemandfile" TargetMode="External"/><Relationship Id="rId222" Type="http://schemas.openxmlformats.org/officeDocument/2006/relationships/hyperlink" Target="https://www.linkedin.com/learning/becoming-a-male-ally-at-work?trk=ondemandfile" TargetMode="External"/><Relationship Id="rId243" Type="http://schemas.openxmlformats.org/officeDocument/2006/relationships/hyperlink" Target="https://www.linkedin.com/learning/uncovering-unconscious-bias-in-recruiting-and-interviewing?trk=ondemandfile" TargetMode="External"/><Relationship Id="rId17" Type="http://schemas.openxmlformats.org/officeDocument/2006/relationships/hyperlink" Target="https://de.linkedin.com/learning/paths/diversitat-inklusion-und-zugehorigkeit-im-unternehmen-schaffen?trk=ondemandfile" TargetMode="External"/><Relationship Id="rId38" Type="http://schemas.openxmlformats.org/officeDocument/2006/relationships/hyperlink" Target="https://www.linkedin.com/learning/leading-with-emotional-intelligence?trk=ondemandfile" TargetMode="External"/><Relationship Id="rId59" Type="http://schemas.openxmlformats.org/officeDocument/2006/relationships/hyperlink" Target="https://www.linkedin.com/learning/collaborative-leadership?trk=ondemandfile" TargetMode="External"/><Relationship Id="rId103" Type="http://schemas.openxmlformats.org/officeDocument/2006/relationships/hyperlink" Target="https://www.linkedin.com/learning/communicating-about-culturally-sensitive-issues-9588614?trk=contentmappingfile" TargetMode="External"/><Relationship Id="rId124" Type="http://schemas.openxmlformats.org/officeDocument/2006/relationships/hyperlink" Target="https://www.linkedin.com/learning/werteorientiertes-management?trk=ondemandfile" TargetMode="External"/><Relationship Id="rId70" Type="http://schemas.openxmlformats.org/officeDocument/2006/relationships/hyperlink" Target="https://www.linkedin.com/learning/como-enfrentar-los-prejuicios-superando-nuestras-diferencias?trk=ondemandfile" TargetMode="External"/><Relationship Id="rId91" Type="http://schemas.openxmlformats.org/officeDocument/2006/relationships/hyperlink" Target="https://www.linkedin.com/learning/collaborative-leadership-9064543?trk=ondemandfile" TargetMode="External"/><Relationship Id="rId145" Type="http://schemas.openxmlformats.org/officeDocument/2006/relationships/hyperlink" Target="https://www.linkedin.com/learning/mulheres-na-lideranca-como-impulsionar-a-equidade-nas-organizacoes?trk=contentmappingfile" TargetMode="External"/><Relationship Id="rId166" Type="http://schemas.openxmlformats.org/officeDocument/2006/relationships/hyperlink" Target="https://www.linkedin.com/learning/teaching-with-linkedin-learning?trk=ondemandfile" TargetMode="External"/><Relationship Id="rId187" Type="http://schemas.openxmlformats.org/officeDocument/2006/relationships/hyperlink" Target="https://www.linkedin.com/learning/connecting-engagement-and-inclusion-to-a-culture-of-performance?trk=ondemandfile" TargetMode="External"/><Relationship Id="rId1" Type="http://schemas.openxmlformats.org/officeDocument/2006/relationships/hyperlink" Target="https://www.linkedin.com/learning/global-strategy?trk=ondemandfile" TargetMode="External"/><Relationship Id="rId212" Type="http://schemas.openxmlformats.org/officeDocument/2006/relationships/hyperlink" Target="https://www.linkedin.com/learning/cultivating-cultural-competence-and-inclusion?trk=ondemandfile" TargetMode="External"/><Relationship Id="rId233" Type="http://schemas.openxmlformats.org/officeDocument/2006/relationships/hyperlink" Target="https://www.linkedin.com/learning/building-a-more-authentic-workplace?trk=ondemandfile" TargetMode="External"/><Relationship Id="rId28" Type="http://schemas.openxmlformats.org/officeDocument/2006/relationships/hyperlink" Target="https://www.linkedin.com/learning/inclusive-leadership?trk=ondemandfile" TargetMode="External"/><Relationship Id="rId49" Type="http://schemas.openxmlformats.org/officeDocument/2006/relationships/hyperlink" Target="https://www.linkedin.com/learning/00-developing-cross-cultural-intelligence?trk=ondemandfile" TargetMode="External"/><Relationship Id="rId114" Type="http://schemas.openxmlformats.org/officeDocument/2006/relationships/hyperlink" Target="https://www.linkedin.com/learning/comprender-e-integrar-la-diversidad-funcional?trk=ondemandfile" TargetMode="External"/><Relationship Id="rId60" Type="http://schemas.openxmlformats.org/officeDocument/2006/relationships/hyperlink" Target="https://www.linkedin.com/learning/paths/transition-from-military-to-civilian-employment?trk=ondemandfile" TargetMode="External"/><Relationship Id="rId81" Type="http://schemas.openxmlformats.org/officeDocument/2006/relationships/hyperlink" Target="https://www.linkedin.com/learning/be-an-inclusive-organization-people-won-t-leave?trk=ondemandfile" TargetMode="External"/><Relationship Id="rId135" Type="http://schemas.openxmlformats.org/officeDocument/2006/relationships/hyperlink" Target="https://www.linkedin.com/learning/habilidades-de-conversacion-inclusiva?trk=ondemandfile" TargetMode="External"/><Relationship Id="rId156" Type="http://schemas.openxmlformats.org/officeDocument/2006/relationships/hyperlink" Target="https://www.linkedin.com/learning/executive-presence-for-women-2?trk=ondemandfile" TargetMode="External"/><Relationship Id="rId177" Type="http://schemas.openxmlformats.org/officeDocument/2006/relationships/hyperlink" Target="https://www.linkedin.com/learning/allyship-for-all?trk=ondemandfile" TargetMode="External"/><Relationship Id="rId198" Type="http://schemas.openxmlformats.org/officeDocument/2006/relationships/hyperlink" Target="https://www.linkedin.com/learning/diversity-and-inclusion-in-marketing-inclusive-language-for-marketers?trk=ondemandfile" TargetMode="External"/><Relationship Id="rId202" Type="http://schemas.openxmlformats.org/officeDocument/2006/relationships/hyperlink" Target="https://www.linkedin.com/learning/proven-success-strategies-for-women-at-work?trk=ondemandfile" TargetMode="External"/><Relationship Id="rId223" Type="http://schemas.openxmlformats.org/officeDocument/2006/relationships/hyperlink" Target="https://www.linkedin.com/learning/john-maeda-on-design-business-and-inclusion?trk=ondemandfile" TargetMode="External"/><Relationship Id="rId18" Type="http://schemas.openxmlformats.org/officeDocument/2006/relationships/hyperlink" Target="https://www.linkedin.com/learning/inclusive-leadership-3?trk=ondemandfile" TargetMode="External"/><Relationship Id="rId39" Type="http://schemas.openxmlformats.org/officeDocument/2006/relationships/hyperlink" Target="https://www.linkedin.com/learning/inclusive-leadership-2?trk=ondemandfile" TargetMode="External"/><Relationship Id="rId50" Type="http://schemas.openxmlformats.org/officeDocument/2006/relationships/hyperlink" Target="https://www.linkedin.com/learning/fair-fuhren-blinkist-kernaussagen?trk=ondemandfile" TargetMode="External"/><Relationship Id="rId104" Type="http://schemas.openxmlformats.org/officeDocument/2006/relationships/hyperlink" Target="https://www.linkedin.com/learning/leading-with-emotional-intelligence-2?trk=ondemandfile" TargetMode="External"/><Relationship Id="rId125" Type="http://schemas.openxmlformats.org/officeDocument/2006/relationships/hyperlink" Target="https://www.linkedin.com/learning/driving-change-and-anti-racism-14252577?trk=ondemandfile" TargetMode="External"/><Relationship Id="rId146" Type="http://schemas.openxmlformats.org/officeDocument/2006/relationships/hyperlink" Target="https://www.linkedin.com/learning/creating-inclusive-learning-experiences?trk=ondemandfile" TargetMode="External"/><Relationship Id="rId167" Type="http://schemas.openxmlformats.org/officeDocument/2006/relationships/hyperlink" Target="https://www.linkedin.com/learning/marketing-to-diverse-audiences?trk=ondemandfile" TargetMode="External"/><Relationship Id="rId188" Type="http://schemas.openxmlformats.org/officeDocument/2006/relationships/hyperlink" Target="https://www.linkedin.com/learning/branding-your-authentic-self?trk=ondemandfile" TargetMode="External"/><Relationship Id="rId71" Type="http://schemas.openxmlformats.org/officeDocument/2006/relationships/hyperlink" Target="https://www.linkedin.com/learning/interkulturelle-kompetenz?trk=ondemandfile" TargetMode="External"/><Relationship Id="rId92" Type="http://schemas.openxmlformats.org/officeDocument/2006/relationships/hyperlink" Target="https://www.linkedin.com/learning/social-interactions-for-multinational-teams-2?trk=ondemandfile" TargetMode="External"/><Relationship Id="rId213" Type="http://schemas.openxmlformats.org/officeDocument/2006/relationships/hyperlink" Target="https://www.linkedin.com/learning/50-ways-to-fight-bias?trk=ondemandfile" TargetMode="External"/><Relationship Id="rId234" Type="http://schemas.openxmlformats.org/officeDocument/2006/relationships/hyperlink" Target="https://www.linkedin.com/learning/reshuffle-a-special-series-on-the-new-world-of-work?trk=ondemandfile" TargetMode="External"/><Relationship Id="rId2" Type="http://schemas.openxmlformats.org/officeDocument/2006/relationships/hyperlink" Target="https://www.linkedin.com/learning/paths/become-an-inclusive-leader?trk=ondemandfile" TargetMode="External"/><Relationship Id="rId29" Type="http://schemas.openxmlformats.org/officeDocument/2006/relationships/hyperlink" Target="https://www.linkedin.com/learning/paths/diversity-inclusion-and-belonging-for-all?trk=ondemandfile" TargetMode="External"/><Relationship Id="rId40" Type="http://schemas.openxmlformats.org/officeDocument/2006/relationships/hyperlink" Target="https://www.linkedin.com/learning/communicating-values?trk=ondemandfile" TargetMode="External"/><Relationship Id="rId115" Type="http://schemas.openxmlformats.org/officeDocument/2006/relationships/hyperlink" Target="https://www.linkedin.com/learning/unconscious-bias-entgegenwirken-diversitat-und-inklusion-in-der-arbeitswelt-fordern?trk=ondemandfile" TargetMode="External"/><Relationship Id="rId136" Type="http://schemas.openxmlformats.org/officeDocument/2006/relationships/hyperlink" Target="https://www.linkedin.com/learning/hiring-and-supporting-neurodiversity-in-the-workplace?trk=ondemandfile" TargetMode="External"/><Relationship Id="rId157" Type="http://schemas.openxmlformats.org/officeDocument/2006/relationships/hyperlink" Target="https://www.linkedin.com/learning/diversity-and-inclusion-in-a-global-enterprise?trk=ondemandfile" TargetMode="External"/><Relationship Id="rId178" Type="http://schemas.openxmlformats.org/officeDocument/2006/relationships/hyperlink" Target="https://www.linkedin.com/learning/inclusive-communication?trk=ondemandfile" TargetMode="External"/><Relationship Id="rId61" Type="http://schemas.openxmlformats.org/officeDocument/2006/relationships/hyperlink" Target="https://www.linkedin.com/learning/developper-un-programme-de-diversite-d-inclusion-et-d-appartenance?trk=contentmappingfile" TargetMode="External"/><Relationship Id="rId82" Type="http://schemas.openxmlformats.org/officeDocument/2006/relationships/hyperlink" Target="https://www.linkedin.com/learning/paths/women-transforming-tech-navigating-your-career?trk=ondemandfile" TargetMode="External"/><Relationship Id="rId199" Type="http://schemas.openxmlformats.org/officeDocument/2006/relationships/hyperlink" Target="https://www.linkedin.com/learning/creating-safe-spaces-for-tough-conversations-at-work?trk=contentmappingfile" TargetMode="External"/><Relationship Id="rId203" Type="http://schemas.openxmlformats.org/officeDocument/2006/relationships/hyperlink" Target="https://www.linkedin.com/learning/how-to-be-a-good-mentee?trk=ondemandfile" TargetMode="External"/><Relationship Id="rId19" Type="http://schemas.openxmlformats.org/officeDocument/2006/relationships/hyperlink" Target="https://www.linkedin.com/learning/paths/como-fortalecer-suas-competencias-interculturais?trk=ondemandfile" TargetMode="External"/><Relationship Id="rId224" Type="http://schemas.openxmlformats.org/officeDocument/2006/relationships/hyperlink" Target="https://www.linkedin.com/learning/shane-snow-on-dream-teams?trk=ondemandfile" TargetMode="External"/><Relationship Id="rId30" Type="http://schemas.openxmlformats.org/officeDocument/2006/relationships/hyperlink" Target="https://www.linkedin.com/learning/00-building-accountability-into-your-culture?trk=ondemandfile" TargetMode="External"/><Relationship Id="rId105" Type="http://schemas.openxmlformats.org/officeDocument/2006/relationships/hyperlink" Target="https://www.linkedin.com/learning/inclusive-tech-the-case-for-inclusive-leadership?trk=ondemandfile" TargetMode="External"/><Relationship Id="rId126" Type="http://schemas.openxmlformats.org/officeDocument/2006/relationships/hyperlink" Target="https://www.linkedin.com/learning/leading-inclusive-teams?trk=ondemandfile" TargetMode="External"/><Relationship Id="rId147" Type="http://schemas.openxmlformats.org/officeDocument/2006/relationships/hyperlink" Target="https://www.linkedin.com/learning/promouvoir-la-neurodiversite-au-travail?trk=contentmappingfile" TargetMode="External"/><Relationship Id="rId168" Type="http://schemas.openxmlformats.org/officeDocument/2006/relationships/hyperlink" Target="https://www.linkedin.com/learning/overcoming-imposter-syndrome?trk=ondemandfile" TargetMode="External"/><Relationship Id="rId51" Type="http://schemas.openxmlformats.org/officeDocument/2006/relationships/hyperlink" Target="https://www.linkedin.com/learning/diversity-inclusion-and-belonging-4?trk=contentmappingfile" TargetMode="External"/><Relationship Id="rId72" Type="http://schemas.openxmlformats.org/officeDocument/2006/relationships/hyperlink" Target="https://www.linkedin.com/learning/cross-cultural-communication-in-business?trk=ondemandfile" TargetMode="External"/><Relationship Id="rId93" Type="http://schemas.openxmlformats.org/officeDocument/2006/relationships/hyperlink" Target="https://www.linkedin.com/learning/managing-someone-older-than-you?trk=ondemandfile" TargetMode="External"/><Relationship Id="rId189" Type="http://schemas.openxmlformats.org/officeDocument/2006/relationships/hyperlink" Target="https://www.linkedin.com/learning/the-value-of-employee-resource-groups?trk=ondemandfile" TargetMode="External"/><Relationship Id="rId3" Type="http://schemas.openxmlformats.org/officeDocument/2006/relationships/hyperlink" Target="https://www.linkedin.com/learning/como-comunicar-sobre-temas-culturalmente-sensibles?trk=ondemandfile" TargetMode="External"/><Relationship Id="rId214" Type="http://schemas.openxmlformats.org/officeDocument/2006/relationships/hyperlink" Target="https://www.linkedin.com/learning/negotiating-power-and-preventing-harassment?trk=ondemandfile" TargetMode="External"/><Relationship Id="rId235" Type="http://schemas.openxmlformats.org/officeDocument/2006/relationships/hyperlink" Target="https://www.linkedin.com/learning/communicating-across-cultures-virtually?trk=ondemandfile" TargetMode="External"/><Relationship Id="rId116" Type="http://schemas.openxmlformats.org/officeDocument/2006/relationships/hyperlink" Target="https://www.linkedin.com/learning/3b9a9e9f-36fd-3413-8e43-080652af9039?trk=ondemandfile" TargetMode="External"/><Relationship Id="rId137" Type="http://schemas.openxmlformats.org/officeDocument/2006/relationships/hyperlink" Target="https://www.linkedin.com/learning/integrar-personas-con-diversidad-funcional-en-la-empresa?trk=contentmappingfile" TargetMode="External"/><Relationship Id="rId158" Type="http://schemas.openxmlformats.org/officeDocument/2006/relationships/hyperlink" Target="https://www.linkedin.com/learning/presencia-ejecutiva-sugerencias-para-las-mujeres?trk=ondemandfile" TargetMode="External"/><Relationship Id="rId20" Type="http://schemas.openxmlformats.org/officeDocument/2006/relationships/hyperlink" Target="https://www.linkedin.com/learning/diversity-and-inclusion-in-a-global-enterprise-2?trk=ondemandfile" TargetMode="External"/><Relationship Id="rId41" Type="http://schemas.openxmlformats.org/officeDocument/2006/relationships/hyperlink" Target="https://www.linkedin.com/learning/paths/how-to-engage-meaningfully-in-allyship-and-anti-racism?trk=ondemandfile" TargetMode="External"/><Relationship Id="rId62" Type="http://schemas.openxmlformats.org/officeDocument/2006/relationships/hyperlink" Target="https://www.linkedin.com/learning/como-dirigir-en-un-entorno-global-o-internacional?trk=ondemandfile" TargetMode="External"/><Relationship Id="rId83" Type="http://schemas.openxmlformats.org/officeDocument/2006/relationships/hyperlink" Target="https://www.linkedin.com/learning/como-gestionar-un-equipo-multigeneracional?trk=contentmappingfile" TargetMode="External"/><Relationship Id="rId179" Type="http://schemas.openxmlformats.org/officeDocument/2006/relationships/hyperlink" Target="https://www.linkedin.com/learning/empathy-in-business-design-for-success?trk=ondemandfile" TargetMode="External"/><Relationship Id="rId190" Type="http://schemas.openxmlformats.org/officeDocument/2006/relationships/hyperlink" Target="https://www.linkedin.com/learning/emotional-intelligence-as-an-inclusivity-booster?trk=ondemandfile" TargetMode="External"/><Relationship Id="rId204" Type="http://schemas.openxmlformats.org/officeDocument/2006/relationships/hyperlink" Target="https://www.linkedin.com/learning/preparing-to-lead-developing-mental-toughness-in-yourself?trk=ondemandfile" TargetMode="External"/><Relationship Id="rId225" Type="http://schemas.openxmlformats.org/officeDocument/2006/relationships/hyperlink" Target="https://www.linkedin.com/learning/speaking-up-at-work?trk=ondemandfile"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linkedin.com/learning/00-fundamentos-de-dactilografia?trk=ondemandfile" TargetMode="External"/><Relationship Id="rId21" Type="http://schemas.openxmlformats.org/officeDocument/2006/relationships/hyperlink" Target="https://www.linkedin.com/learning/writing-white-papers?trk=ondemandfile" TargetMode="External"/><Relationship Id="rId42" Type="http://schemas.openxmlformats.org/officeDocument/2006/relationships/hyperlink" Target="https://www.linkedin.com/learning/ingles-de-negocios-como-escribir-correos-electronicos-de-negocios-con-exito?trk=ondemandfile" TargetMode="External"/><Relationship Id="rId47" Type="http://schemas.openxmlformats.org/officeDocument/2006/relationships/hyperlink" Target="https://www.linkedin.com/learning/writing-a-tech-resume?trk=ondemandfile" TargetMode="External"/><Relationship Id="rId63" Type="http://schemas.openxmlformats.org/officeDocument/2006/relationships/hyperlink" Target="https://www.linkedin.com/learning/writing-under-a-deadline?trk=ondemandfile" TargetMode="External"/><Relationship Id="rId68" Type="http://schemas.openxmlformats.org/officeDocument/2006/relationships/hyperlink" Target="https://www.linkedin.com/learning/running-a-design-business-writing-and-pricing-winning-proposals?trk=ondemandfile" TargetMode="External"/><Relationship Id="rId2" Type="http://schemas.openxmlformats.org/officeDocument/2006/relationships/hyperlink" Target="https://www.linkedin.com/learning/paths/become-a-content-strategist-7?trk=ondemandfile" TargetMode="External"/><Relationship Id="rId16" Type="http://schemas.openxmlformats.org/officeDocument/2006/relationships/hyperlink" Target="https://www.linkedin.com/learning/como-escrever-artigos-com-maestria?trk=contentmappingfile" TargetMode="External"/><Relationship Id="rId29" Type="http://schemas.openxmlformats.org/officeDocument/2006/relationships/hyperlink" Target="https://www.linkedin.com/learning/quick-tips-for-better-business-writing?trk=ondemandfile" TargetMode="External"/><Relationship Id="rId11" Type="http://schemas.openxmlformats.org/officeDocument/2006/relationships/hyperlink" Target="https://www.linkedin.com/learning/paths/develop-your-writing-skills?trk=ondemandfile" TargetMode="External"/><Relationship Id="rId24" Type="http://schemas.openxmlformats.org/officeDocument/2006/relationships/hyperlink" Target="https://www.linkedin.com/learning/deutsch-aber-richtig?trk=ondemandfile" TargetMode="External"/><Relationship Id="rId32" Type="http://schemas.openxmlformats.org/officeDocument/2006/relationships/hyperlink" Target="https://www.linkedin.com/learning/writing-a-marketing-plan-2?trk=ondemandfile" TargetMode="External"/><Relationship Id="rId37" Type="http://schemas.openxmlformats.org/officeDocument/2006/relationships/hyperlink" Target="https://www.linkedin.com/learning/e-mails-schreiben?trk=ondemandfile" TargetMode="External"/><Relationship Id="rId40" Type="http://schemas.openxmlformats.org/officeDocument/2006/relationships/hyperlink" Target="https://www.linkedin.com/learning/ihre-kompetenz-mit-einem-buch-zeigen?trk=contentmappingfile" TargetMode="External"/><Relationship Id="rId45" Type="http://schemas.openxmlformats.org/officeDocument/2006/relationships/hyperlink" Target="https://www.linkedin.com/learning/refresca-tus-conocimientos-de-la-lengua-espanola-estilo-y-arquitectura-de-las-frases?trk=contentmappingfile" TargetMode="External"/><Relationship Id="rId53" Type="http://schemas.openxmlformats.org/officeDocument/2006/relationships/hyperlink" Target="https://www.linkedin.com/learning/seo-gerechte-texte?trk=ondemandfile" TargetMode="External"/><Relationship Id="rId58" Type="http://schemas.openxmlformats.org/officeDocument/2006/relationships/hyperlink" Target="https://www.linkedin.com/learning/wie-rechtschreibung-auf-die-reputation-einzahlt?trk=ondemandfile" TargetMode="External"/><Relationship Id="rId66" Type="http://schemas.openxmlformats.org/officeDocument/2006/relationships/hyperlink" Target="https://www.linkedin.com/learning/writing-fundamentals-the-craft-of-story?trk=ondemandfile" TargetMode="External"/><Relationship Id="rId74" Type="http://schemas.openxmlformats.org/officeDocument/2006/relationships/hyperlink" Target="https://www.linkedin.com/learning/cold-email-prospecting?trk=ondemandfile" TargetMode="External"/><Relationship Id="rId5" Type="http://schemas.openxmlformats.org/officeDocument/2006/relationships/hyperlink" Target="https://www.linkedin.com/learning/paths/conviertete-en-editor-de-e-books?trk=ondemandfile" TargetMode="External"/><Relationship Id="rId61" Type="http://schemas.openxmlformats.org/officeDocument/2006/relationships/hyperlink" Target="https://www.linkedin.com/learning/writing-formal-business-letters-and-emails?trk=ondemandfile" TargetMode="External"/><Relationship Id="rId19" Type="http://schemas.openxmlformats.org/officeDocument/2006/relationships/hyperlink" Target="https://www.linkedin.com/learning/paths/profundiza-la-gestion-de-documentos-digitales-con-adobe-acrobat-xi?trk=ondemandfile" TargetMode="External"/><Relationship Id="rId14" Type="http://schemas.openxmlformats.org/officeDocument/2006/relationships/hyperlink" Target="https://www.linkedin.com/learning/content-creation-ihr-redaktionsplan-fur-blogs-und-social-media?trk=contentmappingfile" TargetMode="External"/><Relationship Id="rId22" Type="http://schemas.openxmlformats.org/officeDocument/2006/relationships/hyperlink" Target="https://www.linkedin.com/learning/como-escribir-correos-electronicos-de-servicio-al-cliente?trk=ondemandfile" TargetMode="External"/><Relationship Id="rId27" Type="http://schemas.openxmlformats.org/officeDocument/2006/relationships/hyperlink" Target="https://www.linkedin.com/learning/paths/profundiza-la-gestion-de-documentos-digitales-con-adobe-acrobat-dc?trk=ondemandfile" TargetMode="External"/><Relationship Id="rId30" Type="http://schemas.openxmlformats.org/officeDocument/2006/relationships/hyperlink" Target="https://www.linkedin.com/learning/00-fundamentos-de-la-curacion-de-contenidos?trk=ondemandfile" TargetMode="External"/><Relationship Id="rId35" Type="http://schemas.openxmlformats.org/officeDocument/2006/relationships/hyperlink" Target="https://www.linkedin.com/learning/writing-emails-people-want-to-read?trk=ondemandfile" TargetMode="External"/><Relationship Id="rId43" Type="http://schemas.openxmlformats.org/officeDocument/2006/relationships/hyperlink" Target="https://www.linkedin.com/learning/kreatives-texten-wortspiele-metaphern-co?trk=ondemandfile" TargetMode="External"/><Relationship Id="rId48" Type="http://schemas.openxmlformats.org/officeDocument/2006/relationships/hyperlink" Target="https://www.linkedin.com/learning/profundiza-la-lengua-espanola-uso-de-las-tildes?trk=ondemandfile" TargetMode="External"/><Relationship Id="rId56" Type="http://schemas.openxmlformats.org/officeDocument/2006/relationships/hyperlink" Target="https://www.linkedin.com/learning/treffende-texte?trk=ondemandfile" TargetMode="External"/><Relationship Id="rId64" Type="http://schemas.openxmlformats.org/officeDocument/2006/relationships/hyperlink" Target="https://www.linkedin.com/learning/writing-with-flair-how-to-become-an-exceptional-writer?trk=ondemandfile" TargetMode="External"/><Relationship Id="rId69" Type="http://schemas.openxmlformats.org/officeDocument/2006/relationships/hyperlink" Target="https://www.linkedin.com/learning/quick-tips-for-writing-business-emails?trk=ondemandfile" TargetMode="External"/><Relationship Id="rId8" Type="http://schemas.openxmlformats.org/officeDocument/2006/relationships/hyperlink" Target="https://www.linkedin.com/learning/business-etiquette-foundations-tools-and-documents?trk=ondemandfile" TargetMode="External"/><Relationship Id="rId51" Type="http://schemas.openxmlformats.org/officeDocument/2006/relationships/hyperlink" Target="https://www.linkedin.com/learning/word-creer-une-newsletter-microsoft-365-office-365?trk=contentmappingfile" TargetMode="External"/><Relationship Id="rId72" Type="http://schemas.openxmlformats.org/officeDocument/2006/relationships/hyperlink" Target="https://www.linkedin.com/learning/the-foundations-of-fiction?trk=ondemandfile" TargetMode="External"/><Relationship Id="rId3" Type="http://schemas.openxmlformats.org/officeDocument/2006/relationships/hyperlink" Target="https://www.linkedin.com/learning/10-conseils-pour-construire-un-cv-percutant?trk=contentmappingfile" TargetMode="External"/><Relationship Id="rId12" Type="http://schemas.openxmlformats.org/officeDocument/2006/relationships/hyperlink" Target="https://www.linkedin.com/learning/como-comunicar-de-forma-efectiva-por-email?trk=ondemandfile" TargetMode="External"/><Relationship Id="rId17" Type="http://schemas.openxmlformats.org/officeDocument/2006/relationships/hyperlink" Target="https://www.linkedin.com/learning/writing-case-studies?trk=ondemandfile" TargetMode="External"/><Relationship Id="rId25" Type="http://schemas.openxmlformats.org/officeDocument/2006/relationships/hyperlink" Target="https://www.linkedin.com/learning/grammar-girl-s-quick-and-dirty-tips-for-better-writing?trk=ondemandfile" TargetMode="External"/><Relationship Id="rId33" Type="http://schemas.openxmlformats.org/officeDocument/2006/relationships/hyperlink" Target="https://www.linkedin.com/learning/00-fundamentos-de-escritura-para-negocios?trk=ondemandfile" TargetMode="External"/><Relationship Id="rId38" Type="http://schemas.openxmlformats.org/officeDocument/2006/relationships/hyperlink" Target="https://www.linkedin.com/learning/is-there-a-book-in-you-learn-to-create-your-own-masterpiece?trk=ondemandfile" TargetMode="External"/><Relationship Id="rId46" Type="http://schemas.openxmlformats.org/officeDocument/2006/relationships/hyperlink" Target="https://www.linkedin.com/learning/presse-und-offentlichkeitsarbeit-fur-kleine-und-mittlere-unternehmen?trk=ondemandfile" TargetMode="External"/><Relationship Id="rId59" Type="http://schemas.openxmlformats.org/officeDocument/2006/relationships/hyperlink" Target="https://www.linkedin.com/learning/writing-a-compelling-blog-post?trk=ondemandfile" TargetMode="External"/><Relationship Id="rId67" Type="http://schemas.openxmlformats.org/officeDocument/2006/relationships/hyperlink" Target="https://www.linkedin.com/learning/conquering-writer-s-block?trk=ondemandfile" TargetMode="External"/><Relationship Id="rId20" Type="http://schemas.openxmlformats.org/officeDocument/2006/relationships/hyperlink" Target="https://www.linkedin.com/learning/corporate-blogs-grundlagen-2?trk=ondemandfile" TargetMode="External"/><Relationship Id="rId41" Type="http://schemas.openxmlformats.org/officeDocument/2006/relationships/hyperlink" Target="https://www.linkedin.com/learning/technical-writing-quick-start-guides?trk=ondemandfile" TargetMode="External"/><Relationship Id="rId54" Type="http://schemas.openxmlformats.org/officeDocument/2006/relationships/hyperlink" Target="https://www.linkedin.com/learning/productivity-hacks-for-writers?trk=ondemandfile" TargetMode="External"/><Relationship Id="rId62" Type="http://schemas.openxmlformats.org/officeDocument/2006/relationships/hyperlink" Target="https://www.linkedin.com/learning/writing-in-plain-english?trk=ondemandfile" TargetMode="External"/><Relationship Id="rId70" Type="http://schemas.openxmlformats.org/officeDocument/2006/relationships/hyperlink" Target="https://www.linkedin.com/learning/writing-with-commonly-confused-words?trk=ondemandfile" TargetMode="External"/><Relationship Id="rId75" Type="http://schemas.openxmlformats.org/officeDocument/2006/relationships/hyperlink" Target="https://www.linkedin.com/learning/ninja-writing-the-four-levels-of-writing-mastery?trk=ondemandfile" TargetMode="External"/><Relationship Id="rId1" Type="http://schemas.openxmlformats.org/officeDocument/2006/relationships/hyperlink" Target="https://www.linkedin.com/learning/advanced-grammar?trk=ondemandfile" TargetMode="External"/><Relationship Id="rId6" Type="http://schemas.openxmlformats.org/officeDocument/2006/relationships/hyperlink" Target="https://www.linkedin.com/learning/berichte-schreiben?trk=ondemandfile" TargetMode="External"/><Relationship Id="rId15" Type="http://schemas.openxmlformats.org/officeDocument/2006/relationships/hyperlink" Target="https://www.linkedin.com/learning/business-english-foundations-mail?trk=ondemandfile" TargetMode="External"/><Relationship Id="rId23" Type="http://schemas.openxmlformats.org/officeDocument/2006/relationships/hyperlink" Target="https://www.linkedin.com/learning/paths/domina-el-arte-del-email-con-outlook-2016-para-mac?trk=ondemandfile" TargetMode="External"/><Relationship Id="rId28" Type="http://schemas.openxmlformats.org/officeDocument/2006/relationships/hyperlink" Target="https://www.linkedin.com/learning/drehb-cher-schreiben?trk=ondemandfile" TargetMode="External"/><Relationship Id="rId36" Type="http://schemas.openxmlformats.org/officeDocument/2006/relationships/hyperlink" Target="https://www.linkedin.com/learning/00-fundamentos-del-content-marketing-blogs?trk=ondemandfile" TargetMode="External"/><Relationship Id="rId49" Type="http://schemas.openxmlformats.org/officeDocument/2006/relationships/hyperlink" Target="https://www.linkedin.com/learning/professionelle-bewerbungsunterlagen-erstellen?trk=ondemandfile" TargetMode="External"/><Relationship Id="rId57" Type="http://schemas.openxmlformats.org/officeDocument/2006/relationships/hyperlink" Target="https://www.linkedin.com/learning/writing-a-business-case?trk=ondemandfile" TargetMode="External"/><Relationship Id="rId10" Type="http://schemas.openxmlformats.org/officeDocument/2006/relationships/hyperlink" Target="https://www.linkedin.com/learning/editing-mastery-how-to-edit-writing-to-perfection?trk=ondemandfile" TargetMode="External"/><Relationship Id="rId31" Type="http://schemas.openxmlformats.org/officeDocument/2006/relationships/hyperlink" Target="https://www.linkedin.com/learning/einen-marketingplan-schreiben?trk=ondemandfile" TargetMode="External"/><Relationship Id="rId44" Type="http://schemas.openxmlformats.org/officeDocument/2006/relationships/hyperlink" Target="https://www.linkedin.com/learning/writing-articles-2?trk=ondemandfile" TargetMode="External"/><Relationship Id="rId52" Type="http://schemas.openxmlformats.org/officeDocument/2006/relationships/hyperlink" Target="https://www.linkedin.com/learning/tecnicas-de-escritura-creativa-para-negocios-trucos?trk=contentmappingfile" TargetMode="External"/><Relationship Id="rId60" Type="http://schemas.openxmlformats.org/officeDocument/2006/relationships/hyperlink" Target="https://www.linkedin.com/learning/wissenschaftliche-arbeiten-schreiben?trk=ondemandfile" TargetMode="External"/><Relationship Id="rId65" Type="http://schemas.openxmlformats.org/officeDocument/2006/relationships/hyperlink" Target="https://www.linkedin.com/learning/writing-with-impact?trk=ondemandfile" TargetMode="External"/><Relationship Id="rId73" Type="http://schemas.openxmlformats.org/officeDocument/2006/relationships/hyperlink" Target="https://www.linkedin.com/learning/writing-and-delivering-speeches?trk=ondemandfile" TargetMode="External"/><Relationship Id="rId4" Type="http://schemas.openxmlformats.org/officeDocument/2006/relationships/hyperlink" Target="https://www.linkedin.com/learning/aprende-a-tomar-notas-en-dispositivos-digitales?trk=ondemandfile" TargetMode="External"/><Relationship Id="rId9" Type="http://schemas.openxmlformats.org/officeDocument/2006/relationships/hyperlink" Target="https://www.linkedin.com/learning/business-english-writing-successful-business-emails-15824757?trk=contentmappingfile" TargetMode="External"/><Relationship Id="rId13" Type="http://schemas.openxmlformats.org/officeDocument/2006/relationships/hyperlink" Target="https://www.linkedin.com/learning/paths/domina-el-arte-del-email-con-outlook-2016?trk=ondemandfile" TargetMode="External"/><Relationship Id="rId18" Type="http://schemas.openxmlformats.org/officeDocument/2006/relationships/hyperlink" Target="https://www.linkedin.com/learning/como-escribir-con-eficacia?trk=ondemandfile" TargetMode="External"/><Relationship Id="rId39" Type="http://schemas.openxmlformats.org/officeDocument/2006/relationships/hyperlink" Target="https://www.linkedin.com/learning/00-como-redactar-un-post-exitoso?trk=ondemandfile" TargetMode="External"/><Relationship Id="rId34" Type="http://schemas.openxmlformats.org/officeDocument/2006/relationships/hyperlink" Target="https://www.linkedin.com/learning/einfach-gendern-gendersensible-sprache-in-der-unternehmenspraxis?trk=ondemandfile" TargetMode="External"/><Relationship Id="rId50" Type="http://schemas.openxmlformats.org/officeDocument/2006/relationships/hyperlink" Target="https://www.linkedin.com/learning/writing-in-plain-language?trk=ondemandfile" TargetMode="External"/><Relationship Id="rId55" Type="http://schemas.openxmlformats.org/officeDocument/2006/relationships/hyperlink" Target="https://www.linkedin.com/learning/00-pdd-2?trk=ondemandfile" TargetMode="External"/><Relationship Id="rId76" Type="http://schemas.openxmlformats.org/officeDocument/2006/relationships/hyperlink" Target="https://www.linkedin.com/learning/writing-headlines?trk=ondemandfile" TargetMode="External"/><Relationship Id="rId7" Type="http://schemas.openxmlformats.org/officeDocument/2006/relationships/hyperlink" Target="https://www.linkedin.com/learning/paths/bessere-texte-schreiben?trk=ondemandfile" TargetMode="External"/><Relationship Id="rId71" Type="http://schemas.openxmlformats.org/officeDocument/2006/relationships/hyperlink" Target="https://www.linkedin.com/learning/sell-your-novel-to-a-major-publisher?trk=ondemandfile" TargetMode="External"/></Relationships>
</file>

<file path=xl/worksheets/_rels/sheet35.xml.rels><?xml version="1.0" encoding="UTF-8" standalone="yes"?>
<Relationships xmlns="http://schemas.openxmlformats.org/package/2006/relationships"><Relationship Id="rId117" Type="http://schemas.openxmlformats.org/officeDocument/2006/relationships/hyperlink" Target="https://www.linkedin.com/learning/aligning-your-values-with-work-life-and-everything-in-between?trk=ondemandfile" TargetMode="External"/><Relationship Id="rId21" Type="http://schemas.openxmlformats.org/officeDocument/2006/relationships/hyperlink" Target="https://www.linkedin.com/learning/achtsamkeit-im-beruf-durch-meditation-resilienz?trk=ondemandfile" TargetMode="External"/><Relationship Id="rId42" Type="http://schemas.openxmlformats.org/officeDocument/2006/relationships/hyperlink" Target="https://www.linkedin.com/learning/learning-to-be-assertive-14827737?trk=contentmappingfile" TargetMode="External"/><Relationship Id="rId63" Type="http://schemas.openxmlformats.org/officeDocument/2006/relationships/hyperlink" Target="https://www.linkedin.com/learning/overcoming-imposter-syndrome?trk=ondemandfile" TargetMode="External"/><Relationship Id="rId84" Type="http://schemas.openxmlformats.org/officeDocument/2006/relationships/hyperlink" Target="https://www.linkedin.com/learning/ergonomics-101?trk=ondemandfile" TargetMode="External"/><Relationship Id="rId138" Type="http://schemas.openxmlformats.org/officeDocument/2006/relationships/hyperlink" Target="https://www.linkedin.com/learning/managing-employee-stress-for-positive-change?trk=ondemandfile" TargetMode="External"/><Relationship Id="rId159" Type="http://schemas.openxmlformats.org/officeDocument/2006/relationships/hyperlink" Target="https://www.linkedin.com/learning/essentials-of-mindfulness-and-compassion-with-scott-shute?trk=ondemandfile" TargetMode="External"/><Relationship Id="rId170" Type="http://schemas.openxmlformats.org/officeDocument/2006/relationships/hyperlink" Target="https://www.linkedin.com/learning/enhance-productivity-in-a-hybrid-work-environment?trk=ondemandfile" TargetMode="External"/><Relationship Id="rId107" Type="http://schemas.openxmlformats.org/officeDocument/2006/relationships/hyperlink" Target="https://www.linkedin.com/learning/pushing-past-your-prior-limits?trk=ondemandfile" TargetMode="External"/><Relationship Id="rId11" Type="http://schemas.openxmlformats.org/officeDocument/2006/relationships/hyperlink" Target="https://www.linkedin.com/learning/como-apoiar-sua-equipe-na-gestao-da-ansiedade?trk=contentmappingfile" TargetMode="External"/><Relationship Id="rId32" Type="http://schemas.openxmlformats.org/officeDocument/2006/relationships/hyperlink" Target="https://www.linkedin.com/learning/das-frustjobkillerbuch-blinkist-kernaussagen?trk=ondemandfile" TargetMode="External"/><Relationship Id="rId53" Type="http://schemas.openxmlformats.org/officeDocument/2006/relationships/hyperlink" Target="https://www.linkedin.com/learning/persuader-et-convaincre-5-techniques-efficaces-pour-canaliser-votre-stress?trk=contentmappingfile" TargetMode="External"/><Relationship Id="rId74" Type="http://schemas.openxmlformats.org/officeDocument/2006/relationships/hyperlink" Target="https://www.linkedin.com/learning/produktiv-mit-stress-umgehen?trk=ondemandfile" TargetMode="External"/><Relationship Id="rId128" Type="http://schemas.openxmlformats.org/officeDocument/2006/relationships/hyperlink" Target="https://www.linkedin.com/learning/upgrading-your-confidence-and-courage-at-work?trk=ondemandfile" TargetMode="External"/><Relationship Id="rId149" Type="http://schemas.openxmlformats.org/officeDocument/2006/relationships/hyperlink" Target="https://www.linkedin.com/learning/sheryl-sandberg-and-adam-grant-on-option-b?trk=ondemandfile" TargetMode="External"/><Relationship Id="rId5" Type="http://schemas.openxmlformats.org/officeDocument/2006/relationships/hyperlink" Target="https://www.linkedin.com/learning/mindfulness-4?trk=ondemandfile" TargetMode="External"/><Relationship Id="rId95" Type="http://schemas.openxmlformats.org/officeDocument/2006/relationships/hyperlink" Target="https://www.linkedin.com/learning/embracing-change-with-mindfulness?trk=ondemandfile" TargetMode="External"/><Relationship Id="rId160" Type="http://schemas.openxmlformats.org/officeDocument/2006/relationships/hyperlink" Target="https://www.linkedin.com/learning/how-to-manage-feeling-overwhelmed?trk=ondemandfile" TargetMode="External"/><Relationship Id="rId181" Type="http://schemas.openxmlformats.org/officeDocument/2006/relationships/hyperlink" Target="https://www.linkedin.com/learning/the-culture-code?trk=ondemandfile" TargetMode="External"/><Relationship Id="rId22" Type="http://schemas.openxmlformats.org/officeDocument/2006/relationships/hyperlink" Target="https://www.linkedin.com/learning/coping-with-stress?trk=ondemandfile" TargetMode="External"/><Relationship Id="rId43" Type="http://schemas.openxmlformats.org/officeDocument/2006/relationships/hyperlink" Target="https://www.linkedin.com/learning/well-being-in-the-workplace?trk=ondemandfile" TargetMode="External"/><Relationship Id="rId64" Type="http://schemas.openxmlformats.org/officeDocument/2006/relationships/hyperlink" Target="https://www.linkedin.com/learning/como-conciliar-el-teletrabajo-con-la-vida-real-en-tiempos-de-crisis?trk=ondemandfile" TargetMode="External"/><Relationship Id="rId118" Type="http://schemas.openxmlformats.org/officeDocument/2006/relationships/hyperlink" Target="https://www.linkedin.com/learning/how-to-use-rejection-to-your-advantage?trk=ondemandfile" TargetMode="External"/><Relationship Id="rId139" Type="http://schemas.openxmlformats.org/officeDocument/2006/relationships/hyperlink" Target="https://www.linkedin.com/learning/meditation-audio-course?trk=ondemandfile" TargetMode="External"/><Relationship Id="rId85" Type="http://schemas.openxmlformats.org/officeDocument/2006/relationships/hyperlink" Target="https://www.linkedin.com/learning/developing-your-emotional-intelligence?trk=ondemandfile" TargetMode="External"/><Relationship Id="rId150" Type="http://schemas.openxmlformats.org/officeDocument/2006/relationships/hyperlink" Target="https://www.linkedin.com/learning/arianna-huffington-s-thrive-02-learning-how-to-unplug-and-recharge?trk=ondemandfile" TargetMode="External"/><Relationship Id="rId171" Type="http://schemas.openxmlformats.org/officeDocument/2006/relationships/hyperlink" Target="https://www.linkedin.com/learning/reframing-the-power-of-changing-your-perspective?trk=ondemandfile" TargetMode="External"/><Relationship Id="rId12" Type="http://schemas.openxmlformats.org/officeDocument/2006/relationships/hyperlink" Target="https://www.linkedin.com/learning/performing-under-pressure-3?trk=ondemandfile" TargetMode="External"/><Relationship Id="rId33" Type="http://schemas.openxmlformats.org/officeDocument/2006/relationships/hyperlink" Target="https://www.linkedin.com/learning/managing-stress-14665661?trk=contentmappingfile" TargetMode="External"/><Relationship Id="rId108" Type="http://schemas.openxmlformats.org/officeDocument/2006/relationships/hyperlink" Target="https://www.linkedin.com/learning/establishing-evening-routines-to-optimize-the-day-ahead?trk=ondemandfile" TargetMode="External"/><Relationship Id="rId129" Type="http://schemas.openxmlformats.org/officeDocument/2006/relationships/hyperlink" Target="https://www.linkedin.com/learning/developing-your-authentic-self-to-ignite-change?trk=ondemandfile" TargetMode="External"/><Relationship Id="rId54" Type="http://schemas.openxmlformats.org/officeDocument/2006/relationships/hyperlink" Target="https://www.linkedin.com/learning/mit-dem-inneren-kritiker-besser-leben?trk=contentmappingfile" TargetMode="External"/><Relationship Id="rId75" Type="http://schemas.openxmlformats.org/officeDocument/2006/relationships/hyperlink" Target="https://www.linkedin.com/learning/mindfulness-for-beginners?trk=ondemandfile" TargetMode="External"/><Relationship Id="rId96" Type="http://schemas.openxmlformats.org/officeDocument/2006/relationships/hyperlink" Target="https://www.linkedin.com/learning/winding-down-get-a-better-night-s-sleep?trk=ondemandfile" TargetMode="External"/><Relationship Id="rId140" Type="http://schemas.openxmlformats.org/officeDocument/2006/relationships/hyperlink" Target="https://www.linkedin.com/learning/45-minute-business-plan?trk=ondemandfile" TargetMode="External"/><Relationship Id="rId161" Type="http://schemas.openxmlformats.org/officeDocument/2006/relationships/hyperlink" Target="https://www.linkedin.com/learning/confronting-bias-thriving-across-our-differences?trk=ondemandfile" TargetMode="External"/><Relationship Id="rId182" Type="http://schemas.openxmlformats.org/officeDocument/2006/relationships/hyperlink" Target="https://www.linkedin.com/learning/how-to-be-a-positive-leader?trk=ondemandfile" TargetMode="External"/><Relationship Id="rId6" Type="http://schemas.openxmlformats.org/officeDocument/2006/relationships/hyperlink" Target="https://www.linkedin.com/learning/being-positive-at-work-2?trk=ondemandfile" TargetMode="External"/><Relationship Id="rId23" Type="http://schemas.openxmlformats.org/officeDocument/2006/relationships/hyperlink" Target="https://www.linkedin.com/learning/como-enfrentar-a-ansiedade-no-trabalho?trk=contentmappingfile" TargetMode="External"/><Relationship Id="rId119" Type="http://schemas.openxmlformats.org/officeDocument/2006/relationships/hyperlink" Target="https://www.linkedin.com/learning/mindful-team-building?trk=ondemandfile" TargetMode="External"/><Relationship Id="rId44" Type="http://schemas.openxmlformats.org/officeDocument/2006/relationships/hyperlink" Target="https://www.linkedin.com/learning/finde-den-job-der-dich-glucklich-macht-blinkist-kernaussagen?trk=ondemandfile" TargetMode="External"/><Relationship Id="rId65" Type="http://schemas.openxmlformats.org/officeDocument/2006/relationships/hyperlink" Target="https://www.linkedin.com/learning/optimistisch-bleiben-im-job?trk=ondemandfile" TargetMode="External"/><Relationship Id="rId86" Type="http://schemas.openxmlformats.org/officeDocument/2006/relationships/hyperlink" Target="https://www.linkedin.com/learning/meditations-to-change-your-brain?trk=ondemandfile" TargetMode="External"/><Relationship Id="rId130" Type="http://schemas.openxmlformats.org/officeDocument/2006/relationships/hyperlink" Target="https://www.linkedin.com/learning/conquering-freak-outs-and-the-fear-of-failure?trk=ondemandfile" TargetMode="External"/><Relationship Id="rId151" Type="http://schemas.openxmlformats.org/officeDocument/2006/relationships/hyperlink" Target="https://www.linkedin.com/learning/arianna-huffington-s-thrive-05-igniting-joy?trk=ondemandfile" TargetMode="External"/><Relationship Id="rId172" Type="http://schemas.openxmlformats.org/officeDocument/2006/relationships/hyperlink" Target="https://www.linkedin.com/learning/habits-to-win-every-day?trk=ondemandfile" TargetMode="External"/><Relationship Id="rId13" Type="http://schemas.openxmlformats.org/officeDocument/2006/relationships/hyperlink" Target="https://www.linkedin.com/learning/leading-with-fearless-mindfulness?trk=ondemandfile" TargetMode="External"/><Relationship Id="rId18" Type="http://schemas.openxmlformats.org/officeDocument/2006/relationships/hyperlink" Target="https://www.linkedin.com/learning/managing-stress-for-positive-change-3?trk=ondemandfile" TargetMode="External"/><Relationship Id="rId39" Type="http://schemas.openxmlformats.org/officeDocument/2006/relationships/hyperlink" Target="https://www.linkedin.com/learning/gerer-son-stress-au-travail?trk=contentmappingfile" TargetMode="External"/><Relationship Id="rId109" Type="http://schemas.openxmlformats.org/officeDocument/2006/relationships/hyperlink" Target="https://www.linkedin.com/learning/achieving-more-through-smart-energy-management?trk=ondemandfile" TargetMode="External"/><Relationship Id="rId34" Type="http://schemas.openxmlformats.org/officeDocument/2006/relationships/hyperlink" Target="https://www.linkedin.com/learning/finding-your-introvert-extrovert-balance-in-the-workplace?trk=ondemandfile" TargetMode="External"/><Relationship Id="rId50" Type="http://schemas.openxmlformats.org/officeDocument/2006/relationships/hyperlink" Target="https://www.linkedin.com/learning/chair-work-yoga-fitness-and-stretching-at-your-desk?trk=ondemandfile" TargetMode="External"/><Relationship Id="rId55" Type="http://schemas.openxmlformats.org/officeDocument/2006/relationships/hyperlink" Target="https://www.linkedin.com/learning/building-better-routines?trk=ondemandfile" TargetMode="External"/><Relationship Id="rId76" Type="http://schemas.openxmlformats.org/officeDocument/2006/relationships/hyperlink" Target="https://www.linkedin.com/learning/la-salud-tu-mejor-talento?trk=ondemandfile" TargetMode="External"/><Relationship Id="rId97" Type="http://schemas.openxmlformats.org/officeDocument/2006/relationships/hyperlink" Target="https://www.linkedin.com/learning/mindful-stress-management?trk=ondemandfile" TargetMode="External"/><Relationship Id="rId104" Type="http://schemas.openxmlformats.org/officeDocument/2006/relationships/hyperlink" Target="https://www.linkedin.com/learning/creating-flow?trk=ondemandfile" TargetMode="External"/><Relationship Id="rId120" Type="http://schemas.openxmlformats.org/officeDocument/2006/relationships/hyperlink" Target="https://www.linkedin.com/learning/improving-emotional-intelligence-with-mindfulness?trk=ondemandfile" TargetMode="External"/><Relationship Id="rId125" Type="http://schemas.openxmlformats.org/officeDocument/2006/relationships/hyperlink" Target="https://www.linkedin.com/learning/don-t-take-yes-for-an-answer-blinkist-summary?trk=ondemandfile" TargetMode="External"/><Relationship Id="rId141" Type="http://schemas.openxmlformats.org/officeDocument/2006/relationships/hyperlink" Target="https://www.linkedin.com/learning/the-leader-s-guide-to-mindfulness-getabstract-summary?trk=ondemandfile" TargetMode="External"/><Relationship Id="rId146" Type="http://schemas.openxmlformats.org/officeDocument/2006/relationships/hyperlink" Target="https://www.linkedin.com/learning/cultivate-healthy-ambition?trk=ondemandfile" TargetMode="External"/><Relationship Id="rId167" Type="http://schemas.openxmlformats.org/officeDocument/2006/relationships/hyperlink" Target="https://www.linkedin.com/learning/mindfulness-practices?trk=ondemandfile" TargetMode="External"/><Relationship Id="rId188" Type="http://schemas.openxmlformats.org/officeDocument/2006/relationships/hyperlink" Target="https://www.linkedin.com/learning/unsubscribe?trk=ondemandfile" TargetMode="External"/><Relationship Id="rId7" Type="http://schemas.openxmlformats.org/officeDocument/2006/relationships/hyperlink" Target="https://www.linkedin.com/learning/adaptive-leadership-for-vuca-challenges?trk=ondemandfile" TargetMode="External"/><Relationship Id="rId71" Type="http://schemas.openxmlformats.org/officeDocument/2006/relationships/hyperlink" Target="https://www.linkedin.com/learning/resilienz-in-krisenzeiten?trk=ondemandfile" TargetMode="External"/><Relationship Id="rId92" Type="http://schemas.openxmlformats.org/officeDocument/2006/relationships/hyperlink" Target="https://www.linkedin.com/learning/being-positive-at-work?trk=ondemandfile" TargetMode="External"/><Relationship Id="rId162" Type="http://schemas.openxmlformats.org/officeDocument/2006/relationships/hyperlink" Target="https://www.linkedin.com/learning/arianna-huffington-s-thrive-03-setting-priorities-and-letting-go?trk=ondemandfile" TargetMode="External"/><Relationship Id="rId183" Type="http://schemas.openxmlformats.org/officeDocument/2006/relationships/hyperlink" Target="https://www.linkedin.com/learning/how-to-support-your-employees-well-being?trk=ondemandfile" TargetMode="External"/><Relationship Id="rId2" Type="http://schemas.openxmlformats.org/officeDocument/2006/relationships/hyperlink" Target="https://www.linkedin.com/learning/paths/manage-change-and-develop-your-adaptability-skills?trk=ondemandfile" TargetMode="External"/><Relationship Id="rId29" Type="http://schemas.openxmlformats.org/officeDocument/2006/relationships/hyperlink" Target="https://www.linkedin.com/learning/confronting-bias-thriving-across-our-differences-14254791?trk=contentmappingfile" TargetMode="External"/><Relationship Id="rId24" Type="http://schemas.openxmlformats.org/officeDocument/2006/relationships/hyperlink" Target="https://www.linkedin.com/learning/mindfulness-2?trk=ondemandfile" TargetMode="External"/><Relationship Id="rId40" Type="http://schemas.openxmlformats.org/officeDocument/2006/relationships/hyperlink" Target="https://www.linkedin.com/learning/00-bienestar-y-felicidad-trucos-semanales?trk=ondemandfile" TargetMode="External"/><Relationship Id="rId45" Type="http://schemas.openxmlformats.org/officeDocument/2006/relationships/hyperlink" Target="https://www.linkedin.com/learning/learning-to-say-no-16410576?trk=contentmappingfile" TargetMode="External"/><Relationship Id="rId66" Type="http://schemas.openxmlformats.org/officeDocument/2006/relationships/hyperlink" Target="https://www.linkedin.com/learning/how-to-stop-freaking-out-and-keep-moving-forward?trk=ondemandfile" TargetMode="External"/><Relationship Id="rId87" Type="http://schemas.openxmlformats.org/officeDocument/2006/relationships/hyperlink" Target="https://www.linkedin.com/learning/developing-self-awareness?trk=ondemandfile" TargetMode="External"/><Relationship Id="rId110" Type="http://schemas.openxmlformats.org/officeDocument/2006/relationships/hyperlink" Target="https://www.linkedin.com/learning/confidence-how-to-overcome-self-doubt-insecurity-and-fears?trk=ondemandfile" TargetMode="External"/><Relationship Id="rId115" Type="http://schemas.openxmlformats.org/officeDocument/2006/relationships/hyperlink" Target="https://www.linkedin.com/learning/vulnerability-the-workplace-superpower-disguised-as-a-weakness?trk=ondemandfile" TargetMode="External"/><Relationship Id="rId131" Type="http://schemas.openxmlformats.org/officeDocument/2006/relationships/hyperlink" Target="https://www.linkedin.com/learning/mindfulness-a-critical-skill-for-project-managers?trk=ondemandfile" TargetMode="External"/><Relationship Id="rId136" Type="http://schemas.openxmlformats.org/officeDocument/2006/relationships/hyperlink" Target="https://www.linkedin.com/learning/developing-adaptable-employees?trk=ondemandfile" TargetMode="External"/><Relationship Id="rId157" Type="http://schemas.openxmlformats.org/officeDocument/2006/relationships/hyperlink" Target="https://www.linkedin.com/learning/the-five-thieves-of-happiness-getabstract-summary?trk=ondemandfile" TargetMode="External"/><Relationship Id="rId178" Type="http://schemas.openxmlformats.org/officeDocument/2006/relationships/hyperlink" Target="https://www.linkedin.com/learning/the-miracle-morning-blinkist-summary?trk=ondemandfile" TargetMode="External"/><Relationship Id="rId61" Type="http://schemas.openxmlformats.org/officeDocument/2006/relationships/hyperlink" Target="https://www.linkedin.com/learning/como-balancear-e-integrar-tu-vida-laboral-y-personal?trk=ondemandfile" TargetMode="External"/><Relationship Id="rId82" Type="http://schemas.openxmlformats.org/officeDocument/2006/relationships/hyperlink" Target="https://www.linkedin.com/learning/toma-de-decisiones-en-situaciones-de-gran-estres?trk=ondemandfile" TargetMode="External"/><Relationship Id="rId152" Type="http://schemas.openxmlformats.org/officeDocument/2006/relationships/hyperlink" Target="https://www.linkedin.com/learning/being-the-best-you-self-improvement-modeling?trk=ondemandfile" TargetMode="External"/><Relationship Id="rId173" Type="http://schemas.openxmlformats.org/officeDocument/2006/relationships/hyperlink" Target="https://www.linkedin.com/learning/succeeding-as-an-lgbt-professional?trk=ondemandfile" TargetMode="External"/><Relationship Id="rId19" Type="http://schemas.openxmlformats.org/officeDocument/2006/relationships/hyperlink" Target="https://www.linkedin.com/learning/career-wellness-nano-tips-with-shade-zahrai?trk=contentmappingfile" TargetMode="External"/><Relationship Id="rId14" Type="http://schemas.openxmlformats.org/officeDocument/2006/relationships/hyperlink" Target="https://www.linkedin.com/learning/paths/staying-positive-and-productive-during-uncertainty?trk=ondemandfile" TargetMode="External"/><Relationship Id="rId30" Type="http://schemas.openxmlformats.org/officeDocument/2006/relationships/hyperlink" Target="https://www.linkedin.com/learning/finding-and-doing-the-one-thing?trk=ondemandfile" TargetMode="External"/><Relationship Id="rId35" Type="http://schemas.openxmlformats.org/officeDocument/2006/relationships/hyperlink" Target="https://www.linkedin.com/learning/alimentacion-saludable-y-digestion-optima?trk=ondemandfile" TargetMode="External"/><Relationship Id="rId56" Type="http://schemas.openxmlformats.org/officeDocument/2006/relationships/hyperlink" Target="https://www.linkedin.com/learning/mit-depressionen-am-arbeitsplatz-umgehen?trk=ondemandfile" TargetMode="External"/><Relationship Id="rId77" Type="http://schemas.openxmlformats.org/officeDocument/2006/relationships/hyperlink" Target="https://www.linkedin.com/learning/stress-bewaltigen-2-fur-mehr-balance-und-gesundheit?trk=contentmappingfile" TargetMode="External"/><Relationship Id="rId100" Type="http://schemas.openxmlformats.org/officeDocument/2006/relationships/hyperlink" Target="https://www.linkedin.com/learning/introduction-to-loving-kindness-meditation?trk=ondemandfile" TargetMode="External"/><Relationship Id="rId105" Type="http://schemas.openxmlformats.org/officeDocument/2006/relationships/hyperlink" Target="https://www.linkedin.com/learning/overcoming-rejection?trk=ondemandfile" TargetMode="External"/><Relationship Id="rId126" Type="http://schemas.openxmlformats.org/officeDocument/2006/relationships/hyperlink" Target="https://www.linkedin.com/learning/strategies-to-get-and-stay-unstuck?trk=ondemandfile" TargetMode="External"/><Relationship Id="rId147" Type="http://schemas.openxmlformats.org/officeDocument/2006/relationships/hyperlink" Target="https://www.linkedin.com/learning/gretchen-rubin-on-creating-great-workplace-habits?trk=ondemandfile" TargetMode="External"/><Relationship Id="rId168" Type="http://schemas.openxmlformats.org/officeDocument/2006/relationships/hyperlink" Target="https://www.linkedin.com/learning/how-to-create-a-life-of-meaning-and-purpose?trk=ondemandfile" TargetMode="External"/><Relationship Id="rId8" Type="http://schemas.openxmlformats.org/officeDocument/2006/relationships/hyperlink" Target="https://www.linkedin.com/learning/paths/remote-working-setting-yourself-and-your-teams-up-for-success?trk=ondemandfile" TargetMode="External"/><Relationship Id="rId51" Type="http://schemas.openxmlformats.org/officeDocument/2006/relationships/hyperlink" Target="https://www.linkedin.com/learning/mentale-starke-fur-mehr-erfolg-im-beruf?trk=ondemandfile" TargetMode="External"/><Relationship Id="rId72" Type="http://schemas.openxmlformats.org/officeDocument/2006/relationships/hyperlink" Target="https://www.linkedin.com/learning/how-to-have-compassionate-presence?trk=ondemandfile" TargetMode="External"/><Relationship Id="rId93" Type="http://schemas.openxmlformats.org/officeDocument/2006/relationships/hyperlink" Target="https://www.linkedin.com/learning/how-to-make-work-more-meaningful?trk=ondemandfile" TargetMode="External"/><Relationship Id="rId98" Type="http://schemas.openxmlformats.org/officeDocument/2006/relationships/hyperlink" Target="https://www.linkedin.com/learning/introduction-to-gratitude-meditation?trk=ondemandfile" TargetMode="External"/><Relationship Id="rId121" Type="http://schemas.openxmlformats.org/officeDocument/2006/relationships/hyperlink" Target="https://www.linkedin.com/learning/mindful-eating?trk=ondemandfile" TargetMode="External"/><Relationship Id="rId142" Type="http://schemas.openxmlformats.org/officeDocument/2006/relationships/hyperlink" Target="https://www.linkedin.com/learning/sharing-your-best-self-at-work?trk=ondemandfile" TargetMode="External"/><Relationship Id="rId163" Type="http://schemas.openxmlformats.org/officeDocument/2006/relationships/hyperlink" Target="https://www.linkedin.com/learning/managing-depression-in-the-workplace?trk=ondemandfile" TargetMode="External"/><Relationship Id="rId184" Type="http://schemas.openxmlformats.org/officeDocument/2006/relationships/hyperlink" Target="https://www.linkedin.com/learning/managing-your-well-being-as-a-leader?trk=ondemandfile" TargetMode="External"/><Relationship Id="rId189" Type="http://schemas.openxmlformats.org/officeDocument/2006/relationships/hyperlink" Target="https://www.linkedin.com/learning/driving-workplace-happiness?trk=ondemandfile" TargetMode="External"/><Relationship Id="rId3" Type="http://schemas.openxmlformats.org/officeDocument/2006/relationships/hyperlink" Target="https://www.linkedin.com/learning/activa-el-cuerpo-entrenamiento-facil-y-sencillo-de-cardio-y-fuerza?trk=contentmappingfile" TargetMode="External"/><Relationship Id="rId25" Type="http://schemas.openxmlformats.org/officeDocument/2006/relationships/hyperlink" Target="https://www.linkedin.com/learning/overcoming-overw-helm?trk=ondemandfile" TargetMode="External"/><Relationship Id="rId46" Type="http://schemas.openxmlformats.org/officeDocument/2006/relationships/hyperlink" Target="https://www.linkedin.com/learning/managing-self-doubt-to-tackle-bigger-challenges?trk=ondemandfile" TargetMode="External"/><Relationship Id="rId67" Type="http://schemas.openxmlformats.org/officeDocument/2006/relationships/hyperlink" Target="https://www.linkedin.com/learning/como-hackear-tu-mente-y-recuperar-el-control-sobre-el-estres?trk=ondemandfile" TargetMode="External"/><Relationship Id="rId116" Type="http://schemas.openxmlformats.org/officeDocument/2006/relationships/hyperlink" Target="https://www.linkedin.com/learning/prepare-for-returning-to-the-workplace?trk=ondemandfile" TargetMode="External"/><Relationship Id="rId137" Type="http://schemas.openxmlformats.org/officeDocument/2006/relationships/hyperlink" Target="https://www.linkedin.com/learning/facilities-management-social-distancing-and-ppe-14016700?trk=ondemandfile" TargetMode="External"/><Relationship Id="rId158" Type="http://schemas.openxmlformats.org/officeDocument/2006/relationships/hyperlink" Target="https://www.linkedin.com/learning/balancing-work-and-life-as-a-work-from-home-parent?trk=ondemandfile" TargetMode="External"/><Relationship Id="rId20" Type="http://schemas.openxmlformats.org/officeDocument/2006/relationships/hyperlink" Target="https://www.linkedin.com/learning/paths/support-your-mental-health-during-challenging-times?trk=ondemandfile" TargetMode="External"/><Relationship Id="rId41" Type="http://schemas.openxmlformats.org/officeDocument/2006/relationships/hyperlink" Target="https://www.linkedin.com/learning/eine-nachhaltige-work-life-balance-etablieren?trk=ondemandfile" TargetMode="External"/><Relationship Id="rId62" Type="http://schemas.openxmlformats.org/officeDocument/2006/relationships/hyperlink" Target="https://www.linkedin.com/learning/nein-sagen-und-gesunde-grenzen-setzen?trk=contentmappingfile" TargetMode="External"/><Relationship Id="rId83" Type="http://schemas.openxmlformats.org/officeDocument/2006/relationships/hyperlink" Target="https://www.linkedin.com/learning/creating-technology-boundaries-for-your-phone?trk=ondemandfile" TargetMode="External"/><Relationship Id="rId88" Type="http://schemas.openxmlformats.org/officeDocument/2006/relationships/hyperlink" Target="https://www.linkedin.com/learning/avoiding-burnout-2019?trk=ondemandfile" TargetMode="External"/><Relationship Id="rId111" Type="http://schemas.openxmlformats.org/officeDocument/2006/relationships/hyperlink" Target="https://www.linkedin.com/learning/strategies-to-improve-self-awareness?trk=ondemandfile" TargetMode="External"/><Relationship Id="rId132" Type="http://schemas.openxmlformats.org/officeDocument/2006/relationships/hyperlink" Target="https://www.linkedin.com/learning/how-to-have-a-happier-workweek?trk=contentmappingfile" TargetMode="External"/><Relationship Id="rId153" Type="http://schemas.openxmlformats.org/officeDocument/2006/relationships/hyperlink" Target="https://www.linkedin.com/learning/supporting-your-mental-health-while-working-from-home?trk=ondemandfile" TargetMode="External"/><Relationship Id="rId174" Type="http://schemas.openxmlformats.org/officeDocument/2006/relationships/hyperlink" Target="https://www.linkedin.com/learning/how-to-have-a-great-day-at-work-with-caroline-webb?trk=ondemandfile" TargetMode="External"/><Relationship Id="rId179" Type="http://schemas.openxmlformats.org/officeDocument/2006/relationships/hyperlink" Target="https://www.linkedin.com/learning/the-power-of-habit-blinkist-summary?trk=ondemandfile" TargetMode="External"/><Relationship Id="rId15" Type="http://schemas.openxmlformats.org/officeDocument/2006/relationships/hyperlink" Target="https://www.linkedin.com/learning/10-minutes-un-livre-l-art-de-la-meditation?trk=contentmappingfile" TargetMode="External"/><Relationship Id="rId36" Type="http://schemas.openxmlformats.org/officeDocument/2006/relationships/hyperlink" Target="https://www.linkedin.com/learning/disrupt-yourself-erfinden-sie-sich-neu?trk=ondemandfile" TargetMode="External"/><Relationship Id="rId57" Type="http://schemas.openxmlformats.org/officeDocument/2006/relationships/hyperlink" Target="https://www.linkedin.com/learning/teaching-civility-in-the-workplace?trk=ondemandfile" TargetMode="External"/><Relationship Id="rId106" Type="http://schemas.openxmlformats.org/officeDocument/2006/relationships/hyperlink" Target="https://www.linkedin.com/learning/how-to-be-both-assertive-and-likable?trk=ondemandfile" TargetMode="External"/><Relationship Id="rId127" Type="http://schemas.openxmlformats.org/officeDocument/2006/relationships/hyperlink" Target="https://www.linkedin.com/learning/mindset-blinkist-summary?trk=ondemandfile" TargetMode="External"/><Relationship Id="rId10" Type="http://schemas.openxmlformats.org/officeDocument/2006/relationships/hyperlink" Target="https://www.linkedin.com/learning/avoiding-burnout?trk=ondemandfile" TargetMode="External"/><Relationship Id="rId31" Type="http://schemas.openxmlformats.org/officeDocument/2006/relationships/hyperlink" Target="https://www.linkedin.com/learning/paths/developing-resilience-and-grit?trk=ondemandfile" TargetMode="External"/><Relationship Id="rId52" Type="http://schemas.openxmlformats.org/officeDocument/2006/relationships/hyperlink" Target="https://www.linkedin.com/learning/how-to-slash-anxiety-and-keep-positivity-flowing?trk=ondemandfile" TargetMode="External"/><Relationship Id="rId73" Type="http://schemas.openxmlformats.org/officeDocument/2006/relationships/hyperlink" Target="https://www.linkedin.com/learning/gestion-del-estres-en-tiempos-de-incertidumbre-vivir-o-sobrevivir?trk=ondemandfile" TargetMode="External"/><Relationship Id="rId78" Type="http://schemas.openxmlformats.org/officeDocument/2006/relationships/hyperlink" Target="https://www.linkedin.com/learning/computer-and-text-neck-stretching-exercises?trk=ondemandfile" TargetMode="External"/><Relationship Id="rId94" Type="http://schemas.openxmlformats.org/officeDocument/2006/relationships/hyperlink" Target="https://www.linkedin.com/learning/mindful-productivity?trk=ondemandfile" TargetMode="External"/><Relationship Id="rId99" Type="http://schemas.openxmlformats.org/officeDocument/2006/relationships/hyperlink" Target="https://www.linkedin.com/learning/introduction-to-mind-like-sky-meditation?trk=ondemandfile" TargetMode="External"/><Relationship Id="rId101" Type="http://schemas.openxmlformats.org/officeDocument/2006/relationships/hyperlink" Target="https://www.linkedin.com/learning/introduction-to-forgiveness-meditation?trk=ondemandfile" TargetMode="External"/><Relationship Id="rId122" Type="http://schemas.openxmlformats.org/officeDocument/2006/relationships/hyperlink" Target="https://www.linkedin.com/learning/mindfulness-diversity-and-the-quest-for-inclusion?trk=ondemandfile" TargetMode="External"/><Relationship Id="rId143" Type="http://schemas.openxmlformats.org/officeDocument/2006/relationships/hyperlink" Target="https://www.linkedin.com/learning/how-to-use-entrepreneurial-thinking-to-conquer-fear-and-motivate-yourself?trk=ondemandfile" TargetMode="External"/><Relationship Id="rId148" Type="http://schemas.openxmlformats.org/officeDocument/2006/relationships/hyperlink" Target="https://www.linkedin.com/learning/arianna-huffington-s-thrive-01-discovering-meditation-and-sleep?trk=ondemandfile" TargetMode="External"/><Relationship Id="rId164" Type="http://schemas.openxmlformats.org/officeDocument/2006/relationships/hyperlink" Target="https://www.linkedin.com/learning/arianna-huffington-s-thrive-04-facing-challenges?trk=ondemandfile" TargetMode="External"/><Relationship Id="rId169" Type="http://schemas.openxmlformats.org/officeDocument/2006/relationships/hyperlink" Target="https://www.linkedin.com/learning/beating-procrastination?trk=ondemandfile" TargetMode="External"/><Relationship Id="rId185" Type="http://schemas.openxmlformats.org/officeDocument/2006/relationships/hyperlink" Target="https://www.linkedin.com/learning/leading-with-empathy?trk=ondemandfile" TargetMode="External"/><Relationship Id="rId4" Type="http://schemas.openxmlformats.org/officeDocument/2006/relationships/hyperlink" Target="https://www.linkedin.com/learning/achtsamkeit-im-beruf-durch-meditation-achtsame-interaktion?trk=ondemandfile" TargetMode="External"/><Relationship Id="rId9" Type="http://schemas.openxmlformats.org/officeDocument/2006/relationships/hyperlink" Target="https://www.linkedin.com/learning/achtsamkeit-im-beruf-durch-meditation-innere-haltung?trk=ondemandfile" TargetMode="External"/><Relationship Id="rId180" Type="http://schemas.openxmlformats.org/officeDocument/2006/relationships/hyperlink" Target="https://www.linkedin.com/learning/balancing-multiple-roles-as-a-leader?trk=ondemandfile" TargetMode="External"/><Relationship Id="rId26" Type="http://schemas.openxmlformats.org/officeDocument/2006/relationships/hyperlink" Target="https://www.linkedin.com/learning/paths/supporting-your-well-being-during-times-of-change-and-uncertainty?trk=ondemandfile" TargetMode="External"/><Relationship Id="rId47" Type="http://schemas.openxmlformats.org/officeDocument/2006/relationships/hyperlink" Target="https://www.linkedin.com/learning/kurze-meditationen-fur-beruf-und-alltag?trk=contentmappingfile" TargetMode="External"/><Relationship Id="rId68" Type="http://schemas.openxmlformats.org/officeDocument/2006/relationships/hyperlink" Target="https://www.linkedin.com/learning/resilienz-entwickeln?trk=ondemandfile" TargetMode="External"/><Relationship Id="rId89" Type="http://schemas.openxmlformats.org/officeDocument/2006/relationships/hyperlink" Target="https://www.linkedin.com/learning/sky-yogi-relax-and-stretch-for-a-better-flight?trk=ondemandfile" TargetMode="External"/><Relationship Id="rId112" Type="http://schemas.openxmlformats.org/officeDocument/2006/relationships/hyperlink" Target="https://www.linkedin.com/learning/overcoming-perfectionism?trk=ondemandfile" TargetMode="External"/><Relationship Id="rId133" Type="http://schemas.openxmlformats.org/officeDocument/2006/relationships/hyperlink" Target="https://www.linkedin.com/learning/how-to-find-and-use-your-strengths?trk=contentmappingfile" TargetMode="External"/><Relationship Id="rId154" Type="http://schemas.openxmlformats.org/officeDocument/2006/relationships/hyperlink" Target="https://www.linkedin.com/learning/life-mastery-achieving-happiness-and-success?trk=ondemandfile" TargetMode="External"/><Relationship Id="rId175" Type="http://schemas.openxmlformats.org/officeDocument/2006/relationships/hyperlink" Target="https://www.linkedin.com/learning/confidence-building-strategies-for-work-and-life?trk=ondemandfile" TargetMode="External"/><Relationship Id="rId16" Type="http://schemas.openxmlformats.org/officeDocument/2006/relationships/hyperlink" Target="https://www.linkedin.com/learning/achtsamkeit-im-beruf-durch-meditation-prasenz-und-offenheit?trk=ondemandfile" TargetMode="External"/><Relationship Id="rId37" Type="http://schemas.openxmlformats.org/officeDocument/2006/relationships/hyperlink" Target="https://www.linkedin.com/learning/building-self-confidence-14680194?trk=contentmappingfile" TargetMode="External"/><Relationship Id="rId58" Type="http://schemas.openxmlformats.org/officeDocument/2006/relationships/hyperlink" Target="https://www.linkedin.com/learning/alcanzar-la-felicidad-permanente-creando-con-proposito?trk=ondemandfile" TargetMode="External"/><Relationship Id="rId79" Type="http://schemas.openxmlformats.org/officeDocument/2006/relationships/hyperlink" Target="https://www.linkedin.com/learning/mindfulness-3?trk=ondemandfile" TargetMode="External"/><Relationship Id="rId102" Type="http://schemas.openxmlformats.org/officeDocument/2006/relationships/hyperlink" Target="https://www.linkedin.com/learning/introduction-to-visualization-meditation?trk=ondemandfile" TargetMode="External"/><Relationship Id="rId123" Type="http://schemas.openxmlformats.org/officeDocument/2006/relationships/hyperlink" Target="https://www.linkedin.com/learning/habits-for-becoming-your-most-effective-self?trk=ondemandfile" TargetMode="External"/><Relationship Id="rId144" Type="http://schemas.openxmlformats.org/officeDocument/2006/relationships/hyperlink" Target="https://www.linkedin.com/learning/practices-for-regulating-your-nervous-system-and-reducing-stress?trk=ondemandfile" TargetMode="External"/><Relationship Id="rId90" Type="http://schemas.openxmlformats.org/officeDocument/2006/relationships/hyperlink" Target="https://www.linkedin.com/learning/boost-emotional-intelligence-with-mindfulness?trk=ondemandfile" TargetMode="External"/><Relationship Id="rId165" Type="http://schemas.openxmlformats.org/officeDocument/2006/relationships/hyperlink" Target="https://www.linkedin.com/learning/managing-your-energy-for-better-performance?trk=ondemandfile" TargetMode="External"/><Relationship Id="rId186" Type="http://schemas.openxmlformats.org/officeDocument/2006/relationships/hyperlink" Target="https://www.linkedin.com/learning/exercising-a-growth-mindset-as-a-leader-nine-common-workplace-challenges?trk=ondemandfile" TargetMode="External"/><Relationship Id="rId27" Type="http://schemas.openxmlformats.org/officeDocument/2006/relationships/hyperlink" Target="https://www.linkedin.com/learning/avoir-confiance-en-soi-15688050?trk=contentmappingfile" TargetMode="External"/><Relationship Id="rId48" Type="http://schemas.openxmlformats.org/officeDocument/2006/relationships/hyperlink" Target="https://www.linkedin.com/learning/using-your-mind-to-change-your-brain?trk=ondemandfile" TargetMode="External"/><Relationship Id="rId69" Type="http://schemas.openxmlformats.org/officeDocument/2006/relationships/hyperlink" Target="https://www.linkedin.com/learning/anger-management?trk=ondemandfile" TargetMode="External"/><Relationship Id="rId113" Type="http://schemas.openxmlformats.org/officeDocument/2006/relationships/hyperlink" Target="https://www.linkedin.com/learning/sales-well-being-managing-anxiety-burnout-and-rejection?trk=ondemandfile" TargetMode="External"/><Relationship Id="rId134" Type="http://schemas.openxmlformats.org/officeDocument/2006/relationships/hyperlink" Target="https://www.linkedin.com/learning/increasing-confidence-by-increasing-self-awareness?trk=contentmappingfile" TargetMode="External"/><Relationship Id="rId80" Type="http://schemas.openxmlformats.org/officeDocument/2006/relationships/hyperlink" Target="https://www.linkedin.com/learning/unerwartete-veranderungen-annehmen?trk=ondemandfile" TargetMode="External"/><Relationship Id="rId155" Type="http://schemas.openxmlformats.org/officeDocument/2006/relationships/hyperlink" Target="https://www.linkedin.com/learning/arianna-huffington-s-thrive-06-giving-back-to-others?trk=ondemandfile" TargetMode="External"/><Relationship Id="rId176" Type="http://schemas.openxmlformats.org/officeDocument/2006/relationships/hyperlink" Target="https://www.linkedin.com/learning/the-step-by-step-guide-to-reinventing-yourself?trk=ondemandfile" TargetMode="External"/><Relationship Id="rId17" Type="http://schemas.openxmlformats.org/officeDocument/2006/relationships/hyperlink" Target="https://www.linkedin.com/learning/building-resilience-4?trk=ondemandfile" TargetMode="External"/><Relationship Id="rId38" Type="http://schemas.openxmlformats.org/officeDocument/2006/relationships/hyperlink" Target="https://www.linkedin.com/learning/managing-your-energy?trk=ondemandfile" TargetMode="External"/><Relationship Id="rId59" Type="http://schemas.openxmlformats.org/officeDocument/2006/relationships/hyperlink" Target="https://www.linkedin.com/learning/feel-good-management?trk=ondemandfile" TargetMode="External"/><Relationship Id="rId103" Type="http://schemas.openxmlformats.org/officeDocument/2006/relationships/hyperlink" Target="https://www.linkedin.com/learning/mindful-leadership?trk=ondemandfile" TargetMode="External"/><Relationship Id="rId124" Type="http://schemas.openxmlformats.org/officeDocument/2006/relationships/hyperlink" Target="https://www.linkedin.com/learning/manage-burnout-at-work-with-these-simple-strategies?trk=ondemandfile" TargetMode="External"/><Relationship Id="rId70" Type="http://schemas.openxmlformats.org/officeDocument/2006/relationships/hyperlink" Target="https://www.linkedin.com/learning/c-mo-manejar-el-estr-s?trk=ondemandfile" TargetMode="External"/><Relationship Id="rId91" Type="http://schemas.openxmlformats.org/officeDocument/2006/relationships/hyperlink" Target="https://www.linkedin.com/learning/managing-stress-2019?trk=ondemandfile" TargetMode="External"/><Relationship Id="rId145" Type="http://schemas.openxmlformats.org/officeDocument/2006/relationships/hyperlink" Target="https://www.linkedin.com/learning/staying-positive-in-the-face-of-negativity?trk=ondemandfile" TargetMode="External"/><Relationship Id="rId166" Type="http://schemas.openxmlformats.org/officeDocument/2006/relationships/hyperlink" Target="https://www.linkedin.com/learning/managing-anxiety-in-the-workplace?trk=ondemandfile" TargetMode="External"/><Relationship Id="rId187" Type="http://schemas.openxmlformats.org/officeDocument/2006/relationships/hyperlink" Target="https://www.linkedin.com/learning/thriving-work-leveraging-the-connection-between-well-being-and-productivity?trk=ondemandfile" TargetMode="External"/><Relationship Id="rId1" Type="http://schemas.openxmlformats.org/officeDocument/2006/relationships/hyperlink" Target="https://www.linkedin.com/learning/creating-a-positive-and-healthy-work-environment?trk=ondemandfile" TargetMode="External"/><Relationship Id="rId28" Type="http://schemas.openxmlformats.org/officeDocument/2006/relationships/hyperlink" Target="https://www.linkedin.com/learning/achtsamkeit?trk=ondemandfile" TargetMode="External"/><Relationship Id="rId49" Type="http://schemas.openxmlformats.org/officeDocument/2006/relationships/hyperlink" Target="https://www.linkedin.com/learning/meditation-und-achtsamkeit-fur-neues-arbeiten?trk=ondemandfile" TargetMode="External"/><Relationship Id="rId114" Type="http://schemas.openxmlformats.org/officeDocument/2006/relationships/hyperlink" Target="https://www.linkedin.com/learning/lose-your-fear-of-asking-questions-at-work?trk=ondemandfile" TargetMode="External"/><Relationship Id="rId60" Type="http://schemas.openxmlformats.org/officeDocument/2006/relationships/hyperlink" Target="https://www.linkedin.com/learning/de-stress?trk=ondemandfile" TargetMode="External"/><Relationship Id="rId81" Type="http://schemas.openxmlformats.org/officeDocument/2006/relationships/hyperlink" Target="https://www.linkedin.com/learning/the-mindful-workday?trk=ondemandfile" TargetMode="External"/><Relationship Id="rId135" Type="http://schemas.openxmlformats.org/officeDocument/2006/relationships/hyperlink" Target="https://www.linkedin.com/learning/supporting-a-grieving-employee-a-manager-s-guide?trk=ondemandfile" TargetMode="External"/><Relationship Id="rId156" Type="http://schemas.openxmlformats.org/officeDocument/2006/relationships/hyperlink" Target="https://www.linkedin.com/learning/learning-to-say-no?trk=ondemandfile" TargetMode="External"/><Relationship Id="rId177" Type="http://schemas.openxmlformats.org/officeDocument/2006/relationships/hyperlink" Target="https://www.linkedin.com/learning/mel-robbins-on-confidence?trk=ondemandfile"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www.linkedin.com/learning/teamwork-foundations-3?trk=ondemandfile" TargetMode="External"/><Relationship Id="rId21" Type="http://schemas.openxmlformats.org/officeDocument/2006/relationships/hyperlink" Target="https://www.linkedin.com/learning/leading-effectively-3?trk=ondemandfile" TargetMode="External"/><Relationship Id="rId324" Type="http://schemas.openxmlformats.org/officeDocument/2006/relationships/hyperlink" Target="https://www.linkedin.com/learning/building-creative-organizations-3?trk=ondemandfile" TargetMode="External"/><Relationship Id="rId531" Type="http://schemas.openxmlformats.org/officeDocument/2006/relationships/hyperlink" Target="https://www.linkedin.com/learning/paths/3db8a531-c16b-3623-9891-2cd47ac19f68?trk=ondemandfile" TargetMode="External"/><Relationship Id="rId170" Type="http://schemas.openxmlformats.org/officeDocument/2006/relationships/hyperlink" Target="https://www.linkedin.com/learning/negotiation-foundations-2?trk=ondemandfile" TargetMode="External"/><Relationship Id="rId268" Type="http://schemas.openxmlformats.org/officeDocument/2006/relationships/hyperlink" Target="https://www.linkedin.com/learning/artificial-intelligence-foundations-neural-networks-16411152?trk=contentmappingfile" TargetMode="External"/><Relationship Id="rId475" Type="http://schemas.openxmlformats.org/officeDocument/2006/relationships/hyperlink" Target="https://www.linkedin.com/learning/change-management-for-projects-15870814?trk=contentmappingfile" TargetMode="External"/><Relationship Id="rId32" Type="http://schemas.openxmlformats.org/officeDocument/2006/relationships/hyperlink" Target="https://www.linkedin.com/learning/paths/07304244-eccf-3d14-923a-8ca64b7fb518?trk=ondemandfile" TargetMode="External"/><Relationship Id="rId128" Type="http://schemas.openxmlformats.org/officeDocument/2006/relationships/hyperlink" Target="https://www.linkedin.com/learning/creating-great-first-impressions-2?trk=ondemandfile" TargetMode="External"/><Relationship Id="rId335" Type="http://schemas.openxmlformats.org/officeDocument/2006/relationships/hyperlink" Target="https://www.linkedin.com/learning/creating-a-high-performance-culture-4?trk=ondemandfile" TargetMode="External"/><Relationship Id="rId542" Type="http://schemas.openxmlformats.org/officeDocument/2006/relationships/hyperlink" Target="https://www.linkedin.com/learning/discovering-your-strengths?trk=ondemandfile" TargetMode="External"/><Relationship Id="rId181" Type="http://schemas.openxmlformats.org/officeDocument/2006/relationships/hyperlink" Target="https://www.linkedin.com/learning/paths/87c473ed-01ce-32f8-90ac-61be15e449c9?trk=ondemandfile" TargetMode="External"/><Relationship Id="rId402" Type="http://schemas.openxmlformats.org/officeDocument/2006/relationships/hyperlink" Target="https://www.linkedin.com/learning/project-management-simplified?trk=contentmappingfile" TargetMode="External"/><Relationship Id="rId279" Type="http://schemas.openxmlformats.org/officeDocument/2006/relationships/hyperlink" Target="https://www.linkedin.com/learning/statistics-foundations-1-2?trk=ondemandfile" TargetMode="External"/><Relationship Id="rId486" Type="http://schemas.openxmlformats.org/officeDocument/2006/relationships/hyperlink" Target="https://www.linkedin.com/learning/a7988dab-5b06-3f1a-bd7c-7ac9d6c0ef18?trk=ondemandfile" TargetMode="External"/><Relationship Id="rId43" Type="http://schemas.openxmlformats.org/officeDocument/2006/relationships/hyperlink" Target="https://www.linkedin.com/learning/98373539-7768-37d9-bfa1-0425382fc5b8?trk=ondemandfile" TargetMode="External"/><Relationship Id="rId139" Type="http://schemas.openxmlformats.org/officeDocument/2006/relationships/hyperlink" Target="https://www.linkedin.com/learning/working-with-difficult-people-3?trk=ondemandfile" TargetMode="External"/><Relationship Id="rId346" Type="http://schemas.openxmlformats.org/officeDocument/2006/relationships/hyperlink" Target="https://www.linkedin.com/learning/balancing-multiple-roles-as-a-leader-3?trk=contentmappingfile" TargetMode="External"/><Relationship Id="rId553" Type="http://schemas.openxmlformats.org/officeDocument/2006/relationships/hyperlink" Target="https://www.linkedin.com/learning/coaching-skills-for-leaders-and-managers-5?trk=ondemandfile" TargetMode="External"/><Relationship Id="rId192" Type="http://schemas.openxmlformats.org/officeDocument/2006/relationships/hyperlink" Target="https://www.linkedin.com/learning/improving-your-listening-skills-2?trk=ondemandfile" TargetMode="External"/><Relationship Id="rId206" Type="http://schemas.openxmlformats.org/officeDocument/2006/relationships/hyperlink" Target="https://www.linkedin.com/learning/business-innovation-foundations-3?trk=ondemandfile" TargetMode="External"/><Relationship Id="rId413" Type="http://schemas.openxmlformats.org/officeDocument/2006/relationships/hyperlink" Target="https://www.linkedin.com/learning/performance-management-conducting-performance-reviews-2?trk=ondemandfile" TargetMode="External"/><Relationship Id="rId497" Type="http://schemas.openxmlformats.org/officeDocument/2006/relationships/hyperlink" Target="https://www.linkedin.com/learning/paths/3b9c9a89-02b2-326b-a8d9-5890aa750936?trk=ondemandfile" TargetMode="External"/><Relationship Id="rId357" Type="http://schemas.openxmlformats.org/officeDocument/2006/relationships/hyperlink" Target="https://www.linkedin.com/learning/leading-without-formal-authority-4?trk=ondemandfile" TargetMode="External"/><Relationship Id="rId54" Type="http://schemas.openxmlformats.org/officeDocument/2006/relationships/hyperlink" Target="https://www.linkedin.com/learning/embracing-unexpected-change-2?trk=contentmappingfile" TargetMode="External"/><Relationship Id="rId217" Type="http://schemas.openxmlformats.org/officeDocument/2006/relationships/hyperlink" Target="https://www.linkedin.com/learning/banish-your-inner-critic-to-unleash-creativity?trk=ondemandfile" TargetMode="External"/><Relationship Id="rId564" Type="http://schemas.openxmlformats.org/officeDocument/2006/relationships/hyperlink" Target="https://www.linkedin.com/learning/84777a9a-010b-3e75-8b28-27d3706e8c9a?trk=ondemandfile" TargetMode="External"/><Relationship Id="rId424" Type="http://schemas.openxmlformats.org/officeDocument/2006/relationships/hyperlink" Target="https://www.linkedin.com/learning/paths/2d050229-0442-3320-8921-9151a1345b8e?trk=ondemandfile" TargetMode="External"/><Relationship Id="rId270" Type="http://schemas.openxmlformats.org/officeDocument/2006/relationships/hyperlink" Target="https://www.linkedin.com/learning/learning-sql-programming-2?trk=ondemandfile" TargetMode="External"/><Relationship Id="rId65" Type="http://schemas.openxmlformats.org/officeDocument/2006/relationships/hyperlink" Target="https://www.linkedin.com/learning/transitioning-from-individual-contributor-to-manager-3?trk=ondemandfile" TargetMode="External"/><Relationship Id="rId130" Type="http://schemas.openxmlformats.org/officeDocument/2006/relationships/hyperlink" Target="https://www.linkedin.com/learning/86d80f76-f728-332c-a87d-dc1fddaa0c91?trk=ondemandfile" TargetMode="External"/><Relationship Id="rId368" Type="http://schemas.openxmlformats.org/officeDocument/2006/relationships/hyperlink" Target="https://www.linkedin.com/learning/leading-and-working-in-teams-3?trk=ondemandfile" TargetMode="External"/><Relationship Id="rId575" Type="http://schemas.openxmlformats.org/officeDocument/2006/relationships/hyperlink" Target="https://www.linkedin.com/learning/performance-management-conducting-performance-reviews-2?trk=ondemandfile" TargetMode="External"/><Relationship Id="rId228" Type="http://schemas.openxmlformats.org/officeDocument/2006/relationships/hyperlink" Target="https://www.linkedin.com/learning/using-questions-to-foster-critical-thinking-and-curiosity-2?trk=ondemandfile" TargetMode="External"/><Relationship Id="rId435" Type="http://schemas.openxmlformats.org/officeDocument/2006/relationships/hyperlink" Target="https://www.linkedin.com/learning/84777a9a-010b-3e75-8b28-27d3706e8c9a?trk=ondemandfile" TargetMode="External"/><Relationship Id="rId281" Type="http://schemas.openxmlformats.org/officeDocument/2006/relationships/hyperlink" Target="https://www.linkedin.com/learning/statistics-foundations-3-2?trk=ondemandfile" TargetMode="External"/><Relationship Id="rId502" Type="http://schemas.openxmlformats.org/officeDocument/2006/relationships/hyperlink" Target="https://www.linkedin.com/learning/phone-based-customer-service-3?trk=ondemandfile" TargetMode="External"/><Relationship Id="rId76" Type="http://schemas.openxmlformats.org/officeDocument/2006/relationships/hyperlink" Target="https://www.linkedin.com/learning/employee-engagement-3?trk=ondemandfile" TargetMode="External"/><Relationship Id="rId141" Type="http://schemas.openxmlformats.org/officeDocument/2006/relationships/hyperlink" Target="https://www.linkedin.com/learning/interpersonal-communication-2?trk=ondemandfile" TargetMode="External"/><Relationship Id="rId379" Type="http://schemas.openxmlformats.org/officeDocument/2006/relationships/hyperlink" Target="https://www.linkedin.com/learning/managing-for-results-2?trk=ondemandfile" TargetMode="External"/><Relationship Id="rId586" Type="http://schemas.openxmlformats.org/officeDocument/2006/relationships/hyperlink" Target="https://www.linkedin.com/learning/developing-cross-cultural-intelligence-4?trk=ondemandfile" TargetMode="External"/><Relationship Id="rId7" Type="http://schemas.openxmlformats.org/officeDocument/2006/relationships/hyperlink" Target="https://www.linkedin.com/learning/managing-stress-2?trk=ondemandfile" TargetMode="External"/><Relationship Id="rId239" Type="http://schemas.openxmlformats.org/officeDocument/2006/relationships/hyperlink" Target="https://www.linkedin.com/learning/process-improvement-foundations-2?trk=ondemandfile" TargetMode="External"/><Relationship Id="rId446" Type="http://schemas.openxmlformats.org/officeDocument/2006/relationships/hyperlink" Target="https://www.linkedin.com/learning/job-skills-supply-chain-and-operations-2?trk=ondemandfile" TargetMode="External"/><Relationship Id="rId292" Type="http://schemas.openxmlformats.org/officeDocument/2006/relationships/hyperlink" Target="https://www.linkedin.com/learning/creating-a-high-performance-culture-4?trk=ondemandfile" TargetMode="External"/><Relationship Id="rId306" Type="http://schemas.openxmlformats.org/officeDocument/2006/relationships/hyperlink" Target="https://www.linkedin.com/learning/managing-employee-performance-problems-5?trk=ondemandfile" TargetMode="External"/><Relationship Id="rId87" Type="http://schemas.openxmlformats.org/officeDocument/2006/relationships/hyperlink" Target="https://www.linkedin.com/learning/onboarding-new-hires-2?trk=contentmappingfile" TargetMode="External"/><Relationship Id="rId513" Type="http://schemas.openxmlformats.org/officeDocument/2006/relationships/hyperlink" Target="https://www.linkedin.com/learning/business-innovation-foundations-3?trk=ondemandfile" TargetMode="External"/><Relationship Id="rId597" Type="http://schemas.openxmlformats.org/officeDocument/2006/relationships/hyperlink" Target="https://www.linkedin.com/learning/being-positive-at-work-2?trk=ondemandfile" TargetMode="External"/><Relationship Id="rId152" Type="http://schemas.openxmlformats.org/officeDocument/2006/relationships/hyperlink" Target="https://www.linkedin.com/learning/working-with-upset-customers-2?trk=ondemandfile" TargetMode="External"/><Relationship Id="rId457" Type="http://schemas.openxmlformats.org/officeDocument/2006/relationships/hyperlink" Target="https://www.linkedin.com/learning/business-english-mastering-online-meetings-16136133?trk=contentmappingfile" TargetMode="External"/><Relationship Id="rId261" Type="http://schemas.openxmlformats.org/officeDocument/2006/relationships/hyperlink" Target="https://www.linkedin.com/learning/solution-selling?trk=ondemandfile" TargetMode="External"/><Relationship Id="rId499" Type="http://schemas.openxmlformats.org/officeDocument/2006/relationships/hyperlink" Target="https://www.linkedin.com/learning/asking-great-sales-questions-4?trk=ondemandfile" TargetMode="External"/><Relationship Id="rId14" Type="http://schemas.openxmlformats.org/officeDocument/2006/relationships/hyperlink" Target="https://www.linkedin.com/learning/defining-and-achieving-professional-goals-3?trk=ondemandfile" TargetMode="External"/><Relationship Id="rId56" Type="http://schemas.openxmlformats.org/officeDocument/2006/relationships/hyperlink" Target="https://www.linkedin.com/learning/agile-at-work-getting-better-with-agile-retrospectives-3?trk=ondemandfile" TargetMode="External"/><Relationship Id="rId317" Type="http://schemas.openxmlformats.org/officeDocument/2006/relationships/hyperlink" Target="https://www.linkedin.com/learning/change-management-for-projects-15870814?trk=contentmappingfile" TargetMode="External"/><Relationship Id="rId359" Type="http://schemas.openxmlformats.org/officeDocument/2006/relationships/hyperlink" Target="https://www.linkedin.com/learning/leading-with-stories-3?trk=ondemandfile" TargetMode="External"/><Relationship Id="rId524" Type="http://schemas.openxmlformats.org/officeDocument/2006/relationships/hyperlink" Target="https://www.linkedin.com/learning/performance-management-conducting-performance-reviews-2?trk=ondemandfile" TargetMode="External"/><Relationship Id="rId566" Type="http://schemas.openxmlformats.org/officeDocument/2006/relationships/hyperlink" Target="https://www.linkedin.com/learning/new-manager-foundations-3?trk=ondemandfile" TargetMode="External"/><Relationship Id="rId98" Type="http://schemas.openxmlformats.org/officeDocument/2006/relationships/hyperlink" Target="https://www.linkedin.com/learning/measuring-team-performance-5?trk=ondemandfile" TargetMode="External"/><Relationship Id="rId121" Type="http://schemas.openxmlformats.org/officeDocument/2006/relationships/hyperlink" Target="https://www.linkedin.com/learning/developing-cross-cultural-intelligence-4?trk=ondemandfile" TargetMode="External"/><Relationship Id="rId163" Type="http://schemas.openxmlformats.org/officeDocument/2006/relationships/hyperlink" Target="https://www.linkedin.com/learning/digital-body-language-9622362?trk=contentmappingfile" TargetMode="External"/><Relationship Id="rId219" Type="http://schemas.openxmlformats.org/officeDocument/2006/relationships/hyperlink" Target="https://www.linkedin.com/learning/risk-taking-for-leaders-2?trk=ondemandfile" TargetMode="External"/><Relationship Id="rId370" Type="http://schemas.openxmlformats.org/officeDocument/2006/relationships/hyperlink" Target="https://www.linkedin.com/learning/body-language-for-leaders?trk=ondemandfile" TargetMode="External"/><Relationship Id="rId426" Type="http://schemas.openxmlformats.org/officeDocument/2006/relationships/hyperlink" Target="https://www.linkedin.com/learning/characteristics-of-a-great-scrum-master-3?trk=ondemandfile" TargetMode="External"/><Relationship Id="rId230" Type="http://schemas.openxmlformats.org/officeDocument/2006/relationships/hyperlink" Target="https://www.linkedin.com/learning/learning-agility-2?trk=ondemandfile" TargetMode="External"/><Relationship Id="rId468" Type="http://schemas.openxmlformats.org/officeDocument/2006/relationships/hyperlink" Target="https://www.linkedin.com/learning/leading-productive-meetings-4?trk=ondemandfile" TargetMode="External"/><Relationship Id="rId25" Type="http://schemas.openxmlformats.org/officeDocument/2006/relationships/hyperlink" Target="https://www.linkedin.com/learning/powerless-to-powerful-taking-control-2?trk=ondemandfile" TargetMode="External"/><Relationship Id="rId67" Type="http://schemas.openxmlformats.org/officeDocument/2006/relationships/hyperlink" Target="https://www.linkedin.com/learning/managing-for-results-2?trk=ondemandfile" TargetMode="External"/><Relationship Id="rId272" Type="http://schemas.openxmlformats.org/officeDocument/2006/relationships/hyperlink" Target="https://www.linkedin.com/learning/learning-microsoft-power-bi-desktop-3?trk=ondemandfile" TargetMode="External"/><Relationship Id="rId328" Type="http://schemas.openxmlformats.org/officeDocument/2006/relationships/hyperlink" Target="https://www.linkedin.com/learning/project-management-foundations-change-2?trk=ondemandfile" TargetMode="External"/><Relationship Id="rId535" Type="http://schemas.openxmlformats.org/officeDocument/2006/relationships/hyperlink" Target="https://www.linkedin.com/learning/paths/3b9c9a89-02b2-326b-a8d9-5890aa750936?trk=ondemandfile" TargetMode="External"/><Relationship Id="rId577" Type="http://schemas.openxmlformats.org/officeDocument/2006/relationships/hyperlink" Target="https://www.linkedin.com/learning/measuring-team-performance-5?trk=ondemandfile" TargetMode="External"/><Relationship Id="rId132" Type="http://schemas.openxmlformats.org/officeDocument/2006/relationships/hyperlink" Target="https://www.linkedin.com/learning/professional-networking-3?trk=ondemandfile" TargetMode="External"/><Relationship Id="rId174" Type="http://schemas.openxmlformats.org/officeDocument/2006/relationships/hyperlink" Target="https://www.linkedin.com/learning/leading-and-working-in-teams-3?trk=ondemandfile" TargetMode="External"/><Relationship Id="rId381" Type="http://schemas.openxmlformats.org/officeDocument/2006/relationships/hyperlink" Target="https://www.linkedin.com/learning/supply-chain-foundations-2?trk=contentmappingfile" TargetMode="External"/><Relationship Id="rId241" Type="http://schemas.openxmlformats.org/officeDocument/2006/relationships/hyperlink" Target="https://www.linkedin.com/learning/solution-selling?trk=ondemandfile" TargetMode="External"/><Relationship Id="rId437" Type="http://schemas.openxmlformats.org/officeDocument/2006/relationships/hyperlink" Target="https://www.linkedin.com/learning/agile-at-work-driving-productive-agile-meetings-3?trk=ondemandfile" TargetMode="External"/><Relationship Id="rId479" Type="http://schemas.openxmlformats.org/officeDocument/2006/relationships/hyperlink" Target="https://www.linkedin.com/learning/project-management-simplified?trk=contentmappingfile" TargetMode="External"/><Relationship Id="rId36" Type="http://schemas.openxmlformats.org/officeDocument/2006/relationships/hyperlink" Target="https://www.linkedin.com/learning/paths/87c473ed-01ce-32f8-90ac-61be15e449c9?trk=ondemandfile" TargetMode="External"/><Relationship Id="rId283" Type="http://schemas.openxmlformats.org/officeDocument/2006/relationships/hyperlink" Target="https://www.linkedin.com/learning/artificial-intelligence-for-project-managers-2?trk=ondemandfile" TargetMode="External"/><Relationship Id="rId339" Type="http://schemas.openxmlformats.org/officeDocument/2006/relationships/hyperlink" Target="https://www.linkedin.com/learning/collaborative-leadership-3?trk=ondemandfile" TargetMode="External"/><Relationship Id="rId490" Type="http://schemas.openxmlformats.org/officeDocument/2006/relationships/hyperlink" Target="https://www.linkedin.com/learning/project-management-foundations-ethics?trk=ondemandfile" TargetMode="External"/><Relationship Id="rId504" Type="http://schemas.openxmlformats.org/officeDocument/2006/relationships/hyperlink" Target="https://www.linkedin.com/learning/solution-selling?trk=ondemandfile" TargetMode="External"/><Relationship Id="rId546" Type="http://schemas.openxmlformats.org/officeDocument/2006/relationships/hyperlink" Target="https://www.linkedin.com/learning/managing-employee-performance-problems-5?trk=ondemandfile" TargetMode="External"/><Relationship Id="rId78" Type="http://schemas.openxmlformats.org/officeDocument/2006/relationships/hyperlink" Target="https://www.linkedin.com/learning/grit-how-teams-persevere-to-accomplish-great-goals-2?trk=contentmappingfile" TargetMode="External"/><Relationship Id="rId101" Type="http://schemas.openxmlformats.org/officeDocument/2006/relationships/hyperlink" Target="https://www.linkedin.com/learning/project-management-foundations-teams-2?trk=ondemandfile" TargetMode="External"/><Relationship Id="rId143" Type="http://schemas.openxmlformats.org/officeDocument/2006/relationships/hyperlink" Target="https://www.linkedin.com/learning/bystander-training-from-bystander-to-upstander-2?trk=ondemandfile" TargetMode="External"/><Relationship Id="rId185" Type="http://schemas.openxmlformats.org/officeDocument/2006/relationships/hyperlink" Target="https://www.linkedin.com/learning/managing-up-down-and-across-the-organization-3?trk=ondemandfile" TargetMode="External"/><Relationship Id="rId350" Type="http://schemas.openxmlformats.org/officeDocument/2006/relationships/hyperlink" Target="https://www.linkedin.com/learning/leading-change-2?trk=ondemandfile" TargetMode="External"/><Relationship Id="rId406" Type="http://schemas.openxmlformats.org/officeDocument/2006/relationships/hyperlink" Target="https://www.linkedin.com/learning/managing-team-conflict-15962506?trk=contentmappingfile" TargetMode="External"/><Relationship Id="rId588" Type="http://schemas.openxmlformats.org/officeDocument/2006/relationships/hyperlink" Target="https://www.linkedin.com/learning/women-transforming-tech-breaking-bias?trk=ondemandfile" TargetMode="External"/><Relationship Id="rId9" Type="http://schemas.openxmlformats.org/officeDocument/2006/relationships/hyperlink" Target="https://www.linkedin.com/learning/9b4bd443-b907-3050-9476-0ec0b08dfda8?trk=ondemandfile" TargetMode="External"/><Relationship Id="rId210" Type="http://schemas.openxmlformats.org/officeDocument/2006/relationships/hyperlink" Target="https://www.linkedin.com/learning/leading-with-innovation-4?trk=ondemandfile" TargetMode="External"/><Relationship Id="rId392" Type="http://schemas.openxmlformats.org/officeDocument/2006/relationships/hyperlink" Target="https://www.linkedin.com/learning/building-your-team-4?trk=ondemandfile" TargetMode="External"/><Relationship Id="rId448" Type="http://schemas.openxmlformats.org/officeDocument/2006/relationships/hyperlink" Target="https://www.linkedin.com/learning/measuring-team-performance-5?trk=ondemandfile" TargetMode="External"/><Relationship Id="rId252" Type="http://schemas.openxmlformats.org/officeDocument/2006/relationships/hyperlink" Target="https://www.linkedin.com/learning/customer-service-problem-solving-and-troubleshooting-2?trk=ondemandfile" TargetMode="External"/><Relationship Id="rId294" Type="http://schemas.openxmlformats.org/officeDocument/2006/relationships/hyperlink" Target="https://www.linkedin.com/learning/finding-and-retaining-high-potentials-2?trk=ondemandfile" TargetMode="External"/><Relationship Id="rId308" Type="http://schemas.openxmlformats.org/officeDocument/2006/relationships/hyperlink" Target="https://www.linkedin.com/learning/managing-high-performers-3?trk=ondemandfile" TargetMode="External"/><Relationship Id="rId515" Type="http://schemas.openxmlformats.org/officeDocument/2006/relationships/hyperlink" Target="https://www.linkedin.com/learning/developing-business-acumen-3?trk=ondemandfile" TargetMode="External"/><Relationship Id="rId47" Type="http://schemas.openxmlformats.org/officeDocument/2006/relationships/hyperlink" Target="https://www.linkedin.com/learning/developing-resourcefulness-2?trk=ondemandfile" TargetMode="External"/><Relationship Id="rId89" Type="http://schemas.openxmlformats.org/officeDocument/2006/relationships/hyperlink" Target="https://www.linkedin.com/learning/managing-meetings-3?trk=ondemandfile" TargetMode="External"/><Relationship Id="rId112" Type="http://schemas.openxmlformats.org/officeDocument/2006/relationships/hyperlink" Target="https://www.linkedin.com/learning/inclusive-leadership-2?trk=ondemandfile" TargetMode="External"/><Relationship Id="rId154" Type="http://schemas.openxmlformats.org/officeDocument/2006/relationships/hyperlink" Target="https://www.linkedin.com/learning/4bddab10-145f-3bdb-9cc3-b64313f38564?trk=ondemandfile" TargetMode="External"/><Relationship Id="rId361" Type="http://schemas.openxmlformats.org/officeDocument/2006/relationships/hyperlink" Target="https://www.linkedin.com/learning/managing-high-performers-3?trk=ondemandfile" TargetMode="External"/><Relationship Id="rId557" Type="http://schemas.openxmlformats.org/officeDocument/2006/relationships/hyperlink" Target="https://www.linkedin.com/learning/paths/15e85c29-5b7c-3b12-a882-4bfdeb3c83c7?trk=ondemandfile" TargetMode="External"/><Relationship Id="rId599" Type="http://schemas.openxmlformats.org/officeDocument/2006/relationships/hyperlink" Target="https://www.linkedin.com/learning/managing-stress-for-positive-change-3?trk=ondemandfile" TargetMode="External"/><Relationship Id="rId196" Type="http://schemas.openxmlformats.org/officeDocument/2006/relationships/hyperlink" Target="https://www.linkedin.com/learning/managing-depression-in-the-workplace-2?trk=ondemandfile" TargetMode="External"/><Relationship Id="rId417" Type="http://schemas.openxmlformats.org/officeDocument/2006/relationships/hyperlink" Target="https://www.linkedin.com/learning/measuring-team-performance-5?trk=ondemandfile" TargetMode="External"/><Relationship Id="rId459" Type="http://schemas.openxmlformats.org/officeDocument/2006/relationships/hyperlink" Target="https://www.linkedin.com/learning/4bddab10-145f-3bdb-9cc3-b64313f38564?trk=ondemandfile" TargetMode="External"/><Relationship Id="rId16" Type="http://schemas.openxmlformats.org/officeDocument/2006/relationships/hyperlink" Target="https://www.linkedin.com/learning/overcoming-procrastination-3?trk=ondemandfile" TargetMode="External"/><Relationship Id="rId221" Type="http://schemas.openxmlformats.org/officeDocument/2006/relationships/hyperlink" Target="https://www.linkedin.com/learning/learning-from-failure-2?trk=ondemandfile" TargetMode="External"/><Relationship Id="rId263" Type="http://schemas.openxmlformats.org/officeDocument/2006/relationships/hyperlink" Target="https://www.linkedin.com/learning/paths/65b9245d-75e9-323d-a736-70d3af14ddd1?trk=ondemandfile" TargetMode="External"/><Relationship Id="rId319" Type="http://schemas.openxmlformats.org/officeDocument/2006/relationships/hyperlink" Target="https://www.linkedin.com/learning/cultivating-a-growth-mindset-3?trk=ondemandfile" TargetMode="External"/><Relationship Id="rId470" Type="http://schemas.openxmlformats.org/officeDocument/2006/relationships/hyperlink" Target="https://www.linkedin.com/learning/paths/15e85c29-5b7c-3b12-a882-4bfdeb3c83c7?trk=ondemandfile" TargetMode="External"/><Relationship Id="rId526" Type="http://schemas.openxmlformats.org/officeDocument/2006/relationships/hyperlink" Target="https://www.linkedin.com/learning/measuring-business-performance-3?trk=ondemandfile" TargetMode="External"/><Relationship Id="rId58" Type="http://schemas.openxmlformats.org/officeDocument/2006/relationships/hyperlink" Target="https://www.linkedin.com/learning/unlock-your-team-s-creativity-2?trk=ondemandfile" TargetMode="External"/><Relationship Id="rId123" Type="http://schemas.openxmlformats.org/officeDocument/2006/relationships/hyperlink" Target="https://www.linkedin.com/learning/4bddab10-145f-3bdb-9cc3-b64313f38564?trk=ondemandfile" TargetMode="External"/><Relationship Id="rId330" Type="http://schemas.openxmlformats.org/officeDocument/2006/relationships/hyperlink" Target="https://www.linkedin.com/learning/body-language-for-leaders?trk=ondemandfile" TargetMode="External"/><Relationship Id="rId568" Type="http://schemas.openxmlformats.org/officeDocument/2006/relationships/hyperlink" Target="https://www.linkedin.com/learning/management-foundations-2?trk=ondemandfile" TargetMode="External"/><Relationship Id="rId165" Type="http://schemas.openxmlformats.org/officeDocument/2006/relationships/hyperlink" Target="https://www.linkedin.com/learning/communicating-with-diplomacy-and-tact-2?trk=ondemandfile" TargetMode="External"/><Relationship Id="rId372" Type="http://schemas.openxmlformats.org/officeDocument/2006/relationships/hyperlink" Target="https://www.linkedin.com/learning/executive-decision-making-3?trk=ondemandfile" TargetMode="External"/><Relationship Id="rId428" Type="http://schemas.openxmlformats.org/officeDocument/2006/relationships/hyperlink" Target="https://www.linkedin.com/learning/supply-chain-foundations-2?trk=contentmappingfile" TargetMode="External"/><Relationship Id="rId232" Type="http://schemas.openxmlformats.org/officeDocument/2006/relationships/hyperlink" Target="https://www.linkedin.com/learning/influencing-others-4?trk=ondemandfile" TargetMode="External"/><Relationship Id="rId274" Type="http://schemas.openxmlformats.org/officeDocument/2006/relationships/hyperlink" Target="https://www.linkedin.com/learning/learning-data-governance-2?trk=ondemandfile" TargetMode="External"/><Relationship Id="rId481" Type="http://schemas.openxmlformats.org/officeDocument/2006/relationships/hyperlink" Target="https://www.linkedin.com/learning/project-management-solving-common-project-problems-3?trk=ondemandfile" TargetMode="External"/><Relationship Id="rId27" Type="http://schemas.openxmlformats.org/officeDocument/2006/relationships/hyperlink" Target="https://www.linkedin.com/learning/designing-growth-strategies-2?trk=ondemandfile" TargetMode="External"/><Relationship Id="rId69" Type="http://schemas.openxmlformats.org/officeDocument/2006/relationships/hyperlink" Target="https://www.linkedin.com/learning/organizational-culture-2?trk=ondemandfile" TargetMode="External"/><Relationship Id="rId134" Type="http://schemas.openxmlformats.org/officeDocument/2006/relationships/hyperlink" Target="https://www.linkedin.com/learning/project-management-foundations-teams-2?trk=ondemandfile" TargetMode="External"/><Relationship Id="rId537" Type="http://schemas.openxmlformats.org/officeDocument/2006/relationships/hyperlink" Target="https://www.linkedin.com/learning/paths/90c69069-2437-32f7-a15c-be75af1531ab?trk=ondemandfile" TargetMode="External"/><Relationship Id="rId579" Type="http://schemas.openxmlformats.org/officeDocument/2006/relationships/hyperlink" Target="https://www.linkedin.com/learning/interviewing-techniques?trk=ondemandfile" TargetMode="External"/><Relationship Id="rId80" Type="http://schemas.openxmlformats.org/officeDocument/2006/relationships/hyperlink" Target="https://www.linkedin.com/learning/performance-based-hiring-2?trk=ondemandfile" TargetMode="External"/><Relationship Id="rId176" Type="http://schemas.openxmlformats.org/officeDocument/2006/relationships/hyperlink" Target="https://www.linkedin.com/learning/leading-productive-meetings-4?trk=ondemandfile" TargetMode="External"/><Relationship Id="rId341" Type="http://schemas.openxmlformats.org/officeDocument/2006/relationships/hyperlink" Target="https://www.linkedin.com/learning/grit-how-teams-persevere-to-accomplish-great-goals-2?trk=contentmappingfile" TargetMode="External"/><Relationship Id="rId383" Type="http://schemas.openxmlformats.org/officeDocument/2006/relationships/hyperlink" Target="https://www.linkedin.com/learning/creating-a-high-performance-culture-4?trk=ondemandfile" TargetMode="External"/><Relationship Id="rId439" Type="http://schemas.openxmlformats.org/officeDocument/2006/relationships/hyperlink" Target="https://www.linkedin.com/learning/agile-at-work-getting-better-with-agile-retrospectives-3?trk=ondemandfile" TargetMode="External"/><Relationship Id="rId590" Type="http://schemas.openxmlformats.org/officeDocument/2006/relationships/hyperlink" Target="https://www.linkedin.com/learning/managing-diversity?trk=ondemandfile" TargetMode="External"/><Relationship Id="rId201" Type="http://schemas.openxmlformats.org/officeDocument/2006/relationships/hyperlink" Target="https://www.linkedin.com/learning/779ed34b-4bd3-393b-bda7-0163601fbcc8?trk=ondemandfile" TargetMode="External"/><Relationship Id="rId243" Type="http://schemas.openxmlformats.org/officeDocument/2006/relationships/hyperlink" Target="https://www.linkedin.com/learning/project-management-solving-common-project-problems-3?trk=ondemandfile" TargetMode="External"/><Relationship Id="rId285" Type="http://schemas.openxmlformats.org/officeDocument/2006/relationships/hyperlink" Target="https://www.linkedin.com/learning/accounting-foundations-5?trk=ondemandfile" TargetMode="External"/><Relationship Id="rId450" Type="http://schemas.openxmlformats.org/officeDocument/2006/relationships/hyperlink" Target="https://www.linkedin.com/learning/powerpoint-2013-essential-training-3?trk=ondemandfile" TargetMode="External"/><Relationship Id="rId506" Type="http://schemas.openxmlformats.org/officeDocument/2006/relationships/hyperlink" Target="https://www.linkedin.com/learning/soft-skills-for-sales-professionals-2?trk=ondemandfile" TargetMode="External"/><Relationship Id="rId38" Type="http://schemas.openxmlformats.org/officeDocument/2006/relationships/hyperlink" Target="https://www.linkedin.com/learning/paths/34149b5d-1fd7-337a-8fd6-c725fdd05bf9?trk=ondemandfile" TargetMode="External"/><Relationship Id="rId103" Type="http://schemas.openxmlformats.org/officeDocument/2006/relationships/hyperlink" Target="https://www.linkedin.com/learning/leading-productive-one-on-one-meetings?trk=ondemandfile" TargetMode="External"/><Relationship Id="rId310" Type="http://schemas.openxmlformats.org/officeDocument/2006/relationships/hyperlink" Target="https://www.linkedin.com/learning/interviewing-techniques?trk=ondemandfile" TargetMode="External"/><Relationship Id="rId492" Type="http://schemas.openxmlformats.org/officeDocument/2006/relationships/hyperlink" Target="https://www.linkedin.com/learning/project-management-preventing-scope-creep-4?trk=ondemandfile" TargetMode="External"/><Relationship Id="rId548" Type="http://schemas.openxmlformats.org/officeDocument/2006/relationships/hyperlink" Target="https://www.linkedin.com/learning/managing-high-performers-3?trk=ondemandfile" TargetMode="External"/><Relationship Id="rId91" Type="http://schemas.openxmlformats.org/officeDocument/2006/relationships/hyperlink" Target="https://www.linkedin.com/learning/managing-team-conflict-15962506?trk=contentmappingfile" TargetMode="External"/><Relationship Id="rId145" Type="http://schemas.openxmlformats.org/officeDocument/2006/relationships/hyperlink" Target="https://www.linkedin.com/learning/skills-for-inclusive-conversations-2?trk=ondemandfile" TargetMode="External"/><Relationship Id="rId187" Type="http://schemas.openxmlformats.org/officeDocument/2006/relationships/hyperlink" Target="https://www.linkedin.com/learning/working-with-upset-customers-2?trk=ondemandfile" TargetMode="External"/><Relationship Id="rId352" Type="http://schemas.openxmlformats.org/officeDocument/2006/relationships/hyperlink" Target="https://www.linkedin.com/learning/influencing-others-4?trk=ondemandfile" TargetMode="External"/><Relationship Id="rId394" Type="http://schemas.openxmlformats.org/officeDocument/2006/relationships/hyperlink" Target="https://www.linkedin.com/learning/embracing-unexpected-change-2?trk=contentmappingfile" TargetMode="External"/><Relationship Id="rId408" Type="http://schemas.openxmlformats.org/officeDocument/2006/relationships/hyperlink" Target="https://www.linkedin.com/learning/managing-a-diverse-team-2?trk=ondemandfile" TargetMode="External"/><Relationship Id="rId212" Type="http://schemas.openxmlformats.org/officeDocument/2006/relationships/hyperlink" Target="https://www.linkedin.com/learning/cultivating-a-growth-mindset-3?trk=ondemandfile" TargetMode="External"/><Relationship Id="rId254" Type="http://schemas.openxmlformats.org/officeDocument/2006/relationships/hyperlink" Target="https://www.linkedin.com/learning/86d80f76-f728-332c-a87d-dc1fddaa0c91?trk=ondemandfile" TargetMode="External"/><Relationship Id="rId49" Type="http://schemas.openxmlformats.org/officeDocument/2006/relationships/hyperlink" Target="https://www.linkedin.com/learning/learning-to-be-assertive-3?trk=ondemandfile" TargetMode="External"/><Relationship Id="rId114" Type="http://schemas.openxmlformats.org/officeDocument/2006/relationships/hyperlink" Target="https://www.linkedin.com/learning/communicating-with-empathy-2?trk=ondemandfile" TargetMode="External"/><Relationship Id="rId296" Type="http://schemas.openxmlformats.org/officeDocument/2006/relationships/hyperlink" Target="https://www.linkedin.com/learning/hiring-an-employee-for-managers-2?trk=ondemandfile" TargetMode="External"/><Relationship Id="rId461" Type="http://schemas.openxmlformats.org/officeDocument/2006/relationships/hyperlink" Target="https://www.linkedin.com/learning/digital-body-language-9622362?trk=contentmappingfile" TargetMode="External"/><Relationship Id="rId517" Type="http://schemas.openxmlformats.org/officeDocument/2006/relationships/hyperlink" Target="https://www.linkedin.com/learning/cultivating-a-growth-mindset-3?trk=ondemandfile" TargetMode="External"/><Relationship Id="rId559" Type="http://schemas.openxmlformats.org/officeDocument/2006/relationships/hyperlink" Target="https://www.linkedin.com/learning/paths/90c69069-2437-32f7-a15c-be75af1531ab?trk=ondemandfile" TargetMode="External"/><Relationship Id="rId60" Type="http://schemas.openxmlformats.org/officeDocument/2006/relationships/hyperlink" Target="https://www.linkedin.com/learning/leading-yourself-4?trk=ondemandfile" TargetMode="External"/><Relationship Id="rId156" Type="http://schemas.openxmlformats.org/officeDocument/2006/relationships/hyperlink" Target="https://www.linkedin.com/learning/building-trust-3?trk=ondemandfile" TargetMode="External"/><Relationship Id="rId198" Type="http://schemas.openxmlformats.org/officeDocument/2006/relationships/hyperlink" Target="https://www.linkedin.com/learning/problem-solving-techniques-2?trk=ondemandfile" TargetMode="External"/><Relationship Id="rId321" Type="http://schemas.openxmlformats.org/officeDocument/2006/relationships/hyperlink" Target="https://www.linkedin.com/learning/leading-change-2?trk=ondemandfile" TargetMode="External"/><Relationship Id="rId363" Type="http://schemas.openxmlformats.org/officeDocument/2006/relationships/hyperlink" Target="https://www.linkedin.com/learning/performance-management-conducting-performance-reviews-2?trk=ondemandfile" TargetMode="External"/><Relationship Id="rId419" Type="http://schemas.openxmlformats.org/officeDocument/2006/relationships/hyperlink" Target="https://www.linkedin.com/learning/leading-and-working-in-teams-3?trk=ondemandfile" TargetMode="External"/><Relationship Id="rId570" Type="http://schemas.openxmlformats.org/officeDocument/2006/relationships/hyperlink" Target="https://www.linkedin.com/learning/managing-new-managers-4?trk=ondemandfile" TargetMode="External"/><Relationship Id="rId223" Type="http://schemas.openxmlformats.org/officeDocument/2006/relationships/hyperlink" Target="https://www.linkedin.com/learning/decision-making-strategies-2?trk=ondemandfile" TargetMode="External"/><Relationship Id="rId430" Type="http://schemas.openxmlformats.org/officeDocument/2006/relationships/hyperlink" Target="https://www.linkedin.com/learning/six-sigma-green-belt-3?trk=ondemandfile" TargetMode="External"/><Relationship Id="rId18" Type="http://schemas.openxmlformats.org/officeDocument/2006/relationships/hyperlink" Target="https://www.linkedin.com/learning/improving-your-focus-3?trk=ondemandfile" TargetMode="External"/><Relationship Id="rId265" Type="http://schemas.openxmlformats.org/officeDocument/2006/relationships/hyperlink" Target="https://www.linkedin.com/learning/excel-2019-managing-and-analyzing-data?trk=ondemandfile" TargetMode="External"/><Relationship Id="rId472" Type="http://schemas.openxmlformats.org/officeDocument/2006/relationships/hyperlink" Target="https://www.linkedin.com/learning/transitioning-from-waterfall-to-agile-project-management-4?trk=ondemandfile" TargetMode="External"/><Relationship Id="rId528" Type="http://schemas.openxmlformats.org/officeDocument/2006/relationships/hyperlink" Target="https://www.linkedin.com/learning/executive-decision-making-3?trk=ondemandfile" TargetMode="External"/><Relationship Id="rId125" Type="http://schemas.openxmlformats.org/officeDocument/2006/relationships/hyperlink" Target="https://www.linkedin.com/learning/building-trust-3?trk=ondemandfile" TargetMode="External"/><Relationship Id="rId167" Type="http://schemas.openxmlformats.org/officeDocument/2006/relationships/hyperlink" Target="https://www.linkedin.com/learning/communication-foundations-4?trk=ondemandfile" TargetMode="External"/><Relationship Id="rId332" Type="http://schemas.openxmlformats.org/officeDocument/2006/relationships/hyperlink" Target="https://www.linkedin.com/learning/paths/3db8a531-c16b-3623-9891-2cd47ac19f68?trk=ondemandfile" TargetMode="External"/><Relationship Id="rId374" Type="http://schemas.openxmlformats.org/officeDocument/2006/relationships/hyperlink" Target="https://www.linkedin.com/learning/executive-leadership-4?trk=ondemandfile" TargetMode="External"/><Relationship Id="rId581" Type="http://schemas.openxmlformats.org/officeDocument/2006/relationships/hyperlink" Target="https://www.linkedin.com/learning/paths/38d7beaf-5ae2-37ca-8ff3-93e2f5dac41e?trk=ondemandfile" TargetMode="External"/><Relationship Id="rId71" Type="http://schemas.openxmlformats.org/officeDocument/2006/relationships/hyperlink" Target="https://www.linkedin.com/learning/creating-a-high-performance-culture-4?trk=ondemandfile" TargetMode="External"/><Relationship Id="rId234" Type="http://schemas.openxmlformats.org/officeDocument/2006/relationships/hyperlink" Target="https://www.linkedin.com/learning/critical-thinking-3?trk=ondemandfile" TargetMode="External"/><Relationship Id="rId2" Type="http://schemas.openxmlformats.org/officeDocument/2006/relationships/hyperlink" Target="https://www.linkedin.com/learning/paths/07304244-eccf-3d14-923a-8ca64b7fb518?trk=ondemandfile" TargetMode="External"/><Relationship Id="rId29" Type="http://schemas.openxmlformats.org/officeDocument/2006/relationships/hyperlink" Target="https://www.linkedin.com/learning/project-management-solving-common-project-problems-3?trk=ondemandfile" TargetMode="External"/><Relationship Id="rId276" Type="http://schemas.openxmlformats.org/officeDocument/2006/relationships/hyperlink" Target="https://www.linkedin.com/learning/learning-data-science-tell-stories-with-data-3?trk=ondemandfile" TargetMode="External"/><Relationship Id="rId441" Type="http://schemas.openxmlformats.org/officeDocument/2006/relationships/hyperlink" Target="https://www.linkedin.com/learning/process-improvement-foundations-2?trk=ondemandfile" TargetMode="External"/><Relationship Id="rId483" Type="http://schemas.openxmlformats.org/officeDocument/2006/relationships/hyperlink" Target="https://www.linkedin.com/learning/project-management-foundations-stakeholders-2?trk=ondemandfile" TargetMode="External"/><Relationship Id="rId539" Type="http://schemas.openxmlformats.org/officeDocument/2006/relationships/hyperlink" Target="https://www.linkedin.com/learning/becoming-a-good-mentor-2?trk=ondemandfile" TargetMode="External"/><Relationship Id="rId40" Type="http://schemas.openxmlformats.org/officeDocument/2006/relationships/hyperlink" Target="https://www.linkedin.com/learning/paths/5e7d3101-368f-3335-9206-178f9e406630?trk=ondemandfile" TargetMode="External"/><Relationship Id="rId136" Type="http://schemas.openxmlformats.org/officeDocument/2006/relationships/hyperlink" Target="https://www.linkedin.com/learning/leading-and-working-in-teams-3?trk=ondemandfile" TargetMode="External"/><Relationship Id="rId178" Type="http://schemas.openxmlformats.org/officeDocument/2006/relationships/hyperlink" Target="https://www.linkedin.com/learning/working-with-difficult-people-3?trk=ondemandfile" TargetMode="External"/><Relationship Id="rId301" Type="http://schemas.openxmlformats.org/officeDocument/2006/relationships/hyperlink" Target="https://www.linkedin.com/learning/performance-based-hiring-2?trk=ondemandfile" TargetMode="External"/><Relationship Id="rId343" Type="http://schemas.openxmlformats.org/officeDocument/2006/relationships/hyperlink" Target="https://www.linkedin.com/learning/developing-executive-presence-2?trk=ondemandfile" TargetMode="External"/><Relationship Id="rId550" Type="http://schemas.openxmlformats.org/officeDocument/2006/relationships/hyperlink" Target="https://www.linkedin.com/learning/measuring-team-performance-5?trk=ondemandfile" TargetMode="External"/><Relationship Id="rId82" Type="http://schemas.openxmlformats.org/officeDocument/2006/relationships/hyperlink" Target="https://www.linkedin.com/learning/building-accountability-into-your-culture-3?trk=ondemandfile" TargetMode="External"/><Relationship Id="rId203" Type="http://schemas.openxmlformats.org/officeDocument/2006/relationships/hyperlink" Target="https://www.linkedin.com/learning/developing-a-competitive-strategy-2?trk=ondemandfile" TargetMode="External"/><Relationship Id="rId385" Type="http://schemas.openxmlformats.org/officeDocument/2006/relationships/hyperlink" Target="https://www.linkedin.com/learning/change-management-for-projects-15870814?trk=contentmappingfile" TargetMode="External"/><Relationship Id="rId592" Type="http://schemas.openxmlformats.org/officeDocument/2006/relationships/hyperlink" Target="https://www.linkedin.com/learning/powerless-to-powerful-taking-control-2?trk=ondemandfile" TargetMode="External"/><Relationship Id="rId245" Type="http://schemas.openxmlformats.org/officeDocument/2006/relationships/hyperlink" Target="https://www.linkedin.com/learning/innovative-customer-service-techniques-2?trk=ondemandfile" TargetMode="External"/><Relationship Id="rId287" Type="http://schemas.openxmlformats.org/officeDocument/2006/relationships/hyperlink" Target="https://www.linkedin.com/learning/measuring-business-performance-3?trk=ondemandfile" TargetMode="External"/><Relationship Id="rId410" Type="http://schemas.openxmlformats.org/officeDocument/2006/relationships/hyperlink" Target="https://www.linkedin.com/learning/managing-virtual-teams-3?trk=ondemandfile" TargetMode="External"/><Relationship Id="rId452" Type="http://schemas.openxmlformats.org/officeDocument/2006/relationships/hyperlink" Target="https://www.linkedin.com/learning/86096956-705e-3ba6-94e0-77d08363a1a0?trk=ondemandfile" TargetMode="External"/><Relationship Id="rId494" Type="http://schemas.openxmlformats.org/officeDocument/2006/relationships/hyperlink" Target="https://www.linkedin.com/learning/project-management-foundations-leading-projects-2?trk=ondemandfile" TargetMode="External"/><Relationship Id="rId508" Type="http://schemas.openxmlformats.org/officeDocument/2006/relationships/hyperlink" Target="https://www.linkedin.com/learning/sales-prospecting-3?trk=ondemandfile" TargetMode="External"/><Relationship Id="rId105" Type="http://schemas.openxmlformats.org/officeDocument/2006/relationships/hyperlink" Target="https://www.linkedin.com/learning/delivering-employee-feedback-3?trk=ondemandfile" TargetMode="External"/><Relationship Id="rId147" Type="http://schemas.openxmlformats.org/officeDocument/2006/relationships/hyperlink" Target="https://www.linkedin.com/learning/communicating-with-empathy-2?trk=ondemandfile" TargetMode="External"/><Relationship Id="rId312" Type="http://schemas.openxmlformats.org/officeDocument/2006/relationships/hyperlink" Target="https://www.linkedin.com/learning/business-innovation-foundations-3?trk=ondemandfile" TargetMode="External"/><Relationship Id="rId354" Type="http://schemas.openxmlformats.org/officeDocument/2006/relationships/hyperlink" Target="https://www.linkedin.com/learning/84777a9a-010b-3e75-8b28-27d3706e8c9a?trk=ondemandfile" TargetMode="External"/><Relationship Id="rId51" Type="http://schemas.openxmlformats.org/officeDocument/2006/relationships/hyperlink" Target="https://www.linkedin.com/learning/breaking-out-of-a-rut-2?trk=ondemandfile" TargetMode="External"/><Relationship Id="rId93" Type="http://schemas.openxmlformats.org/officeDocument/2006/relationships/hyperlink" Target="https://www.linkedin.com/learning/managing-new-managers-4?trk=ondemandfile" TargetMode="External"/><Relationship Id="rId189" Type="http://schemas.openxmlformats.org/officeDocument/2006/relationships/hyperlink" Target="https://www.linkedin.com/learning/learning-to-say-no-3?trk=ondemandfile" TargetMode="External"/><Relationship Id="rId396" Type="http://schemas.openxmlformats.org/officeDocument/2006/relationships/hyperlink" Target="https://www.linkedin.com/learning/agile-at-work-building-your-agile-team-3?trk=ondemandfile" TargetMode="External"/><Relationship Id="rId561" Type="http://schemas.openxmlformats.org/officeDocument/2006/relationships/hyperlink" Target="https://www.linkedin.com/learning/employee-engagement-3?trk=ondemandfile" TargetMode="External"/><Relationship Id="rId214" Type="http://schemas.openxmlformats.org/officeDocument/2006/relationships/hyperlink" Target="https://www.linkedin.com/learning/developing-resourcefulness-2?trk=ondemandfile" TargetMode="External"/><Relationship Id="rId256" Type="http://schemas.openxmlformats.org/officeDocument/2006/relationships/hyperlink" Target="https://www.linkedin.com/learning/managing-a-customer-service-team-4?trk=ondemandfile" TargetMode="External"/><Relationship Id="rId298" Type="http://schemas.openxmlformats.org/officeDocument/2006/relationships/hyperlink" Target="https://www.linkedin.com/learning/employee-engagement-3?trk=ondemandfile" TargetMode="External"/><Relationship Id="rId421" Type="http://schemas.openxmlformats.org/officeDocument/2006/relationships/hyperlink" Target="https://www.linkedin.com/learning/devops-foundations-2?trk=ondemandfile" TargetMode="External"/><Relationship Id="rId463" Type="http://schemas.openxmlformats.org/officeDocument/2006/relationships/hyperlink" Target="https://www.linkedin.com/learning/pitching-your-ideas-strategically-17477395?trk=contentmappingfile" TargetMode="External"/><Relationship Id="rId519" Type="http://schemas.openxmlformats.org/officeDocument/2006/relationships/hyperlink" Target="https://www.linkedin.com/learning/strategic-thinking-4?trk=ondemandfile" TargetMode="External"/><Relationship Id="rId116" Type="http://schemas.openxmlformats.org/officeDocument/2006/relationships/hyperlink" Target="https://www.linkedin.com/learning/managing-up-down-and-across-the-organization-3?trk=ondemandfile" TargetMode="External"/><Relationship Id="rId158" Type="http://schemas.openxmlformats.org/officeDocument/2006/relationships/hyperlink" Target="https://www.linkedin.com/learning/influencing-others-4?trk=ondemandfile" TargetMode="External"/><Relationship Id="rId323" Type="http://schemas.openxmlformats.org/officeDocument/2006/relationships/hyperlink" Target="https://www.linkedin.com/learning/breaking-out-of-a-rut-2?trk=ondemandfile" TargetMode="External"/><Relationship Id="rId530" Type="http://schemas.openxmlformats.org/officeDocument/2006/relationships/hyperlink" Target="https://www.linkedin.com/learning/delivering-employee-feedback-3?trk=ondemandfile" TargetMode="External"/><Relationship Id="rId20" Type="http://schemas.openxmlformats.org/officeDocument/2006/relationships/hyperlink" Target="https://www.linkedin.com/learning/time-management-fundamentals-3?trk=ondemandfile" TargetMode="External"/><Relationship Id="rId62" Type="http://schemas.openxmlformats.org/officeDocument/2006/relationships/hyperlink" Target="https://www.linkedin.com/learning/disrupting-yourself-2?trk=ondemandfile" TargetMode="External"/><Relationship Id="rId365" Type="http://schemas.openxmlformats.org/officeDocument/2006/relationships/hyperlink" Target="https://www.linkedin.com/learning/project-management-foundations-leading-projects-2?trk=ondemandfile" TargetMode="External"/><Relationship Id="rId572" Type="http://schemas.openxmlformats.org/officeDocument/2006/relationships/hyperlink" Target="https://www.linkedin.com/learning/b83c5b95-31a5-31a0-9bbe-8eb3a913b66f?trk=ondemandfile" TargetMode="External"/><Relationship Id="rId225" Type="http://schemas.openxmlformats.org/officeDocument/2006/relationships/hyperlink" Target="https://www.linkedin.com/learning/9b4bd443-b907-3050-9476-0ec0b08dfda8?trk=ondemandfile" TargetMode="External"/><Relationship Id="rId267" Type="http://schemas.openxmlformats.org/officeDocument/2006/relationships/hyperlink" Target="https://www.linkedin.com/learning/python-for-data-science-essential-training-2?trk=ondemandfile" TargetMode="External"/><Relationship Id="rId432" Type="http://schemas.openxmlformats.org/officeDocument/2006/relationships/hyperlink" Target="https://www.linkedin.com/learning/creating-a-high-performance-culture-4?trk=ondemandfile" TargetMode="External"/><Relationship Id="rId474" Type="http://schemas.openxmlformats.org/officeDocument/2006/relationships/hyperlink" Target="https://www.linkedin.com/learning/operational-excellence-foundations-4?trk=ondemandfile" TargetMode="External"/><Relationship Id="rId127" Type="http://schemas.openxmlformats.org/officeDocument/2006/relationships/hyperlink" Target="https://www.linkedin.com/learning/building-your-team-4?trk=ondemandfile" TargetMode="External"/><Relationship Id="rId31" Type="http://schemas.openxmlformats.org/officeDocument/2006/relationships/hyperlink" Target="https://www.linkedin.com/learning/business-innovation-foundations-3?trk=ondemandfile" TargetMode="External"/><Relationship Id="rId73" Type="http://schemas.openxmlformats.org/officeDocument/2006/relationships/hyperlink" Target="https://www.linkedin.com/learning/communicating-with-empathy-2?trk=ondemandfile" TargetMode="External"/><Relationship Id="rId169" Type="http://schemas.openxmlformats.org/officeDocument/2006/relationships/hyperlink" Target="https://www.linkedin.com/learning/managing-a-diverse-team-2?trk=ondemandfile" TargetMode="External"/><Relationship Id="rId334" Type="http://schemas.openxmlformats.org/officeDocument/2006/relationships/hyperlink" Target="https://www.linkedin.com/learning/paths/34149b5d-1fd7-337a-8fd6-c725fdd05bf9?trk=ondemandfile" TargetMode="External"/><Relationship Id="rId376" Type="http://schemas.openxmlformats.org/officeDocument/2006/relationships/hyperlink" Target="https://www.linkedin.com/learning/paths/15e85c29-5b7c-3b12-a882-4bfdeb3c83c7?trk=ondemandfile" TargetMode="External"/><Relationship Id="rId541" Type="http://schemas.openxmlformats.org/officeDocument/2006/relationships/hyperlink" Target="https://www.linkedin.com/learning/building-high-performance-teams-4?trk=ondemandfile" TargetMode="External"/><Relationship Id="rId583" Type="http://schemas.openxmlformats.org/officeDocument/2006/relationships/hyperlink" Target="https://www.linkedin.com/learning/agreements-for-success-in-global-projects-2?trk=ondemandfile" TargetMode="External"/><Relationship Id="rId4" Type="http://schemas.openxmlformats.org/officeDocument/2006/relationships/hyperlink" Target="https://www.linkedin.com/learning/paths/5e7d3101-368f-3335-9206-178f9e406630?trk=ondemandfile" TargetMode="External"/><Relationship Id="rId180" Type="http://schemas.openxmlformats.org/officeDocument/2006/relationships/hyperlink" Target="https://www.linkedin.com/learning/delivering-employee-feedback-3?trk=ondemandfile" TargetMode="External"/><Relationship Id="rId236" Type="http://schemas.openxmlformats.org/officeDocument/2006/relationships/hyperlink" Target="https://www.linkedin.com/learning/improving-your-focus-3?trk=ondemandfile" TargetMode="External"/><Relationship Id="rId278" Type="http://schemas.openxmlformats.org/officeDocument/2006/relationships/hyperlink" Target="https://www.linkedin.com/learning/data-science-foundations-data-mining-2?trk=ondemandfile" TargetMode="External"/><Relationship Id="rId401" Type="http://schemas.openxmlformats.org/officeDocument/2006/relationships/hyperlink" Target="https://www.linkedin.com/learning/just-ask-developing-a-career-in-project-management?trk=contentmappingfile" TargetMode="External"/><Relationship Id="rId443" Type="http://schemas.openxmlformats.org/officeDocument/2006/relationships/hyperlink" Target="https://www.linkedin.com/learning/agile-project-management-with-microsoft-project-3?trk=ondemandfile" TargetMode="External"/><Relationship Id="rId303" Type="http://schemas.openxmlformats.org/officeDocument/2006/relationships/hyperlink" Target="https://www.linkedin.com/learning/onboarding-new-hires-2?trk=contentmappingfile" TargetMode="External"/><Relationship Id="rId485" Type="http://schemas.openxmlformats.org/officeDocument/2006/relationships/hyperlink" Target="https://www.linkedin.com/learning/project-management-foundations-teams-2?trk=ondemandfile" TargetMode="External"/><Relationship Id="rId42" Type="http://schemas.openxmlformats.org/officeDocument/2006/relationships/hyperlink" Target="https://www.linkedin.com/learning/change-management-foundations-2?trk=ondemandfile" TargetMode="External"/><Relationship Id="rId84" Type="http://schemas.openxmlformats.org/officeDocument/2006/relationships/hyperlink" Target="https://www.linkedin.com/learning/building-high-performance-teams-4?trk=ondemandfile" TargetMode="External"/><Relationship Id="rId138" Type="http://schemas.openxmlformats.org/officeDocument/2006/relationships/hyperlink" Target="https://www.linkedin.com/learning/being-an-effective-team-member-2?trk=ondemandfile" TargetMode="External"/><Relationship Id="rId345" Type="http://schemas.openxmlformats.org/officeDocument/2006/relationships/hyperlink" Target="https://www.linkedin.com/learning/executive-presence-for-women-3?trk=ondemandfile" TargetMode="External"/><Relationship Id="rId387" Type="http://schemas.openxmlformats.org/officeDocument/2006/relationships/hyperlink" Target="https://www.linkedin.com/learning/managing-up-down-and-across-the-organization-3?trk=ondemandfile" TargetMode="External"/><Relationship Id="rId510" Type="http://schemas.openxmlformats.org/officeDocument/2006/relationships/hyperlink" Target="https://www.linkedin.com/learning/the-science-of-sales-2?trk=ondemandfile" TargetMode="External"/><Relationship Id="rId552" Type="http://schemas.openxmlformats.org/officeDocument/2006/relationships/hyperlink" Target="https://www.linkedin.com/learning/hiring-and-developing-your-future-workforce-2?trk=ondemandfile" TargetMode="External"/><Relationship Id="rId594" Type="http://schemas.openxmlformats.org/officeDocument/2006/relationships/hyperlink" Target="https://www.linkedin.com/learning/leading-inclusive-teams-3?trk=ondemandfile" TargetMode="External"/><Relationship Id="rId191" Type="http://schemas.openxmlformats.org/officeDocument/2006/relationships/hyperlink" Target="https://www.linkedin.com/learning/critical-thinking-for-better-judgment-and-decision-making-2?trk=ondemandfile" TargetMode="External"/><Relationship Id="rId205" Type="http://schemas.openxmlformats.org/officeDocument/2006/relationships/hyperlink" Target="https://www.linkedin.com/learning/online-marketing-foundations?trk=ondemandfile" TargetMode="External"/><Relationship Id="rId247" Type="http://schemas.openxmlformats.org/officeDocument/2006/relationships/hyperlink" Target="https://www.linkedin.com/learning/communicating-with-empathy-2?trk=ondemandfile" TargetMode="External"/><Relationship Id="rId412" Type="http://schemas.openxmlformats.org/officeDocument/2006/relationships/hyperlink" Target="https://www.linkedin.com/learning/0205c79a-985b-337b-8a72-81f0f9bde52b?trk=ondemandfile" TargetMode="External"/><Relationship Id="rId107" Type="http://schemas.openxmlformats.org/officeDocument/2006/relationships/hyperlink" Target="https://www.linkedin.com/learning/interpersonal-communication-2?trk=ondemandfile" TargetMode="External"/><Relationship Id="rId289" Type="http://schemas.openxmlformats.org/officeDocument/2006/relationships/hyperlink" Target="https://www.linkedin.com/learning/finance-for-non-financial-managers-2?trk=ondemandfile" TargetMode="External"/><Relationship Id="rId454" Type="http://schemas.openxmlformats.org/officeDocument/2006/relationships/hyperlink" Target="https://www.linkedin.com/learning/powerpoint-2019-essential-training-2?trk=ondemandfile" TargetMode="External"/><Relationship Id="rId496" Type="http://schemas.openxmlformats.org/officeDocument/2006/relationships/hyperlink" Target="https://www.linkedin.com/learning/key-account-management-4?trk=ondemandfile" TargetMode="External"/><Relationship Id="rId11" Type="http://schemas.openxmlformats.org/officeDocument/2006/relationships/hyperlink" Target="https://www.linkedin.com/learning/developing-your-emotional-intelligence-2?trk=ondemandfile" TargetMode="External"/><Relationship Id="rId53" Type="http://schemas.openxmlformats.org/officeDocument/2006/relationships/hyperlink" Target="https://www.linkedin.com/learning/critical-thinking-3?trk=ondemandfile" TargetMode="External"/><Relationship Id="rId149" Type="http://schemas.openxmlformats.org/officeDocument/2006/relationships/hyperlink" Target="https://www.linkedin.com/learning/teamwork-foundations-3?trk=ondemandfile" TargetMode="External"/><Relationship Id="rId314" Type="http://schemas.openxmlformats.org/officeDocument/2006/relationships/hyperlink" Target="https://www.linkedin.com/learning/leading-with-innovation-4?trk=ondemandfile" TargetMode="External"/><Relationship Id="rId356" Type="http://schemas.openxmlformats.org/officeDocument/2006/relationships/hyperlink" Target="https://www.linkedin.com/learning/jeff-weiner-on-managing-compassionately-13800446?trk=contentmappingfile" TargetMode="External"/><Relationship Id="rId398" Type="http://schemas.openxmlformats.org/officeDocument/2006/relationships/hyperlink" Target="https://www.linkedin.com/learning/new-manager-foundations-3?trk=ondemandfile" TargetMode="External"/><Relationship Id="rId521" Type="http://schemas.openxmlformats.org/officeDocument/2006/relationships/hyperlink" Target="https://www.linkedin.com/learning/strategic-planning-foundations-2?trk=ondemandfile" TargetMode="External"/><Relationship Id="rId563" Type="http://schemas.openxmlformats.org/officeDocument/2006/relationships/hyperlink" Target="https://www.linkedin.com/learning/building-your-team-4?trk=ondemandfile" TargetMode="External"/><Relationship Id="rId95" Type="http://schemas.openxmlformats.org/officeDocument/2006/relationships/hyperlink" Target="https://www.linkedin.com/learning/managing-high-potentials-3?trk=ondemandfile" TargetMode="External"/><Relationship Id="rId160" Type="http://schemas.openxmlformats.org/officeDocument/2006/relationships/hyperlink" Target="https://www.linkedin.com/learning/asking-great-sales-questions-4?trk=ondemandfile" TargetMode="External"/><Relationship Id="rId216" Type="http://schemas.openxmlformats.org/officeDocument/2006/relationships/hyperlink" Target="https://www.linkedin.com/learning/building-creative-organizations-3?trk=ondemandfile" TargetMode="External"/><Relationship Id="rId423" Type="http://schemas.openxmlformats.org/officeDocument/2006/relationships/hyperlink" Target="https://www.linkedin.com/learning/mergers-acquisitions-fundamentals?trk=ondemandfile" TargetMode="External"/><Relationship Id="rId258" Type="http://schemas.openxmlformats.org/officeDocument/2006/relationships/hyperlink" Target="https://www.linkedin.com/learning/managing-customer-expectations-for-managers-3?trk=ondemandfile" TargetMode="External"/><Relationship Id="rId465" Type="http://schemas.openxmlformats.org/officeDocument/2006/relationships/hyperlink" Target="https://www.linkedin.com/learning/managing-meetings-3?trk=ondemandfile" TargetMode="External"/><Relationship Id="rId22" Type="http://schemas.openxmlformats.org/officeDocument/2006/relationships/hyperlink" Target="https://www.linkedin.com/learning/0205c79a-985b-337b-8a72-81f0f9bde52b?trk=ondemandfile" TargetMode="External"/><Relationship Id="rId64" Type="http://schemas.openxmlformats.org/officeDocument/2006/relationships/hyperlink" Target="https://www.linkedin.com/learning/paths/3db8a531-c16b-3623-9891-2cd47ac19f68?trk=ondemandfile" TargetMode="External"/><Relationship Id="rId118" Type="http://schemas.openxmlformats.org/officeDocument/2006/relationships/hyperlink" Target="https://www.linkedin.com/learning/communication-within-teams-3?trk=ondemandfile" TargetMode="External"/><Relationship Id="rId325" Type="http://schemas.openxmlformats.org/officeDocument/2006/relationships/hyperlink" Target="https://www.linkedin.com/learning/embracing-unexpected-change-2?trk=contentmappingfile" TargetMode="External"/><Relationship Id="rId367" Type="http://schemas.openxmlformats.org/officeDocument/2006/relationships/hyperlink" Target="https://www.linkedin.com/learning/leadership-blind-spots-4?trk=ondemandfile" TargetMode="External"/><Relationship Id="rId532" Type="http://schemas.openxmlformats.org/officeDocument/2006/relationships/hyperlink" Target="https://www.linkedin.com/learning/creating-a-high-performance-culture-4?trk=ondemandfile" TargetMode="External"/><Relationship Id="rId574" Type="http://schemas.openxmlformats.org/officeDocument/2006/relationships/hyperlink" Target="https://www.linkedin.com/learning/managing-high-performers-3?trk=ondemandfile" TargetMode="External"/><Relationship Id="rId171" Type="http://schemas.openxmlformats.org/officeDocument/2006/relationships/hyperlink" Target="https://www.linkedin.com/learning/negotiation-skills-2?trk=ondemandfile" TargetMode="External"/><Relationship Id="rId227" Type="http://schemas.openxmlformats.org/officeDocument/2006/relationships/hyperlink" Target="https://www.linkedin.com/learning/cultivating-a-growth-mindset-3?trk=ondemandfile" TargetMode="External"/><Relationship Id="rId269" Type="http://schemas.openxmlformats.org/officeDocument/2006/relationships/hyperlink" Target="https://www.linkedin.com/learning/big-data-foundations-techniques-and-concepts-2?trk=ondemandfile" TargetMode="External"/><Relationship Id="rId434" Type="http://schemas.openxmlformats.org/officeDocument/2006/relationships/hyperlink" Target="https://www.linkedin.com/learning/operational-excellence-foundations-4?trk=ondemandfile" TargetMode="External"/><Relationship Id="rId476" Type="http://schemas.openxmlformats.org/officeDocument/2006/relationships/hyperlink" Target="https://www.linkedin.com/learning/agile-foundations-2?trk=ondemandfile" TargetMode="External"/><Relationship Id="rId33" Type="http://schemas.openxmlformats.org/officeDocument/2006/relationships/hyperlink" Target="https://www.linkedin.com/learning/learning-from-failure-2?trk=ondemandfile" TargetMode="External"/><Relationship Id="rId129" Type="http://schemas.openxmlformats.org/officeDocument/2006/relationships/hyperlink" Target="https://www.linkedin.com/learning/improving-your-listening-skills-2?trk=ondemandfile" TargetMode="External"/><Relationship Id="rId280" Type="http://schemas.openxmlformats.org/officeDocument/2006/relationships/hyperlink" Target="https://www.linkedin.com/learning/statistics-foundations-2-2?trk=ondemandfile" TargetMode="External"/><Relationship Id="rId336" Type="http://schemas.openxmlformats.org/officeDocument/2006/relationships/hyperlink" Target="https://www.linkedin.com/learning/leading-with-innovation-4?trk=ondemandfile" TargetMode="External"/><Relationship Id="rId501" Type="http://schemas.openxmlformats.org/officeDocument/2006/relationships/hyperlink" Target="https://www.linkedin.com/learning/selling-with-stories-part-2-stories-great-sales-people-tell-2?trk=ondemandfile" TargetMode="External"/><Relationship Id="rId543" Type="http://schemas.openxmlformats.org/officeDocument/2006/relationships/hyperlink" Target="https://www.linkedin.com/learning/84777a9a-010b-3e75-8b28-27d3706e8c9a?trk=ondemandfile" TargetMode="External"/><Relationship Id="rId75" Type="http://schemas.openxmlformats.org/officeDocument/2006/relationships/hyperlink" Target="https://www.linkedin.com/learning/creating-the-conditions-for-others-to-thrive-9615462?trk=contentmappingfile" TargetMode="External"/><Relationship Id="rId140" Type="http://schemas.openxmlformats.org/officeDocument/2006/relationships/hyperlink" Target="https://www.linkedin.com/learning/paths/87c473ed-01ce-32f8-90ac-61be15e449c9?trk=ondemandfile" TargetMode="External"/><Relationship Id="rId182" Type="http://schemas.openxmlformats.org/officeDocument/2006/relationships/hyperlink" Target="https://www.linkedin.com/learning/conflict-resolution-foundations-3?trk=ondemandfile" TargetMode="External"/><Relationship Id="rId378" Type="http://schemas.openxmlformats.org/officeDocument/2006/relationships/hyperlink" Target="https://www.linkedin.com/learning/paths/3db8a531-c16b-3623-9891-2cd47ac19f68?trk=ondemandfile" TargetMode="External"/><Relationship Id="rId403" Type="http://schemas.openxmlformats.org/officeDocument/2006/relationships/hyperlink" Target="https://www.linkedin.com/learning/managing-diversity?trk=ondemandfile" TargetMode="External"/><Relationship Id="rId585" Type="http://schemas.openxmlformats.org/officeDocument/2006/relationships/hyperlink" Target="https://www.linkedin.com/learning/inclusive-leadership-2?trk=ondemandfile" TargetMode="External"/><Relationship Id="rId6" Type="http://schemas.openxmlformats.org/officeDocument/2006/relationships/hyperlink" Target="https://www.linkedin.com/learning/paths/6844219d-129d-3432-be7a-4c32e6eaf336?trk=ondemandfile" TargetMode="External"/><Relationship Id="rId238" Type="http://schemas.openxmlformats.org/officeDocument/2006/relationships/hyperlink" Target="https://www.linkedin.com/learning/unconscious-bias-4?trk=ondemandfile" TargetMode="External"/><Relationship Id="rId445" Type="http://schemas.openxmlformats.org/officeDocument/2006/relationships/hyperlink" Target="https://www.linkedin.com/learning/performance-management-conducting-performance-reviews-2?trk=ondemandfile" TargetMode="External"/><Relationship Id="rId487" Type="http://schemas.openxmlformats.org/officeDocument/2006/relationships/hyperlink" Target="https://www.linkedin.com/learning/project-management-foundations-integration-3?trk=ondemandfile" TargetMode="External"/><Relationship Id="rId291" Type="http://schemas.openxmlformats.org/officeDocument/2006/relationships/hyperlink" Target="https://www.linkedin.com/learning/paths/3db8a531-c16b-3623-9891-2cd47ac19f68?trk=ondemandfile" TargetMode="External"/><Relationship Id="rId305" Type="http://schemas.openxmlformats.org/officeDocument/2006/relationships/hyperlink" Target="https://www.linkedin.com/learning/managing-diversity?trk=ondemandfile" TargetMode="External"/><Relationship Id="rId347" Type="http://schemas.openxmlformats.org/officeDocument/2006/relationships/hyperlink" Target="https://www.linkedin.com/learning/social-media-for-leadership-14544067?trk=contentmappingfile" TargetMode="External"/><Relationship Id="rId512" Type="http://schemas.openxmlformats.org/officeDocument/2006/relationships/hyperlink" Target="https://www.linkedin.com/learning/sales-forecasting-2?trk=contentmappingfile" TargetMode="External"/><Relationship Id="rId44" Type="http://schemas.openxmlformats.org/officeDocument/2006/relationships/hyperlink" Target="https://www.linkedin.com/learning/9b4bd443-b907-3050-9476-0ec0b08dfda8?trk=ondemandfile" TargetMode="External"/><Relationship Id="rId86" Type="http://schemas.openxmlformats.org/officeDocument/2006/relationships/hyperlink" Target="https://www.linkedin.com/learning/agile-at-work-driving-productive-agile-meetings-3?trk=ondemandfile" TargetMode="External"/><Relationship Id="rId151" Type="http://schemas.openxmlformats.org/officeDocument/2006/relationships/hyperlink" Target="https://www.linkedin.com/learning/speaking-up-at-work-16234873?trk=contentmappingfile" TargetMode="External"/><Relationship Id="rId389" Type="http://schemas.openxmlformats.org/officeDocument/2006/relationships/hyperlink" Target="https://www.linkedin.com/learning/developing-executive-presence-2?trk=ondemandfile" TargetMode="External"/><Relationship Id="rId554" Type="http://schemas.openxmlformats.org/officeDocument/2006/relationships/hyperlink" Target="https://www.linkedin.com/learning/delivering-employee-feedback-3?trk=ondemandfile" TargetMode="External"/><Relationship Id="rId596" Type="http://schemas.openxmlformats.org/officeDocument/2006/relationships/hyperlink" Target="https://www.linkedin.com/learning/business-english-writing-successful-business-emails-15824757?trk=contentmappingfile" TargetMode="External"/><Relationship Id="rId193" Type="http://schemas.openxmlformats.org/officeDocument/2006/relationships/hyperlink" Target="https://www.linkedin.com/learning/86d80f76-f728-332c-a87d-dc1fddaa0c91?trk=ondemandfile" TargetMode="External"/><Relationship Id="rId207" Type="http://schemas.openxmlformats.org/officeDocument/2006/relationships/hyperlink" Target="https://www.linkedin.com/learning/paths/07304244-eccf-3d14-923a-8ca64b7fb518?trk=ondemandfile" TargetMode="External"/><Relationship Id="rId249" Type="http://schemas.openxmlformats.org/officeDocument/2006/relationships/hyperlink" Target="https://www.linkedin.com/learning/working-with-upset-customers-2?trk=ondemandfile" TargetMode="External"/><Relationship Id="rId414" Type="http://schemas.openxmlformats.org/officeDocument/2006/relationships/hyperlink" Target="https://www.linkedin.com/learning/working-as-a-contract-or-temporary-employee-15915284?trk=contentmappingfile" TargetMode="External"/><Relationship Id="rId456" Type="http://schemas.openxmlformats.org/officeDocument/2006/relationships/hyperlink" Target="https://www.linkedin.com/learning/public-speaking-foundations-4?trk=ondemandfile" TargetMode="External"/><Relationship Id="rId498" Type="http://schemas.openxmlformats.org/officeDocument/2006/relationships/hyperlink" Target="https://www.linkedin.com/learning/influencing-others-4?trk=ondemandfile" TargetMode="External"/><Relationship Id="rId13" Type="http://schemas.openxmlformats.org/officeDocument/2006/relationships/hyperlink" Target="https://www.linkedin.com/learning/learning-to-be-assertive-3?trk=ondemandfile" TargetMode="External"/><Relationship Id="rId109" Type="http://schemas.openxmlformats.org/officeDocument/2006/relationships/hyperlink" Target="https://www.linkedin.com/learning/conflict-resolution-foundations-3?trk=ondemandfile" TargetMode="External"/><Relationship Id="rId260" Type="http://schemas.openxmlformats.org/officeDocument/2006/relationships/hyperlink" Target="https://www.linkedin.com/learning/negotiation-foundations-2?trk=ondemandfile" TargetMode="External"/><Relationship Id="rId316" Type="http://schemas.openxmlformats.org/officeDocument/2006/relationships/hyperlink" Target="https://www.linkedin.com/learning/communicating-in-times-of-change-3?trk=ondemandfile" TargetMode="External"/><Relationship Id="rId523" Type="http://schemas.openxmlformats.org/officeDocument/2006/relationships/hyperlink" Target="https://www.linkedin.com/learning/agile-at-work-planning-with-agile-user-stories-3?trk=ondemandfile" TargetMode="External"/><Relationship Id="rId55" Type="http://schemas.openxmlformats.org/officeDocument/2006/relationships/hyperlink" Target="https://www.linkedin.com/learning/building-resilience-as-a-leader-2?trk=ondemandfile" TargetMode="External"/><Relationship Id="rId97" Type="http://schemas.openxmlformats.org/officeDocument/2006/relationships/hyperlink" Target="https://www.linkedin.com/learning/setting-team-and-employee-goals-3?trk=ondemandfile" TargetMode="External"/><Relationship Id="rId120" Type="http://schemas.openxmlformats.org/officeDocument/2006/relationships/hyperlink" Target="https://www.linkedin.com/learning/learning-to-be-approachable-2?trk=ondemandfile" TargetMode="External"/><Relationship Id="rId358" Type="http://schemas.openxmlformats.org/officeDocument/2006/relationships/hyperlink" Target="https://www.linkedin.com/learning/unlock-your-team-s-creativity-2?trk=ondemandfile" TargetMode="External"/><Relationship Id="rId565" Type="http://schemas.openxmlformats.org/officeDocument/2006/relationships/hyperlink" Target="https://www.linkedin.com/learning/onboarding-new-hires-2?trk=contentmappingfile" TargetMode="External"/><Relationship Id="rId162" Type="http://schemas.openxmlformats.org/officeDocument/2006/relationships/hyperlink" Target="https://www.linkedin.com/learning/improving-your-listening-skills-2?trk=ondemandfile" TargetMode="External"/><Relationship Id="rId218" Type="http://schemas.openxmlformats.org/officeDocument/2006/relationships/hyperlink" Target="https://www.linkedin.com/learning/unlock-your-team-s-creativity-2?trk=ondemandfile" TargetMode="External"/><Relationship Id="rId425" Type="http://schemas.openxmlformats.org/officeDocument/2006/relationships/hyperlink" Target="https://www.linkedin.com/learning/enterprise-agile-growing-scrum-2?trk=contentmappingfile" TargetMode="External"/><Relationship Id="rId467" Type="http://schemas.openxmlformats.org/officeDocument/2006/relationships/hyperlink" Target="https://www.linkedin.com/learning/interviewing-techniques?trk=ondemandfile" TargetMode="External"/><Relationship Id="rId271" Type="http://schemas.openxmlformats.org/officeDocument/2006/relationships/hyperlink" Target="https://www.linkedin.com/learning/learning-cloud-computing-core-concepts?trk=ondemandfile" TargetMode="External"/><Relationship Id="rId24" Type="http://schemas.openxmlformats.org/officeDocument/2006/relationships/hyperlink" Target="https://www.linkedin.com/learning/leading-yourself-4?trk=ondemandfile" TargetMode="External"/><Relationship Id="rId66" Type="http://schemas.openxmlformats.org/officeDocument/2006/relationships/hyperlink" Target="https://www.linkedin.com/learning/paths/6844219d-129d-3432-be7a-4c32e6eaf336?trk=ondemandfile" TargetMode="External"/><Relationship Id="rId131" Type="http://schemas.openxmlformats.org/officeDocument/2006/relationships/hyperlink" Target="https://www.linkedin.com/learning/managing-employee-performance-problems-5?trk=ondemandfile" TargetMode="External"/><Relationship Id="rId327" Type="http://schemas.openxmlformats.org/officeDocument/2006/relationships/hyperlink" Target="https://www.linkedin.com/learning/designing-growth-strategies-2?trk=ondemandfile" TargetMode="External"/><Relationship Id="rId369" Type="http://schemas.openxmlformats.org/officeDocument/2006/relationships/hyperlink" Target="https://www.linkedin.com/learning/risk-taking-for-leaders-2?trk=ondemandfile" TargetMode="External"/><Relationship Id="rId534" Type="http://schemas.openxmlformats.org/officeDocument/2006/relationships/hyperlink" Target="https://www.linkedin.com/learning/giving-and-receiving-feedback-4?trk=ondemandfile" TargetMode="External"/><Relationship Id="rId576" Type="http://schemas.openxmlformats.org/officeDocument/2006/relationships/hyperlink" Target="https://www.linkedin.com/learning/setting-team-and-employee-goals-3?trk=ondemandfile" TargetMode="External"/><Relationship Id="rId173" Type="http://schemas.openxmlformats.org/officeDocument/2006/relationships/hyperlink" Target="https://www.linkedin.com/learning/779ed34b-4bd3-393b-bda7-0163601fbcc8?trk=ondemandfile" TargetMode="External"/><Relationship Id="rId229" Type="http://schemas.openxmlformats.org/officeDocument/2006/relationships/hyperlink" Target="https://www.linkedin.com/learning/getting-your-ideas-approved-3?trk=ondemandfile" TargetMode="External"/><Relationship Id="rId380" Type="http://schemas.openxmlformats.org/officeDocument/2006/relationships/hyperlink" Target="https://www.linkedin.com/learning/paths/87c473ed-01ce-32f8-90ac-61be15e449c9?trk=ondemandfile" TargetMode="External"/><Relationship Id="rId436" Type="http://schemas.openxmlformats.org/officeDocument/2006/relationships/hyperlink" Target="https://www.linkedin.com/learning/agile-at-work-reporting-with-agile-charts-and-boards-2?trk=ondemandfile" TargetMode="External"/><Relationship Id="rId240" Type="http://schemas.openxmlformats.org/officeDocument/2006/relationships/hyperlink" Target="https://www.linkedin.com/learning/smart-thinking-overcoming-complexity-14592064?trk=contentmappingfile" TargetMode="External"/><Relationship Id="rId478" Type="http://schemas.openxmlformats.org/officeDocument/2006/relationships/hyperlink" Target="https://www.linkedin.com/learning/just-ask-developing-a-career-in-project-management?trk=contentmappingfile" TargetMode="External"/><Relationship Id="rId35" Type="http://schemas.openxmlformats.org/officeDocument/2006/relationships/hyperlink" Target="https://www.linkedin.com/learning/diversity-and-inclusion-in-a-global-enterprise-2?trk=ondemandfile" TargetMode="External"/><Relationship Id="rId77" Type="http://schemas.openxmlformats.org/officeDocument/2006/relationships/hyperlink" Target="https://www.linkedin.com/learning/teamwork-foundations-3?trk=ondemandfile" TargetMode="External"/><Relationship Id="rId100" Type="http://schemas.openxmlformats.org/officeDocument/2006/relationships/hyperlink" Target="https://www.linkedin.com/learning/hiring-and-developing-your-future-workforce-2?trk=ondemandfile" TargetMode="External"/><Relationship Id="rId282" Type="http://schemas.openxmlformats.org/officeDocument/2006/relationships/hyperlink" Target="https://www.linkedin.com/learning/programming-foundations-algorithms-3?trk=contentmappingfile" TargetMode="External"/><Relationship Id="rId338" Type="http://schemas.openxmlformats.org/officeDocument/2006/relationships/hyperlink" Target="https://www.linkedin.com/learning/transformational-leadership-3?trk=contentmappingfile" TargetMode="External"/><Relationship Id="rId503" Type="http://schemas.openxmlformats.org/officeDocument/2006/relationships/hyperlink" Target="https://www.linkedin.com/learning/managing-a-customer-service-team-4?trk=ondemandfile" TargetMode="External"/><Relationship Id="rId545" Type="http://schemas.openxmlformats.org/officeDocument/2006/relationships/hyperlink" Target="https://www.linkedin.com/learning/onboarding-new-hires-2?trk=contentmappingfile" TargetMode="External"/><Relationship Id="rId587" Type="http://schemas.openxmlformats.org/officeDocument/2006/relationships/hyperlink" Target="https://www.linkedin.com/learning/cultivating-cultural-competence-and-inclusion-9619710?trk=contentmappingfile" TargetMode="External"/><Relationship Id="rId8" Type="http://schemas.openxmlformats.org/officeDocument/2006/relationships/hyperlink" Target="https://www.linkedin.com/learning/paths/a0eb3d8c-a473-3d5e-b3a6-750ac02b3b49?trk=ondemandfile" TargetMode="External"/><Relationship Id="rId142" Type="http://schemas.openxmlformats.org/officeDocument/2006/relationships/hyperlink" Target="https://www.linkedin.com/learning/paths/5b7cccc4-df82-3651-b51f-d409c2437e2a?trk=ondemandfile" TargetMode="External"/><Relationship Id="rId184" Type="http://schemas.openxmlformats.org/officeDocument/2006/relationships/hyperlink" Target="https://www.linkedin.com/learning/communicating-in-times-of-change-3?trk=ondemandfile" TargetMode="External"/><Relationship Id="rId391" Type="http://schemas.openxmlformats.org/officeDocument/2006/relationships/hyperlink" Target="https://www.linkedin.com/learning/having-difficult-conversations?trk=ondemandfile" TargetMode="External"/><Relationship Id="rId405" Type="http://schemas.openxmlformats.org/officeDocument/2006/relationships/hyperlink" Target="https://www.linkedin.com/learning/managing-employee-performance-problems-5?trk=ondemandfile" TargetMode="External"/><Relationship Id="rId447" Type="http://schemas.openxmlformats.org/officeDocument/2006/relationships/hyperlink" Target="https://www.linkedin.com/learning/designing-growth-strategies-2?trk=ondemandfile" TargetMode="External"/><Relationship Id="rId251" Type="http://schemas.openxmlformats.org/officeDocument/2006/relationships/hyperlink" Target="https://www.linkedin.com/learning/customer-service-leadership-5?trk=ondemandfile" TargetMode="External"/><Relationship Id="rId489" Type="http://schemas.openxmlformats.org/officeDocument/2006/relationships/hyperlink" Target="https://www.linkedin.com/learning/779ed34b-4bd3-393b-bda7-0163601fbcc8?trk=ondemandfile" TargetMode="External"/><Relationship Id="rId46" Type="http://schemas.openxmlformats.org/officeDocument/2006/relationships/hyperlink" Target="https://www.linkedin.com/learning/using-questions-to-foster-critical-thinking-and-curiosity-2?trk=ondemandfile" TargetMode="External"/><Relationship Id="rId293" Type="http://schemas.openxmlformats.org/officeDocument/2006/relationships/hyperlink" Target="https://www.linkedin.com/learning/paths/a0eb3d8c-a473-3d5e-b3a6-750ac02b3b49?trk=ondemandfile" TargetMode="External"/><Relationship Id="rId307" Type="http://schemas.openxmlformats.org/officeDocument/2006/relationships/hyperlink" Target="https://www.linkedin.com/learning/managing-high-potentials-3?trk=ondemandfile" TargetMode="External"/><Relationship Id="rId349" Type="http://schemas.openxmlformats.org/officeDocument/2006/relationships/hyperlink" Target="https://www.linkedin.com/learning/building-self-confidence?trk=ondemandfile" TargetMode="External"/><Relationship Id="rId514" Type="http://schemas.openxmlformats.org/officeDocument/2006/relationships/hyperlink" Target="https://www.linkedin.com/learning/developing-a-competitive-strategy-2?trk=ondemandfile" TargetMode="External"/><Relationship Id="rId556" Type="http://schemas.openxmlformats.org/officeDocument/2006/relationships/hyperlink" Target="https://www.linkedin.com/learning/managing-for-results-2?trk=ondemandfile" TargetMode="External"/><Relationship Id="rId88" Type="http://schemas.openxmlformats.org/officeDocument/2006/relationships/hyperlink" Target="https://www.linkedin.com/learning/unlock-your-team-s-creativity-2?trk=ondemandfile" TargetMode="External"/><Relationship Id="rId111" Type="http://schemas.openxmlformats.org/officeDocument/2006/relationships/hyperlink" Target="https://www.linkedin.com/learning/creating-a-high-performance-culture-4?trk=ondemandfile" TargetMode="External"/><Relationship Id="rId153" Type="http://schemas.openxmlformats.org/officeDocument/2006/relationships/hyperlink" Target="https://www.linkedin.com/learning/executive-presence-for-women-3?trk=ondemandfile" TargetMode="External"/><Relationship Id="rId195" Type="http://schemas.openxmlformats.org/officeDocument/2006/relationships/hyperlink" Target="https://www.linkedin.com/learning/managing-team-conflict-15962506?trk=contentmappingfile" TargetMode="External"/><Relationship Id="rId209" Type="http://schemas.openxmlformats.org/officeDocument/2006/relationships/hyperlink" Target="https://www.linkedin.com/learning/paths/7c8dafed-8f63-35a2-ada2-7dbeaf731ce4?trk=ondemandfile" TargetMode="External"/><Relationship Id="rId360" Type="http://schemas.openxmlformats.org/officeDocument/2006/relationships/hyperlink" Target="https://www.linkedin.com/learning/managing-high-potentials-3?trk=ondemandfile" TargetMode="External"/><Relationship Id="rId416" Type="http://schemas.openxmlformats.org/officeDocument/2006/relationships/hyperlink" Target="https://www.linkedin.com/learning/setting-team-and-employee-goals-3?trk=ondemandfile" TargetMode="External"/><Relationship Id="rId598" Type="http://schemas.openxmlformats.org/officeDocument/2006/relationships/hyperlink" Target="https://www.linkedin.com/learning/performing-under-pressure-3?trk=ondemandfile" TargetMode="External"/><Relationship Id="rId220" Type="http://schemas.openxmlformats.org/officeDocument/2006/relationships/hyperlink" Target="https://www.linkedin.com/learning/disrupting-yourself-2?trk=ondemandfile" TargetMode="External"/><Relationship Id="rId458" Type="http://schemas.openxmlformats.org/officeDocument/2006/relationships/hyperlink" Target="https://www.linkedin.com/learning/how-to-present-and-stay-on-point-4?trk=ondemandfile" TargetMode="External"/><Relationship Id="rId15" Type="http://schemas.openxmlformats.org/officeDocument/2006/relationships/hyperlink" Target="https://www.linkedin.com/learning/building-accountability-into-your-culture-3?trk=ondemandfile" TargetMode="External"/><Relationship Id="rId57" Type="http://schemas.openxmlformats.org/officeDocument/2006/relationships/hyperlink" Target="https://www.linkedin.com/learning/digital-transformation-4?trk=ondemandfile" TargetMode="External"/><Relationship Id="rId262" Type="http://schemas.openxmlformats.org/officeDocument/2006/relationships/hyperlink" Target="https://www.linkedin.com/learning/big-data-in-the-age-of-ai-15942776?trk=contentmappingfile" TargetMode="External"/><Relationship Id="rId318" Type="http://schemas.openxmlformats.org/officeDocument/2006/relationships/hyperlink" Target="https://www.linkedin.com/learning/change-management-foundations-2?trk=ondemandfile" TargetMode="External"/><Relationship Id="rId525" Type="http://schemas.openxmlformats.org/officeDocument/2006/relationships/hyperlink" Target="https://www.linkedin.com/learning/designing-growth-strategies-2?trk=ondemandfile" TargetMode="External"/><Relationship Id="rId567" Type="http://schemas.openxmlformats.org/officeDocument/2006/relationships/hyperlink" Target="https://www.linkedin.com/learning/managing-employee-performance-problems-5?trk=ondemandfile" TargetMode="External"/><Relationship Id="rId99" Type="http://schemas.openxmlformats.org/officeDocument/2006/relationships/hyperlink" Target="https://www.linkedin.com/learning/coaching-and-developing-employees-3?trk=ondemandfile" TargetMode="External"/><Relationship Id="rId122" Type="http://schemas.openxmlformats.org/officeDocument/2006/relationships/hyperlink" Target="https://www.linkedin.com/learning/developing-your-emotional-intelligence-2?trk=ondemandfile" TargetMode="External"/><Relationship Id="rId164" Type="http://schemas.openxmlformats.org/officeDocument/2006/relationships/hyperlink" Target="https://www.linkedin.com/learning/86d80f76-f728-332c-a87d-dc1fddaa0c91?trk=ondemandfile" TargetMode="External"/><Relationship Id="rId371" Type="http://schemas.openxmlformats.org/officeDocument/2006/relationships/hyperlink" Target="https://www.linkedin.com/learning/leading-productive-one-on-one-meetings?trk=ondemandfile" TargetMode="External"/><Relationship Id="rId427" Type="http://schemas.openxmlformats.org/officeDocument/2006/relationships/hyperlink" Target="https://www.linkedin.com/learning/supply-chain-basics-for-everyone-2?trk=contentmappingfile" TargetMode="External"/><Relationship Id="rId469" Type="http://schemas.openxmlformats.org/officeDocument/2006/relationships/hyperlink" Target="https://www.linkedin.com/learning/scrum-the-basics-3?trk=ondemandfile" TargetMode="External"/><Relationship Id="rId26" Type="http://schemas.openxmlformats.org/officeDocument/2006/relationships/hyperlink" Target="https://www.linkedin.com/learning/setting-team-and-employee-goals-3?trk=ondemandfile" TargetMode="External"/><Relationship Id="rId231" Type="http://schemas.openxmlformats.org/officeDocument/2006/relationships/hyperlink" Target="https://www.linkedin.com/learning/building-self-confidence?trk=ondemandfile" TargetMode="External"/><Relationship Id="rId273" Type="http://schemas.openxmlformats.org/officeDocument/2006/relationships/hyperlink" Target="https://www.linkedin.com/learning/learning-data-analytics-4?trk=ondemandfile" TargetMode="External"/><Relationship Id="rId329" Type="http://schemas.openxmlformats.org/officeDocument/2006/relationships/hyperlink" Target="https://www.linkedin.com/learning/risk-taking-for-leaders-2?trk=ondemandfile" TargetMode="External"/><Relationship Id="rId480" Type="http://schemas.openxmlformats.org/officeDocument/2006/relationships/hyperlink" Target="https://www.linkedin.com/learning/managing-international-projects?trk=ondemandfile" TargetMode="External"/><Relationship Id="rId536" Type="http://schemas.openxmlformats.org/officeDocument/2006/relationships/hyperlink" Target="https://www.linkedin.com/learning/delegating-tasks-to-your-team-2?trk=ondemandfile" TargetMode="External"/><Relationship Id="rId68" Type="http://schemas.openxmlformats.org/officeDocument/2006/relationships/hyperlink" Target="https://www.linkedin.com/learning/paths/90c69069-2437-32f7-a15c-be75af1531ab?trk=ondemandfile" TargetMode="External"/><Relationship Id="rId133" Type="http://schemas.openxmlformats.org/officeDocument/2006/relationships/hyperlink" Target="https://www.linkedin.com/learning/measuring-team-performance-5?trk=ondemandfile" TargetMode="External"/><Relationship Id="rId175" Type="http://schemas.openxmlformats.org/officeDocument/2006/relationships/hyperlink" Target="https://www.linkedin.com/learning/body-language-for-leaders?trk=ondemandfile" TargetMode="External"/><Relationship Id="rId340" Type="http://schemas.openxmlformats.org/officeDocument/2006/relationships/hyperlink" Target="https://www.linkedin.com/learning/creating-the-conditions-for-others-to-thrive-9615462?trk=contentmappingfile" TargetMode="External"/><Relationship Id="rId578" Type="http://schemas.openxmlformats.org/officeDocument/2006/relationships/hyperlink" Target="https://www.linkedin.com/learning/coaching-and-developing-employees-3?trk=ondemandfile" TargetMode="External"/><Relationship Id="rId200" Type="http://schemas.openxmlformats.org/officeDocument/2006/relationships/hyperlink" Target="https://www.linkedin.com/learning/project-management-foundations-teams-2?trk=ondemandfile" TargetMode="External"/><Relationship Id="rId382" Type="http://schemas.openxmlformats.org/officeDocument/2006/relationships/hyperlink" Target="https://www.linkedin.com/learning/paths/90c69069-2437-32f7-a15c-be75af1531ab?trk=ondemandfile" TargetMode="External"/><Relationship Id="rId438" Type="http://schemas.openxmlformats.org/officeDocument/2006/relationships/hyperlink" Target="https://www.linkedin.com/learning/agile-at-work-building-your-agile-team-3?trk=ondemandfile" TargetMode="External"/><Relationship Id="rId242" Type="http://schemas.openxmlformats.org/officeDocument/2006/relationships/hyperlink" Target="https://www.linkedin.com/learning/problem-solving-techniques-2?trk=ondemandfile" TargetMode="External"/><Relationship Id="rId284" Type="http://schemas.openxmlformats.org/officeDocument/2006/relationships/hyperlink" Target="https://www.linkedin.com/learning/corporate-financial-statement-analysis-3?trk=ondemandfile" TargetMode="External"/><Relationship Id="rId491" Type="http://schemas.openxmlformats.org/officeDocument/2006/relationships/hyperlink" Target="https://www.linkedin.com/learning/project-management-foundations-quality-2?trk=ondemandfile" TargetMode="External"/><Relationship Id="rId505" Type="http://schemas.openxmlformats.org/officeDocument/2006/relationships/hyperlink" Target="https://www.linkedin.com/learning/persuasive-selling-3?trk=ondemandfile" TargetMode="External"/><Relationship Id="rId37" Type="http://schemas.openxmlformats.org/officeDocument/2006/relationships/hyperlink" Target="https://www.linkedin.com/learning/performing-under-pressure-3?trk=ondemandfile" TargetMode="External"/><Relationship Id="rId79" Type="http://schemas.openxmlformats.org/officeDocument/2006/relationships/hyperlink" Target="https://www.linkedin.com/learning/communication-within-teams-3?trk=ondemandfile" TargetMode="External"/><Relationship Id="rId102" Type="http://schemas.openxmlformats.org/officeDocument/2006/relationships/hyperlink" Target="https://www.linkedin.com/learning/leading-and-working-in-teams-3?trk=ondemandfile" TargetMode="External"/><Relationship Id="rId144" Type="http://schemas.openxmlformats.org/officeDocument/2006/relationships/hyperlink" Target="https://www.linkedin.com/learning/agreements-for-success-in-global-projects-2?trk=ondemandfile" TargetMode="External"/><Relationship Id="rId547" Type="http://schemas.openxmlformats.org/officeDocument/2006/relationships/hyperlink" Target="https://www.linkedin.com/learning/managing-high-potentials-3?trk=ondemandfile" TargetMode="External"/><Relationship Id="rId589" Type="http://schemas.openxmlformats.org/officeDocument/2006/relationships/hyperlink" Target="https://www.linkedin.com/learning/unconscious-bias-4?trk=ondemandfile" TargetMode="External"/><Relationship Id="rId90" Type="http://schemas.openxmlformats.org/officeDocument/2006/relationships/hyperlink" Target="https://www.linkedin.com/learning/managing-employee-performance-problems-5?trk=ondemandfile" TargetMode="External"/><Relationship Id="rId186" Type="http://schemas.openxmlformats.org/officeDocument/2006/relationships/hyperlink" Target="https://www.linkedin.com/learning/9b4bd443-b907-3050-9476-0ec0b08dfda8?trk=ondemandfile" TargetMode="External"/><Relationship Id="rId351" Type="http://schemas.openxmlformats.org/officeDocument/2006/relationships/hyperlink" Target="https://www.linkedin.com/learning/developing-your-leadership-philosophy-3?trk=ondemandfile" TargetMode="External"/><Relationship Id="rId393" Type="http://schemas.openxmlformats.org/officeDocument/2006/relationships/hyperlink" Target="https://www.linkedin.com/learning/building-high-performance-teams-4?trk=ondemandfile" TargetMode="External"/><Relationship Id="rId407" Type="http://schemas.openxmlformats.org/officeDocument/2006/relationships/hyperlink" Target="https://www.linkedin.com/learning/management-foundations-2?trk=ondemandfile" TargetMode="External"/><Relationship Id="rId449" Type="http://schemas.openxmlformats.org/officeDocument/2006/relationships/hyperlink" Target="https://www.linkedin.com/learning/operations-management-foundations-4?trk=ondemandfile" TargetMode="External"/><Relationship Id="rId211" Type="http://schemas.openxmlformats.org/officeDocument/2006/relationships/hyperlink" Target="https://www.linkedin.com/learning/managing-for-better-ideas-14547440?trk=contentmappingfile" TargetMode="External"/><Relationship Id="rId253" Type="http://schemas.openxmlformats.org/officeDocument/2006/relationships/hyperlink" Target="https://www.linkedin.com/learning/building-customer-loyalty?trk=ondemandfile" TargetMode="External"/><Relationship Id="rId295" Type="http://schemas.openxmlformats.org/officeDocument/2006/relationships/hyperlink" Target="https://www.linkedin.com/learning/paths/90c69069-2437-32f7-a15c-be75af1531ab?trk=ondemandfile" TargetMode="External"/><Relationship Id="rId309" Type="http://schemas.openxmlformats.org/officeDocument/2006/relationships/hyperlink" Target="https://www.linkedin.com/learning/hiring-and-developing-your-future-workforce-2?trk=ondemandfile" TargetMode="External"/><Relationship Id="rId460" Type="http://schemas.openxmlformats.org/officeDocument/2006/relationships/hyperlink" Target="https://www.linkedin.com/learning/agile-at-work-driving-productive-agile-meetings-3?trk=ondemandfile" TargetMode="External"/><Relationship Id="rId516" Type="http://schemas.openxmlformats.org/officeDocument/2006/relationships/hyperlink" Target="https://www.linkedin.com/learning/developing-a-learning-mindset-3?trk=ondemandfile" TargetMode="External"/><Relationship Id="rId48" Type="http://schemas.openxmlformats.org/officeDocument/2006/relationships/hyperlink" Target="https://www.linkedin.com/learning/learning-agility-2?trk=ondemandfile" TargetMode="External"/><Relationship Id="rId113" Type="http://schemas.openxmlformats.org/officeDocument/2006/relationships/hyperlink" Target="https://www.linkedin.com/learning/giving-and-receiving-feedback-4?trk=ondemandfile" TargetMode="External"/><Relationship Id="rId320" Type="http://schemas.openxmlformats.org/officeDocument/2006/relationships/hyperlink" Target="https://www.linkedin.com/learning/women-transforming-tech-breaking-bias?trk=ondemandfile" TargetMode="External"/><Relationship Id="rId558" Type="http://schemas.openxmlformats.org/officeDocument/2006/relationships/hyperlink" Target="https://www.linkedin.com/learning/creating-a-high-performance-culture-4?trk=ondemandfile" TargetMode="External"/><Relationship Id="rId155" Type="http://schemas.openxmlformats.org/officeDocument/2006/relationships/hyperlink" Target="https://www.linkedin.com/learning/learning-to-be-assertive-3?trk=ondemandfile" TargetMode="External"/><Relationship Id="rId197" Type="http://schemas.openxmlformats.org/officeDocument/2006/relationships/hyperlink" Target="https://www.linkedin.com/learning/negotiation-foundations-2?trk=ondemandfile" TargetMode="External"/><Relationship Id="rId362" Type="http://schemas.openxmlformats.org/officeDocument/2006/relationships/hyperlink" Target="https://www.linkedin.com/learning/0205c79a-985b-337b-8a72-81f0f9bde52b?trk=ondemandfile" TargetMode="External"/><Relationship Id="rId418" Type="http://schemas.openxmlformats.org/officeDocument/2006/relationships/hyperlink" Target="https://www.linkedin.com/learning/coaching-and-developing-employees-3?trk=ondemandfile" TargetMode="External"/><Relationship Id="rId222" Type="http://schemas.openxmlformats.org/officeDocument/2006/relationships/hyperlink" Target="https://www.linkedin.com/learning/paths/5e7d3101-368f-3335-9206-178f9e406630?trk=ondemandfile" TargetMode="External"/><Relationship Id="rId264" Type="http://schemas.openxmlformats.org/officeDocument/2006/relationships/hyperlink" Target="https://www.linkedin.com/learning/excel-2016-managing-and-analyzing-data-2?trk=ondemandfile" TargetMode="External"/><Relationship Id="rId471" Type="http://schemas.openxmlformats.org/officeDocument/2006/relationships/hyperlink" Target="https://www.linkedin.com/learning/scrum-advanced-4?trk=ondemandfile" TargetMode="External"/><Relationship Id="rId17" Type="http://schemas.openxmlformats.org/officeDocument/2006/relationships/hyperlink" Target="https://www.linkedin.com/learning/building-high-performance-teams-4?trk=ondemandfile" TargetMode="External"/><Relationship Id="rId59" Type="http://schemas.openxmlformats.org/officeDocument/2006/relationships/hyperlink" Target="https://www.linkedin.com/learning/managing-depression-in-the-workplace-2?trk=ondemandfile" TargetMode="External"/><Relationship Id="rId124" Type="http://schemas.openxmlformats.org/officeDocument/2006/relationships/hyperlink" Target="https://www.linkedin.com/learning/learning-to-be-assertive-3?trk=ondemandfile" TargetMode="External"/><Relationship Id="rId527" Type="http://schemas.openxmlformats.org/officeDocument/2006/relationships/hyperlink" Target="https://www.linkedin.com/learning/risk-taking-for-leaders-2?trk=ondemandfile" TargetMode="External"/><Relationship Id="rId569" Type="http://schemas.openxmlformats.org/officeDocument/2006/relationships/hyperlink" Target="https://www.linkedin.com/learning/managing-a-diverse-team-2?trk=ondemandfile" TargetMode="External"/><Relationship Id="rId70" Type="http://schemas.openxmlformats.org/officeDocument/2006/relationships/hyperlink" Target="https://www.linkedin.com/learning/characteristics-of-a-great-scrum-master-3?trk=ondemandfile" TargetMode="External"/><Relationship Id="rId166" Type="http://schemas.openxmlformats.org/officeDocument/2006/relationships/hyperlink" Target="https://www.linkedin.com/learning/pitching-your-ideas-strategically-17477395?trk=contentmappingfile" TargetMode="External"/><Relationship Id="rId331" Type="http://schemas.openxmlformats.org/officeDocument/2006/relationships/hyperlink" Target="https://www.linkedin.com/learning/leading-virtual-meetings-9615175?trk=contentmappingfile" TargetMode="External"/><Relationship Id="rId373" Type="http://schemas.openxmlformats.org/officeDocument/2006/relationships/hyperlink" Target="https://www.linkedin.com/learning/leading-with-emotional-intelligence-2?trk=ondemandfile" TargetMode="External"/><Relationship Id="rId429" Type="http://schemas.openxmlformats.org/officeDocument/2006/relationships/hyperlink" Target="https://www.linkedin.com/learning/six-sigma-foundations-2?trk=ondemandfile" TargetMode="External"/><Relationship Id="rId580" Type="http://schemas.openxmlformats.org/officeDocument/2006/relationships/hyperlink" Target="https://www.linkedin.com/learning/diversity-inclusion-and-belonging?trk=ondemandfile" TargetMode="External"/><Relationship Id="rId1" Type="http://schemas.openxmlformats.org/officeDocument/2006/relationships/hyperlink" Target="https://www.linkedin.com/learning/managing-for-results-2?trk=ondemandfile" TargetMode="External"/><Relationship Id="rId233" Type="http://schemas.openxmlformats.org/officeDocument/2006/relationships/hyperlink" Target="https://www.linkedin.com/learning/strategic-thinking-4?trk=ondemandfile" TargetMode="External"/><Relationship Id="rId440" Type="http://schemas.openxmlformats.org/officeDocument/2006/relationships/hyperlink" Target="https://www.linkedin.com/learning/agile-at-work-planning-with-agile-user-stories-3?trk=ondemandfile" TargetMode="External"/><Relationship Id="rId28" Type="http://schemas.openxmlformats.org/officeDocument/2006/relationships/hyperlink" Target="https://www.linkedin.com/learning/success-habits-2?trk=ondemandfile" TargetMode="External"/><Relationship Id="rId275" Type="http://schemas.openxmlformats.org/officeDocument/2006/relationships/hyperlink" Target="https://www.linkedin.com/learning/learning-data-science-understanding-the-basics-3?trk=ondemandfile" TargetMode="External"/><Relationship Id="rId300" Type="http://schemas.openxmlformats.org/officeDocument/2006/relationships/hyperlink" Target="https://www.linkedin.com/learning/cultivating-cultural-competence-and-inclusion-9619710?trk=contentmappingfile" TargetMode="External"/><Relationship Id="rId482" Type="http://schemas.openxmlformats.org/officeDocument/2006/relationships/hyperlink" Target="https://www.linkedin.com/learning/project-management-foundations-3?trk=ondemandfile" TargetMode="External"/><Relationship Id="rId538" Type="http://schemas.openxmlformats.org/officeDocument/2006/relationships/hyperlink" Target="https://www.linkedin.com/learning/performance-based-hiring-2?trk=ondemandfile" TargetMode="External"/><Relationship Id="rId81" Type="http://schemas.openxmlformats.org/officeDocument/2006/relationships/hyperlink" Target="https://www.linkedin.com/learning/supporting-a-grieving-employee-a-manager-s-guide-3?trk=contentmappingfile" TargetMode="External"/><Relationship Id="rId135" Type="http://schemas.openxmlformats.org/officeDocument/2006/relationships/hyperlink" Target="https://www.linkedin.com/learning/779ed34b-4bd3-393b-bda7-0163601fbcc8?trk=ondemandfile" TargetMode="External"/><Relationship Id="rId177" Type="http://schemas.openxmlformats.org/officeDocument/2006/relationships/hyperlink" Target="https://www.linkedin.com/learning/leading-with-emotional-intelligence-2?trk=ondemandfile" TargetMode="External"/><Relationship Id="rId342" Type="http://schemas.openxmlformats.org/officeDocument/2006/relationships/hyperlink" Target="https://www.linkedin.com/learning/cultivating-a-growth-mindset-3?trk=ondemandfile" TargetMode="External"/><Relationship Id="rId384" Type="http://schemas.openxmlformats.org/officeDocument/2006/relationships/hyperlink" Target="https://www.linkedin.com/learning/paths/a0eb3d8c-a473-3d5e-b3a6-750ac02b3b49?trk=ondemandfile" TargetMode="External"/><Relationship Id="rId591" Type="http://schemas.openxmlformats.org/officeDocument/2006/relationships/hyperlink" Target="https://www.linkedin.com/learning/managing-a-diverse-team-2?trk=ondemandfile" TargetMode="External"/><Relationship Id="rId202" Type="http://schemas.openxmlformats.org/officeDocument/2006/relationships/hyperlink" Target="https://www.linkedin.com/learning/business-innovation-foundations-3?trk=ondemandfile" TargetMode="External"/><Relationship Id="rId244" Type="http://schemas.openxmlformats.org/officeDocument/2006/relationships/hyperlink" Target="https://www.linkedin.com/learning/executive-decision-making-3?trk=ondemandfile" TargetMode="External"/><Relationship Id="rId39" Type="http://schemas.openxmlformats.org/officeDocument/2006/relationships/hyperlink" Target="https://www.linkedin.com/learning/managing-stress-for-positive-change-3?trk=ondemandfile" TargetMode="External"/><Relationship Id="rId286" Type="http://schemas.openxmlformats.org/officeDocument/2006/relationships/hyperlink" Target="https://www.linkedin.com/learning/agile-foundations-2?trk=ondemandfile" TargetMode="External"/><Relationship Id="rId451" Type="http://schemas.openxmlformats.org/officeDocument/2006/relationships/hyperlink" Target="https://www.linkedin.com/learning/4af0b126-85d8-32a0-9225-43a79661e3a8?trk=ondemandfile" TargetMode="External"/><Relationship Id="rId493" Type="http://schemas.openxmlformats.org/officeDocument/2006/relationships/hyperlink" Target="https://www.linkedin.com/learning/project-management-foundations-budgets-2?trk=ondemandfile" TargetMode="External"/><Relationship Id="rId507" Type="http://schemas.openxmlformats.org/officeDocument/2006/relationships/hyperlink" Target="https://www.linkedin.com/learning/sales-foundations-2?trk=ondemandfile" TargetMode="External"/><Relationship Id="rId549" Type="http://schemas.openxmlformats.org/officeDocument/2006/relationships/hyperlink" Target="https://www.linkedin.com/learning/setting-team-and-employee-goals-3?trk=ondemandfile" TargetMode="External"/><Relationship Id="rId50" Type="http://schemas.openxmlformats.org/officeDocument/2006/relationships/hyperlink" Target="https://www.linkedin.com/learning/leading-change-2?trk=ondemandfile" TargetMode="External"/><Relationship Id="rId104" Type="http://schemas.openxmlformats.org/officeDocument/2006/relationships/hyperlink" Target="https://www.linkedin.com/learning/motivating-your-team-to-learn-2?trk=ondemandfile" TargetMode="External"/><Relationship Id="rId146" Type="http://schemas.openxmlformats.org/officeDocument/2006/relationships/hyperlink" Target="https://www.linkedin.com/learning/communicating-in-times-of-change-3?trk=ondemandfile" TargetMode="External"/><Relationship Id="rId188" Type="http://schemas.openxmlformats.org/officeDocument/2006/relationships/hyperlink" Target="https://www.linkedin.com/learning/4bddab10-145f-3bdb-9cc3-b64313f38564?trk=ondemandfile" TargetMode="External"/><Relationship Id="rId311" Type="http://schemas.openxmlformats.org/officeDocument/2006/relationships/hyperlink" Target="https://www.linkedin.com/learning/coaching-skills-for-leaders-and-managers-5?trk=ondemandfile" TargetMode="External"/><Relationship Id="rId353" Type="http://schemas.openxmlformats.org/officeDocument/2006/relationships/hyperlink" Target="https://www.linkedin.com/learning/becoming-a-thought-leader?trk=ondemandfile" TargetMode="External"/><Relationship Id="rId395" Type="http://schemas.openxmlformats.org/officeDocument/2006/relationships/hyperlink" Target="https://www.linkedin.com/learning/84777a9a-010b-3e75-8b28-27d3706e8c9a?trk=ondemandfile" TargetMode="External"/><Relationship Id="rId409" Type="http://schemas.openxmlformats.org/officeDocument/2006/relationships/hyperlink" Target="https://www.linkedin.com/learning/managing-new-managers-4?trk=ondemandfile" TargetMode="External"/><Relationship Id="rId560" Type="http://schemas.openxmlformats.org/officeDocument/2006/relationships/hyperlink" Target="https://www.linkedin.com/learning/hiring-an-employee-for-managers-2?trk=ondemandfile" TargetMode="External"/><Relationship Id="rId92" Type="http://schemas.openxmlformats.org/officeDocument/2006/relationships/hyperlink" Target="https://www.linkedin.com/learning/managing-a-diverse-team-2?trk=ondemandfile" TargetMode="External"/><Relationship Id="rId213" Type="http://schemas.openxmlformats.org/officeDocument/2006/relationships/hyperlink" Target="https://www.linkedin.com/learning/using-questions-to-foster-critical-thinking-and-curiosity-2?trk=ondemandfile" TargetMode="External"/><Relationship Id="rId420" Type="http://schemas.openxmlformats.org/officeDocument/2006/relationships/hyperlink" Target="https://www.linkedin.com/learning/executive-leadership-4?trk=ondemandfile" TargetMode="External"/><Relationship Id="rId255" Type="http://schemas.openxmlformats.org/officeDocument/2006/relationships/hyperlink" Target="https://www.linkedin.com/learning/phone-based-customer-service-3?trk=ondemandfile" TargetMode="External"/><Relationship Id="rId297" Type="http://schemas.openxmlformats.org/officeDocument/2006/relationships/hyperlink" Target="https://www.linkedin.com/learning/paths/65b9245d-75e9-323d-a736-70d3af14ddd1?trk=ondemandfile" TargetMode="External"/><Relationship Id="rId462" Type="http://schemas.openxmlformats.org/officeDocument/2006/relationships/hyperlink" Target="https://www.linkedin.com/learning/data-visualization-storytelling-2?trk=ondemandfile" TargetMode="External"/><Relationship Id="rId518" Type="http://schemas.openxmlformats.org/officeDocument/2006/relationships/hyperlink" Target="https://www.linkedin.com/learning/developing-executive-presence-2?trk=ondemandfile" TargetMode="External"/><Relationship Id="rId115" Type="http://schemas.openxmlformats.org/officeDocument/2006/relationships/hyperlink" Target="https://www.linkedin.com/learning/98373539-7768-37d9-bfa1-0425382fc5b8?trk=ondemandfile" TargetMode="External"/><Relationship Id="rId157" Type="http://schemas.openxmlformats.org/officeDocument/2006/relationships/hyperlink" Target="https://www.linkedin.com/learning/building-self-confidence?trk=ondemandfile" TargetMode="External"/><Relationship Id="rId322" Type="http://schemas.openxmlformats.org/officeDocument/2006/relationships/hyperlink" Target="https://www.linkedin.com/learning/strategic-agility-3?trk=ondemandfile" TargetMode="External"/><Relationship Id="rId364" Type="http://schemas.openxmlformats.org/officeDocument/2006/relationships/hyperlink" Target="https://www.linkedin.com/learning/executive-presence-on-video-conference-calls-17489051?trk=contentmappingfile" TargetMode="External"/><Relationship Id="rId61" Type="http://schemas.openxmlformats.org/officeDocument/2006/relationships/hyperlink" Target="https://www.linkedin.com/learning/designing-growth-strategies-2?trk=ondemandfile" TargetMode="External"/><Relationship Id="rId199" Type="http://schemas.openxmlformats.org/officeDocument/2006/relationships/hyperlink" Target="https://www.linkedin.com/learning/project-management-solving-common-project-problems-3?trk=ondemandfile" TargetMode="External"/><Relationship Id="rId571" Type="http://schemas.openxmlformats.org/officeDocument/2006/relationships/hyperlink" Target="https://www.linkedin.com/learning/managing-virtual-teams-3?trk=ondemandfile" TargetMode="External"/><Relationship Id="rId19" Type="http://schemas.openxmlformats.org/officeDocument/2006/relationships/hyperlink" Target="https://www.linkedin.com/learning/improving-your-judgment-2?trk=ondemandfile" TargetMode="External"/><Relationship Id="rId224" Type="http://schemas.openxmlformats.org/officeDocument/2006/relationships/hyperlink" Target="https://www.linkedin.com/learning/paths/87c473ed-01ce-32f8-90ac-61be15e449c9?trk=ondemandfile" TargetMode="External"/><Relationship Id="rId266" Type="http://schemas.openxmlformats.org/officeDocument/2006/relationships/hyperlink" Target="https://www.linkedin.com/learning/power-bi-data-modeling-with-dax-16451361?trk=contentmappingfile" TargetMode="External"/><Relationship Id="rId431" Type="http://schemas.openxmlformats.org/officeDocument/2006/relationships/hyperlink" Target="https://www.linkedin.com/learning/six-sigma-black-belt-5?trk=ondemandfile" TargetMode="External"/><Relationship Id="rId473" Type="http://schemas.openxmlformats.org/officeDocument/2006/relationships/hyperlink" Target="https://www.linkedin.com/learning/agreements-for-success-in-global-projects-2?trk=ondemandfile" TargetMode="External"/><Relationship Id="rId529" Type="http://schemas.openxmlformats.org/officeDocument/2006/relationships/hyperlink" Target="https://www.linkedin.com/learning/executive-leadership-4?trk=ondemandfile" TargetMode="External"/><Relationship Id="rId30" Type="http://schemas.openxmlformats.org/officeDocument/2006/relationships/hyperlink" Target="https://www.linkedin.com/learning/leading-productive-meetings-4?trk=ondemandfile" TargetMode="External"/><Relationship Id="rId126" Type="http://schemas.openxmlformats.org/officeDocument/2006/relationships/hyperlink" Target="https://www.linkedin.com/learning/becoming-a-thought-leader?trk=ondemandfile" TargetMode="External"/><Relationship Id="rId168" Type="http://schemas.openxmlformats.org/officeDocument/2006/relationships/hyperlink" Target="https://www.linkedin.com/learning/selling-with-stories-part-2-stories-great-sales-people-tell-2?trk=ondemandfile" TargetMode="External"/><Relationship Id="rId333" Type="http://schemas.openxmlformats.org/officeDocument/2006/relationships/hyperlink" Target="https://www.linkedin.com/learning/transition-from-manager-to-leader-3?trk=ondemandfile" TargetMode="External"/><Relationship Id="rId540" Type="http://schemas.openxmlformats.org/officeDocument/2006/relationships/hyperlink" Target="https://www.linkedin.com/learning/building-your-team-4?trk=ondemandfile" TargetMode="External"/><Relationship Id="rId72" Type="http://schemas.openxmlformats.org/officeDocument/2006/relationships/hyperlink" Target="https://www.linkedin.com/learning/finding-and-retaining-high-potentials-2?trk=ondemandfile" TargetMode="External"/><Relationship Id="rId375" Type="http://schemas.openxmlformats.org/officeDocument/2006/relationships/hyperlink" Target="https://www.linkedin.com/learning/delivering-employee-feedback-3?trk=ondemandfile" TargetMode="External"/><Relationship Id="rId582" Type="http://schemas.openxmlformats.org/officeDocument/2006/relationships/hyperlink" Target="https://www.linkedin.com/learning/diversity-and-inclusion-in-a-global-enterprise-2?trk=ondemandfile" TargetMode="External"/><Relationship Id="rId3" Type="http://schemas.openxmlformats.org/officeDocument/2006/relationships/hyperlink" Target="https://www.linkedin.com/learning/creating-a-high-performance-culture-4?trk=ondemandfile" TargetMode="External"/><Relationship Id="rId235" Type="http://schemas.openxmlformats.org/officeDocument/2006/relationships/hyperlink" Target="https://www.linkedin.com/learning/critical-thinking-for-better-judgment-and-decision-making-2?trk=ondemandfile" TargetMode="External"/><Relationship Id="rId277" Type="http://schemas.openxmlformats.org/officeDocument/2006/relationships/hyperlink" Target="https://www.linkedin.com/learning/data-visualization-storytelling-2?trk=ondemandfile" TargetMode="External"/><Relationship Id="rId400" Type="http://schemas.openxmlformats.org/officeDocument/2006/relationships/hyperlink" Target="https://www.linkedin.com/learning/unlock-your-team-s-creativity-2?trk=ondemandfile" TargetMode="External"/><Relationship Id="rId442" Type="http://schemas.openxmlformats.org/officeDocument/2006/relationships/hyperlink" Target="https://www.linkedin.com/learning/productivity-tips-finding-your-productive-mindset-2?trk=contentmappingfile" TargetMode="External"/><Relationship Id="rId484" Type="http://schemas.openxmlformats.org/officeDocument/2006/relationships/hyperlink" Target="https://www.linkedin.com/learning/project-management-foundations-change-2?trk=ondemandfile" TargetMode="External"/><Relationship Id="rId137" Type="http://schemas.openxmlformats.org/officeDocument/2006/relationships/hyperlink" Target="https://www.linkedin.com/learning/leading-with-emotional-intelligence-2?trk=ondemandfile" TargetMode="External"/><Relationship Id="rId302" Type="http://schemas.openxmlformats.org/officeDocument/2006/relationships/hyperlink" Target="https://www.linkedin.com/learning/84777a9a-010b-3e75-8b28-27d3706e8c9a?trk=ondemandfile" TargetMode="External"/><Relationship Id="rId344" Type="http://schemas.openxmlformats.org/officeDocument/2006/relationships/hyperlink" Target="https://www.linkedin.com/learning/leadership-strategies-for-women-2?trk=ondemandfile" TargetMode="External"/><Relationship Id="rId41" Type="http://schemas.openxmlformats.org/officeDocument/2006/relationships/hyperlink" Target="https://www.linkedin.com/learning/communicating-in-times-of-change-3?trk=ondemandfile" TargetMode="External"/><Relationship Id="rId83" Type="http://schemas.openxmlformats.org/officeDocument/2006/relationships/hyperlink" Target="https://www.linkedin.com/learning/building-your-team-4?trk=ondemandfile" TargetMode="External"/><Relationship Id="rId179" Type="http://schemas.openxmlformats.org/officeDocument/2006/relationships/hyperlink" Target="https://www.linkedin.com/learning/paths/5e7d3101-368f-3335-9206-178f9e406630?trk=ondemandfile" TargetMode="External"/><Relationship Id="rId386" Type="http://schemas.openxmlformats.org/officeDocument/2006/relationships/hyperlink" Target="https://www.linkedin.com/learning/98373539-7768-37d9-bfa1-0425382fc5b8?trk=ondemandfile" TargetMode="External"/><Relationship Id="rId551" Type="http://schemas.openxmlformats.org/officeDocument/2006/relationships/hyperlink" Target="https://www.linkedin.com/learning/coaching-and-developing-employees-3?trk=ondemandfile" TargetMode="External"/><Relationship Id="rId593" Type="http://schemas.openxmlformats.org/officeDocument/2006/relationships/hyperlink" Target="https://www.linkedin.com/learning/social-interactions-for-multinational-teams-2?trk=ondemandfile" TargetMode="External"/><Relationship Id="rId190" Type="http://schemas.openxmlformats.org/officeDocument/2006/relationships/hyperlink" Target="https://www.linkedin.com/learning/having-difficult-conversations?trk=ondemandfile" TargetMode="External"/><Relationship Id="rId204" Type="http://schemas.openxmlformats.org/officeDocument/2006/relationships/hyperlink" Target="https://www.linkedin.com/learning/digital-marketing-foundations-9601451?trk=contentmappingfile" TargetMode="External"/><Relationship Id="rId246" Type="http://schemas.openxmlformats.org/officeDocument/2006/relationships/hyperlink" Target="https://www.linkedin.com/learning/paths/943761a6-c1c7-382f-b8de-58a257f2baa5?trk=ondemandfile" TargetMode="External"/><Relationship Id="rId288" Type="http://schemas.openxmlformats.org/officeDocument/2006/relationships/hyperlink" Target="https://www.linkedin.com/learning/finance-foundations?trk=ondemandfile" TargetMode="External"/><Relationship Id="rId411" Type="http://schemas.openxmlformats.org/officeDocument/2006/relationships/hyperlink" Target="https://www.linkedin.com/learning/b83c5b95-31a5-31a0-9bbe-8eb3a913b66f?trk=ondemandfile" TargetMode="External"/><Relationship Id="rId453" Type="http://schemas.openxmlformats.org/officeDocument/2006/relationships/hyperlink" Target="https://www.linkedin.com/learning/4af0b126-85d8-32a0-9225-43a79661e3a8-2?trk=ondemandfile" TargetMode="External"/><Relationship Id="rId509" Type="http://schemas.openxmlformats.org/officeDocument/2006/relationships/hyperlink" Target="https://www.linkedin.com/learning/sales-closing-strategies-2?trk=ondemandfile" TargetMode="External"/><Relationship Id="rId106" Type="http://schemas.openxmlformats.org/officeDocument/2006/relationships/hyperlink" Target="https://www.linkedin.com/learning/paths/07304244-eccf-3d14-923a-8ca64b7fb518?trk=ondemandfile" TargetMode="External"/><Relationship Id="rId313" Type="http://schemas.openxmlformats.org/officeDocument/2006/relationships/hyperlink" Target="https://www.linkedin.com/learning/paths/3db8a531-c16b-3623-9891-2cd47ac19f68?trk=ondemandfile" TargetMode="External"/><Relationship Id="rId495" Type="http://schemas.openxmlformats.org/officeDocument/2006/relationships/hyperlink" Target="https://www.linkedin.com/learning/project-management-foundations-risk-2?trk=ondemandfile" TargetMode="External"/><Relationship Id="rId10" Type="http://schemas.openxmlformats.org/officeDocument/2006/relationships/hyperlink" Target="https://www.linkedin.com/learning/developing-resourcefulness-2?trk=ondemandfile" TargetMode="External"/><Relationship Id="rId52" Type="http://schemas.openxmlformats.org/officeDocument/2006/relationships/hyperlink" Target="https://www.linkedin.com/learning/building-creative-organizations-3?trk=ondemandfile" TargetMode="External"/><Relationship Id="rId94" Type="http://schemas.openxmlformats.org/officeDocument/2006/relationships/hyperlink" Target="https://www.linkedin.com/learning/managing-virtual-teams-3?trk=ondemandfile" TargetMode="External"/><Relationship Id="rId148" Type="http://schemas.openxmlformats.org/officeDocument/2006/relationships/hyperlink" Target="https://www.linkedin.com/learning/business-english-mastering-your-online-interview-15813399?trk=contentmappingfile" TargetMode="External"/><Relationship Id="rId355" Type="http://schemas.openxmlformats.org/officeDocument/2006/relationships/hyperlink" Target="https://www.linkedin.com/learning/leading-effectively-3?trk=ondemandfile" TargetMode="External"/><Relationship Id="rId397" Type="http://schemas.openxmlformats.org/officeDocument/2006/relationships/hyperlink" Target="https://www.linkedin.com/learning/onboarding-new-hires-2?trk=contentmappingfile" TargetMode="External"/><Relationship Id="rId520" Type="http://schemas.openxmlformats.org/officeDocument/2006/relationships/hyperlink" Target="https://www.linkedin.com/learning/strategic-agility-3?trk=ondemandfile" TargetMode="External"/><Relationship Id="rId562" Type="http://schemas.openxmlformats.org/officeDocument/2006/relationships/hyperlink" Target="https://www.linkedin.com/learning/performance-based-hiring-2?trk=ondemandfile" TargetMode="External"/><Relationship Id="rId215" Type="http://schemas.openxmlformats.org/officeDocument/2006/relationships/hyperlink" Target="https://www.linkedin.com/learning/breaking-out-of-a-rut-2?trk=ondemandfile" TargetMode="External"/><Relationship Id="rId257" Type="http://schemas.openxmlformats.org/officeDocument/2006/relationships/hyperlink" Target="https://www.linkedin.com/learning/managing-customer-expectations-for-frontline-employees-3?trk=ondemandfile" TargetMode="External"/><Relationship Id="rId422" Type="http://schemas.openxmlformats.org/officeDocument/2006/relationships/hyperlink" Target="https://www.linkedin.com/learning/paths/15e85c29-5b7c-3b12-a882-4bfdeb3c83c7?trk=ondemandfile" TargetMode="External"/><Relationship Id="rId464" Type="http://schemas.openxmlformats.org/officeDocument/2006/relationships/hyperlink" Target="https://www.linkedin.com/learning/creating-and-giving-business-presentations-2?trk=ondemandfile" TargetMode="External"/><Relationship Id="rId299" Type="http://schemas.openxmlformats.org/officeDocument/2006/relationships/hyperlink" Target="https://www.linkedin.com/learning/business-english-mastering-your-online-interview-15813399?trk=contentmappingfile" TargetMode="External"/><Relationship Id="rId63" Type="http://schemas.openxmlformats.org/officeDocument/2006/relationships/hyperlink" Target="https://www.linkedin.com/learning/2-minute-tips-for-senior-leaders-3?trk=ondemandfile" TargetMode="External"/><Relationship Id="rId159" Type="http://schemas.openxmlformats.org/officeDocument/2006/relationships/hyperlink" Target="https://www.linkedin.com/learning/becoming-a-thought-leader?trk=ondemandfile" TargetMode="External"/><Relationship Id="rId366" Type="http://schemas.openxmlformats.org/officeDocument/2006/relationships/hyperlink" Target="https://www.linkedin.com/learning/leadership-foundations-2?trk=ondemandfile" TargetMode="External"/><Relationship Id="rId573" Type="http://schemas.openxmlformats.org/officeDocument/2006/relationships/hyperlink" Target="https://www.linkedin.com/learning/managing-high-potentials-3?trk=ondemandfile" TargetMode="External"/><Relationship Id="rId226" Type="http://schemas.openxmlformats.org/officeDocument/2006/relationships/hyperlink" Target="https://www.linkedin.com/learning/paths/7c8dafed-8f63-35a2-ada2-7dbeaf731ce4?trk=ondemandfile" TargetMode="External"/><Relationship Id="rId433" Type="http://schemas.openxmlformats.org/officeDocument/2006/relationships/hyperlink" Target="https://www.linkedin.com/learning/operational-excellence-work-out-and-kaizen-facilitator-15912440?trk=contentmappingfile" TargetMode="External"/><Relationship Id="rId74" Type="http://schemas.openxmlformats.org/officeDocument/2006/relationships/hyperlink" Target="https://www.linkedin.com/learning/delegating-tasks-to-your-team-2?trk=ondemandfile" TargetMode="External"/><Relationship Id="rId377" Type="http://schemas.openxmlformats.org/officeDocument/2006/relationships/hyperlink" Target="https://www.linkedin.com/learning/transitioning-from-individual-contributor-to-manager-3?trk=ondemandfile" TargetMode="External"/><Relationship Id="rId500" Type="http://schemas.openxmlformats.org/officeDocument/2006/relationships/hyperlink" Target="https://www.linkedin.com/learning/6256e3ef-3b72-3835-b959-5221f45dd589?trk=ondemandfile" TargetMode="External"/><Relationship Id="rId584" Type="http://schemas.openxmlformats.org/officeDocument/2006/relationships/hyperlink" Target="https://www.linkedin.com/learning/skills-for-inclusive-conversations-2?trk=ondemandfile" TargetMode="External"/><Relationship Id="rId5" Type="http://schemas.openxmlformats.org/officeDocument/2006/relationships/hyperlink" Target="https://www.linkedin.com/learning/holding-yourself-accountable-2?trk=ondemandfile" TargetMode="External"/><Relationship Id="rId237" Type="http://schemas.openxmlformats.org/officeDocument/2006/relationships/hyperlink" Target="https://www.linkedin.com/learning/improving-your-judgment-2?trk=ondemandfile" TargetMode="External"/><Relationship Id="rId444" Type="http://schemas.openxmlformats.org/officeDocument/2006/relationships/hyperlink" Target="https://www.linkedin.com/learning/lean-six-sigma-foundations-4?trk=ondemandfile" TargetMode="External"/><Relationship Id="rId290" Type="http://schemas.openxmlformats.org/officeDocument/2006/relationships/hyperlink" Target="https://www.linkedin.com/learning/virtual-interviewing-for-hr-3?trk=ondemandfile" TargetMode="External"/><Relationship Id="rId304" Type="http://schemas.openxmlformats.org/officeDocument/2006/relationships/hyperlink" Target="https://www.linkedin.com/learning/just-ask-developing-a-career-in-project-management?trk=contentmappingfile" TargetMode="External"/><Relationship Id="rId388" Type="http://schemas.openxmlformats.org/officeDocument/2006/relationships/hyperlink" Target="https://www.linkedin.com/learning/delegating-tasks-to-your-team-2?trk=ondemandfile" TargetMode="External"/><Relationship Id="rId511" Type="http://schemas.openxmlformats.org/officeDocument/2006/relationships/hyperlink" Target="https://www.linkedin.com/learning/sales-coaching-2?trk=ondemandfile" TargetMode="External"/><Relationship Id="rId85" Type="http://schemas.openxmlformats.org/officeDocument/2006/relationships/hyperlink" Target="https://www.linkedin.com/learning/84777a9a-010b-3e75-8b28-27d3706e8c9a?trk=ondemandfile" TargetMode="External"/><Relationship Id="rId150" Type="http://schemas.openxmlformats.org/officeDocument/2006/relationships/hyperlink" Target="https://www.linkedin.com/learning/communication-within-teams-3?trk=ondemandfile" TargetMode="External"/><Relationship Id="rId595" Type="http://schemas.openxmlformats.org/officeDocument/2006/relationships/hyperlink" Target="https://www.linkedin.com/learning/leading-with-emotional-intelligence-2?trk=ondemandfile" TargetMode="External"/><Relationship Id="rId248" Type="http://schemas.openxmlformats.org/officeDocument/2006/relationships/hyperlink" Target="https://www.linkedin.com/learning/delivering-bad-news-to-a-customer-2?trk=ondemandfile" TargetMode="External"/><Relationship Id="rId455" Type="http://schemas.openxmlformats.org/officeDocument/2006/relationships/hyperlink" Target="https://www.linkedin.com/learning/powerpoint-essential-training-office-365-microsoft-365-2?trk=contentmappingfile" TargetMode="External"/><Relationship Id="rId12" Type="http://schemas.openxmlformats.org/officeDocument/2006/relationships/hyperlink" Target="https://www.linkedin.com/learning/learning-agility-2?trk=ondemandfile" TargetMode="External"/><Relationship Id="rId108" Type="http://schemas.openxmlformats.org/officeDocument/2006/relationships/hyperlink" Target="https://www.linkedin.com/learning/paths/6844219d-129d-3432-be7a-4c32e6eaf336?trk=ondemandfile" TargetMode="External"/><Relationship Id="rId315" Type="http://schemas.openxmlformats.org/officeDocument/2006/relationships/hyperlink" Target="https://www.linkedin.com/learning/paths/34149b5d-1fd7-337a-8fd6-c725fdd05bf9?trk=ondemandfile" TargetMode="External"/><Relationship Id="rId522" Type="http://schemas.openxmlformats.org/officeDocument/2006/relationships/hyperlink" Target="https://www.linkedin.com/learning/creating-a-culture-of-learning?trk=ondemandfile" TargetMode="External"/><Relationship Id="rId96" Type="http://schemas.openxmlformats.org/officeDocument/2006/relationships/hyperlink" Target="https://www.linkedin.com/learning/managing-high-performers-3?trk=ondemandfile" TargetMode="External"/><Relationship Id="rId161" Type="http://schemas.openxmlformats.org/officeDocument/2006/relationships/hyperlink" Target="https://www.linkedin.com/learning/50f9d422-7963-3225-82ac-1304ac6d7671?trk=ondemandfile" TargetMode="External"/><Relationship Id="rId399" Type="http://schemas.openxmlformats.org/officeDocument/2006/relationships/hyperlink" Target="https://www.linkedin.com/learning/time-management-fundamentals-3?trk=ondemandfile" TargetMode="External"/><Relationship Id="rId259" Type="http://schemas.openxmlformats.org/officeDocument/2006/relationships/hyperlink" Target="https://www.linkedin.com/learning/solution-selling?trk=ondemandfile" TargetMode="External"/><Relationship Id="rId466" Type="http://schemas.openxmlformats.org/officeDocument/2006/relationships/hyperlink" Target="https://www.linkedin.com/learning/executive-presence-on-video-conference-calls-17489051?trk=contentmappingfile" TargetMode="External"/><Relationship Id="rId23" Type="http://schemas.openxmlformats.org/officeDocument/2006/relationships/hyperlink" Target="https://www.linkedin.com/learning/coaching-for-results-4?trk=ondemandfile" TargetMode="External"/><Relationship Id="rId119" Type="http://schemas.openxmlformats.org/officeDocument/2006/relationships/hyperlink" Target="https://www.linkedin.com/learning/managing-for-better-ideas-14547440?trk=contentmappingfile" TargetMode="External"/><Relationship Id="rId326" Type="http://schemas.openxmlformats.org/officeDocument/2006/relationships/hyperlink" Target="https://www.linkedin.com/learning/unlock-your-team-s-creativity-2?trk=ondemandfile" TargetMode="External"/><Relationship Id="rId533" Type="http://schemas.openxmlformats.org/officeDocument/2006/relationships/hyperlink" Target="https://www.linkedin.com/learning/paths/2d050229-0442-3320-8921-9151a1345b8e?trk=ondemandfile" TargetMode="External"/><Relationship Id="rId172" Type="http://schemas.openxmlformats.org/officeDocument/2006/relationships/hyperlink" Target="https://www.linkedin.com/learning/social-interactions-for-multinational-teams-2?trk=ondemandfile" TargetMode="External"/><Relationship Id="rId477" Type="http://schemas.openxmlformats.org/officeDocument/2006/relationships/hyperlink" Target="https://www.linkedin.com/learning/agile-project-management-foundations-3?trk=ondemandfile" TargetMode="External"/><Relationship Id="rId600" Type="http://schemas.openxmlformats.org/officeDocument/2006/relationships/hyperlink" Target="https://www.linkedin.com/learning/mindfulness-2?trk=ondemandfile" TargetMode="External"/><Relationship Id="rId337" Type="http://schemas.openxmlformats.org/officeDocument/2006/relationships/hyperlink" Target="https://www.linkedin.com/learning/inclusive-leadership-2?trk=ondemandfile" TargetMode="External"/><Relationship Id="rId34" Type="http://schemas.openxmlformats.org/officeDocument/2006/relationships/hyperlink" Target="https://www.linkedin.com/learning/paths/6844219d-129d-3432-be7a-4c32e6eaf336?trk=ondemandfile" TargetMode="External"/><Relationship Id="rId544" Type="http://schemas.openxmlformats.org/officeDocument/2006/relationships/hyperlink" Target="https://www.linkedin.com/learning/developing-your-professional-image-3?trk=ondemandfile" TargetMode="External"/><Relationship Id="rId183" Type="http://schemas.openxmlformats.org/officeDocument/2006/relationships/hyperlink" Target="https://www.linkedin.com/learning/paths/7c8dafed-8f63-35a2-ada2-7dbeaf731ce4?trk=ondemandfile" TargetMode="External"/><Relationship Id="rId390" Type="http://schemas.openxmlformats.org/officeDocument/2006/relationships/hyperlink" Target="https://www.linkedin.com/learning/supporting-a-grieving-employee-a-manager-s-guide-3?trk=contentmappingfile" TargetMode="External"/><Relationship Id="rId404" Type="http://schemas.openxmlformats.org/officeDocument/2006/relationships/hyperlink" Target="https://www.linkedin.com/learning/managing-meetings-3?trk=ondemandfile" TargetMode="External"/><Relationship Id="rId250" Type="http://schemas.openxmlformats.org/officeDocument/2006/relationships/hyperlink" Target="https://www.linkedin.com/learning/customer-service-foundations-4?trk=ondemandfile" TargetMode="External"/><Relationship Id="rId488" Type="http://schemas.openxmlformats.org/officeDocument/2006/relationships/hyperlink" Target="https://www.linkedin.com/learning/project-management-foundations-schedules-3?trk=ondemandfile" TargetMode="External"/><Relationship Id="rId45" Type="http://schemas.openxmlformats.org/officeDocument/2006/relationships/hyperlink" Target="https://www.linkedin.com/learning/cultivating-a-growth-mindset-3?trk=ondemandfile" TargetMode="External"/><Relationship Id="rId110" Type="http://schemas.openxmlformats.org/officeDocument/2006/relationships/hyperlink" Target="https://www.linkedin.com/learning/paths/87c473ed-01ce-32f8-90ac-61be15e449c9?trk=ondemandfile" TargetMode="External"/><Relationship Id="rId348" Type="http://schemas.openxmlformats.org/officeDocument/2006/relationships/hyperlink" Target="https://www.linkedin.com/learning/building-accountability-into-your-culture-3?trk=ondemandfile" TargetMode="External"/><Relationship Id="rId555" Type="http://schemas.openxmlformats.org/officeDocument/2006/relationships/hyperlink" Target="https://www.linkedin.com/learning/paths/3db8a531-c16b-3623-9891-2cd47ac19f68?trk=ondemandfile" TargetMode="External"/><Relationship Id="rId194" Type="http://schemas.openxmlformats.org/officeDocument/2006/relationships/hyperlink" Target="https://www.linkedin.com/learning/managing-employee-performance-problems-5?trk=ondemandfile" TargetMode="External"/><Relationship Id="rId208" Type="http://schemas.openxmlformats.org/officeDocument/2006/relationships/hyperlink" Target="https://www.linkedin.com/learning/4af0047b-f4e3-3e5c-bd8b-8371734c0dfa?trk=ondemandfile" TargetMode="External"/><Relationship Id="rId415" Type="http://schemas.openxmlformats.org/officeDocument/2006/relationships/hyperlink" Target="https://www.linkedin.com/learning/powerless-to-powerful-taking-control-2?trk=ondemandfile"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linkedin.com/learning/learning-data-science-understanding-the-basics-4?trk=ondemandfile" TargetMode="External"/><Relationship Id="rId21" Type="http://schemas.openxmlformats.org/officeDocument/2006/relationships/hyperlink" Target="https://www.linkedin.com/learning/microsoft-teams-meetings-and-live-events?trk=ondemandfile" TargetMode="External"/><Relationship Id="rId63" Type="http://schemas.openxmlformats.org/officeDocument/2006/relationships/hyperlink" Target="https://www.linkedin.com/learning/learning-to-be-approachable-14599142?trk=contentmappingfile" TargetMode="External"/><Relationship Id="rId159" Type="http://schemas.openxmlformats.org/officeDocument/2006/relationships/hyperlink" Target="https://www.linkedin.com/learning/leadership-strategies-for-women-14677199?trk=contentmappingfile" TargetMode="External"/><Relationship Id="rId170" Type="http://schemas.openxmlformats.org/officeDocument/2006/relationships/hyperlink" Target="https://www.linkedin.com/learning/delegating-tasks-to-your-team-3?trk=ondemandfile" TargetMode="External"/><Relationship Id="rId226" Type="http://schemas.openxmlformats.org/officeDocument/2006/relationships/hyperlink" Target="https://www.linkedin.com/learning/project-management-foundations-integration-9240935?trk=contentmappingfile" TargetMode="External"/><Relationship Id="rId268" Type="http://schemas.openxmlformats.org/officeDocument/2006/relationships/hyperlink" Target="https://www.linkedin.com/learning/developing-a-diversity-inclusion-and-belonging-program-14391853?trk=contentmappingfile" TargetMode="External"/><Relationship Id="rId32" Type="http://schemas.openxmlformats.org/officeDocument/2006/relationships/hyperlink" Target="https://www.linkedin.com/learning/managing-globally-4?trk=ondemandfile" TargetMode="External"/><Relationship Id="rId74" Type="http://schemas.openxmlformats.org/officeDocument/2006/relationships/hyperlink" Target="https://www.linkedin.com/learning/learning-line-ads?trk=contentmappingfile" TargetMode="External"/><Relationship Id="rId128" Type="http://schemas.openxmlformats.org/officeDocument/2006/relationships/hyperlink" Target="https://www.linkedin.com/learning/onboarding-new-hires-as-a-manager-14635568?trk=contentmappingfile" TargetMode="External"/><Relationship Id="rId5" Type="http://schemas.openxmlformats.org/officeDocument/2006/relationships/hyperlink" Target="https://www.linkedin.com/learning/paths/31070ed0-b901-3bf1-af9c-de2667146e4d?trk=ondemandfile" TargetMode="External"/><Relationship Id="rId181" Type="http://schemas.openxmlformats.org/officeDocument/2006/relationships/hyperlink" Target="https://www.linkedin.com/learning/delivering-employee-feedback-2?trk=ondemandfile" TargetMode="External"/><Relationship Id="rId237" Type="http://schemas.openxmlformats.org/officeDocument/2006/relationships/hyperlink" Target="https://www.linkedin.com/learning/developing-business-acumen-2?trk=ondemandfile" TargetMode="External"/><Relationship Id="rId279" Type="http://schemas.openxmlformats.org/officeDocument/2006/relationships/hyperlink" Target="https://www.linkedin.com/learning/skills-for-inclusive-conversations-8953451?trk=ondemandfile" TargetMode="External"/><Relationship Id="rId43" Type="http://schemas.openxmlformats.org/officeDocument/2006/relationships/hyperlink" Target="https://www.linkedin.com/learning/building-trust-5?trk=ondemandfile" TargetMode="External"/><Relationship Id="rId139" Type="http://schemas.openxmlformats.org/officeDocument/2006/relationships/hyperlink" Target="https://www.linkedin.com/learning/embracing-unexpected-change-14683580?trk=contentmappingfile" TargetMode="External"/><Relationship Id="rId290" Type="http://schemas.openxmlformats.org/officeDocument/2006/relationships/hyperlink" Target="https://www.linkedin.com/learning/building-self-confidence-14680194?trk=contentmappingfile" TargetMode="External"/><Relationship Id="rId85" Type="http://schemas.openxmlformats.org/officeDocument/2006/relationships/hyperlink" Target="https://www.linkedin.com/learning/facebook-for-corporate-pr?trk=ondemandfile" TargetMode="External"/><Relationship Id="rId150" Type="http://schemas.openxmlformats.org/officeDocument/2006/relationships/hyperlink" Target="https://www.linkedin.com/learning/what-is-servant-leadership?trk=contentmappingfile" TargetMode="External"/><Relationship Id="rId192" Type="http://schemas.openxmlformats.org/officeDocument/2006/relationships/hyperlink" Target="https://www.linkedin.com/learning/learning-powerpoint-2016?trk=ondemandfile" TargetMode="External"/><Relationship Id="rId206" Type="http://schemas.openxmlformats.org/officeDocument/2006/relationships/hyperlink" Target="https://www.linkedin.com/learning/microsoft-project-2013-essential-training-2?trk=ondemandfile" TargetMode="External"/><Relationship Id="rId248" Type="http://schemas.openxmlformats.org/officeDocument/2006/relationships/hyperlink" Target="https://www.linkedin.com/learning/managing-stress-14665661?trk=contentmappingfile" TargetMode="External"/><Relationship Id="rId269" Type="http://schemas.openxmlformats.org/officeDocument/2006/relationships/hyperlink" Target="https://www.linkedin.com/learning/diversity-recruiting-14836915?trk=contentmappingfile" TargetMode="External"/><Relationship Id="rId12" Type="http://schemas.openxmlformats.org/officeDocument/2006/relationships/hyperlink" Target="https://www.linkedin.com/learning/paths/31070ed0-b901-3bf1-af9c-de2667146e4d?trk=ondemandfile" TargetMode="External"/><Relationship Id="rId33" Type="http://schemas.openxmlformats.org/officeDocument/2006/relationships/hyperlink" Target="https://www.linkedin.com/learning/managing-meetings-2?trk=ondemandfile" TargetMode="External"/><Relationship Id="rId108" Type="http://schemas.openxmlformats.org/officeDocument/2006/relationships/hyperlink" Target="https://www.linkedin.com/learning/delivering-bad-news-to-a-customer-13930992?trk=ondemandfile" TargetMode="External"/><Relationship Id="rId129" Type="http://schemas.openxmlformats.org/officeDocument/2006/relationships/hyperlink" Target="https://www.linkedin.com/learning/find-and-retain-high-potentials-2?trk=ondemandfile" TargetMode="External"/><Relationship Id="rId280" Type="http://schemas.openxmlformats.org/officeDocument/2006/relationships/hyperlink" Target="https://www.linkedin.com/learning/driving-change-and-anti-racism-14252577?trk=ondemandfile" TargetMode="External"/><Relationship Id="rId54" Type="http://schemas.openxmlformats.org/officeDocument/2006/relationships/hyperlink" Target="https://www.linkedin.com/learning/influencing-others-3?trk=contentmappingfile" TargetMode="External"/><Relationship Id="rId75" Type="http://schemas.openxmlformats.org/officeDocument/2006/relationships/hyperlink" Target="https://www.linkedin.com/learning/learning-linkedin-sponsored-inmail?trk=ondemandfile" TargetMode="External"/><Relationship Id="rId96" Type="http://schemas.openxmlformats.org/officeDocument/2006/relationships/hyperlink" Target="https://www.linkedin.com/learning/critical-thinking-2?trk=ondemandfile" TargetMode="External"/><Relationship Id="rId140" Type="http://schemas.openxmlformats.org/officeDocument/2006/relationships/hyperlink" Target="https://www.linkedin.com/learning/communicating-in-times-of-change-14271427?trk=contentmappingfile" TargetMode="External"/><Relationship Id="rId161" Type="http://schemas.openxmlformats.org/officeDocument/2006/relationships/hyperlink" Target="https://www.linkedin.com/learning/managing-high-potentials-15917491?trk=contentmappingfile" TargetMode="External"/><Relationship Id="rId182" Type="http://schemas.openxmlformats.org/officeDocument/2006/relationships/hyperlink" Target="https://www.linkedin.com/learning/improving-employee-performance-4?trk=ondemandfile" TargetMode="External"/><Relationship Id="rId217" Type="http://schemas.openxmlformats.org/officeDocument/2006/relationships/hyperlink" Target="https://www.linkedin.com/learning/project-management-foundation?trk=ondemandfile" TargetMode="External"/><Relationship Id="rId6" Type="http://schemas.openxmlformats.org/officeDocument/2006/relationships/hyperlink" Target="https://www.linkedin.com/learning/building-resilience-4?trk=ondemandfile" TargetMode="External"/><Relationship Id="rId238" Type="http://schemas.openxmlformats.org/officeDocument/2006/relationships/hyperlink" Target="https://www.linkedin.com/learning/strategic-negotiation-3?trk=ondemandfile" TargetMode="External"/><Relationship Id="rId259" Type="http://schemas.openxmlformats.org/officeDocument/2006/relationships/hyperlink" Target="https://www.linkedin.com/learning/cultivating-a-growth-mindset-4?trk=ondemandfile" TargetMode="External"/><Relationship Id="rId23" Type="http://schemas.openxmlformats.org/officeDocument/2006/relationships/hyperlink" Target="https://www.linkedin.com/learning/managing-multiple-generations-8332500?trk=ondemandfile" TargetMode="External"/><Relationship Id="rId119" Type="http://schemas.openxmlformats.org/officeDocument/2006/relationships/hyperlink" Target="https://www.linkedin.com/learning/big-data-foundations-techniques-and-concepts-3?trk=ondemandfile" TargetMode="External"/><Relationship Id="rId270" Type="http://schemas.openxmlformats.org/officeDocument/2006/relationships/hyperlink" Target="https://www.linkedin.com/learning/cross-cultural-communication-in-business?trk=ondemandfile" TargetMode="External"/><Relationship Id="rId291" Type="http://schemas.openxmlformats.org/officeDocument/2006/relationships/hyperlink" Target="https://www.linkedin.com/learning/learning-to-be-assertive-14827737?trk=contentmappingfile" TargetMode="External"/><Relationship Id="rId44" Type="http://schemas.openxmlformats.org/officeDocument/2006/relationships/hyperlink" Target="https://www.linkedin.com/learning/communicating-with-trust?trk=contentmappingfile" TargetMode="External"/><Relationship Id="rId65" Type="http://schemas.openxmlformats.org/officeDocument/2006/relationships/hyperlink" Target="https://www.linkedin.com/learning/effective-listening-3?trk=ondemandfile" TargetMode="External"/><Relationship Id="rId86" Type="http://schemas.openxmlformats.org/officeDocument/2006/relationships/hyperlink" Target="https://www.linkedin.com/learning/youtube-for-corporate-pr?trk=ondemandfile" TargetMode="External"/><Relationship Id="rId130" Type="http://schemas.openxmlformats.org/officeDocument/2006/relationships/hyperlink" Target="https://www.linkedin.com/learning/managing-high-performers-15918448?trk=contentmappingfile" TargetMode="External"/><Relationship Id="rId151" Type="http://schemas.openxmlformats.org/officeDocument/2006/relationships/hyperlink" Target="https://www.linkedin.com/learning/jeff-weiner-on-managing-compassionately-2?trk=contentmappingfile" TargetMode="External"/><Relationship Id="rId172" Type="http://schemas.openxmlformats.org/officeDocument/2006/relationships/hyperlink" Target="https://www.linkedin.com/learning/leading-and-working-in-teams-2?trk=ondemandfile" TargetMode="External"/><Relationship Id="rId193" Type="http://schemas.openxmlformats.org/officeDocument/2006/relationships/hyperlink" Target="https://www.linkedin.com/learning/powerpoint-2016-essential-training-3?trk=ondemandfile" TargetMode="External"/><Relationship Id="rId207" Type="http://schemas.openxmlformats.org/officeDocument/2006/relationships/hyperlink" Target="https://www.linkedin.com/learning/8961390d-0b7b-3ec7-ae01-12fbcac6d659?trk=ondemandfile" TargetMode="External"/><Relationship Id="rId228" Type="http://schemas.openxmlformats.org/officeDocument/2006/relationships/hyperlink" Target="https://www.linkedin.com/learning/solution-sales-14173747?trk=contentmappingfile" TargetMode="External"/><Relationship Id="rId249" Type="http://schemas.openxmlformats.org/officeDocument/2006/relationships/hyperlink" Target="https://www.linkedin.com/learning/smart-thinking-overcoming-complexity-15924090?trk=contentmappingfile" TargetMode="External"/><Relationship Id="rId13" Type="http://schemas.openxmlformats.org/officeDocument/2006/relationships/hyperlink" Target="https://www.linkedin.com/learning/mindfulness-4?trk=ondemandfile" TargetMode="External"/><Relationship Id="rId109" Type="http://schemas.openxmlformats.org/officeDocument/2006/relationships/hyperlink" Target="https://www.linkedin.com/learning/managing-customer-expectations-for-frontline-employees?trk=ondemandfile" TargetMode="External"/><Relationship Id="rId260" Type="http://schemas.openxmlformats.org/officeDocument/2006/relationships/hyperlink" Target="https://www.linkedin.com/learning/improving-your-listening-skills-14598134?trk=contentmappingfile" TargetMode="External"/><Relationship Id="rId281" Type="http://schemas.openxmlformats.org/officeDocument/2006/relationships/hyperlink" Target="https://www.linkedin.com/learning/bystander-training-from-bystander-to-upstander-9242703?trk=contentmappingfile" TargetMode="External"/><Relationship Id="rId34" Type="http://schemas.openxmlformats.org/officeDocument/2006/relationships/hyperlink" Target="https://www.linkedin.com/learning/coaching-and-developing-employee?trk=ondemandfile" TargetMode="External"/><Relationship Id="rId55" Type="http://schemas.openxmlformats.org/officeDocument/2006/relationships/hyperlink" Target="https://www.linkedin.com/learning/professional-networking-2?trk=ondemandfile" TargetMode="External"/><Relationship Id="rId76" Type="http://schemas.openxmlformats.org/officeDocument/2006/relationships/hyperlink" Target="https://www.linkedin.com/learning/fdf89900-3335-373d-95ac-3f330dc8c97a?trk=ondemandfile" TargetMode="External"/><Relationship Id="rId97" Type="http://schemas.openxmlformats.org/officeDocument/2006/relationships/hyperlink" Target="https://www.linkedin.com/learning/paths/31070ed0-b901-3bf1-af9c-de2667146e4d?trk=ondemandfile" TargetMode="External"/><Relationship Id="rId120" Type="http://schemas.openxmlformats.org/officeDocument/2006/relationships/hyperlink" Target="https://www.linkedin.com/learning/developing-business-acumen-2?trk=ondemandfile" TargetMode="External"/><Relationship Id="rId141" Type="http://schemas.openxmlformats.org/officeDocument/2006/relationships/hyperlink" Target="https://www.linkedin.com/learning/creating-a-culture-of-change-3?trk=ondemandfile" TargetMode="External"/><Relationship Id="rId7" Type="http://schemas.openxmlformats.org/officeDocument/2006/relationships/hyperlink" Target="https://www.linkedin.com/learning/developing-resourcefulness-3?trk=ondemandfile" TargetMode="External"/><Relationship Id="rId162" Type="http://schemas.openxmlformats.org/officeDocument/2006/relationships/hyperlink" Target="https://www.linkedin.com/learning/navigating-environmental-sustainability-a-guide-for-leaders-14877682?trk=contentmappingfile" TargetMode="External"/><Relationship Id="rId183" Type="http://schemas.openxmlformats.org/officeDocument/2006/relationships/hyperlink" Target="https://www.linkedin.com/learning/managing-employee-performance-problems-14175702?trk=ondemandfile" TargetMode="External"/><Relationship Id="rId218" Type="http://schemas.openxmlformats.org/officeDocument/2006/relationships/hyperlink" Target="https://www.linkedin.com/learning/0ef59e20-2225-38cc-880e-6bd499f84bb1?trk=ondemandfile" TargetMode="External"/><Relationship Id="rId239" Type="http://schemas.openxmlformats.org/officeDocument/2006/relationships/hyperlink" Target="https://www.linkedin.com/learning/strategic-planning-foundations-3?trk=ondemandfile" TargetMode="External"/><Relationship Id="rId250" Type="http://schemas.openxmlformats.org/officeDocument/2006/relationships/hyperlink" Target="https://www.linkedin.com/learning/learning-to-say-no-16410576?trk=contentmappingfile" TargetMode="External"/><Relationship Id="rId271" Type="http://schemas.openxmlformats.org/officeDocument/2006/relationships/hyperlink" Target="https://www.linkedin.com/learning/confronting-bias-thriving-across-our-differences-14254791?trk=contentmappingfile" TargetMode="External"/><Relationship Id="rId292" Type="http://schemas.openxmlformats.org/officeDocument/2006/relationships/hyperlink" Target="https://www.linkedin.com/learning/learning-to-say-no-16410576?trk=contentmappingfile" TargetMode="External"/><Relationship Id="rId24" Type="http://schemas.openxmlformats.org/officeDocument/2006/relationships/hyperlink" Target="https://www.linkedin.com/learning/517cf00b-93c8-3071-96d2-57bcd2301991?trk=ondemandfile" TargetMode="External"/><Relationship Id="rId45" Type="http://schemas.openxmlformats.org/officeDocument/2006/relationships/hyperlink" Target="https://www.linkedin.com/learning/learning-to-be-approachable-14599142?trk=contentmappingfile" TargetMode="External"/><Relationship Id="rId66" Type="http://schemas.openxmlformats.org/officeDocument/2006/relationships/hyperlink" Target="https://www.linkedin.com/learning/conflict-resolution-foundations-5?trk=ondemandfile" TargetMode="External"/><Relationship Id="rId87" Type="http://schemas.openxmlformats.org/officeDocument/2006/relationships/hyperlink" Target="https://www.linkedin.com/learning/boost-sales-wth-seo?trk=ondemandfile" TargetMode="External"/><Relationship Id="rId110" Type="http://schemas.openxmlformats.org/officeDocument/2006/relationships/hyperlink" Target="https://www.linkedin.com/learning/building-customer-loyalty-8954274?trk=ondemandfile" TargetMode="External"/><Relationship Id="rId131" Type="http://schemas.openxmlformats.org/officeDocument/2006/relationships/hyperlink" Target="https://www.linkedin.com/learning/managing-high-potentials-15917491?trk=contentmappingfile" TargetMode="External"/><Relationship Id="rId152" Type="http://schemas.openxmlformats.org/officeDocument/2006/relationships/hyperlink" Target="https://www.linkedin.com/learning/leading-with-stories-14851159?trk=contentmappingfile" TargetMode="External"/><Relationship Id="rId173" Type="http://schemas.openxmlformats.org/officeDocument/2006/relationships/hyperlink" Target="https://www.linkedin.com/learning/managing-virtual-teams?trk=ondemandfile" TargetMode="External"/><Relationship Id="rId194" Type="http://schemas.openxmlformats.org/officeDocument/2006/relationships/hyperlink" Target="https://www.linkedin.com/learning/powerpoint-2019-essential-training-the-basics-2?trk=contentmappingfile" TargetMode="External"/><Relationship Id="rId208" Type="http://schemas.openxmlformats.org/officeDocument/2006/relationships/hyperlink" Target="https://www.linkedin.com/learning/microsoft-project-2021-and-project-online-desktop-client-essential-training?trk=contentmappingfile" TargetMode="External"/><Relationship Id="rId229" Type="http://schemas.openxmlformats.org/officeDocument/2006/relationships/hyperlink" Target="https://www.linkedin.com/learning/influencing-others-3?trk=ondemandfile" TargetMode="External"/><Relationship Id="rId240" Type="http://schemas.openxmlformats.org/officeDocument/2006/relationships/hyperlink" Target="https://www.linkedin.com/learning/measuring-business-performance-4?trk=ondemandfile" TargetMode="External"/><Relationship Id="rId261" Type="http://schemas.openxmlformats.org/officeDocument/2006/relationships/hyperlink" Target="https://www.linkedin.com/learning/creating-an-lgbt-friendly-work-environment?trk=ondemandfile" TargetMode="External"/><Relationship Id="rId14" Type="http://schemas.openxmlformats.org/officeDocument/2006/relationships/hyperlink" Target="https://www.linkedin.com/learning/embracing-unexpected-change-14683580?trk=contentmappingfile" TargetMode="External"/><Relationship Id="rId35" Type="http://schemas.openxmlformats.org/officeDocument/2006/relationships/hyperlink" Target="https://www.linkedin.com/learning/leading-with-emotional-intelligence?trk=ondemandfile" TargetMode="External"/><Relationship Id="rId56" Type="http://schemas.openxmlformats.org/officeDocument/2006/relationships/hyperlink" Target="https://www.linkedin.com/learning/effective-listening-3?trk=ondemandfile" TargetMode="External"/><Relationship Id="rId77" Type="http://schemas.openxmlformats.org/officeDocument/2006/relationships/hyperlink" Target="https://www.linkedin.com/learning/seo-fundamentals-2?trk=ondemandfile" TargetMode="External"/><Relationship Id="rId100" Type="http://schemas.openxmlformats.org/officeDocument/2006/relationships/hyperlink" Target="https://www.linkedin.com/learning/building-resilience-4?trk=ondemandfile" TargetMode="External"/><Relationship Id="rId282" Type="http://schemas.openxmlformats.org/officeDocument/2006/relationships/hyperlink" Target="https://www.linkedin.com/learning/business-etiquette-foundations-tools-and-documents?trk=ondemandfile" TargetMode="External"/><Relationship Id="rId8" Type="http://schemas.openxmlformats.org/officeDocument/2006/relationships/hyperlink" Target="https://www.linkedin.com/learning/paths/9577cb77-9246-370e-bb07-e3ee1a2ea5fe?trk=ondemandfile" TargetMode="External"/><Relationship Id="rId98" Type="http://schemas.openxmlformats.org/officeDocument/2006/relationships/hyperlink" Target="https://www.linkedin.com/learning/smart-thinking-overcoming-complexity-15924090?trk=contentmappingfile" TargetMode="External"/><Relationship Id="rId121" Type="http://schemas.openxmlformats.org/officeDocument/2006/relationships/hyperlink" Target="https://www.linkedin.com/learning/corporate-financial-statement-analysis-2?trk=ondemandfile" TargetMode="External"/><Relationship Id="rId142" Type="http://schemas.openxmlformats.org/officeDocument/2006/relationships/hyperlink" Target="https://www.linkedin.com/learning/leading-change-3?trk=ondemandfile" TargetMode="External"/><Relationship Id="rId163" Type="http://schemas.openxmlformats.org/officeDocument/2006/relationships/hyperlink" Target="https://www.linkedin.com/learning/new-manager-foundations-4?trk=contentmappingfile" TargetMode="External"/><Relationship Id="rId184" Type="http://schemas.openxmlformats.org/officeDocument/2006/relationships/hyperlink" Target="https://www.linkedin.com/learning/coaching-and-developing-employee?trk=ondemandfile" TargetMode="External"/><Relationship Id="rId219" Type="http://schemas.openxmlformats.org/officeDocument/2006/relationships/hyperlink" Target="https://www.linkedin.com/learning/3bfae77c-0d4b-3ec4-9799-44540831599e?trk=ondemandfile" TargetMode="External"/><Relationship Id="rId230" Type="http://schemas.openxmlformats.org/officeDocument/2006/relationships/hyperlink" Target="https://www.linkedin.com/learning/asking-great-sales-questions-14761647?trk=contentmappingfile" TargetMode="External"/><Relationship Id="rId251" Type="http://schemas.openxmlformats.org/officeDocument/2006/relationships/hyperlink" Target="https://www.linkedin.com/learning/delegating-tasks-to-your-team-3?trk=ondemandfile" TargetMode="External"/><Relationship Id="rId25" Type="http://schemas.openxmlformats.org/officeDocument/2006/relationships/hyperlink" Target="https://www.linkedin.com/learning/leading-and-working-in-teams-2?trk=ondemandfile" TargetMode="External"/><Relationship Id="rId46" Type="http://schemas.openxmlformats.org/officeDocument/2006/relationships/hyperlink" Target="https://www.linkedin.com/learning/leading-with-emotional-intelligence?trk=ondemandfile" TargetMode="External"/><Relationship Id="rId67" Type="http://schemas.openxmlformats.org/officeDocument/2006/relationships/hyperlink" Target="https://www.linkedin.com/learning/learning-facebook-ads-2?trk=ondemandfile" TargetMode="External"/><Relationship Id="rId272" Type="http://schemas.openxmlformats.org/officeDocument/2006/relationships/hyperlink" Target="https://www.linkedin.com/learning/improving-your-judgment-3?trk=ondemandfile" TargetMode="External"/><Relationship Id="rId88" Type="http://schemas.openxmlformats.org/officeDocument/2006/relationships/hyperlink" Target="https://www.linkedin.com/learning/developing-a-competitive-strategy-3?trk=ondemandfile" TargetMode="External"/><Relationship Id="rId111" Type="http://schemas.openxmlformats.org/officeDocument/2006/relationships/hyperlink" Target="https://www.linkedin.com/learning/excel-2016-data-analysis?trk=ondemandfile" TargetMode="External"/><Relationship Id="rId132" Type="http://schemas.openxmlformats.org/officeDocument/2006/relationships/hyperlink" Target="https://www.linkedin.com/learning/cultivating-cultural-competence-and-inclusion-14487222?trk=contentmappingfile" TargetMode="External"/><Relationship Id="rId153" Type="http://schemas.openxmlformats.org/officeDocument/2006/relationships/hyperlink" Target="https://www.linkedin.com/learning/leading-and-working-in-teams-2?trk=ondemandfile" TargetMode="External"/><Relationship Id="rId174" Type="http://schemas.openxmlformats.org/officeDocument/2006/relationships/hyperlink" Target="https://www.linkedin.com/learning/performance-management-conducting-performance-reviews-14623662?trk=contentmappingfile" TargetMode="External"/><Relationship Id="rId195" Type="http://schemas.openxmlformats.org/officeDocument/2006/relationships/hyperlink" Target="https://www.linkedin.com/learning/powerpoint-2013-2?trk=ondemandfile" TargetMode="External"/><Relationship Id="rId209" Type="http://schemas.openxmlformats.org/officeDocument/2006/relationships/hyperlink" Target="https://www.linkedin.com/learning/learning-microsoft-project?trk=ondemandfile" TargetMode="External"/><Relationship Id="rId220" Type="http://schemas.openxmlformats.org/officeDocument/2006/relationships/hyperlink" Target="https://www.linkedin.com/learning/project-management-preventing-scope-creep-14372697?trk=contentmappingfile" TargetMode="External"/><Relationship Id="rId241" Type="http://schemas.openxmlformats.org/officeDocument/2006/relationships/hyperlink" Target="https://www.linkedin.com/learning/developing-a-competitive-strategy-3?trk=ondemandfile" TargetMode="External"/><Relationship Id="rId15" Type="http://schemas.openxmlformats.org/officeDocument/2006/relationships/hyperlink" Target="https://www.linkedin.com/learning/building-resilience-4?trk=ondemandfile" TargetMode="External"/><Relationship Id="rId36" Type="http://schemas.openxmlformats.org/officeDocument/2006/relationships/hyperlink" Target="https://www.linkedin.com/learning/paths/31070ed0-b901-3bf1-af9c-de2667146e4d?trk=ondemandfile" TargetMode="External"/><Relationship Id="rId57" Type="http://schemas.openxmlformats.org/officeDocument/2006/relationships/hyperlink" Target="https://www.linkedin.com/learning/strategic-negotiation-3?trk=ondemandfile" TargetMode="External"/><Relationship Id="rId262" Type="http://schemas.openxmlformats.org/officeDocument/2006/relationships/hyperlink" Target="https://www.linkedin.com/learning/inclusive-leadership-3?trk=ondemandfile" TargetMode="External"/><Relationship Id="rId283" Type="http://schemas.openxmlformats.org/officeDocument/2006/relationships/hyperlink" Target="https://www.linkedin.com/learning/business-english-foundations-mail?trk=ondemandfile" TargetMode="External"/><Relationship Id="rId78" Type="http://schemas.openxmlformats.org/officeDocument/2006/relationships/hyperlink" Target="https://www.linkedin.com/learning/online-marketing-foundations-2?trk=ondemandfile" TargetMode="External"/><Relationship Id="rId99" Type="http://schemas.openxmlformats.org/officeDocument/2006/relationships/hyperlink" Target="https://www.linkedin.com/learning/improving-your-judgment-3?trk=ondemandfile" TargetMode="External"/><Relationship Id="rId101" Type="http://schemas.openxmlformats.org/officeDocument/2006/relationships/hyperlink" Target="https://www.linkedin.com/learning/strategic-thinking-14127846?trk=ondemandfile" TargetMode="External"/><Relationship Id="rId122" Type="http://schemas.openxmlformats.org/officeDocument/2006/relationships/hyperlink" Target="https://www.linkedin.com/learning/accounting-foundations-3?trk=ondemandfile" TargetMode="External"/><Relationship Id="rId143" Type="http://schemas.openxmlformats.org/officeDocument/2006/relationships/hyperlink" Target="https://www.linkedin.com/learning/driving-change-and-anti-racism-14252577?trk=ondemandfile" TargetMode="External"/><Relationship Id="rId164" Type="http://schemas.openxmlformats.org/officeDocument/2006/relationships/hyperlink" Target="https://www.linkedin.com/learning/managing-new-managers-8329868?trk=ondemandfile" TargetMode="External"/><Relationship Id="rId185" Type="http://schemas.openxmlformats.org/officeDocument/2006/relationships/hyperlink" Target="https://www.linkedin.com/learning/operations-management-foundations-9360167?trk=contentmappingfile" TargetMode="External"/><Relationship Id="rId9" Type="http://schemas.openxmlformats.org/officeDocument/2006/relationships/hyperlink" Target="https://www.linkedin.com/learning/improving-your-focus-2?trk=ondemandfile" TargetMode="External"/><Relationship Id="rId210" Type="http://schemas.openxmlformats.org/officeDocument/2006/relationships/hyperlink" Target="https://www.linkedin.com/learning/agile-project-management-with-microsoft-project-2?trk=ondemandfile" TargetMode="External"/><Relationship Id="rId26" Type="http://schemas.openxmlformats.org/officeDocument/2006/relationships/hyperlink" Target="https://www.linkedin.com/learning/managing-virtual-teams?trk=ondemandfile" TargetMode="External"/><Relationship Id="rId231" Type="http://schemas.openxmlformats.org/officeDocument/2006/relationships/hyperlink" Target="https://www.linkedin.com/learning/sales-foundations-4?trk=ondemandfile" TargetMode="External"/><Relationship Id="rId252" Type="http://schemas.openxmlformats.org/officeDocument/2006/relationships/hyperlink" Target="https://www.linkedin.com/learning/managing-for-results-3?trk=ondemandfile" TargetMode="External"/><Relationship Id="rId273" Type="http://schemas.openxmlformats.org/officeDocument/2006/relationships/hyperlink" Target="https://www.linkedin.com/learning/collaborative-leadership-9064543?trk=ondemandfile" TargetMode="External"/><Relationship Id="rId47" Type="http://schemas.openxmlformats.org/officeDocument/2006/relationships/hyperlink" Target="https://www.linkedin.com/learning/paths/31070ed0-b901-3bf1-af9c-de2667146e4d?trk=ondemandfile" TargetMode="External"/><Relationship Id="rId68" Type="http://schemas.openxmlformats.org/officeDocument/2006/relationships/hyperlink" Target="https://www.linkedin.com/learning/paths/83f25472-a2a7-30bb-b1c7-b18bc2ba1bba?trk=ondemandfile" TargetMode="External"/><Relationship Id="rId89" Type="http://schemas.openxmlformats.org/officeDocument/2006/relationships/hyperlink" Target="https://www.linkedin.com/learning/implementing-artist-thinking-at-work?trk=ondemandfile" TargetMode="External"/><Relationship Id="rId112" Type="http://schemas.openxmlformats.org/officeDocument/2006/relationships/hyperlink" Target="https://www.linkedin.com/learning/excel-2021-essential-training-office-2021-ltsc-16426633?trk=contentmappingfile" TargetMode="External"/><Relationship Id="rId133" Type="http://schemas.openxmlformats.org/officeDocument/2006/relationships/hyperlink" Target="https://www.linkedin.com/learning/preventing-harassment-in-the-workplace-14504857?trk=contentmappingfile" TargetMode="External"/><Relationship Id="rId154" Type="http://schemas.openxmlformats.org/officeDocument/2006/relationships/hyperlink" Target="https://www.linkedin.com/learning/transition-from-manager-to-leader-2?trk=ondemandfile" TargetMode="External"/><Relationship Id="rId175" Type="http://schemas.openxmlformats.org/officeDocument/2006/relationships/hyperlink" Target="https://www.linkedin.com/learning/onboarding-new-hires-as-a-manager-14635568?trk=contentmappingfile" TargetMode="External"/><Relationship Id="rId196" Type="http://schemas.openxmlformats.org/officeDocument/2006/relationships/hyperlink" Target="https://www.linkedin.com/learning/microsoft-365-powerpoint-essential-training-the-basics?trk=contentmappingfile" TargetMode="External"/><Relationship Id="rId200" Type="http://schemas.openxmlformats.org/officeDocument/2006/relationships/hyperlink" Target="https://www.linkedin.com/learning/managing-meetings-2?trk=ondemandfile" TargetMode="External"/><Relationship Id="rId16" Type="http://schemas.openxmlformats.org/officeDocument/2006/relationships/hyperlink" Target="https://www.linkedin.com/learning/communicating-in-times-of-change-14271427?trk=contentmappingfile" TargetMode="External"/><Relationship Id="rId221" Type="http://schemas.openxmlformats.org/officeDocument/2006/relationships/hyperlink" Target="https://www.linkedin.com/learning/project-management-foundations-stakeholders?trk=ondemandfile" TargetMode="External"/><Relationship Id="rId242" Type="http://schemas.openxmlformats.org/officeDocument/2006/relationships/hyperlink" Target="https://www.linkedin.com/learning/executive-decision-making-4?trk=ondemandfile" TargetMode="External"/><Relationship Id="rId263" Type="http://schemas.openxmlformats.org/officeDocument/2006/relationships/hyperlink" Target="https://www.linkedin.com/learning/leading-inclusive-teams-14683165?trk=contentmappingfile" TargetMode="External"/><Relationship Id="rId284" Type="http://schemas.openxmlformats.org/officeDocument/2006/relationships/hyperlink" Target="https://www.linkedin.com/learning/mindfulness-4?trk=ondemandfile" TargetMode="External"/><Relationship Id="rId37" Type="http://schemas.openxmlformats.org/officeDocument/2006/relationships/hyperlink" Target="https://www.linkedin.com/learning/fostering-cooperative-relationship-within-teams?trk=ondemandfile" TargetMode="External"/><Relationship Id="rId58" Type="http://schemas.openxmlformats.org/officeDocument/2006/relationships/hyperlink" Target="https://www.linkedin.com/learning/3b9a9e9f-36fd-3413-8e43-080652af9039?trk=ondemandfile" TargetMode="External"/><Relationship Id="rId79" Type="http://schemas.openxmlformats.org/officeDocument/2006/relationships/hyperlink" Target="https://www.linkedin.com/learning/social-media-marketing-foundations-2021?trk=ondemandfile" TargetMode="External"/><Relationship Id="rId102" Type="http://schemas.openxmlformats.org/officeDocument/2006/relationships/hyperlink" Target="https://www.linkedin.com/learning/using-questions-to-foster-critical-thinking-and-curiosity-16505090?trk=contentmappingfile" TargetMode="External"/><Relationship Id="rId123" Type="http://schemas.openxmlformats.org/officeDocument/2006/relationships/hyperlink" Target="https://www.linkedin.com/learning/finance-foundations-4?trk=ondemandfile" TargetMode="External"/><Relationship Id="rId144" Type="http://schemas.openxmlformats.org/officeDocument/2006/relationships/hyperlink" Target="https://www.linkedin.com/learning/conducting-one-on-one-meetings?trk=contentmappingfile" TargetMode="External"/><Relationship Id="rId90" Type="http://schemas.openxmlformats.org/officeDocument/2006/relationships/hyperlink" Target="https://www.linkedin.com/learning/building-creative-organizations-14148692?trk=ondemandfile" TargetMode="External"/><Relationship Id="rId165" Type="http://schemas.openxmlformats.org/officeDocument/2006/relationships/hyperlink" Target="https://www.linkedin.com/learning/what-is-power-and-influence?trk=contentmappingfile" TargetMode="External"/><Relationship Id="rId186" Type="http://schemas.openxmlformats.org/officeDocument/2006/relationships/hyperlink" Target="https://www.linkedin.com/learning/supply-chain-foundations-16373958?trk=contentmappingfile" TargetMode="External"/><Relationship Id="rId211" Type="http://schemas.openxmlformats.org/officeDocument/2006/relationships/hyperlink" Target="https://www.linkedin.com/learning/microsoft-project-graphical-reports?trk=ondemandfile" TargetMode="External"/><Relationship Id="rId232" Type="http://schemas.openxmlformats.org/officeDocument/2006/relationships/hyperlink" Target="https://www.linkedin.com/learning/selling-with-stories-part-1-what-makes-a-great-story-3?trk=ondemandfile" TargetMode="External"/><Relationship Id="rId253" Type="http://schemas.openxmlformats.org/officeDocument/2006/relationships/hyperlink" Target="https://www.linkedin.com/learning/managing-virtual-teams?trk=ondemandfile" TargetMode="External"/><Relationship Id="rId274" Type="http://schemas.openxmlformats.org/officeDocument/2006/relationships/hyperlink" Target="https://www.linkedin.com/learning/proven-success-strategies-for-women-at-work-4?trk=ondemandfile" TargetMode="External"/><Relationship Id="rId27" Type="http://schemas.openxmlformats.org/officeDocument/2006/relationships/hyperlink" Target="https://www.linkedin.com/learning/building-high-performance-teams-3?trk=ondemandfile" TargetMode="External"/><Relationship Id="rId48" Type="http://schemas.openxmlformats.org/officeDocument/2006/relationships/hyperlink" Target="https://www.linkedin.com/learning/what-is-johari-window?trk=contentmappingfile" TargetMode="External"/><Relationship Id="rId69" Type="http://schemas.openxmlformats.org/officeDocument/2006/relationships/hyperlink" Target="https://www.linkedin.com/learning/google-adsense-essential-training-2019-2?trk=ondemandfile" TargetMode="External"/><Relationship Id="rId113" Type="http://schemas.openxmlformats.org/officeDocument/2006/relationships/hyperlink" Target="https://www.linkedin.com/learning/excel-data-analysis-365-2019?trk=contentmappingfile" TargetMode="External"/><Relationship Id="rId134" Type="http://schemas.openxmlformats.org/officeDocument/2006/relationships/hyperlink" Target="https://www.linkedin.com/learning/bystander-training-from-bystander-to-upstander-9242703?trk=contentmappingfile" TargetMode="External"/><Relationship Id="rId80" Type="http://schemas.openxmlformats.org/officeDocument/2006/relationships/hyperlink" Target="https://www.linkedin.com/learning/top-10-social-media-management-tools-3?trk=ondemandfile" TargetMode="External"/><Relationship Id="rId155" Type="http://schemas.openxmlformats.org/officeDocument/2006/relationships/hyperlink" Target="https://www.linkedin.com/learning/leadership-foundation?trk=ondemandfile" TargetMode="External"/><Relationship Id="rId176" Type="http://schemas.openxmlformats.org/officeDocument/2006/relationships/hyperlink" Target="https://www.linkedin.com/learning/management-foundations-4?trk=ondemandfile" TargetMode="External"/><Relationship Id="rId197" Type="http://schemas.openxmlformats.org/officeDocument/2006/relationships/hyperlink" Target="https://www.linkedin.com/learning/public-speaking-foundations-3?trk=ondemandfile" TargetMode="External"/><Relationship Id="rId201" Type="http://schemas.openxmlformats.org/officeDocument/2006/relationships/hyperlink" Target="https://www.linkedin.com/learning/improving-your-listening-skills-14598134?trk=contentmappingfile" TargetMode="External"/><Relationship Id="rId222" Type="http://schemas.openxmlformats.org/officeDocument/2006/relationships/hyperlink" Target="https://www.linkedin.com/learning/82a9ac63-32a2-33be-b6e0-788f1f5d6271?trk=ondemandfile" TargetMode="External"/><Relationship Id="rId243" Type="http://schemas.openxmlformats.org/officeDocument/2006/relationships/hyperlink" Target="https://www.linkedin.com/learning/decision-making-strategies-3?trk=ondemandfile" TargetMode="External"/><Relationship Id="rId264" Type="http://schemas.openxmlformats.org/officeDocument/2006/relationships/hyperlink" Target="https://www.linkedin.com/learning/diversity-and-inclusion-in-a-global-enterprise-5?trk=ondemandfile" TargetMode="External"/><Relationship Id="rId285" Type="http://schemas.openxmlformats.org/officeDocument/2006/relationships/hyperlink" Target="https://www.linkedin.com/learning/avoiding-burnout?trk=ondemandfile" TargetMode="External"/><Relationship Id="rId17" Type="http://schemas.openxmlformats.org/officeDocument/2006/relationships/hyperlink" Target="https://www.linkedin.com/learning/avoiding-burnout?trk=ondemandfile" TargetMode="External"/><Relationship Id="rId38" Type="http://schemas.openxmlformats.org/officeDocument/2006/relationships/hyperlink" Target="https://www.linkedin.com/learning/being-a-good-mentor-2?trk=ondemandfile" TargetMode="External"/><Relationship Id="rId59" Type="http://schemas.openxmlformats.org/officeDocument/2006/relationships/hyperlink" Target="https://www.linkedin.com/learning/improving-your-listening-skills-14598134?trk=contentmappingfile" TargetMode="External"/><Relationship Id="rId103" Type="http://schemas.openxmlformats.org/officeDocument/2006/relationships/hyperlink" Target="https://www.linkedin.com/learning/executive-decision-making-4?trk=ondemandfile" TargetMode="External"/><Relationship Id="rId124" Type="http://schemas.openxmlformats.org/officeDocument/2006/relationships/hyperlink" Target="https://www.linkedin.com/learning/finance-for-non-financial-managers-3?trk=ondemandfile" TargetMode="External"/><Relationship Id="rId70" Type="http://schemas.openxmlformats.org/officeDocument/2006/relationships/hyperlink" Target="https://www.linkedin.com/learning/google-search-console-essential-training-2019-2?trk=ondemandfile" TargetMode="External"/><Relationship Id="rId91" Type="http://schemas.openxmlformats.org/officeDocument/2006/relationships/hyperlink" Target="https://www.linkedin.com/learning/paths/31070ed0-b901-3bf1-af9c-de2667146e4d?trk=ondemandfile" TargetMode="External"/><Relationship Id="rId145" Type="http://schemas.openxmlformats.org/officeDocument/2006/relationships/hyperlink" Target="https://www.linkedin.com/learning/setting-team-and-employee-goals-14797875?trk=contentmappingfile" TargetMode="External"/><Relationship Id="rId166" Type="http://schemas.openxmlformats.org/officeDocument/2006/relationships/hyperlink" Target="https://www.linkedin.com/learning/executive-decision-making-4?trk=ondemandfile" TargetMode="External"/><Relationship Id="rId187" Type="http://schemas.openxmlformats.org/officeDocument/2006/relationships/hyperlink" Target="https://www.linkedin.com/learning/six-sigma-green-belt-4?trk=ondemandfile" TargetMode="External"/><Relationship Id="rId1" Type="http://schemas.openxmlformats.org/officeDocument/2006/relationships/hyperlink" Target="https://www.linkedin.com/learning/setting-team-and-employee-goals-14797875?trk=contentmappingfile" TargetMode="External"/><Relationship Id="rId212" Type="http://schemas.openxmlformats.org/officeDocument/2006/relationships/hyperlink" Target="https://www.linkedin.com/learning/managing-actual-values-in-microsoft-project-2?trk=ondemandfile" TargetMode="External"/><Relationship Id="rId233" Type="http://schemas.openxmlformats.org/officeDocument/2006/relationships/hyperlink" Target="https://www.linkedin.com/learning/selling-with-stories-part-2-stories-great-sales-people-tell-3?trk=ondemandfile" TargetMode="External"/><Relationship Id="rId254" Type="http://schemas.openxmlformats.org/officeDocument/2006/relationships/hyperlink" Target="https://www.linkedin.com/learning/learning-to-be-assertive-14827737?trk=contentmappingfile" TargetMode="External"/><Relationship Id="rId28" Type="http://schemas.openxmlformats.org/officeDocument/2006/relationships/hyperlink" Target="https://www.linkedin.com/learning/business-english-foundations-conducting-meetings?trk=ondemandfile" TargetMode="External"/><Relationship Id="rId49" Type="http://schemas.openxmlformats.org/officeDocument/2006/relationships/hyperlink" Target="https://www.linkedin.com/learning/learning-to-say-no-16410576?trk=contentmappingfile" TargetMode="External"/><Relationship Id="rId114" Type="http://schemas.openxmlformats.org/officeDocument/2006/relationships/hyperlink" Target="https://www.linkedin.com/learning/advanced-power-bi?trk=contentmappingfile" TargetMode="External"/><Relationship Id="rId275" Type="http://schemas.openxmlformats.org/officeDocument/2006/relationships/hyperlink" Target="https://www.linkedin.com/learning/communicating-about-culturally-sensitive-issues-9588614?trk=contentmappingfile" TargetMode="External"/><Relationship Id="rId60" Type="http://schemas.openxmlformats.org/officeDocument/2006/relationships/hyperlink" Target="https://www.linkedin.com/learning/ten-steps-of-listening-improving-your-listening-skills?trk=contentmappingfile" TargetMode="External"/><Relationship Id="rId81" Type="http://schemas.openxmlformats.org/officeDocument/2006/relationships/hyperlink" Target="https://www.linkedin.com/learning/instagram-for-business-2020?trk=ondemandfile" TargetMode="External"/><Relationship Id="rId135" Type="http://schemas.openxmlformats.org/officeDocument/2006/relationships/hyperlink" Target="https://www.linkedin.com/learning/strategic-agility-14172913?trk=ondemandfile" TargetMode="External"/><Relationship Id="rId156" Type="http://schemas.openxmlformats.org/officeDocument/2006/relationships/hyperlink" Target="https://www.linkedin.com/learning/creative-tricks-for-leaders?trk=ondemandfile" TargetMode="External"/><Relationship Id="rId177" Type="http://schemas.openxmlformats.org/officeDocument/2006/relationships/hyperlink" Target="https://www.linkedin.com/learning/transitioning-from-individual-contributor-to-manager-2?trk=ondemandfile" TargetMode="External"/><Relationship Id="rId198" Type="http://schemas.openxmlformats.org/officeDocument/2006/relationships/hyperlink" Target="https://www.linkedin.com/learning/learning-to-be-assertive-14827737?trk=contentmappingfile" TargetMode="External"/><Relationship Id="rId202" Type="http://schemas.openxmlformats.org/officeDocument/2006/relationships/hyperlink" Target="https://www.linkedin.com/learning/communicating-with-confidence-2?trk=ondemandfile" TargetMode="External"/><Relationship Id="rId223" Type="http://schemas.openxmlformats.org/officeDocument/2006/relationships/hyperlink" Target="https://www.linkedin.com/learning/project-management-foundations-risk-4?trk=ondemandfile" TargetMode="External"/><Relationship Id="rId244" Type="http://schemas.openxmlformats.org/officeDocument/2006/relationships/hyperlink" Target="https://www.linkedin.com/learning/disrupting-yourself-3?trk=contentmappingfile" TargetMode="External"/><Relationship Id="rId18" Type="http://schemas.openxmlformats.org/officeDocument/2006/relationships/hyperlink" Target="https://www.linkedin.com/learning/conducting-one-on-one-meetings?trk=contentmappingfile" TargetMode="External"/><Relationship Id="rId39" Type="http://schemas.openxmlformats.org/officeDocument/2006/relationships/hyperlink" Target="https://www.linkedin.com/learning/managing-up-2?trk=ondemandfile" TargetMode="External"/><Relationship Id="rId265" Type="http://schemas.openxmlformats.org/officeDocument/2006/relationships/hyperlink" Target="https://www.linkedin.com/learning/leading-with-emotional-intelligence?trk=ondemandfile" TargetMode="External"/><Relationship Id="rId286" Type="http://schemas.openxmlformats.org/officeDocument/2006/relationships/hyperlink" Target="https://www.linkedin.com/learning/building-resilience-4?trk=ondemandfile" TargetMode="External"/><Relationship Id="rId50" Type="http://schemas.openxmlformats.org/officeDocument/2006/relationships/hyperlink" Target="https://www.linkedin.com/learning/learning-to-be-assertive-14827737?trk=contentmappingfile" TargetMode="External"/><Relationship Id="rId104" Type="http://schemas.openxmlformats.org/officeDocument/2006/relationships/hyperlink" Target="https://www.linkedin.com/learning/decision-making-strategies-3?trk=ondemandfile" TargetMode="External"/><Relationship Id="rId125" Type="http://schemas.openxmlformats.org/officeDocument/2006/relationships/hyperlink" Target="https://www.linkedin.com/learning/leading-inclusive-teams-14683165?trk=contentmappingfile" TargetMode="External"/><Relationship Id="rId146" Type="http://schemas.openxmlformats.org/officeDocument/2006/relationships/hyperlink" Target="https://www.linkedin.com/learning/inclusive-leadership-3?trk=ondemandfile" TargetMode="External"/><Relationship Id="rId167" Type="http://schemas.openxmlformats.org/officeDocument/2006/relationships/hyperlink" Target="https://www.linkedin.com/learning/developing-your-leadership-philosophy-4?trk=ondemandfile" TargetMode="External"/><Relationship Id="rId188" Type="http://schemas.openxmlformats.org/officeDocument/2006/relationships/hyperlink" Target="https://www.linkedin.com/learning/six-sigma-foundations-3?trk=ondemandfile" TargetMode="External"/><Relationship Id="rId71" Type="http://schemas.openxmlformats.org/officeDocument/2006/relationships/hyperlink" Target="https://www.linkedin.com/learning/google-analytics-essential-training-2021?trk=ondemandfile" TargetMode="External"/><Relationship Id="rId92" Type="http://schemas.openxmlformats.org/officeDocument/2006/relationships/hyperlink" Target="https://www.linkedin.com/learning/the-five-step-creative-process-3?trk=ondemandfile" TargetMode="External"/><Relationship Id="rId213" Type="http://schemas.openxmlformats.org/officeDocument/2006/relationships/hyperlink" Target="https://www.linkedin.com/learning/agile-project-management-foundations-2?trk=ondemandfile" TargetMode="External"/><Relationship Id="rId234" Type="http://schemas.openxmlformats.org/officeDocument/2006/relationships/hyperlink" Target="https://www.linkedin.com/learning/sales-prospecting-14783679?trk=contentmappingfile" TargetMode="External"/><Relationship Id="rId2" Type="http://schemas.openxmlformats.org/officeDocument/2006/relationships/hyperlink" Target="https://www.linkedin.com/learning/paths/31070ed0-b901-3bf1-af9c-de2667146e4d?trk=ondemandfile" TargetMode="External"/><Relationship Id="rId29" Type="http://schemas.openxmlformats.org/officeDocument/2006/relationships/hyperlink" Target="https://www.linkedin.com/learning/managing-high-performers-15918448?trk=contentmappingfile" TargetMode="External"/><Relationship Id="rId255" Type="http://schemas.openxmlformats.org/officeDocument/2006/relationships/hyperlink" Target="https://www.linkedin.com/learning/building-high-performance-teams-3?trk=ondemandfile" TargetMode="External"/><Relationship Id="rId276" Type="http://schemas.openxmlformats.org/officeDocument/2006/relationships/hyperlink" Target="https://www.linkedin.com/learning/managing-globally-4?trk=ondemandfile" TargetMode="External"/><Relationship Id="rId40" Type="http://schemas.openxmlformats.org/officeDocument/2006/relationships/hyperlink" Target="https://www.linkedin.com/learning/professional-networking-2?trk=ondemandfile" TargetMode="External"/><Relationship Id="rId115" Type="http://schemas.openxmlformats.org/officeDocument/2006/relationships/hyperlink" Target="https://www.linkedin.com/learning/python-data-structure?trk=contentmappingfile" TargetMode="External"/><Relationship Id="rId136" Type="http://schemas.openxmlformats.org/officeDocument/2006/relationships/hyperlink" Target="https://www.linkedin.com/learning/paths/31070ed0-b901-3bf1-af9c-de2667146e4d?trk=ondemandfile" TargetMode="External"/><Relationship Id="rId157" Type="http://schemas.openxmlformats.org/officeDocument/2006/relationships/hyperlink" Target="https://www.linkedin.com/learning/risk-taking-for-leaders-3?trk=ondemandfile" TargetMode="External"/><Relationship Id="rId178" Type="http://schemas.openxmlformats.org/officeDocument/2006/relationships/hyperlink" Target="https://www.linkedin.com/learning/giving-and-receiving-feedback-3?trk=ondemandfile" TargetMode="External"/><Relationship Id="rId61" Type="http://schemas.openxmlformats.org/officeDocument/2006/relationships/hyperlink" Target="https://www.linkedin.com/learning/communicating-with-confidence-2?trk=ondemandfile" TargetMode="External"/><Relationship Id="rId82" Type="http://schemas.openxmlformats.org/officeDocument/2006/relationships/hyperlink" Target="https://www.linkedin.com/learning/eec21d44-2b7b-3f20-8f75-a4cf78217baa?trk=ondemandfile" TargetMode="External"/><Relationship Id="rId199" Type="http://schemas.openxmlformats.org/officeDocument/2006/relationships/hyperlink" Target="https://www.linkedin.com/learning/business-english-foundations-making-presentations?trk=contentmappingfile" TargetMode="External"/><Relationship Id="rId203" Type="http://schemas.openxmlformats.org/officeDocument/2006/relationships/hyperlink" Target="https://www.linkedin.com/learning/how-to-present-and-stay-on-point-3?trk=ondemandfile" TargetMode="External"/><Relationship Id="rId19" Type="http://schemas.openxmlformats.org/officeDocument/2006/relationships/hyperlink" Target="https://www.linkedin.com/learning/paths/9577cb77-9246-370e-bb07-e3ee1a2ea5fe?trk=ondemandfile" TargetMode="External"/><Relationship Id="rId224" Type="http://schemas.openxmlformats.org/officeDocument/2006/relationships/hyperlink" Target="https://www.linkedin.com/learning/project-management-foundations-budgets-4?trk=ondemandfile" TargetMode="External"/><Relationship Id="rId245" Type="http://schemas.openxmlformats.org/officeDocument/2006/relationships/hyperlink" Target="https://www.linkedin.com/learning/solution-sales-14173747?trk=ondemandfile" TargetMode="External"/><Relationship Id="rId266" Type="http://schemas.openxmlformats.org/officeDocument/2006/relationships/hyperlink" Target="https://www.linkedin.com/learning/managing-multiple-generations-8332500?trk=ondemandfile" TargetMode="External"/><Relationship Id="rId287" Type="http://schemas.openxmlformats.org/officeDocument/2006/relationships/hyperlink" Target="https://www.linkedin.com/learning/coping-with-stress?trk=ondemandfile" TargetMode="External"/><Relationship Id="rId30" Type="http://schemas.openxmlformats.org/officeDocument/2006/relationships/hyperlink" Target="https://www.linkedin.com/learning/managing-high-potentials-15917491?trk=contentmappingfile" TargetMode="External"/><Relationship Id="rId105" Type="http://schemas.openxmlformats.org/officeDocument/2006/relationships/hyperlink" Target="https://www.linkedin.com/learning/business-etiquette-foundations-dealing-with-customers?trk=ondemandfile" TargetMode="External"/><Relationship Id="rId126" Type="http://schemas.openxmlformats.org/officeDocument/2006/relationships/hyperlink" Target="https://www.linkedin.com/learning/hiring-and-developing-your-future-workforce-3?trk=ondemandfile" TargetMode="External"/><Relationship Id="rId147" Type="http://schemas.openxmlformats.org/officeDocument/2006/relationships/hyperlink" Target="https://www.linkedin.com/learning/leading-inclusive-teams-14683165?trk=contentmappingfile" TargetMode="External"/><Relationship Id="rId168" Type="http://schemas.openxmlformats.org/officeDocument/2006/relationships/hyperlink" Target="https://www.linkedin.com/learning/key-account-management-17123908?trk=contentmappingfile" TargetMode="External"/><Relationship Id="rId51" Type="http://schemas.openxmlformats.org/officeDocument/2006/relationships/hyperlink" Target="https://www.linkedin.com/learning/business-etiquette-foundations-conversation?trk=ondemandfile" TargetMode="External"/><Relationship Id="rId72" Type="http://schemas.openxmlformats.org/officeDocument/2006/relationships/hyperlink" Target="https://www.linkedin.com/learning/advanced-google-analytics-5?trk=ondemandfile" TargetMode="External"/><Relationship Id="rId93" Type="http://schemas.openxmlformats.org/officeDocument/2006/relationships/hyperlink" Target="https://www.linkedin.com/learning/5fc8e748-923d-3c9f-86c2-46dea2131cf2?trk=ondemandfile" TargetMode="External"/><Relationship Id="rId189" Type="http://schemas.openxmlformats.org/officeDocument/2006/relationships/hyperlink" Target="https://www.linkedin.com/learning/developing-business-acumen-2?trk=ondemandfile" TargetMode="External"/><Relationship Id="rId3" Type="http://schemas.openxmlformats.org/officeDocument/2006/relationships/hyperlink" Target="https://www.linkedin.com/learning/building-accountability-into-your-culture-2?trk=ondemandfile" TargetMode="External"/><Relationship Id="rId214" Type="http://schemas.openxmlformats.org/officeDocument/2006/relationships/hyperlink" Target="https://www.linkedin.com/learning/managing-virtual-teams?trk=ondemandfile" TargetMode="External"/><Relationship Id="rId235" Type="http://schemas.openxmlformats.org/officeDocument/2006/relationships/hyperlink" Target="https://www.linkedin.com/learning/strategic-agility-14172913?trk=ondemandfile" TargetMode="External"/><Relationship Id="rId256" Type="http://schemas.openxmlformats.org/officeDocument/2006/relationships/hyperlink" Target="https://www.linkedin.com/learning/management-foundations-4?trk=ondemandfile" TargetMode="External"/><Relationship Id="rId277" Type="http://schemas.openxmlformats.org/officeDocument/2006/relationships/hyperlink" Target="https://www.linkedin.com/learning/cultivating-cultural-competence-and-inclusion-14487222?trk=contentmappingfile" TargetMode="External"/><Relationship Id="rId116" Type="http://schemas.openxmlformats.org/officeDocument/2006/relationships/hyperlink" Target="https://www.linkedin.com/learning/learning-data-science-tell-stories-with-data-14875287?trk=contentmappingfile" TargetMode="External"/><Relationship Id="rId137" Type="http://schemas.openxmlformats.org/officeDocument/2006/relationships/hyperlink" Target="https://www.linkedin.com/learning/change-management-foundations-3?trk=ondemandfile" TargetMode="External"/><Relationship Id="rId158" Type="http://schemas.openxmlformats.org/officeDocument/2006/relationships/hyperlink" Target="https://www.linkedin.com/learning/collaborative-leadership-9064543?trk=ondemandfile" TargetMode="External"/><Relationship Id="rId20" Type="http://schemas.openxmlformats.org/officeDocument/2006/relationships/hyperlink" Target="https://www.linkedin.com/learning/microsoft-planner-essential-training-2?trk=ondemandfile" TargetMode="External"/><Relationship Id="rId41" Type="http://schemas.openxmlformats.org/officeDocument/2006/relationships/hyperlink" Target="https://www.linkedin.com/learning/effective-listening-3?trk=ondemandfile" TargetMode="External"/><Relationship Id="rId62" Type="http://schemas.openxmlformats.org/officeDocument/2006/relationships/hyperlink" Target="https://www.linkedin.com/learning/building-trust-5?trk=ondemandfile" TargetMode="External"/><Relationship Id="rId83" Type="http://schemas.openxmlformats.org/officeDocument/2006/relationships/hyperlink" Target="https://www.linkedin.com/learning/email-marketing-foundation?trk=ondemandfile" TargetMode="External"/><Relationship Id="rId179" Type="http://schemas.openxmlformats.org/officeDocument/2006/relationships/hyperlink" Target="https://www.linkedin.com/learning/managing-new-managers-8329868?trk=ondemandfile" TargetMode="External"/><Relationship Id="rId190" Type="http://schemas.openxmlformats.org/officeDocument/2006/relationships/hyperlink" Target="https://www.linkedin.com/learning/process-improvement-foundations-3?trk=ondemandfile" TargetMode="External"/><Relationship Id="rId204" Type="http://schemas.openxmlformats.org/officeDocument/2006/relationships/hyperlink" Target="https://www.linkedin.com/learning/creating-and-giving-business-presentations-3?trk=ondemandfile" TargetMode="External"/><Relationship Id="rId225" Type="http://schemas.openxmlformats.org/officeDocument/2006/relationships/hyperlink" Target="https://www.linkedin.com/learning/managing-small-projects-2?trk=ondemandfile" TargetMode="External"/><Relationship Id="rId246" Type="http://schemas.openxmlformats.org/officeDocument/2006/relationships/hyperlink" Target="https://www.linkedin.com/learning/managing-multiple-generations-8332500?trk=ondemandfile" TargetMode="External"/><Relationship Id="rId267" Type="http://schemas.openxmlformats.org/officeDocument/2006/relationships/hyperlink" Target="https://www.linkedin.com/learning/diversity-inclusion-and-belonging-4?trk=contentmappingfile" TargetMode="External"/><Relationship Id="rId288" Type="http://schemas.openxmlformats.org/officeDocument/2006/relationships/hyperlink" Target="https://www.linkedin.com/learning/confronting-bias-thriving-across-our-differences-14254791?trk=contentmappingfile" TargetMode="External"/><Relationship Id="rId106" Type="http://schemas.openxmlformats.org/officeDocument/2006/relationships/hyperlink" Target="https://www.linkedin.com/learning/innovative-customer-service-techniques-4?trk=contentmappingfile" TargetMode="External"/><Relationship Id="rId127" Type="http://schemas.openxmlformats.org/officeDocument/2006/relationships/hyperlink" Target="https://www.linkedin.com/learning/diversity-recruiting-14836915?trk=contentmappingfile" TargetMode="External"/><Relationship Id="rId10" Type="http://schemas.openxmlformats.org/officeDocument/2006/relationships/hyperlink" Target="https://www.linkedin.com/learning/critical-thinking-2?trk=ondemandfile" TargetMode="External"/><Relationship Id="rId31" Type="http://schemas.openxmlformats.org/officeDocument/2006/relationships/hyperlink" Target="https://www.linkedin.com/learning/leading-productive-meetings?trk=ondemandfile" TargetMode="External"/><Relationship Id="rId52" Type="http://schemas.openxmlformats.org/officeDocument/2006/relationships/hyperlink" Target="https://www.linkedin.com/learning/business-etiquette-foundations-fundamentals?trk=ondemandfile" TargetMode="External"/><Relationship Id="rId73" Type="http://schemas.openxmlformats.org/officeDocument/2006/relationships/hyperlink" Target="https://www.linkedin.com/learning/learning-google-ads-2021?trk=ondemandfile" TargetMode="External"/><Relationship Id="rId94" Type="http://schemas.openxmlformats.org/officeDocument/2006/relationships/hyperlink" Target="https://www.linkedin.com/learning/understanding-the-concept-of-artist-thinking?trk=ondemandfile" TargetMode="External"/><Relationship Id="rId148" Type="http://schemas.openxmlformats.org/officeDocument/2006/relationships/hyperlink" Target="https://www.linkedin.com/learning/developing-executive-presence-14758456?trk=contentmappingfile" TargetMode="External"/><Relationship Id="rId169" Type="http://schemas.openxmlformats.org/officeDocument/2006/relationships/hyperlink" Target="https://www.linkedin.com/learning/managing-multiple-generations-8332500?trk=ondemandfile" TargetMode="External"/><Relationship Id="rId4" Type="http://schemas.openxmlformats.org/officeDocument/2006/relationships/hyperlink" Target="https://www.linkedin.com/learning/time-management-fundamentals-2?trk=ondemandfile" TargetMode="External"/><Relationship Id="rId180" Type="http://schemas.openxmlformats.org/officeDocument/2006/relationships/hyperlink" Target="https://www.linkedin.com/learning/measuring-business-performance-4?trk=ondemandfile" TargetMode="External"/><Relationship Id="rId215" Type="http://schemas.openxmlformats.org/officeDocument/2006/relationships/hyperlink" Target="https://www.linkedin.com/learning/business-analysis-foundations?trk=ondemandfile" TargetMode="External"/><Relationship Id="rId236" Type="http://schemas.openxmlformats.org/officeDocument/2006/relationships/hyperlink" Target="https://www.linkedin.com/learning/digital-transformation?trk=ondemandfile" TargetMode="External"/><Relationship Id="rId257" Type="http://schemas.openxmlformats.org/officeDocument/2006/relationships/hyperlink" Target="https://www.linkedin.com/learning/find-and-retain-high-potentials-2?trk=ondemandfile" TargetMode="External"/><Relationship Id="rId278" Type="http://schemas.openxmlformats.org/officeDocument/2006/relationships/hyperlink" Target="https://www.linkedin.com/learning/3b9a9e9f-36fd-3413-8e43-080652af9039?trk=ondemandfile" TargetMode="External"/><Relationship Id="rId42" Type="http://schemas.openxmlformats.org/officeDocument/2006/relationships/hyperlink" Target="https://www.linkedin.com/learning/ten-steps-of-listening-improving-your-listening-skills?trk=contentmappingfile" TargetMode="External"/><Relationship Id="rId84" Type="http://schemas.openxmlformats.org/officeDocument/2006/relationships/hyperlink" Target="https://www.linkedin.com/learning/social-media-marketing-for-small-business-2?trk=ondemandfile" TargetMode="External"/><Relationship Id="rId138" Type="http://schemas.openxmlformats.org/officeDocument/2006/relationships/hyperlink" Target="https://www.linkedin.com/learning/risk-taking-for-leaders-3?trk=ondemandfile" TargetMode="External"/><Relationship Id="rId191" Type="http://schemas.openxmlformats.org/officeDocument/2006/relationships/hyperlink" Target="https://www.linkedin.com/learning/powerpoint-2016?trk=ondemandfile" TargetMode="External"/><Relationship Id="rId205" Type="http://schemas.openxmlformats.org/officeDocument/2006/relationships/hyperlink" Target="https://www.linkedin.com/learning/getting-your-ideas-approved-2?trk=ondemandfile" TargetMode="External"/><Relationship Id="rId247" Type="http://schemas.openxmlformats.org/officeDocument/2006/relationships/hyperlink" Target="https://www.linkedin.com/learning/jeff-weiner-on-establishing-a-culture-and-a-plan-for-scaling-2?trk=ondemandfile" TargetMode="External"/><Relationship Id="rId107" Type="http://schemas.openxmlformats.org/officeDocument/2006/relationships/hyperlink" Target="https://www.linkedin.com/learning/customer-service-foundations?trk=ondemandfile" TargetMode="External"/><Relationship Id="rId289" Type="http://schemas.openxmlformats.org/officeDocument/2006/relationships/hyperlink" Target="https://www.linkedin.com/learning/managing-stress-14665661?trk=contentmappingfile" TargetMode="External"/><Relationship Id="rId11" Type="http://schemas.openxmlformats.org/officeDocument/2006/relationships/hyperlink" Target="https://www.linkedin.com/learning/5fc8e748-923d-3c9f-86c2-46dea2131cf2?trk=ondemandfile" TargetMode="External"/><Relationship Id="rId53" Type="http://schemas.openxmlformats.org/officeDocument/2006/relationships/hyperlink" Target="https://www.linkedin.com/learning/managing-up-2?trk=ondemandfile" TargetMode="External"/><Relationship Id="rId149" Type="http://schemas.openxmlformats.org/officeDocument/2006/relationships/hyperlink" Target="https://www.linkedin.com/learning/leading-with-emotional-intelligence?trk=ondemandfile" TargetMode="External"/><Relationship Id="rId95" Type="http://schemas.openxmlformats.org/officeDocument/2006/relationships/hyperlink" Target="https://www.linkedin.com/learning/enhancing-artist-thinking-with-simple-workshops-for-work?trk=ondemandfile" TargetMode="External"/><Relationship Id="rId160" Type="http://schemas.openxmlformats.org/officeDocument/2006/relationships/hyperlink" Target="https://www.linkedin.com/learning/managing-high-performers-15918448?trk=contentmappingfile" TargetMode="External"/><Relationship Id="rId216" Type="http://schemas.openxmlformats.org/officeDocument/2006/relationships/hyperlink" Target="https://www.linkedin.com/learning/change-management-for-projects-9618249?trk=contentmappingfile" TargetMode="External"/><Relationship Id="rId258" Type="http://schemas.openxmlformats.org/officeDocument/2006/relationships/hyperlink" Target="https://www.linkedin.com/learning/overcoming-procrastination-14825895?trk=contentmappingfile" TargetMode="External"/><Relationship Id="rId22" Type="http://schemas.openxmlformats.org/officeDocument/2006/relationships/hyperlink" Target="https://www.linkedin.com/learning/setting-team-and-employee-goals-14797875?trk=contentmappingfile" TargetMode="External"/><Relationship Id="rId64" Type="http://schemas.openxmlformats.org/officeDocument/2006/relationships/hyperlink" Target="https://www.linkedin.com/learning/jeff-weiner-on-managing-compassionately-2?trk=contentmappingfile" TargetMode="External"/><Relationship Id="rId118" Type="http://schemas.openxmlformats.org/officeDocument/2006/relationships/hyperlink" Target="https://www.linkedin.com/learning/learning-data-analytics?trk=ondemandfile" TargetMode="External"/><Relationship Id="rId171" Type="http://schemas.openxmlformats.org/officeDocument/2006/relationships/hyperlink" Target="https://www.linkedin.com/learning/managing-for-results-3?trk=ondemandfile" TargetMode="External"/><Relationship Id="rId227" Type="http://schemas.openxmlformats.org/officeDocument/2006/relationships/hyperlink" Target="https://www.linkedin.com/learning/leading-projects-2?trk=ondemandfile"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www.linkedin.com/learning/como-apoiar-sua-equipe-na-gestao-da-ansiedade?trk=contentmappingfile" TargetMode="External"/><Relationship Id="rId21" Type="http://schemas.openxmlformats.org/officeDocument/2006/relationships/hyperlink" Target="https://www.linkedin.com/learning/paths/trabalho-remoto-colaboracao-foco-e-produtividade?trk=ondemandfile" TargetMode="External"/><Relationship Id="rId42" Type="http://schemas.openxmlformats.org/officeDocument/2006/relationships/hyperlink" Target="https://www.linkedin.com/learning/paths/melhore-suas-habilidades-de-comunicacao?trk=ondemandfile" TargetMode="External"/><Relationship Id="rId63" Type="http://schemas.openxmlformats.org/officeDocument/2006/relationships/hyperlink" Target="https://www.linkedin.com/learning/fundamentos-de-marketing-de-midias-sociais?trk=contentmappingfile" TargetMode="External"/><Relationship Id="rId84" Type="http://schemas.openxmlformats.org/officeDocument/2006/relationships/hyperlink" Target="https://www.linkedin.com/learning/tomada-de-decisoes-executivas?trk=ondemandfile" TargetMode="External"/><Relationship Id="rId138" Type="http://schemas.openxmlformats.org/officeDocument/2006/relationships/hyperlink" Target="https://www.linkedin.com/learning/mulheres-na-lideranca-como-impulsionar-a-equidade-nas-organizacoes?trk=contentmappingfile" TargetMode="External"/><Relationship Id="rId159" Type="http://schemas.openxmlformats.org/officeDocument/2006/relationships/hyperlink" Target="https://www.linkedin.com/learning/paths/torne-se-um-gestor-de-projetos?trk=ondemandfile" TargetMode="External"/><Relationship Id="rId170" Type="http://schemas.openxmlformats.org/officeDocument/2006/relationships/hyperlink" Target="https://www.linkedin.com/learning/fundamentos-de-inovacao-empresarial?trk=contentmappingfile" TargetMode="External"/><Relationship Id="rId191" Type="http://schemas.openxmlformats.org/officeDocument/2006/relationships/hyperlink" Target="https://www.linkedin.com/learning/como-enfrentar-a-ansiedade-no-trabalho?trk=contentmappingfile" TargetMode="External"/><Relationship Id="rId205" Type="http://schemas.openxmlformats.org/officeDocument/2006/relationships/hyperlink" Target="https://www.linkedin.com/learning/como-escrever-artigos-com-maestria?trk=contentmappingfile" TargetMode="External"/><Relationship Id="rId107" Type="http://schemas.openxmlformats.org/officeDocument/2006/relationships/hyperlink" Target="https://www.linkedin.com/learning/como-integrar-novos-colaboradores-e-colaboradoras-a-empresa?trk=contentmappingfile" TargetMode="External"/><Relationship Id="rId11" Type="http://schemas.openxmlformats.org/officeDocument/2006/relationships/hyperlink" Target="https://www.linkedin.com/learning/paths/trabalho-remoto-colaboracao-foco-e-produtividade?trk=ondemandfile" TargetMode="External"/><Relationship Id="rId32" Type="http://schemas.openxmlformats.org/officeDocument/2006/relationships/hyperlink" Target="https://www.linkedin.com/learning/paths/trabalho-remoto-colaboracao-foco-e-produtividade?trk=ondemandfile" TargetMode="External"/><Relationship Id="rId53" Type="http://schemas.openxmlformats.org/officeDocument/2006/relationships/hyperlink" Target="https://www.linkedin.com/learning/paths/como-superar-os-desafios-e-se-reinventar-em-tempos-dificeis?trk=ondemandfile" TargetMode="External"/><Relationship Id="rId74" Type="http://schemas.openxmlformats.org/officeDocument/2006/relationships/hyperlink" Target="https://www.linkedin.com/learning/fundamentos-da-criatividade-como-soltar-sua-imaginacao-e-encontrar-novas-ideias?trk=contentmappingfile" TargetMode="External"/><Relationship Id="rId128" Type="http://schemas.openxmlformats.org/officeDocument/2006/relationships/hyperlink" Target="https://www.linkedin.com/learning/paths/como-implementar-a-gestao-de-mudancas?trk=ondemandfile" TargetMode="External"/><Relationship Id="rId149" Type="http://schemas.openxmlformats.org/officeDocument/2006/relationships/hyperlink" Target="https://www.linkedin.com/learning/como-gerenciar-sua-equipe-em-tempos-dificeis?trk=contentmappingfile" TargetMode="External"/><Relationship Id="rId5" Type="http://schemas.openxmlformats.org/officeDocument/2006/relationships/hyperlink" Target="https://www.linkedin.com/learning/paths/como-superar-os-desafios-e-se-reinventar-em-tempos-dificeis?trk=ondemandfile" TargetMode="External"/><Relationship Id="rId95" Type="http://schemas.openxmlformats.org/officeDocument/2006/relationships/hyperlink" Target="https://www.linkedin.com/learning/gestao-de-expectativas-dos-clientes-para-gerentes?trk=contentmappingfile" TargetMode="External"/><Relationship Id="rId160" Type="http://schemas.openxmlformats.org/officeDocument/2006/relationships/hyperlink" Target="https://www.linkedin.com/learning/paths/trabalho-remoto-colaboracao-foco-e-produtividade?trk=ondemandfile" TargetMode="External"/><Relationship Id="rId181" Type="http://schemas.openxmlformats.org/officeDocument/2006/relationships/hyperlink" Target="https://www.linkedin.com/learning/fundamentos-da-criatividade-como-despertar-o-talento-de-sua-equipe?trk=contentmappingfile" TargetMode="External"/><Relationship Id="rId22" Type="http://schemas.openxmlformats.org/officeDocument/2006/relationships/hyperlink" Target="https://www.linkedin.com/learning/como-apoiar-sua-equipe-na-gestao-da-ansiedade?trk=contentmappingfile" TargetMode="External"/><Relationship Id="rId43" Type="http://schemas.openxmlformats.org/officeDocument/2006/relationships/hyperlink" Target="https://www.linkedin.com/learning/como-comunicar-mas-noticias-aos-clientes?trk=contentmappingfile" TargetMode="External"/><Relationship Id="rId64" Type="http://schemas.openxmlformats.org/officeDocument/2006/relationships/hyperlink" Target="https://www.linkedin.com/learning/fundamentos-de-marketing-de-midias-sociais?trk=contentmappingfile" TargetMode="External"/><Relationship Id="rId118" Type="http://schemas.openxmlformats.org/officeDocument/2006/relationships/hyperlink" Target="https://www.linkedin.com/learning/como-comunicar-mudancas-em-uma-organizacao-em-transformacao?trk=contentmappingfile" TargetMode="External"/><Relationship Id="rId139" Type="http://schemas.openxmlformats.org/officeDocument/2006/relationships/hyperlink" Target="https://www.linkedin.com/learning/sustentabilidade-ambiental-um-guia-para-lideres-empresariais?trk=contentmappingfile" TargetMode="External"/><Relationship Id="rId85" Type="http://schemas.openxmlformats.org/officeDocument/2006/relationships/hyperlink" Target="https://www.linkedin.com/learning/pensamento-estrategico?trk=ondemandfile" TargetMode="External"/><Relationship Id="rId150" Type="http://schemas.openxmlformats.org/officeDocument/2006/relationships/hyperlink" Target="https://www.linkedin.com/learning/como-integrar-novos-colaboradores-e-colaboradoras-a-empresa?trk=contentmappingfile" TargetMode="External"/><Relationship Id="rId171" Type="http://schemas.openxmlformats.org/officeDocument/2006/relationships/hyperlink" Target="https://www.linkedin.com/learning/paths/torne-se-um-lider?trk=ondemandfile" TargetMode="External"/><Relationship Id="rId192" Type="http://schemas.openxmlformats.org/officeDocument/2006/relationships/hyperlink" Target="https://www.linkedin.com/learning/como-integrar-novos-colaboradores-e-colaboradoras-a-empresa?trk=contentmappingfile" TargetMode="External"/><Relationship Id="rId206" Type="http://schemas.openxmlformats.org/officeDocument/2006/relationships/hyperlink" Target="https://www.linkedin.com/learning/como-apoiar-sua-equipe-na-gestao-da-ansiedade?trk=contentmappingfile" TargetMode="External"/><Relationship Id="rId12" Type="http://schemas.openxmlformats.org/officeDocument/2006/relationships/hyperlink" Target="https://www.linkedin.com/learning/como-comunicar-mudancas-em-uma-organizacao-em-transformacao?trk=contentmappingfile" TargetMode="External"/><Relationship Id="rId33" Type="http://schemas.openxmlformats.org/officeDocument/2006/relationships/hyperlink" Target="https://www.linkedin.com/learning/paths/como-desenvolver-a-colaboracao-entre-a-equipe?trk=ondemandfile" TargetMode="External"/><Relationship Id="rId108" Type="http://schemas.openxmlformats.org/officeDocument/2006/relationships/hyperlink" Target="https://www.linkedin.com/learning/contratacao-de-colaboradores-tecnicas-para-gerentes?trk=contentmappingfile" TargetMode="External"/><Relationship Id="rId129" Type="http://schemas.openxmlformats.org/officeDocument/2006/relationships/hyperlink" Target="https://www.linkedin.com/learning/como-demitir-colaboradores?trk=contentmappingfile" TargetMode="External"/><Relationship Id="rId54" Type="http://schemas.openxmlformats.org/officeDocument/2006/relationships/hyperlink" Target="https://www.linkedin.com/learning/como-gerenciar-relacionamentos-com-chefes-colegas-e-subordinados?trk=contentmappingfile" TargetMode="External"/><Relationship Id="rId75" Type="http://schemas.openxmlformats.org/officeDocument/2006/relationships/hyperlink" Target="https://www.linkedin.com/learning/fundamentos-da-criatividade-o-processo-de-criacao-de-ideias?trk=contentmappingfile" TargetMode="External"/><Relationship Id="rId96" Type="http://schemas.openxmlformats.org/officeDocument/2006/relationships/hyperlink" Target="https://www.linkedin.com/learning/gestao-de-expectativas-dos-clientes-para-pessoal-da-linha-de-frente?trk=contentmappingfile" TargetMode="External"/><Relationship Id="rId140" Type="http://schemas.openxmlformats.org/officeDocument/2006/relationships/hyperlink" Target="https://www.linkedin.com/learning/paths/torne-se-um-gestor-de-projetos?trk=ondemandfile" TargetMode="External"/><Relationship Id="rId161" Type="http://schemas.openxmlformats.org/officeDocument/2006/relationships/hyperlink" Target="https://www.linkedin.com/learning/fundamentos-da-criatividade-o-processo-de-criacao-de-ideias?trk=contentmappingfile" TargetMode="External"/><Relationship Id="rId182" Type="http://schemas.openxmlformats.org/officeDocument/2006/relationships/hyperlink" Target="https://www.linkedin.com/learning/fundamentos-da-criatividade-como-despertar-sua-curiosidade?trk=contentmappingfile" TargetMode="External"/><Relationship Id="rId6" Type="http://schemas.openxmlformats.org/officeDocument/2006/relationships/hyperlink" Target="https://www.linkedin.com/learning/paths/como-desenvolver-a-colaboracao-entre-a-equipe?trk=ondemandfile" TargetMode="External"/><Relationship Id="rId23" Type="http://schemas.openxmlformats.org/officeDocument/2006/relationships/hyperlink" Target="https://www.linkedin.com/learning/como-colaborar-de-forma-eficaz-com-sua-equipe?trk=contentmappingfile" TargetMode="External"/><Relationship Id="rId119" Type="http://schemas.openxmlformats.org/officeDocument/2006/relationships/hyperlink" Target="https://www.linkedin.com/learning/como-desenvolver-a-lideranca-de-pensamento?trk=contentmappingfile" TargetMode="External"/><Relationship Id="rId44" Type="http://schemas.openxmlformats.org/officeDocument/2006/relationships/hyperlink" Target="https://www.linkedin.com/learning/como-desenvolver-a-lideranca-de-pensamento?trk=contentmappingfile" TargetMode="External"/><Relationship Id="rId65" Type="http://schemas.openxmlformats.org/officeDocument/2006/relationships/hyperlink" Target="https://www.linkedin.com/learning/fundamentos-do-funil-de-marketing?trk=contentmappingfile" TargetMode="External"/><Relationship Id="rId86" Type="http://schemas.openxmlformats.org/officeDocument/2006/relationships/hyperlink" Target="https://www.linkedin.com/learning/como-influenciar-as-pessoas?trk=ondemandfile" TargetMode="External"/><Relationship Id="rId130" Type="http://schemas.openxmlformats.org/officeDocument/2006/relationships/hyperlink" Target="https://www.linkedin.com/learning/como-estimular-o-pensamento-criativo-da-sua-equipe?trk=contentmappingfile" TargetMode="External"/><Relationship Id="rId151" Type="http://schemas.openxmlformats.org/officeDocument/2006/relationships/hyperlink" Target="https://www.linkedin.com/learning/como-passar-da-colaboracao-a-gerencia?trk=contentmappingfile" TargetMode="External"/><Relationship Id="rId172" Type="http://schemas.openxmlformats.org/officeDocument/2006/relationships/hyperlink" Target="https://www.linkedin.com/learning/paths/transforme-se-num-lider-disruptivo?trk=ondemandfile" TargetMode="External"/><Relationship Id="rId193" Type="http://schemas.openxmlformats.org/officeDocument/2006/relationships/hyperlink" Target="https://www.linkedin.com/learning/contratacao-de-colaboradores-tecnicas-para-gerentes?trk=contentmappingfile" TargetMode="External"/><Relationship Id="rId207" Type="http://schemas.openxmlformats.org/officeDocument/2006/relationships/hyperlink" Target="https://www.linkedin.com/learning/como-enfrentar-a-ansiedade-no-trabalho?trk=contentmappingfile" TargetMode="External"/><Relationship Id="rId13" Type="http://schemas.openxmlformats.org/officeDocument/2006/relationships/hyperlink" Target="https://www.linkedin.com/learning/paths/como-implementar-a-gestao-de-mudancas" TargetMode="External"/><Relationship Id="rId109" Type="http://schemas.openxmlformats.org/officeDocument/2006/relationships/hyperlink" Target="https://www.linkedin.com/learning/contratacao-e-desenvolvimento-de-futuros-colaboradores-e-colaboradoras?trk=contentmappingfile" TargetMode="External"/><Relationship Id="rId34" Type="http://schemas.openxmlformats.org/officeDocument/2006/relationships/hyperlink" Target="https://www.linkedin.com/learning/como-colaborar-de-forma-eficaz-com-sua-equipe?trk=contentmappingfile" TargetMode="External"/><Relationship Id="rId55" Type="http://schemas.openxmlformats.org/officeDocument/2006/relationships/hyperlink" Target="https://www.linkedin.com/learning/como-melhorar-suas-competencias-de-escuta?trk=contentmappingfile" TargetMode="External"/><Relationship Id="rId76" Type="http://schemas.openxmlformats.org/officeDocument/2006/relationships/hyperlink" Target="https://www.linkedin.com/learning/fundamentos-de-inovacao-empresarial?trk=contentmappingfile" TargetMode="External"/><Relationship Id="rId97" Type="http://schemas.openxmlformats.org/officeDocument/2006/relationships/hyperlink" Target="https://www.linkedin.com/learning/tendencias-de-comportamento-de-consumo-desvendando-o-consumidor-pos-moderno?trk=contentmappingfile" TargetMode="External"/><Relationship Id="rId120" Type="http://schemas.openxmlformats.org/officeDocument/2006/relationships/hyperlink" Target="https://www.linkedin.com/learning/como-estimular-o-pensamento-criativo-da-sua-equipe?trk=contentmappingfile" TargetMode="External"/><Relationship Id="rId141" Type="http://schemas.openxmlformats.org/officeDocument/2006/relationships/hyperlink" Target="https://www.linkedin.com/learning/como-apoiar-sua-equipe-na-gestao-da-ansiedade?trk=contentmappingfile" TargetMode="External"/><Relationship Id="rId7" Type="http://schemas.openxmlformats.org/officeDocument/2006/relationships/hyperlink" Target="https://www.linkedin.com/learning/paths/domine-as-competencias-pessoais-mais-requisitadas-no-mercado-de-trabalho?trk=ondemandfile" TargetMode="External"/><Relationship Id="rId162" Type="http://schemas.openxmlformats.org/officeDocument/2006/relationships/hyperlink" Target="https://www.linkedin.com/learning/paths/torne-se-um-gestor-de-projetos?trk=ondemandfile" TargetMode="External"/><Relationship Id="rId183" Type="http://schemas.openxmlformats.org/officeDocument/2006/relationships/hyperlink" Target="https://www.linkedin.com/learning/fundamentos-da-criatividade-como-soltar-sua-imaginacao-e-encontrar-novas-ideias?trk=contentmappingfile" TargetMode="External"/><Relationship Id="rId24" Type="http://schemas.openxmlformats.org/officeDocument/2006/relationships/hyperlink" Target="https://www.linkedin.com/learning/como-gerenciar-sua-equipe-em-tempos-dificeis?trk=contentmappingfile" TargetMode="External"/><Relationship Id="rId40" Type="http://schemas.openxmlformats.org/officeDocument/2006/relationships/hyperlink" Target="https://www.linkedin.com/learning/como-prevenir-o-assedio-no-trabalho-e-criar-um-ambiente-seguro?trk=contentmappingfile" TargetMode="External"/><Relationship Id="rId45" Type="http://schemas.openxmlformats.org/officeDocument/2006/relationships/hyperlink" Target="https://www.linkedin.com/learning/como-melhorar-suas-competencias-de-escuta?trk=contentmappingfile" TargetMode="External"/><Relationship Id="rId66" Type="http://schemas.openxmlformats.org/officeDocument/2006/relationships/hyperlink" Target="https://www.linkedin.com/learning/fundamentos-do-funil-de-marketing?trk=contentmappingfile" TargetMode="External"/><Relationship Id="rId87" Type="http://schemas.openxmlformats.org/officeDocument/2006/relationships/hyperlink" Target="https://www.linkedin.com/learning/como-obter-aprovacao-para-suas-ideias?trk=ondemandfile" TargetMode="External"/><Relationship Id="rId110" Type="http://schemas.openxmlformats.org/officeDocument/2006/relationships/hyperlink" Target="https://www.linkedin.com/learning/dez-mitos-sobre-diversidade-e-inclusao-no-trabalho?trk=contentmappingfile" TargetMode="External"/><Relationship Id="rId115" Type="http://schemas.openxmlformats.org/officeDocument/2006/relationships/hyperlink" Target="https://www.linkedin.com/learning/paths/torne-se-um-lider?trk=ondemandfile" TargetMode="External"/><Relationship Id="rId131" Type="http://schemas.openxmlformats.org/officeDocument/2006/relationships/hyperlink" Target="https://www.linkedin.com/learning/como-exercer-a-lideranca-compassiva-a-perspectiva-de-jeff-weiner?trk=contentmappingfile" TargetMode="External"/><Relationship Id="rId136" Type="http://schemas.openxmlformats.org/officeDocument/2006/relationships/hyperlink" Target="https://www.linkedin.com/learning/gestao-de-conflitos-como-lidar-com-as-divergencias-na-empresa?trk=contentmappingfile" TargetMode="External"/><Relationship Id="rId157" Type="http://schemas.openxmlformats.org/officeDocument/2006/relationships/hyperlink" Target="https://www.linkedin.com/learning/principios-basicos-para-gerentes-iniciantes-17445021?trk=contentmappingfile" TargetMode="External"/><Relationship Id="rId178" Type="http://schemas.openxmlformats.org/officeDocument/2006/relationships/hyperlink" Target="https://www.linkedin.com/learning/competencias-profissionais-imprescindiveis-na-carreira-de-qualquer-profissional?trk=contentmappingfile" TargetMode="External"/><Relationship Id="rId61" Type="http://schemas.openxmlformats.org/officeDocument/2006/relationships/hyperlink" Target="https://www.linkedin.com/learning/fundamentos-de-inovacao-empresarial?trk=contentmappingfile" TargetMode="External"/><Relationship Id="rId82" Type="http://schemas.openxmlformats.org/officeDocument/2006/relationships/hyperlink" Target="https://www.linkedin.com/learning/fundamentos-da-melhoria-de-processos?trk=ondemandfile" TargetMode="External"/><Relationship Id="rId152" Type="http://schemas.openxmlformats.org/officeDocument/2006/relationships/hyperlink" Target="https://www.linkedin.com/learning/como-prevenir-o-assedio-no-trabalho-e-criar-um-ambiente-seguro?trk=contentmappingfile" TargetMode="External"/><Relationship Id="rId173" Type="http://schemas.openxmlformats.org/officeDocument/2006/relationships/hyperlink" Target="https://www.linkedin.com/learning/como-dar-feedback-aos-colaboradores?trk=contentmappingfile" TargetMode="External"/><Relationship Id="rId194" Type="http://schemas.openxmlformats.org/officeDocument/2006/relationships/hyperlink" Target="https://www.linkedin.com/learning/gestao-de-novos-cargos-de-gerencia?trk=contentmappingfile" TargetMode="External"/><Relationship Id="rId199" Type="http://schemas.openxmlformats.org/officeDocument/2006/relationships/hyperlink" Target="https://www.linkedin.com/learning/como-prevenir-o-assedio-no-trabalho-e-criar-um-ambiente-seguro?trk=contentmappingfile" TargetMode="External"/><Relationship Id="rId203" Type="http://schemas.openxmlformats.org/officeDocument/2006/relationships/hyperlink" Target="https://www.linkedin.com/learning/lideranca-global-como-gerenciar-a-complexidade-e-a-diversidade?trk=contentmappingfile" TargetMode="External"/><Relationship Id="rId19" Type="http://schemas.openxmlformats.org/officeDocument/2006/relationships/hyperlink" Target="https://www.linkedin.com/learning/big-data-no-rh-o-impacto-dos-dados-no-bem-estar-dos-colaboradores?trk=contentmappingfile" TargetMode="External"/><Relationship Id="rId14" Type="http://schemas.openxmlformats.org/officeDocument/2006/relationships/hyperlink" Target="https://www.linkedin.com/learning/paths/como-superar-os-desafios-e-se-reinventar-em-tempos-dificeis?trk=ondemandfile" TargetMode="External"/><Relationship Id="rId30" Type="http://schemas.openxmlformats.org/officeDocument/2006/relationships/hyperlink" Target="https://www.linkedin.com/learning/gestao-de-novos-cargos-de-gerencia?trk=contentmappingfile" TargetMode="External"/><Relationship Id="rId35" Type="http://schemas.openxmlformats.org/officeDocument/2006/relationships/hyperlink" Target="https://www.linkedin.com/learning/como-dar-feedback-aos-colaboradores?trk=contentmappingfile" TargetMode="External"/><Relationship Id="rId56" Type="http://schemas.openxmlformats.org/officeDocument/2006/relationships/hyperlink" Target="https://www.linkedin.com/learning/como-prevenir-o-assedio-no-trabalho-e-criar-um-ambiente-seguro?trk=contentmappingfile" TargetMode="External"/><Relationship Id="rId77" Type="http://schemas.openxmlformats.org/officeDocument/2006/relationships/hyperlink" Target="https://www.linkedin.com/learning/como-melhorar-seu-discernimento?trk=ondemandfile" TargetMode="External"/><Relationship Id="rId100" Type="http://schemas.openxmlformats.org/officeDocument/2006/relationships/hyperlink" Target="https://www.linkedin.com/learning/excel-como-criar-um-dashboard-basico-365-2019?trk=contentmappingfile" TargetMode="External"/><Relationship Id="rId105" Type="http://schemas.openxmlformats.org/officeDocument/2006/relationships/hyperlink" Target="https://www.linkedin.com/learning/como-aproveitar-ao-maximo-o-linkedin-recruiter?trk=contentmappingfile" TargetMode="External"/><Relationship Id="rId126" Type="http://schemas.openxmlformats.org/officeDocument/2006/relationships/hyperlink" Target="https://www.linkedin.com/learning/como-apoiar-sua-equipe-na-gestao-da-ansiedade?trk=contentmappingfile" TargetMode="External"/><Relationship Id="rId147" Type="http://schemas.openxmlformats.org/officeDocument/2006/relationships/hyperlink" Target="https://www.linkedin.com/learning/como-desenvolver-novas-habilidades-para-o-futuro-do-trabalho?trk=contentmappingfile" TargetMode="External"/><Relationship Id="rId168" Type="http://schemas.openxmlformats.org/officeDocument/2006/relationships/hyperlink" Target="https://www.linkedin.com/learning/gestao-de-expectativas-dos-clientes-para-pessoal-da-linha-de-frente?trk=contentmappingfile" TargetMode="External"/><Relationship Id="rId8" Type="http://schemas.openxmlformats.org/officeDocument/2006/relationships/hyperlink" Target="https://www.linkedin.com/learning/paths/trabalho-remoto-colaboracao-foco-e-produtividade?trk=ondemandfile" TargetMode="External"/><Relationship Id="rId51" Type="http://schemas.openxmlformats.org/officeDocument/2006/relationships/hyperlink" Target="https://www.linkedin.com/learning/paths/melhore-suas-habilidades-de-resolucao-de-problemas?trk=ondemandfile" TargetMode="External"/><Relationship Id="rId72" Type="http://schemas.openxmlformats.org/officeDocument/2006/relationships/hyperlink" Target="https://www.linkedin.com/learning/fundamentos-da-criatividade-como-despertar-sua-curiosidade?trk=contentmappingfile" TargetMode="External"/><Relationship Id="rId93" Type="http://schemas.openxmlformats.org/officeDocument/2006/relationships/hyperlink" Target="https://www.linkedin.com/learning/paths/torne-se-um-especialista-em-atendimento-ao-cliente?trk=ondemandfile" TargetMode="External"/><Relationship Id="rId98" Type="http://schemas.openxmlformats.org/officeDocument/2006/relationships/hyperlink" Target="https://www.linkedin.com/learning/paths/torne-se-um-cientista-de-dados?trk=ondemandfile" TargetMode="External"/><Relationship Id="rId121" Type="http://schemas.openxmlformats.org/officeDocument/2006/relationships/hyperlink" Target="https://www.linkedin.com/learning/como-exercer-a-lideranca-compassiva-a-perspectiva-de-jeff-weiner?trk=contentmappingfile" TargetMode="External"/><Relationship Id="rId142" Type="http://schemas.openxmlformats.org/officeDocument/2006/relationships/hyperlink" Target="https://www.linkedin.com/learning/paths/torne-se-um-lider?trk=ondemandfile" TargetMode="External"/><Relationship Id="rId163" Type="http://schemas.openxmlformats.org/officeDocument/2006/relationships/hyperlink" Target="https://www.linkedin.com/learning/competencias-basicas-de-gestao-de-projetos?trk=contentmappingfile" TargetMode="External"/><Relationship Id="rId184" Type="http://schemas.openxmlformats.org/officeDocument/2006/relationships/hyperlink" Target="https://www.linkedin.com/learning/paths/torne-se-um-gestor-de-projetos?trk=ondemandfile" TargetMode="External"/><Relationship Id="rId189" Type="http://schemas.openxmlformats.org/officeDocument/2006/relationships/hyperlink" Target="https://www.linkedin.com/learning/como-desenvolver-a-lideranca-de-pensamento?trk=contentmappingfile" TargetMode="External"/><Relationship Id="rId3" Type="http://schemas.openxmlformats.org/officeDocument/2006/relationships/hyperlink" Target="https://www.linkedin.com/learning/paths/como-melhorar-a-gestao-de-tempo-e-aumentar-a-produtividade?trk=ondemandfile" TargetMode="External"/><Relationship Id="rId25" Type="http://schemas.openxmlformats.org/officeDocument/2006/relationships/hyperlink" Target="https://www.linkedin.com/learning/como-integrar-novos-colaboradores-e-colaboradoras-a-empresa?trk=contentmappingfile" TargetMode="External"/><Relationship Id="rId46" Type="http://schemas.openxmlformats.org/officeDocument/2006/relationships/hyperlink" Target="https://www.linkedin.com/learning/como-prevenir-o-assedio-no-trabalho-e-criar-um-ambiente-seguro?trk=contentmappingfile" TargetMode="External"/><Relationship Id="rId67" Type="http://schemas.openxmlformats.org/officeDocument/2006/relationships/hyperlink" Target="https://www.linkedin.com/learning/tendencias-de-marketing-nas-midias-sociais-para-impulsionar-as-vendas-em-sua-empresa?trk=contentmappingfile" TargetMode="External"/><Relationship Id="rId116" Type="http://schemas.openxmlformats.org/officeDocument/2006/relationships/hyperlink" Target="https://www.linkedin.com/learning/paths/transforme-se-num-lider-disruptivo?trk=ondemandfile" TargetMode="External"/><Relationship Id="rId137" Type="http://schemas.openxmlformats.org/officeDocument/2006/relationships/hyperlink" Target="https://www.linkedin.com/learning/lideranca-global-como-gerenciar-a-complexidade-e-a-diversidade?trk=contentmappingfile" TargetMode="External"/><Relationship Id="rId158" Type="http://schemas.openxmlformats.org/officeDocument/2006/relationships/hyperlink" Target="https://www.linkedin.com/learning/principios-basicos-para-novos-cargos-de-gestao?trk=contentmappingfile" TargetMode="External"/><Relationship Id="rId20" Type="http://schemas.openxmlformats.org/officeDocument/2006/relationships/hyperlink" Target="https://www.linkedin.com/learning/paths/como-desenvolver-a-colaboracao-entre-a-equipe?trk=ondemandfile" TargetMode="External"/><Relationship Id="rId41" Type="http://schemas.openxmlformats.org/officeDocument/2006/relationships/hyperlink" Target="https://www.linkedin.com/learning/como-ser-uma-pessoa-assertiva?trk=contentmappingfile" TargetMode="External"/><Relationship Id="rId62" Type="http://schemas.openxmlformats.org/officeDocument/2006/relationships/hyperlink" Target="https://www.linkedin.com/learning/fundamentos-de-inovacao-empresarial?trk=contentmappingfile" TargetMode="External"/><Relationship Id="rId83" Type="http://schemas.openxmlformats.org/officeDocument/2006/relationships/hyperlink" Target="https://www.linkedin.com/learning/estrategias-de-tomada-de-decisao?trk=ondemandfile" TargetMode="External"/><Relationship Id="rId88" Type="http://schemas.openxmlformats.org/officeDocument/2006/relationships/hyperlink" Target="https://www.linkedin.com/learning/da-vitimizacao-a-acao-como-assumir-o-controle?trk=ondemandfile" TargetMode="External"/><Relationship Id="rId111" Type="http://schemas.openxmlformats.org/officeDocument/2006/relationships/hyperlink" Target="https://www.linkedin.com/learning/kwame-christian-responde-sobre-como-abordar-assuntos-raciais?trk=contentmappingfile" TargetMode="External"/><Relationship Id="rId132" Type="http://schemas.openxmlformats.org/officeDocument/2006/relationships/hyperlink" Target="https://www.linkedin.com/learning/como-liderar-e-incentivar-equipes-virtuais-para-estimular-a-motivacao-no-trabalho?trk=contentmappingfile" TargetMode="External"/><Relationship Id="rId153" Type="http://schemas.openxmlformats.org/officeDocument/2006/relationships/hyperlink" Target="https://www.linkedin.com/learning/como-promover-a-empatia-no-mundo-das-tecnologias-de-informacao?trk=contentmappingfile" TargetMode="External"/><Relationship Id="rId174" Type="http://schemas.openxmlformats.org/officeDocument/2006/relationships/hyperlink" Target="https://www.linkedin.com/learning/como-desenvolver-novas-habilidades-para-o-futuro-do-trabalho?trk=contentmappingfile" TargetMode="External"/><Relationship Id="rId179" Type="http://schemas.openxmlformats.org/officeDocument/2006/relationships/hyperlink" Target="https://www.linkedin.com/learning/contratacao-de-colaboradores-tecnicas-para-gerentes?trk=contentmappingfile" TargetMode="External"/><Relationship Id="rId195" Type="http://schemas.openxmlformats.org/officeDocument/2006/relationships/hyperlink" Target="https://www.linkedin.com/learning/principios-basicos-para-novos-cargos-de-gestao?trk=contentmappingfile" TargetMode="External"/><Relationship Id="rId190" Type="http://schemas.openxmlformats.org/officeDocument/2006/relationships/hyperlink" Target="https://www.linkedin.com/learning/como-desenvolver-novas-habilidades-para-o-futuro-do-trabalho?trk=contentmappingfile" TargetMode="External"/><Relationship Id="rId204" Type="http://schemas.openxmlformats.org/officeDocument/2006/relationships/hyperlink" Target="https://www.linkedin.com/learning/mulheres-na-lideranca-como-impulsionar-a-equidade-nas-organizacoes?trk=contentmappingfile" TargetMode="External"/><Relationship Id="rId15" Type="http://schemas.openxmlformats.org/officeDocument/2006/relationships/hyperlink" Target="https://www.linkedin.com/learning/como-superar-o-luto-e-gerenciar-o-impacto-da-perda-e-da-mudanca-no-trabalho?trk=contentmappingfile" TargetMode="External"/><Relationship Id="rId36" Type="http://schemas.openxmlformats.org/officeDocument/2006/relationships/hyperlink" Target="https://www.linkedin.com/learning/como-estimular-o-pensamento-criativo-da-sua-equipe?trk=contentmappingfile" TargetMode="External"/><Relationship Id="rId57" Type="http://schemas.openxmlformats.org/officeDocument/2006/relationships/hyperlink" Target="https://www.linkedin.com/learning/como-superar-o-assedio-no-trabalho?trk=contentmappingfile" TargetMode="External"/><Relationship Id="rId106" Type="http://schemas.openxmlformats.org/officeDocument/2006/relationships/hyperlink" Target="https://www.linkedin.com/learning/como-demitir-colaboradores?trk=contentmappingfile" TargetMode="External"/><Relationship Id="rId127" Type="http://schemas.openxmlformats.org/officeDocument/2006/relationships/hyperlink" Target="https://www.linkedin.com/learning/paths/transforme-se-num-lider-disruptivo?trk=ondemandfile" TargetMode="External"/><Relationship Id="rId10" Type="http://schemas.openxmlformats.org/officeDocument/2006/relationships/hyperlink" Target="https://www.linkedin.com/learning/paths/como-desenvolver-uma-mentalidade-de-crescimento?trk=ondemandfile" TargetMode="External"/><Relationship Id="rId31" Type="http://schemas.openxmlformats.org/officeDocument/2006/relationships/hyperlink" Target="https://www.linkedin.com/learning/principios-basicos-para-gerentes-iniciantes-17445021?trk=contentmappingfile" TargetMode="External"/><Relationship Id="rId52" Type="http://schemas.openxmlformats.org/officeDocument/2006/relationships/hyperlink" Target="https://www.linkedin.com/learning/como-dar-feedback-aos-colaboradores?trk=contentmappingfile" TargetMode="External"/><Relationship Id="rId73" Type="http://schemas.openxmlformats.org/officeDocument/2006/relationships/hyperlink" Target="https://www.linkedin.com/learning/fundamentos-da-criatividade-como-gerar-ideias-valiosas-e-inovar-na-pratica?trk=contentmappingfile" TargetMode="External"/><Relationship Id="rId78" Type="http://schemas.openxmlformats.org/officeDocument/2006/relationships/hyperlink" Target="https://www.linkedin.com/learning/paths/como-superar-os-desafios-e-se-reinventar-em-tempos-dificeis?trk=ondemandfile" TargetMode="External"/><Relationship Id="rId94" Type="http://schemas.openxmlformats.org/officeDocument/2006/relationships/hyperlink" Target="https://www.linkedin.com/learning/como-comunicar-mas-noticias-aos-clientes?trk=contentmappingfile" TargetMode="External"/><Relationship Id="rId99" Type="http://schemas.openxmlformats.org/officeDocument/2006/relationships/hyperlink" Target="https://www.linkedin.com/learning/big-data-no-rh-o-impacto-dos-dados-no-bem-estar-dos-colaboradores?trk=contentmappingfile" TargetMode="External"/><Relationship Id="rId101" Type="http://schemas.openxmlformats.org/officeDocument/2006/relationships/hyperlink" Target="https://www.linkedin.com/learning/inteligencia-artificial-para-negocios-em-dez-minutos?trk=contentmappingfile" TargetMode="External"/><Relationship Id="rId122" Type="http://schemas.openxmlformats.org/officeDocument/2006/relationships/hyperlink" Target="https://www.linkedin.com/learning/dicas-e-estrategias-para-exercer-uma-lideranca-de-alto-impacto?trk=contentmappingfile" TargetMode="External"/><Relationship Id="rId143" Type="http://schemas.openxmlformats.org/officeDocument/2006/relationships/hyperlink" Target="https://www.linkedin.com/learning/paths/transforme-se-num-lider-disruptivo?trk=ondemandfile" TargetMode="External"/><Relationship Id="rId148" Type="http://schemas.openxmlformats.org/officeDocument/2006/relationships/hyperlink" Target="https://www.linkedin.com/learning/como-enfrentar-a-ansiedade-no-trabalho?trk=contentmappingfile" TargetMode="External"/><Relationship Id="rId164" Type="http://schemas.openxmlformats.org/officeDocument/2006/relationships/hyperlink" Target="https://www.linkedin.com/learning/quarta-revolucao-industrial-gestao-de-projetos?trk=contentmappingfile" TargetMode="External"/><Relationship Id="rId169" Type="http://schemas.openxmlformats.org/officeDocument/2006/relationships/hyperlink" Target="https://www.linkedin.com/learning/a-linguagem-corporal-da-lideranca?trk=contentmappingfile" TargetMode="External"/><Relationship Id="rId185" Type="http://schemas.openxmlformats.org/officeDocument/2006/relationships/hyperlink" Target="https://www.linkedin.com/learning/como-colaborar-de-forma-eficaz-com-sua-equipe?trk=contentmappingfile" TargetMode="External"/><Relationship Id="rId4" Type="http://schemas.openxmlformats.org/officeDocument/2006/relationships/hyperlink" Target="https://www.linkedin.com/learning/paths/trabalho-remoto-colaboracao-foco-e-produtividade?trk=ondemandfile" TargetMode="External"/><Relationship Id="rId9" Type="http://schemas.openxmlformats.org/officeDocument/2006/relationships/hyperlink" Target="https://www.linkedin.com/learning/como-ser-uma-pessoa-assertiva?trk=contentmappingfile" TargetMode="External"/><Relationship Id="rId180" Type="http://schemas.openxmlformats.org/officeDocument/2006/relationships/hyperlink" Target="https://www.linkedin.com/learning/contratacao-e-desenvolvimento-de-futuros-colaboradores-e-colaboradoras?trk=contentmappingfile" TargetMode="External"/><Relationship Id="rId26" Type="http://schemas.openxmlformats.org/officeDocument/2006/relationships/hyperlink" Target="https://www.linkedin.com/learning/como-liderar-e-incentivar-equipes-virtuais-para-estimular-a-motivacao-no-trabalho?trk=contentmappingfile" TargetMode="External"/><Relationship Id="rId47" Type="http://schemas.openxmlformats.org/officeDocument/2006/relationships/hyperlink" Target="https://www.linkedin.com/learning/como-responder-a-microagressoes-no-trabalho?trk=contentmappingfile" TargetMode="External"/><Relationship Id="rId68" Type="http://schemas.openxmlformats.org/officeDocument/2006/relationships/hyperlink" Target="https://www.linkedin.com/learning/tendencias-de-marketing-nas-midias-sociais-para-impulsionar-as-vendas-em-sua-empresa?trk=contentmappingfile" TargetMode="External"/><Relationship Id="rId89" Type="http://schemas.openxmlformats.org/officeDocument/2006/relationships/hyperlink" Target="https://www.linkedin.com/learning/como-desenvolver-a-autoconfianca?trk=ondemandfile" TargetMode="External"/><Relationship Id="rId112" Type="http://schemas.openxmlformats.org/officeDocument/2006/relationships/hyperlink" Target="https://www.linkedin.com/learning/lideranca-global-como-gerenciar-a-complexidade-e-a-diversidade?trk=contentmappingfile" TargetMode="External"/><Relationship Id="rId133" Type="http://schemas.openxmlformats.org/officeDocument/2006/relationships/hyperlink" Target="https://www.linkedin.com/learning/como-passar-da-gerencia-a-lideranca?trk=contentmappingfile" TargetMode="External"/><Relationship Id="rId154" Type="http://schemas.openxmlformats.org/officeDocument/2006/relationships/hyperlink" Target="https://www.linkedin.com/learning/contratacao-de-colaboradores-tecnicas-para-gerentes?trk=contentmappingfile" TargetMode="External"/><Relationship Id="rId175" Type="http://schemas.openxmlformats.org/officeDocument/2006/relationships/hyperlink" Target="https://www.linkedin.com/learning/como-desenvolver-suas-competencias-de-mentoria?trk=contentmappingfile" TargetMode="External"/><Relationship Id="rId196" Type="http://schemas.openxmlformats.org/officeDocument/2006/relationships/hyperlink" Target="https://www.linkedin.com/learning/paths/diversidade-inclusao-e-pertencimento-para-lideres-e-gerentes?trk=ondemandfile" TargetMode="External"/><Relationship Id="rId200" Type="http://schemas.openxmlformats.org/officeDocument/2006/relationships/hyperlink" Target="https://www.linkedin.com/learning/como-superar-o-assedio-no-trabalho?trk=contentmappingfile" TargetMode="External"/><Relationship Id="rId16" Type="http://schemas.openxmlformats.org/officeDocument/2006/relationships/hyperlink" Target="https://www.linkedin.com/learning/fundamentos-de-inovacao-empresarial?trk=contentmappingfile" TargetMode="External"/><Relationship Id="rId37" Type="http://schemas.openxmlformats.org/officeDocument/2006/relationships/hyperlink" Target="https://www.linkedin.com/learning/como-gerenciar-relacionamentos-com-chefes-colegas-e-subordinados?trk=contentmappingfile" TargetMode="External"/><Relationship Id="rId58" Type="http://schemas.openxmlformats.org/officeDocument/2006/relationships/hyperlink" Target="https://www.linkedin.com/learning/gestao-de-conflitos-como-lidar-com-as-divergencias-na-empresa?trk=contentmappingfile" TargetMode="External"/><Relationship Id="rId79" Type="http://schemas.openxmlformats.org/officeDocument/2006/relationships/hyperlink" Target="https://www.linkedin.com/learning/como-aprender-com-o-fracasso?trk=ondemandfile" TargetMode="External"/><Relationship Id="rId102" Type="http://schemas.openxmlformats.org/officeDocument/2006/relationships/hyperlink" Target="https://www.linkedin.com/learning/financas-para-gerentes-nao-financeiros?trk=contentmappingfile" TargetMode="External"/><Relationship Id="rId123" Type="http://schemas.openxmlformats.org/officeDocument/2006/relationships/hyperlink" Target="https://www.linkedin.com/learning/fundamentos-de-inovacao-empresarial?trk=contentmappingfile" TargetMode="External"/><Relationship Id="rId144" Type="http://schemas.openxmlformats.org/officeDocument/2006/relationships/hyperlink" Target="https://www.linkedin.com/learning/paths/trabalho-remoto-colaboracao-foco-e-produtividade?trk=ondemandfile" TargetMode="External"/><Relationship Id="rId90" Type="http://schemas.openxmlformats.org/officeDocument/2006/relationships/hyperlink" Target="https://www.linkedin.com/learning/como-desenvolver-a-autolideranca?trk=ondemandfile" TargetMode="External"/><Relationship Id="rId165" Type="http://schemas.openxmlformats.org/officeDocument/2006/relationships/hyperlink" Target="https://www.linkedin.com/learning/paths/torne-se-um-profissional-de-vendas?trk=ondemandfile" TargetMode="External"/><Relationship Id="rId186" Type="http://schemas.openxmlformats.org/officeDocument/2006/relationships/hyperlink" Target="https://www.linkedin.com/learning/paths/torne-se-um-lider?trk=ondemandfile" TargetMode="External"/><Relationship Id="rId27" Type="http://schemas.openxmlformats.org/officeDocument/2006/relationships/hyperlink" Target="https://www.linkedin.com/learning/como-passar-da-colaboracao-a-gerencia?trk=contentmappingfile" TargetMode="External"/><Relationship Id="rId48" Type="http://schemas.openxmlformats.org/officeDocument/2006/relationships/hyperlink" Target="https://www.linkedin.com/learning/como-ser-uma-pessoa-assertiva?trk=contentmappingfile" TargetMode="External"/><Relationship Id="rId69" Type="http://schemas.openxmlformats.org/officeDocument/2006/relationships/hyperlink" Target="https://www.linkedin.com/learning/paths/trabalho-remoto-colaboracao-foco-e-produtividade?trk=ondemandfile" TargetMode="External"/><Relationship Id="rId113" Type="http://schemas.openxmlformats.org/officeDocument/2006/relationships/hyperlink" Target="https://www.linkedin.com/learning/mulheres-na-lideranca-como-impulsionar-a-equidade-nas-organizacoes?trk=contentmappingfile" TargetMode="External"/><Relationship Id="rId134" Type="http://schemas.openxmlformats.org/officeDocument/2006/relationships/hyperlink" Target="https://www.linkedin.com/learning/contratacao-de-colaboradores-tecnicas-para-gerentes?trk=contentmappingfile" TargetMode="External"/><Relationship Id="rId80" Type="http://schemas.openxmlformats.org/officeDocument/2006/relationships/hyperlink" Target="https://www.linkedin.com/learning/como-desenvolver-a-resiliencia?trk=ondemandfile" TargetMode="External"/><Relationship Id="rId155" Type="http://schemas.openxmlformats.org/officeDocument/2006/relationships/hyperlink" Target="https://www.linkedin.com/learning/gestao-de-conflitos-como-lidar-com-as-divergencias-na-empresa?trk=contentmappingfile" TargetMode="External"/><Relationship Id="rId176" Type="http://schemas.openxmlformats.org/officeDocument/2006/relationships/hyperlink" Target="https://www.linkedin.com/learning/como-integrar-novos-colaboradores-e-colaboradoras-a-empresa?trk=contentmappingfile" TargetMode="External"/><Relationship Id="rId197" Type="http://schemas.openxmlformats.org/officeDocument/2006/relationships/hyperlink" Target="https://www.linkedin.com/learning/paths/como-fortalecer-suas-competencias-interculturais?trk=ondemandfile" TargetMode="External"/><Relationship Id="rId201" Type="http://schemas.openxmlformats.org/officeDocument/2006/relationships/hyperlink" Target="https://www.linkedin.com/learning/dez-mitos-sobre-diversidade-e-inclusao-no-trabalho?trk=contentmappingfile" TargetMode="External"/><Relationship Id="rId17" Type="http://schemas.openxmlformats.org/officeDocument/2006/relationships/hyperlink" Target="https://www.linkedin.com/learning/como-gerenciar-o-estresse-para-promover-mudancas-positivas" TargetMode="External"/><Relationship Id="rId38" Type="http://schemas.openxmlformats.org/officeDocument/2006/relationships/hyperlink" Target="https://www.linkedin.com/learning/como-gerenciar-sua-chefia?trk=contentmappingfile" TargetMode="External"/><Relationship Id="rId59" Type="http://schemas.openxmlformats.org/officeDocument/2006/relationships/hyperlink" Target="https://www.linkedin.com/learning/como-comunicar-mas-noticias-aos-clientes?trk=contentmappingfile" TargetMode="External"/><Relationship Id="rId103" Type="http://schemas.openxmlformats.org/officeDocument/2006/relationships/hyperlink" Target="https://www.linkedin.com/learning/paths/torne-se-um-lider?trk=ondemandfile" TargetMode="External"/><Relationship Id="rId124" Type="http://schemas.openxmlformats.org/officeDocument/2006/relationships/hyperlink" Target="https://www.linkedin.com/learning/a-linguagem-corporal-da-lideranca?trk=contentmappingfile" TargetMode="External"/><Relationship Id="rId70" Type="http://schemas.openxmlformats.org/officeDocument/2006/relationships/hyperlink" Target="https://www.linkedin.com/learning/como-estimular-o-pensamento-criativo-da-sua-equipe?trk=contentmappingfile" TargetMode="External"/><Relationship Id="rId91" Type="http://schemas.openxmlformats.org/officeDocument/2006/relationships/hyperlink" Target="https://www.linkedin.com/learning/como-desenvolver-a-resiliencia?trk=ondemandfile" TargetMode="External"/><Relationship Id="rId145" Type="http://schemas.openxmlformats.org/officeDocument/2006/relationships/hyperlink" Target="https://www.linkedin.com/learning/como-demitir-colaboradores?trk=contentmappingfile" TargetMode="External"/><Relationship Id="rId166" Type="http://schemas.openxmlformats.org/officeDocument/2006/relationships/hyperlink" Target="https://www.linkedin.com/learning/como-comunicar-mas-noticias-aos-clientes?trk=contentmappingfile" TargetMode="External"/><Relationship Id="rId187" Type="http://schemas.openxmlformats.org/officeDocument/2006/relationships/hyperlink" Target="https://www.linkedin.com/learning/paths/transforme-se-num-lider-disruptivo?trk=ondemandfile" TargetMode="External"/><Relationship Id="rId1" Type="http://schemas.openxmlformats.org/officeDocument/2006/relationships/hyperlink" Target="https://www.linkedin.com/learning/paths/como-desenvolver-uma-mentalidade-de-crescimento?trk=ondemandfile" TargetMode="External"/><Relationship Id="rId28" Type="http://schemas.openxmlformats.org/officeDocument/2006/relationships/hyperlink" Target="https://www.linkedin.com/learning/contratacao-e-desenvolvimento-de-futuros-colaboradores-e-colaboradoras?trk=contentmappingfile" TargetMode="External"/><Relationship Id="rId49" Type="http://schemas.openxmlformats.org/officeDocument/2006/relationships/hyperlink" Target="https://www.linkedin.com/learning/fundamentos-de-comunicacao?trk=contentmappingfile" TargetMode="External"/><Relationship Id="rId114" Type="http://schemas.openxmlformats.org/officeDocument/2006/relationships/hyperlink" Target="https://www.linkedin.com/learning/a-linguagem-corporal-da-lideranca?trk=contentmappingfile" TargetMode="External"/><Relationship Id="rId60" Type="http://schemas.openxmlformats.org/officeDocument/2006/relationships/hyperlink" Target="https://www.linkedin.com/learning/como-comunicar-mas-noticias-aos-clientes?trk=contentmappingfile" TargetMode="External"/><Relationship Id="rId81" Type="http://schemas.openxmlformats.org/officeDocument/2006/relationships/hyperlink" Target="https://www.linkedin.com/learning/pensamento-critico?trk=ondemandfile" TargetMode="External"/><Relationship Id="rId135" Type="http://schemas.openxmlformats.org/officeDocument/2006/relationships/hyperlink" Target="https://www.linkedin.com/learning/dicas-e-estrategias-para-exercer-uma-lideranca-de-alto-impacto?trk=contentmappingfile" TargetMode="External"/><Relationship Id="rId156" Type="http://schemas.openxmlformats.org/officeDocument/2006/relationships/hyperlink" Target="https://www.linkedin.com/learning/gestao-de-novos-cargos-de-gerencia?trk=contentmappingfile" TargetMode="External"/><Relationship Id="rId177" Type="http://schemas.openxmlformats.org/officeDocument/2006/relationships/hyperlink" Target="https://www.linkedin.com/learning/como-promover-a-empatia-no-mundo-das-tecnologias-de-informacao?trk=contentmappingfile" TargetMode="External"/><Relationship Id="rId198" Type="http://schemas.openxmlformats.org/officeDocument/2006/relationships/hyperlink" Target="https://www.linkedin.com/learning/como-desenvolver-as-competencias-necessarias-para-abordar-conversas-inclusivas?trk=contentmappingfile" TargetMode="External"/><Relationship Id="rId202" Type="http://schemas.openxmlformats.org/officeDocument/2006/relationships/hyperlink" Target="https://www.linkedin.com/learning/kwame-christian-responde-sobre-como-abordar-assuntos-raciais?trk=contentmappingfile" TargetMode="External"/><Relationship Id="rId18" Type="http://schemas.openxmlformats.org/officeDocument/2006/relationships/hyperlink" Target="https://www.linkedin.com/learning/paths/torne-se-um-lider?trk=ondemandfile" TargetMode="External"/><Relationship Id="rId39" Type="http://schemas.openxmlformats.org/officeDocument/2006/relationships/hyperlink" Target="https://www.linkedin.com/learning/como-melhorar-suas-competencias-de-escuta?trk=contentmappingfile" TargetMode="External"/><Relationship Id="rId50" Type="http://schemas.openxmlformats.org/officeDocument/2006/relationships/hyperlink" Target="https://www.linkedin.com/learning/kwame-christian-responde-sobre-como-abordar-assuntos-raciais?trk=contentmappingfile" TargetMode="External"/><Relationship Id="rId104" Type="http://schemas.openxmlformats.org/officeDocument/2006/relationships/hyperlink" Target="https://www.linkedin.com/learning/paths/transforme-se-num-lider-disruptivo?trk=ondemandfile" TargetMode="External"/><Relationship Id="rId125" Type="http://schemas.openxmlformats.org/officeDocument/2006/relationships/hyperlink" Target="https://www.linkedin.com/learning/paths/torne-se-um-lider?trk=ondemandfile" TargetMode="External"/><Relationship Id="rId146" Type="http://schemas.openxmlformats.org/officeDocument/2006/relationships/hyperlink" Target="https://www.linkedin.com/learning/como-desenvolver-a-lideranca-de-pensamento?trk=contentmappingfile" TargetMode="External"/><Relationship Id="rId167" Type="http://schemas.openxmlformats.org/officeDocument/2006/relationships/hyperlink" Target="https://www.linkedin.com/learning/gestao-de-expectativas-dos-clientes-para-gerentes?trk=contentmappingfile" TargetMode="External"/><Relationship Id="rId188" Type="http://schemas.openxmlformats.org/officeDocument/2006/relationships/hyperlink" Target="https://www.linkedin.com/learning/paths/trabalho-remoto-colaboracao-foco-e-produtividade?trk=ondemandfile" TargetMode="External"/><Relationship Id="rId71" Type="http://schemas.openxmlformats.org/officeDocument/2006/relationships/hyperlink" Target="https://www.linkedin.com/learning/fundamentos-da-criatividade-como-despertar-o-talento-de-sua-equipe?trk=contentmappingfile" TargetMode="External"/><Relationship Id="rId92" Type="http://schemas.openxmlformats.org/officeDocument/2006/relationships/hyperlink" Target="https://www.linkedin.com/learning/como-usar-o-pensamento-critico-para-refinar-o-julgamento-e-a-tomada-de-decisoes?trk=ondemandfile" TargetMode="External"/><Relationship Id="rId2" Type="http://schemas.openxmlformats.org/officeDocument/2006/relationships/hyperlink" Target="https://www.linkedin.com/learning/como-colaborar-de-forma-eficaz-com-sua-equipe?trk=contentmappingfile" TargetMode="External"/><Relationship Id="rId29" Type="http://schemas.openxmlformats.org/officeDocument/2006/relationships/hyperlink" Target="https://www.linkedin.com/learning/gestao-de-conflitos-como-lidar-com-as-divergencias-na-empresa?trk=contentmappingfile"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www.linkedin.com/learning/engaging-your-virtual-audience?trk=ondemandfile" TargetMode="External"/><Relationship Id="rId170" Type="http://schemas.openxmlformats.org/officeDocument/2006/relationships/hyperlink" Target="https://www.linkedin.com/learning/paths/build-a-company-learning-and-development-program?trk=ondemandfile" TargetMode="External"/><Relationship Id="rId987" Type="http://schemas.openxmlformats.org/officeDocument/2006/relationships/hyperlink" Target="https://www.linkedin.com/learning/design-thinking-implementing-the-process?trk=ondemandfile" TargetMode="External"/><Relationship Id="rId2668" Type="http://schemas.openxmlformats.org/officeDocument/2006/relationships/hyperlink" Target="https://www.linkedin.com/learning/communicating-in-the-lan-guage-of-leadership?trk=ondemandfile" TargetMode="External"/><Relationship Id="rId847" Type="http://schemas.openxmlformats.org/officeDocument/2006/relationships/hyperlink" Target="https://www.linkedin.com/learning/lessons-from-data-scientists?trk=ondemandfile" TargetMode="External"/><Relationship Id="rId1477" Type="http://schemas.openxmlformats.org/officeDocument/2006/relationships/hyperlink" Target="https://www.linkedin.com/learning/communicating-an-enterprise-wide-transformation?trk=ondemandfile" TargetMode="External"/><Relationship Id="rId1684" Type="http://schemas.openxmlformats.org/officeDocument/2006/relationships/hyperlink" Target="https://www.linkedin.com/learning/having-difficult-conversations-2?trk=ondemandfile" TargetMode="External"/><Relationship Id="rId1891" Type="http://schemas.openxmlformats.org/officeDocument/2006/relationships/hyperlink" Target="https://www.linkedin.com/learning/skilled-trades-resumes-and-portfolios?trk=ondemandfile" TargetMode="External"/><Relationship Id="rId2528" Type="http://schemas.openxmlformats.org/officeDocument/2006/relationships/hyperlink" Target="https://www.linkedin.com/learning/overcoming-rejection?trk=ondemandfile" TargetMode="External"/><Relationship Id="rId2735" Type="http://schemas.openxmlformats.org/officeDocument/2006/relationships/hyperlink" Target="https://www.linkedin.com/learning/listen-to-lead?trk=ondemandfile" TargetMode="External"/><Relationship Id="rId707" Type="http://schemas.openxmlformats.org/officeDocument/2006/relationships/hyperlink" Target="https://www.linkedin.com/learning/creative-confidence-blinkist-summary?trk=ondemandfile" TargetMode="External"/><Relationship Id="rId914" Type="http://schemas.openxmlformats.org/officeDocument/2006/relationships/hyperlink" Target="https://www.linkedin.com/learning/nosql-data-modeling-essential-training?trk=ondemandfile" TargetMode="External"/><Relationship Id="rId1337" Type="http://schemas.openxmlformats.org/officeDocument/2006/relationships/hyperlink" Target="https://www.linkedin.com/learning/machine-learning-ai-foundations-predictive-modeling-strategy-at-scale?trk=ondemandfile" TargetMode="External"/><Relationship Id="rId1544" Type="http://schemas.openxmlformats.org/officeDocument/2006/relationships/hyperlink" Target="https://www.linkedin.com/learning/key-mental-shifts-for-servant-leadership?trk=ondemandfile" TargetMode="External"/><Relationship Id="rId1751" Type="http://schemas.openxmlformats.org/officeDocument/2006/relationships/hyperlink" Target="https://www.linkedin.com/learning/implementing-lean-a-case-study?trk=ondemandfile" TargetMode="External"/><Relationship Id="rId43" Type="http://schemas.openxmlformats.org/officeDocument/2006/relationships/hyperlink" Target="https://www.linkedin.com/learning/managing-your-energy?trk=ondemandfile" TargetMode="External"/><Relationship Id="rId1404" Type="http://schemas.openxmlformats.org/officeDocument/2006/relationships/hyperlink" Target="https://www.linkedin.com/learning/penetration-testing-advanced-web-testing?trk=ondemandfile" TargetMode="External"/><Relationship Id="rId1611" Type="http://schemas.openxmlformats.org/officeDocument/2006/relationships/hyperlink" Target="https://www.linkedin.com/learning/advice-for-leaders-during-a-crisis?trk=ondemandfile" TargetMode="External"/><Relationship Id="rId497" Type="http://schemas.openxmlformats.org/officeDocument/2006/relationships/hyperlink" Target="https://www.linkedin.com/learning/leading-in-crisis?trk=ondemandfile" TargetMode="External"/><Relationship Id="rId2178" Type="http://schemas.openxmlformats.org/officeDocument/2006/relationships/hyperlink" Target="https://www.linkedin.com/learning/the-future-of-work-the-necessary-skills-of-your-future-workforce?trk=contentmappingfile" TargetMode="External"/><Relationship Id="rId2385" Type="http://schemas.openxmlformats.org/officeDocument/2006/relationships/hyperlink" Target="https://www.linkedin.com/learning/branding-your-authentic-self?trk=ondemandfile" TargetMode="External"/><Relationship Id="rId357" Type="http://schemas.openxmlformats.org/officeDocument/2006/relationships/hyperlink" Target="https://www.linkedin.com/learning/communicating-in-the-lan-guage-of-leadership?trk=ondemandfile" TargetMode="External"/><Relationship Id="rId1194" Type="http://schemas.openxmlformats.org/officeDocument/2006/relationships/hyperlink" Target="https://www.linkedin.com/learning/learning-linkedin-recruiter-2021?trk=ondemandfile" TargetMode="External"/><Relationship Id="rId2038" Type="http://schemas.openxmlformats.org/officeDocument/2006/relationships/hyperlink" Target="https://www.linkedin.com/learning/creating-the-ideal-sales-culture?trk=ondemandfile" TargetMode="External"/><Relationship Id="rId2592" Type="http://schemas.openxmlformats.org/officeDocument/2006/relationships/hyperlink" Target="https://www.linkedin.com/learning/beating-procrastination?trk=ondemandfile" TargetMode="External"/><Relationship Id="rId217" Type="http://schemas.openxmlformats.org/officeDocument/2006/relationships/hyperlink" Target="https://www.linkedin.com/learning/advanced-remote-work-strategies?trk=ondemandfile" TargetMode="External"/><Relationship Id="rId564" Type="http://schemas.openxmlformats.org/officeDocument/2006/relationships/hyperlink" Target="https://www.linkedin.com/learning/branding-foundations-2?trk=ondemandfile" TargetMode="External"/><Relationship Id="rId771" Type="http://schemas.openxmlformats.org/officeDocument/2006/relationships/hyperlink" Target="https://www.linkedin.com/learning/how-to-fix-bad-agile?trk=ondemandfile" TargetMode="External"/><Relationship Id="rId2245" Type="http://schemas.openxmlformats.org/officeDocument/2006/relationships/hyperlink" Target="https://www.linkedin.com/learning/increase-visibility-to-advance-your-career?trk=ondemandfile" TargetMode="External"/><Relationship Id="rId2452" Type="http://schemas.openxmlformats.org/officeDocument/2006/relationships/hyperlink" Target="https://www.linkedin.com/learning/is-there-a-book-in-you-learn-to-create-your-own-masterpiece?trk=ondemandfile" TargetMode="External"/><Relationship Id="rId424" Type="http://schemas.openxmlformats.org/officeDocument/2006/relationships/hyperlink" Target="https://www.linkedin.com/learning/media-training-essentials?trk=ondemandfile" TargetMode="External"/><Relationship Id="rId631" Type="http://schemas.openxmlformats.org/officeDocument/2006/relationships/hyperlink" Target="https://www.linkedin.com/learning/growth-hacking-tips-2?trk=ondemandfile" TargetMode="External"/><Relationship Id="rId1054" Type="http://schemas.openxmlformats.org/officeDocument/2006/relationships/hyperlink" Target="https://www.linkedin.com/learning/corporate-finance-foundations?trk=ondemandfile" TargetMode="External"/><Relationship Id="rId1261" Type="http://schemas.openxmlformats.org/officeDocument/2006/relationships/hyperlink" Target="https://www.linkedin.com/learning/paths/become-a-c-plus-plus-developer?trk=ondemandfile" TargetMode="External"/><Relationship Id="rId2105" Type="http://schemas.openxmlformats.org/officeDocument/2006/relationships/hyperlink" Target="https://www.linkedin.com/learning/strategic-partnerships-ecosystems-and-platforms?trk=ondemandfile" TargetMode="External"/><Relationship Id="rId2312" Type="http://schemas.openxmlformats.org/officeDocument/2006/relationships/hyperlink" Target="https://www.linkedin.com/learning/global-strategy?trk=ondemandfile" TargetMode="External"/><Relationship Id="rId1121" Type="http://schemas.openxmlformats.org/officeDocument/2006/relationships/hyperlink" Target="https://www.linkedin.com/learning/the-data-science-of-economics-banking-and-finance-with-barton-poulson?trk=ondemandfile" TargetMode="External"/><Relationship Id="rId1938" Type="http://schemas.openxmlformats.org/officeDocument/2006/relationships/hyperlink" Target="https://www.linkedin.com/learning/adaptive-project-leadership?trk=ondemandfile" TargetMode="External"/><Relationship Id="rId281" Type="http://schemas.openxmlformats.org/officeDocument/2006/relationships/hyperlink" Target="https://www.linkedin.com/learning/collaboration-principles-and-process?trk=ondemandfile" TargetMode="External"/><Relationship Id="rId141" Type="http://schemas.openxmlformats.org/officeDocument/2006/relationships/hyperlink" Target="https://www.linkedin.com/learning/using-resilience-to-overcome-the-seemingly-impossible?trk=ondemandfile" TargetMode="External"/><Relationship Id="rId7" Type="http://schemas.openxmlformats.org/officeDocument/2006/relationships/hyperlink" Target="https://www.linkedin.com/learning/communicating-to-drive-people-to-take-action?trk=ondemandfile" TargetMode="External"/><Relationship Id="rId958" Type="http://schemas.openxmlformats.org/officeDocument/2006/relationships/hyperlink" Target="https://www.linkedin.com/learning/teaching-with-linkedin-learning?trk=ondemandfile" TargetMode="External"/><Relationship Id="rId1588" Type="http://schemas.openxmlformats.org/officeDocument/2006/relationships/hyperlink" Target="https://www.linkedin.com/learning/exercising-a-growth-mindset-as-a-leader-nine-common-workplace-challenges?trk=ondemandfile" TargetMode="External"/><Relationship Id="rId1795" Type="http://schemas.openxmlformats.org/officeDocument/2006/relationships/hyperlink" Target="https://www.linkedin.com/learning/outsourcing-management?trk=ondemandfile" TargetMode="External"/><Relationship Id="rId2639" Type="http://schemas.openxmlformats.org/officeDocument/2006/relationships/hyperlink" Target="https://www.linkedin.com/learning/building-resilience-as-a-leader?trk=ondemandfile" TargetMode="External"/><Relationship Id="rId87" Type="http://schemas.openxmlformats.org/officeDocument/2006/relationships/hyperlink" Target="https://www.linkedin.com/learning/mastering-self-leadership?trk=ondemandfile" TargetMode="External"/><Relationship Id="rId818" Type="http://schemas.openxmlformats.org/officeDocument/2006/relationships/hyperlink" Target="https://www.linkedin.com/learning/customer-experience-service-blueprinting?trk=ondemandfile" TargetMode="External"/><Relationship Id="rId1448" Type="http://schemas.openxmlformats.org/officeDocument/2006/relationships/hyperlink" Target="https://www.linkedin.com/learning/leading-with-fearless-mindfulness?trk=ondemandfile" TargetMode="External"/><Relationship Id="rId1655" Type="http://schemas.openxmlformats.org/officeDocument/2006/relationships/hyperlink" Target="https://www.linkedin.com/learning/managing-teams-2018?trk=ondemandfile" TargetMode="External"/><Relationship Id="rId2706" Type="http://schemas.openxmlformats.org/officeDocument/2006/relationships/hyperlink" Target="https://www.linkedin.com/learning/managing-skills-for-remote-leaders?trk=ondemandfile" TargetMode="External"/><Relationship Id="rId1308" Type="http://schemas.openxmlformats.org/officeDocument/2006/relationships/hyperlink" Target="https://www.linkedin.com/learning/microsoft-dynamics-365-essential-training-2021?trk=ondemandfile" TargetMode="External"/><Relationship Id="rId1862" Type="http://schemas.openxmlformats.org/officeDocument/2006/relationships/hyperlink" Target="https://www.linkedin.com/learning/paths/become-a-healthcare-project-manager?trk=ondemandfile" TargetMode="External"/><Relationship Id="rId1515" Type="http://schemas.openxmlformats.org/officeDocument/2006/relationships/hyperlink" Target="https://www.linkedin.com/learning/transformational-leadership?trk=ondemandfile" TargetMode="External"/><Relationship Id="rId1722" Type="http://schemas.openxmlformats.org/officeDocument/2006/relationships/hyperlink" Target="https://www.linkedin.com/learning/reid-hoffman-and-chris-yeh-on-blitzscaling?trk=ondemandfile" TargetMode="External"/><Relationship Id="rId14" Type="http://schemas.openxmlformats.org/officeDocument/2006/relationships/hyperlink" Target="https://www.linkedin.com/learning/build-a-trustworthy-reputation?trk=ondemandfile" TargetMode="External"/><Relationship Id="rId2289" Type="http://schemas.openxmlformats.org/officeDocument/2006/relationships/hyperlink" Target="https://www.linkedin.com/learning/improving-employee-performance?trk=ondemandfile" TargetMode="External"/><Relationship Id="rId2496" Type="http://schemas.openxmlformats.org/officeDocument/2006/relationships/hyperlink" Target="https://www.linkedin.com/learning/building-better-routines?trk=ondemandfile" TargetMode="External"/><Relationship Id="rId468" Type="http://schemas.openxmlformats.org/officeDocument/2006/relationships/hyperlink" Target="https://www.linkedin.com/learning/reputation-risk-management?trk=ondemandfile" TargetMode="External"/><Relationship Id="rId675" Type="http://schemas.openxmlformats.org/officeDocument/2006/relationships/hyperlink" Target="https://www.linkedin.com/learning/creative-thinking-strategies-for-leaders?trk=ondemandfile" TargetMode="External"/><Relationship Id="rId882" Type="http://schemas.openxmlformats.org/officeDocument/2006/relationships/hyperlink" Target="https://www.linkedin.com/learning/presenting-data-effectively-to-inform-and-inspire?trk=ondemandfile" TargetMode="External"/><Relationship Id="rId1098" Type="http://schemas.openxmlformats.org/officeDocument/2006/relationships/hyperlink" Target="https://www.linkedin.com/learning/managing-globally/what-is-cultural-agility" TargetMode="External"/><Relationship Id="rId2149" Type="http://schemas.openxmlformats.org/officeDocument/2006/relationships/hyperlink" Target="https://www.linkedin.com/learning/change-management-tips-for-individuals?trk=ondemandfile" TargetMode="External"/><Relationship Id="rId2356" Type="http://schemas.openxmlformats.org/officeDocument/2006/relationships/hyperlink" Target="https://www.linkedin.com/learning/leveraging-neuroscience-for-business-impact?trk=ondemandfile" TargetMode="External"/><Relationship Id="rId2563" Type="http://schemas.openxmlformats.org/officeDocument/2006/relationships/hyperlink" Target="https://www.linkedin.com/learning/45-minute-business-plan?trk=ondemandfile" TargetMode="External"/><Relationship Id="rId328" Type="http://schemas.openxmlformats.org/officeDocument/2006/relationships/hyperlink" Target="https://www.linkedin.com/learning/cmo-foundations-creating-a-marketing-culture?trk=ondemandfile" TargetMode="External"/><Relationship Id="rId535" Type="http://schemas.openxmlformats.org/officeDocument/2006/relationships/hyperlink" Target="https://www.linkedin.com/learning/advanced-lead-generation-2019?trk=ondemandfile" TargetMode="External"/><Relationship Id="rId742" Type="http://schemas.openxmlformats.org/officeDocument/2006/relationships/hyperlink" Target="https://www.linkedin.com/learning/improving-your-judgment-for-better-decision-making?trk=ondemandfile" TargetMode="External"/><Relationship Id="rId1165" Type="http://schemas.openxmlformats.org/officeDocument/2006/relationships/hyperlink" Target="https://www.linkedin.com/learning/virtual-interviewing-for-hr?trk=ondemandfile" TargetMode="External"/><Relationship Id="rId1372" Type="http://schemas.openxmlformats.org/officeDocument/2006/relationships/hyperlink" Target="https://www.linkedin.com/learning/autoscaling-your-application-with-microsoft-azure?trk=ondemandfile" TargetMode="External"/><Relationship Id="rId2009" Type="http://schemas.openxmlformats.org/officeDocument/2006/relationships/hyperlink" Target="https://www.linkedin.com/learning/how-to-make-work-more-meaningful?trk=ondemandfile" TargetMode="External"/><Relationship Id="rId2216" Type="http://schemas.openxmlformats.org/officeDocument/2006/relationships/hyperlink" Target="https://www.linkedin.com/learning/lean-technology-strategy-building-high-performing-teams?trk=ondemandfile" TargetMode="External"/><Relationship Id="rId2423" Type="http://schemas.openxmlformats.org/officeDocument/2006/relationships/hyperlink" Target="https://www.linkedin.com/learning/bystander-training-from-bystander-to-upstander?trk=ondemandfile" TargetMode="External"/><Relationship Id="rId2630" Type="http://schemas.openxmlformats.org/officeDocument/2006/relationships/hyperlink" Target="https://www.linkedin.com/learning/paths/leading-others-effectively?trk=ondemandfile" TargetMode="External"/><Relationship Id="rId602" Type="http://schemas.openxmlformats.org/officeDocument/2006/relationships/hyperlink" Target="https://www.linkedin.com/learning/marketing-foundations-analytics?trk=ondemandfile" TargetMode="External"/><Relationship Id="rId1025" Type="http://schemas.openxmlformats.org/officeDocument/2006/relationships/hyperlink" Target="https://www.linkedin.com/learning/paths/become-a-small-business-owner?trk=ondemandfile" TargetMode="External"/><Relationship Id="rId1232" Type="http://schemas.openxmlformats.org/officeDocument/2006/relationships/hyperlink" Target="https://www.linkedin.com/learning/human-resources-understanding-hr-systems-features-and-benefits?trk=ondemandfile" TargetMode="External"/><Relationship Id="rId185" Type="http://schemas.openxmlformats.org/officeDocument/2006/relationships/hyperlink" Target="https://www.linkedin.com/learning/build-your-team?trk=ondemandfile" TargetMode="External"/><Relationship Id="rId1909" Type="http://schemas.openxmlformats.org/officeDocument/2006/relationships/hyperlink" Target="https://www.linkedin.com/learning/project-management-foundations-quality-2020?trk=ondemandfile" TargetMode="External"/><Relationship Id="rId392" Type="http://schemas.openxmlformats.org/officeDocument/2006/relationships/hyperlink" Target="https://www.linkedin.com/learning/the-science-of-compassion-the-upward-spiral-of-compassion?trk=ondemandfile" TargetMode="External"/><Relationship Id="rId2073" Type="http://schemas.openxmlformats.org/officeDocument/2006/relationships/hyperlink" Target="https://www.linkedin.com/learning/just-ask-dean-karrel?trk=ondemandfile" TargetMode="External"/><Relationship Id="rId2280" Type="http://schemas.openxmlformats.org/officeDocument/2006/relationships/hyperlink" Target="https://www.linkedin.com/learning/managing-high-potentials?trk=ondemandfile" TargetMode="External"/><Relationship Id="rId252" Type="http://schemas.openxmlformats.org/officeDocument/2006/relationships/hyperlink" Target="https://www.linkedin.com/learning/reid-hoffman-and-chris-yeh-on-creating-an-alliance-with-employees?trk=ondemandfile" TargetMode="External"/><Relationship Id="rId2140" Type="http://schemas.openxmlformats.org/officeDocument/2006/relationships/hyperlink" Target="https://www.linkedin.com/learning/designing-an-authentic-brand?trk=ondemandfile" TargetMode="External"/><Relationship Id="rId112" Type="http://schemas.openxmlformats.org/officeDocument/2006/relationships/hyperlink" Target="https://www.linkedin.com/learning/communicating-in-times-of-change?trk=ondemandfile" TargetMode="External"/><Relationship Id="rId1699" Type="http://schemas.openxmlformats.org/officeDocument/2006/relationships/hyperlink" Target="https://www.linkedin.com/learning/the-superbosses-playbook?trk=ondemandfile" TargetMode="External"/><Relationship Id="rId2000" Type="http://schemas.openxmlformats.org/officeDocument/2006/relationships/hyperlink" Target="https://www.linkedin.com/learning/prepare-yourself-for-a-career-in-sales-2?trk=ondemandfile" TargetMode="External"/><Relationship Id="rId929" Type="http://schemas.openxmlformats.org/officeDocument/2006/relationships/hyperlink" Target="https://www.linkedin.com/learning/ai-in-business-essential-training?trk=ondemandfile" TargetMode="External"/><Relationship Id="rId1559" Type="http://schemas.openxmlformats.org/officeDocument/2006/relationships/hyperlink" Target="https://www.linkedin.com/learning/having-career-conversations-with-your-team?trk=ondemandfile" TargetMode="External"/><Relationship Id="rId1766" Type="http://schemas.openxmlformats.org/officeDocument/2006/relationships/hyperlink" Target="https://www.linkedin.com/learning/business-process-improvement?trk=ondemandfile" TargetMode="External"/><Relationship Id="rId1973" Type="http://schemas.openxmlformats.org/officeDocument/2006/relationships/hyperlink" Target="https://www.linkedin.com/learning/paths/build-your-skills-in-customer-billing-support?trk=ondemandfile" TargetMode="External"/><Relationship Id="rId58" Type="http://schemas.openxmlformats.org/officeDocument/2006/relationships/hyperlink" Target="https://www.linkedin.com/learning/secrets-of-effective-prioritization?trk=ondemandfile" TargetMode="External"/><Relationship Id="rId1419" Type="http://schemas.openxmlformats.org/officeDocument/2006/relationships/hyperlink" Target="https://www.linkedin.com/learning/paths/digital-transformation-for-tech-leaders?trk=ondemandfile" TargetMode="External"/><Relationship Id="rId1626" Type="http://schemas.openxmlformats.org/officeDocument/2006/relationships/hyperlink" Target="https://www.linkedin.com/learning/paths/grow-your-impact-as-a-mentor?trk=ondemandfile" TargetMode="External"/><Relationship Id="rId1833" Type="http://schemas.openxmlformats.org/officeDocument/2006/relationships/hyperlink" Target="https://www.linkedin.com/learning/creating-and-giving-business-presentations?trk=ondemandfile" TargetMode="External"/><Relationship Id="rId1900" Type="http://schemas.openxmlformats.org/officeDocument/2006/relationships/hyperlink" Target="https://www.linkedin.com/learning/implementing-lean-a-case-study?trk=ondemandfile" TargetMode="External"/><Relationship Id="rId579" Type="http://schemas.openxmlformats.org/officeDocument/2006/relationships/hyperlink" Target="https://www.linkedin.com/learning/marketing-customer-segmentation?trk=ondemandfile" TargetMode="External"/><Relationship Id="rId786" Type="http://schemas.openxmlformats.org/officeDocument/2006/relationships/hyperlink" Target="https://www.linkedin.com/learning/winning-back-a-lost-customer-2?trk=ondemandfile" TargetMode="External"/><Relationship Id="rId993" Type="http://schemas.openxmlformats.org/officeDocument/2006/relationships/hyperlink" Target="https://www.linkedin.com/learning/camtasia-2019-essential-training-advanced-techniques?trk=ondemandfile" TargetMode="External"/><Relationship Id="rId2467" Type="http://schemas.openxmlformats.org/officeDocument/2006/relationships/hyperlink" Target="https://www.linkedin.com/learning/running-a-design-business-writing-and-pricing-winning-proposals?trk=ondemandfile" TargetMode="External"/><Relationship Id="rId2674" Type="http://schemas.openxmlformats.org/officeDocument/2006/relationships/hyperlink" Target="https://www.linkedin.com/learning/developing-assertive-leadership?trk=ondemandfile" TargetMode="External"/><Relationship Id="rId439" Type="http://schemas.openxmlformats.org/officeDocument/2006/relationships/hyperlink" Target="https://www.linkedin.com/learning/speaking-up-at-work?trk=ondemandfile" TargetMode="External"/><Relationship Id="rId646" Type="http://schemas.openxmlformats.org/officeDocument/2006/relationships/hyperlink" Target="https://www.linkedin.com/learning/social-media-marketing-roi-2021?trk=ondemandfile" TargetMode="External"/><Relationship Id="rId1069" Type="http://schemas.openxmlformats.org/officeDocument/2006/relationships/hyperlink" Target="https://www.linkedin.com/learning/analyzing-a-real-estate-deal?trk=ondemandfile" TargetMode="External"/><Relationship Id="rId1276" Type="http://schemas.openxmlformats.org/officeDocument/2006/relationships/hyperlink" Target="https://www.linkedin.com/learning/creating-a-culture-of-privacy?trk=ondemandfile" TargetMode="External"/><Relationship Id="rId1483" Type="http://schemas.openxmlformats.org/officeDocument/2006/relationships/hyperlink" Target="https://www.linkedin.com/learning/driving-change-and-anti-racism?trk=ondemandfile" TargetMode="External"/><Relationship Id="rId2327" Type="http://schemas.openxmlformats.org/officeDocument/2006/relationships/hyperlink" Target="https://www.linkedin.com/learning/paths/stay-ahead-in-all-things-dibs?trk=ondemandfile" TargetMode="External"/><Relationship Id="rId506" Type="http://schemas.openxmlformats.org/officeDocument/2006/relationships/hyperlink" Target="https://www.linkedin.com/learning/paths/become-a-content-strategist-2?trk=ondemandfile" TargetMode="External"/><Relationship Id="rId853" Type="http://schemas.openxmlformats.org/officeDocument/2006/relationships/hyperlink" Target="https://www.linkedin.com/learning/43526866-1304-3fba-8ab8-93dc593a5b24?trk=ondemandfile" TargetMode="External"/><Relationship Id="rId1136" Type="http://schemas.openxmlformats.org/officeDocument/2006/relationships/hyperlink" Target="https://www.linkedin.com/learning/communicating-employee-rewards?trk=ondemandfile" TargetMode="External"/><Relationship Id="rId1690" Type="http://schemas.openxmlformats.org/officeDocument/2006/relationships/hyperlink" Target="https://www.linkedin.com/learning/the-art-of-leadership-getabstract-summary?trk=ondemandfile" TargetMode="External"/><Relationship Id="rId2534" Type="http://schemas.openxmlformats.org/officeDocument/2006/relationships/hyperlink" Target="https://www.linkedin.com/learning/strategies-to-improve-self-awareness?trk=ondemandfile" TargetMode="External"/><Relationship Id="rId713" Type="http://schemas.openxmlformats.org/officeDocument/2006/relationships/hyperlink" Target="https://www.linkedin.com/learning/promoting-psychological-safety-to-encourage-employees-to-take-risks?trk=ondemandfile" TargetMode="External"/><Relationship Id="rId920" Type="http://schemas.openxmlformats.org/officeDocument/2006/relationships/hyperlink" Target="https://www.linkedin.com/learning/power-bi-data-methods?trk=ondemandfile" TargetMode="External"/><Relationship Id="rId1343" Type="http://schemas.openxmlformats.org/officeDocument/2006/relationships/hyperlink" Target="https://www.linkedin.com/learning/foundations-of-enterprise-content-management?trk=ondemandfile" TargetMode="External"/><Relationship Id="rId1550" Type="http://schemas.openxmlformats.org/officeDocument/2006/relationships/hyperlink" Target="https://www.linkedin.com/learning/leading-with-stories-2?trk=ondemandfile" TargetMode="External"/><Relationship Id="rId2601" Type="http://schemas.openxmlformats.org/officeDocument/2006/relationships/hyperlink" Target="https://www.linkedin.com/learning/the-miracle-morning-blinkist-summary?trk=ondemandfile" TargetMode="External"/><Relationship Id="rId1203" Type="http://schemas.openxmlformats.org/officeDocument/2006/relationships/hyperlink" Target="https://www.linkedin.com/learning/human-resources-working-with-vendors-2?trk=ondemandfile" TargetMode="External"/><Relationship Id="rId1410" Type="http://schemas.openxmlformats.org/officeDocument/2006/relationships/hyperlink" Target="https://www.linkedin.com/learning/agile-development-in-the-new-world-of-work?trk=ondemandfile" TargetMode="External"/><Relationship Id="rId296" Type="http://schemas.openxmlformats.org/officeDocument/2006/relationships/hyperlink" Target="https://www.linkedin.com/learning/embracing-conflict-as-a-gift?trk=ondemandfile" TargetMode="External"/><Relationship Id="rId2184" Type="http://schemas.openxmlformats.org/officeDocument/2006/relationships/hyperlink" Target="https://www.linkedin.com/learning/succession-planning?trk=ondemandfile" TargetMode="External"/><Relationship Id="rId2391" Type="http://schemas.openxmlformats.org/officeDocument/2006/relationships/hyperlink" Target="https://www.linkedin.com/learning/building-inclusive-work-communities?trk=ondemandfile" TargetMode="External"/><Relationship Id="rId156" Type="http://schemas.openxmlformats.org/officeDocument/2006/relationships/hyperlink" Target="https://www.linkedin.com/learning/how-to-be-adaptable-as-an-employee?trk=ondemandfile" TargetMode="External"/><Relationship Id="rId363" Type="http://schemas.openxmlformats.org/officeDocument/2006/relationships/hyperlink" Target="https://www.linkedin.com/learning/igniting-emotional-engagement?trk=ondemandfile" TargetMode="External"/><Relationship Id="rId570" Type="http://schemas.openxmlformats.org/officeDocument/2006/relationships/hyperlink" Target="https://www.linkedin.com/learning/marketing-analytics-setting-and-measuring-kpis-2?trk=ondemandfile" TargetMode="External"/><Relationship Id="rId2044" Type="http://schemas.openxmlformats.org/officeDocument/2006/relationships/hyperlink" Target="https://www.linkedin.com/learning/persuasive-selling?trk=ondemandfile" TargetMode="External"/><Relationship Id="rId2251" Type="http://schemas.openxmlformats.org/officeDocument/2006/relationships/hyperlink" Target="https://www.linkedin.com/learning/how-to-succeed-in-a-case-study-interview?trk=ondemandfile" TargetMode="External"/><Relationship Id="rId223" Type="http://schemas.openxmlformats.org/officeDocument/2006/relationships/hyperlink" Target="https://www.linkedin.com/learning/teamwork-foundations-2020?trk=ondemandfile" TargetMode="External"/><Relationship Id="rId430" Type="http://schemas.openxmlformats.org/officeDocument/2006/relationships/hyperlink" Target="https://www.linkedin.com/learning/how-to-create-and-run-a-brilliant-remote-workshop?trk=ondemandfile" TargetMode="External"/><Relationship Id="rId1060" Type="http://schemas.openxmlformats.org/officeDocument/2006/relationships/hyperlink" Target="https://www.linkedin.com/learning/first-5-things-you-have-to-do-to-start-a-business-as-a-creator?trk=ondemandfile" TargetMode="External"/><Relationship Id="rId2111" Type="http://schemas.openxmlformats.org/officeDocument/2006/relationships/hyperlink" Target="https://www.linkedin.com/learning/executive-decision-making?trk=ondemandfile" TargetMode="External"/><Relationship Id="rId1877" Type="http://schemas.openxmlformats.org/officeDocument/2006/relationships/hyperlink" Target="https://www.linkedin.com/learning/complex-project-tips-and-tricks?trk=ondemandfile" TargetMode="External"/><Relationship Id="rId1737" Type="http://schemas.openxmlformats.org/officeDocument/2006/relationships/hyperlink" Target="https://www.linkedin.com/learning/a3-problem-solving-for-continuous-improvement?trk=ondemandfile" TargetMode="External"/><Relationship Id="rId1944" Type="http://schemas.openxmlformats.org/officeDocument/2006/relationships/hyperlink" Target="https://www.linkedin.com/learning/project-management-foundations-budgets-2019?trk=ondemandfile" TargetMode="External"/><Relationship Id="rId29" Type="http://schemas.openxmlformats.org/officeDocument/2006/relationships/hyperlink" Target="https://www.linkedin.com/learning/time-management-tips-following-through?trk=ondemandfile" TargetMode="External"/><Relationship Id="rId1804" Type="http://schemas.openxmlformats.org/officeDocument/2006/relationships/hyperlink" Target="https://www.linkedin.com/learning/paths/getting-started-with-microsoft-powerpoint?trk=ondemandfile" TargetMode="External"/><Relationship Id="rId897" Type="http://schemas.openxmlformats.org/officeDocument/2006/relationships/hyperlink" Target="https://www.linkedin.com/learning/the-data-science-of-media-and-entertainment-with-barton-poulson?trk=ondemandfile" TargetMode="External"/><Relationship Id="rId2578" Type="http://schemas.openxmlformats.org/officeDocument/2006/relationships/hyperlink" Target="https://www.linkedin.com/learning/arianna-huffington-s-thrive-06-giving-back-to-others?trk=ondemandfile" TargetMode="External"/><Relationship Id="rId757" Type="http://schemas.openxmlformats.org/officeDocument/2006/relationships/hyperlink" Target="https://www.linkedin.com/learning/sheryl-sandberg-and-adam-grant-on-option-b?trk=ondemandfile" TargetMode="External"/><Relationship Id="rId964" Type="http://schemas.openxmlformats.org/officeDocument/2006/relationships/hyperlink" Target="https://www.linkedin.com/learning/graphic-design-careers-first-steps-2?trk=ondemandfile" TargetMode="External"/><Relationship Id="rId1387" Type="http://schemas.openxmlformats.org/officeDocument/2006/relationships/hyperlink" Target="https://www.linkedin.com/learning/configuration-manager-configure-and-maintain-a-management-infrastructure?trk=ondemandfile" TargetMode="External"/><Relationship Id="rId1594" Type="http://schemas.openxmlformats.org/officeDocument/2006/relationships/hyperlink" Target="https://www.linkedin.com/learning/leading-with-kindness-and-strength?trk=ondemandfile" TargetMode="External"/><Relationship Id="rId2438" Type="http://schemas.openxmlformats.org/officeDocument/2006/relationships/hyperlink" Target="https://www.linkedin.com/learning/recruiting-veterans?trk=ondemandfile" TargetMode="External"/><Relationship Id="rId2645" Type="http://schemas.openxmlformats.org/officeDocument/2006/relationships/hyperlink" Target="https://www.linkedin.com/learning/stories-every-leader-should-tell?trk=ondemandfile" TargetMode="External"/><Relationship Id="rId93" Type="http://schemas.openxmlformats.org/officeDocument/2006/relationships/hyperlink" Target="https://www.linkedin.com/learning/the-three-secrets-to-effective-time-investment-blinkist-summary?trk=ondemandfile" TargetMode="External"/><Relationship Id="rId617" Type="http://schemas.openxmlformats.org/officeDocument/2006/relationships/hyperlink" Target="https://www.linkedin.com/learning/seo-foundations?trk=ondemandfile" TargetMode="External"/><Relationship Id="rId824" Type="http://schemas.openxmlformats.org/officeDocument/2006/relationships/hyperlink" Target="https://www.linkedin.com/learning/aligning-customer-experience-with-company-culture?trk=ondemandfile" TargetMode="External"/><Relationship Id="rId1247" Type="http://schemas.openxmlformats.org/officeDocument/2006/relationships/hyperlink" Target="https://www.linkedin.com/learning/paths/advance-your-skills-as-an-azure-it-administrator?trk=ondemandfile" TargetMode="External"/><Relationship Id="rId1454" Type="http://schemas.openxmlformats.org/officeDocument/2006/relationships/hyperlink" Target="https://www.linkedin.com/learning/how-to-support-your-employees-well-being?trk=ondemandfile" TargetMode="External"/><Relationship Id="rId1661" Type="http://schemas.openxmlformats.org/officeDocument/2006/relationships/hyperlink" Target="https://www.linkedin.com/learning/be-the-manager-people-won-t-leave?trk=ondemandfile" TargetMode="External"/><Relationship Id="rId2505" Type="http://schemas.openxmlformats.org/officeDocument/2006/relationships/hyperlink" Target="https://www.linkedin.com/learning/the-mindful-workday?trk=ondemandfile" TargetMode="External"/><Relationship Id="rId2712" Type="http://schemas.openxmlformats.org/officeDocument/2006/relationships/hyperlink" Target="https://www.linkedin.com/learning/leadership-presence-in-action?trk=contentmappingfile" TargetMode="External"/><Relationship Id="rId1107" Type="http://schemas.openxmlformats.org/officeDocument/2006/relationships/hyperlink" Target="https://www.linkedin.com/learning/ai-in-fintech-essential-training?trk=ondemandfile" TargetMode="External"/><Relationship Id="rId1314" Type="http://schemas.openxmlformats.org/officeDocument/2006/relationships/hyperlink" Target="https://www.linkedin.com/learning/facilitating-remote-design-thinking?trk=contentmappingfile" TargetMode="External"/><Relationship Id="rId1521" Type="http://schemas.openxmlformats.org/officeDocument/2006/relationships/hyperlink" Target="https://www.linkedin.com/learning/developing-your-leadership-philosophy?trk=ondemandfile" TargetMode="External"/><Relationship Id="rId20" Type="http://schemas.openxmlformats.org/officeDocument/2006/relationships/hyperlink" Target="https://www.linkedin.com/learning/gaining-skills-with-linkedin-learning-2?trk=ondemandfile" TargetMode="External"/><Relationship Id="rId2088" Type="http://schemas.openxmlformats.org/officeDocument/2006/relationships/hyperlink" Target="https://www.linkedin.com/learning/paths/become-a-content-strategist-2?trk=ondemandfile" TargetMode="External"/><Relationship Id="rId2295" Type="http://schemas.openxmlformats.org/officeDocument/2006/relationships/hyperlink" Target="https://www.linkedin.com/learning/managing-for-results-2020?trk=ondemandfile" TargetMode="External"/><Relationship Id="rId267" Type="http://schemas.openxmlformats.org/officeDocument/2006/relationships/hyperlink" Target="https://www.linkedin.com/learning/management-tips?trk=ondemandfile" TargetMode="External"/><Relationship Id="rId474" Type="http://schemas.openxmlformats.org/officeDocument/2006/relationships/hyperlink" Target="https://www.linkedin.com/learning/leading-through-relationships?trk=ondemandfile" TargetMode="External"/><Relationship Id="rId2155" Type="http://schemas.openxmlformats.org/officeDocument/2006/relationships/hyperlink" Target="https://www.linkedin.com/learning/45-minute-business-plan?trk=ondemandfile" TargetMode="External"/><Relationship Id="rId127" Type="http://schemas.openxmlformats.org/officeDocument/2006/relationships/hyperlink" Target="https://www.linkedin.com/learning/negotiating-work-flexibility?trk=ondemandfile" TargetMode="External"/><Relationship Id="rId681" Type="http://schemas.openxmlformats.org/officeDocument/2006/relationships/hyperlink" Target="https://www.linkedin.com/learning/building-a-creative-online-community?trk=ondemandfile" TargetMode="External"/><Relationship Id="rId2362" Type="http://schemas.openxmlformats.org/officeDocument/2006/relationships/hyperlink" Target="https://www.linkedin.com/learning/women-transforming-tech-breaking-bias-2?trk=ondemandfile" TargetMode="External"/><Relationship Id="rId334" Type="http://schemas.openxmlformats.org/officeDocument/2006/relationships/hyperlink" Target="https://www.linkedin.com/learning/organizational-thought-leadership?trk=ondemandfile" TargetMode="External"/><Relationship Id="rId541" Type="http://schemas.openxmlformats.org/officeDocument/2006/relationships/hyperlink" Target="https://www.linkedin.com/learning/digital-marketing-trends?trk=ondemandfile" TargetMode="External"/><Relationship Id="rId1171" Type="http://schemas.openxmlformats.org/officeDocument/2006/relationships/hyperlink" Target="https://www.linkedin.com/learning/hr-recruiting-communication-strategies-to-attract-and-retain-top-talent?trk=ondemandfile" TargetMode="External"/><Relationship Id="rId2015" Type="http://schemas.openxmlformats.org/officeDocument/2006/relationships/hyperlink" Target="https://www.linkedin.com/learning/introduction-to-mind-like-sky-meditation?trk=ondemandfile" TargetMode="External"/><Relationship Id="rId2222" Type="http://schemas.openxmlformats.org/officeDocument/2006/relationships/hyperlink" Target="https://www.linkedin.com/learning/delivering-employee-feedback-2019?trk=ondemandfile" TargetMode="External"/><Relationship Id="rId401" Type="http://schemas.openxmlformats.org/officeDocument/2006/relationships/hyperlink" Target="https://www.linkedin.com/learning/centered-communication-get-better-results-from-your-conversations?trk=ondemandfile" TargetMode="External"/><Relationship Id="rId1031" Type="http://schemas.openxmlformats.org/officeDocument/2006/relationships/hyperlink" Target="https://www.linkedin.com/learning/paths/stay-ahead-in-personal-finance?trk=ondemandfile" TargetMode="External"/><Relationship Id="rId1988" Type="http://schemas.openxmlformats.org/officeDocument/2006/relationships/hyperlink" Target="https://www.linkedin.com/learning/sales-foundations?trk=ondemandfile" TargetMode="External"/><Relationship Id="rId1848" Type="http://schemas.openxmlformats.org/officeDocument/2006/relationships/hyperlink" Target="https://www.linkedin.com/learning/shane-snow-on-storytelling?trk=ondemandfile" TargetMode="External"/><Relationship Id="rId191" Type="http://schemas.openxmlformats.org/officeDocument/2006/relationships/hyperlink" Target="https://www.linkedin.com/learning/identify-and-unleash-potential-in-your-employees?trk=ondemandfile" TargetMode="External"/><Relationship Id="rId1708" Type="http://schemas.openxmlformats.org/officeDocument/2006/relationships/hyperlink" Target="https://www.linkedin.com/learning/mergers-acquisitions?trk=ondemandfile" TargetMode="External"/><Relationship Id="rId1915" Type="http://schemas.openxmlformats.org/officeDocument/2006/relationships/hyperlink" Target="https://www.linkedin.com/learning/project-management-fundamentals-for-non-project-managers?trk=ondemandfile" TargetMode="External"/><Relationship Id="rId2689" Type="http://schemas.openxmlformats.org/officeDocument/2006/relationships/hyperlink" Target="https://www.linkedin.com/learning/leading-with-stories-2?trk=ondemandfile" TargetMode="External"/><Relationship Id="rId868" Type="http://schemas.openxmlformats.org/officeDocument/2006/relationships/hyperlink" Target="https://www.linkedin.com/learning/learning-excel-data-analysis?trk=ondemandfile" TargetMode="External"/><Relationship Id="rId1498" Type="http://schemas.openxmlformats.org/officeDocument/2006/relationships/hyperlink" Target="https://www.linkedin.com/learning/inclusive-leadership?trk=ondemandfile" TargetMode="External"/><Relationship Id="rId2549" Type="http://schemas.openxmlformats.org/officeDocument/2006/relationships/hyperlink" Target="https://www.linkedin.com/learning/strategies-to-get-and-stay-unstuck?trk=ondemandfile" TargetMode="External"/><Relationship Id="rId728" Type="http://schemas.openxmlformats.org/officeDocument/2006/relationships/hyperlink" Target="https://www.linkedin.com/learning/developing-a-critical-thinking-mindset?trk=ondemandfile" TargetMode="External"/><Relationship Id="rId935" Type="http://schemas.openxmlformats.org/officeDocument/2006/relationships/hyperlink" Target="https://www.linkedin.com/learning/data-visualization-for-data-analysis-and-analytics?trk=ondemandfile" TargetMode="External"/><Relationship Id="rId1358" Type="http://schemas.openxmlformats.org/officeDocument/2006/relationships/hyperlink" Target="https://www.linkedin.com/learning/building-recommender-systems-with-machine-learning-and-ai?trk=ondemandfile" TargetMode="External"/><Relationship Id="rId1565" Type="http://schemas.openxmlformats.org/officeDocument/2006/relationships/hyperlink" Target="https://www.linkedin.com/learning/body-language-for-leaders-2?trk=ondemandfile" TargetMode="External"/><Relationship Id="rId1772" Type="http://schemas.openxmlformats.org/officeDocument/2006/relationships/hyperlink" Target="https://www.linkedin.com/learning/lean-six-sigma-define-and-measure-tools?trk=ondemandfile" TargetMode="External"/><Relationship Id="rId2409" Type="http://schemas.openxmlformats.org/officeDocument/2006/relationships/hyperlink" Target="https://www.linkedin.com/learning/cultivating-cultural-competence-and-inclusion?trk=ondemandfile" TargetMode="External"/><Relationship Id="rId2616" Type="http://schemas.openxmlformats.org/officeDocument/2006/relationships/hyperlink" Target="https://www.linkedin.com/learning/paths/become-a-leader-people-love?trk=ondemandfile" TargetMode="External"/><Relationship Id="rId64" Type="http://schemas.openxmlformats.org/officeDocument/2006/relationships/hyperlink" Target="https://www.linkedin.com/learning/building-resilience?trk=ondemandfile" TargetMode="External"/><Relationship Id="rId1218" Type="http://schemas.openxmlformats.org/officeDocument/2006/relationships/hyperlink" Target="https://www.linkedin.com/learning/interviewing-t-echniques-2019?trk=ondemandfile" TargetMode="External"/><Relationship Id="rId1425" Type="http://schemas.openxmlformats.org/officeDocument/2006/relationships/hyperlink" Target="https://www.linkedin.com/learning/paths/manage-change-and-develop-your-adaptability-skills?trk=ondemandfile" TargetMode="External"/><Relationship Id="rId1632" Type="http://schemas.openxmlformats.org/officeDocument/2006/relationships/hyperlink" Target="https://www.linkedin.com/learning/paths/managing-others-effectively-3?trk=ondemandfile" TargetMode="External"/><Relationship Id="rId2199" Type="http://schemas.openxmlformats.org/officeDocument/2006/relationships/hyperlink" Target="https://www.linkedin.com/learning/developing-adaptable-managers?trk=ondemandfile" TargetMode="External"/><Relationship Id="rId378" Type="http://schemas.openxmlformats.org/officeDocument/2006/relationships/hyperlink" Target="https://www.linkedin.com/learning/women-transforming-tech-finding-a-mentor?trk=ondemandfile" TargetMode="External"/><Relationship Id="rId585" Type="http://schemas.openxmlformats.org/officeDocument/2006/relationships/hyperlink" Target="https://www.linkedin.com/learning/international-marketing-foundations?trk=ondemandfile" TargetMode="External"/><Relationship Id="rId792" Type="http://schemas.openxmlformats.org/officeDocument/2006/relationships/hyperlink" Target="https://www.linkedin.com/learning/delivering-bad-news-to-a-customer?trk=ondemandfile" TargetMode="External"/><Relationship Id="rId2059" Type="http://schemas.openxmlformats.org/officeDocument/2006/relationships/hyperlink" Target="https://www.linkedin.com/learning/empathy-for-sales-professionals?trk=ondemandfile" TargetMode="External"/><Relationship Id="rId2266" Type="http://schemas.openxmlformats.org/officeDocument/2006/relationships/hyperlink" Target="https://www.linkedin.com/learning/paths/improve-your-coaching-skills-as-a-manager?trk=ondemandfile" TargetMode="External"/><Relationship Id="rId2473" Type="http://schemas.openxmlformats.org/officeDocument/2006/relationships/hyperlink" Target="https://www.linkedin.com/learning/cold-email-prospecting?trk=ondemandfile" TargetMode="External"/><Relationship Id="rId2680" Type="http://schemas.openxmlformats.org/officeDocument/2006/relationships/hyperlink" Target="https://www.linkedin.com/learning/leading-in-government?trk=ondemandfile" TargetMode="External"/><Relationship Id="rId238" Type="http://schemas.openxmlformats.org/officeDocument/2006/relationships/hyperlink" Target="https://www.linkedin.com/learning/enhancing-team-innovation?trk=ondemandfile" TargetMode="External"/><Relationship Id="rId445" Type="http://schemas.openxmlformats.org/officeDocument/2006/relationships/hyperlink" Target="https://www.linkedin.com/learning/managing-your-emotions-at-work?trk=ondemandfile" TargetMode="External"/><Relationship Id="rId652" Type="http://schemas.openxmlformats.org/officeDocument/2006/relationships/hyperlink" Target="https://www.linkedin.com/learning/creativity-generate-ideas-in-greater-quantity-and-quality" TargetMode="External"/><Relationship Id="rId1075" Type="http://schemas.openxmlformats.org/officeDocument/2006/relationships/hyperlink" Target="https://www.linkedin.com/learning/statistics-foundations-2?trk=ondemandfile" TargetMode="External"/><Relationship Id="rId1282" Type="http://schemas.openxmlformats.org/officeDocument/2006/relationships/hyperlink" Target="https://www.linkedin.com/learning/content/425902?u=104" TargetMode="External"/><Relationship Id="rId2126" Type="http://schemas.openxmlformats.org/officeDocument/2006/relationships/hyperlink" Target="https://www.linkedin.com/learning/planning-for-the-remote-first-work-from-anywhere-asynchronous-organization?trk=ondemandfile" TargetMode="External"/><Relationship Id="rId2333" Type="http://schemas.openxmlformats.org/officeDocument/2006/relationships/hyperlink" Target="https://www.linkedin.com/learning/paths/women-in-leadership-3?trk=ondemandfile" TargetMode="External"/><Relationship Id="rId2540" Type="http://schemas.openxmlformats.org/officeDocument/2006/relationships/hyperlink" Target="https://www.linkedin.com/learning/aligning-your-values-with-work-life-and-everything-in-between?trk=ondemandfile" TargetMode="External"/><Relationship Id="rId305" Type="http://schemas.openxmlformats.org/officeDocument/2006/relationships/hyperlink" Target="https://www.linkedin.com/learning/improving-your-listening-skills?trk=ondemandfile" TargetMode="External"/><Relationship Id="rId512" Type="http://schemas.openxmlformats.org/officeDocument/2006/relationships/hyperlink" Target="https://www.linkedin.com/learning/paths/become-a-digital-marketer?trk=ondemandfile" TargetMode="External"/><Relationship Id="rId1142" Type="http://schemas.openxmlformats.org/officeDocument/2006/relationships/hyperlink" Target="https://www.linkedin.com/learning/organizational-learning-and-development?trk=ondemandfile" TargetMode="External"/><Relationship Id="rId2400" Type="http://schemas.openxmlformats.org/officeDocument/2006/relationships/hyperlink" Target="https://www.linkedin.com/learning/how-to-be-a-good-mentee?trk=ondemandfile" TargetMode="External"/><Relationship Id="rId1002" Type="http://schemas.openxmlformats.org/officeDocument/2006/relationships/hyperlink" Target="https://www.linkedin.com/learning/20-questions-to-improve-learning-at-your-organization?trk=ondemandfile" TargetMode="External"/><Relationship Id="rId1959" Type="http://schemas.openxmlformats.org/officeDocument/2006/relationships/hyperlink" Target="https://www.linkedin.com/learning/project-management-technical-projects-2021?trk=ondemandfile" TargetMode="External"/><Relationship Id="rId1819" Type="http://schemas.openxmlformats.org/officeDocument/2006/relationships/hyperlink" Target="https://www.linkedin.com/learning/how-to-project-vocal-confidence?trk=ondemandfile" TargetMode="External"/><Relationship Id="rId2190" Type="http://schemas.openxmlformats.org/officeDocument/2006/relationships/hyperlink" Target="https://www.linkedin.com/learning/creating-a-positive-and-healthy-work-environment?trk=ondemandfile" TargetMode="External"/><Relationship Id="rId162" Type="http://schemas.openxmlformats.org/officeDocument/2006/relationships/hyperlink" Target="https://www.linkedin.com/learning/reframing-the-power-of-changing-your-perspective?trk=ondemandfile" TargetMode="External"/><Relationship Id="rId2050" Type="http://schemas.openxmlformats.org/officeDocument/2006/relationships/hyperlink" Target="https://www.linkedin.com/learning/sales-customer-success?trk=ondemandfile" TargetMode="External"/><Relationship Id="rId979" Type="http://schemas.openxmlformats.org/officeDocument/2006/relationships/hyperlink" Target="https://www.linkedin.com/learning/managing-globally/what-is-cultural-agility" TargetMode="External"/><Relationship Id="rId839" Type="http://schemas.openxmlformats.org/officeDocument/2006/relationships/hyperlink" Target="https://www.linkedin.com/learning/measuring-business-performance-2021?trk=ondemandfile" TargetMode="External"/><Relationship Id="rId1469" Type="http://schemas.openxmlformats.org/officeDocument/2006/relationships/hyperlink" Target="https://www.linkedin.com/learning/creating-safe-spaces-for-tough-conversations-at-work?trk=contentmappingfile" TargetMode="External"/><Relationship Id="rId1676" Type="http://schemas.openxmlformats.org/officeDocument/2006/relationships/hyperlink" Target="https://www.linkedin.com/learning/managing-skills-for-remote-leaders?trk=ondemandfile" TargetMode="External"/><Relationship Id="rId1883" Type="http://schemas.openxmlformats.org/officeDocument/2006/relationships/hyperlink" Target="https://www.linkedin.com/learning/project-management-foundations-integration-2?trk=ondemandfile" TargetMode="External"/><Relationship Id="rId2727" Type="http://schemas.openxmlformats.org/officeDocument/2006/relationships/hyperlink" Target="https://www.linkedin.com/learning/leading-in-uncertain-times?trk=ondemandfile" TargetMode="External"/><Relationship Id="rId906" Type="http://schemas.openxmlformats.org/officeDocument/2006/relationships/hyperlink" Target="https://www.linkedin.com/learning/2e8b717a-4b47-387b-81d7-f37e4e29e4fb?trk=ondemandfile" TargetMode="External"/><Relationship Id="rId1329" Type="http://schemas.openxmlformats.org/officeDocument/2006/relationships/hyperlink" Target="https://www.linkedin.com/learning/planning-basics-in-sap?trk=ondemandfile" TargetMode="External"/><Relationship Id="rId1536" Type="http://schemas.openxmlformats.org/officeDocument/2006/relationships/hyperlink" Target="https://www.linkedin.com/learning/leadership-foundations-leadership-styles-and-models?trk=ondemandfile" TargetMode="External"/><Relationship Id="rId1743" Type="http://schemas.openxmlformats.org/officeDocument/2006/relationships/hyperlink" Target="https://www.linkedin.com/learning/lean-inventory-management?trk=ondemandfile" TargetMode="External"/><Relationship Id="rId1950" Type="http://schemas.openxmlformats.org/officeDocument/2006/relationships/hyperlink" Target="https://www.linkedin.com/learning/jira-basic-administration?trk=ondemandfile" TargetMode="External"/><Relationship Id="rId35" Type="http://schemas.openxmlformats.org/officeDocument/2006/relationships/hyperlink" Target="https://www.linkedin.com/learning/building-a-better-to-do-list?trk=ondemandfile" TargetMode="External"/><Relationship Id="rId1603" Type="http://schemas.openxmlformats.org/officeDocument/2006/relationships/hyperlink" Target="https://www.linkedin.com/learning/the-definitive-drucker-getabstract-summary?trk=ondemandfile" TargetMode="External"/><Relationship Id="rId1810" Type="http://schemas.openxmlformats.org/officeDocument/2006/relationships/hyperlink" Target="https://www.linkedin.com/learning/paths/visual-communication-for-business-professionals?trk=ondemandfile" TargetMode="External"/><Relationship Id="rId489" Type="http://schemas.openxmlformats.org/officeDocument/2006/relationships/hyperlink" Target="https://www.linkedin.com/learning/how-to-use-negotiation-jiu-jitsu-to-resolve-conflicts-and-persuade?trk=ondemandfile" TargetMode="External"/><Relationship Id="rId696" Type="http://schemas.openxmlformats.org/officeDocument/2006/relationships/hyperlink" Target="https://www.linkedin.com/learning/illustrator-cc-2018-one-on-one-advanced-revision-2?trk=ondemandfile" TargetMode="External"/><Relationship Id="rId2377" Type="http://schemas.openxmlformats.org/officeDocument/2006/relationships/hyperlink" Target="https://www.linkedin.com/learning/the-power-of-introverts?trk=ondemandfile" TargetMode="External"/><Relationship Id="rId2584" Type="http://schemas.openxmlformats.org/officeDocument/2006/relationships/hyperlink" Target="https://www.linkedin.com/learning/confronting-bias-thriving-across-our-differences?trk=ondemandfile" TargetMode="External"/><Relationship Id="rId349" Type="http://schemas.openxmlformats.org/officeDocument/2006/relationships/hyperlink" Target="https://www.linkedin.com/learning/paths/navigating-election-season-at-work?trk=ondemandfile" TargetMode="External"/><Relationship Id="rId556" Type="http://schemas.openxmlformats.org/officeDocument/2006/relationships/hyperlink" Target="https://www.linkedin.com/learning/market-research-foundations?trk=ondemandfile" TargetMode="External"/><Relationship Id="rId763" Type="http://schemas.openxmlformats.org/officeDocument/2006/relationships/hyperlink" Target="https://www.linkedin.com/learning/critical-thinking-and-problem-solving?trk=ondemandfile" TargetMode="External"/><Relationship Id="rId1186" Type="http://schemas.openxmlformats.org/officeDocument/2006/relationships/hyperlink" Target="https://www.linkedin.com/learning/collaborating-with-your-millennial-manager?trk=ondemandfile" TargetMode="External"/><Relationship Id="rId1393" Type="http://schemas.openxmlformats.org/officeDocument/2006/relationships/hyperlink" Target="https://www.linkedin.com/learning/deep-learning-image-recognition?trk=ondemandfile" TargetMode="External"/><Relationship Id="rId2237" Type="http://schemas.openxmlformats.org/officeDocument/2006/relationships/hyperlink" Target="https://www.linkedin.com/learning/using-assessments-to-hire-customer-service-reps?trk=ondemandfile" TargetMode="External"/><Relationship Id="rId2444" Type="http://schemas.openxmlformats.org/officeDocument/2006/relationships/hyperlink" Target="https://www.linkedin.com/learning/editing-mastery-how-to-edit-writing-to-perfection?trk=ondemandfile" TargetMode="External"/><Relationship Id="rId209" Type="http://schemas.openxmlformats.org/officeDocument/2006/relationships/hyperlink" Target="https://www.linkedin.com/learning/practicing-fairness-as-a-manager?trk=ondemandfile" TargetMode="External"/><Relationship Id="rId416" Type="http://schemas.openxmlformats.org/officeDocument/2006/relationships/hyperlink" Target="https://www.linkedin.com/learning/building-trust-2018?trk=ondemandfile" TargetMode="External"/><Relationship Id="rId970" Type="http://schemas.openxmlformats.org/officeDocument/2006/relationships/hyperlink" Target="https://www.linkedin.com/learning/building-engaging-video-training-that-doesn-t-suck-the-how?trk=ondemandfile" TargetMode="External"/><Relationship Id="rId1046" Type="http://schemas.openxmlformats.org/officeDocument/2006/relationships/hyperlink" Target="https://www.linkedin.com/learning/teaching-your-kids-about-finance?trk=ondemandfile" TargetMode="External"/><Relationship Id="rId1253" Type="http://schemas.openxmlformats.org/officeDocument/2006/relationships/hyperlink" Target="https://www.linkedin.com/learning/paths/advance-your-skills-as-a-computer-forensics-specialist?trk=ondemandfile" TargetMode="External"/><Relationship Id="rId2651" Type="http://schemas.openxmlformats.org/officeDocument/2006/relationships/hyperlink" Target="https://www.linkedin.com/learning/executive-leadership?trk=ondemandfile" TargetMode="External"/><Relationship Id="rId623" Type="http://schemas.openxmlformats.org/officeDocument/2006/relationships/hyperlink" Target="https://www.linkedin.com/learning/b2b-marketing-foundations-positioning?trk=ondemandfile" TargetMode="External"/><Relationship Id="rId830" Type="http://schemas.openxmlformats.org/officeDocument/2006/relationships/hyperlink" Target="https://www.linkedin.com/learning/business-development-foundations-researching-market-and-customer-needs?trk=ondemandfile" TargetMode="External"/><Relationship Id="rId1460" Type="http://schemas.openxmlformats.org/officeDocument/2006/relationships/hyperlink" Target="https://www.linkedin.com/learning/performing-under-pressure?trk=ondemandfile" TargetMode="External"/><Relationship Id="rId2304" Type="http://schemas.openxmlformats.org/officeDocument/2006/relationships/hyperlink" Target="https://www.linkedin.com/learning/the-upskilling-imperative-blinkist-summary?trk=ondemandfile" TargetMode="External"/><Relationship Id="rId2511" Type="http://schemas.openxmlformats.org/officeDocument/2006/relationships/hyperlink" Target="https://www.linkedin.com/learning/avoiding-burnout-2019?trk=ondemandfile" TargetMode="External"/><Relationship Id="rId1113" Type="http://schemas.openxmlformats.org/officeDocument/2006/relationships/hyperlink" Target="https://www.linkedin.com/learning/the-future-of-audit?trk=ondemandfile" TargetMode="External"/><Relationship Id="rId1320" Type="http://schemas.openxmlformats.org/officeDocument/2006/relationships/hyperlink" Target="https://www.linkedin.com/learning/sap-successfactors-performance-and-goals-management?trk=ondemandfile" TargetMode="External"/><Relationship Id="rId2094" Type="http://schemas.openxmlformats.org/officeDocument/2006/relationships/hyperlink" Target="https://www.linkedin.com/learning/paths/digital-transformation-for-leaders?trk=ondemandfile" TargetMode="External"/><Relationship Id="rId273" Type="http://schemas.openxmlformats.org/officeDocument/2006/relationships/hyperlink" Target="https://www.linkedin.com/learning/advanced-remote-work-strategies?trk=ondemandfile" TargetMode="External"/><Relationship Id="rId480" Type="http://schemas.openxmlformats.org/officeDocument/2006/relationships/hyperlink" Target="https://www.linkedin.com/learning/de-escalating-conversations-for-customer-service?trk=ondemandfile" TargetMode="External"/><Relationship Id="rId2161" Type="http://schemas.openxmlformats.org/officeDocument/2006/relationships/hyperlink" Target="https://www.linkedin.com/learning/design-of-podcast-emily-cohen-consultant-speaker-brutally-honest?trk=ondemandfile" TargetMode="External"/><Relationship Id="rId133" Type="http://schemas.openxmlformats.org/officeDocument/2006/relationships/hyperlink" Target="https://www.linkedin.com/learning/subtle-shifts-in-thinking-for-tremendous-resilience?trk=ondemandfile" TargetMode="External"/><Relationship Id="rId340" Type="http://schemas.openxmlformats.org/officeDocument/2006/relationships/hyperlink" Target="https://www.linkedin.com/learning/strategic-negotiation?trk=ondemandfile" TargetMode="External"/><Relationship Id="rId2021" Type="http://schemas.openxmlformats.org/officeDocument/2006/relationships/hyperlink" Target="https://www.linkedin.com/learning/overcoming-rejection?trk=ondemandfile" TargetMode="External"/><Relationship Id="rId200" Type="http://schemas.openxmlformats.org/officeDocument/2006/relationships/hyperlink" Target="https://www.linkedin.com/learning/leading-inclusive-teams?trk=ondemandfile" TargetMode="External"/><Relationship Id="rId1787" Type="http://schemas.openxmlformats.org/officeDocument/2006/relationships/hyperlink" Target="https://www.linkedin.com/learning/sap-bi-bw-project-design-and-implementation?trk=ondemandfile" TargetMode="External"/><Relationship Id="rId1994" Type="http://schemas.openxmlformats.org/officeDocument/2006/relationships/hyperlink" Target="https://www.linkedin.com/learning/customer-success-management-fundamentals?trk=ondemandfile" TargetMode="External"/><Relationship Id="rId79" Type="http://schemas.openxmlformats.org/officeDocument/2006/relationships/hyperlink" Target="https://www.linkedin.com/learning/improving-the-value-of-your-time?trk=ondemandfile" TargetMode="External"/><Relationship Id="rId1647" Type="http://schemas.openxmlformats.org/officeDocument/2006/relationships/hyperlink" Target="https://www.linkedin.com/learning/motivate-remote-teams?trk=ondemandfile" TargetMode="External"/><Relationship Id="rId1854" Type="http://schemas.openxmlformats.org/officeDocument/2006/relationships/hyperlink" Target="https://www.linkedin.com/learning/paths/become-an-agile-project-manager?trk=ondemandfile" TargetMode="External"/><Relationship Id="rId1507" Type="http://schemas.openxmlformats.org/officeDocument/2006/relationships/hyperlink" Target="https://www.linkedin.com/learning/paths/remote-working-setting-yourself-and-your-teams-up-for-success?trk=ondemandfile" TargetMode="External"/><Relationship Id="rId1714" Type="http://schemas.openxmlformats.org/officeDocument/2006/relationships/hyperlink" Target="https://www.linkedin.com/learning/lean-technology-strategy-financial-management-to-support-business-agility?trk=ondemandfile" TargetMode="External"/><Relationship Id="rId1921" Type="http://schemas.openxmlformats.org/officeDocument/2006/relationships/hyperlink" Target="https://www.linkedin.com/learning/construction-industry-safety?trk=ondemandfile" TargetMode="External"/><Relationship Id="rId2488" Type="http://schemas.openxmlformats.org/officeDocument/2006/relationships/hyperlink" Target="https://www.linkedin.com/learning/paths/developing-resilience-and-grit?trk=ondemandfile" TargetMode="External"/><Relationship Id="rId1297" Type="http://schemas.openxmlformats.org/officeDocument/2006/relationships/hyperlink" Target="https://www.linkedin.com/learning/paths/improve-your-continuous-delivery-skills?trk=ondemandfile" TargetMode="External"/><Relationship Id="rId2695" Type="http://schemas.openxmlformats.org/officeDocument/2006/relationships/hyperlink" Target="https://www.linkedin.com/learning/facilitation-skills-for-managers-and-leaders?trk=ondemandfile" TargetMode="External"/><Relationship Id="rId667" Type="http://schemas.openxmlformats.org/officeDocument/2006/relationships/hyperlink" Target="https://www.linkedin.com/learning/innovating-out-of-crisis?trk=ondemandfile" TargetMode="External"/><Relationship Id="rId874" Type="http://schemas.openxmlformats.org/officeDocument/2006/relationships/hyperlink" Target="https://www.linkedin.com/learning/data-ethics-making-data-driven-decisions?trk=ondemandfile" TargetMode="External"/><Relationship Id="rId2348" Type="http://schemas.openxmlformats.org/officeDocument/2006/relationships/hyperlink" Target="https://www.linkedin.com/learning/a-manager-s-guide-to-inclusive-teams?trk=ondemandfile" TargetMode="External"/><Relationship Id="rId2555" Type="http://schemas.openxmlformats.org/officeDocument/2006/relationships/hyperlink" Target="https://www.linkedin.com/learning/how-to-have-a-happier-workweek?trk=contentmappingfile" TargetMode="External"/><Relationship Id="rId527" Type="http://schemas.openxmlformats.org/officeDocument/2006/relationships/hyperlink" Target="https://www.linkedin.com/learning/seo-competitive-analysis?trk=ondemandfile" TargetMode="External"/><Relationship Id="rId734" Type="http://schemas.openxmlformats.org/officeDocument/2006/relationships/hyperlink" Target="https://www.linkedin.com/learning/critical-thinking-for-better-judgment-and-decision-making?trk=ondemandfile" TargetMode="External"/><Relationship Id="rId941" Type="http://schemas.openxmlformats.org/officeDocument/2006/relationships/hyperlink" Target="https://www.linkedin.com/learning/microsoft-power-apps-using-the-dataverse-formerly-the-common-data-service?trk=ondemandfile" TargetMode="External"/><Relationship Id="rId1157" Type="http://schemas.openxmlformats.org/officeDocument/2006/relationships/hyperlink" Target="https://www.linkedin.com/learning/human-resources-building-a-performance-management-system?trk=ondemandfile" TargetMode="External"/><Relationship Id="rId1364" Type="http://schemas.openxmlformats.org/officeDocument/2006/relationships/hyperlink" Target="https://www.linkedin.com/learning/simple-statistics-for-user-experience-projects?trk=ondemandfile" TargetMode="External"/><Relationship Id="rId1571" Type="http://schemas.openxmlformats.org/officeDocument/2006/relationships/hyperlink" Target="https://www.linkedin.com/learning/becoming-a-manager-your-team-loves?trk=ondemandfile" TargetMode="External"/><Relationship Id="rId2208" Type="http://schemas.openxmlformats.org/officeDocument/2006/relationships/hyperlink" Target="https://www.linkedin.com/learning/becoming-a-thought-leader-2?trk=ondemandfile" TargetMode="External"/><Relationship Id="rId2415" Type="http://schemas.openxmlformats.org/officeDocument/2006/relationships/hyperlink" Target="https://www.linkedin.com/learning/driving-change-and-anti-racism?trk=ondemandfile" TargetMode="External"/><Relationship Id="rId2622" Type="http://schemas.openxmlformats.org/officeDocument/2006/relationships/hyperlink" Target="https://www.linkedin.com/learning/paths/become-an-inclusive-leader?trk=ondemandfile" TargetMode="External"/><Relationship Id="rId70" Type="http://schemas.openxmlformats.org/officeDocument/2006/relationships/hyperlink" Target="https://www.linkedin.com/learning/improving-your-focus?trk=ondemandfile" TargetMode="External"/><Relationship Id="rId801" Type="http://schemas.openxmlformats.org/officeDocument/2006/relationships/hyperlink" Target="https://www.linkedin.com/learning/customer-development-for-product-managers?trk=ondemandfile" TargetMode="External"/><Relationship Id="rId1017" Type="http://schemas.openxmlformats.org/officeDocument/2006/relationships/hyperlink" Target="https://www.linkedin.com/learning/paths/become-a-bookkeeper?trk=ondemandfile" TargetMode="External"/><Relationship Id="rId1224" Type="http://schemas.openxmlformats.org/officeDocument/2006/relationships/hyperlink" Target="https://www.linkedin.com/learning/managing-misconduct-in-the-workplace?trk=ondemandfile" TargetMode="External"/><Relationship Id="rId1431" Type="http://schemas.openxmlformats.org/officeDocument/2006/relationships/hyperlink" Target="https://www.linkedin.com/learning/strategic-agility?trk=ondemandfile" TargetMode="External"/><Relationship Id="rId177" Type="http://schemas.openxmlformats.org/officeDocument/2006/relationships/hyperlink" Target="https://www.linkedin.com/learning/creating-a-high-performance-culture?trk=ondemandfile" TargetMode="External"/><Relationship Id="rId384" Type="http://schemas.openxmlformats.org/officeDocument/2006/relationships/hyperlink" Target="https://www.linkedin.com/learning/the-ideal-team-player-getabstract-summary?trk=ondemandfile" TargetMode="External"/><Relationship Id="rId591" Type="http://schemas.openxmlformats.org/officeDocument/2006/relationships/hyperlink" Target="https://www.linkedin.com/learning/learning-local-seo?trk=ondemandfile" TargetMode="External"/><Relationship Id="rId2065" Type="http://schemas.openxmlformats.org/officeDocument/2006/relationships/hyperlink" Target="https://www.linkedin.com/learning/sales-and-the-science-of-trust?trk=ondemandfile" TargetMode="External"/><Relationship Id="rId2272" Type="http://schemas.openxmlformats.org/officeDocument/2006/relationships/hyperlink" Target="https://www.linkedin.com/learning/measuring-team-performance?trk=ondemandfile" TargetMode="External"/><Relationship Id="rId244" Type="http://schemas.openxmlformats.org/officeDocument/2006/relationships/hyperlink" Target="https://www.linkedin.com/learning/microsoft-teams-successful-meetings-and-events?trk=ondemandfile" TargetMode="External"/><Relationship Id="rId1081" Type="http://schemas.openxmlformats.org/officeDocument/2006/relationships/hyperlink" Target="https://www.linkedin.com/learning/financial-forecasting-with-big-data?trk=ondemandfile" TargetMode="External"/><Relationship Id="rId451" Type="http://schemas.openxmlformats.org/officeDocument/2006/relationships/hyperlink" Target="https://www.linkedin.com/learning/communicating-with-emotional-intelligence?trk=ondemandfile" TargetMode="External"/><Relationship Id="rId2132" Type="http://schemas.openxmlformats.org/officeDocument/2006/relationships/hyperlink" Target="https://www.linkedin.com/learning/retail-sales-management?trk=ondemandfile" TargetMode="External"/><Relationship Id="rId104" Type="http://schemas.openxmlformats.org/officeDocument/2006/relationships/hyperlink" Target="https://www.linkedin.com/learning/paths/manage-change-and-develop-your-adaptability-skills?trk=ondemandfile" TargetMode="External"/><Relationship Id="rId311" Type="http://schemas.openxmlformats.org/officeDocument/2006/relationships/hyperlink" Target="https://www.linkedin.com/learning/why-trust-matters-with-rachel-botsman?trk=ondemandfile" TargetMode="External"/><Relationship Id="rId1898" Type="http://schemas.openxmlformats.org/officeDocument/2006/relationships/hyperlink" Target="https://www.linkedin.com/learning/project-management-simplified-2?trk=ondemandfile" TargetMode="External"/><Relationship Id="rId1758" Type="http://schemas.openxmlformats.org/officeDocument/2006/relationships/hyperlink" Target="https://www.linkedin.com/learning/pricing-strategy-explained?trk=ondemandfile" TargetMode="External"/><Relationship Id="rId1965" Type="http://schemas.openxmlformats.org/officeDocument/2006/relationships/hyperlink" Target="https://www.linkedin.com/learning/become-a-project-management-entrepreneur" TargetMode="External"/><Relationship Id="rId1618" Type="http://schemas.openxmlformats.org/officeDocument/2006/relationships/hyperlink" Target="https://www.linkedin.com/learning/paths/advance-your-skills-as-a-manager?trk=ondemandfile" TargetMode="External"/><Relationship Id="rId1825" Type="http://schemas.openxmlformats.org/officeDocument/2006/relationships/hyperlink" Target="https://www.linkedin.com/learning/producing-screencast-videos-on-a-pc?trk=ondemandfile" TargetMode="External"/><Relationship Id="rId2599" Type="http://schemas.openxmlformats.org/officeDocument/2006/relationships/hyperlink" Target="https://www.linkedin.com/learning/the-step-by-step-guide-to-reinventing-yourself?trk=ondemandfile" TargetMode="External"/><Relationship Id="rId778" Type="http://schemas.openxmlformats.org/officeDocument/2006/relationships/hyperlink" Target="https://www.linkedin.com/learning/paths/become-a-customer-support-specialist?trk=ondemandfile" TargetMode="External"/><Relationship Id="rId985" Type="http://schemas.openxmlformats.org/officeDocument/2006/relationships/hyperlink" Target="https://www.linkedin.com/learning/cert-prep-adobe-certified-associate-indesign-2?trk=ondemandfile" TargetMode="External"/><Relationship Id="rId2459" Type="http://schemas.openxmlformats.org/officeDocument/2006/relationships/hyperlink" Target="https://www.linkedin.com/learning/writing-a-compelling-blog-post?trk=ondemandfile" TargetMode="External"/><Relationship Id="rId2666" Type="http://schemas.openxmlformats.org/officeDocument/2006/relationships/hyperlink" Target="https://www.linkedin.com/learning/ken-blanchard-on-servant-leadership?trk=ondemandfile" TargetMode="External"/><Relationship Id="rId638" Type="http://schemas.openxmlformats.org/officeDocument/2006/relationships/hyperlink" Target="https://www.linkedin.com/learning/17-questions-to-help-improve-your-marketing?trk=ondemandfile" TargetMode="External"/><Relationship Id="rId845" Type="http://schemas.openxmlformats.org/officeDocument/2006/relationships/hyperlink" Target="https://www.linkedin.com/learning/15-mistakes-to-avoid-in-data-science?trk=ondemandfile" TargetMode="External"/><Relationship Id="rId1268" Type="http://schemas.openxmlformats.org/officeDocument/2006/relationships/hyperlink" Target="https://www.linkedin.com/learning/cybersecurity-for-executives?trk=ondemandfile" TargetMode="External"/><Relationship Id="rId1475" Type="http://schemas.openxmlformats.org/officeDocument/2006/relationships/hyperlink" Target="https://www.linkedin.com/learning/enhancing-team-innovation?trk=ondemandfile" TargetMode="External"/><Relationship Id="rId1682" Type="http://schemas.openxmlformats.org/officeDocument/2006/relationships/hyperlink" Target="https://www.linkedin.com/learning/become-a-better-coach-for-your-team?trk=ondemandfile" TargetMode="External"/><Relationship Id="rId2319" Type="http://schemas.openxmlformats.org/officeDocument/2006/relationships/hyperlink" Target="https://www.linkedin.com/learning/paths/diversity-inclusion-and-belonging-for-all?trk=ondemandfile" TargetMode="External"/><Relationship Id="rId2526" Type="http://schemas.openxmlformats.org/officeDocument/2006/relationships/hyperlink" Target="https://www.linkedin.com/learning/mindful-leadership?trk=ondemandfile" TargetMode="External"/><Relationship Id="rId2733" Type="http://schemas.openxmlformats.org/officeDocument/2006/relationships/hyperlink" Target="https://www.linkedin.com/learning/leadership-strategies-for-women?trk=ondemandfile" TargetMode="External"/><Relationship Id="rId705" Type="http://schemas.openxmlformats.org/officeDocument/2006/relationships/hyperlink" Target="https://www.linkedin.com/learning/conducting-a-swot-analysis?trk=ondemandfile" TargetMode="External"/><Relationship Id="rId1128" Type="http://schemas.openxmlformats.org/officeDocument/2006/relationships/hyperlink" Target="https://www.linkedin.com/learning/what-is-business-analysis?trk=ondemandfile" TargetMode="External"/><Relationship Id="rId1335" Type="http://schemas.openxmlformats.org/officeDocument/2006/relationships/hyperlink" Target="https://www.linkedin.com/learning/applied-machine-learning-algorithms?trk=ondemandfile" TargetMode="External"/><Relationship Id="rId1542" Type="http://schemas.openxmlformats.org/officeDocument/2006/relationships/hyperlink" Target="https://www.linkedin.com/learning/developing-assertive-leadership?trk=ondemandfile" TargetMode="External"/><Relationship Id="rId912" Type="http://schemas.openxmlformats.org/officeDocument/2006/relationships/hyperlink" Target="https://www.linkedin.com/learning/managing-globally/what-is-cultural-agility" TargetMode="External"/><Relationship Id="rId41" Type="http://schemas.openxmlformats.org/officeDocument/2006/relationships/hyperlink" Target="https://www.linkedin.com/learning/subtle-shifts-in-thinking-for-tremendous-resilience?trk=ondemandfile" TargetMode="External"/><Relationship Id="rId1402" Type="http://schemas.openxmlformats.org/officeDocument/2006/relationships/hyperlink" Target="https://www.linkedin.com/learning/excel-for-mac-advanced-formulas-and-functions-365-2019?trk=ondemandfile" TargetMode="External"/><Relationship Id="rId288" Type="http://schemas.openxmlformats.org/officeDocument/2006/relationships/hyperlink" Target="https://www.linkedin.com/learning/social-success-at-work?trk=ondemandfile" TargetMode="External"/><Relationship Id="rId495" Type="http://schemas.openxmlformats.org/officeDocument/2006/relationships/hyperlink" Target="https://www.linkedin.com/learning/improving-your-conflict-competence?trk=ondemandfile" TargetMode="External"/><Relationship Id="rId2176" Type="http://schemas.openxmlformats.org/officeDocument/2006/relationships/hyperlink" Target="https://www.linkedin.com/learning/cybersecurity-foundations-2?trk=ondemandfile" TargetMode="External"/><Relationship Id="rId2383" Type="http://schemas.openxmlformats.org/officeDocument/2006/relationships/hyperlink" Target="https://www.linkedin.com/learning/unconscious-bias?trk=ondemandfile" TargetMode="External"/><Relationship Id="rId2590" Type="http://schemas.openxmlformats.org/officeDocument/2006/relationships/hyperlink" Target="https://www.linkedin.com/learning/mindfulness-practices?trk=ondemandfile" TargetMode="External"/><Relationship Id="rId148" Type="http://schemas.openxmlformats.org/officeDocument/2006/relationships/hyperlink" Target="https://www.linkedin.com/learning/learning-from-failure?trk=ondemandfile" TargetMode="External"/><Relationship Id="rId355" Type="http://schemas.openxmlformats.org/officeDocument/2006/relationships/hyperlink" Target="https://www.linkedin.com/learning/applying-critical-thinking-strategies-to-communicate-effectively?trk=ondemandfile" TargetMode="External"/><Relationship Id="rId562" Type="http://schemas.openxmlformats.org/officeDocument/2006/relationships/hyperlink" Target="https://www.linkedin.com/learning/advertising-on-twitter-2020?trk=ondemandfile" TargetMode="External"/><Relationship Id="rId1192" Type="http://schemas.openxmlformats.org/officeDocument/2006/relationships/hyperlink" Target="https://www.linkedin.com/learning/recruiting-external-recruiters?trk=ondemandfile" TargetMode="External"/><Relationship Id="rId2036" Type="http://schemas.openxmlformats.org/officeDocument/2006/relationships/hyperlink" Target="https://www.linkedin.com/learning/customer-retention?trk=ondemandfile" TargetMode="External"/><Relationship Id="rId2243" Type="http://schemas.openxmlformats.org/officeDocument/2006/relationships/hyperlink" Target="https://www.linkedin.com/learning/the-secrets-to-success-at-work?trk=ondemandfile" TargetMode="External"/><Relationship Id="rId2450" Type="http://schemas.openxmlformats.org/officeDocument/2006/relationships/hyperlink" Target="https://www.linkedin.com/learning/writing-a-marketing-plan-2?trk=ondemandfile" TargetMode="External"/><Relationship Id="rId215" Type="http://schemas.openxmlformats.org/officeDocument/2006/relationships/hyperlink" Target="https://www.linkedin.com/learning/a-strengths-based-approach-to-managing-your-team?trk=ondemandfile" TargetMode="External"/><Relationship Id="rId422" Type="http://schemas.openxmlformats.org/officeDocument/2006/relationships/hyperlink" Target="https://www.linkedin.com/learning/successful-networking?trk=ondemandfile" TargetMode="External"/><Relationship Id="rId1052" Type="http://schemas.openxmlformats.org/officeDocument/2006/relationships/hyperlink" Target="https://www.linkedin.com/learning/picking-the-right-chart-for-your-data?trk=ondemandfile" TargetMode="External"/><Relationship Id="rId2103" Type="http://schemas.openxmlformats.org/officeDocument/2006/relationships/hyperlink" Target="https://www.linkedin.com/learning/leading-with-vision?trk=ondemandfile" TargetMode="External"/><Relationship Id="rId2310" Type="http://schemas.openxmlformats.org/officeDocument/2006/relationships/hyperlink" Target="https://www.linkedin.com/learning/rolling-out-a-dibs-training-program-in-your-company?trk=ondemandfile" TargetMode="External"/><Relationship Id="rId1869" Type="http://schemas.openxmlformats.org/officeDocument/2006/relationships/hyperlink" Target="https://www.linkedin.com/learning/managing-and-working-with-a-technical-team-for-nontechnical-professionals?trk=ondemandfile" TargetMode="External"/><Relationship Id="rId1729" Type="http://schemas.openxmlformats.org/officeDocument/2006/relationships/hyperlink" Target="https://www.linkedin.com/learning/organizational-thought-leadership?trk=ondemandfile" TargetMode="External"/><Relationship Id="rId1936" Type="http://schemas.openxmlformats.org/officeDocument/2006/relationships/hyperlink" Target="https://www.linkedin.com/learning/how-to-successfully-lead-a-pmo?trk=ondemandfile" TargetMode="External"/><Relationship Id="rId5" Type="http://schemas.openxmlformats.org/officeDocument/2006/relationships/hyperlink" Target="https://www.linkedin.com/learning/prioritizing-effectively-as-a-leader?trk=ondemandfile" TargetMode="External"/><Relationship Id="rId889" Type="http://schemas.openxmlformats.org/officeDocument/2006/relationships/hyperlink" Target="https://www.linkedin.com/learning/spss-statistics-essential-training-2?trk=ondemandfile" TargetMode="External"/><Relationship Id="rId749" Type="http://schemas.openxmlformats.org/officeDocument/2006/relationships/hyperlink" Target="https://www.linkedin.com/learning/building-resilience?trk=ondemandfile" TargetMode="External"/><Relationship Id="rId1379" Type="http://schemas.openxmlformats.org/officeDocument/2006/relationships/hyperlink" Target="https://www.linkedin.com/learning/sscp-cert-prep-7-systems-and-application-security?trk=ondemandfile" TargetMode="External"/><Relationship Id="rId1586" Type="http://schemas.openxmlformats.org/officeDocument/2006/relationships/hyperlink" Target="https://www.linkedin.com/learning/overcoming-obstacles-to-leading-with-confidence?trk=ondemandfile" TargetMode="External"/><Relationship Id="rId609" Type="http://schemas.openxmlformats.org/officeDocument/2006/relationships/hyperlink" Target="https://www.linkedin.com/learning/social-media-marketing-strategy-tiktok-and-instagram-reels?trk=contentmappingfile" TargetMode="External"/><Relationship Id="rId956" Type="http://schemas.openxmlformats.org/officeDocument/2006/relationships/hyperlink" Target="https://www.linkedin.com/learning/camtasia-2019-for-mac-essential-training?trk=ondemandfile" TargetMode="External"/><Relationship Id="rId1239" Type="http://schemas.openxmlformats.org/officeDocument/2006/relationships/hyperlink" Target="https://www.linkedin.com/learning/adding-value-through-diversity?trk=ondemandfile" TargetMode="External"/><Relationship Id="rId1793" Type="http://schemas.openxmlformats.org/officeDocument/2006/relationships/hyperlink" Target="https://www.linkedin.com/learning/design-thinking-understanding-the-process?trk=ondemandfile" TargetMode="External"/><Relationship Id="rId2637" Type="http://schemas.openxmlformats.org/officeDocument/2006/relationships/hyperlink" Target="https://www.linkedin.com/learning/managing-experienced-managers?trk=ondemandfile" TargetMode="External"/><Relationship Id="rId85" Type="http://schemas.openxmlformats.org/officeDocument/2006/relationships/hyperlink" Target="https://www.linkedin.com/learning/enhance-your-productivity-with-effective-note-taking?trk=ondemandfile" TargetMode="External"/><Relationship Id="rId816" Type="http://schemas.openxmlformats.org/officeDocument/2006/relationships/hyperlink" Target="https://www.linkedin.com/learning/creating-positive-conversations-with-challenging-customers?trk=ondemandfile" TargetMode="External"/><Relationship Id="rId1446" Type="http://schemas.openxmlformats.org/officeDocument/2006/relationships/hyperlink" Target="https://www.linkedin.com/learning/start-with-why?trk=ondemandfile" TargetMode="External"/><Relationship Id="rId1653" Type="http://schemas.openxmlformats.org/officeDocument/2006/relationships/hyperlink" Target="https://www.linkedin.com/learning/improving-employee-performance?trk=ondemandfile" TargetMode="External"/><Relationship Id="rId1860" Type="http://schemas.openxmlformats.org/officeDocument/2006/relationships/hyperlink" Target="https://www.linkedin.com/learning/paths/become-a-government-project-manager?trk=ondemandfile" TargetMode="External"/><Relationship Id="rId2704" Type="http://schemas.openxmlformats.org/officeDocument/2006/relationships/hyperlink" Target="https://www.linkedin.com/learning/business-ethics-for-managers-and-leaders?trk=ondemandfile" TargetMode="External"/><Relationship Id="rId1306" Type="http://schemas.openxmlformats.org/officeDocument/2006/relationships/hyperlink" Target="https://www.linkedin.com/learning/learning-claris-connect-2021?trk=ondemandfile" TargetMode="External"/><Relationship Id="rId1513" Type="http://schemas.openxmlformats.org/officeDocument/2006/relationships/hyperlink" Target="https://www.linkedin.com/learning/the-7-secrets-of-responsive-leadership-getabstract-summary?trk=ondemandfile" TargetMode="External"/><Relationship Id="rId1720" Type="http://schemas.openxmlformats.org/officeDocument/2006/relationships/hyperlink" Target="https://www.linkedin.com/learning/cybersecurity-for-executives?trk=ondemandfile" TargetMode="External"/><Relationship Id="rId12" Type="http://schemas.openxmlformats.org/officeDocument/2006/relationships/hyperlink" Target="https://www.linkedin.com/learning/strategic-focus-for-managers?trk=ondemandfile" TargetMode="External"/><Relationship Id="rId399" Type="http://schemas.openxmlformats.org/officeDocument/2006/relationships/hyperlink" Target="https://www.linkedin.com/learning/practical-influencing-techniques?trk=ondemandfile" TargetMode="External"/><Relationship Id="rId2287" Type="http://schemas.openxmlformats.org/officeDocument/2006/relationships/hyperlink" Target="https://www.linkedin.com/learning/hiring-an-employee-for-managers?trk=ondemandfile" TargetMode="External"/><Relationship Id="rId2494" Type="http://schemas.openxmlformats.org/officeDocument/2006/relationships/hyperlink" Target="https://www.linkedin.com/learning/chair-work-yoga-fitness-and-stretching-at-your-desk?trk=ondemandfile" TargetMode="External"/><Relationship Id="rId259" Type="http://schemas.openxmlformats.org/officeDocument/2006/relationships/hyperlink" Target="https://www.linkedin.com/learning/paths/building-trust-and-collaborating-with-others-2?trk=ondemandfile" TargetMode="External"/><Relationship Id="rId466" Type="http://schemas.openxmlformats.org/officeDocument/2006/relationships/hyperlink" Target="https://www.linkedin.com/learning/paths/succeeding-in-sales-during-times-of-volatility?trk=ondemandfile" TargetMode="External"/><Relationship Id="rId673" Type="http://schemas.openxmlformats.org/officeDocument/2006/relationships/hyperlink" Target="https://www.linkedin.com/learning/using-questions-to-coach-and-lead?trk=ondemandfile" TargetMode="External"/><Relationship Id="rId880" Type="http://schemas.openxmlformats.org/officeDocument/2006/relationships/hyperlink" Target="https://www.linkedin.com/learning/how-to-use-data-visualization-to-make-better-decisions-faster?trk=ondemandfile" TargetMode="External"/><Relationship Id="rId1096" Type="http://schemas.openxmlformats.org/officeDocument/2006/relationships/hyperlink" Target="https://www.linkedin.com/learning/data-analytics-for-business-professionals?trk=ondemandfile" TargetMode="External"/><Relationship Id="rId2147" Type="http://schemas.openxmlformats.org/officeDocument/2006/relationships/hyperlink" Target="https://www.linkedin.com/learning/introduction-to-business-analytics?trk=ondemandfile" TargetMode="External"/><Relationship Id="rId2354" Type="http://schemas.openxmlformats.org/officeDocument/2006/relationships/hyperlink" Target="https://www.linkedin.com/learning/a-guide-to-ergs-employee-resource-groups?trk=ondemandfile" TargetMode="External"/><Relationship Id="rId2561" Type="http://schemas.openxmlformats.org/officeDocument/2006/relationships/hyperlink" Target="https://www.linkedin.com/learning/managing-employee-stress-for-positive-change?trk=ondemandfile" TargetMode="External"/><Relationship Id="rId119" Type="http://schemas.openxmlformats.org/officeDocument/2006/relationships/hyperlink" Target="https://www.linkedin.com/learning/leading-in-the-moment?trk=ondemandfile" TargetMode="External"/><Relationship Id="rId326" Type="http://schemas.openxmlformats.org/officeDocument/2006/relationships/hyperlink" Target="https://www.linkedin.com/learning/doing-good-to-build-a-profitable-business?trk=ondemandfile" TargetMode="External"/><Relationship Id="rId533" Type="http://schemas.openxmlformats.org/officeDocument/2006/relationships/hyperlink" Target="https://www.linkedin.com/learning/advanced-seo-search-factors-2?trk=ondemandfile" TargetMode="External"/><Relationship Id="rId1163" Type="http://schemas.openxmlformats.org/officeDocument/2006/relationships/hyperlink" Target="https://www.linkedin.com/learning/hiring-an-employee-for-managers?trk=ondemandfile" TargetMode="External"/><Relationship Id="rId1370" Type="http://schemas.openxmlformats.org/officeDocument/2006/relationships/hyperlink" Target="https://www.linkedin.com/learning/access-2019-building-dashboards-for-excel?trk=ondemandfile" TargetMode="External"/><Relationship Id="rId2007" Type="http://schemas.openxmlformats.org/officeDocument/2006/relationships/hyperlink" Target="https://www.linkedin.com/learning/cold-calling-business-leaders?trk=ondemandfile" TargetMode="External"/><Relationship Id="rId2214" Type="http://schemas.openxmlformats.org/officeDocument/2006/relationships/hyperlink" Target="https://www.linkedin.com/learning/managing-high-potentials?trk=ondemandfile" TargetMode="External"/><Relationship Id="rId740" Type="http://schemas.openxmlformats.org/officeDocument/2006/relationships/hyperlink" Target="https://www.linkedin.com/learning/solving-business-problems?trk=ondemandfile" TargetMode="External"/><Relationship Id="rId1023" Type="http://schemas.openxmlformats.org/officeDocument/2006/relationships/hyperlink" Target="https://www.linkedin.com/learning/paths/become-a-financial-analyst?trk=ondemandfile" TargetMode="External"/><Relationship Id="rId2421" Type="http://schemas.openxmlformats.org/officeDocument/2006/relationships/hyperlink" Target="https://www.linkedin.com/learning/shane-snow-on-dream-teams?trk=ondemandfile" TargetMode="External"/><Relationship Id="rId600" Type="http://schemas.openxmlformats.org/officeDocument/2006/relationships/hyperlink" Target="https://www.linkedin.com/learning/building-an-audience-on-instagram?trk=ondemandfile" TargetMode="External"/><Relationship Id="rId1230" Type="http://schemas.openxmlformats.org/officeDocument/2006/relationships/hyperlink" Target="https://www.linkedin.com/learning/human-resources-selecting-an-hr-system?trk=ondemandfile" TargetMode="External"/><Relationship Id="rId183" Type="http://schemas.openxmlformats.org/officeDocument/2006/relationships/hyperlink" Target="https://www.linkedin.com/learning/measuring-team-performance?trk=ondemandfile" TargetMode="External"/><Relationship Id="rId390" Type="http://schemas.openxmlformats.org/officeDocument/2006/relationships/hyperlink" Target="https://www.linkedin.com/learning/becoming-an-impactful-and-influential-leader?trk=ondemandfile" TargetMode="External"/><Relationship Id="rId1907" Type="http://schemas.openxmlformats.org/officeDocument/2006/relationships/hyperlink" Target="https://www.linkedin.com/learning/productivity-prioritizing-at-work?trk=ondemandfile" TargetMode="External"/><Relationship Id="rId2071" Type="http://schemas.openxmlformats.org/officeDocument/2006/relationships/hyperlink" Target="https://www.linkedin.com/learning/influencing-others?trk=ondemandfile" TargetMode="External"/><Relationship Id="rId250" Type="http://schemas.openxmlformats.org/officeDocument/2006/relationships/hyperlink" Target="https://www.linkedin.com/learning/creating-a-culture-of-collaboration?trk=ondemandfile" TargetMode="External"/><Relationship Id="rId110" Type="http://schemas.openxmlformats.org/officeDocument/2006/relationships/hyperlink" Target="https://www.linkedin.com/learning/learning-agility?trk=ondemandfile" TargetMode="External"/><Relationship Id="rId1697" Type="http://schemas.openxmlformats.org/officeDocument/2006/relationships/hyperlink" Target="https://www.linkedin.com/learning/creating-winning-teams?trk=ondemandfile" TargetMode="External"/><Relationship Id="rId927" Type="http://schemas.openxmlformats.org/officeDocument/2006/relationships/hyperlink" Target="https://www.linkedin.com/learning/abap-for-sap-users?trk=ondemandfile" TargetMode="External"/><Relationship Id="rId1557" Type="http://schemas.openxmlformats.org/officeDocument/2006/relationships/hyperlink" Target="https://www.linkedin.com/learning/business-ethics-for-managers-and-leaders?trk=ondemandfile" TargetMode="External"/><Relationship Id="rId1764" Type="http://schemas.openxmlformats.org/officeDocument/2006/relationships/hyperlink" Target="https://www.linkedin.com/learning/understanding-logistics?trk=ondemandfile" TargetMode="External"/><Relationship Id="rId1971" Type="http://schemas.openxmlformats.org/officeDocument/2006/relationships/hyperlink" Target="https://www.linkedin.com/learning/paths/become-a-retail-sales-associate?trk=ondemandfile" TargetMode="External"/><Relationship Id="rId2608" Type="http://schemas.openxmlformats.org/officeDocument/2006/relationships/hyperlink" Target="https://www.linkedin.com/learning/leading-with-empathy?trk=ondemandfile" TargetMode="External"/><Relationship Id="rId56" Type="http://schemas.openxmlformats.org/officeDocument/2006/relationships/hyperlink" Target="https://www.linkedin.com/learning/how-to-get-things-done-ahead-of-deadlines?trk=ondemandfile" TargetMode="External"/><Relationship Id="rId1417" Type="http://schemas.openxmlformats.org/officeDocument/2006/relationships/hyperlink" Target="https://www.linkedin.com/learning/paths/digital-transformation-for-leaders?trk=ondemandfile" TargetMode="External"/><Relationship Id="rId1624" Type="http://schemas.openxmlformats.org/officeDocument/2006/relationships/hyperlink" Target="https://www.linkedin.com/learning/paths/develop-motivate-and-retain-employees?trk=ondemandfile" TargetMode="External"/><Relationship Id="rId1831" Type="http://schemas.openxmlformats.org/officeDocument/2006/relationships/hyperlink" Target="https://www.linkedin.com/learning/powerpoint-8-easy-ways-to-make-your-presentations-look-better?trk=ondemandfile" TargetMode="External"/><Relationship Id="rId2398" Type="http://schemas.openxmlformats.org/officeDocument/2006/relationships/hyperlink" Target="https://www.linkedin.com/learning/gender-in-negotiation?trk=ondemandfile" TargetMode="External"/><Relationship Id="rId577" Type="http://schemas.openxmlformats.org/officeDocument/2006/relationships/hyperlink" Target="https://www.linkedin.com/learning/programmatic-advertising-foundations?trk=ondemandfile" TargetMode="External"/><Relationship Id="rId2258" Type="http://schemas.openxmlformats.org/officeDocument/2006/relationships/hyperlink" Target="https://www.linkedin.com/learning/paths/advance-your-skills-as-a-manager?trk=ondemandfile" TargetMode="External"/><Relationship Id="rId784" Type="http://schemas.openxmlformats.org/officeDocument/2006/relationships/hyperlink" Target="https://www.linkedin.com/learning/serving-customers-in-a-continuously-changing-world?trk=ondemandfile" TargetMode="External"/><Relationship Id="rId991" Type="http://schemas.openxmlformats.org/officeDocument/2006/relationships/hyperlink" Target="https://www.linkedin.com/learning/ux-deep-dive-remote-research?trk=ondemandfile" TargetMode="External"/><Relationship Id="rId1067" Type="http://schemas.openxmlformats.org/officeDocument/2006/relationships/hyperlink" Target="https://www.linkedin.com/learning/finance-foundations-risk-management?trk=ondemandfile" TargetMode="External"/><Relationship Id="rId2465" Type="http://schemas.openxmlformats.org/officeDocument/2006/relationships/hyperlink" Target="https://www.linkedin.com/learning/writing-fundamentals-the-craft-of-story?trk=ondemandfile" TargetMode="External"/><Relationship Id="rId2672" Type="http://schemas.openxmlformats.org/officeDocument/2006/relationships/hyperlink" Target="https://www.linkedin.com/learning/leadership-practical-skills?trk=ondemandfile" TargetMode="External"/><Relationship Id="rId437" Type="http://schemas.openxmlformats.org/officeDocument/2006/relationships/hyperlink" Target="https://www.linkedin.com/learning/building-relationships-while-working-from-home?trk=ondemandfile" TargetMode="External"/><Relationship Id="rId644" Type="http://schemas.openxmlformats.org/officeDocument/2006/relationships/hyperlink" Target="https://www.linkedin.com/learning/remarketing-strategies-with-google-ads-and-analytics?trk=ondemandfile" TargetMode="External"/><Relationship Id="rId851" Type="http://schemas.openxmlformats.org/officeDocument/2006/relationships/hyperlink" Target="https://www.linkedin.com/learning/business-analytics-deep-dive-forecasting-with-exponential-smoothing?trk=ondemandfile" TargetMode="External"/><Relationship Id="rId1274" Type="http://schemas.openxmlformats.org/officeDocument/2006/relationships/hyperlink" Target="https://www.linkedin.com/learning/introduction-to-digital-twins?trk=ondemandfile" TargetMode="External"/><Relationship Id="rId1481" Type="http://schemas.openxmlformats.org/officeDocument/2006/relationships/hyperlink" Target="https://www.linkedin.com/learning/design-of-podcast-emily-cohen-consultant-speaker-brutally-honest?trk=ondemandfile" TargetMode="External"/><Relationship Id="rId2118" Type="http://schemas.openxmlformats.org/officeDocument/2006/relationships/hyperlink" Target="https://www.linkedin.com/learning/balancing-innovation-and-risk?trk=ondemandfile" TargetMode="External"/><Relationship Id="rId2325" Type="http://schemas.openxmlformats.org/officeDocument/2006/relationships/hyperlink" Target="https://www.linkedin.com/learning/paths/improve-your-coaching-skills-as-a-manager?trk=ondemandfile" TargetMode="External"/><Relationship Id="rId2532" Type="http://schemas.openxmlformats.org/officeDocument/2006/relationships/hyperlink" Target="https://www.linkedin.com/learning/achieving-more-through-smart-energy-management?trk=ondemandfile" TargetMode="External"/><Relationship Id="rId504" Type="http://schemas.openxmlformats.org/officeDocument/2006/relationships/hyperlink" Target="https://www.linkedin.com/learning/paths/become-an-ama-professional-certified-marketer-in-digital-marketing?trk=ondemandfile" TargetMode="External"/><Relationship Id="rId711" Type="http://schemas.openxmlformats.org/officeDocument/2006/relationships/hyperlink" Target="https://www.linkedin.com/learning/ux-deep-dive-remote-research?trk=ondemandfile" TargetMode="External"/><Relationship Id="rId1134" Type="http://schemas.openxmlformats.org/officeDocument/2006/relationships/hyperlink" Target="https://www.linkedin.com/learning/rewarding-employee-performance?trk=ondemandfile" TargetMode="External"/><Relationship Id="rId1341" Type="http://schemas.openxmlformats.org/officeDocument/2006/relationships/hyperlink" Target="https://www.linkedin.com/learning/working-and-collaborating-online?trk=ondemandfile" TargetMode="External"/><Relationship Id="rId1201" Type="http://schemas.openxmlformats.org/officeDocument/2006/relationships/hyperlink" Target="https://www.linkedin.com/learning/understanding-organisations-and-the-role-of-hr?trk=ondemandfile" TargetMode="External"/><Relationship Id="rId294" Type="http://schemas.openxmlformats.org/officeDocument/2006/relationships/hyperlink" Target="https://www.linkedin.com/learning/the-ultimate-guide-to-networking?trk=ondemandfile" TargetMode="External"/><Relationship Id="rId2182" Type="http://schemas.openxmlformats.org/officeDocument/2006/relationships/hyperlink" Target="https://www.linkedin.com/learning/good-to-great?trk=ondemandfile" TargetMode="External"/><Relationship Id="rId154" Type="http://schemas.openxmlformats.org/officeDocument/2006/relationships/hyperlink" Target="https://www.linkedin.com/learning/embracing-change-2019?trk=ondemandfile" TargetMode="External"/><Relationship Id="rId361" Type="http://schemas.openxmlformats.org/officeDocument/2006/relationships/hyperlink" Target="https://www.linkedin.com/learning/facilitation-skills-for-managers-and-leaders?trk=ondemandfile" TargetMode="External"/><Relationship Id="rId2042" Type="http://schemas.openxmlformats.org/officeDocument/2006/relationships/hyperlink" Target="https://www.linkedin.com/learning/identify-sales-growth-opportunities?trk=ondemandfile" TargetMode="External"/><Relationship Id="rId221" Type="http://schemas.openxmlformats.org/officeDocument/2006/relationships/hyperlink" Target="https://www.linkedin.com/learning/dealing-with-the-seven-deadly-wastes?trk=ondemandfile" TargetMode="External"/><Relationship Id="rId1668" Type="http://schemas.openxmlformats.org/officeDocument/2006/relationships/hyperlink" Target="https://www.linkedin.com/learning/developing-leaders-on-your-team?trk=ondemandfile" TargetMode="External"/><Relationship Id="rId1875" Type="http://schemas.openxmlformats.org/officeDocument/2006/relationships/hyperlink" Target="https://www.linkedin.com/learning/job-interview-tips-for-project-managers?trk=ondemandfile" TargetMode="External"/><Relationship Id="rId2719" Type="http://schemas.openxmlformats.org/officeDocument/2006/relationships/hyperlink" Target="https://www.linkedin.com/learning/project-leadership?trk=ondemandfile" TargetMode="External"/><Relationship Id="rId1528" Type="http://schemas.openxmlformats.org/officeDocument/2006/relationships/hyperlink" Target="https://www.linkedin.com/learning/leading-with-values?trk=ondemandfile" TargetMode="External"/><Relationship Id="rId1735" Type="http://schemas.openxmlformats.org/officeDocument/2006/relationships/hyperlink" Target="https://www.linkedin.com/learning/microsoft-flow-advanced-business-automation?trk=ondemandfile" TargetMode="External"/><Relationship Id="rId1942" Type="http://schemas.openxmlformats.org/officeDocument/2006/relationships/hyperlink" Target="https://www.linkedin.com/learning/how-to-build-a-product-roadmap?trk=ondemandfile" TargetMode="External"/><Relationship Id="rId27" Type="http://schemas.openxmlformats.org/officeDocument/2006/relationships/hyperlink" Target="https://www.linkedin.com/learning/time-management-tips-2019?trk=ondemandfile" TargetMode="External"/><Relationship Id="rId1802" Type="http://schemas.openxmlformats.org/officeDocument/2006/relationships/hyperlink" Target="https://www.linkedin.com/learning/paths/develop-your-presentation-skills?trk=ondemandfile" TargetMode="External"/><Relationship Id="rId688" Type="http://schemas.openxmlformats.org/officeDocument/2006/relationships/hyperlink" Target="https://www.linkedin.com/learning/how-blockchains-will-change-business?trk=ondemandfile" TargetMode="External"/><Relationship Id="rId895" Type="http://schemas.openxmlformats.org/officeDocument/2006/relationships/hyperlink" Target="https://www.linkedin.com/learning/linkedin-learning-highlights-data-science?trk=ondemandfile" TargetMode="External"/><Relationship Id="rId2369" Type="http://schemas.openxmlformats.org/officeDocument/2006/relationships/hyperlink" Target="https://www.linkedin.com/learning/women-transforming-tech-networking?trk=ondemandfile" TargetMode="External"/><Relationship Id="rId2576" Type="http://schemas.openxmlformats.org/officeDocument/2006/relationships/hyperlink" Target="https://www.linkedin.com/learning/supporting-your-mental-health-while-working-from-home?trk=ondemandfile" TargetMode="External"/><Relationship Id="rId548" Type="http://schemas.openxmlformats.org/officeDocument/2006/relationships/hyperlink" Target="https://www.linkedin.com/learning/building-a-creative-online-community?trk=ondemandfile" TargetMode="External"/><Relationship Id="rId755" Type="http://schemas.openxmlformats.org/officeDocument/2006/relationships/hyperlink" Target="https://www.linkedin.com/learning/learning-from-failure?trk=ondemandfile" TargetMode="External"/><Relationship Id="rId962" Type="http://schemas.openxmlformats.org/officeDocument/2006/relationships/hyperlink" Target="https://www.linkedin.com/learning/foundations-of-corporate-training?trk=ondemandfile" TargetMode="External"/><Relationship Id="rId1178" Type="http://schemas.openxmlformats.org/officeDocument/2006/relationships/hyperlink" Target="https://www.linkedin.com/learning/managing-globally/what-is-cultural-agility" TargetMode="External"/><Relationship Id="rId1385" Type="http://schemas.openxmlformats.org/officeDocument/2006/relationships/hyperlink" Target="https://www.linkedin.com/learning/api-test-automation-with-soapui?trk=ondemandfile" TargetMode="External"/><Relationship Id="rId1592" Type="http://schemas.openxmlformats.org/officeDocument/2006/relationships/hyperlink" Target="https://www.linkedin.com/learning/how-to-successfully-lead-a-pmo?trk=ondemandfile" TargetMode="External"/><Relationship Id="rId2229" Type="http://schemas.openxmlformats.org/officeDocument/2006/relationships/hyperlink" Target="https://www.linkedin.com/learning/developing-leaders-on-your-team?trk=ondemandfile" TargetMode="External"/><Relationship Id="rId2436" Type="http://schemas.openxmlformats.org/officeDocument/2006/relationships/hyperlink" Target="https://www.linkedin.com/learning/fostering-belonging-as-a-leader?trk=ondemandfile" TargetMode="External"/><Relationship Id="rId2643" Type="http://schemas.openxmlformats.org/officeDocument/2006/relationships/hyperlink" Target="https://www.linkedin.com/learning/navigating-executive-politics?trk=ondemandfile" TargetMode="External"/><Relationship Id="rId91" Type="http://schemas.openxmlformats.org/officeDocument/2006/relationships/hyperlink" Target="https://www.linkedin.com/learning/flexible-working-blinkist-summary?trk=ondemandfile" TargetMode="External"/><Relationship Id="rId408" Type="http://schemas.openxmlformats.org/officeDocument/2006/relationships/hyperlink" Target="https://www.linkedin.com/learning/how-to-speak-so-people-want-to-listen?trk=ondemandfile" TargetMode="External"/><Relationship Id="rId615" Type="http://schemas.openxmlformats.org/officeDocument/2006/relationships/hyperlink" Target="https://www.linkedin.com/learning/social-media-marketing-for-small-business?trk=ondemandfile" TargetMode="External"/><Relationship Id="rId822" Type="http://schemas.openxmlformats.org/officeDocument/2006/relationships/hyperlink" Target="https://www.linkedin.com/learning/managing-a-customer-service-team?trk=ondemandfile" TargetMode="External"/><Relationship Id="rId1038" Type="http://schemas.openxmlformats.org/officeDocument/2006/relationships/hyperlink" Target="https://www.linkedin.com/learning/accounting-foundations-2?trk=ondemandfile" TargetMode="External"/><Relationship Id="rId1245" Type="http://schemas.openxmlformats.org/officeDocument/2006/relationships/hyperlink" Target="https://www.linkedin.com/learning/paths/advance-your-skills-in-the-blockchain?trk=ondemandfile" TargetMode="External"/><Relationship Id="rId1452" Type="http://schemas.openxmlformats.org/officeDocument/2006/relationships/hyperlink" Target="https://www.linkedin.com/learning/leading-your-team-through-actionable-change?trk=ondemandfile" TargetMode="External"/><Relationship Id="rId2503" Type="http://schemas.openxmlformats.org/officeDocument/2006/relationships/hyperlink" Target="https://www.linkedin.com/learning/mindfulness-for-beginners?trk=ondemandfile" TargetMode="External"/><Relationship Id="rId1105" Type="http://schemas.openxmlformats.org/officeDocument/2006/relationships/hyperlink" Target="https://www.linkedin.com/learning/accounting-foundations-internal-controls?trk=ondemandfile" TargetMode="External"/><Relationship Id="rId1312" Type="http://schemas.openxmlformats.org/officeDocument/2006/relationships/hyperlink" Target="https://www.linkedin.com/learning/iot-foundations-standards-and-ecosystems-14427225?trk=contentmappingfile" TargetMode="External"/><Relationship Id="rId2710" Type="http://schemas.openxmlformats.org/officeDocument/2006/relationships/hyperlink" Target="https://www.linkedin.com/learning/leadership-blindspots-revision-2021?trk=ondemandfile" TargetMode="External"/><Relationship Id="rId49" Type="http://schemas.openxmlformats.org/officeDocument/2006/relationships/hyperlink" Target="https://www.linkedin.com/learning/prioritizing-tasks-for-maximum-impact?trk=ondemandfile" TargetMode="External"/><Relationship Id="rId1617" Type="http://schemas.openxmlformats.org/officeDocument/2006/relationships/hyperlink" Target="https://www.linkedin.com/learning/leading-the-organization-monthly?trk=ondemandfile" TargetMode="External"/><Relationship Id="rId1824" Type="http://schemas.openxmlformats.org/officeDocument/2006/relationships/hyperlink" Target="https://www.linkedin.com/learning/learning-lucidchart?trk=ondemandfile" TargetMode="External"/><Relationship Id="rId198" Type="http://schemas.openxmlformats.org/officeDocument/2006/relationships/hyperlink" Target="https://www.linkedin.com/learning/managing-virtual-teams-2019?trk=ondemandfile" TargetMode="External"/><Relationship Id="rId2086" Type="http://schemas.openxmlformats.org/officeDocument/2006/relationships/hyperlink" Target="https://www.linkedin.com/learning/paths/become-a-corporate-financial-planning-analyst?trk=ondemandfile" TargetMode="External"/><Relationship Id="rId2293" Type="http://schemas.openxmlformats.org/officeDocument/2006/relationships/hyperlink" Target="https://www.linkedin.com/learning/using-feedback-to-drive-performance?trk=ondemandfile" TargetMode="External"/><Relationship Id="rId2598" Type="http://schemas.openxmlformats.org/officeDocument/2006/relationships/hyperlink" Target="https://www.linkedin.com/learning/confidence-building-strategies-for-work-and-life?trk=ondemandfile" TargetMode="External"/><Relationship Id="rId265" Type="http://schemas.openxmlformats.org/officeDocument/2006/relationships/hyperlink" Target="https://www.linkedin.com/learning/managing-and-working-with-a-technical-team-for-nontechnical-professionals?trk=ondemandfile" TargetMode="External"/><Relationship Id="rId472" Type="http://schemas.openxmlformats.org/officeDocument/2006/relationships/hyperlink" Target="https://www.linkedin.com/learning/facilitation-skills-for-managers-and-leaders?trk=ondemandfile" TargetMode="External"/><Relationship Id="rId2153" Type="http://schemas.openxmlformats.org/officeDocument/2006/relationships/hyperlink" Target="https://www.linkedin.com/learning/international-business-foundations?trk=ondemandfile" TargetMode="External"/><Relationship Id="rId2360" Type="http://schemas.openxmlformats.org/officeDocument/2006/relationships/hyperlink" Target="https://www.linkedin.com/learning/teaching-civility-in-the-workplace?trk=ondemandfile" TargetMode="External"/><Relationship Id="rId125" Type="http://schemas.openxmlformats.org/officeDocument/2006/relationships/hyperlink" Target="https://www.linkedin.com/learning/insights-on-working-from-home-s-largest-ever-experiment?trk=ondemandfile" TargetMode="External"/><Relationship Id="rId332" Type="http://schemas.openxmlformats.org/officeDocument/2006/relationships/hyperlink" Target="https://www.linkedin.com/learning/crisis-communication-for-hr?trk=ondemandfile" TargetMode="External"/><Relationship Id="rId777" Type="http://schemas.openxmlformats.org/officeDocument/2006/relationships/hyperlink" Target="https://www.linkedin.com/learning/creating-a-culture-of-privacy?trk=ondemandfile" TargetMode="External"/><Relationship Id="rId984" Type="http://schemas.openxmlformats.org/officeDocument/2006/relationships/hyperlink" Target="https://www.linkedin.com/learning/foundations-of-learning-management-systems-lms-2021?trk=ondemandfile" TargetMode="External"/><Relationship Id="rId2013" Type="http://schemas.openxmlformats.org/officeDocument/2006/relationships/hyperlink" Target="https://www.linkedin.com/learning/mindful-stress-management?trk=ondemandfile" TargetMode="External"/><Relationship Id="rId2220" Type="http://schemas.openxmlformats.org/officeDocument/2006/relationships/hyperlink" Target="https://www.linkedin.com/learning/motivating-and-engaging-employees-2?trk=ondemandfile" TargetMode="External"/><Relationship Id="rId2458" Type="http://schemas.openxmlformats.org/officeDocument/2006/relationships/hyperlink" Target="https://www.linkedin.com/learning/writing-a-business-case?trk=ondemandfile" TargetMode="External"/><Relationship Id="rId2665" Type="http://schemas.openxmlformats.org/officeDocument/2006/relationships/hyperlink" Target="https://www.linkedin.com/learning/futures-centered-design?trk=ondemandfile" TargetMode="External"/><Relationship Id="rId637" Type="http://schemas.openxmlformats.org/officeDocument/2006/relationships/hyperlink" Target="https://www.linkedin.com/learning/python-for-marketing?trk=ondemandfile" TargetMode="External"/><Relationship Id="rId844" Type="http://schemas.openxmlformats.org/officeDocument/2006/relationships/hyperlink" Target="https://www.linkedin.com/learning/paths/become-a-data-visualization-specialist-concepts?trk=ondemandfile" TargetMode="External"/><Relationship Id="rId1267" Type="http://schemas.openxmlformats.org/officeDocument/2006/relationships/hyperlink" Target="https://www.linkedin.com/learning/paths/become-a-filemaker-custom-app-developer?trk=ondemandfile" TargetMode="External"/><Relationship Id="rId1474" Type="http://schemas.openxmlformats.org/officeDocument/2006/relationships/hyperlink" Target="https://www.linkedin.com/learning/adaptive-project-leadership?trk=ondemandfile" TargetMode="External"/><Relationship Id="rId1681" Type="http://schemas.openxmlformats.org/officeDocument/2006/relationships/hyperlink" Target="https://www.linkedin.com/learning/delegating-from-a-distance?trk=ondemandfile" TargetMode="External"/><Relationship Id="rId2318" Type="http://schemas.openxmlformats.org/officeDocument/2006/relationships/hyperlink" Target="https://www.linkedin.com/learning/inclusive-leadership?trk=ondemandfile" TargetMode="External"/><Relationship Id="rId2525" Type="http://schemas.openxmlformats.org/officeDocument/2006/relationships/hyperlink" Target="https://www.linkedin.com/learning/introduction-to-visualization-meditation?trk=ondemandfile" TargetMode="External"/><Relationship Id="rId2732" Type="http://schemas.openxmlformats.org/officeDocument/2006/relationships/hyperlink" Target="https://www.linkedin.com/learning/how-leaders-can-motivate-by-creating-meaning?trk=ondemandfile" TargetMode="External"/><Relationship Id="rId704" Type="http://schemas.openxmlformats.org/officeDocument/2006/relationships/hyperlink" Target="https://www.linkedin.com/learning/smart-cities-solving-urban-problems-using-technology-2?trk=ondemandfile" TargetMode="External"/><Relationship Id="rId911" Type="http://schemas.openxmlformats.org/officeDocument/2006/relationships/hyperlink" Target="https://www.linkedin.com/learning/managing-globally/what-is-cultural-agility" TargetMode="External"/><Relationship Id="rId1127" Type="http://schemas.openxmlformats.org/officeDocument/2006/relationships/hyperlink" Target="https://www.linkedin.com/learning/economics-for-everyone-housing-markets-in-crisis?trk=ondemandfile" TargetMode="External"/><Relationship Id="rId1334" Type="http://schemas.openxmlformats.org/officeDocument/2006/relationships/hyperlink" Target="https://www.linkedin.com/learning/aws-administration-tips-and-tricks?trk=ondemandfile" TargetMode="External"/><Relationship Id="rId1541" Type="http://schemas.openxmlformats.org/officeDocument/2006/relationships/hyperlink" Target="https://www.linkedin.com/learning/culture-of-kaizen?trk=ondemandfile" TargetMode="External"/><Relationship Id="rId1779" Type="http://schemas.openxmlformats.org/officeDocument/2006/relationships/hyperlink" Target="https://www.linkedin.com/learning/business-investment-analysis?trk=ondemandfile" TargetMode="External"/><Relationship Id="rId1986" Type="http://schemas.openxmlformats.org/officeDocument/2006/relationships/hyperlink" Target="https://www.linkedin.com/learning/inclusive-selling-selling-across-culture-race-and-gender-differences?trk=ondemandfile" TargetMode="External"/><Relationship Id="rId40" Type="http://schemas.openxmlformats.org/officeDocument/2006/relationships/hyperlink" Target="https://www.linkedin.com/learning/time-management-tips-communication?trk=ondemandfile" TargetMode="External"/><Relationship Id="rId1401" Type="http://schemas.openxmlformats.org/officeDocument/2006/relationships/hyperlink" Target="https://www.linkedin.com/learning/microsoft-live-events-teams-yammer-and-stream?trk=ondemandfile" TargetMode="External"/><Relationship Id="rId1639" Type="http://schemas.openxmlformats.org/officeDocument/2006/relationships/hyperlink" Target="https://www.linkedin.com/learning/managing-high-potentials?trk=ondemandfile" TargetMode="External"/><Relationship Id="rId1846" Type="http://schemas.openxmlformats.org/officeDocument/2006/relationships/hyperlink" Target="https://www.linkedin.com/learning/master-confident-presentations?trk=ondemandfile" TargetMode="External"/><Relationship Id="rId1706" Type="http://schemas.openxmlformats.org/officeDocument/2006/relationships/hyperlink" Target="https://www.linkedin.com/learning/agile-software-development-creating-an-agile-culture?trk=ondemandfile" TargetMode="External"/><Relationship Id="rId1913" Type="http://schemas.openxmlformats.org/officeDocument/2006/relationships/hyperlink" Target="https://www.linkedin.com/learning/mindfulness-a-critical-skill-for-project-managers?trk=ondemandfile" TargetMode="External"/><Relationship Id="rId287" Type="http://schemas.openxmlformats.org/officeDocument/2006/relationships/hyperlink" Target="https://www.linkedin.com/learning/women-transforming-tech-networking?trk=ondemandfile" TargetMode="External"/><Relationship Id="rId494" Type="http://schemas.openxmlformats.org/officeDocument/2006/relationships/hyperlink" Target="https://www.linkedin.com/learning/having-difficult-conversations-2?trk=ondemandfile" TargetMode="External"/><Relationship Id="rId2175" Type="http://schemas.openxmlformats.org/officeDocument/2006/relationships/hyperlink" Target="https://www.linkedin.com/learning/azure-for-architects-design-a-business-continuity-strategy-2?trk=ondemandfile" TargetMode="External"/><Relationship Id="rId2382" Type="http://schemas.openxmlformats.org/officeDocument/2006/relationships/hyperlink" Target="https://www.linkedin.com/learning/esl-for-business-multinational-communication-in-the-workplace?trk=ondemandfile" TargetMode="External"/><Relationship Id="rId147" Type="http://schemas.openxmlformats.org/officeDocument/2006/relationships/hyperlink" Target="https://www.linkedin.com/learning/building-resilience?trk=ondemandfile" TargetMode="External"/><Relationship Id="rId354" Type="http://schemas.openxmlformats.org/officeDocument/2006/relationships/hyperlink" Target="https://www.linkedin.com/learning/taking-charge-of-your-leadership-conversations?trk=ondemandfile" TargetMode="External"/><Relationship Id="rId799" Type="http://schemas.openxmlformats.org/officeDocument/2006/relationships/hyperlink" Target="https://www.linkedin.com/learning/onboarding-and-adoption-best-practices-for-customer-success-management?trk=ondemandfile" TargetMode="External"/><Relationship Id="rId1191" Type="http://schemas.openxmlformats.org/officeDocument/2006/relationships/hyperlink" Target="https://www.linkedin.com/learning/inclusion-during-difficult-times?trk=ondemandfile" TargetMode="External"/><Relationship Id="rId2035" Type="http://schemas.openxmlformats.org/officeDocument/2006/relationships/hyperlink" Target="https://www.linkedin.com/learning/new-sales-manager-fundamentals?trk=ondemandfile" TargetMode="External"/><Relationship Id="rId2687" Type="http://schemas.openxmlformats.org/officeDocument/2006/relationships/hyperlink" Target="https://www.linkedin.com/learning/the-secret-what-great-leaders-know-and-do-getabstract-summary?trk=ondemandfile" TargetMode="External"/><Relationship Id="rId561" Type="http://schemas.openxmlformats.org/officeDocument/2006/relationships/hyperlink" Target="https://www.linkedin.com/learning/learning-google-adsense-2?trk=ondemandfile" TargetMode="External"/><Relationship Id="rId659" Type="http://schemas.openxmlformats.org/officeDocument/2006/relationships/hyperlink" Target="https://www.linkedin.com/learning/jeff-dyer-on-innovation?trk=ondemandfile" TargetMode="External"/><Relationship Id="rId866" Type="http://schemas.openxmlformats.org/officeDocument/2006/relationships/hyperlink" Target="https://www.linkedin.com/learning/data-fluency-exploring-and-describing-data?trk=ondemandfile" TargetMode="External"/><Relationship Id="rId1289" Type="http://schemas.openxmlformats.org/officeDocument/2006/relationships/hyperlink" Target="https://www.linkedin.com/learning/managing-technical-professionals?trk=ondemandfile" TargetMode="External"/><Relationship Id="rId1496" Type="http://schemas.openxmlformats.org/officeDocument/2006/relationships/hyperlink" Target="https://www.linkedin.com/learning/leading-with-innovation?trk=ondemandfile" TargetMode="External"/><Relationship Id="rId2242" Type="http://schemas.openxmlformats.org/officeDocument/2006/relationships/hyperlink" Target="https://www.linkedin.com/learning/effective-sponsorship-across-difference-for-proteges?trk=contentmappingfile" TargetMode="External"/><Relationship Id="rId2547" Type="http://schemas.openxmlformats.org/officeDocument/2006/relationships/hyperlink" Target="https://www.linkedin.com/learning/manage-burnout-at-work-with-these-simple-strategies?trk=ondemandfile" TargetMode="External"/><Relationship Id="rId214" Type="http://schemas.openxmlformats.org/officeDocument/2006/relationships/hyperlink" Target="https://www.linkedin.com/learning/be-a-better-manager-by-motivating-your-team?trk=ondemandfile" TargetMode="External"/><Relationship Id="rId421" Type="http://schemas.openxmlformats.org/officeDocument/2006/relationships/hyperlink" Target="https://www.linkedin.com/learning/leading-with-kindness-and-strength?trk=ondemandfile" TargetMode="External"/><Relationship Id="rId519" Type="http://schemas.openxmlformats.org/officeDocument/2006/relationships/hyperlink" Target="https://www.linkedin.com/learning/social-media-marketing-tips-8570680?trk=ondemandfile" TargetMode="External"/><Relationship Id="rId1051" Type="http://schemas.openxmlformats.org/officeDocument/2006/relationships/hyperlink" Target="https://www.linkedin.com/learning/agile-moscow-prioritization?trk=ondemandfile" TargetMode="External"/><Relationship Id="rId1149" Type="http://schemas.openxmlformats.org/officeDocument/2006/relationships/hyperlink" Target="https://www.linkedin.com/learning/hr-and-digital-transformation?trk=ondemandfile" TargetMode="External"/><Relationship Id="rId1356" Type="http://schemas.openxmlformats.org/officeDocument/2006/relationships/hyperlink" Target="https://www.linkedin.com/learning/agile-testing-2?trk=ondemandfile" TargetMode="External"/><Relationship Id="rId2102" Type="http://schemas.openxmlformats.org/officeDocument/2006/relationships/hyperlink" Target="https://www.linkedin.com/learning/reid-hoffman-and-chris-yeh-on-blitzscaling?trk=ondemandfile" TargetMode="External"/><Relationship Id="rId726" Type="http://schemas.openxmlformats.org/officeDocument/2006/relationships/hyperlink" Target="https://www.linkedin.com/learning/applying-critical-thinking-strategies-to-communicate-effectively?trk=ondemandfile" TargetMode="External"/><Relationship Id="rId933" Type="http://schemas.openxmlformats.org/officeDocument/2006/relationships/hyperlink" Target="https://www.linkedin.com/learning/side-hustle-strategies-for-data-science-and-analytics-experts?trk=ondemandfile" TargetMode="External"/><Relationship Id="rId1009" Type="http://schemas.openxmlformats.org/officeDocument/2006/relationships/hyperlink" Target="https://www.linkedin.com/learning/color-trends?trk=ondemandfile" TargetMode="External"/><Relationship Id="rId1563" Type="http://schemas.openxmlformats.org/officeDocument/2006/relationships/hyperlink" Target="https://www.linkedin.com/learning/leading-in-the-moment?trk=ondemandfile" TargetMode="External"/><Relationship Id="rId1770" Type="http://schemas.openxmlformats.org/officeDocument/2006/relationships/hyperlink" Target="https://www.linkedin.com/learning/implementing-supply-chain-management?trk=ondemandfile" TargetMode="External"/><Relationship Id="rId1868" Type="http://schemas.openxmlformats.org/officeDocument/2006/relationships/hyperlink" Target="https://www.linkedin.com/learning/paths/become-a-product-manager-2?trk=ondemandfile" TargetMode="External"/><Relationship Id="rId2407" Type="http://schemas.openxmlformats.org/officeDocument/2006/relationships/hyperlink" Target="https://www.linkedin.com/learning/developing-cross-cultural-intelligence?trk=ondemandfile" TargetMode="External"/><Relationship Id="rId2614" Type="http://schemas.openxmlformats.org/officeDocument/2006/relationships/hyperlink" Target="https://www.linkedin.com/learning/paths/become-a-leader?trk=ondemandfile" TargetMode="External"/><Relationship Id="rId62" Type="http://schemas.openxmlformats.org/officeDocument/2006/relationships/hyperlink" Target="https://www.linkedin.com/learning/mixtape-learning-highlights-on-personal-effectiveness?trk=ondemandfile" TargetMode="External"/><Relationship Id="rId1216" Type="http://schemas.openxmlformats.org/officeDocument/2006/relationships/hyperlink" Target="https://www.linkedin.com/learning/performance-based-hiring?trk=ondemandfile" TargetMode="External"/><Relationship Id="rId1423" Type="http://schemas.openxmlformats.org/officeDocument/2006/relationships/hyperlink" Target="https://www.linkedin.com/learning/paths/managing-change?trk=ondemandfile" TargetMode="External"/><Relationship Id="rId1630" Type="http://schemas.openxmlformats.org/officeDocument/2006/relationships/hyperlink" Target="https://www.linkedin.com/learning/paths/managing-and-leading-developers?trk=ondemandfile" TargetMode="External"/><Relationship Id="rId1728" Type="http://schemas.openxmlformats.org/officeDocument/2006/relationships/hyperlink" Target="https://www.linkedin.com/learning/organization-design?trk=ondemandfile" TargetMode="External"/><Relationship Id="rId1935" Type="http://schemas.openxmlformats.org/officeDocument/2006/relationships/hyperlink" Target="https://www.linkedin.com/learning/data-driven-project-management-project-metrics-that-matter?trk=contentmappingfile" TargetMode="External"/><Relationship Id="rId2197" Type="http://schemas.openxmlformats.org/officeDocument/2006/relationships/hyperlink" Target="https://www.linkedin.com/learning/the-purpose-effect-getabstract-summary?trk=ondemandfile" TargetMode="External"/><Relationship Id="rId169" Type="http://schemas.openxmlformats.org/officeDocument/2006/relationships/hyperlink" Target="https://www.linkedin.com/learning/cmo-foundations-creating-a-marketing-culture?trk=ondemandfile" TargetMode="External"/><Relationship Id="rId376" Type="http://schemas.openxmlformats.org/officeDocument/2006/relationships/hyperlink" Target="https://www.linkedin.com/learning/negotiation-skills?trk=ondemandfile" TargetMode="External"/><Relationship Id="rId583" Type="http://schemas.openxmlformats.org/officeDocument/2006/relationships/hyperlink" Target="https://www.linkedin.com/learning/designing-an-authentic-brand?trk=ondemandfile" TargetMode="External"/><Relationship Id="rId790" Type="http://schemas.openxmlformats.org/officeDocument/2006/relationships/hyperlink" Target="https://www.linkedin.com/learning/talking-to-customers?trk=ondemandfile" TargetMode="External"/><Relationship Id="rId2057" Type="http://schemas.openxmlformats.org/officeDocument/2006/relationships/hyperlink" Target="https://www.linkedin.com/learning/aligning-sales-and-marketing?trk=ondemandfile" TargetMode="External"/><Relationship Id="rId2264" Type="http://schemas.openxmlformats.org/officeDocument/2006/relationships/hyperlink" Target="https://www.linkedin.com/learning/paths/finding-and-retaining-talent?trk=ondemandfile" TargetMode="External"/><Relationship Id="rId2471" Type="http://schemas.openxmlformats.org/officeDocument/2006/relationships/hyperlink" Target="https://www.linkedin.com/learning/the-foundations-of-fiction?trk=ondemandfile" TargetMode="External"/><Relationship Id="rId4" Type="http://schemas.openxmlformats.org/officeDocument/2006/relationships/hyperlink" Target="https://www.linkedin.com/learning/paths/become-a-high-performer-2?trk=ondemandfile" TargetMode="External"/><Relationship Id="rId236" Type="http://schemas.openxmlformats.org/officeDocument/2006/relationships/hyperlink" Target="https://www.linkedin.com/learning/best-practices-for-new-people-leaders?trk=ondemandfile" TargetMode="External"/><Relationship Id="rId443" Type="http://schemas.openxmlformats.org/officeDocument/2006/relationships/hyperlink" Target="https://www.linkedin.com/learning/listen-to-lead?trk=ondemandfile" TargetMode="External"/><Relationship Id="rId650" Type="http://schemas.openxmlformats.org/officeDocument/2006/relationships/hyperlink" Target="https://www.linkedin.com/learning/lead-generation-multi-channel-ppc-strategy?trk=ondemandfile" TargetMode="External"/><Relationship Id="rId888" Type="http://schemas.openxmlformats.org/officeDocument/2006/relationships/hyperlink" Target="https://www.linkedin.com/learning/learning-public-data-sets-2?trk=ondemandfile" TargetMode="External"/><Relationship Id="rId1073" Type="http://schemas.openxmlformats.org/officeDocument/2006/relationships/hyperlink" Target="https://www.linkedin.com/learning/financial-record-keeping?trk=ondemandfile" TargetMode="External"/><Relationship Id="rId1280" Type="http://schemas.openxmlformats.org/officeDocument/2006/relationships/hyperlink" Target="https://www.linkedin.com/learning/it-service-desk-management-fundamentals?trk=ondemandfile" TargetMode="External"/><Relationship Id="rId2124" Type="http://schemas.openxmlformats.org/officeDocument/2006/relationships/hyperlink" Target="https://www.linkedin.com/learning/agile-negotiation?trk=ondemandfile" TargetMode="External"/><Relationship Id="rId2331" Type="http://schemas.openxmlformats.org/officeDocument/2006/relationships/hyperlink" Target="https://www.linkedin.com/learning/paths/transition-from-military-to-student-life?trk=ondemandfile?" TargetMode="External"/><Relationship Id="rId2569" Type="http://schemas.openxmlformats.org/officeDocument/2006/relationships/hyperlink" Target="https://www.linkedin.com/learning/cultivate-healthy-ambition?trk=ondemandfile" TargetMode="External"/><Relationship Id="rId303" Type="http://schemas.openxmlformats.org/officeDocument/2006/relationships/hyperlink" Target="https://www.linkedin.com/learning/building-trust-2018?trk=ondemandfile" TargetMode="External"/><Relationship Id="rId748" Type="http://schemas.openxmlformats.org/officeDocument/2006/relationships/hyperlink" Target="https://www.linkedin.com/learning/practical-creativity-for-everyone?trk=ondemandfile" TargetMode="External"/><Relationship Id="rId955" Type="http://schemas.openxmlformats.org/officeDocument/2006/relationships/hyperlink" Target="https://www.linkedin.com/learning/paths/become-a-user-experience-designer?trk=ondemandfile" TargetMode="External"/><Relationship Id="rId1140" Type="http://schemas.openxmlformats.org/officeDocument/2006/relationships/hyperlink" Target="https://www.linkedin.com/learning/creating-a-leadership-development-program?trk=ondemandfile" TargetMode="External"/><Relationship Id="rId1378" Type="http://schemas.openxmlformats.org/officeDocument/2006/relationships/hyperlink" Target="https://www.linkedin.com/learning/manage-apps-with-configuration-manager?trk=ondemandfile" TargetMode="External"/><Relationship Id="rId1585" Type="http://schemas.openxmlformats.org/officeDocument/2006/relationships/hyperlink" Target="https://www.linkedin.com/learning/leading-through-chaos?trk=ondemandfile" TargetMode="External"/><Relationship Id="rId1792" Type="http://schemas.openxmlformats.org/officeDocument/2006/relationships/hyperlink" Target="https://www.linkedin.com/learning/how-to-make-strategic-thinking-a-habit?trk=ondemandfile" TargetMode="External"/><Relationship Id="rId2429" Type="http://schemas.openxmlformats.org/officeDocument/2006/relationships/hyperlink" Target="https://www.linkedin.com/learning/architectural-design-the-we-way-for-workplace-inclusivity?trk=ondemandfile" TargetMode="External"/><Relationship Id="rId2636" Type="http://schemas.openxmlformats.org/officeDocument/2006/relationships/hyperlink" Target="https://www.linkedin.com/learning/paths/master-in-demand-skills-for-technology-leadership?trk=ondemandfile" TargetMode="External"/><Relationship Id="rId84" Type="http://schemas.openxmlformats.org/officeDocument/2006/relationships/hyperlink" Target="https://www.linkedin.com/learning/asking-for-feedback-as-an-employee?trk=ondemandfile" TargetMode="External"/><Relationship Id="rId510" Type="http://schemas.openxmlformats.org/officeDocument/2006/relationships/hyperlink" Target="https://www.linkedin.com/learning/paths/become-a-digital-marketing-specialist?trk=ondemandfile" TargetMode="External"/><Relationship Id="rId608" Type="http://schemas.openxmlformats.org/officeDocument/2006/relationships/hyperlink" Target="https://www.linkedin.com/learning/the-habits-of-successful-marketers?trk=contentmappingfile" TargetMode="External"/><Relationship Id="rId815" Type="http://schemas.openxmlformats.org/officeDocument/2006/relationships/hyperlink" Target="https://www.linkedin.com/learning/building-customer-loyalty-2?trk=ondemandfile" TargetMode="External"/><Relationship Id="rId1238" Type="http://schemas.openxmlformats.org/officeDocument/2006/relationships/hyperlink" Target="https://www.linkedin.com/learning/negotiating-power-and-preventing-harassment?trk=ondemandfile" TargetMode="External"/><Relationship Id="rId1445" Type="http://schemas.openxmlformats.org/officeDocument/2006/relationships/hyperlink" Target="https://www.linkedin.com/learning/change-leadership?trk=ondemandfile" TargetMode="External"/><Relationship Id="rId1652" Type="http://schemas.openxmlformats.org/officeDocument/2006/relationships/hyperlink" Target="https://www.linkedin.com/learning/coaching-and-developing-employees-2019?trk=ondemandfile" TargetMode="External"/><Relationship Id="rId1000" Type="http://schemas.openxmlformats.org/officeDocument/2006/relationships/hyperlink" Target="https://www.linkedin.com/learning/converting-face-to-face-training-into-digital-learning?trk=ondemandfile" TargetMode="External"/><Relationship Id="rId1305" Type="http://schemas.openxmlformats.org/officeDocument/2006/relationships/hyperlink" Target="https://www.linkedin.com/learning/paths/master-cloud-native-infrastructure-with-kubernetes?trk=ondemandfile" TargetMode="External"/><Relationship Id="rId1957" Type="http://schemas.openxmlformats.org/officeDocument/2006/relationships/hyperlink" Target="https://www.linkedin.com/learning/hybrid-project-management-do-what-works?trk=ondemandfile" TargetMode="External"/><Relationship Id="rId2703" Type="http://schemas.openxmlformats.org/officeDocument/2006/relationships/hyperlink" Target="https://www.linkedin.com/learning/becoming-a-more-effective-leader?trk=ondemandfile" TargetMode="External"/><Relationship Id="rId1512" Type="http://schemas.openxmlformats.org/officeDocument/2006/relationships/hyperlink" Target="https://www.linkedin.com/learning/leading-organizations-ten-timeless-truths-getabstract-summary?trk=ondemandfile" TargetMode="External"/><Relationship Id="rId1817" Type="http://schemas.openxmlformats.org/officeDocument/2006/relationships/hyperlink" Target="https://www.linkedin.com/learning/public-speaking-energise-and-engage-your-audience?trk=ondemandfile" TargetMode="External"/><Relationship Id="rId11" Type="http://schemas.openxmlformats.org/officeDocument/2006/relationships/hyperlink" Target="https://www.linkedin.com/learning/learning-agility?trk=ondemandfile" TargetMode="External"/><Relationship Id="rId398" Type="http://schemas.openxmlformats.org/officeDocument/2006/relationships/hyperlink" Target="https://www.linkedin.com/learning/media-relations-foundations?trk=ondemandfile" TargetMode="External"/><Relationship Id="rId2079" Type="http://schemas.openxmlformats.org/officeDocument/2006/relationships/hyperlink" Target="https://www.linkedin.com/learning/creating-a-culture-of-strategy-execution?trk=ondemandfile" TargetMode="External"/><Relationship Id="rId160" Type="http://schemas.openxmlformats.org/officeDocument/2006/relationships/hyperlink" Target="https://www.linkedin.com/learning/working-from-home-strategies-for-success?trk=ondemandfile" TargetMode="External"/><Relationship Id="rId2286" Type="http://schemas.openxmlformats.org/officeDocument/2006/relationships/hyperlink" Target="https://www.linkedin.com/learning/performance-management-setting-goals-and-managing-performance?trk=ondemandfile" TargetMode="External"/><Relationship Id="rId2493" Type="http://schemas.openxmlformats.org/officeDocument/2006/relationships/hyperlink" Target="https://www.linkedin.com/learning/using-your-mind-to-change-your-brain?trk=ondemandfile" TargetMode="External"/><Relationship Id="rId258" Type="http://schemas.openxmlformats.org/officeDocument/2006/relationships/hyperlink" Target="https://www.linkedin.com/learning/humble-leadership-the-power-of-relationships-openness-and-trust-getabstract-summary?trk=ondemandfile" TargetMode="External"/><Relationship Id="rId465" Type="http://schemas.openxmlformats.org/officeDocument/2006/relationships/hyperlink" Target="https://www.linkedin.com/learning/crisis-communication?trk=ondemandfile" TargetMode="External"/><Relationship Id="rId672" Type="http://schemas.openxmlformats.org/officeDocument/2006/relationships/hyperlink" Target="https://www.linkedin.com/learning/unleash-your-team-s-creativity?trk=ondemandfile" TargetMode="External"/><Relationship Id="rId1095" Type="http://schemas.openxmlformats.org/officeDocument/2006/relationships/hyperlink" Target="https://www.linkedin.com/learning/increasing-engagement-with-elearning-programs?trk=ondemandfile" TargetMode="External"/><Relationship Id="rId2146" Type="http://schemas.openxmlformats.org/officeDocument/2006/relationships/hyperlink" Target="https://www.linkedin.com/learning/azure-understanding-the-big-picture-2?trk=ondemandfile" TargetMode="External"/><Relationship Id="rId2353" Type="http://schemas.openxmlformats.org/officeDocument/2006/relationships/hyperlink" Target="https://www.linkedin.com/learning/how-to-foster-antiracist-workplaces-a-practical-guide-for-all-employees?trk=ondemandfile" TargetMode="External"/><Relationship Id="rId2560" Type="http://schemas.openxmlformats.org/officeDocument/2006/relationships/hyperlink" Target="https://www.linkedin.com/learning/facilities-management-social-distancing-and-ppe-14016700?trk=ondemandfile" TargetMode="External"/><Relationship Id="rId118" Type="http://schemas.openxmlformats.org/officeDocument/2006/relationships/hyperlink" Target="https://www.linkedin.com/learning/leading-your-team-through-actionable-change?trk=ondemandfile" TargetMode="External"/><Relationship Id="rId325" Type="http://schemas.openxmlformats.org/officeDocument/2006/relationships/hyperlink" Target="https://www.linkedin.com/learning/women-transforming-tech-finding-sponsors" TargetMode="External"/><Relationship Id="rId532" Type="http://schemas.openxmlformats.org/officeDocument/2006/relationships/hyperlink" Target="https://www.linkedin.com/learning/paths/master-digital-marketing?trk=ondemandfile" TargetMode="External"/><Relationship Id="rId977" Type="http://schemas.openxmlformats.org/officeDocument/2006/relationships/hyperlink" Target="https://www.linkedin.com/learning/empathy-in-business-design-for-success?trk=ondemandfile" TargetMode="External"/><Relationship Id="rId1162" Type="http://schemas.openxmlformats.org/officeDocument/2006/relationships/hyperlink" Target="https://www.linkedin.com/learning/nonprofit-foundations?trk=ondemandfile" TargetMode="External"/><Relationship Id="rId2006" Type="http://schemas.openxmlformats.org/officeDocument/2006/relationships/hyperlink" Target="https://www.linkedin.com/learning/jeffrey-gitomer-s-little-red-book-of-sales-answers-getabstract-summary?trk=ondemandfile" TargetMode="External"/><Relationship Id="rId2213" Type="http://schemas.openxmlformats.org/officeDocument/2006/relationships/hyperlink" Target="https://www.linkedin.com/learning/managing-high-performers?trk=ondemandfile" TargetMode="External"/><Relationship Id="rId2420" Type="http://schemas.openxmlformats.org/officeDocument/2006/relationships/hyperlink" Target="https://www.linkedin.com/learning/john-maeda-on-design-business-and-inclusion?trk=ondemandfile" TargetMode="External"/><Relationship Id="rId2658" Type="http://schemas.openxmlformats.org/officeDocument/2006/relationships/hyperlink" Target="https://www.linkedin.com/learning/organizational-thought-leadership?trk=ondemandfile" TargetMode="External"/><Relationship Id="rId837" Type="http://schemas.openxmlformats.org/officeDocument/2006/relationships/hyperlink" Target="https://www.linkedin.com/learning/leading-teams-working-with-data-pitfalls-and-best-practices?trk=ondemandfile" TargetMode="External"/><Relationship Id="rId1022" Type="http://schemas.openxmlformats.org/officeDocument/2006/relationships/hyperlink" Target="https://www.linkedin.com/learning/job-interview-tips-for-accountants?trk=ondemandfile" TargetMode="External"/><Relationship Id="rId1467" Type="http://schemas.openxmlformats.org/officeDocument/2006/relationships/hyperlink" Target="https://www.linkedin.com/learning/change-management-tips-for-individuals?trk=ondemandfile" TargetMode="External"/><Relationship Id="rId1674" Type="http://schemas.openxmlformats.org/officeDocument/2006/relationships/hyperlink" Target="https://www.linkedin.com/learning/having-career-conversations-with-your-team?trk=ondemandfile" TargetMode="External"/><Relationship Id="rId1881" Type="http://schemas.openxmlformats.org/officeDocument/2006/relationships/hyperlink" Target="https://www.linkedin.com/learning/agile-coaching?trk=ondemandfile" TargetMode="External"/><Relationship Id="rId2518" Type="http://schemas.openxmlformats.org/officeDocument/2006/relationships/hyperlink" Target="https://www.linkedin.com/learning/embracing-change-with-mindfulness?trk=ondemandfile" TargetMode="External"/><Relationship Id="rId2725" Type="http://schemas.openxmlformats.org/officeDocument/2006/relationships/hyperlink" Target="https://www.linkedin.com/learning/building-your-visibility-as-a-leader?trk=ondemandfile" TargetMode="External"/><Relationship Id="rId904" Type="http://schemas.openxmlformats.org/officeDocument/2006/relationships/hyperlink" Target="https://www.linkedin.com/learning/excel-statistics-essential-training-2-2?trk=ondemandfile" TargetMode="External"/><Relationship Id="rId1327" Type="http://schemas.openxmlformats.org/officeDocument/2006/relationships/hyperlink" Target="https://www.linkedin.com/learning/sap-business-one-production-and-logistics?trk=ondemandfile" TargetMode="External"/><Relationship Id="rId1534" Type="http://schemas.openxmlformats.org/officeDocument/2006/relationships/hyperlink" Target="https://www.linkedin.com/learning/ken-blanchard-on-servant-leadership?trk=ondemandfile" TargetMode="External"/><Relationship Id="rId1741" Type="http://schemas.openxmlformats.org/officeDocument/2006/relationships/hyperlink" Target="https://www.linkedin.com/learning/job-skills-supply-chain-and-operations?trk=ondemandfile" TargetMode="External"/><Relationship Id="rId1979" Type="http://schemas.openxmlformats.org/officeDocument/2006/relationships/hyperlink" Target="https://www.linkedin.com/learning/paths/develop-your-customer-service-skills?trk=ondemandfile" TargetMode="External"/><Relationship Id="rId33" Type="http://schemas.openxmlformats.org/officeDocument/2006/relationships/hyperlink" Target="https://www.linkedin.com/learning/productivity-tips-setting-up-your-workplace?trk=ondemandfile" TargetMode="External"/><Relationship Id="rId1601" Type="http://schemas.openxmlformats.org/officeDocument/2006/relationships/hyperlink" Target="https://www.linkedin.com/learning/how-to-innovate-and-stay-relevant-in-times-of-change-and-uncertainty?trk=ondemandfile" TargetMode="External"/><Relationship Id="rId1839" Type="http://schemas.openxmlformats.org/officeDocument/2006/relationships/hyperlink" Target="https://www.linkedin.com/learning/connecting-with-your-audience-using-video?trk=ondemandfile" TargetMode="External"/><Relationship Id="rId182" Type="http://schemas.openxmlformats.org/officeDocument/2006/relationships/hyperlink" Target="https://www.linkedin.com/learning/communicating-to-drive-people-to-take-action?trk=ondemandfile" TargetMode="External"/><Relationship Id="rId1906" Type="http://schemas.openxmlformats.org/officeDocument/2006/relationships/hyperlink" Target="https://www.linkedin.com/learning/introducing-the-pmbok-guide-seventh-edition?trk=ondemandfile" TargetMode="External"/><Relationship Id="rId487" Type="http://schemas.openxmlformats.org/officeDocument/2006/relationships/hyperlink" Target="https://www.linkedin.com/learning/embracing-conflict-as-a-gift?trk=ondemandfile" TargetMode="External"/><Relationship Id="rId694" Type="http://schemas.openxmlformats.org/officeDocument/2006/relationships/hyperlink" Target="https://www.linkedin.com/learning/creativity-generate-ideas-in-greater-quantity-and-quality?trk=ondemandfile" TargetMode="External"/><Relationship Id="rId2070" Type="http://schemas.openxmlformats.org/officeDocument/2006/relationships/hyperlink" Target="https://www.linkedin.com/learning/advanced-lead-generation?trk=ondemandfile" TargetMode="External"/><Relationship Id="rId2168" Type="http://schemas.openxmlformats.org/officeDocument/2006/relationships/hyperlink" Target="https://www.linkedin.com/learning/content-marketing-roi?trk=ondemandfile" TargetMode="External"/><Relationship Id="rId2375" Type="http://schemas.openxmlformats.org/officeDocument/2006/relationships/hyperlink" Target="https://www.linkedin.com/learning/inclusive-communication?trk=ondemandfile" TargetMode="External"/><Relationship Id="rId347" Type="http://schemas.openxmlformats.org/officeDocument/2006/relationships/hyperlink" Target="https://www.linkedin.com/learning/paths/master-in-demand-professional-soft-skills?trk=ondemandfile" TargetMode="External"/><Relationship Id="rId999" Type="http://schemas.openxmlformats.org/officeDocument/2006/relationships/hyperlink" Target="https://www.linkedin.com/learning/adobe-captivate-advanced-actions?trk=ondemandfile" TargetMode="External"/><Relationship Id="rId1184" Type="http://schemas.openxmlformats.org/officeDocument/2006/relationships/hyperlink" Target="https://www.linkedin.com/learning/teaching-civility-in-the-workplace?trk=ondemandfile" TargetMode="External"/><Relationship Id="rId2028" Type="http://schemas.openxmlformats.org/officeDocument/2006/relationships/hyperlink" Target="https://www.linkedin.com/learning/mindsets-and-strategies-for-negotiation-success?trk=ondemandfile" TargetMode="External"/><Relationship Id="rId2582" Type="http://schemas.openxmlformats.org/officeDocument/2006/relationships/hyperlink" Target="https://www.linkedin.com/learning/essentials-of-mindfulness-and-compassion-with-scott-shute?trk=ondemandfile" TargetMode="External"/><Relationship Id="rId554" Type="http://schemas.openxmlformats.org/officeDocument/2006/relationships/hyperlink" Target="https://www.linkedin.com/learning/content-marketing-newsletters-2?trk=ondemandfile" TargetMode="External"/><Relationship Id="rId761" Type="http://schemas.openxmlformats.org/officeDocument/2006/relationships/hyperlink" Target="https://www.linkedin.com/learning/good-economics-for-hard-times-blinkist-summary?trk=ondemandfile" TargetMode="External"/><Relationship Id="rId859" Type="http://schemas.openxmlformats.org/officeDocument/2006/relationships/hyperlink" Target="https://www.linkedin.com/learning/apache-flink-exploratory-data-analytics-with-sql?trk=ondemandfile" TargetMode="External"/><Relationship Id="rId1391" Type="http://schemas.openxmlformats.org/officeDocument/2006/relationships/hyperlink" Target="https://www.linkedin.com/learning/text-analytics-and-predictions-with-python-essential-training?trk=ondemandfile" TargetMode="External"/><Relationship Id="rId1489" Type="http://schemas.openxmlformats.org/officeDocument/2006/relationships/hyperlink" Target="https://www.linkedin.com/learning/demonstrating-accountabilty-as-a-leader" TargetMode="External"/><Relationship Id="rId1696" Type="http://schemas.openxmlformats.org/officeDocument/2006/relationships/hyperlink" Target="https://www.linkedin.com/learning/the-definitive-drucker-getabstract-summary?trk=ondemandfile" TargetMode="External"/><Relationship Id="rId2235" Type="http://schemas.openxmlformats.org/officeDocument/2006/relationships/hyperlink" Target="https://www.linkedin.com/learning/become-a-better-coach-for-your-team?trk=ondemandfile" TargetMode="External"/><Relationship Id="rId2442" Type="http://schemas.openxmlformats.org/officeDocument/2006/relationships/hyperlink" Target="https://www.linkedin.com/learning/advanced-grammar?trk=ondemandfile" TargetMode="External"/><Relationship Id="rId207" Type="http://schemas.openxmlformats.org/officeDocument/2006/relationships/hyperlink" Target="https://www.linkedin.com/learning/managing-a-diverse-team?trk=ondemandfile" TargetMode="External"/><Relationship Id="rId414" Type="http://schemas.openxmlformats.org/officeDocument/2006/relationships/hyperlink" Target="https://www.linkedin.com/learning/present-a-techie-s-guide-to-public-speaking?trk=ondemandfile" TargetMode="External"/><Relationship Id="rId621" Type="http://schemas.openxmlformats.org/officeDocument/2006/relationships/hyperlink" Target="https://www.linkedin.com/learning/artificial-intelligence-for-marketing?trk=ondemandfile" TargetMode="External"/><Relationship Id="rId1044" Type="http://schemas.openxmlformats.org/officeDocument/2006/relationships/hyperlink" Target="https://www.linkedin.com/learning/finance-foundations-income-taxes-2?trk=ondemandfile" TargetMode="External"/><Relationship Id="rId1251" Type="http://schemas.openxmlformats.org/officeDocument/2006/relationships/hyperlink" Target="https://www.linkedin.com/learning/paths/advance-your-skills-in-ai-and-machine-learning?trk=ondemandfile" TargetMode="External"/><Relationship Id="rId1349" Type="http://schemas.openxmlformats.org/officeDocument/2006/relationships/hyperlink" Target="https://www.linkedin.com/learning/learning-powerpoint-for-the-web-office-365-microsoft-365-2021?trk=ondemandfile" TargetMode="External"/><Relationship Id="rId2302" Type="http://schemas.openxmlformats.org/officeDocument/2006/relationships/hyperlink" Target="https://www.linkedin.com/learning/empathy-tips-for-hr-professionals?trk=ondemandfile" TargetMode="External"/><Relationship Id="rId719" Type="http://schemas.openxmlformats.org/officeDocument/2006/relationships/hyperlink" Target="https://www.linkedin.com/learning/reid-hoffman-and-chris-yeh-on-blitzscaling?trk=ondemandfile" TargetMode="External"/><Relationship Id="rId926" Type="http://schemas.openxmlformats.org/officeDocument/2006/relationships/hyperlink" Target="https://www.linkedin.com/learning/tableau-and-r-for-analytics-projects?trk=ondemandfile" TargetMode="External"/><Relationship Id="rId1111" Type="http://schemas.openxmlformats.org/officeDocument/2006/relationships/hyperlink" Target="https://www.linkedin.com/learning/audit-and-due-diligence-priorities-and-best-practices?trk=ondemandfile" TargetMode="External"/><Relationship Id="rId1556" Type="http://schemas.openxmlformats.org/officeDocument/2006/relationships/hyperlink" Target="https://www.linkedin.com/learning/leading-through-relationships?trk=ondemandfile" TargetMode="External"/><Relationship Id="rId1763" Type="http://schemas.openxmlformats.org/officeDocument/2006/relationships/hyperlink" Target="https://www.linkedin.com/learning/design-thinking-implementing-the-process?trk=ondemandfile" TargetMode="External"/><Relationship Id="rId1970" Type="http://schemas.openxmlformats.org/officeDocument/2006/relationships/hyperlink" Target="https://www.linkedin.com/learning/retail-sales-management?trk=ondemandfile" TargetMode="External"/><Relationship Id="rId2607" Type="http://schemas.openxmlformats.org/officeDocument/2006/relationships/hyperlink" Target="https://www.linkedin.com/learning/managing-your-well-being-as-a-leader?trk=ondemandfile" TargetMode="External"/><Relationship Id="rId55" Type="http://schemas.openxmlformats.org/officeDocument/2006/relationships/hyperlink" Target="https://www.linkedin.com/learning/overcoming-perfectionism?trk=ondemandfile" TargetMode="External"/><Relationship Id="rId1209" Type="http://schemas.openxmlformats.org/officeDocument/2006/relationships/hyperlink" Target="https://www.linkedin.com/learning/hr-as-a-business-partner?trk=ondemandfile" TargetMode="External"/><Relationship Id="rId1416" Type="http://schemas.openxmlformats.org/officeDocument/2006/relationships/hyperlink" Target="https://www.linkedin.com/learning/leading-with-innovation?trk=ondemandfile" TargetMode="External"/><Relationship Id="rId1623" Type="http://schemas.openxmlformats.org/officeDocument/2006/relationships/hyperlink" Target="https://www.linkedin.com/learning/creating-a-high-performance-culture?trk=ondemandfile" TargetMode="External"/><Relationship Id="rId1830" Type="http://schemas.openxmlformats.org/officeDocument/2006/relationships/hyperlink" Target="https://www.linkedin.com/learning/impromptu-speaking?trk=ondemandfile" TargetMode="External"/><Relationship Id="rId1928" Type="http://schemas.openxmlformats.org/officeDocument/2006/relationships/hyperlink" Target="https://www.linkedin.com/learning/linkedin-learning-highlights-project-management?trk=ondemandfile" TargetMode="External"/><Relationship Id="rId2092" Type="http://schemas.openxmlformats.org/officeDocument/2006/relationships/hyperlink" Target="https://www.linkedin.com/learning/paths/develop-your-strategic-planning-skills?trk=ondemandfile" TargetMode="External"/><Relationship Id="rId271" Type="http://schemas.openxmlformats.org/officeDocument/2006/relationships/hyperlink" Target="https://www.linkedin.com/learning/be-a-better-manager-by-motivating-your-team?trk=ondemandfile" TargetMode="External"/><Relationship Id="rId2397" Type="http://schemas.openxmlformats.org/officeDocument/2006/relationships/hyperlink" Target="https://www.linkedin.com/learning/strategies-to-foster-inclusive-language-at-work?trk=contentmappingfile" TargetMode="External"/><Relationship Id="rId131" Type="http://schemas.openxmlformats.org/officeDocument/2006/relationships/hyperlink" Target="https://www.linkedin.com/learning/avoiding-burnout-2019?trk=ondemandfile" TargetMode="External"/><Relationship Id="rId369" Type="http://schemas.openxmlformats.org/officeDocument/2006/relationships/hyperlink" Target="https://www.linkedin.com/learning/integrated-marketing-communication-strategies?trk=ondemandfile" TargetMode="External"/><Relationship Id="rId576" Type="http://schemas.openxmlformats.org/officeDocument/2006/relationships/hyperlink" Target="https://www.linkedin.com/learning/affiliate-marketing-foundations?trk=ondemandfile" TargetMode="External"/><Relationship Id="rId783" Type="http://schemas.openxmlformats.org/officeDocument/2006/relationships/hyperlink" Target="https://www.linkedin.com/learning/customer-service-and-support-during-economic-downturns?trk=ondemandfile" TargetMode="External"/><Relationship Id="rId990" Type="http://schemas.openxmlformats.org/officeDocument/2006/relationships/hyperlink" Target="https://www.linkedin.com/learning/getting-executive-buy-in-and-support-for-your-l-d-program?trk=ondemandfile" TargetMode="External"/><Relationship Id="rId2257" Type="http://schemas.openxmlformats.org/officeDocument/2006/relationships/hyperlink" Target="https://www.linkedin.com/learning/jeff-weiner-on-establishing-a-culture-and-a-plan-for-scaling?trk=ondemandfile" TargetMode="External"/><Relationship Id="rId2464" Type="http://schemas.openxmlformats.org/officeDocument/2006/relationships/hyperlink" Target="https://www.linkedin.com/learning/writing-with-impact?trk=ondemandfile" TargetMode="External"/><Relationship Id="rId2671" Type="http://schemas.openxmlformats.org/officeDocument/2006/relationships/hyperlink" Target="https://www.linkedin.com/learning/leadership-foundations-leadership-styles-and-models?trk=ondemandfile" TargetMode="External"/><Relationship Id="rId229" Type="http://schemas.openxmlformats.org/officeDocument/2006/relationships/hyperlink" Target="https://www.linkedin.com/learning/how-to-stop-wasting-time-in-meetings?trk=ondemandfile" TargetMode="External"/><Relationship Id="rId436" Type="http://schemas.openxmlformats.org/officeDocument/2006/relationships/hyperlink" Target="https://www.linkedin.com/learning/how-to-own-a-room?trk=ondemandfile" TargetMode="External"/><Relationship Id="rId643" Type="http://schemas.openxmlformats.org/officeDocument/2006/relationships/hyperlink" Target="https://www.linkedin.com/learning/seo-ecommerce-strategies?trk=ondemandfile" TargetMode="External"/><Relationship Id="rId1066" Type="http://schemas.openxmlformats.org/officeDocument/2006/relationships/hyperlink" Target="https://www.linkedin.com/learning/financial-accounting-part-2?trk=ondemandfile" TargetMode="External"/><Relationship Id="rId1273" Type="http://schemas.openxmlformats.org/officeDocument/2006/relationships/hyperlink" Target="https://www.linkedin.com/learning/paths/become-an-outlook-2013-microsoft-office-specialist?trk=ondemandfile" TargetMode="External"/><Relationship Id="rId1480" Type="http://schemas.openxmlformats.org/officeDocument/2006/relationships/hyperlink" Target="https://www.linkedin.com/learning/the-employee-s-guide-to-sustainability?trk=ondemandfile" TargetMode="External"/><Relationship Id="rId2117" Type="http://schemas.openxmlformats.org/officeDocument/2006/relationships/hyperlink" Target="https://www.linkedin.com/learning/strategic-planning-case-studies?trk=ondemandfile" TargetMode="External"/><Relationship Id="rId2324" Type="http://schemas.openxmlformats.org/officeDocument/2006/relationships/hyperlink" Target="https://www.linkedin.com/learning/managing-multiple-generations-2?trk=ondemandfile" TargetMode="External"/><Relationship Id="rId850" Type="http://schemas.openxmlformats.org/officeDocument/2006/relationships/hyperlink" Target="https://www.linkedin.com/learning/paths/become-a-data-scientist?trk=ondemandfile" TargetMode="External"/><Relationship Id="rId948" Type="http://schemas.openxmlformats.org/officeDocument/2006/relationships/hyperlink" Target="https://www.linkedin.com/learning/camtasia-essential-training-advanced-techniques?trk=ondemandfile" TargetMode="External"/><Relationship Id="rId1133" Type="http://schemas.openxmlformats.org/officeDocument/2006/relationships/hyperlink" Target="https://www.linkedin.com/learning/paths/become-a-corporate-recruiter?trk=ondemandfile" TargetMode="External"/><Relationship Id="rId1578" Type="http://schemas.openxmlformats.org/officeDocument/2006/relationships/hyperlink" Target="https://www.linkedin.com/learning/become-a-courageous-female-leader?trk=ondemandfile" TargetMode="External"/><Relationship Id="rId1785" Type="http://schemas.openxmlformats.org/officeDocument/2006/relationships/hyperlink" Target="https://www.linkedin.com/learning/ai-in-fintech-essential-training?trk=ondemandfile" TargetMode="External"/><Relationship Id="rId1992" Type="http://schemas.openxmlformats.org/officeDocument/2006/relationships/hyperlink" Target="https://www.linkedin.com/learning/sales-discovery?trk=ondemandfile" TargetMode="External"/><Relationship Id="rId2531" Type="http://schemas.openxmlformats.org/officeDocument/2006/relationships/hyperlink" Target="https://www.linkedin.com/learning/establishing-evening-routines-to-optimize-the-day-ahead?trk=ondemandfile" TargetMode="External"/><Relationship Id="rId2629" Type="http://schemas.openxmlformats.org/officeDocument/2006/relationships/hyperlink" Target="https://www.linkedin.com/learning/leading-organizations-ten-timeless-truths-getabstract-summary?trk=ondemandfile" TargetMode="External"/><Relationship Id="rId77" Type="http://schemas.openxmlformats.org/officeDocument/2006/relationships/hyperlink" Target="https://www.linkedin.com/learning/happy-accidents-the-transformative-power-of-yes-and-at-work-and-in-life-getabstract-summary?trk=ondemandfile" TargetMode="External"/><Relationship Id="rId503" Type="http://schemas.openxmlformats.org/officeDocument/2006/relationships/hyperlink" Target="https://www.linkedin.com/learning/pricing-strategy-value-based-pricing?trk=ondemandfile" TargetMode="External"/><Relationship Id="rId710" Type="http://schemas.openxmlformats.org/officeDocument/2006/relationships/hyperlink" Target="https://www.linkedin.com/learning/finding-creativity-in-uncertain-times?trk=contentmappingfile" TargetMode="External"/><Relationship Id="rId808" Type="http://schemas.openxmlformats.org/officeDocument/2006/relationships/hyperlink" Target="https://www.linkedin.com/learning/customer-service-problem-solving-and-trouble-shooting?trk=ondemandfile" TargetMode="External"/><Relationship Id="rId1340" Type="http://schemas.openxmlformats.org/officeDocument/2006/relationships/hyperlink" Target="https://www.linkedin.com/learning/software-development-life-cycle-sdlc?trk=ondemandfile" TargetMode="External"/><Relationship Id="rId1438" Type="http://schemas.openxmlformats.org/officeDocument/2006/relationships/hyperlink" Target="https://www.linkedin.com/learning/futures-centered-design?trk=ondemandfile" TargetMode="External"/><Relationship Id="rId1645" Type="http://schemas.openxmlformats.org/officeDocument/2006/relationships/hyperlink" Target="https://www.linkedin.com/learning/culture-of-kaizen?trk=ondemandfile" TargetMode="External"/><Relationship Id="rId1200" Type="http://schemas.openxmlformats.org/officeDocument/2006/relationships/hyperlink" Target="https://www.linkedin.com/learning/hiring-and-managing-ux-professionals?trk=ondemandfile" TargetMode="External"/><Relationship Id="rId1852" Type="http://schemas.openxmlformats.org/officeDocument/2006/relationships/hyperlink" Target="https://www.linkedin.com/learning/public-speaking-foundations-2" TargetMode="External"/><Relationship Id="rId1505" Type="http://schemas.openxmlformats.org/officeDocument/2006/relationships/hyperlink" Target="https://www.linkedin.com/learning/paths/master-in-demand-skills-for-technology-leadership?trk=ondemandfile" TargetMode="External"/><Relationship Id="rId1712" Type="http://schemas.openxmlformats.org/officeDocument/2006/relationships/hyperlink" Target="https://www.linkedin.com/learning/lean-technology-strategy-purposeful-organizations?trk=ondemandfile" TargetMode="External"/><Relationship Id="rId293" Type="http://schemas.openxmlformats.org/officeDocument/2006/relationships/hyperlink" Target="https://www.linkedin.com/learning/leveraging-your-relationship-capital?trk=ondemandfile" TargetMode="External"/><Relationship Id="rId2181" Type="http://schemas.openxmlformats.org/officeDocument/2006/relationships/hyperlink" Target="https://www.linkedin.com/learning/paths/become-an-administrative-professional?trk=ondemandfile" TargetMode="External"/><Relationship Id="rId153" Type="http://schemas.openxmlformats.org/officeDocument/2006/relationships/hyperlink" Target="https://www.linkedin.com/learning/delivering-results-effectively?trk=ondemandfile" TargetMode="External"/><Relationship Id="rId360" Type="http://schemas.openxmlformats.org/officeDocument/2006/relationships/hyperlink" Target="https://www.linkedin.com/learning/communicating-internally-during-times-of-uncertainty?trk=ondemandfile" TargetMode="External"/><Relationship Id="rId598" Type="http://schemas.openxmlformats.org/officeDocument/2006/relationships/hyperlink" Target="https://www.linkedin.com/learning/marketing-tools-automation-14268255?trk=ondemandfile" TargetMode="External"/><Relationship Id="rId2041" Type="http://schemas.openxmlformats.org/officeDocument/2006/relationships/hyperlink" Target="https://www.linkedin.com/learning/making-great-sales-presentations?trk=ondemandfile" TargetMode="External"/><Relationship Id="rId2279" Type="http://schemas.openxmlformats.org/officeDocument/2006/relationships/hyperlink" Target="https://www.linkedin.com/learning/managing-high-performers?trk=ondemandfile" TargetMode="External"/><Relationship Id="rId2486" Type="http://schemas.openxmlformats.org/officeDocument/2006/relationships/hyperlink" Target="https://www.linkedin.com/learning/paths/supporting-your-well-being-during-times-of-change-and-uncertainty?trk=ondemandfile" TargetMode="External"/><Relationship Id="rId2693" Type="http://schemas.openxmlformats.org/officeDocument/2006/relationships/hyperlink" Target="https://www.linkedin.com/learning/leading-your-team-through-actionable-change?trk=ondemandfile" TargetMode="External"/><Relationship Id="rId220" Type="http://schemas.openxmlformats.org/officeDocument/2006/relationships/hyperlink" Target="https://www.linkedin.com/learning/motivating-your-team-to-learn?trk=ondemandfile" TargetMode="External"/><Relationship Id="rId458" Type="http://schemas.openxmlformats.org/officeDocument/2006/relationships/hyperlink" Target="https://www.linkedin.com/learning/having-difficult-conversations-a-guide-for-managers" TargetMode="External"/><Relationship Id="rId665" Type="http://schemas.openxmlformats.org/officeDocument/2006/relationships/hyperlink" Target="https://www.linkedin.com/learning/lean-technology-strategy-managing-the-innovation-portfolio?trk=ondemandfile" TargetMode="External"/><Relationship Id="rId872" Type="http://schemas.openxmlformats.org/officeDocument/2006/relationships/hyperlink" Target="https://www.linkedin.com/learning/sas-9-4-cert-prep-analyzing-and-reporting-on-data?trk=ondemandfile" TargetMode="External"/><Relationship Id="rId1088" Type="http://schemas.openxmlformats.org/officeDocument/2006/relationships/hyperlink" Target="https://www.linkedin.com/learning/contracting-for-consultants?trk=ondemandfile" TargetMode="External"/><Relationship Id="rId1295" Type="http://schemas.openxmlformats.org/officeDocument/2006/relationships/hyperlink" Target="https://www.linkedin.com/learning/paths/getting-started-with-microsoft-word?trk=ondemandfile" TargetMode="External"/><Relationship Id="rId2139" Type="http://schemas.openxmlformats.org/officeDocument/2006/relationships/hyperlink" Target="https://www.linkedin.com/learning/adaptive-leadership-for-vuca-challenges?trk=ondemandfile" TargetMode="External"/><Relationship Id="rId2346" Type="http://schemas.openxmlformats.org/officeDocument/2006/relationships/hyperlink" Target="https://www.linkedin.com/learning/igniting-emotional-engagement?trk=ondemandfile" TargetMode="External"/><Relationship Id="rId2553" Type="http://schemas.openxmlformats.org/officeDocument/2006/relationships/hyperlink" Target="https://www.linkedin.com/learning/conquering-freak-outs-and-the-fear-of-failure?trk=ondemandfile" TargetMode="External"/><Relationship Id="rId318" Type="http://schemas.openxmlformats.org/officeDocument/2006/relationships/hyperlink" Target="https://www.linkedin.com/learning/redesigning-how-we-work-in-2021?trk=ondemandfile" TargetMode="External"/><Relationship Id="rId525" Type="http://schemas.openxmlformats.org/officeDocument/2006/relationships/hyperlink" Target="https://www.linkedin.com/learning/integrated-marketing-communication-strategies?trk=ondemandfile" TargetMode="External"/><Relationship Id="rId732" Type="http://schemas.openxmlformats.org/officeDocument/2006/relationships/hyperlink" Target="https://www.linkedin.com/learning/crafting-questions-to-make-better-decisions?trk=ondemandfile" TargetMode="External"/><Relationship Id="rId1155" Type="http://schemas.openxmlformats.org/officeDocument/2006/relationships/hyperlink" Target="https://www.linkedin.com/learning/hr-providing-flexible-work-options?trk=ondemandfile" TargetMode="External"/><Relationship Id="rId1362" Type="http://schemas.openxmlformats.org/officeDocument/2006/relationships/hyperlink" Target="https://www.linkedin.com/learning/quickbooks-online-essential-training-2021?trk=ondemandfile" TargetMode="External"/><Relationship Id="rId2206" Type="http://schemas.openxmlformats.org/officeDocument/2006/relationships/hyperlink" Target="https://www.linkedin.com/learning/360-degree-feedback?trk=ondemandfile" TargetMode="External"/><Relationship Id="rId2413" Type="http://schemas.openxmlformats.org/officeDocument/2006/relationships/hyperlink" Target="https://www.linkedin.com/learning/leadership-in-tech?trk=ondemandfile" TargetMode="External"/><Relationship Id="rId2620" Type="http://schemas.openxmlformats.org/officeDocument/2006/relationships/hyperlink" Target="https://www.linkedin.com/learning/paths/become-a-thought-leader?trk=ondemandfile" TargetMode="External"/><Relationship Id="rId99" Type="http://schemas.openxmlformats.org/officeDocument/2006/relationships/hyperlink" Target="https://www.linkedin.com/learning/creating-a-culture-of-change?trk=ondemandfile" TargetMode="External"/><Relationship Id="rId1015" Type="http://schemas.openxmlformats.org/officeDocument/2006/relationships/hyperlink" Target="https://www.linkedin.com/learning/paths/become-an-accounts-payable-officer-2?trk=ondemandfile" TargetMode="External"/><Relationship Id="rId1222" Type="http://schemas.openxmlformats.org/officeDocument/2006/relationships/hyperlink" Target="https://www.linkedin.com/learning/setting-and-managing-realistic-expectations-for-your-l-d-program?trk=ondemandfile" TargetMode="External"/><Relationship Id="rId1667" Type="http://schemas.openxmlformats.org/officeDocument/2006/relationships/hyperlink" Target="https://www.linkedin.com/learning/developing-executive-presence?trk=ondemandfile" TargetMode="External"/><Relationship Id="rId1874" Type="http://schemas.openxmlformats.org/officeDocument/2006/relationships/hyperlink" Target="https://www.linkedin.com/learning/paths/become-a-project-manager?trk=ondemandfile" TargetMode="External"/><Relationship Id="rId2718" Type="http://schemas.openxmlformats.org/officeDocument/2006/relationships/hyperlink" Target="https://www.linkedin.com/learning/leadership-fundamentals?trk=ondemandfile" TargetMode="External"/><Relationship Id="rId1527" Type="http://schemas.openxmlformats.org/officeDocument/2006/relationships/hyperlink" Target="https://www.linkedin.com/learning/navigating-executive-politics?trk=ondemandfile" TargetMode="External"/><Relationship Id="rId1734" Type="http://schemas.openxmlformats.org/officeDocument/2006/relationships/hyperlink" Target="https://www.linkedin.com/learning/devops-foundations-accelerating-continuous-delivery-in-the-enterprise?trk=ondemandfile" TargetMode="External"/><Relationship Id="rId1941" Type="http://schemas.openxmlformats.org/officeDocument/2006/relationships/hyperlink" Target="https://www.linkedin.com/learning/leading-projects?trk=ondemandfile" TargetMode="External"/><Relationship Id="rId26" Type="http://schemas.openxmlformats.org/officeDocument/2006/relationships/hyperlink" Target="https://www.linkedin.com/learning/proven-tips-for-managing-your-time?trk=ondemandfile" TargetMode="External"/><Relationship Id="rId175" Type="http://schemas.openxmlformats.org/officeDocument/2006/relationships/hyperlink" Target="https://www.linkedin.com/learning/doing-good-to-build-a-profitable-business?trk=ondemandfile" TargetMode="External"/><Relationship Id="rId1801" Type="http://schemas.openxmlformats.org/officeDocument/2006/relationships/hyperlink" Target="https://www.linkedin.com/learning/creating-a-meeting-agenda?trk=ondemandfile" TargetMode="External"/><Relationship Id="rId382" Type="http://schemas.openxmlformats.org/officeDocument/2006/relationships/hyperlink" Target="https://www.linkedin.com/learning/own-your-voice-improve-presentations-and-executive-presence?trk=ondemandfile" TargetMode="External"/><Relationship Id="rId687" Type="http://schemas.openxmlformats.org/officeDocument/2006/relationships/hyperlink" Target="https://www.linkedin.com/learning/introduction-to-responsible-ai-algorithm-design?trk=ondemandfile" TargetMode="External"/><Relationship Id="rId2063" Type="http://schemas.openxmlformats.org/officeDocument/2006/relationships/hyperlink" Target="https://www.linkedin.com/learning/cold-email-prospecting?trk=ondemandfile" TargetMode="External"/><Relationship Id="rId2270" Type="http://schemas.openxmlformats.org/officeDocument/2006/relationships/hyperlink" Target="https://www.linkedin.com/learning/paths/recruit-and-maximize-talent?trk=ondemandfile" TargetMode="External"/><Relationship Id="rId2368" Type="http://schemas.openxmlformats.org/officeDocument/2006/relationships/hyperlink" Target="https://www.linkedin.com/learning/women-transforming-tech-breaking-in-and-staying-in-the-industry?trk=ondemandfile" TargetMode="External"/><Relationship Id="rId242" Type="http://schemas.openxmlformats.org/officeDocument/2006/relationships/hyperlink" Target="https://www.linkedin.com/learning/leading-a-customer-service-team?trk=ondemandfile" TargetMode="External"/><Relationship Id="rId894" Type="http://schemas.openxmlformats.org/officeDocument/2006/relationships/hyperlink" Target="https://www.linkedin.com/learning/how-to-perform-business-analysis-in-a-virtual-environment?trk=ondemandfile" TargetMode="External"/><Relationship Id="rId1177" Type="http://schemas.openxmlformats.org/officeDocument/2006/relationships/hyperlink" Target="https://www.linkedin.com/learning/tech-recruiting-foundations-4-recruiting-for-the-it-department?trk=ondemandfile" TargetMode="External"/><Relationship Id="rId2130" Type="http://schemas.openxmlformats.org/officeDocument/2006/relationships/hyperlink" Target="https://www.linkedin.com/learning/everything-as-a-service-xaas-is-the-future-of-business?trk=ondemandfile" TargetMode="External"/><Relationship Id="rId2575" Type="http://schemas.openxmlformats.org/officeDocument/2006/relationships/hyperlink" Target="https://www.linkedin.com/learning/being-the-best-you-self-improvement-modeling?trk=ondemandfile" TargetMode="External"/><Relationship Id="rId102" Type="http://schemas.openxmlformats.org/officeDocument/2006/relationships/hyperlink" Target="https://www.linkedin.com/learning/paths/managing-change?trk=ondemandfile" TargetMode="External"/><Relationship Id="rId547" Type="http://schemas.openxmlformats.org/officeDocument/2006/relationships/hyperlink" Target="https://www.linkedin.com/learning/marketing-on-linkedin-the-sophisticated-marketer-s-guide?trk=ondemandfile" TargetMode="External"/><Relationship Id="rId754" Type="http://schemas.openxmlformats.org/officeDocument/2006/relationships/hyperlink" Target="https://www.linkedin.com/learning/fred-kofman-on-making-commitments?trk=ondemandfile" TargetMode="External"/><Relationship Id="rId961" Type="http://schemas.openxmlformats.org/officeDocument/2006/relationships/hyperlink" Target="https://www.linkedin.com/learning/paths/develop-your-course-design-and-instructional-skills?trk=ondemandfile" TargetMode="External"/><Relationship Id="rId1384" Type="http://schemas.openxmlformats.org/officeDocument/2006/relationships/hyperlink" Target="https://www.linkedin.com/learning/amazon-web-services-automation-and-optimization?trk=ondemandfile" TargetMode="External"/><Relationship Id="rId1591" Type="http://schemas.openxmlformats.org/officeDocument/2006/relationships/hyperlink" Target="https://www.linkedin.com/learning/leadership-skills-for-the-future?trk=ondemandfile" TargetMode="External"/><Relationship Id="rId1689" Type="http://schemas.openxmlformats.org/officeDocument/2006/relationships/hyperlink" Target="https://www.linkedin.com/learning/mindful-leadership?trk=ondemandfile" TargetMode="External"/><Relationship Id="rId2228" Type="http://schemas.openxmlformats.org/officeDocument/2006/relationships/hyperlink" Target="https://www.linkedin.com/learning/coaching-skills-for-leaders-and-managers?trk=ondemandfile" TargetMode="External"/><Relationship Id="rId2435" Type="http://schemas.openxmlformats.org/officeDocument/2006/relationships/hyperlink" Target="https://www.linkedin.com/learning/creating-a-connection-culture?trk=ondemandfile" TargetMode="External"/><Relationship Id="rId2642" Type="http://schemas.openxmlformats.org/officeDocument/2006/relationships/hyperlink" Target="https://www.linkedin.com/learning/the-future-of-performance-management?trk=ondemandfile" TargetMode="External"/><Relationship Id="rId90" Type="http://schemas.openxmlformats.org/officeDocument/2006/relationships/hyperlink" Target="https://www.linkedin.com/learning/habits-to-win-every-day?trk=ondemandfile" TargetMode="External"/><Relationship Id="rId407" Type="http://schemas.openxmlformats.org/officeDocument/2006/relationships/hyperlink" Target="https://www.linkedin.com/learning/how-to-listen-and-how-to-be-heard-getabstract-summary?trk=ondemandfile" TargetMode="External"/><Relationship Id="rId614" Type="http://schemas.openxmlformats.org/officeDocument/2006/relationships/hyperlink" Target="https://www.linkedin.com/learning/social-media-for-video-pros?trk=ondemandfile" TargetMode="External"/><Relationship Id="rId821" Type="http://schemas.openxmlformats.org/officeDocument/2006/relationships/hyperlink" Target="https://www.linkedin.com/learning/leading-a-customer-centric-culture-2?trk=ondemandfile" TargetMode="External"/><Relationship Id="rId1037" Type="http://schemas.openxmlformats.org/officeDocument/2006/relationships/hyperlink" Target="https://www.linkedin.com/learning/sap-erp-essential-training?trk=ondemandfile" TargetMode="External"/><Relationship Id="rId1244" Type="http://schemas.openxmlformats.org/officeDocument/2006/relationships/hyperlink" Target="https://www.linkedin.com/learning/ai-foundations-thinking-machines?trk=ondemandfile" TargetMode="External"/><Relationship Id="rId1451" Type="http://schemas.openxmlformats.org/officeDocument/2006/relationships/hyperlink" Target="https://www.linkedin.com/learning/body-language-for-leaders-2?trk=ondemandfile" TargetMode="External"/><Relationship Id="rId1896" Type="http://schemas.openxmlformats.org/officeDocument/2006/relationships/hyperlink" Target="https://www.linkedin.com/learning/paths/stay-ahead-in-construction-management?trk=ondemandfile" TargetMode="External"/><Relationship Id="rId2502" Type="http://schemas.openxmlformats.org/officeDocument/2006/relationships/hyperlink" Target="https://www.linkedin.com/learning/how-to-have-compassionate-presence?trk=ondemandfile" TargetMode="External"/><Relationship Id="rId919" Type="http://schemas.openxmlformats.org/officeDocument/2006/relationships/hyperlink" Target="https://www.linkedin.com/learning/data-dashboards-in-powe-r-bi?trk=ondemandfile" TargetMode="External"/><Relationship Id="rId1104" Type="http://schemas.openxmlformats.org/officeDocument/2006/relationships/hyperlink" Target="https://www.linkedin.com/learning/excel-implementing-balanced-scorecards-with-kpis?trk=ondemandfile" TargetMode="External"/><Relationship Id="rId1311" Type="http://schemas.openxmlformats.org/officeDocument/2006/relationships/hyperlink" Target="https://www.linkedin.com/learning/paths/master-microsoft-onenote?trk=ondemandfile" TargetMode="External"/><Relationship Id="rId1549" Type="http://schemas.openxmlformats.org/officeDocument/2006/relationships/hyperlink" Target="https://www.linkedin.com/learning/leading-with-emotional-intelligence-2018?trk=ondemandfile" TargetMode="External"/><Relationship Id="rId1756" Type="http://schemas.openxmlformats.org/officeDocument/2006/relationships/hyperlink" Target="https://www.linkedin.com/learning/the-most-important-content-kpis-for-creators?trk=ondemandfile" TargetMode="External"/><Relationship Id="rId1963" Type="http://schemas.openxmlformats.org/officeDocument/2006/relationships/hyperlink" Target="https://www.linkedin.com/learning/advanced-agile-the-team-s-mindset?trk=ondemandfile" TargetMode="External"/><Relationship Id="rId48" Type="http://schemas.openxmlformats.org/officeDocument/2006/relationships/hyperlink" Target="https://www.linkedin.com/learning/unlocking-your-potential?trk=ondemandfile" TargetMode="External"/><Relationship Id="rId1409" Type="http://schemas.openxmlformats.org/officeDocument/2006/relationships/hyperlink" Target="https://www.linkedin.com/learning/first-look-python-3-9?trk=ondemandfile" TargetMode="External"/><Relationship Id="rId1616" Type="http://schemas.openxmlformats.org/officeDocument/2006/relationships/hyperlink" Target="https://www.linkedin.com/learning/leadership-blind-spots" TargetMode="External"/><Relationship Id="rId1823" Type="http://schemas.openxmlformats.org/officeDocument/2006/relationships/hyperlink" Target="https://www.linkedin.com/learning/smart-video-production-with-your-webcam?trk=ondemandfile" TargetMode="External"/><Relationship Id="rId197" Type="http://schemas.openxmlformats.org/officeDocument/2006/relationships/hyperlink" Target="https://www.linkedin.com/learning/managing-teams-2018?trk=ondemandfile" TargetMode="External"/><Relationship Id="rId2085" Type="http://schemas.openxmlformats.org/officeDocument/2006/relationships/hyperlink" Target="https://www.linkedin.com/learning/creating-your-it-strategy?trk=ondemandfile" TargetMode="External"/><Relationship Id="rId2292" Type="http://schemas.openxmlformats.org/officeDocument/2006/relationships/hyperlink" Target="https://www.linkedin.com/learning/delegating-tasks?trk=ondemandfile" TargetMode="External"/><Relationship Id="rId264" Type="http://schemas.openxmlformats.org/officeDocument/2006/relationships/hyperlink" Target="https://www.linkedin.com/learning/unleash-your-team-s-creativity?trk=ondemandfile" TargetMode="External"/><Relationship Id="rId471" Type="http://schemas.openxmlformats.org/officeDocument/2006/relationships/hyperlink" Target="https://www.linkedin.com/learning/get-momentum-how-to-start-when-you-re-stuck-getabstract-summary?trk=ondemandfile" TargetMode="External"/><Relationship Id="rId2152" Type="http://schemas.openxmlformats.org/officeDocument/2006/relationships/hyperlink" Target="https://www.linkedin.com/learning/business-innovation-foundations-2020?trk=ondemandfile" TargetMode="External"/><Relationship Id="rId2597" Type="http://schemas.openxmlformats.org/officeDocument/2006/relationships/hyperlink" Target="https://www.linkedin.com/learning/how-to-have-a-great-day-at-work-with-caroline-webb?trk=ondemandfile" TargetMode="External"/><Relationship Id="rId124" Type="http://schemas.openxmlformats.org/officeDocument/2006/relationships/hyperlink" Target="https://www.linkedin.com/learning/adaptive-leadership-for-vuca-challenges?trk=ondemandfile" TargetMode="External"/><Relationship Id="rId569" Type="http://schemas.openxmlformats.org/officeDocument/2006/relationships/hyperlink" Target="https://www.linkedin.com/learning/small-business-marketing?trk=ondemandfile" TargetMode="External"/><Relationship Id="rId776" Type="http://schemas.openxmlformats.org/officeDocument/2006/relationships/hyperlink" Target="https://www.linkedin.com/learning/paths/become-a-customer-service-specialist?trk=ondemandfile" TargetMode="External"/><Relationship Id="rId983" Type="http://schemas.openxmlformats.org/officeDocument/2006/relationships/hyperlink" Target="https://www.linkedin.com/learning/getting-started-as-a-linkedin-learning-hub-admin?trk=ondemandfile" TargetMode="External"/><Relationship Id="rId1199" Type="http://schemas.openxmlformats.org/officeDocument/2006/relationships/hyperlink" Target="https://www.linkedin.com/learning/fair-and-effective-interviewing-for-diversity-and-inclusion?trk=ondemandfile" TargetMode="External"/><Relationship Id="rId2457" Type="http://schemas.openxmlformats.org/officeDocument/2006/relationships/hyperlink" Target="https://www.linkedin.com/learning/productivity-hacks-for-writers?trk=ondemandfile" TargetMode="External"/><Relationship Id="rId2664" Type="http://schemas.openxmlformats.org/officeDocument/2006/relationships/hyperlink" Target="https://www.linkedin.com/learning/humble-leadership-the-power-of-relationships-openness-and-trust-getabstract-summary?trk=ondemandfile" TargetMode="External"/><Relationship Id="rId331" Type="http://schemas.openxmlformats.org/officeDocument/2006/relationships/hyperlink" Target="https://www.linkedin.com/learning/paths/create-and-deliver-engaging-presentations?trk=ondemandfile" TargetMode="External"/><Relationship Id="rId429" Type="http://schemas.openxmlformats.org/officeDocument/2006/relationships/hyperlink" Target="https://www.linkedin.com/learning/asserting-yourself-an-empowered-choice?trk=ondemandfile" TargetMode="External"/><Relationship Id="rId636" Type="http://schemas.openxmlformats.org/officeDocument/2006/relationships/hyperlink" Target="https://www.linkedin.com/learning/aligning-sales-and-marketing?trk=ondemandfile" TargetMode="External"/><Relationship Id="rId1059" Type="http://schemas.openxmlformats.org/officeDocument/2006/relationships/hyperlink" Target="https://www.linkedin.com/learning/managing-your-personal-finances-2021?trk=ondemandfile" TargetMode="External"/><Relationship Id="rId1266" Type="http://schemas.openxmlformats.org/officeDocument/2006/relationships/hyperlink" Target="https://www.linkedin.com/learning/assessing-digital-maturity?trk=ondemandfile" TargetMode="External"/><Relationship Id="rId1473" Type="http://schemas.openxmlformats.org/officeDocument/2006/relationships/hyperlink" Target="https://www.linkedin.com/learning/managing-employee-stress-for-positive-change?trk=ondemandfile" TargetMode="External"/><Relationship Id="rId2012" Type="http://schemas.openxmlformats.org/officeDocument/2006/relationships/hyperlink" Target="https://www.linkedin.com/learning/winding-down-get-a-better-night-s-sleep?trk=ondemandfile" TargetMode="External"/><Relationship Id="rId2317" Type="http://schemas.openxmlformats.org/officeDocument/2006/relationships/hyperlink" Target="https://www.linkedin.com/learning/paths/build-a-more-equitable-and-inclusive-workplace?trk=ondemandfile" TargetMode="External"/><Relationship Id="rId843" Type="http://schemas.openxmlformats.org/officeDocument/2006/relationships/hyperlink" Target="https://www.linkedin.com/learning/data-visualization-best-practices-14429760?trk=contentmappingfile" TargetMode="External"/><Relationship Id="rId1126" Type="http://schemas.openxmlformats.org/officeDocument/2006/relationships/hyperlink" Target="https://www.linkedin.com/learning/financial-basics-everyone-should-know?trk=ondemandfile" TargetMode="External"/><Relationship Id="rId1680" Type="http://schemas.openxmlformats.org/officeDocument/2006/relationships/hyperlink" Target="https://www.linkedin.com/learning/how-to-build-virtual-accountability?trk=ondemandfile" TargetMode="External"/><Relationship Id="rId1778" Type="http://schemas.openxmlformats.org/officeDocument/2006/relationships/hyperlink" Target="https://www.linkedin.com/learning/six-sigma-green-belt?trk=ondemandfile" TargetMode="External"/><Relationship Id="rId1985" Type="http://schemas.openxmlformats.org/officeDocument/2006/relationships/hyperlink" Target="https://www.linkedin.com/learning/sales-strategies-and-approaches-in-a-new-world-of-selling?trk=ondemandfile" TargetMode="External"/><Relationship Id="rId2524" Type="http://schemas.openxmlformats.org/officeDocument/2006/relationships/hyperlink" Target="https://www.linkedin.com/learning/introduction-to-forgiveness-meditation?trk=ondemandfile" TargetMode="External"/><Relationship Id="rId2731" Type="http://schemas.openxmlformats.org/officeDocument/2006/relationships/hyperlink" Target="https://www.linkedin.com/learning/how-to-negotiate-your-leadership-success?trk=ondemandfile" TargetMode="External"/><Relationship Id="rId703" Type="http://schemas.openxmlformats.org/officeDocument/2006/relationships/hyperlink" Target="https://www.linkedin.com/learning/design-thinking-understanding-the-process?trk=ondemandfile" TargetMode="External"/><Relationship Id="rId910" Type="http://schemas.openxmlformats.org/officeDocument/2006/relationships/hyperlink" Target="https://www.linkedin.com/learning/data-visualization-storytelling?trk=ondemandfile" TargetMode="External"/><Relationship Id="rId1333" Type="http://schemas.openxmlformats.org/officeDocument/2006/relationships/hyperlink" Target="https://www.linkedin.com/learning/introducing-robotic-process-automation?trk=ondemandfile" TargetMode="External"/><Relationship Id="rId1540" Type="http://schemas.openxmlformats.org/officeDocument/2006/relationships/hyperlink" Target="https://www.linkedin.com/learning/implementing-continuous-impro-vement-a-case-study?trk=ondemandfile" TargetMode="External"/><Relationship Id="rId1638" Type="http://schemas.openxmlformats.org/officeDocument/2006/relationships/hyperlink" Target="https://www.linkedin.com/learning/managing-high-performers?trk=ondemandfile" TargetMode="External"/><Relationship Id="rId1400" Type="http://schemas.openxmlformats.org/officeDocument/2006/relationships/hyperlink" Target="https://www.linkedin.com/learning/quickbooks-online-tips-and-tricks?trk=ondemandfile" TargetMode="External"/><Relationship Id="rId1845" Type="http://schemas.openxmlformats.org/officeDocument/2006/relationships/hyperlink" Target="https://www.linkedin.com/learning/how-to-own-a-room?trk=ondemandfile" TargetMode="External"/><Relationship Id="rId1705" Type="http://schemas.openxmlformats.org/officeDocument/2006/relationships/hyperlink" Target="https://www.linkedin.com/learning/leading-and-managing-the-whole-self" TargetMode="External"/><Relationship Id="rId1912" Type="http://schemas.openxmlformats.org/officeDocument/2006/relationships/hyperlink" Target="https://www.linkedin.com/learning/managing-projects-as-offices-reopen?trk=ondemandfile" TargetMode="External"/><Relationship Id="rId286" Type="http://schemas.openxmlformats.org/officeDocument/2006/relationships/hyperlink" Target="https://www.linkedin.com/learning/working-on-a-cross-functional-team?trk=ondemandfile" TargetMode="External"/><Relationship Id="rId493" Type="http://schemas.openxmlformats.org/officeDocument/2006/relationships/hyperlink" Target="https://www.linkedin.com/learning/fred-kofman-on-managing-conflict?trk=ondemandfile" TargetMode="External"/><Relationship Id="rId2174" Type="http://schemas.openxmlformats.org/officeDocument/2006/relationships/hyperlink" Target="https://www.linkedin.com/learning/ethical-hacking-cryptography?trk=ondemandfile" TargetMode="External"/><Relationship Id="rId2381" Type="http://schemas.openxmlformats.org/officeDocument/2006/relationships/hyperlink" Target="https://www.linkedin.com/learning/al-empire-course-04?trk=ondemandfile" TargetMode="External"/><Relationship Id="rId146" Type="http://schemas.openxmlformats.org/officeDocument/2006/relationships/hyperlink" Target="https://www.linkedin.com/learning/managing-employee-stress-for-positive-change?trk=ondemandfile" TargetMode="External"/><Relationship Id="rId353" Type="http://schemas.openxmlformats.org/officeDocument/2006/relationships/hyperlink" Target="https://www.linkedin.com/learning/becoming-a-thought-leader-2?trk=ondemandfile" TargetMode="External"/><Relationship Id="rId560" Type="http://schemas.openxmlformats.org/officeDocument/2006/relationships/hyperlink" Target="https://www.linkedin.com/learning/content-marketing-foundations-2020?trk=ondemandfile" TargetMode="External"/><Relationship Id="rId798" Type="http://schemas.openxmlformats.org/officeDocument/2006/relationships/hyperlink" Target="https://www.linkedin.com/learning/avoiding-common-pitfalls-in-customer-success-management?trk=ondemandfile" TargetMode="External"/><Relationship Id="rId1190" Type="http://schemas.openxmlformats.org/officeDocument/2006/relationships/hyperlink" Target="https://www.linkedin.com/learning/creating-a-culture-of-learning-2?trk=ondemandfile" TargetMode="External"/><Relationship Id="rId2034" Type="http://schemas.openxmlformats.org/officeDocument/2006/relationships/hyperlink" Target="https://www.linkedin.com/learning/creating-powerful-sales-proposals?trk=ondemandfile" TargetMode="External"/><Relationship Id="rId2241" Type="http://schemas.openxmlformats.org/officeDocument/2006/relationships/hyperlink" Target="https://www.linkedin.com/learning/women-transforming-tech-breaking-in-and-staying-in-the-industry?trk=ondemandfile" TargetMode="External"/><Relationship Id="rId2479" Type="http://schemas.openxmlformats.org/officeDocument/2006/relationships/hyperlink" Target="https://www.linkedin.com/learning/adaptive-leadership-for-vuca-challenges?trk=ondemandfile" TargetMode="External"/><Relationship Id="rId2686" Type="http://schemas.openxmlformats.org/officeDocument/2006/relationships/hyperlink" Target="https://www.linkedin.com/learning/the-leader-s-guide-to-mindfulness-getabstract-summary?trk=ondemandfile" TargetMode="External"/><Relationship Id="rId213" Type="http://schemas.openxmlformats.org/officeDocument/2006/relationships/hyperlink" Target="https://www.linkedin.com/learning/management-tips?trk=ondemandfile" TargetMode="External"/><Relationship Id="rId420" Type="http://schemas.openxmlformats.org/officeDocument/2006/relationships/hyperlink" Target="https://www.linkedin.com/learning/preparing-for-successful-communication?trk=ondemandfile" TargetMode="External"/><Relationship Id="rId658" Type="http://schemas.openxmlformats.org/officeDocument/2006/relationships/hyperlink" Target="https://www.linkedin.com/learning/paths/improve-your-creativity-skills?trk=ondemandfile" TargetMode="External"/><Relationship Id="rId865" Type="http://schemas.openxmlformats.org/officeDocument/2006/relationships/hyperlink" Target="https://www.linkedin.com/learning/business-analysis-competencies-ba?trk=ondemandfile" TargetMode="External"/><Relationship Id="rId1050" Type="http://schemas.openxmlformats.org/officeDocument/2006/relationships/hyperlink" Target="https://www.linkedin.com/learning/consulting-foundations?trk=ondemandfile" TargetMode="External"/><Relationship Id="rId1288" Type="http://schemas.openxmlformats.org/officeDocument/2006/relationships/hyperlink" Target="https://www.linkedin.com/learning/paths/getting-started-with-microsoft-excel?trk=ondemandfile" TargetMode="External"/><Relationship Id="rId1495" Type="http://schemas.openxmlformats.org/officeDocument/2006/relationships/hyperlink" Target="https://www.linkedin.com/learning/paths/become-a-leader?trk=ondemandfile" TargetMode="External"/><Relationship Id="rId2101" Type="http://schemas.openxmlformats.org/officeDocument/2006/relationships/hyperlink" Target="https://www.linkedin.com/learning/aaron-dignan-on-transformational-change?trk=ondemandfile" TargetMode="External"/><Relationship Id="rId2339" Type="http://schemas.openxmlformats.org/officeDocument/2006/relationships/hyperlink" Target="https://www.linkedin.com/learning/inclusive-tech-the-case-for-inclusive-leadership?trk=ondemandfile" TargetMode="External"/><Relationship Id="rId2546" Type="http://schemas.openxmlformats.org/officeDocument/2006/relationships/hyperlink" Target="https://www.linkedin.com/learning/habits-for-becoming-your-most-effective-self?trk=ondemandfile" TargetMode="External"/><Relationship Id="rId518" Type="http://schemas.openxmlformats.org/officeDocument/2006/relationships/hyperlink" Target="https://www.linkedin.com/learning/paths/become-an-online-marketing-manager?trk=ondemandfile" TargetMode="External"/><Relationship Id="rId725" Type="http://schemas.openxmlformats.org/officeDocument/2006/relationships/hyperlink" Target="https://www.linkedin.com/learning/start-with-why?trk=ondemandfile" TargetMode="External"/><Relationship Id="rId932" Type="http://schemas.openxmlformats.org/officeDocument/2006/relationships/hyperlink" Target="https://www.linkedin.com/learning/the-data-science-of-experimental-design?trk=ondemandfile" TargetMode="External"/><Relationship Id="rId1148" Type="http://schemas.openxmlformats.org/officeDocument/2006/relationships/hyperlink" Target="https://www.linkedin.com/learning/paths/stay-ahead-in-all-things-dibs?trk=ondemandfile" TargetMode="External"/><Relationship Id="rId1355" Type="http://schemas.openxmlformats.org/officeDocument/2006/relationships/hyperlink" Target="https://www.linkedin.com/learning/gmail-essential-training-2021?trk=ondemandfile" TargetMode="External"/><Relationship Id="rId1562" Type="http://schemas.openxmlformats.org/officeDocument/2006/relationships/hyperlink" Target="https://www.linkedin.com/learning/leading-and-motivating-different-personalities?trk=ondemandfile" TargetMode="External"/><Relationship Id="rId2406" Type="http://schemas.openxmlformats.org/officeDocument/2006/relationships/hyperlink" Target="https://www.linkedin.com/learning/creating-change-diversity-and-inclusion-in-the-tech-industry?trk=ondemandfile" TargetMode="External"/><Relationship Id="rId2613" Type="http://schemas.openxmlformats.org/officeDocument/2006/relationships/hyperlink" Target="https://www.linkedin.com/learning/leading-change-2018?trk=ondemandfile" TargetMode="External"/><Relationship Id="rId1008" Type="http://schemas.openxmlformats.org/officeDocument/2006/relationships/hyperlink" Target="https://www.linkedin.com/learning/design-thinking-at-work-getabstract-summary?trk=ondemandfile" TargetMode="External"/><Relationship Id="rId1215" Type="http://schemas.openxmlformats.org/officeDocument/2006/relationships/hyperlink" Target="https://www.linkedin.com/learning/human-resources-using-metrics-to-drive-hr-strategy?trk=ondemandfile" TargetMode="External"/><Relationship Id="rId1422" Type="http://schemas.openxmlformats.org/officeDocument/2006/relationships/hyperlink" Target="https://www.linkedin.com/learning/creating-a-culture-of-change?trk=ondemandfile" TargetMode="External"/><Relationship Id="rId1867" Type="http://schemas.openxmlformats.org/officeDocument/2006/relationships/hyperlink" Target="https://www.linkedin.com/learning/agile-project-leadership?trk=ondemandfile" TargetMode="External"/><Relationship Id="rId61" Type="http://schemas.openxmlformats.org/officeDocument/2006/relationships/hyperlink" Target="https://www.linkedin.com/learning/learn-to-control-your-attention?trk=ondemandfile" TargetMode="External"/><Relationship Id="rId1727" Type="http://schemas.openxmlformats.org/officeDocument/2006/relationships/hyperlink" Target="https://www.linkedin.com/learning/scaling-up-excellence?trk=ondemandfile" TargetMode="External"/><Relationship Id="rId1934" Type="http://schemas.openxmlformats.org/officeDocument/2006/relationships/hyperlink" Target="https://www.linkedin.com/learning/change-management-with-limited-resources?trk=contentmappingfile" TargetMode="External"/><Relationship Id="rId19" Type="http://schemas.openxmlformats.org/officeDocument/2006/relationships/hyperlink" Target="https://www.linkedin.com/learning/developing-a-learning-mindset?trk=ondemandfile" TargetMode="External"/><Relationship Id="rId2196" Type="http://schemas.openxmlformats.org/officeDocument/2006/relationships/hyperlink" Target="https://www.linkedin.com/learning/ram-charan-on-coaching-high-potentials?trk=ondemandfile" TargetMode="External"/><Relationship Id="rId168" Type="http://schemas.openxmlformats.org/officeDocument/2006/relationships/hyperlink" Target="https://www.linkedin.com/learning/how-to-give-and-receive-useful-feedback-every-month" TargetMode="External"/><Relationship Id="rId375" Type="http://schemas.openxmlformats.org/officeDocument/2006/relationships/hyperlink" Target="https://www.linkedin.com/learning/learning-to-be-approachable?trk=ondemandfile" TargetMode="External"/><Relationship Id="rId582" Type="http://schemas.openxmlformats.org/officeDocument/2006/relationships/hyperlink" Target="https://www.linkedin.com/learning/developing-a-youtube-strategy?trk=ondemandfile" TargetMode="External"/><Relationship Id="rId2056" Type="http://schemas.openxmlformats.org/officeDocument/2006/relationships/hyperlink" Target="https://www.linkedin.com/learning/sales-handling-objections?trk=ondemandfile" TargetMode="External"/><Relationship Id="rId2263" Type="http://schemas.openxmlformats.org/officeDocument/2006/relationships/hyperlink" Target="https://www.linkedin.com/learning/getting-your-talent-to-bring-their-best-ideas-to-work?trk=ondemandfile" TargetMode="External"/><Relationship Id="rId2470" Type="http://schemas.openxmlformats.org/officeDocument/2006/relationships/hyperlink" Target="https://www.linkedin.com/learning/sell-your-novel-to-a-major-publisher?trk=ondemandfile" TargetMode="External"/><Relationship Id="rId3" Type="http://schemas.openxmlformats.org/officeDocument/2006/relationships/hyperlink" Target="https://www.linkedin.com/learning/organization-design?trk=ondemandfile" TargetMode="External"/><Relationship Id="rId235" Type="http://schemas.openxmlformats.org/officeDocument/2006/relationships/hyperlink" Target="https://www.linkedin.com/learning/essentials-of-team-collaboration?trk=ondemandfile" TargetMode="External"/><Relationship Id="rId442" Type="http://schemas.openxmlformats.org/officeDocument/2006/relationships/hyperlink" Target="https://www.linkedin.com/learning/a-step-by-step-guide-to-building-your-thought-leadership-on-linkedin-uk?trk=ondemandfile" TargetMode="External"/><Relationship Id="rId887" Type="http://schemas.openxmlformats.org/officeDocument/2006/relationships/hyperlink" Target="https://www.linkedin.com/learning/the-data-game-of-fantasy-football?trk=ondemandfile" TargetMode="External"/><Relationship Id="rId1072" Type="http://schemas.openxmlformats.org/officeDocument/2006/relationships/hyperlink" Target="https://www.linkedin.com/learning/finance-and-accounting-tips?trk=ondemandfile" TargetMode="External"/><Relationship Id="rId2123" Type="http://schemas.openxmlformats.org/officeDocument/2006/relationships/hyperlink" Target="https://www.linkedin.com/learning/blue-ocean-shift?trk=ondemandfile" TargetMode="External"/><Relationship Id="rId2330" Type="http://schemas.openxmlformats.org/officeDocument/2006/relationships/hyperlink" Target="https://www.linkedin.com/learning/developing-a-diversity-inclusion-and-belonging-program?trk=ondemandfile" TargetMode="External"/><Relationship Id="rId2568" Type="http://schemas.openxmlformats.org/officeDocument/2006/relationships/hyperlink" Target="https://www.linkedin.com/learning/staying-positive-in-the-face-of-negativity?trk=ondemandfile" TargetMode="External"/><Relationship Id="rId302" Type="http://schemas.openxmlformats.org/officeDocument/2006/relationships/hyperlink" Target="https://www.linkedin.com/learning/being-an-effective-team-member?trk=ondemandfile" TargetMode="External"/><Relationship Id="rId747" Type="http://schemas.openxmlformats.org/officeDocument/2006/relationships/hyperlink" Target="https://www.linkedin.com/learning/emotional-intelligence-as-an-inclusivity-booster?trk=ondemandfile" TargetMode="External"/><Relationship Id="rId954" Type="http://schemas.openxmlformats.org/officeDocument/2006/relationships/hyperlink" Target="https://www.linkedin.com/learning/learning-articulate-rise?trk=ondemandfile" TargetMode="External"/><Relationship Id="rId1377" Type="http://schemas.openxmlformats.org/officeDocument/2006/relationships/hyperlink" Target="https://www.linkedin.com/learning/applied-ai-for-it-operations?trk=ondemandfile" TargetMode="External"/><Relationship Id="rId1584" Type="http://schemas.openxmlformats.org/officeDocument/2006/relationships/hyperlink" Target="https://www.linkedin.com/learning/how-to-inspire-and-develop-your-direct-reports?trk=ondemandfile" TargetMode="External"/><Relationship Id="rId1791" Type="http://schemas.openxmlformats.org/officeDocument/2006/relationships/hyperlink" Target="https://www.linkedin.com/learning/supply-chain-and-operations-careers-certification-tips-and-tricks?trk=ondemandfile" TargetMode="External"/><Relationship Id="rId2428" Type="http://schemas.openxmlformats.org/officeDocument/2006/relationships/hyperlink" Target="https://www.linkedin.com/learning/becoming-an-ally-to-all?trk=ondemandfile" TargetMode="External"/><Relationship Id="rId2635" Type="http://schemas.openxmlformats.org/officeDocument/2006/relationships/hyperlink" Target="https://www.linkedin.com/learning/transformational-leadership?trk=ondemandfile" TargetMode="External"/><Relationship Id="rId83" Type="http://schemas.openxmlformats.org/officeDocument/2006/relationships/hyperlink" Target="https://www.linkedin.com/learning/the-power-of-lists-to-get-stuff-done?trk=ondemandfile" TargetMode="External"/><Relationship Id="rId607" Type="http://schemas.openxmlformats.org/officeDocument/2006/relationships/hyperlink" Target="https://www.linkedin.com/learning/marketing-foundations-ecommerce-14401600?trk=contentmappingfile" TargetMode="External"/><Relationship Id="rId814" Type="http://schemas.openxmlformats.org/officeDocument/2006/relationships/hyperlink" Target="https://www.linkedin.com/learning/just-ask-dean-karrel?trk=ondemandfile" TargetMode="External"/><Relationship Id="rId1237" Type="http://schemas.openxmlformats.org/officeDocument/2006/relationships/hyperlink" Target="https://www.linkedin.com/learning/bystander-training-from-bystander-to-upstander?trk=ondemandfile" TargetMode="External"/><Relationship Id="rId1444" Type="http://schemas.openxmlformats.org/officeDocument/2006/relationships/hyperlink" Target="https://www.linkedin.com/learning/moving-past-change-fatigue-to-the-growth-edge?trk=ondemandfile" TargetMode="External"/><Relationship Id="rId1651" Type="http://schemas.openxmlformats.org/officeDocument/2006/relationships/hyperlink" Target="https://www.linkedin.com/learning/leading-virtual-meetings?trk=ondemandfile" TargetMode="External"/><Relationship Id="rId1889" Type="http://schemas.openxmlformats.org/officeDocument/2006/relationships/hyperlink" Target="https://www.linkedin.com/learning/project-management-foundations-ethics-2?trk=ondemandfile" TargetMode="External"/><Relationship Id="rId2702" Type="http://schemas.openxmlformats.org/officeDocument/2006/relationships/hyperlink" Target="https://www.linkedin.com/learning/leading-effectively?trk=ondemandfile" TargetMode="External"/><Relationship Id="rId1304" Type="http://schemas.openxmlformats.org/officeDocument/2006/relationships/hyperlink" Target="https://www.linkedin.com/learning/comptia-security-plus-sy0-601-cert-prep-8-network-security-design-and-implementation?trk=ondemandfile" TargetMode="External"/><Relationship Id="rId1511" Type="http://schemas.openxmlformats.org/officeDocument/2006/relationships/hyperlink" Target="https://www.linkedin.com/learning/cmo-foundations-working-with-leadership-and-board-of-directors?trk=ondemandfile" TargetMode="External"/><Relationship Id="rId1749" Type="http://schemas.openxmlformats.org/officeDocument/2006/relationships/hyperlink" Target="https://www.linkedin.com/learning/understanding-business?trk=ondemandfile" TargetMode="External"/><Relationship Id="rId1956" Type="http://schemas.openxmlformats.org/officeDocument/2006/relationships/hyperlink" Target="https://www.linkedin.com/learning/tailoring-project-delivery?trk=ondemandfile" TargetMode="External"/><Relationship Id="rId1609" Type="http://schemas.openxmlformats.org/officeDocument/2006/relationships/hyperlink" Target="https://www.linkedin.com/learning/the-fearless-organization-blinkist-summary?trk=ondemandfile" TargetMode="External"/><Relationship Id="rId1816" Type="http://schemas.openxmlformats.org/officeDocument/2006/relationships/hyperlink" Target="https://www.linkedin.com/learning/own-your-voice-improve-presentations-and-executive-presence?trk=ondemandfile" TargetMode="External"/><Relationship Id="rId10" Type="http://schemas.openxmlformats.org/officeDocument/2006/relationships/hyperlink" Target="https://www.linkedin.com/learning/paths/remote-working-setting-yourself-and-your-teams-up-for-success?trk=ondemandfile" TargetMode="External"/><Relationship Id="rId397" Type="http://schemas.openxmlformats.org/officeDocument/2006/relationships/hyperlink" Target="https://www.linkedin.com/learning/how-to-win-arguments?trk=ondemandfile" TargetMode="External"/><Relationship Id="rId2078" Type="http://schemas.openxmlformats.org/officeDocument/2006/relationships/hyperlink" Target="https://www.linkedin.com/learning/paths/applying-lean-devops-and-agile-to-your-it-organization?trk=ondemandfile" TargetMode="External"/><Relationship Id="rId2285" Type="http://schemas.openxmlformats.org/officeDocument/2006/relationships/hyperlink" Target="https://www.linkedin.com/learning/performance-management-conducting-performance-reviews?trk=ondemandfile" TargetMode="External"/><Relationship Id="rId2492" Type="http://schemas.openxmlformats.org/officeDocument/2006/relationships/hyperlink" Target="https://www.linkedin.com/learning/managing-self-doubt-to-tackle-bigger-challenges?trk=ondemandfile" TargetMode="External"/><Relationship Id="rId257" Type="http://schemas.openxmlformats.org/officeDocument/2006/relationships/hyperlink" Target="https://www.linkedin.com/learning/paths/improve-your-teamwork-skills?trk=ondemandfile" TargetMode="External"/><Relationship Id="rId464" Type="http://schemas.openxmlformats.org/officeDocument/2006/relationships/hyperlink" Target="https://www.linkedin.com/learning/paths/master-in-demand-professional-soft-skills?trk=ondemandfile" TargetMode="External"/><Relationship Id="rId1094" Type="http://schemas.openxmlformats.org/officeDocument/2006/relationships/hyperlink" Target="https://www.linkedin.com/learning/corporate-finance-robust-financial-modeling?trk=ondemandfile" TargetMode="External"/><Relationship Id="rId2145" Type="http://schemas.openxmlformats.org/officeDocument/2006/relationships/hyperlink" Target="https://www.linkedin.com/learning/creating-a-unique-competitive-advantage?trk=ondemandfile" TargetMode="External"/><Relationship Id="rId117" Type="http://schemas.openxmlformats.org/officeDocument/2006/relationships/hyperlink" Target="https://www.linkedin.com/learning/developing-adaptability-as-a-manager?trk=ondemandfile" TargetMode="External"/><Relationship Id="rId671" Type="http://schemas.openxmlformats.org/officeDocument/2006/relationships/hyperlink" Target="https://www.linkedin.com/learning/strategic-focus-for-managers?trk=ondemandfile" TargetMode="External"/><Relationship Id="rId769" Type="http://schemas.openxmlformats.org/officeDocument/2006/relationships/hyperlink" Target="https://www.linkedin.com/learning/cultivating-mental-agility?trk=ondemandfile" TargetMode="External"/><Relationship Id="rId976" Type="http://schemas.openxmlformats.org/officeDocument/2006/relationships/hyperlink" Target="https://www.linkedin.com/learning/how-to-turn-your-entrepreneur-journey-into-a-successful-keynote-talk?trk=ondemandfile" TargetMode="External"/><Relationship Id="rId1399" Type="http://schemas.openxmlformats.org/officeDocument/2006/relationships/hyperlink" Target="https://www.linkedin.com/learning/microsoft-teams-successful-meetings-and-events?trk=ondemandfile" TargetMode="External"/><Relationship Id="rId2352" Type="http://schemas.openxmlformats.org/officeDocument/2006/relationships/hyperlink" Target="https://www.linkedin.com/learning/how-to-speak-up-against-racism-at-work?trk=ondemandfile" TargetMode="External"/><Relationship Id="rId2657" Type="http://schemas.openxmlformats.org/officeDocument/2006/relationships/hyperlink" Target="https://www.linkedin.com/learning/creating-a-culture-of-service?trk=ondemandfile" TargetMode="External"/><Relationship Id="rId324" Type="http://schemas.openxmlformats.org/officeDocument/2006/relationships/hyperlink" Target="https://www.linkedin.com/learning/developing-business-partnerships?trk=ondemandfile" TargetMode="External"/><Relationship Id="rId531" Type="http://schemas.openxmlformats.org/officeDocument/2006/relationships/hyperlink" Target="https://www.linkedin.com/learning/building-an-integrated-online-marketing-plan?trk=ondemandfile" TargetMode="External"/><Relationship Id="rId629" Type="http://schemas.openxmlformats.org/officeDocument/2006/relationships/hyperlink" Target="https://www.linkedin.com/learning/advertising-on-youtube?trk=ondemandfile" TargetMode="External"/><Relationship Id="rId1161" Type="http://schemas.openxmlformats.org/officeDocument/2006/relationships/hyperlink" Target="https://www.linkedin.com/learning/onboarding-new-hires-as-a-manager?trk=ondemandfile" TargetMode="External"/><Relationship Id="rId1259" Type="http://schemas.openxmlformats.org/officeDocument/2006/relationships/hyperlink" Target="https://www.linkedin.com/learning/paths/become-an-aws-data-and-devops-specialist?trk=ondemandfile" TargetMode="External"/><Relationship Id="rId1466" Type="http://schemas.openxmlformats.org/officeDocument/2006/relationships/hyperlink" Target="https://www.linkedin.com/learning/creating-a-great-place-to-work-for-all?trk=ondemandfile" TargetMode="External"/><Relationship Id="rId2005" Type="http://schemas.openxmlformats.org/officeDocument/2006/relationships/hyperlink" Target="https://www.linkedin.com/learning/selling-while-human?trk=ondemandfile" TargetMode="External"/><Relationship Id="rId2212" Type="http://schemas.openxmlformats.org/officeDocument/2006/relationships/hyperlink" Target="https://www.linkedin.com/learning/how-to-set-team-and-employee-goals?trk=ondemandfile" TargetMode="External"/><Relationship Id="rId836" Type="http://schemas.openxmlformats.org/officeDocument/2006/relationships/hyperlink" Target="https://www.linkedin.com/learning/paths/advance-your-skills-in-predictive-analytics?trk=ondemandfile" TargetMode="External"/><Relationship Id="rId1021" Type="http://schemas.openxmlformats.org/officeDocument/2006/relationships/hyperlink" Target="https://www.linkedin.com/learning/paths/become-an-economist?trk=ondemandfile" TargetMode="External"/><Relationship Id="rId1119" Type="http://schemas.openxmlformats.org/officeDocument/2006/relationships/hyperlink" Target="https://www.linkedin.com/learning/introduction-to-nfts-non-fungible-tokens?trk=ondemandfile" TargetMode="External"/><Relationship Id="rId1673" Type="http://schemas.openxmlformats.org/officeDocument/2006/relationships/hyperlink" Target="https://www.linkedin.com/learning/managing-for-better-ideas?trk=ondemandfile" TargetMode="External"/><Relationship Id="rId1880" Type="http://schemas.openxmlformats.org/officeDocument/2006/relationships/hyperlink" Target="https://www.linkedin.com/learning/paths/becoming-a-six-sigma-green-belt?trk=ondemandfile" TargetMode="External"/><Relationship Id="rId1978" Type="http://schemas.openxmlformats.org/officeDocument/2006/relationships/hyperlink" Target="https://www.linkedin.com/learning/the-neuroscience-of-selling-remotely?trk=ondemandfile" TargetMode="External"/><Relationship Id="rId2517" Type="http://schemas.openxmlformats.org/officeDocument/2006/relationships/hyperlink" Target="https://www.linkedin.com/learning/mindful-productivity?trk=ondemandfile" TargetMode="External"/><Relationship Id="rId2724" Type="http://schemas.openxmlformats.org/officeDocument/2006/relationships/hyperlink" Target="https://www.linkedin.com/learning/leading-with-kindness-and-strength?trk=ondemandfile" TargetMode="External"/><Relationship Id="rId903" Type="http://schemas.openxmlformats.org/officeDocument/2006/relationships/hyperlink" Target="https://www.linkedin.com/learning/giving-computers-vision?trk=contentmappingfile" TargetMode="External"/><Relationship Id="rId1326" Type="http://schemas.openxmlformats.org/officeDocument/2006/relationships/hyperlink" Target="https://www.linkedin.com/learning/framing-cloud-discussions-for-the-c-suite?trk=ondemandfile" TargetMode="External"/><Relationship Id="rId1533" Type="http://schemas.openxmlformats.org/officeDocument/2006/relationships/hyperlink" Target="https://www.linkedin.com/learning/using-emotions-to-leverage-and-accelerate-change-a-guide-for-leaders?trk=ondemandfile" TargetMode="External"/><Relationship Id="rId1740" Type="http://schemas.openxmlformats.org/officeDocument/2006/relationships/hyperlink" Target="https://www.linkedin.com/learning/inventory-management-foundations?trk=ondemandfile" TargetMode="External"/><Relationship Id="rId32" Type="http://schemas.openxmlformats.org/officeDocument/2006/relationships/hyperlink" Target="https://www.linkedin.com/learning/productivity-tips-finding-your-productive-mindset?trk=ondemandfile" TargetMode="External"/><Relationship Id="rId1600" Type="http://schemas.openxmlformats.org/officeDocument/2006/relationships/hyperlink" Target="https://www.linkedin.com/learning/how-leaders-can-motivate-by-creating-meaning?trk=ondemandfile" TargetMode="External"/><Relationship Id="rId1838" Type="http://schemas.openxmlformats.org/officeDocument/2006/relationships/hyperlink" Target="https://www.linkedin.com/learning/managing-your-anxiety-while-presenting?trk=ondemandfile" TargetMode="External"/><Relationship Id="rId181" Type="http://schemas.openxmlformats.org/officeDocument/2006/relationships/hyperlink" Target="https://www.linkedin.com/learning/rewarding-employee-performance?trk=ondemandfile" TargetMode="External"/><Relationship Id="rId1905" Type="http://schemas.openxmlformats.org/officeDocument/2006/relationships/hyperlink" Target="https://www.linkedin.com/learning/time-management-tips-teamwork?trk=ondemandfile" TargetMode="External"/><Relationship Id="rId279" Type="http://schemas.openxmlformats.org/officeDocument/2006/relationships/hyperlink" Target="https://www.linkedin.com/learning/how-to-build-rapport-quickly?trk=ondemandfile" TargetMode="External"/><Relationship Id="rId486" Type="http://schemas.openxmlformats.org/officeDocument/2006/relationships/hyperlink" Target="https://www.linkedin.com/learning/dealing-with-difficult-people-in-your-office?trk=ondemandfile" TargetMode="External"/><Relationship Id="rId693" Type="http://schemas.openxmlformats.org/officeDocument/2006/relationships/hyperlink" Target="https://www.linkedin.com/learning/applied-curiosity?trk=ondemandfile" TargetMode="External"/><Relationship Id="rId2167" Type="http://schemas.openxmlformats.org/officeDocument/2006/relationships/hyperlink" Target="https://www.linkedin.com/learning/outsourcing-management?trk=ondemandfile" TargetMode="External"/><Relationship Id="rId2374" Type="http://schemas.openxmlformats.org/officeDocument/2006/relationships/hyperlink" Target="https://www.linkedin.com/learning/allyship-for-all?trk=ondemandfile" TargetMode="External"/><Relationship Id="rId2581" Type="http://schemas.openxmlformats.org/officeDocument/2006/relationships/hyperlink" Target="https://www.linkedin.com/learning/balancing-work-and-life-as-a-work-from-home-parent?trk=ondemandfile" TargetMode="External"/><Relationship Id="rId139" Type="http://schemas.openxmlformats.org/officeDocument/2006/relationships/hyperlink" Target="https://www.linkedin.com/learning/how-to-use-rejection-to-your-advantage?trk=ondemandfile" TargetMode="External"/><Relationship Id="rId346" Type="http://schemas.openxmlformats.org/officeDocument/2006/relationships/hyperlink" Target="https://www.linkedin.com/learning/communicating-values?trk=ondemandfile" TargetMode="External"/><Relationship Id="rId553" Type="http://schemas.openxmlformats.org/officeDocument/2006/relationships/hyperlink" Target="https://www.linkedin.com/learning/marketing-foundations-automation?trk=ondemandfile" TargetMode="External"/><Relationship Id="rId760" Type="http://schemas.openxmlformats.org/officeDocument/2006/relationships/hyperlink" Target="https://www.linkedin.com/learning/making-decisions-2019?trk=ondemandfile" TargetMode="External"/><Relationship Id="rId998" Type="http://schemas.openxmlformats.org/officeDocument/2006/relationships/hyperlink" Target="https://www.linkedin.com/learning/applied-interaction-design-managing-comments?trk=ondemandfile" TargetMode="External"/><Relationship Id="rId1183" Type="http://schemas.openxmlformats.org/officeDocument/2006/relationships/hyperlink" Target="https://www.linkedin.com/learning/human-resources-protecting-confidentiality?trk=ondemandfile" TargetMode="External"/><Relationship Id="rId1390" Type="http://schemas.openxmlformats.org/officeDocument/2006/relationships/hyperlink" Target="https://www.linkedin.com/learning/azure-administration-deploy-and-manage-virtual-machines?trk=ondemandfile" TargetMode="External"/><Relationship Id="rId2027" Type="http://schemas.openxmlformats.org/officeDocument/2006/relationships/hyperlink" Target="https://www.linkedin.com/learning/how-to-save-face-in-a-negotiation?trk=ondemandfile" TargetMode="External"/><Relationship Id="rId2234" Type="http://schemas.openxmlformats.org/officeDocument/2006/relationships/hyperlink" Target="https://www.linkedin.com/learning/make-the-move-from-individual-contributor-to-manager?trk=ondemandfile" TargetMode="External"/><Relationship Id="rId2441" Type="http://schemas.openxmlformats.org/officeDocument/2006/relationships/hyperlink" Target="https://www.linkedin.com/learning/coaching-for-results" TargetMode="External"/><Relationship Id="rId2679" Type="http://schemas.openxmlformats.org/officeDocument/2006/relationships/hyperlink" Target="https://www.linkedin.com/learning/leading-at-a-distance?trk=ondemandfile" TargetMode="External"/><Relationship Id="rId206" Type="http://schemas.openxmlformats.org/officeDocument/2006/relationships/hyperlink" Target="https://www.linkedin.com/learning/managing-a-cross-functional-team?trk=ondemandfile" TargetMode="External"/><Relationship Id="rId413" Type="http://schemas.openxmlformats.org/officeDocument/2006/relationships/hyperlink" Target="https://www.linkedin.com/learning/communicating-with-transparency?trk=ondemandfile" TargetMode="External"/><Relationship Id="rId858" Type="http://schemas.openxmlformats.org/officeDocument/2006/relationships/hyperlink" Target="https://www.linkedin.com/learning/paths/get-ahead-in-data-science?trk=ondemandfile" TargetMode="External"/><Relationship Id="rId1043" Type="http://schemas.openxmlformats.org/officeDocument/2006/relationships/hyperlink" Target="https://www.linkedin.com/learning/finance-foundations-2?trk=ondemandfile" TargetMode="External"/><Relationship Id="rId1488" Type="http://schemas.openxmlformats.org/officeDocument/2006/relationships/hyperlink" Target="https://www.linkedin.com/learning/how-to-be-more-inclusive?trk=ondemandfile" TargetMode="External"/><Relationship Id="rId1695" Type="http://schemas.openxmlformats.org/officeDocument/2006/relationships/hyperlink" Target="https://www.linkedin.com/learning/how-leaders-can-motivate-by-creating-meaning?trk=ondemandfile" TargetMode="External"/><Relationship Id="rId2539" Type="http://schemas.openxmlformats.org/officeDocument/2006/relationships/hyperlink" Target="https://www.linkedin.com/learning/prepare-for-returning-to-the-workplace?trk=ondemandfile" TargetMode="External"/><Relationship Id="rId620" Type="http://schemas.openxmlformats.org/officeDocument/2006/relationships/hyperlink" Target="https://www.linkedin.com/learning/disruptive-branding-blinkist-summary?trk=ondemandfile" TargetMode="External"/><Relationship Id="rId718" Type="http://schemas.openxmlformats.org/officeDocument/2006/relationships/hyperlink" Target="https://www.linkedin.com/learning/paths/develop-critical-thinking-decision-making-and-problem-solving-skills?trk=ondemandfile" TargetMode="External"/><Relationship Id="rId925" Type="http://schemas.openxmlformats.org/officeDocument/2006/relationships/hyperlink" Target="https://www.linkedin.com/learning/sap-erp-beyond-the-bas-ics?trk=ondemandfile" TargetMode="External"/><Relationship Id="rId1250" Type="http://schemas.openxmlformats.org/officeDocument/2006/relationships/hyperlink" Target="https://www.linkedin.com/learning/agile-software-development-transforming-your-organization?trk=ondemandfile" TargetMode="External"/><Relationship Id="rId1348" Type="http://schemas.openxmlformats.org/officeDocument/2006/relationships/hyperlink" Target="https://www.linkedin.com/learning/learning-lucidchart?trk=ondemandfile" TargetMode="External"/><Relationship Id="rId1555" Type="http://schemas.openxmlformats.org/officeDocument/2006/relationships/hyperlink" Target="https://www.linkedin.com/learning/leading-a-marketing-team?trk=ondemandfile" TargetMode="External"/><Relationship Id="rId1762" Type="http://schemas.openxmlformats.org/officeDocument/2006/relationships/hyperlink" Target="https://www.linkedin.com/learning/how-blockchains-will-change-business?trk=ondemandfile" TargetMode="External"/><Relationship Id="rId2301" Type="http://schemas.openxmlformats.org/officeDocument/2006/relationships/hyperlink" Target="https://www.linkedin.com/learning/foundations-of-performance-management?trk=ondemandfile" TargetMode="External"/><Relationship Id="rId2606" Type="http://schemas.openxmlformats.org/officeDocument/2006/relationships/hyperlink" Target="https://www.linkedin.com/learning/how-to-support-your-employees-well-being?trk=ondemandfile" TargetMode="External"/><Relationship Id="rId1110" Type="http://schemas.openxmlformats.org/officeDocument/2006/relationships/hyperlink" Target="https://www.linkedin.com/learning/accounting-foundations-global-finance-accounting?trk=ondemandfile" TargetMode="External"/><Relationship Id="rId1208" Type="http://schemas.openxmlformats.org/officeDocument/2006/relationships/hyperlink" Target="https://www.linkedin.com/learning/hiring-contract-employees?trk=ondemandfile" TargetMode="External"/><Relationship Id="rId1415" Type="http://schemas.openxmlformats.org/officeDocument/2006/relationships/hyperlink" Target="https://www.linkedin.com/learning/paths/become-a-thought-leader?trk=ondemandfile" TargetMode="External"/><Relationship Id="rId54" Type="http://schemas.openxmlformats.org/officeDocument/2006/relationships/hyperlink" Target="https://www.linkedin.com/learning/powerful-prioritization-with-the-80-20-rule?trk=ondemandfile" TargetMode="External"/><Relationship Id="rId1622" Type="http://schemas.openxmlformats.org/officeDocument/2006/relationships/hyperlink" Target="https://www.linkedin.com/learning/paths/become-a-senior-manager?trk=ondemandfile" TargetMode="External"/><Relationship Id="rId1927" Type="http://schemas.openxmlformats.org/officeDocument/2006/relationships/hyperlink" Target="https://www.linkedin.com/learning/comparing-agile-versus-waterfall-project-management?trk=ondemandfile" TargetMode="External"/><Relationship Id="rId2091" Type="http://schemas.openxmlformats.org/officeDocument/2006/relationships/hyperlink" Target="https://www.linkedin.com/learning/assessing-digital-maturity?trk=ondemandfile" TargetMode="External"/><Relationship Id="rId2189" Type="http://schemas.openxmlformats.org/officeDocument/2006/relationships/hyperlink" Target="https://www.linkedin.com/learning/paths/diversity-inclusion-and-belonging-for-leaders-and-managers?trk=ondemandfile" TargetMode="External"/><Relationship Id="rId270" Type="http://schemas.openxmlformats.org/officeDocument/2006/relationships/hyperlink" Target="https://www.linkedin.com/learning/managing-in-a-matrixed-organization?trk=ondemandfile" TargetMode="External"/><Relationship Id="rId2396" Type="http://schemas.openxmlformats.org/officeDocument/2006/relationships/hyperlink" Target="https://www.linkedin.com/learning/creating-safe-spaces-for-tough-conversations-at-work?trk=contentmappingfile" TargetMode="External"/><Relationship Id="rId130" Type="http://schemas.openxmlformats.org/officeDocument/2006/relationships/hyperlink" Target="https://www.linkedin.com/learning/managing-stress-2019?trk=ondemandfile" TargetMode="External"/><Relationship Id="rId368" Type="http://schemas.openxmlformats.org/officeDocument/2006/relationships/hyperlink" Target="https://www.linkedin.com/learning/compassionate-leadership?trk=ondemandfile" TargetMode="External"/><Relationship Id="rId575" Type="http://schemas.openxmlformats.org/officeDocument/2006/relationships/hyperlink" Target="https://www.linkedin.com/learning/creating-an-editorial-calendar-2?trk=ondemandfile" TargetMode="External"/><Relationship Id="rId782" Type="http://schemas.openxmlformats.org/officeDocument/2006/relationships/hyperlink" Target="https://www.linkedin.com/learning/creating-a-positive-customer-experience-2020?trk=ondemandfile" TargetMode="External"/><Relationship Id="rId2049" Type="http://schemas.openxmlformats.org/officeDocument/2006/relationships/hyperlink" Target="https://www.linkedin.com/learning/develop-a-service-orientation?trk=ondemandfile" TargetMode="External"/><Relationship Id="rId2256" Type="http://schemas.openxmlformats.org/officeDocument/2006/relationships/hyperlink" Target="https://www.linkedin.com/learning/a-toolkit-for-giving-and-receiving-better-feedback?trk=ondemandfile" TargetMode="External"/><Relationship Id="rId2463" Type="http://schemas.openxmlformats.org/officeDocument/2006/relationships/hyperlink" Target="https://www.linkedin.com/learning/writing-with-flair-how-to-become-an-exceptional-writer?trk=ondemandfile" TargetMode="External"/><Relationship Id="rId2670" Type="http://schemas.openxmlformats.org/officeDocument/2006/relationships/hyperlink" Target="https://www.linkedin.com/learning/emerging-leader-foundations?trk=ondemandfile" TargetMode="External"/><Relationship Id="rId228" Type="http://schemas.openxmlformats.org/officeDocument/2006/relationships/hyperlink" Target="https://www.linkedin.com/learning/a-navy-seal-s-surprising-key-to-building-unstoppable-teams-caring?trk=ondemandfile" TargetMode="External"/><Relationship Id="rId435" Type="http://schemas.openxmlformats.org/officeDocument/2006/relationships/hyperlink" Target="https://www.linkedin.com/learning/how-to-not-screw-up-a-job-interview-for-creatives?trk=ondemandfile" TargetMode="External"/><Relationship Id="rId642" Type="http://schemas.openxmlformats.org/officeDocument/2006/relationships/hyperlink" Target="https://www.linkedin.com/learning/social-selling-reaching-prospects?trk=ondemandfile" TargetMode="External"/><Relationship Id="rId1065" Type="http://schemas.openxmlformats.org/officeDocument/2006/relationships/hyperlink" Target="https://www.linkedin.com/learning/quickbooks-pro-2019-essential-training?trk=ondemandfile" TargetMode="External"/><Relationship Id="rId1272" Type="http://schemas.openxmlformats.org/officeDocument/2006/relationships/hyperlink" Target="https://www.linkedin.com/learning/introduction-to-quantum-computing?trk=ondemandfile" TargetMode="External"/><Relationship Id="rId2116" Type="http://schemas.openxmlformats.org/officeDocument/2006/relationships/hyperlink" Target="https://www.linkedin.com/learning/leading-from-the-middle?trk=ondemandfile" TargetMode="External"/><Relationship Id="rId2323" Type="http://schemas.openxmlformats.org/officeDocument/2006/relationships/hyperlink" Target="https://www.linkedin.com/learning/paths/how-to-engage-meaningfully-in-allyship-and-anti-racism?trk=ondemandfile" TargetMode="External"/><Relationship Id="rId2530" Type="http://schemas.openxmlformats.org/officeDocument/2006/relationships/hyperlink" Target="https://www.linkedin.com/learning/pushing-past-your-prior-limits?trk=ondemandfile" TargetMode="External"/><Relationship Id="rId502" Type="http://schemas.openxmlformats.org/officeDocument/2006/relationships/hyperlink" Target="https://www.linkedin.com/learning/marketing-on-linkedin-the-sophisticated-marketer-s-guide" TargetMode="External"/><Relationship Id="rId947" Type="http://schemas.openxmlformats.org/officeDocument/2006/relationships/hyperlink" Target="https://www.linkedin.com/learning/paths/become-an-ld-professional?trk=ondemandfile" TargetMode="External"/><Relationship Id="rId1132" Type="http://schemas.openxmlformats.org/officeDocument/2006/relationships/hyperlink" Target="https://www.linkedin.com/learning/organization-culture?trk=ondemandfile" TargetMode="External"/><Relationship Id="rId1577" Type="http://schemas.openxmlformats.org/officeDocument/2006/relationships/hyperlink" Target="https://www.linkedin.com/learning/women-transforming-tech-round-table-discussion?trk=ondemandfile" TargetMode="External"/><Relationship Id="rId1784" Type="http://schemas.openxmlformats.org/officeDocument/2006/relationships/hyperlink" Target="https://www.linkedin.com/learning/sap-ariba-supply-chain-collaboration-overview?trk=ondemandfile" TargetMode="External"/><Relationship Id="rId1991" Type="http://schemas.openxmlformats.org/officeDocument/2006/relationships/hyperlink" Target="https://www.linkedin.com/learning/following-up-after-a-sales-meeting?trk=ondemandfile" TargetMode="External"/><Relationship Id="rId2628" Type="http://schemas.openxmlformats.org/officeDocument/2006/relationships/hyperlink" Target="https://www.linkedin.com/learning/paths/fostering-innovation?trk=ondemandfile" TargetMode="External"/><Relationship Id="rId76" Type="http://schemas.openxmlformats.org/officeDocument/2006/relationships/hyperlink" Target="https://www.linkedin.com/learning/prioritizing-your-tasks?trk=ondemandfile" TargetMode="External"/><Relationship Id="rId807" Type="http://schemas.openxmlformats.org/officeDocument/2006/relationships/hyperlink" Target="https://www.linkedin.com/learning/customer-service-managing-customer-feedback?trk=ondemandfile" TargetMode="External"/><Relationship Id="rId1437" Type="http://schemas.openxmlformats.org/officeDocument/2006/relationships/hyperlink" Target="https://www.linkedin.com/learning/the-purpose-effect-getabstract-summary?trk=ondemandfile" TargetMode="External"/><Relationship Id="rId1644" Type="http://schemas.openxmlformats.org/officeDocument/2006/relationships/hyperlink" Target="https://www.linkedin.com/learning/implementing-continuous-impro-vement-a-case-study?trk=ondemandfile" TargetMode="External"/><Relationship Id="rId1851" Type="http://schemas.openxmlformats.org/officeDocument/2006/relationships/hyperlink" Target="https://www.linkedin.com/learning/how-to-stand-out-remotely?trk=ondemandfile" TargetMode="External"/><Relationship Id="rId1504" Type="http://schemas.openxmlformats.org/officeDocument/2006/relationships/hyperlink" Target="https://www.linkedin.com/learning/lean-technology-strategy-purposeful-organizations?trk=ondemandfile" TargetMode="External"/><Relationship Id="rId1711" Type="http://schemas.openxmlformats.org/officeDocument/2006/relationships/hyperlink" Target="https://www.linkedin.com/learning/paths/becoming-a-six-sigma-green-belt?trk=ondemandfile" TargetMode="External"/><Relationship Id="rId1949" Type="http://schemas.openxmlformats.org/officeDocument/2006/relationships/hyperlink" Target="https://www.linkedin.com/learning/trello-for-agile-teams?trk=ondemandfile" TargetMode="External"/><Relationship Id="rId292" Type="http://schemas.openxmlformats.org/officeDocument/2006/relationships/hyperlink" Target="https://www.linkedin.com/learning/allyship-for-all?trk=ondemandfile" TargetMode="External"/><Relationship Id="rId1809" Type="http://schemas.openxmlformats.org/officeDocument/2006/relationships/hyperlink" Target="https://www.linkedin.com/learning/executive-presence-on-video-conference-calls?trk=ondemandfile" TargetMode="External"/><Relationship Id="rId597" Type="http://schemas.openxmlformats.org/officeDocument/2006/relationships/hyperlink" Target="https://www.linkedin.com/learning/advertising-on-instagram-14314447?trk=ondemandfile" TargetMode="External"/><Relationship Id="rId2180" Type="http://schemas.openxmlformats.org/officeDocument/2006/relationships/hyperlink" Target="https://www.linkedin.com/learning/built-to-last-successful-habits-of-visionary-companies?trk=ondemandfile" TargetMode="External"/><Relationship Id="rId2278" Type="http://schemas.openxmlformats.org/officeDocument/2006/relationships/hyperlink" Target="https://www.linkedin.com/learning/managing-experts?trk=ondemandfile" TargetMode="External"/><Relationship Id="rId2485" Type="http://schemas.openxmlformats.org/officeDocument/2006/relationships/hyperlink" Target="https://www.linkedin.com/learning/overcoming-overw-helm?trk=ondemandfile" TargetMode="External"/><Relationship Id="rId152" Type="http://schemas.openxmlformats.org/officeDocument/2006/relationships/hyperlink" Target="https://www.linkedin.com/learning/cultivating-a-growth-mindset?trk=ondemandfile" TargetMode="External"/><Relationship Id="rId457" Type="http://schemas.openxmlformats.org/officeDocument/2006/relationships/hyperlink" Target="https://www.linkedin.com/learning/learning-to-say-no-with-confidence-and-grace?trk=ondemandfile" TargetMode="External"/><Relationship Id="rId1087" Type="http://schemas.openxmlformats.org/officeDocument/2006/relationships/hyperlink" Target="https://www.linkedin.com/learning/applied-economic-forecasting-with-big-data?trk=ondemandfile" TargetMode="External"/><Relationship Id="rId1294" Type="http://schemas.openxmlformats.org/officeDocument/2006/relationships/hyperlink" Target="https://www.linkedin.com/learning/devops-foundations-going-cloud-native?trk=ondemandfile" TargetMode="External"/><Relationship Id="rId2040" Type="http://schemas.openxmlformats.org/officeDocument/2006/relationships/hyperlink" Target="https://www.linkedin.com/learning/sales-prospecting?trk=ondemandfile" TargetMode="External"/><Relationship Id="rId2138" Type="http://schemas.openxmlformats.org/officeDocument/2006/relationships/hyperlink" Target="https://www.linkedin.com/learning/business-development-strategic-planning?trk=ondemandfile" TargetMode="External"/><Relationship Id="rId2692" Type="http://schemas.openxmlformats.org/officeDocument/2006/relationships/hyperlink" Target="https://www.linkedin.com/learning/be-a-better-manager-by-motivating-your-team?trk=ondemandfile" TargetMode="External"/><Relationship Id="rId664" Type="http://schemas.openxmlformats.org/officeDocument/2006/relationships/hyperlink" Target="https://www.linkedin.com/learning/paths/working-with-creatives-2?trk=ondemandfile" TargetMode="External"/><Relationship Id="rId871" Type="http://schemas.openxmlformats.org/officeDocument/2006/relationships/hyperlink" Target="https://www.linkedin.com/learning/introducing-ai-to-your-organization?trk=ondemandfile" TargetMode="External"/><Relationship Id="rId969" Type="http://schemas.openxmlformats.org/officeDocument/2006/relationships/hyperlink" Target="https://www.linkedin.com/learning/paths/visual-communication-for-business-professionals?trk=ondemandfile" TargetMode="External"/><Relationship Id="rId1599" Type="http://schemas.openxmlformats.org/officeDocument/2006/relationships/hyperlink" Target="https://www.linkedin.com/learning/leadership-mindsets?trk=ondemandfile" TargetMode="External"/><Relationship Id="rId2345" Type="http://schemas.openxmlformats.org/officeDocument/2006/relationships/hyperlink" Target="https://www.linkedin.com/learning/managing-a-diverse-team?trk=ondemandfile" TargetMode="External"/><Relationship Id="rId2552" Type="http://schemas.openxmlformats.org/officeDocument/2006/relationships/hyperlink" Target="https://www.linkedin.com/learning/developing-your-authentic-self-to-ignite-change?trk=ondemandfile" TargetMode="External"/><Relationship Id="rId317" Type="http://schemas.openxmlformats.org/officeDocument/2006/relationships/hyperlink" Target="https://www.linkedin.com/learning/managing-up-as-an-employee?trk=ondemandfile" TargetMode="External"/><Relationship Id="rId524" Type="http://schemas.openxmlformats.org/officeDocument/2006/relationships/hyperlink" Target="https://www.linkedin.com/learning/paths/become-a-social-media-marketer?trk=ondemandfile" TargetMode="External"/><Relationship Id="rId731" Type="http://schemas.openxmlformats.org/officeDocument/2006/relationships/hyperlink" Target="https://www.linkedin.com/learning/2020-vlog-leading-with-intelligent-disobedience?trk=ondemandfile" TargetMode="External"/><Relationship Id="rId1154" Type="http://schemas.openxmlformats.org/officeDocument/2006/relationships/hyperlink" Target="https://www.linkedin.com/learning/finding-and-retaining-high-potentials-9018297?trk=ondemandfile" TargetMode="External"/><Relationship Id="rId1361" Type="http://schemas.openxmlformats.org/officeDocument/2006/relationships/hyperlink" Target="https://www.linkedin.com/learning/microsoft-viva-first-look?trk=ondemandfile" TargetMode="External"/><Relationship Id="rId1459" Type="http://schemas.openxmlformats.org/officeDocument/2006/relationships/hyperlink" Target="https://www.linkedin.com/learning/learning-design-for-sustainability?trk=ondemandfile" TargetMode="External"/><Relationship Id="rId2205" Type="http://schemas.openxmlformats.org/officeDocument/2006/relationships/hyperlink" Target="https://www.linkedin.com/learning/developing-managers-in-organizations?trk=ondemandfile" TargetMode="External"/><Relationship Id="rId2412" Type="http://schemas.openxmlformats.org/officeDocument/2006/relationships/hyperlink" Target="https://www.linkedin.com/learning/having-bold-and-inclusive-conversations?trk=ondemandfile" TargetMode="External"/><Relationship Id="rId98" Type="http://schemas.openxmlformats.org/officeDocument/2006/relationships/hyperlink" Target="https://www.linkedin.com/learning/how-to-slash-anxiety-and-keep-positivity-flowing" TargetMode="External"/><Relationship Id="rId829" Type="http://schemas.openxmlformats.org/officeDocument/2006/relationships/hyperlink" Target="https://www.linkedin.com/learning/a-design-thinking-approach-to-putting-the-customer-first?trk=ondemandfile" TargetMode="External"/><Relationship Id="rId1014" Type="http://schemas.openxmlformats.org/officeDocument/2006/relationships/hyperlink" Target="https://www.linkedin.com/learning/corporate-finance-profitability-in-a-financial-downturn?trk=ondemandfile" TargetMode="External"/><Relationship Id="rId1221" Type="http://schemas.openxmlformats.org/officeDocument/2006/relationships/hyperlink" Target="https://www.linkedin.com/learning/interviewing-a-job-candidate-for-recruiters-2?trk=ondemandfile" TargetMode="External"/><Relationship Id="rId1666" Type="http://schemas.openxmlformats.org/officeDocument/2006/relationships/hyperlink" Target="https://www.linkedin.com/learning/coaching-employees-through-difficult-situations?trk=ondemandfile" TargetMode="External"/><Relationship Id="rId1873" Type="http://schemas.openxmlformats.org/officeDocument/2006/relationships/hyperlink" Target="https://www.linkedin.com/learning/increase-effectiveness-with-lessons-learned?trk=ondemandfile" TargetMode="External"/><Relationship Id="rId2717" Type="http://schemas.openxmlformats.org/officeDocument/2006/relationships/hyperlink" Target="https://www.linkedin.com/learning/become-a-courageous-female-leader?trk=ondemandfile" TargetMode="External"/><Relationship Id="rId1319" Type="http://schemas.openxmlformats.org/officeDocument/2006/relationships/hyperlink" Target="https://www.linkedin.com/learning/paths/prepare-for-the-word-2013-microsoft-office-specialist-mos-expert-exam?trk=ondemandfile" TargetMode="External"/><Relationship Id="rId1526" Type="http://schemas.openxmlformats.org/officeDocument/2006/relationships/hyperlink" Target="https://www.linkedin.com/learning/leading-with-purpose?trk=ondemandfile" TargetMode="External"/><Relationship Id="rId1733" Type="http://schemas.openxmlformats.org/officeDocument/2006/relationships/hyperlink" Target="https://www.linkedin.com/learning/devops-foundations-lean-and-agile?trk=ondemandfile" TargetMode="External"/><Relationship Id="rId1940" Type="http://schemas.openxmlformats.org/officeDocument/2006/relationships/hyperlink" Target="https://www.linkedin.com/learning/9367b560-3855-3d38-9d9b-4ff0d83dd4d4?trk=ondemandfile" TargetMode="External"/><Relationship Id="rId25" Type="http://schemas.openxmlformats.org/officeDocument/2006/relationships/hyperlink" Target="https://www.linkedin.com/learning/tony-schwartz-on-energy-management?trk=ondemandfile" TargetMode="External"/><Relationship Id="rId1800" Type="http://schemas.openxmlformats.org/officeDocument/2006/relationships/hyperlink" Target="https://www.linkedin.com/learning/paths/create-and-deliver-engaging-presentations?trk=ondemandfile" TargetMode="External"/><Relationship Id="rId174" Type="http://schemas.openxmlformats.org/officeDocument/2006/relationships/hyperlink" Target="https://www.linkedin.com/learning/paths/fostering-collaboration?trk=ondemandfile" TargetMode="External"/><Relationship Id="rId381" Type="http://schemas.openxmlformats.org/officeDocument/2006/relationships/hyperlink" Target="https://www.linkedin.com/learning/women-transforming-tech-networking?trk=ondemandfile" TargetMode="External"/><Relationship Id="rId2062" Type="http://schemas.openxmlformats.org/officeDocument/2006/relationships/hyperlink" Target="https://www.linkedin.com/learning/social-selling-reaching-prospects?trk=ondemandfile" TargetMode="External"/><Relationship Id="rId241" Type="http://schemas.openxmlformats.org/officeDocument/2006/relationships/hyperlink" Target="https://www.linkedin.com/learning/creating-an-adaptable-team?trk=ondemandfile" TargetMode="External"/><Relationship Id="rId479" Type="http://schemas.openxmlformats.org/officeDocument/2006/relationships/hyperlink" Target="https://www.linkedin.com/learning/dealing-with-microaggression-as-an-employee?trk=ondemandfile" TargetMode="External"/><Relationship Id="rId686" Type="http://schemas.openxmlformats.org/officeDocument/2006/relationships/hyperlink" Target="https://www.linkedin.com/learning/business-innovation-foundations-2020?trk=ondemandfile" TargetMode="External"/><Relationship Id="rId893" Type="http://schemas.openxmlformats.org/officeDocument/2006/relationships/hyperlink" Target="https://www.linkedin.com/learning/r-essential-training-part-2-modeling-dat?trk=ondemandfile" TargetMode="External"/><Relationship Id="rId2367" Type="http://schemas.openxmlformats.org/officeDocument/2006/relationships/hyperlink" Target="https://www.linkedin.com/learning/women-transforming-tech-finding-a-mentor?trk=ondemandfile" TargetMode="External"/><Relationship Id="rId2574" Type="http://schemas.openxmlformats.org/officeDocument/2006/relationships/hyperlink" Target="https://www.linkedin.com/learning/arianna-huffington-s-thrive-05-igniting-joy?trk=ondemandfile" TargetMode="External"/><Relationship Id="rId339" Type="http://schemas.openxmlformats.org/officeDocument/2006/relationships/hyperlink" Target="https://www.linkedin.com/learning/paths/fostering-collaboration?trk=ondemandfile" TargetMode="External"/><Relationship Id="rId546" Type="http://schemas.openxmlformats.org/officeDocument/2006/relationships/hyperlink" Target="https://www.linkedin.com/learning/marketing-to-humans?trk=ondemandfile" TargetMode="External"/><Relationship Id="rId753" Type="http://schemas.openxmlformats.org/officeDocument/2006/relationships/hyperlink" Target="https://www.linkedin.com/learning/enhancing-resilience?trk=ondemandfile" TargetMode="External"/><Relationship Id="rId1176" Type="http://schemas.openxmlformats.org/officeDocument/2006/relationships/hyperlink" Target="https://www.linkedin.com/learning/tech-recruiting-foundations-5-waterfall-agile-and-devops-for-recruiters?trk=ondemandfile" TargetMode="External"/><Relationship Id="rId1383" Type="http://schemas.openxmlformats.org/officeDocument/2006/relationships/hyperlink" Target="https://www.linkedin.com/learning/jenkins-essential-training?trk=ondemandfile" TargetMode="External"/><Relationship Id="rId2227" Type="http://schemas.openxmlformats.org/officeDocument/2006/relationships/hyperlink" Target="https://www.linkedin.com/learning/coaching-employees-through-difficult-situations?trk=ondemandfile" TargetMode="External"/><Relationship Id="rId2434" Type="http://schemas.openxmlformats.org/officeDocument/2006/relationships/hyperlink" Target="https://www.linkedin.com/learning/success-strategies-for-women-in-the-workplace?trk=ondemandfile" TargetMode="External"/><Relationship Id="rId101" Type="http://schemas.openxmlformats.org/officeDocument/2006/relationships/hyperlink" Target="https://www.linkedin.com/learning/the-new-rules-of-work?trk=ondemandfile" TargetMode="External"/><Relationship Id="rId406" Type="http://schemas.openxmlformats.org/officeDocument/2006/relationships/hyperlink" Target="https://www.linkedin.com/learning/how-to-persuade-when-facts-don-t-seem-to-matter?trk=ondemandfile" TargetMode="External"/><Relationship Id="rId960" Type="http://schemas.openxmlformats.org/officeDocument/2006/relationships/hyperlink" Target="https://www.linkedin.com/learning/instructional-design-essentials-models-of-id-2?trk=ondemandfile" TargetMode="External"/><Relationship Id="rId1036" Type="http://schemas.openxmlformats.org/officeDocument/2006/relationships/hyperlink" Target="https://www.linkedin.com/learning/financial-adulting?trk=ondemandfile" TargetMode="External"/><Relationship Id="rId1243" Type="http://schemas.openxmlformats.org/officeDocument/2006/relationships/hyperlink" Target="https://www.linkedin.com/learning/paths/applying-lean-devops-and-agile-to-your-it-organization?trk=ondemandfile" TargetMode="External"/><Relationship Id="rId1590" Type="http://schemas.openxmlformats.org/officeDocument/2006/relationships/hyperlink" Target="https://www.linkedin.com/learning/fostering-belonging-as-a-leader?trk=ondemandfile" TargetMode="External"/><Relationship Id="rId1688" Type="http://schemas.openxmlformats.org/officeDocument/2006/relationships/hyperlink" Target="https://www.linkedin.com/learning/how-to-effectively-deliver-criticism?trk=ondemandfile" TargetMode="External"/><Relationship Id="rId1895" Type="http://schemas.openxmlformats.org/officeDocument/2006/relationships/hyperlink" Target="https://www.linkedin.com/learning/project-management-foundations-teams-2019?trk=ondemandfile" TargetMode="External"/><Relationship Id="rId2641" Type="http://schemas.openxmlformats.org/officeDocument/2006/relationships/hyperlink" Target="https://www.linkedin.com/learning/managing-new-managers?trk=ondemandfile" TargetMode="External"/><Relationship Id="rId613" Type="http://schemas.openxmlformats.org/officeDocument/2006/relationships/hyperlink" Target="https://www.linkedin.com/learning/creating-social-content-with-adobe-animate-cc?trk=ondemandfile" TargetMode="External"/><Relationship Id="rId820" Type="http://schemas.openxmlformats.org/officeDocument/2006/relationships/hyperlink" Target="https://www.linkedin.com/learning/innovative-customer-service-techniques?trk=ondemandfile" TargetMode="External"/><Relationship Id="rId918" Type="http://schemas.openxmlformats.org/officeDocument/2006/relationships/hyperlink" Target="https://www.linkedin.com/learning/text-analytics-and-predictions-with-r-essential-training?trk=ondemandfile" TargetMode="External"/><Relationship Id="rId1450" Type="http://schemas.openxmlformats.org/officeDocument/2006/relationships/hyperlink" Target="https://www.linkedin.com/learning/building-change-capability-for-managers?trk=ondemandfile" TargetMode="External"/><Relationship Id="rId1548" Type="http://schemas.openxmlformats.org/officeDocument/2006/relationships/hyperlink" Target="https://www.linkedin.com/learning/managing-technical-professionals?trk=ondemandfile" TargetMode="External"/><Relationship Id="rId1755" Type="http://schemas.openxmlformats.org/officeDocument/2006/relationships/hyperlink" Target="https://www.linkedin.com/learning/outsourcing-managing-service-transition?trk=ondemandfile" TargetMode="External"/><Relationship Id="rId2501" Type="http://schemas.openxmlformats.org/officeDocument/2006/relationships/hyperlink" Target="https://www.linkedin.com/learning/anger-management?trk=ondemandfile" TargetMode="External"/><Relationship Id="rId1103" Type="http://schemas.openxmlformats.org/officeDocument/2006/relationships/hyperlink" Target="https://www.linkedin.com/learning/accounting-foundations-leases?trk=ondemandfile" TargetMode="External"/><Relationship Id="rId1310" Type="http://schemas.openxmlformats.org/officeDocument/2006/relationships/hyperlink" Target="https://www.linkedin.com/learning/conversations-on-cryptography?trk=ondemandfile" TargetMode="External"/><Relationship Id="rId1408" Type="http://schemas.openxmlformats.org/officeDocument/2006/relationships/hyperlink" Target="https://www.linkedin.com/learning/evil-by-design-persuasion-in-ux-14253964?trk=ondemandfile" TargetMode="External"/><Relationship Id="rId1962" Type="http://schemas.openxmlformats.org/officeDocument/2006/relationships/hyperlink" Target="https://www.linkedin.com/learning/tailoring-project-delivery?trk=ondemandfile" TargetMode="External"/><Relationship Id="rId47" Type="http://schemas.openxmlformats.org/officeDocument/2006/relationships/hyperlink" Target="https://www.linkedin.com/learning/dealing-with-disappointment-in-your-role?trk=ondemandfile" TargetMode="External"/><Relationship Id="rId1615" Type="http://schemas.openxmlformats.org/officeDocument/2006/relationships/hyperlink" Target="https://www.linkedin.com/learning/leading-with-a-heavy-heart?trk=ondemandfile" TargetMode="External"/><Relationship Id="rId1822" Type="http://schemas.openxmlformats.org/officeDocument/2006/relationships/hyperlink" Target="https://www.linkedin.com/learning/boosting-your-confidence-public-speaking-and-performance?trk=ondemandfile" TargetMode="External"/><Relationship Id="rId196" Type="http://schemas.openxmlformats.org/officeDocument/2006/relationships/hyperlink" Target="https://www.linkedin.com/learning/improving-employee-performance?trk=ondemandfile" TargetMode="External"/><Relationship Id="rId2084" Type="http://schemas.openxmlformats.org/officeDocument/2006/relationships/hyperlink" Target="https://www.linkedin.com/learning/paths/become-a-business-unit-manager-2?trk=ondemandfile" TargetMode="External"/><Relationship Id="rId2291" Type="http://schemas.openxmlformats.org/officeDocument/2006/relationships/hyperlink" Target="https://www.linkedin.com/learning/motivating-and-engaging-employees-2?trk=ondemandfile" TargetMode="External"/><Relationship Id="rId263" Type="http://schemas.openxmlformats.org/officeDocument/2006/relationships/hyperlink" Target="https://www.linkedin.com/learning/the-art-of-connection-7-relationship-building-skills-every-leader-needs-now-getabstract-summary?trk=ondemandfile" TargetMode="External"/><Relationship Id="rId470" Type="http://schemas.openxmlformats.org/officeDocument/2006/relationships/hyperlink" Target="https://www.linkedin.com/learning/jeff-weiner-on-compassionate-leadership-from-stanford?trk=ondemandfile" TargetMode="External"/><Relationship Id="rId2151" Type="http://schemas.openxmlformats.org/officeDocument/2006/relationships/hyperlink" Target="https://www.linkedin.com/learning/supply-chain-analytics-foundations?trk=ondemandfile" TargetMode="External"/><Relationship Id="rId2389" Type="http://schemas.openxmlformats.org/officeDocument/2006/relationships/hyperlink" Target="https://www.linkedin.com/learning/mindfulness-diversity-and-the-quest-for-inclusion?trk=ondemandfile" TargetMode="External"/><Relationship Id="rId2596" Type="http://schemas.openxmlformats.org/officeDocument/2006/relationships/hyperlink" Target="https://www.linkedin.com/learning/succeeding-as-an-lgbt-professional?trk=ondemandfile" TargetMode="External"/><Relationship Id="rId123" Type="http://schemas.openxmlformats.org/officeDocument/2006/relationships/hyperlink" Target="https://www.linkedin.com/learning/improve-cognitive-flexibility-at-work?trk=ondemandfile" TargetMode="External"/><Relationship Id="rId330" Type="http://schemas.openxmlformats.org/officeDocument/2006/relationships/hyperlink" Target="https://www.linkedin.com/learning/cmo-foundations-working-with-leadership-and-board-of-directors?trk=ondemandfile" TargetMode="External"/><Relationship Id="rId568" Type="http://schemas.openxmlformats.org/officeDocument/2006/relationships/hyperlink" Target="https://www.linkedin.com/learning/introduction-to-social-media-strategy?trk=ondemandfile" TargetMode="External"/><Relationship Id="rId775" Type="http://schemas.openxmlformats.org/officeDocument/2006/relationships/hyperlink" Target="https://www.linkedin.com/learning/customer-experience-leadership?trk=ondemandfile" TargetMode="External"/><Relationship Id="rId982" Type="http://schemas.openxmlformats.org/officeDocument/2006/relationships/hyperlink" Target="https://www.linkedin.com/learning/producing-screencast-videos-on-a-pc?trk=ondemandfile" TargetMode="External"/><Relationship Id="rId1198" Type="http://schemas.openxmlformats.org/officeDocument/2006/relationships/hyperlink" Target="https://www.linkedin.com/learning/getting-started-as-a-linkedin-learning-hub-admin?trk=ondemandfile" TargetMode="External"/><Relationship Id="rId2011" Type="http://schemas.openxmlformats.org/officeDocument/2006/relationships/hyperlink" Target="https://www.linkedin.com/learning/embracing-change-with-mindfulness?trk=ondemandfile" TargetMode="External"/><Relationship Id="rId2249" Type="http://schemas.openxmlformats.org/officeDocument/2006/relationships/hyperlink" Target="https://www.linkedin.com/learning/executive-coaching?trk=ondemandfile" TargetMode="External"/><Relationship Id="rId2456" Type="http://schemas.openxmlformats.org/officeDocument/2006/relationships/hyperlink" Target="https://www.linkedin.com/learning/writing-in-plain-language?trk=ondemandfile" TargetMode="External"/><Relationship Id="rId2663" Type="http://schemas.openxmlformats.org/officeDocument/2006/relationships/hyperlink" Target="https://www.linkedin.com/learning/navigating-environmental-sustainability-a-guide-for-leaders?trk=ondemandfile" TargetMode="External"/><Relationship Id="rId428" Type="http://schemas.openxmlformats.org/officeDocument/2006/relationships/hyperlink" Target="https://www.linkedin.com/learning/starting-a-memorable-conversation?trk=ondemandfile" TargetMode="External"/><Relationship Id="rId635" Type="http://schemas.openxmlformats.org/officeDocument/2006/relationships/hyperlink" Target="https://www.linkedin.com/learning/seo-videos-2020?trk=ondemandfile" TargetMode="External"/><Relationship Id="rId842" Type="http://schemas.openxmlformats.org/officeDocument/2006/relationships/hyperlink" Target="https://www.linkedin.com/learning/paths/become-a-data-analyst?trk=ondemandfile" TargetMode="External"/><Relationship Id="rId1058" Type="http://schemas.openxmlformats.org/officeDocument/2006/relationships/hyperlink" Target="https://www.linkedin.com/learning/finance-essentials-for-small-business?trk=ondemandfile" TargetMode="External"/><Relationship Id="rId1265" Type="http://schemas.openxmlformats.org/officeDocument/2006/relationships/hyperlink" Target="https://www.linkedin.com/learning/paths/become-an-excel-2013-microsoft-office-specialist?trk=ondemandfile" TargetMode="External"/><Relationship Id="rId1472" Type="http://schemas.openxmlformats.org/officeDocument/2006/relationships/hyperlink" Target="https://www.linkedin.com/learning/being-your-own-fierce-self-advocate?trk=ondemandfile" TargetMode="External"/><Relationship Id="rId2109" Type="http://schemas.openxmlformats.org/officeDocument/2006/relationships/hyperlink" Target="https://www.linkedin.com/learning/strategic-partnerships?trk=ondemandfile" TargetMode="External"/><Relationship Id="rId2316" Type="http://schemas.openxmlformats.org/officeDocument/2006/relationships/hyperlink" Target="https://www.linkedin.com/learning/managing-globally?trk=ondemandfile" TargetMode="External"/><Relationship Id="rId2523" Type="http://schemas.openxmlformats.org/officeDocument/2006/relationships/hyperlink" Target="https://www.linkedin.com/learning/introduction-to-loving-kindness-meditation?trk=ondemandfile" TargetMode="External"/><Relationship Id="rId2730" Type="http://schemas.openxmlformats.org/officeDocument/2006/relationships/hyperlink" Target="https://www.linkedin.com/learning/leading-projects?trk=ondemandfile" TargetMode="External"/><Relationship Id="rId702" Type="http://schemas.openxmlformats.org/officeDocument/2006/relationships/hyperlink" Target="https://www.linkedin.com/learning/unlocking-creativity-blinkist-summary?trk=ondemandfile" TargetMode="External"/><Relationship Id="rId1125" Type="http://schemas.openxmlformats.org/officeDocument/2006/relationships/hyperlink" Target="https://www.linkedin.com/learning/recovering-from-a-financial-setback?trk=ondemandfile" TargetMode="External"/><Relationship Id="rId1332" Type="http://schemas.openxmlformats.org/officeDocument/2006/relationships/hyperlink" Target="https://www.linkedin.com/learning/test-automation-foundations?trk=ondemandfile" TargetMode="External"/><Relationship Id="rId1777" Type="http://schemas.openxmlformats.org/officeDocument/2006/relationships/hyperlink" Target="https://www.linkedin.com/learning/six-sigma-black-belt?trk=ondemandfile" TargetMode="External"/><Relationship Id="rId1984" Type="http://schemas.openxmlformats.org/officeDocument/2006/relationships/hyperlink" Target="https://www.linkedin.com/learning/purpose-driven-sales-2021?trk=contentmappingfile" TargetMode="External"/><Relationship Id="rId69" Type="http://schemas.openxmlformats.org/officeDocument/2006/relationships/hyperlink" Target="https://www.linkedin.com/learning/getting-things-done?trk=ondemandfile" TargetMode="External"/><Relationship Id="rId1637" Type="http://schemas.openxmlformats.org/officeDocument/2006/relationships/hyperlink" Target="https://www.linkedin.com/learning/coaching-new-managers?trk=ondemandfile" TargetMode="External"/><Relationship Id="rId1844" Type="http://schemas.openxmlformats.org/officeDocument/2006/relationships/hyperlink" Target="https://www.linkedin.com/learning/presenting-to-senior-executives?trk=ondemandfile" TargetMode="External"/><Relationship Id="rId1704" Type="http://schemas.openxmlformats.org/officeDocument/2006/relationships/hyperlink" Target="https://www.linkedin.com/learning/backgrounder-difficult-conversations-and-negotiations?trk=ondemandfile" TargetMode="External"/><Relationship Id="rId285" Type="http://schemas.openxmlformats.org/officeDocument/2006/relationships/hyperlink" Target="https://www.linkedin.com/learning/interpersonal-communication?trk=ondemandfile" TargetMode="External"/><Relationship Id="rId1911" Type="http://schemas.openxmlformats.org/officeDocument/2006/relationships/hyperlink" Target="https://www.linkedin.com/learning/agile-it-s-not-just-for-software?trk=ondemandfile" TargetMode="External"/><Relationship Id="rId492" Type="http://schemas.openxmlformats.org/officeDocument/2006/relationships/hyperlink" Target="https://www.linkedin.com/learning/delivering-bad-news-effectively?trk=ondemandfile" TargetMode="External"/><Relationship Id="rId797" Type="http://schemas.openxmlformats.org/officeDocument/2006/relationships/hyperlink" Target="https://www.linkedin.com/learning/value-realization-best-practices-for-customer-success-management?trk=ondemandfile" TargetMode="External"/><Relationship Id="rId2173" Type="http://schemas.openxmlformats.org/officeDocument/2006/relationships/hyperlink" Target="https://www.linkedin.com/learning/azure-for-architects-design-a-migration-strategy?trk=ondemandfile" TargetMode="External"/><Relationship Id="rId2380" Type="http://schemas.openxmlformats.org/officeDocument/2006/relationships/hyperlink" Target="https://www.linkedin.com/learning/al-empire-course-03?trk=ondemandfile" TargetMode="External"/><Relationship Id="rId2478" Type="http://schemas.openxmlformats.org/officeDocument/2006/relationships/hyperlink" Target="https://www.linkedin.com/learning/paths/manage-change-and-develop-your-adaptability-skills?trk=ondemandfile" TargetMode="External"/><Relationship Id="rId145" Type="http://schemas.openxmlformats.org/officeDocument/2006/relationships/hyperlink" Target="https://www.linkedin.com/learning/mixtape-highlights-from-linkedin-learning-courses?trk=ondemandfile" TargetMode="External"/><Relationship Id="rId352" Type="http://schemas.openxmlformats.org/officeDocument/2006/relationships/hyperlink" Target="https://www.linkedin.com/learning/stories-every-leader-should-tell?trk=ondemandfile" TargetMode="External"/><Relationship Id="rId1287" Type="http://schemas.openxmlformats.org/officeDocument/2006/relationships/hyperlink" Target="https://www.linkedin.com/learning/inclusive-tech-the-case-for-inclusive-leadership?trk=ondemandfile" TargetMode="External"/><Relationship Id="rId2033" Type="http://schemas.openxmlformats.org/officeDocument/2006/relationships/hyperlink" Target="https://www.linkedin.com/learning/how-to-overcome-a-sales-slump?trk=ondemandfile" TargetMode="External"/><Relationship Id="rId2240" Type="http://schemas.openxmlformats.org/officeDocument/2006/relationships/hyperlink" Target="https://www.linkedin.com/learning/women-transforming-tech-finding-a-mentor?trk=ondemandfile" TargetMode="External"/><Relationship Id="rId2685" Type="http://schemas.openxmlformats.org/officeDocument/2006/relationships/hyperlink" Target="https://www.linkedin.com/learning/leading-and-managing-the-whole-self?trk=ondemandfile" TargetMode="External"/><Relationship Id="rId212" Type="http://schemas.openxmlformats.org/officeDocument/2006/relationships/hyperlink" Target="https://www.linkedin.com/learning/succeeding-as-a-first-time-t-ech-manager?trk=ondemandfile" TargetMode="External"/><Relationship Id="rId657" Type="http://schemas.openxmlformats.org/officeDocument/2006/relationships/hyperlink" Target="https://www.linkedin.com/learning/leading-with-innovation?trk=ondemandfile" TargetMode="External"/><Relationship Id="rId864" Type="http://schemas.openxmlformats.org/officeDocument/2006/relationships/hyperlink" Target="https://www.linkedin.com/learning/paths/master-python-for-data-science?trk=ondemandfile" TargetMode="External"/><Relationship Id="rId1494" Type="http://schemas.openxmlformats.org/officeDocument/2006/relationships/hyperlink" Target="https://www.linkedin.com/learning/leadership-stories-5-minute-lessons-in-leading-people?trk=ondemandfile" TargetMode="External"/><Relationship Id="rId1799" Type="http://schemas.openxmlformats.org/officeDocument/2006/relationships/hyperlink" Target="https://www.linkedin.com/learning/common-meeting-problems?trk=ondemandfile" TargetMode="External"/><Relationship Id="rId2100" Type="http://schemas.openxmlformats.org/officeDocument/2006/relationships/hyperlink" Target="https://www.linkedin.com/learning/sustainability-strategies?trk=ondemandfile" TargetMode="External"/><Relationship Id="rId2338" Type="http://schemas.openxmlformats.org/officeDocument/2006/relationships/hyperlink" Target="https://www.linkedin.com/learning/supporting-workers-with-disabilities?trk=ondemandfile" TargetMode="External"/><Relationship Id="rId2545" Type="http://schemas.openxmlformats.org/officeDocument/2006/relationships/hyperlink" Target="https://www.linkedin.com/learning/mindfulness-diversity-and-the-quest-for-inclusion?trk=ondemandfile" TargetMode="External"/><Relationship Id="rId517" Type="http://schemas.openxmlformats.org/officeDocument/2006/relationships/hyperlink" Target="https://www.linkedin.com/learning/marketing-tools-growth-marketing?trk=ondemandfile" TargetMode="External"/><Relationship Id="rId724" Type="http://schemas.openxmlformats.org/officeDocument/2006/relationships/hyperlink" Target="https://www.linkedin.com/learning/paths/master-in-demand-professional-soft-skills?trk=ondemandfile" TargetMode="External"/><Relationship Id="rId931" Type="http://schemas.openxmlformats.org/officeDocument/2006/relationships/hyperlink" Target="https://www.linkedin.com/learning/excel-avoiding-common-mistakes-office-365-excel-2019?trk=ondemandfile" TargetMode="External"/><Relationship Id="rId1147" Type="http://schemas.openxmlformats.org/officeDocument/2006/relationships/hyperlink" Target="https://www.linkedin.com/learning/developing-managers-in-organizations?trk=ondemandfile" TargetMode="External"/><Relationship Id="rId1354" Type="http://schemas.openxmlformats.org/officeDocument/2006/relationships/hyperlink" Target="https://www.linkedin.com/learning/blockchain-basics-14414119?trk=contentmappingfile" TargetMode="External"/><Relationship Id="rId1561" Type="http://schemas.openxmlformats.org/officeDocument/2006/relationships/hyperlink" Target="https://www.linkedin.com/learning/creative-thinking-strategies-for-leaders?trk=ondemandfile" TargetMode="External"/><Relationship Id="rId2405" Type="http://schemas.openxmlformats.org/officeDocument/2006/relationships/hyperlink" Target="https://www.linkedin.com/learning/confronting-bias-thriving-across-our-differences?trk=ondemandfile" TargetMode="External"/><Relationship Id="rId2612" Type="http://schemas.openxmlformats.org/officeDocument/2006/relationships/hyperlink" Target="https://www.linkedin.com/learning/driving-workplace-happiness?trk=ondemandfile" TargetMode="External"/><Relationship Id="rId60" Type="http://schemas.openxmlformats.org/officeDocument/2006/relationships/hyperlink" Target="https://www.linkedin.com/learning/focus-on-what-matters-and-minimize-distraction?trk=ondemandfile" TargetMode="External"/><Relationship Id="rId1007" Type="http://schemas.openxmlformats.org/officeDocument/2006/relationships/hyperlink" Target="https://www.linkedin.com/learning/data-driven-learning-design?trk=ondemandfile" TargetMode="External"/><Relationship Id="rId1214" Type="http://schemas.openxmlformats.org/officeDocument/2006/relationships/hyperlink" Target="https://www.linkedin.com/learning/human-resources-payroll?trk=ondemandfile" TargetMode="External"/><Relationship Id="rId1421" Type="http://schemas.openxmlformats.org/officeDocument/2006/relationships/hyperlink" Target="https://www.linkedin.com/learning/paths/leading-during-times-of-change?trk=ondemandfile" TargetMode="External"/><Relationship Id="rId1659" Type="http://schemas.openxmlformats.org/officeDocument/2006/relationships/hyperlink" Target="https://www.linkedin.com/learning/managing-introverts?trk=ondemandfile" TargetMode="External"/><Relationship Id="rId1866" Type="http://schemas.openxmlformats.org/officeDocument/2006/relationships/hyperlink" Target="https://www.linkedin.com/learning/paths/become-an-outsourcing-specialist?trk=ondemandfile" TargetMode="External"/><Relationship Id="rId1519" Type="http://schemas.openxmlformats.org/officeDocument/2006/relationships/hyperlink" Target="https://www.linkedin.com/learning/hr-and-digital-transformation?trk=ondemandfile" TargetMode="External"/><Relationship Id="rId1726" Type="http://schemas.openxmlformats.org/officeDocument/2006/relationships/hyperlink" Target="https://www.linkedin.com/learning/creating-a-culture-of-privacy?trk=ondemandfile" TargetMode="External"/><Relationship Id="rId1933" Type="http://schemas.openxmlformats.org/officeDocument/2006/relationships/hyperlink" Target="https://www.linkedin.com/learning/why-projects-fail-and-how-to-improve-their-success?trk=contentmappingfile" TargetMode="External"/><Relationship Id="rId18" Type="http://schemas.openxmlformats.org/officeDocument/2006/relationships/hyperlink" Target="https://www.linkedin.com/learning/be-more-productive-take-small-steps-have-big-goals?trk=ondemandfile" TargetMode="External"/><Relationship Id="rId2195" Type="http://schemas.openxmlformats.org/officeDocument/2006/relationships/hyperlink" Target="https://www.linkedin.com/learning/rewarding-employee-performance?trk=ondemandfile" TargetMode="External"/><Relationship Id="rId167" Type="http://schemas.openxmlformats.org/officeDocument/2006/relationships/hyperlink" Target="https://www.linkedin.com/learning/your-l-d-organization-as-a-competitive-advantage?trk=ondemandfile" TargetMode="External"/><Relationship Id="rId374" Type="http://schemas.openxmlformats.org/officeDocument/2006/relationships/hyperlink" Target="https://www.linkedin.com/learning/interpersonal-communication?trk=ondemandfile" TargetMode="External"/><Relationship Id="rId581" Type="http://schemas.openxmlformats.org/officeDocument/2006/relationships/hyperlink" Target="https://www.linkedin.com/learning/direct-mail-marketing?trk=ondemandfile" TargetMode="External"/><Relationship Id="rId2055" Type="http://schemas.openxmlformats.org/officeDocument/2006/relationships/hyperlink" Target="https://www.linkedin.com/learning/cross-selling?trk=ondemandfile" TargetMode="External"/><Relationship Id="rId2262" Type="http://schemas.openxmlformats.org/officeDocument/2006/relationships/hyperlink" Target="https://www.linkedin.com/learning/paths/become-a-senior-manager?trk=ondemandfile" TargetMode="External"/><Relationship Id="rId234" Type="http://schemas.openxmlformats.org/officeDocument/2006/relationships/hyperlink" Target="https://www.linkedin.com/learning/business-chemistry-blinkist-summary?trk=ondemandfile" TargetMode="External"/><Relationship Id="rId679" Type="http://schemas.openxmlformats.org/officeDocument/2006/relationships/hyperlink" Target="https://www.linkedin.com/learning/boosting-your-team-s-creativity-and-green-lighting-ideas?trk=ondemandfile" TargetMode="External"/><Relationship Id="rId886" Type="http://schemas.openxmlformats.org/officeDocument/2006/relationships/hyperlink" Target="https://www.linkedin.com/learning/learning-data-visualization-2019-revision?trk=ondemandfile" TargetMode="External"/><Relationship Id="rId2567" Type="http://schemas.openxmlformats.org/officeDocument/2006/relationships/hyperlink" Target="https://www.linkedin.com/learning/practices-for-regulating-your-nervous-system-and-reducing-stress?trk=ondemandfile" TargetMode="External"/><Relationship Id="rId2" Type="http://schemas.openxmlformats.org/officeDocument/2006/relationships/hyperlink" Target="https://www.linkedin.com/learning/paths/building-accountability-and-becoming-results-oriented?trk=ondemandfile" TargetMode="External"/><Relationship Id="rId441" Type="http://schemas.openxmlformats.org/officeDocument/2006/relationships/hyperlink" Target="https://www.linkedin.com/learning/17-pr-mistakes-to-avoid?trk=ondemandfile" TargetMode="External"/><Relationship Id="rId539" Type="http://schemas.openxmlformats.org/officeDocument/2006/relationships/hyperlink" Target="https://www.linkedin.com/learning/advanced-google-ads?trk=ondemandfile" TargetMode="External"/><Relationship Id="rId746" Type="http://schemas.openxmlformats.org/officeDocument/2006/relationships/hyperlink" Target="https://www.linkedin.com/learning/simple-habits-for-complex-times-getabstract-summary?trk=ondemandfile" TargetMode="External"/><Relationship Id="rId1071" Type="http://schemas.openxmlformats.org/officeDocument/2006/relationships/hyperlink" Target="https://www.linkedin.com/learning/developing-investment-acumen?trk=ondemandfile" TargetMode="External"/><Relationship Id="rId1169" Type="http://schemas.openxmlformats.org/officeDocument/2006/relationships/hyperlink" Target="https://www.linkedin.com/learning/hiring-and-supporting-neurodiversity-in-the-workplace?trk=ondemandfile" TargetMode="External"/><Relationship Id="rId1376" Type="http://schemas.openxmlformats.org/officeDocument/2006/relationships/hyperlink" Target="https://www.linkedin.com/learning/business-apps-for-sharepoint-monthly?trk=ondemandfile" TargetMode="External"/><Relationship Id="rId1583" Type="http://schemas.openxmlformats.org/officeDocument/2006/relationships/hyperlink" Target="https://www.linkedin.com/learning/navigating-complexity-in-your-organization?trk=ondemandfile" TargetMode="External"/><Relationship Id="rId2122" Type="http://schemas.openxmlformats.org/officeDocument/2006/relationships/hyperlink" Target="https://www.linkedin.com/learning/strategic-focus-for-managers?trk=ondemandfile" TargetMode="External"/><Relationship Id="rId2427" Type="http://schemas.openxmlformats.org/officeDocument/2006/relationships/hyperlink" Target="https://www.linkedin.com/learning/discussing-racism-with-dr-christina-greer?trk=ondemandfile" TargetMode="External"/><Relationship Id="rId301" Type="http://schemas.openxmlformats.org/officeDocument/2006/relationships/hyperlink" Target="https://www.linkedin.com/learning/communicating-with-transparency?trk=ondemandfile" TargetMode="External"/><Relationship Id="rId953" Type="http://schemas.openxmlformats.org/officeDocument/2006/relationships/hyperlink" Target="https://www.linkedin.com/learning/paths/become-an-online-instructor?trk=ondemandfile" TargetMode="External"/><Relationship Id="rId1029" Type="http://schemas.openxmlformats.org/officeDocument/2006/relationships/hyperlink" Target="https://www.linkedin.com/learning/paths/get-ahead-in-the-on-demand-gig-economy?trk=ondemandfile" TargetMode="External"/><Relationship Id="rId1236" Type="http://schemas.openxmlformats.org/officeDocument/2006/relationships/hyperlink" Target="https://www.linkedin.com/learning/privacy-in-the-age-of-covid?trk=ondemandfile" TargetMode="External"/><Relationship Id="rId1790" Type="http://schemas.openxmlformats.org/officeDocument/2006/relationships/hyperlink" Target="https://www.linkedin.com/learning/operational-excellence-foundations?trk=ondemandfile" TargetMode="External"/><Relationship Id="rId1888" Type="http://schemas.openxmlformats.org/officeDocument/2006/relationships/hyperlink" Target="https://www.linkedin.com/learning/paths/become-a-technical-program-manager?trk=ondemandfile" TargetMode="External"/><Relationship Id="rId2634" Type="http://schemas.openxmlformats.org/officeDocument/2006/relationships/hyperlink" Target="https://www.linkedin.com/learning/paths/managing-others-effectively-3?trk=ondemandfile" TargetMode="External"/><Relationship Id="rId82" Type="http://schemas.openxmlformats.org/officeDocument/2006/relationships/hyperlink" Target="https://www.linkedin.com/learning/working-from-home-strategies-for-success?trk=ondemandfile" TargetMode="External"/><Relationship Id="rId606" Type="http://schemas.openxmlformats.org/officeDocument/2006/relationships/hyperlink" Target="https://www.linkedin.com/learning/content-marketing-online-reviews-in-social-media?trk=contentmappingfile" TargetMode="External"/><Relationship Id="rId813" Type="http://schemas.openxmlformats.org/officeDocument/2006/relationships/hyperlink" Target="https://www.linkedin.com/learning/data-driven-harnessing-data-and-ai-to-reinvent-customer-engagement-getabstract-summary?trk=ondemandfile" TargetMode="External"/><Relationship Id="rId1443" Type="http://schemas.openxmlformats.org/officeDocument/2006/relationships/hyperlink" Target="https://www.linkedin.com/learning/leading-with-values?trk=ondemandfile" TargetMode="External"/><Relationship Id="rId1650" Type="http://schemas.openxmlformats.org/officeDocument/2006/relationships/hyperlink" Target="https://www.linkedin.com/learning/performance-management-setting-goals-and-managing-performance?trk=ondemandfile" TargetMode="External"/><Relationship Id="rId1748" Type="http://schemas.openxmlformats.org/officeDocument/2006/relationships/hyperlink" Target="https://www.linkedin.com/learning/introducing-ai-to-your-organization?trk=ondemandfile" TargetMode="External"/><Relationship Id="rId2701" Type="http://schemas.openxmlformats.org/officeDocument/2006/relationships/hyperlink" Target="https://www.linkedin.com/learning/lead-like-a-boss?trk=ondemandfile" TargetMode="External"/><Relationship Id="rId1303" Type="http://schemas.openxmlformats.org/officeDocument/2006/relationships/hyperlink" Target="https://www.linkedin.com/learning/paths/improve-your-tableau-skills?trk=ondemandfile" TargetMode="External"/><Relationship Id="rId1510" Type="http://schemas.openxmlformats.org/officeDocument/2006/relationships/hyperlink" Target="https://www.linkedin.com/learning/leading-the-organization-monthly?trk=ondemandfile" TargetMode="External"/><Relationship Id="rId1955" Type="http://schemas.openxmlformats.org/officeDocument/2006/relationships/hyperlink" Target="https://www.linkedin.com/learning/advanced-basecamp?trk=ondemandfile" TargetMode="External"/><Relationship Id="rId1608" Type="http://schemas.openxmlformats.org/officeDocument/2006/relationships/hyperlink" Target="https://www.linkedin.com/learning/leading-in-crisis?trk=ondemandfile" TargetMode="External"/><Relationship Id="rId1815" Type="http://schemas.openxmlformats.org/officeDocument/2006/relationships/hyperlink" Target="https://www.linkedin.com/learning/public-speaking-foundations-2?trk=ondemandfile" TargetMode="External"/><Relationship Id="rId189" Type="http://schemas.openxmlformats.org/officeDocument/2006/relationships/hyperlink" Target="https://www.linkedin.com/learning/how-to-give-and-receive-useful-feedback-every-month?trk=ondemandfile" TargetMode="External"/><Relationship Id="rId396" Type="http://schemas.openxmlformats.org/officeDocument/2006/relationships/hyperlink" Target="https://www.linkedin.com/learning/constructive-candor-important-conversations-with-coworkers-family-and-friends?trk=ondemandfile" TargetMode="External"/><Relationship Id="rId2077" Type="http://schemas.openxmlformats.org/officeDocument/2006/relationships/hyperlink" Target="https://www.linkedin.com/learning/creating-a-culture-of-change?trk=ondemandfile" TargetMode="External"/><Relationship Id="rId2284" Type="http://schemas.openxmlformats.org/officeDocument/2006/relationships/hyperlink" Target="https://www.linkedin.com/learning/achieving-diversity-as-a-hiring-manager?trk=ondemandfile" TargetMode="External"/><Relationship Id="rId2491" Type="http://schemas.openxmlformats.org/officeDocument/2006/relationships/hyperlink" Target="https://www.linkedin.com/learning/well-being-in-the-workplace?trk=ondemandfile" TargetMode="External"/><Relationship Id="rId256" Type="http://schemas.openxmlformats.org/officeDocument/2006/relationships/hyperlink" Target="https://www.linkedin.com/learning/communicating-values?trk=ondemandfile" TargetMode="External"/><Relationship Id="rId463" Type="http://schemas.openxmlformats.org/officeDocument/2006/relationships/hyperlink" Target="https://www.linkedin.com/learning/managing-conflict-a-practical-guide-to-resolution-in-the-workplace-getabstract-summary?trk=ondemandfile" TargetMode="External"/><Relationship Id="rId670" Type="http://schemas.openxmlformats.org/officeDocument/2006/relationships/hyperlink" Target="https://www.linkedin.com/learning/balancing-innovation-and-risk?trk=ondemandfile" TargetMode="External"/><Relationship Id="rId1093" Type="http://schemas.openxmlformats.org/officeDocument/2006/relationships/hyperlink" Target="https://www.linkedin.com/learning/excel-for-corporate-finance-professionals?trk=ondemandfile" TargetMode="External"/><Relationship Id="rId2144" Type="http://schemas.openxmlformats.org/officeDocument/2006/relationships/hyperlink" Target="https://www.linkedin.com/learning/defining-and-segmenting-competition?trk=ondemandfile" TargetMode="External"/><Relationship Id="rId2351" Type="http://schemas.openxmlformats.org/officeDocument/2006/relationships/hyperlink" Target="https://www.linkedin.com/learning/creating-inclusive-learning-experiences?trk=ondemandfile" TargetMode="External"/><Relationship Id="rId2589" Type="http://schemas.openxmlformats.org/officeDocument/2006/relationships/hyperlink" Target="https://www.linkedin.com/learning/managing-anxiety-in-the-workplace?trk=ondemandfile" TargetMode="External"/><Relationship Id="rId116" Type="http://schemas.openxmlformats.org/officeDocument/2006/relationships/hyperlink" Target="https://www.linkedin.com/learning/managing-organizational-change-for-managers?trk=ondemandfile" TargetMode="External"/><Relationship Id="rId323" Type="http://schemas.openxmlformats.org/officeDocument/2006/relationships/hyperlink" Target="https://www.linkedin.com/learning/empathy-at-work?trk=ondemandfile" TargetMode="External"/><Relationship Id="rId530" Type="http://schemas.openxmlformats.org/officeDocument/2006/relationships/hyperlink" Target="https://www.linkedin.com/learning/paths/improve-your-digital-marketing-skills?trk=ondemandfile" TargetMode="External"/><Relationship Id="rId768" Type="http://schemas.openxmlformats.org/officeDocument/2006/relationships/hyperlink" Target="https://www.linkedin.com/learning/overcome-overthinking?trk=ondemandfile" TargetMode="External"/><Relationship Id="rId975" Type="http://schemas.openxmlformats.org/officeDocument/2006/relationships/hyperlink" Target="https://www.linkedin.com/learning/learning-moodle-3-9?trk=ondemandfile" TargetMode="External"/><Relationship Id="rId1160" Type="http://schemas.openxmlformats.org/officeDocument/2006/relationships/hyperlink" Target="https://www.linkedin.com/learning/employer-branding-to-attract-talent?trk=ondemandfile" TargetMode="External"/><Relationship Id="rId1398" Type="http://schemas.openxmlformats.org/officeDocument/2006/relationships/hyperlink" Target="https://www.linkedin.com/learning/machine-learning-for-marketing-essential-training?trk=ondemandfile" TargetMode="External"/><Relationship Id="rId2004" Type="http://schemas.openxmlformats.org/officeDocument/2006/relationships/hyperlink" Target="https://www.linkedin.com/learning/cold-calling-overcoming-sales-objections?trk=ondemandfile" TargetMode="External"/><Relationship Id="rId2211" Type="http://schemas.openxmlformats.org/officeDocument/2006/relationships/hyperlink" Target="https://www.linkedin.com/learning/build-your-team?trk=ondemandfile" TargetMode="External"/><Relationship Id="rId2449" Type="http://schemas.openxmlformats.org/officeDocument/2006/relationships/hyperlink" Target="https://www.linkedin.com/learning/quick-tips-for-better-business-writing?trk=ondemandfile" TargetMode="External"/><Relationship Id="rId2656" Type="http://schemas.openxmlformats.org/officeDocument/2006/relationships/hyperlink" Target="https://www.linkedin.com/learning/foundations-of-leading-global-organisations?trk=ondemandfile" TargetMode="External"/><Relationship Id="rId628" Type="http://schemas.openxmlformats.org/officeDocument/2006/relationships/hyperlink" Target="https://www.linkedin.com/learning/email-marketing-strategy-and-optimization?trk=ondemandfile" TargetMode="External"/><Relationship Id="rId835" Type="http://schemas.openxmlformats.org/officeDocument/2006/relationships/hyperlink" Target="https://www.linkedin.com/learning/cmo-foundations-measuring-marketing-effectiveness-roi?trk=ondemandfile" TargetMode="External"/><Relationship Id="rId1258" Type="http://schemas.openxmlformats.org/officeDocument/2006/relationships/hyperlink" Target="https://www.linkedin.com/learning/devops-foundations-transforming-the-enterprise?trk=ondemandfile" TargetMode="External"/><Relationship Id="rId1465" Type="http://schemas.openxmlformats.org/officeDocument/2006/relationships/hyperlink" Target="https://www.linkedin.com/learning/demystifying-company-culture?trk=ondemandfile" TargetMode="External"/><Relationship Id="rId1672" Type="http://schemas.openxmlformats.org/officeDocument/2006/relationships/hyperlink" Target="https://www.linkedin.com/learning/business-ethics-for-managers-and-leaders?trk=ondemandfile" TargetMode="External"/><Relationship Id="rId2309" Type="http://schemas.openxmlformats.org/officeDocument/2006/relationships/hyperlink" Target="https://www.linkedin.com/learning/running-a-design-business-the-staffing-rule-book?trk=ondemandfile" TargetMode="External"/><Relationship Id="rId2516" Type="http://schemas.openxmlformats.org/officeDocument/2006/relationships/hyperlink" Target="https://www.linkedin.com/learning/how-to-make-work-more-meaningful?trk=ondemandfile" TargetMode="External"/><Relationship Id="rId2723" Type="http://schemas.openxmlformats.org/officeDocument/2006/relationships/hyperlink" Target="https://www.linkedin.com/learning/demonstrating-accountability-as-a-leader?trk=ondemandfile" TargetMode="External"/><Relationship Id="rId1020" Type="http://schemas.openxmlformats.org/officeDocument/2006/relationships/hyperlink" Target="https://www.linkedin.com/learning/accounting-for-managers?trk=ondemandfile" TargetMode="External"/><Relationship Id="rId1118" Type="http://schemas.openxmlformats.org/officeDocument/2006/relationships/hyperlink" Target="https://www.linkedin.com/learning/preparing-for-an-audit?trk=ondemandfile" TargetMode="External"/><Relationship Id="rId1325" Type="http://schemas.openxmlformats.org/officeDocument/2006/relationships/hyperlink" Target="https://www.linkedin.com/learning/paths/working-smarter-with-microsoft-365?trk=ondemandfile" TargetMode="External"/><Relationship Id="rId1532" Type="http://schemas.openxmlformats.org/officeDocument/2006/relationships/hyperlink" Target="https://www.linkedin.com/learning/sanyin-siang-on-strategic-mentoring?trk=ondemandfile" TargetMode="External"/><Relationship Id="rId1977" Type="http://schemas.openxmlformats.org/officeDocument/2006/relationships/hyperlink" Target="https://www.linkedin.com/learning/paths/create-a-successful-pitch-for-investors?trk=ondemandfile" TargetMode="External"/><Relationship Id="rId902" Type="http://schemas.openxmlformats.org/officeDocument/2006/relationships/hyperlink" Target="https://www.linkedin.com/learning/best-languages-for-data-science?trk=contentmappingfile" TargetMode="External"/><Relationship Id="rId1837" Type="http://schemas.openxmlformats.org/officeDocument/2006/relationships/hyperlink" Target="https://www.linkedin.com/learning/workshop-facilitation?trk=ondemandfile" TargetMode="External"/><Relationship Id="rId31" Type="http://schemas.openxmlformats.org/officeDocument/2006/relationships/hyperlink" Target="https://www.linkedin.com/learning/productivity-tips-using-technology?trk=ondemandfile" TargetMode="External"/><Relationship Id="rId2099" Type="http://schemas.openxmlformats.org/officeDocument/2006/relationships/hyperlink" Target="https://www.linkedin.com/learning/designing-growth-strategies?trk=ondemandfile" TargetMode="External"/><Relationship Id="rId180" Type="http://schemas.openxmlformats.org/officeDocument/2006/relationships/hyperlink" Target="https://www.linkedin.com/learning/paths/improve-your-teamwork-skills?trk=ondemandfile" TargetMode="External"/><Relationship Id="rId278" Type="http://schemas.openxmlformats.org/officeDocument/2006/relationships/hyperlink" Target="https://www.linkedin.com/learning/cross-functional-sales-teams?trk=ondemandfile" TargetMode="External"/><Relationship Id="rId1904" Type="http://schemas.openxmlformats.org/officeDocument/2006/relationships/hyperlink" Target="https://www.linkedin.com/learning/time-management-tips-2019?trk=ondemandfile" TargetMode="External"/><Relationship Id="rId485" Type="http://schemas.openxmlformats.org/officeDocument/2006/relationships/hyperlink" Target="https://www.linkedin.com/learning/conflict-resolution-foundations-2018?trk=ondemandfile" TargetMode="External"/><Relationship Id="rId692" Type="http://schemas.openxmlformats.org/officeDocument/2006/relationships/hyperlink" Target="https://www.linkedin.com/learning/graphic-design-foundations-ideas-concepts-and-form?trk=ondemandfile" TargetMode="External"/><Relationship Id="rId2166" Type="http://schemas.openxmlformats.org/officeDocument/2006/relationships/hyperlink" Target="https://www.linkedin.com/learning/outsourcing-critical-success-factors?trk=ondemandfile" TargetMode="External"/><Relationship Id="rId2373" Type="http://schemas.openxmlformats.org/officeDocument/2006/relationships/hyperlink" Target="https://www.linkedin.com/learning/own-it-the-power-of-women-at-work?trk=ondemandfile" TargetMode="External"/><Relationship Id="rId2580" Type="http://schemas.openxmlformats.org/officeDocument/2006/relationships/hyperlink" Target="https://www.linkedin.com/learning/the-five-thieves-of-happiness-getabstract-summary?trk=ondemandfile" TargetMode="External"/><Relationship Id="rId138" Type="http://schemas.openxmlformats.org/officeDocument/2006/relationships/hyperlink" Target="https://www.linkedin.com/learning/adopting-the-habits-of-elite-performers?trk=ondemandfile" TargetMode="External"/><Relationship Id="rId345" Type="http://schemas.openxmlformats.org/officeDocument/2006/relationships/hyperlink" Target="https://www.linkedin.com/learning/paths/improve-your-teamwork-skills?trk=ondemandfile" TargetMode="External"/><Relationship Id="rId552" Type="http://schemas.openxmlformats.org/officeDocument/2006/relationships/hyperlink" Target="https://www.linkedin.com/learning/social-media-marketing-tips?trk=ondemandfile" TargetMode="External"/><Relationship Id="rId997" Type="http://schemas.openxmlformats.org/officeDocument/2006/relationships/hyperlink" Target="https://www.linkedin.com/learning/interaction-design-interface?trk=ondemandfile" TargetMode="External"/><Relationship Id="rId1182" Type="http://schemas.openxmlformats.org/officeDocument/2006/relationships/hyperlink" Target="https://www.linkedin.com/learning/human-resources-foundations?trk=ondemandfile" TargetMode="External"/><Relationship Id="rId2026" Type="http://schemas.openxmlformats.org/officeDocument/2006/relationships/hyperlink" Target="https://www.linkedin.com/learning/the-top-three-negotiation-myths?trk=ondemandfile" TargetMode="External"/><Relationship Id="rId2233" Type="http://schemas.openxmlformats.org/officeDocument/2006/relationships/hyperlink" Target="https://www.linkedin.com/learning/building-and-fostering-a-great-sales-culture?trk=ondemandfile" TargetMode="External"/><Relationship Id="rId2440" Type="http://schemas.openxmlformats.org/officeDocument/2006/relationships/hyperlink" Target="https://www.linkedin.com/learning/uncovering-unconscious-bias-in-recruiting-and-interviewing?trk=ondemandfile" TargetMode="External"/><Relationship Id="rId2678" Type="http://schemas.openxmlformats.org/officeDocument/2006/relationships/hyperlink" Target="https://www.linkedin.com/learning/leading-with-emotional-intelligence-2018?trk=ondemandfile" TargetMode="External"/><Relationship Id="rId205" Type="http://schemas.openxmlformats.org/officeDocument/2006/relationships/hyperlink" Target="https://www.linkedin.com/learning/leading-and-working-in-teams?trk=ondemandfile" TargetMode="External"/><Relationship Id="rId412" Type="http://schemas.openxmlformats.org/officeDocument/2006/relationships/hyperlink" Target="https://www.linkedin.com/learning/negotiation-foundations?trk=ondemandfile" TargetMode="External"/><Relationship Id="rId857" Type="http://schemas.openxmlformats.org/officeDocument/2006/relationships/hyperlink" Target="https://www.linkedin.com/learning/people-analytics?trk=ondemandfile" TargetMode="External"/><Relationship Id="rId1042" Type="http://schemas.openxmlformats.org/officeDocument/2006/relationships/hyperlink" Target="https://www.linkedin.com/learning/business-tax-foundations?trk=ondemandfile" TargetMode="External"/><Relationship Id="rId1487" Type="http://schemas.openxmlformats.org/officeDocument/2006/relationships/hyperlink" Target="https://www.linkedin.com/learning/change-management-roadmap-to-execution?trk=ondemandfile" TargetMode="External"/><Relationship Id="rId1694" Type="http://schemas.openxmlformats.org/officeDocument/2006/relationships/hyperlink" Target="https://www.linkedin.com/learning/building-a-coaching-culture-improving-performance-through-timely-feedback?trk=ondemandfile" TargetMode="External"/><Relationship Id="rId2300" Type="http://schemas.openxmlformats.org/officeDocument/2006/relationships/hyperlink" Target="https://www.linkedin.com/learning/hr-recruiting-communication-strategies-to-attract-and-retain-top-talent?trk=ondemandfile" TargetMode="External"/><Relationship Id="rId2538" Type="http://schemas.openxmlformats.org/officeDocument/2006/relationships/hyperlink" Target="https://www.linkedin.com/learning/vulnerability-the-workplace-superpower-disguised-as-a-weakness?trk=ondemandfile" TargetMode="External"/><Relationship Id="rId717" Type="http://schemas.openxmlformats.org/officeDocument/2006/relationships/hyperlink" Target="https://www.linkedin.com/learning/cmo-foundations-measuring-marketing-effectiveness-roi?trk=ondemandfile" TargetMode="External"/><Relationship Id="rId924" Type="http://schemas.openxmlformats.org/officeDocument/2006/relationships/hyperlink" Target="https://www.linkedin.com/learning/power-bi-dataflows-essential-training?trk=ondemandfile" TargetMode="External"/><Relationship Id="rId1347" Type="http://schemas.openxmlformats.org/officeDocument/2006/relationships/hyperlink" Target="https://www.linkedin.com/learning/learning-cloud-computing-the-cloud-and-devops?trk=ondemandfile" TargetMode="External"/><Relationship Id="rId1554" Type="http://schemas.openxmlformats.org/officeDocument/2006/relationships/hyperlink" Target="https://www.linkedin.com/learning/leading-effectively?trk=ondemandfile" TargetMode="External"/><Relationship Id="rId1761" Type="http://schemas.openxmlformats.org/officeDocument/2006/relationships/hyperlink" Target="https://www.linkedin.com/learning/operations-management-weekly-serial-planning-q2-2018?trk=ondemandfile" TargetMode="External"/><Relationship Id="rId1999" Type="http://schemas.openxmlformats.org/officeDocument/2006/relationships/hyperlink" Target="https://www.linkedin.com/learning/cold-calling-mastery?trk=ondemandfile" TargetMode="External"/><Relationship Id="rId2605" Type="http://schemas.openxmlformats.org/officeDocument/2006/relationships/hyperlink" Target="https://www.linkedin.com/learning/how-to-be-a-positive-leader?trk=ondemandfile" TargetMode="External"/><Relationship Id="rId53" Type="http://schemas.openxmlformats.org/officeDocument/2006/relationships/hyperlink" Target="https://www.linkedin.com/learning/components-of-effective-learning?trk=ondemandfile" TargetMode="External"/><Relationship Id="rId1207" Type="http://schemas.openxmlformats.org/officeDocument/2006/relationships/hyperlink" Target="https://www.linkedin.com/learning/hiring-a-recruiting-firm?trk=ondemandfile" TargetMode="External"/><Relationship Id="rId1414" Type="http://schemas.openxmlformats.org/officeDocument/2006/relationships/hyperlink" Target="https://www.linkedin.com/learning/jeff-dyer-on-innovation?trk=ondemandfile" TargetMode="External"/><Relationship Id="rId1621" Type="http://schemas.openxmlformats.org/officeDocument/2006/relationships/hyperlink" Target="https://www.linkedin.com/learning/managing-globally?trk=ondemandfile" TargetMode="External"/><Relationship Id="rId1859" Type="http://schemas.openxmlformats.org/officeDocument/2006/relationships/hyperlink" Target="https://www.linkedin.com/learning/creating-a-culture-of-service?trk=ondemandfile" TargetMode="External"/><Relationship Id="rId1719" Type="http://schemas.openxmlformats.org/officeDocument/2006/relationships/hyperlink" Target="https://www.linkedin.com/learning/paths/improve-your-continuous-delivery-skills?trk=ondemandfile" TargetMode="External"/><Relationship Id="rId1926" Type="http://schemas.openxmlformats.org/officeDocument/2006/relationships/hyperlink" Target="https://www.linkedin.com/learning/how-to-create-and-run-a-brilliant-remote-workshop?trk=ondemandfile" TargetMode="External"/><Relationship Id="rId2090" Type="http://schemas.openxmlformats.org/officeDocument/2006/relationships/hyperlink" Target="https://www.linkedin.com/learning/paths/build-essential-data-skills?trk=ondemandfile" TargetMode="External"/><Relationship Id="rId2188" Type="http://schemas.openxmlformats.org/officeDocument/2006/relationships/hyperlink" Target="https://www.linkedin.com/learning/creating-a-high-performance-culture?trk=ondemandfile" TargetMode="External"/><Relationship Id="rId2395" Type="http://schemas.openxmlformats.org/officeDocument/2006/relationships/hyperlink" Target="https://www.linkedin.com/learning/diversity-and-inclusion-in-marketing-inclusive-language-for-marketers?trk=ondemandfile" TargetMode="External"/><Relationship Id="rId367" Type="http://schemas.openxmlformats.org/officeDocument/2006/relationships/hyperlink" Target="https://www.linkedin.com/learning/improving-your-leadership-communications?trk=ondemandfile" TargetMode="External"/><Relationship Id="rId574" Type="http://schemas.openxmlformats.org/officeDocument/2006/relationships/hyperlink" Target="https://www.linkedin.com/learning/business-analytics-marketing-data?trk=ondemandfile" TargetMode="External"/><Relationship Id="rId2048" Type="http://schemas.openxmlformats.org/officeDocument/2006/relationships/hyperlink" Target="https://www.linkedin.com/learning/sales-performance-measurement-and-reporting?trk=ondemandfile" TargetMode="External"/><Relationship Id="rId2255" Type="http://schemas.openxmlformats.org/officeDocument/2006/relationships/hyperlink" Target="https://www.linkedin.com/learning/building-a-coaching-culture-improving-performance-through-timely-feedback?trk=ondemandfile" TargetMode="External"/><Relationship Id="rId227" Type="http://schemas.openxmlformats.org/officeDocument/2006/relationships/hyperlink" Target="https://www.linkedin.com/learning/how-to-inspire-and-develop-your-direct-reports?trk=ondemandfile" TargetMode="External"/><Relationship Id="rId781" Type="http://schemas.openxmlformats.org/officeDocument/2006/relationships/hyperlink" Target="https://www.linkedin.com/learning/customer-service-preventing-turnover?trk=ondemandfile" TargetMode="External"/><Relationship Id="rId879" Type="http://schemas.openxmlformats.org/officeDocument/2006/relationships/hyperlink" Target="https://www.linkedin.com/learning/15-tips-for-landing-a-data-science-job?trk=ondemandfile" TargetMode="External"/><Relationship Id="rId2462" Type="http://schemas.openxmlformats.org/officeDocument/2006/relationships/hyperlink" Target="https://www.linkedin.com/learning/writing-under-a-deadline?trk=ondemandfile" TargetMode="External"/><Relationship Id="rId434" Type="http://schemas.openxmlformats.org/officeDocument/2006/relationships/hyperlink" Target="https://www.linkedin.com/learning/dealing-with-grief-loss-and-change-as-an-employee?trk=ondemandfile" TargetMode="External"/><Relationship Id="rId641" Type="http://schemas.openxmlformats.org/officeDocument/2006/relationships/hyperlink" Target="https://www.linkedin.com/learning/market-research-qualitative?trk=ondemandfile" TargetMode="External"/><Relationship Id="rId739" Type="http://schemas.openxmlformats.org/officeDocument/2006/relationships/hyperlink" Target="https://www.linkedin.com/learning/process-improvement-foundations?trk=ondemandfile" TargetMode="External"/><Relationship Id="rId1064" Type="http://schemas.openxmlformats.org/officeDocument/2006/relationships/hyperlink" Target="https://www.linkedin.com/learning/quickbooks-online-essential-training-2021?trk=ondemandfile" TargetMode="External"/><Relationship Id="rId1271" Type="http://schemas.openxmlformats.org/officeDocument/2006/relationships/hyperlink" Target="https://www.linkedin.com/learning/paths/become-an-it-support-technician?trk=ondemandfile" TargetMode="External"/><Relationship Id="rId1369" Type="http://schemas.openxmlformats.org/officeDocument/2006/relationships/hyperlink" Target="https://www.linkedin.com/learning/learning-sap-mm-materials-management?trk=ondemandfile" TargetMode="External"/><Relationship Id="rId1576" Type="http://schemas.openxmlformats.org/officeDocument/2006/relationships/hyperlink" Target="https://www.linkedin.com/learning/women-transforming-tech-finding-a-mentor?trk=ondemandfile" TargetMode="External"/><Relationship Id="rId2115" Type="http://schemas.openxmlformats.org/officeDocument/2006/relationships/hyperlink" Target="https://www.linkedin.com/learning/strategic-planning-foundations?trk=ondemandfile" TargetMode="External"/><Relationship Id="rId2322" Type="http://schemas.openxmlformats.org/officeDocument/2006/relationships/hyperlink" Target="https://www.linkedin.com/learning/communicating-values?trk=ondemandfile" TargetMode="External"/><Relationship Id="rId501" Type="http://schemas.openxmlformats.org/officeDocument/2006/relationships/hyperlink" Target="https://www.linkedin.com/learning/managing-misconduct-in-the-workplace?trk=ondemandfile" TargetMode="External"/><Relationship Id="rId946" Type="http://schemas.openxmlformats.org/officeDocument/2006/relationships/hyperlink" Target="https://www.linkedin.com/learning/connecting-linkedin-learning-with-your-organization-s-systems-2021?trk=ondemandfile" TargetMode="External"/><Relationship Id="rId1131" Type="http://schemas.openxmlformats.org/officeDocument/2006/relationships/hyperlink" Target="https://www.linkedin.com/learning/paths/build-a-company-learning-and-development-program?trk=ondemandfile" TargetMode="External"/><Relationship Id="rId1229" Type="http://schemas.openxmlformats.org/officeDocument/2006/relationships/hyperlink" Target="https://www.linkedin.com/learning/human-resources-leadership-and-strategic-impact?trk=ondemandfile" TargetMode="External"/><Relationship Id="rId1783" Type="http://schemas.openxmlformats.org/officeDocument/2006/relationships/hyperlink" Target="https://www.linkedin.com/learning/predictive-analytics-essential-training-for-executives?trk=ondemandfile" TargetMode="External"/><Relationship Id="rId1990" Type="http://schemas.openxmlformats.org/officeDocument/2006/relationships/hyperlink" Target="https://www.linkedin.com/learning/networking-for-sales-professionals?trk=ondemandfile" TargetMode="External"/><Relationship Id="rId2627" Type="http://schemas.openxmlformats.org/officeDocument/2006/relationships/hyperlink" Target="https://www.linkedin.com/learning/leadership-stories-5-minute-lessons-in-leading-people?trk=ondemandfile" TargetMode="External"/><Relationship Id="rId75" Type="http://schemas.openxmlformats.org/officeDocument/2006/relationships/hyperlink" Target="https://www.linkedin.com/learning/powerless-to-powerful-taking-control?trk=ondemandfile" TargetMode="External"/><Relationship Id="rId806" Type="http://schemas.openxmlformats.org/officeDocument/2006/relationships/hyperlink" Target="https://www.linkedin.com/learning/customer-service-handling-abusive-customers?trk=ondemandfile" TargetMode="External"/><Relationship Id="rId1436" Type="http://schemas.openxmlformats.org/officeDocument/2006/relationships/hyperlink" Target="https://www.linkedin.com/learning/organization-communication?trk=ondemandfile" TargetMode="External"/><Relationship Id="rId1643" Type="http://schemas.openxmlformats.org/officeDocument/2006/relationships/hyperlink" Target="https://www.linkedin.com/learning/the-benefits-of-standardization-and-standard-work?trk=ondemandfile" TargetMode="External"/><Relationship Id="rId1850" Type="http://schemas.openxmlformats.org/officeDocument/2006/relationships/hyperlink" Target="https://www.linkedin.com/learning/presentation-tips-weekly?trk=ondemandfile" TargetMode="External"/><Relationship Id="rId1503" Type="http://schemas.openxmlformats.org/officeDocument/2006/relationships/hyperlink" Target="https://www.linkedin.com/learning/paths/linkedin-manager-to-leader?trk=ondemandfile" TargetMode="External"/><Relationship Id="rId1710" Type="http://schemas.openxmlformats.org/officeDocument/2006/relationships/hyperlink" Target="https://www.linkedin.com/learning/sustainability-strategies?trk=ondemandfile" TargetMode="External"/><Relationship Id="rId1948" Type="http://schemas.openxmlformats.org/officeDocument/2006/relationships/hyperlink" Target="https://www.linkedin.com/learning/managing-projects-with-microsoft-teams?trk=ondemandfile" TargetMode="External"/><Relationship Id="rId291" Type="http://schemas.openxmlformats.org/officeDocument/2006/relationships/hyperlink" Target="https://www.linkedin.com/learning/teamwork-foundations-2020?trk=ondemandfile" TargetMode="External"/><Relationship Id="rId1808" Type="http://schemas.openxmlformats.org/officeDocument/2006/relationships/hyperlink" Target="https://www.linkedin.com/learning/paths/master-microsoft-powerpoint?trk=ondemandfile" TargetMode="External"/><Relationship Id="rId151" Type="http://schemas.openxmlformats.org/officeDocument/2006/relationships/hyperlink" Target="https://www.linkedin.com/learning/enhancing-resilience?trk=ondemandfile" TargetMode="External"/><Relationship Id="rId389" Type="http://schemas.openxmlformats.org/officeDocument/2006/relationships/hyperlink" Target="https://www.linkedin.com/learning/how-to-crush-self-doubt-and-build-self-confidence?trk=ondemandfile" TargetMode="External"/><Relationship Id="rId596" Type="http://schemas.openxmlformats.org/officeDocument/2006/relationships/hyperlink" Target="https://www.linkedin.com/learning/building-and-engaging-with-your-online-following-for-creators?trk=ondemandfile" TargetMode="External"/><Relationship Id="rId2277" Type="http://schemas.openxmlformats.org/officeDocument/2006/relationships/hyperlink" Target="https://www.linkedin.com/learning/people-success-employee-assessments?trk=ondemandfile" TargetMode="External"/><Relationship Id="rId2484" Type="http://schemas.openxmlformats.org/officeDocument/2006/relationships/hyperlink" Target="https://www.linkedin.com/learning/paths/support-your-mental-health-during-challenging-times?trk=ondemandfile" TargetMode="External"/><Relationship Id="rId2691" Type="http://schemas.openxmlformats.org/officeDocument/2006/relationships/hyperlink" Target="https://www.linkedin.com/learning/leaders-eat-last?trk=ondemandfile" TargetMode="External"/><Relationship Id="rId249" Type="http://schemas.openxmlformats.org/officeDocument/2006/relationships/hyperlink" Target="https://www.linkedin.com/learning/paths/advance-your-skills-as-an-individual-contributor?trk=ondemandfile" TargetMode="External"/><Relationship Id="rId456" Type="http://schemas.openxmlformats.org/officeDocument/2006/relationships/hyperlink" Target="https://www.linkedin.com/learning/unlocking-authentic-communication-in-a-culturally-diverse-workplace?trk=ondemandfile" TargetMode="External"/><Relationship Id="rId663" Type="http://schemas.openxmlformats.org/officeDocument/2006/relationships/hyperlink" Target="https://www.linkedin.com/learning/built-to-last-successful-habits-of-visionary-companies?trk=ondemandfile" TargetMode="External"/><Relationship Id="rId870" Type="http://schemas.openxmlformats.org/officeDocument/2006/relationships/hyperlink" Target="https://www.linkedin.com/learning/studying-for-the-certified-business-analysis-professional-cbap?trk=ondemandfile" TargetMode="External"/><Relationship Id="rId1086" Type="http://schemas.openxmlformats.org/officeDocument/2006/relationships/hyperlink" Target="https://www.linkedin.com/learning/sap-accounts-payable-boot-camp?trk=ondemandfile" TargetMode="External"/><Relationship Id="rId1293" Type="http://schemas.openxmlformats.org/officeDocument/2006/relationships/hyperlink" Target="https://www.linkedin.com/learning/content/425902?u=104" TargetMode="External"/><Relationship Id="rId2137" Type="http://schemas.openxmlformats.org/officeDocument/2006/relationships/hyperlink" Target="https://www.linkedin.com/learning/how-to-become-a-thought-leader-and-advance-your-career?trk=ondemandfile" TargetMode="External"/><Relationship Id="rId2344" Type="http://schemas.openxmlformats.org/officeDocument/2006/relationships/hyperlink" Target="https://www.linkedin.com/learning/leading-inclusive-teams?trk=ondemandfile" TargetMode="External"/><Relationship Id="rId2551" Type="http://schemas.openxmlformats.org/officeDocument/2006/relationships/hyperlink" Target="https://www.linkedin.com/learning/upgrading-your-confidence-and-courage-at-work?trk=ondemandfile" TargetMode="External"/><Relationship Id="rId109" Type="http://schemas.openxmlformats.org/officeDocument/2006/relationships/hyperlink" Target="https://www.linkedin.com/learning/coaching-your-team-from-uncertainty-to-action?trk=ondemandfile" TargetMode="External"/><Relationship Id="rId316" Type="http://schemas.openxmlformats.org/officeDocument/2006/relationships/hyperlink" Target="https://www.linkedin.com/learning/essentials-of-team-collaboration?trk=ondemandfile" TargetMode="External"/><Relationship Id="rId523" Type="http://schemas.openxmlformats.org/officeDocument/2006/relationships/hyperlink" Target="https://www.linkedin.com/learning/advertising-on-linkedin-8986011?trk=ondemandfile" TargetMode="External"/><Relationship Id="rId968" Type="http://schemas.openxmlformats.org/officeDocument/2006/relationships/hyperlink" Target="https://www.linkedin.com/learning/learning-impact-the-importance-of-storytelling?trk=ondemandfile" TargetMode="External"/><Relationship Id="rId1153" Type="http://schemas.openxmlformats.org/officeDocument/2006/relationships/hyperlink" Target="https://www.linkedin.com/learning/hr-leadership-as-we-move-back-into-the-office?trk=ondemandfile" TargetMode="External"/><Relationship Id="rId1598" Type="http://schemas.openxmlformats.org/officeDocument/2006/relationships/hyperlink" Target="https://www.linkedin.com/learning/predictive-analytics-essential-training-for-executives?trk=ondemandfile" TargetMode="External"/><Relationship Id="rId2204" Type="http://schemas.openxmlformats.org/officeDocument/2006/relationships/hyperlink" Target="https://www.linkedin.com/learning/human-centered-leadership?trk=ondemandfile" TargetMode="External"/><Relationship Id="rId2649" Type="http://schemas.openxmlformats.org/officeDocument/2006/relationships/hyperlink" Target="https://www.linkedin.com/learning/collaborative-leadership?trk=ondemandfile" TargetMode="External"/><Relationship Id="rId97" Type="http://schemas.openxmlformats.org/officeDocument/2006/relationships/hyperlink" Target="https://www.linkedin.com/learning/using-microsoft-teams-and-outlook-together-maximizing-productivity?trk=ondemandfile" TargetMode="External"/><Relationship Id="rId730" Type="http://schemas.openxmlformats.org/officeDocument/2006/relationships/hyperlink" Target="https://www.linkedin.com/learning/making-key-decisions-as-a-manager?trk=ondemandfile" TargetMode="External"/><Relationship Id="rId828" Type="http://schemas.openxmlformats.org/officeDocument/2006/relationships/hyperlink" Target="https://www.linkedin.com/learning/leading-a-customer-service-team?trk=ondemandfile" TargetMode="External"/><Relationship Id="rId1013" Type="http://schemas.openxmlformats.org/officeDocument/2006/relationships/hyperlink" Target="https://www.linkedin.com/learning/forecasting-using-financial-statements" TargetMode="External"/><Relationship Id="rId1360" Type="http://schemas.openxmlformats.org/officeDocument/2006/relationships/hyperlink" Target="https://www.linkedin.com/learning/introduction-to-responsible-ai-algorithm-design?trk=ondemandfile" TargetMode="External"/><Relationship Id="rId1458" Type="http://schemas.openxmlformats.org/officeDocument/2006/relationships/hyperlink" Target="https://www.linkedin.com/learning/embracing-change-2019?trk=ondemandfile" TargetMode="External"/><Relationship Id="rId1665" Type="http://schemas.openxmlformats.org/officeDocument/2006/relationships/hyperlink" Target="https://www.linkedin.com/learning/managing-generation-z?trk=ondemandfile" TargetMode="External"/><Relationship Id="rId1872" Type="http://schemas.openxmlformats.org/officeDocument/2006/relationships/hyperlink" Target="https://www.linkedin.com/learning/paths/become-a-project-coordinator?trk=ondemandfile" TargetMode="External"/><Relationship Id="rId2411" Type="http://schemas.openxmlformats.org/officeDocument/2006/relationships/hyperlink" Target="https://www.linkedin.com/learning/negotiating-power-and-preventing-harassment?trk=ondemandfile" TargetMode="External"/><Relationship Id="rId2509" Type="http://schemas.openxmlformats.org/officeDocument/2006/relationships/hyperlink" Target="https://www.linkedin.com/learning/meditations-to-change-your-brain?trk=ondemandfile" TargetMode="External"/><Relationship Id="rId2716" Type="http://schemas.openxmlformats.org/officeDocument/2006/relationships/hyperlink" Target="https://www.linkedin.com/learning/leading-yourself-2017?trk=ondemandfile" TargetMode="External"/><Relationship Id="rId1220" Type="http://schemas.openxmlformats.org/officeDocument/2006/relationships/hyperlink" Target="https://www.linkedin.com/learning/diversity-recruiting-2?trk=ondemandfile" TargetMode="External"/><Relationship Id="rId1318" Type="http://schemas.openxmlformats.org/officeDocument/2006/relationships/hyperlink" Target="https://www.linkedin.com/learning/asset-accounting-acquisitions-in-sap-s-4hana?trk=ondemandfile" TargetMode="External"/><Relationship Id="rId1525" Type="http://schemas.openxmlformats.org/officeDocument/2006/relationships/hyperlink" Target="https://www.linkedin.com/learning/building-resilience-as-a-leader?trk=ondemandfile" TargetMode="External"/><Relationship Id="rId1732" Type="http://schemas.openxmlformats.org/officeDocument/2006/relationships/hyperlink" Target="https://www.linkedin.com/learning/implementing-continuous-impro-vement-a-case-study?trk=ondemandfile" TargetMode="External"/><Relationship Id="rId24" Type="http://schemas.openxmlformats.org/officeDocument/2006/relationships/hyperlink" Target="https://www.linkedin.com/learning/solving-business-problems?trk=ondemandfile" TargetMode="External"/><Relationship Id="rId2299" Type="http://schemas.openxmlformats.org/officeDocument/2006/relationships/hyperlink" Target="https://www.linkedin.com/learning/management-tips?trk=ondemandfile" TargetMode="External"/><Relationship Id="rId173" Type="http://schemas.openxmlformats.org/officeDocument/2006/relationships/hyperlink" Target="https://www.linkedin.com/learning/reid-hoffman-and-chris-yeh-on-creating-an-alliance-with-employees?trk=ondemandfile" TargetMode="External"/><Relationship Id="rId380" Type="http://schemas.openxmlformats.org/officeDocument/2006/relationships/hyperlink" Target="https://www.linkedin.com/learning/women-transforming-tech-round-table-discussion?trk=ondemandfile" TargetMode="External"/><Relationship Id="rId2061" Type="http://schemas.openxmlformats.org/officeDocument/2006/relationships/hyperlink" Target="https://www.linkedin.com/learning/selling-with-empathy-during-uncertain-times?trk=ondemandfile" TargetMode="External"/><Relationship Id="rId240" Type="http://schemas.openxmlformats.org/officeDocument/2006/relationships/hyperlink" Target="https://www.linkedin.com/learning/creating-winning-teams?trk=ondemandfile" TargetMode="External"/><Relationship Id="rId478" Type="http://schemas.openxmlformats.org/officeDocument/2006/relationships/hyperlink" Target="https://www.linkedin.com/learning/radical-candor?trk=ondemandfile" TargetMode="External"/><Relationship Id="rId685" Type="http://schemas.openxmlformats.org/officeDocument/2006/relationships/hyperlink" Target="https://www.linkedin.com/learning/four-simple-strategies-to-boost-creativity-and-productivity?trk=ondemandfile" TargetMode="External"/><Relationship Id="rId892" Type="http://schemas.openxmlformats.org/officeDocument/2006/relationships/hyperlink" Target="https://www.linkedin.com/learning/the-non-technical-skills-of-effective-data-scientists?trk=ondemandfile" TargetMode="External"/><Relationship Id="rId2159" Type="http://schemas.openxmlformats.org/officeDocument/2006/relationships/hyperlink" Target="https://www.linkedin.com/learning/conducting-a-swot-analysis?trk=ondemandfile" TargetMode="External"/><Relationship Id="rId2366" Type="http://schemas.openxmlformats.org/officeDocument/2006/relationships/hyperlink" Target="https://www.linkedin.com/learning/women-transforming-tech-building-your-brand?trk=ondemandfile" TargetMode="External"/><Relationship Id="rId2573" Type="http://schemas.openxmlformats.org/officeDocument/2006/relationships/hyperlink" Target="https://www.linkedin.com/learning/arianna-huffington-s-thrive-02-learning-how-to-unplug-and-recharge?trk=ondemandfile" TargetMode="External"/><Relationship Id="rId100" Type="http://schemas.openxmlformats.org/officeDocument/2006/relationships/hyperlink" Target="https://www.linkedin.com/learning/paths/developing-resilience-and-grit?trk=ondemandfile" TargetMode="External"/><Relationship Id="rId338" Type="http://schemas.openxmlformats.org/officeDocument/2006/relationships/hyperlink" Target="https://www.linkedin.com/learning/organization-communication?trk=ondemandfile" TargetMode="External"/><Relationship Id="rId545" Type="http://schemas.openxmlformats.org/officeDocument/2006/relationships/hyperlink" Target="https://www.linkedin.com/learning/marketing-tips-2?trk=ondemandfile" TargetMode="External"/><Relationship Id="rId752" Type="http://schemas.openxmlformats.org/officeDocument/2006/relationships/hyperlink" Target="https://www.linkedin.com/learning/delivering-results-effectively?trk=ondemandfile" TargetMode="External"/><Relationship Id="rId1175" Type="http://schemas.openxmlformats.org/officeDocument/2006/relationships/hyperlink" Target="https://www.linkedin.com/learning/become-a-digital-nomad?trk=ondemandfile" TargetMode="External"/><Relationship Id="rId1382" Type="http://schemas.openxmlformats.org/officeDocument/2006/relationships/hyperlink" Target="https://www.linkedin.com/learning/python-automation-and-testing?trk=ondemandfile" TargetMode="External"/><Relationship Id="rId2019" Type="http://schemas.openxmlformats.org/officeDocument/2006/relationships/hyperlink" Target="https://www.linkedin.com/learning/mindful-leadership?trk=ondemandfile" TargetMode="External"/><Relationship Id="rId2226" Type="http://schemas.openxmlformats.org/officeDocument/2006/relationships/hyperlink" Target="https://www.linkedin.com/learning/coaching-for-results?trk=ondemandfile" TargetMode="External"/><Relationship Id="rId2433" Type="http://schemas.openxmlformats.org/officeDocument/2006/relationships/hyperlink" Target="https://www.linkedin.com/learning/unlocking-authentic-communication-in-a-culturally-diverse-workplace?trk=ondemandfile" TargetMode="External"/><Relationship Id="rId2640" Type="http://schemas.openxmlformats.org/officeDocument/2006/relationships/hyperlink" Target="https://www.linkedin.com/learning/working-with-an-executive-coach?trk=ondemandfile" TargetMode="External"/><Relationship Id="rId405" Type="http://schemas.openxmlformats.org/officeDocument/2006/relationships/hyperlink" Target="https://www.linkedin.com/learning/articulating-your-value?trk=ondemandfile" TargetMode="External"/><Relationship Id="rId612" Type="http://schemas.openxmlformats.org/officeDocument/2006/relationships/hyperlink" Target="https://www.linkedin.com/learning/designing-for-business?trk=contentmappingfile" TargetMode="External"/><Relationship Id="rId1035" Type="http://schemas.openxmlformats.org/officeDocument/2006/relationships/hyperlink" Target="https://www.linkedin.com/learning/accounting-foundations-asset-impairment?trk=ondemandfile" TargetMode="External"/><Relationship Id="rId1242" Type="http://schemas.openxmlformats.org/officeDocument/2006/relationships/hyperlink" Target="https://www.linkedin.com/learning/mba-in-digital-ops?trk=ondemandfile" TargetMode="External"/><Relationship Id="rId1687" Type="http://schemas.openxmlformats.org/officeDocument/2006/relationships/hyperlink" Target="https://www.linkedin.com/learning/project-leadership?trk=ondemandfile" TargetMode="External"/><Relationship Id="rId1894" Type="http://schemas.openxmlformats.org/officeDocument/2006/relationships/hyperlink" Target="https://www.linkedin.com/learning/paths/prepare-for-the-pmi-acp-certification?trk=ondemandfile" TargetMode="External"/><Relationship Id="rId2500" Type="http://schemas.openxmlformats.org/officeDocument/2006/relationships/hyperlink" Target="https://www.linkedin.com/learning/how-to-stop-freaking-out-and-keep-moving-forward?trk=ondemandfile" TargetMode="External"/><Relationship Id="rId2738" Type="http://schemas.openxmlformats.org/officeDocument/2006/relationships/hyperlink" Target="https://www.linkedin.com/learning/leadership-in-tech?trk=ondemandfile" TargetMode="External"/><Relationship Id="rId917" Type="http://schemas.openxmlformats.org/officeDocument/2006/relationships/hyperlink" Target="https://www.linkedin.com/learning/big-data-analytics-with-hadoop-and-apache-spark?trk=ondemandfile" TargetMode="External"/><Relationship Id="rId1102" Type="http://schemas.openxmlformats.org/officeDocument/2006/relationships/hyperlink" Target="https://www.linkedin.com/learning/financial-modeling-and-forecasting-financial-statements?trk=ondemandfile" TargetMode="External"/><Relationship Id="rId1547" Type="http://schemas.openxmlformats.org/officeDocument/2006/relationships/hyperlink" Target="https://www.linkedin.com/learning/leading-at-a-distance?trk=ondemandfile" TargetMode="External"/><Relationship Id="rId1754" Type="http://schemas.openxmlformats.org/officeDocument/2006/relationships/hyperlink" Target="https://www.linkedin.com/learning/outsourcing-fundamentals?trk=ondemandfile" TargetMode="External"/><Relationship Id="rId1961" Type="http://schemas.openxmlformats.org/officeDocument/2006/relationships/hyperlink" Target="https://www.linkedin.com/learning/project-resource-management?trk=ondemandfile" TargetMode="External"/><Relationship Id="rId46" Type="http://schemas.openxmlformats.org/officeDocument/2006/relationships/hyperlink" Target="https://www.linkedin.com/learning/how-to-effectively-deliver-criticism?trk=ondemandfile" TargetMode="External"/><Relationship Id="rId1407" Type="http://schemas.openxmlformats.org/officeDocument/2006/relationships/hyperlink" Target="https://www.linkedin.com/learning/giving-computers-vision?trk=contentmappingfile" TargetMode="External"/><Relationship Id="rId1614" Type="http://schemas.openxmlformats.org/officeDocument/2006/relationships/hyperlink" Target="https://www.linkedin.com/learning/redesigning-how-we-work-in-2021?trk=ondemandfile" TargetMode="External"/><Relationship Id="rId1821" Type="http://schemas.openxmlformats.org/officeDocument/2006/relationships/hyperlink" Target="https://www.linkedin.com/learning/speaking-confidently-and-effectively?trk=ondemandfile" TargetMode="External"/><Relationship Id="rId195" Type="http://schemas.openxmlformats.org/officeDocument/2006/relationships/hyperlink" Target="https://www.linkedin.com/learning/coaching-and-developing-employees-2019?trk=ondemandfile" TargetMode="External"/><Relationship Id="rId1919" Type="http://schemas.openxmlformats.org/officeDocument/2006/relationships/hyperlink" Target="https://www.linkedin.com/learning/managing-project-stakeholders-2?trk=ondemandfile" TargetMode="External"/><Relationship Id="rId2083" Type="http://schemas.openxmlformats.org/officeDocument/2006/relationships/hyperlink" Target="https://www.linkedin.com/learning/digital-strategy?trk=ondemandfile" TargetMode="External"/><Relationship Id="rId2290" Type="http://schemas.openxmlformats.org/officeDocument/2006/relationships/hyperlink" Target="https://www.linkedin.com/learning/managing-virtual-teams-2019?trk=ondemandfile" TargetMode="External"/><Relationship Id="rId2388" Type="http://schemas.openxmlformats.org/officeDocument/2006/relationships/hyperlink" Target="https://www.linkedin.com/learning/mentorship-sponsorship-and-lifting-others-as-you-climb?trk=ondemandfile" TargetMode="External"/><Relationship Id="rId2595" Type="http://schemas.openxmlformats.org/officeDocument/2006/relationships/hyperlink" Target="https://www.linkedin.com/learning/habits-to-win-every-day?trk=ondemandfile" TargetMode="External"/><Relationship Id="rId262" Type="http://schemas.openxmlformats.org/officeDocument/2006/relationships/hyperlink" Target="https://www.linkedin.com/learning/what-are-your-blind-spots-getabstract-summary?trk=ondemandfile" TargetMode="External"/><Relationship Id="rId567" Type="http://schemas.openxmlformats.org/officeDocument/2006/relationships/hyperlink" Target="https://www.linkedin.com/learning/content-marketing-for-social-media?trk=ondemandfile" TargetMode="External"/><Relationship Id="rId1197" Type="http://schemas.openxmlformats.org/officeDocument/2006/relationships/hyperlink" Target="https://www.linkedin.com/learning/preparing-for-the-shrm-cp-exam?trk=ondemandfile" TargetMode="External"/><Relationship Id="rId2150" Type="http://schemas.openxmlformats.org/officeDocument/2006/relationships/hyperlink" Target="https://www.linkedin.com/learning/business-lessons-from-a-chess-champion?trk=ondemandfile" TargetMode="External"/><Relationship Id="rId2248" Type="http://schemas.openxmlformats.org/officeDocument/2006/relationships/hyperlink" Target="https://www.linkedin.com/learning/boosting-your-team-s-productivity?trk=ondemandfile" TargetMode="External"/><Relationship Id="rId122" Type="http://schemas.openxmlformats.org/officeDocument/2006/relationships/hyperlink" Target="https://www.linkedin.com/learning/staying-positive-in-the-face-of-negativity?trk=ondemandfile" TargetMode="External"/><Relationship Id="rId774" Type="http://schemas.openxmlformats.org/officeDocument/2006/relationships/hyperlink" Target="https://www.linkedin.com/learning/paths/become-a-customer-service-manager?trk=ondemandfile" TargetMode="External"/><Relationship Id="rId981" Type="http://schemas.openxmlformats.org/officeDocument/2006/relationships/hyperlink" Target="https://www.linkedin.com/learning/components-of-effective-learning?trk=ondemandfile" TargetMode="External"/><Relationship Id="rId1057" Type="http://schemas.openxmlformats.org/officeDocument/2006/relationships/hyperlink" Target="https://www.linkedin.com/learning/using-the-time-value-of-money-to-make-financial-decisions-2020?trk=ondemandfile" TargetMode="External"/><Relationship Id="rId2010" Type="http://schemas.openxmlformats.org/officeDocument/2006/relationships/hyperlink" Target="https://www.linkedin.com/learning/mindful-productivity?trk=ondemandfile" TargetMode="External"/><Relationship Id="rId2455" Type="http://schemas.openxmlformats.org/officeDocument/2006/relationships/hyperlink" Target="https://www.linkedin.com/learning/writing-a-tech-resume?trk=ondemandfile" TargetMode="External"/><Relationship Id="rId2662" Type="http://schemas.openxmlformats.org/officeDocument/2006/relationships/hyperlink" Target="https://www.linkedin.com/learning/coaching-your-team-from-uncertainty-to-action?trk=ondemandfile" TargetMode="External"/><Relationship Id="rId427" Type="http://schemas.openxmlformats.org/officeDocument/2006/relationships/hyperlink" Target="https://www.linkedin.com/learning/communicating-with-confidence?trk=ondemandfile" TargetMode="External"/><Relationship Id="rId634" Type="http://schemas.openxmlformats.org/officeDocument/2006/relationships/hyperlink" Target="https://www.linkedin.com/learning/seo-keyword-stra-tegy-2020?trk=ondemandfile" TargetMode="External"/><Relationship Id="rId841" Type="http://schemas.openxmlformats.org/officeDocument/2006/relationships/hyperlink" Target="https://www.linkedin.com/learning/learning-data-governance-14224082?trk=ondemandfile" TargetMode="External"/><Relationship Id="rId1264" Type="http://schemas.openxmlformats.org/officeDocument/2006/relationships/hyperlink" Target="https://www.linkedin.com/learning/creating-your-it-strategy?trk=ondemandfile" TargetMode="External"/><Relationship Id="rId1471" Type="http://schemas.openxmlformats.org/officeDocument/2006/relationships/hyperlink" Target="https://www.linkedin.com/learning/mixtape-highlights-from-linkedin-learning-courses?trk=ondemandfile" TargetMode="External"/><Relationship Id="rId1569" Type="http://schemas.openxmlformats.org/officeDocument/2006/relationships/hyperlink" Target="https://www.linkedin.com/learning/conducting-motivational-1-on-1-reviews?trk=ondemandfile" TargetMode="External"/><Relationship Id="rId2108" Type="http://schemas.openxmlformats.org/officeDocument/2006/relationships/hyperlink" Target="https://www.linkedin.com/learning/goal-setting-objectives-and-key-results-okrs?trk=ondemandfile" TargetMode="External"/><Relationship Id="rId2315" Type="http://schemas.openxmlformats.org/officeDocument/2006/relationships/hyperlink" Target="https://www.linkedin.com/learning/paths/become-a-thought-leader?trk=ondemandfile" TargetMode="External"/><Relationship Id="rId2522" Type="http://schemas.openxmlformats.org/officeDocument/2006/relationships/hyperlink" Target="https://www.linkedin.com/learning/introduction-to-mind-like-sky-meditation?trk=ondemandfile" TargetMode="External"/><Relationship Id="rId701" Type="http://schemas.openxmlformats.org/officeDocument/2006/relationships/hyperlink" Target="https://www.linkedin.com/learning/branding-strategy-define-your-creative-edge?trk=ondemandfile" TargetMode="External"/><Relationship Id="rId939" Type="http://schemas.openxmlformats.org/officeDocument/2006/relationships/hyperlink" Target="https://www.linkedin.com/learning/cert-prep-agile-analysis-iiba-aac?trk=ondemandfile" TargetMode="External"/><Relationship Id="rId1124" Type="http://schemas.openxmlformats.org/officeDocument/2006/relationships/hyperlink" Target="https://www.linkedin.com/learning/managing-international-projects-2?trk=ondemandfile" TargetMode="External"/><Relationship Id="rId1331" Type="http://schemas.openxmlformats.org/officeDocument/2006/relationships/hyperlink" Target="https://www.linkedin.com/learning/learning-java-applications-2?trk=ondemandfile" TargetMode="External"/><Relationship Id="rId1776" Type="http://schemas.openxmlformats.org/officeDocument/2006/relationships/hyperlink" Target="https://www.linkedin.com/learning/purchasing?trk=ondemandfile" TargetMode="External"/><Relationship Id="rId1983" Type="http://schemas.openxmlformats.org/officeDocument/2006/relationships/hyperlink" Target="https://www.linkedin.com/learning/paths/succeeding-in-sales-during-times-of-volatility?trk=ondemandfile" TargetMode="External"/><Relationship Id="rId68" Type="http://schemas.openxmlformats.org/officeDocument/2006/relationships/hyperlink" Target="https://www.linkedin.com/learning/fred-kofman-on-making-commitments?trk=ondemandfile" TargetMode="External"/><Relationship Id="rId1429" Type="http://schemas.openxmlformats.org/officeDocument/2006/relationships/hyperlink" Target="https://www.linkedin.com/learning/aaron-dignan-on-transformational-change?trk=ondemandfile" TargetMode="External"/><Relationship Id="rId1636" Type="http://schemas.openxmlformats.org/officeDocument/2006/relationships/hyperlink" Target="https://www.linkedin.com/learning/paths/master-in-demand-professional-soft-skills?trk=ondemandfile" TargetMode="External"/><Relationship Id="rId1843" Type="http://schemas.openxmlformats.org/officeDocument/2006/relationships/hyperlink" Target="https://www.linkedin.com/learning/finding-your-idea-hook?trk=ondemandfile" TargetMode="External"/><Relationship Id="rId1703" Type="http://schemas.openxmlformats.org/officeDocument/2006/relationships/hyperlink" Target="https://www.linkedin.com/learning/sales-management-simplified-blinkist-summary?trk=ondemandfile" TargetMode="External"/><Relationship Id="rId1910" Type="http://schemas.openxmlformats.org/officeDocument/2006/relationships/hyperlink" Target="https://www.linkedin.com/learning/be-a-project-motivator-unlock-the-secrets-of-strengths-based-project-management?trk=ondemandfile" TargetMode="External"/><Relationship Id="rId284" Type="http://schemas.openxmlformats.org/officeDocument/2006/relationships/hyperlink" Target="https://www.linkedin.com/learning/developing-your-emotional-intelligence?trk=ondemandfile" TargetMode="External"/><Relationship Id="rId491" Type="http://schemas.openxmlformats.org/officeDocument/2006/relationships/hyperlink" Target="https://www.linkedin.com/learning/mixtape-highlights-from-linkedin-learning-courses?trk=ondemandfile" TargetMode="External"/><Relationship Id="rId2172" Type="http://schemas.openxmlformats.org/officeDocument/2006/relationships/hyperlink" Target="https://www.linkedin.com/learning/communicating-an-enterprise-wide-transformation?trk=ondemandfile" TargetMode="External"/><Relationship Id="rId144" Type="http://schemas.openxmlformats.org/officeDocument/2006/relationships/hyperlink" Target="https://www.linkedin.com/learning/real-estate-developing-a-growth-mindset?trk=ondemandfile" TargetMode="External"/><Relationship Id="rId589" Type="http://schemas.openxmlformats.org/officeDocument/2006/relationships/hyperlink" Target="https://www.linkedin.com/learning/how-to-build-a-following-online?trk=ondemandfile" TargetMode="External"/><Relationship Id="rId796" Type="http://schemas.openxmlformats.org/officeDocument/2006/relationships/hyperlink" Target="https://www.linkedin.com/learning/customer-success-management-fundamentals?trk=ondemandfile" TargetMode="External"/><Relationship Id="rId2477" Type="http://schemas.openxmlformats.org/officeDocument/2006/relationships/hyperlink" Target="https://www.linkedin.com/learning/creating-a-positive-and-healthy-work-environment?trk=ondemandfile" TargetMode="External"/><Relationship Id="rId2684" Type="http://schemas.openxmlformats.org/officeDocument/2006/relationships/hyperlink" Target="https://www.linkedin.com/learning/the-art-of-connection-7-relationship-building-skills-every-leader-needs-now-getabstract-summary?trk=ondemandfile" TargetMode="External"/><Relationship Id="rId351" Type="http://schemas.openxmlformats.org/officeDocument/2006/relationships/hyperlink" Target="https://www.linkedin.com/learning/paths/visual-communication-for-business-professionals?trk=ondemandfile" TargetMode="External"/><Relationship Id="rId449" Type="http://schemas.openxmlformats.org/officeDocument/2006/relationships/hyperlink" Target="https://www.linkedin.com/learning/writing-and-delivering-speeches?trk=ondemandfile" TargetMode="External"/><Relationship Id="rId656" Type="http://schemas.openxmlformats.org/officeDocument/2006/relationships/hyperlink" Target="https://www.linkedin.com/learning/paths/develop-your-creative-thinking-and-innovation-skills?trk=ondemandfile" TargetMode="External"/><Relationship Id="rId863" Type="http://schemas.openxmlformats.org/officeDocument/2006/relationships/hyperlink" Target="https://www.linkedin.com/learning/business-analysis-foundations-business-process-modeling?trk=ondemandfile" TargetMode="External"/><Relationship Id="rId1079" Type="http://schemas.openxmlformats.org/officeDocument/2006/relationships/hyperlink" Target="https://www.linkedin.com/learning/sap-business-one-finance-and-banking?trk=ondemandfile" TargetMode="External"/><Relationship Id="rId1286" Type="http://schemas.openxmlformats.org/officeDocument/2006/relationships/hyperlink" Target="https://www.linkedin.com/learning/paths/get-ahead-in-ios-app-development?trk=ondemandfile" TargetMode="External"/><Relationship Id="rId1493" Type="http://schemas.openxmlformats.org/officeDocument/2006/relationships/hyperlink" Target="https://www.linkedin.com/learning/paths/become-an-inclusive-leader?trk=ondemandfile" TargetMode="External"/><Relationship Id="rId2032" Type="http://schemas.openxmlformats.org/officeDocument/2006/relationships/hyperlink" Target="https://www.linkedin.com/learning/reframing-to-overcome-sales-objections?trk=ondemandfile" TargetMode="External"/><Relationship Id="rId2337" Type="http://schemas.openxmlformats.org/officeDocument/2006/relationships/hyperlink" Target="https://www.linkedin.com/learning/managing-someone-older-than-you?trk=ondemandfile" TargetMode="External"/><Relationship Id="rId2544" Type="http://schemas.openxmlformats.org/officeDocument/2006/relationships/hyperlink" Target="https://www.linkedin.com/learning/mindful-eating?trk=ondemandfile" TargetMode="External"/><Relationship Id="rId211" Type="http://schemas.openxmlformats.org/officeDocument/2006/relationships/hyperlink" Target="https://www.linkedin.com/learning/managing-for-better-ideas?trk=ondemandfile" TargetMode="External"/><Relationship Id="rId309" Type="http://schemas.openxmlformats.org/officeDocument/2006/relationships/hyperlink" Target="https://www.linkedin.com/learning/developing-your-professional-image?trk=ondemandfile" TargetMode="External"/><Relationship Id="rId516" Type="http://schemas.openxmlformats.org/officeDocument/2006/relationships/hyperlink" Target="https://www.linkedin.com/learning/paths/become-a-marketing-specialist-2?trk=ondemandfile" TargetMode="External"/><Relationship Id="rId1146" Type="http://schemas.openxmlformats.org/officeDocument/2006/relationships/hyperlink" Target="https://www.linkedin.com/learning/content/425902?u=104" TargetMode="External"/><Relationship Id="rId1798" Type="http://schemas.openxmlformats.org/officeDocument/2006/relationships/hyperlink" Target="https://www.linkedin.com/learning/paths/create-a-successful-pitch-for-investors?trk=ondemandfile" TargetMode="External"/><Relationship Id="rId723" Type="http://schemas.openxmlformats.org/officeDocument/2006/relationships/hyperlink" Target="https://www.linkedin.com/learning/executive-decision-making?trk=ondemandfile" TargetMode="External"/><Relationship Id="rId930" Type="http://schemas.openxmlformats.org/officeDocument/2006/relationships/hyperlink" Target="https://www.linkedin.com/learning/ai-in-fintech-essential-training?trk=ondemandfile" TargetMode="External"/><Relationship Id="rId1006" Type="http://schemas.openxmlformats.org/officeDocument/2006/relationships/hyperlink" Target="https://www.linkedin.com/learning/using-neuroscience-for-more-effective-l-d?trk=ondemandfile" TargetMode="External"/><Relationship Id="rId1353" Type="http://schemas.openxmlformats.org/officeDocument/2006/relationships/hyperlink" Target="https://www.linkedin.com/learning/first-5-things-you-have-to-do-to-start-a-business-as-a-creator?trk=ondemandfile" TargetMode="External"/><Relationship Id="rId1560" Type="http://schemas.openxmlformats.org/officeDocument/2006/relationships/hyperlink" Target="https://www.linkedin.com/learning/compassionate-leadership?trk=ondemandfile" TargetMode="External"/><Relationship Id="rId1658" Type="http://schemas.openxmlformats.org/officeDocument/2006/relationships/hyperlink" Target="https://www.linkedin.com/learning/building-change-capability-for-managers?trk=ondemandfile" TargetMode="External"/><Relationship Id="rId1865" Type="http://schemas.openxmlformats.org/officeDocument/2006/relationships/hyperlink" Target="https://www.linkedin.com/learning/management-tips?trk=ondemandfile" TargetMode="External"/><Relationship Id="rId2404" Type="http://schemas.openxmlformats.org/officeDocument/2006/relationships/hyperlink" Target="https://www.linkedin.com/learning/communicating-across-cultures-2?trk=ondemandfile" TargetMode="External"/><Relationship Id="rId2611" Type="http://schemas.openxmlformats.org/officeDocument/2006/relationships/hyperlink" Target="https://www.linkedin.com/learning/unsubscribe?trk=ondemandfile" TargetMode="External"/><Relationship Id="rId2709" Type="http://schemas.openxmlformats.org/officeDocument/2006/relationships/hyperlink" Target="https://www.linkedin.com/learning/leading-and-motivating-different-personalities?trk=ondemandfile" TargetMode="External"/><Relationship Id="rId1213" Type="http://schemas.openxmlformats.org/officeDocument/2006/relationships/hyperlink" Target="https://www.linkedin.com/learning/managing-globally/what-is-cultural-agility" TargetMode="External"/><Relationship Id="rId1420" Type="http://schemas.openxmlformats.org/officeDocument/2006/relationships/hyperlink" Target="https://www.linkedin.com/learning/sustainability-strategies?trk=ondemandfile" TargetMode="External"/><Relationship Id="rId1518" Type="http://schemas.openxmlformats.org/officeDocument/2006/relationships/hyperlink" Target="https://www.linkedin.com/learning/developing-managers-in-organizations?trk=ondemandfile" TargetMode="External"/><Relationship Id="rId1725" Type="http://schemas.openxmlformats.org/officeDocument/2006/relationships/hyperlink" Target="https://www.linkedin.com/learning/paths/understand-gdpr-and-data-privacy?trk=ondemandfile" TargetMode="External"/><Relationship Id="rId1932" Type="http://schemas.openxmlformats.org/officeDocument/2006/relationships/hyperlink" Target="https://www.linkedin.com/learning/managing-change-on-an-agile-project?trk=ondemandfile" TargetMode="External"/><Relationship Id="rId17" Type="http://schemas.openxmlformats.org/officeDocument/2006/relationships/hyperlink" Target="https://www.linkedin.com/learning/holding-your-team-accountable?trk=ondemandfile" TargetMode="External"/><Relationship Id="rId2194" Type="http://schemas.openxmlformats.org/officeDocument/2006/relationships/hyperlink" Target="https://www.linkedin.com/learning/goal-setting-objectives-and-key-results-okrs?trk=ondemandfile" TargetMode="External"/><Relationship Id="rId166" Type="http://schemas.openxmlformats.org/officeDocument/2006/relationships/hyperlink" Target="https://www.linkedin.com/learning/cultivating-mental-agility?trk=ondemandfile" TargetMode="External"/><Relationship Id="rId373" Type="http://schemas.openxmlformats.org/officeDocument/2006/relationships/hyperlink" Target="https://www.linkedin.com/learning/communication-foundations-2?trk=ondemandfile" TargetMode="External"/><Relationship Id="rId580" Type="http://schemas.openxmlformats.org/officeDocument/2006/relationships/hyperlink" Target="https://www.linkedin.com/learning/marketing-on-facebook?trk=ondemandfile" TargetMode="External"/><Relationship Id="rId2054" Type="http://schemas.openxmlformats.org/officeDocument/2006/relationships/hyperlink" Target="https://www.linkedin.com/learning/social-selling-benchmarks-and-scorecard?trk=ondemandfile" TargetMode="External"/><Relationship Id="rId2261" Type="http://schemas.openxmlformats.org/officeDocument/2006/relationships/hyperlink" Target="https://www.linkedin.com/learning/creating-a-positive-and-healthy-work-environment?trk=ondemandfile" TargetMode="External"/><Relationship Id="rId2499" Type="http://schemas.openxmlformats.org/officeDocument/2006/relationships/hyperlink" Target="https://www.linkedin.com/learning/overcoming-imposter-syndrome?trk=ondemandfile" TargetMode="External"/><Relationship Id="rId1" Type="http://schemas.openxmlformats.org/officeDocument/2006/relationships/hyperlink" Target="https://www.linkedin.com/learning/good-to-great?trk=ondemandfile" TargetMode="External"/><Relationship Id="rId233" Type="http://schemas.openxmlformats.org/officeDocument/2006/relationships/hyperlink" Target="https://www.linkedin.com/learning/a-great-place-to-work-for-all-getabstract-summary?trk=ondemandfile" TargetMode="External"/><Relationship Id="rId440" Type="http://schemas.openxmlformats.org/officeDocument/2006/relationships/hyperlink" Target="https://www.linkedin.com/learning/difficult-conversations-about-politics-at-work?trk=ondemandfile" TargetMode="External"/><Relationship Id="rId678" Type="http://schemas.openxmlformats.org/officeDocument/2006/relationships/hyperlink" Target="https://www.linkedin.com/learning/brainstorming-basics?trk=ondemandfile" TargetMode="External"/><Relationship Id="rId885" Type="http://schemas.openxmlformats.org/officeDocument/2006/relationships/hyperlink" Target="https://www.linkedin.com/learning/excel-statistics-essential-training-1-2?trk=ondemandfile" TargetMode="External"/><Relationship Id="rId1070" Type="http://schemas.openxmlformats.org/officeDocument/2006/relationships/hyperlink" Target="https://www.linkedin.com/learning/economics-for-everyone-understanding-a-recession?trk=ondemandfile" TargetMode="External"/><Relationship Id="rId2121" Type="http://schemas.openxmlformats.org/officeDocument/2006/relationships/hyperlink" Target="https://www.linkedin.com/learning/scaling-up-excellence?trk=ondemandfile" TargetMode="External"/><Relationship Id="rId2359" Type="http://schemas.openxmlformats.org/officeDocument/2006/relationships/hyperlink" Target="https://www.linkedin.com/learning/diversity-inclusion-and-belonging-2?trk=ondemandfile" TargetMode="External"/><Relationship Id="rId2566" Type="http://schemas.openxmlformats.org/officeDocument/2006/relationships/hyperlink" Target="https://www.linkedin.com/learning/how-to-use-entrepreneurial-thinking-to-conquer-fear-and-motivate-yourself?trk=ondemandfile" TargetMode="External"/><Relationship Id="rId300" Type="http://schemas.openxmlformats.org/officeDocument/2006/relationships/hyperlink" Target="https://www.linkedin.com/learning/how-to-work-with-a-micromanager?trk=ondemandfile" TargetMode="External"/><Relationship Id="rId538" Type="http://schemas.openxmlformats.org/officeDocument/2006/relationships/hyperlink" Target="https://www.linkedin.com/learning/advanced-content-marketing?trk=ondemandfile" TargetMode="External"/><Relationship Id="rId745" Type="http://schemas.openxmlformats.org/officeDocument/2006/relationships/hyperlink" Target="https://www.linkedin.com/learning/how-to-use-data-visualization-to-make-better-decisions-faster?trk=ondemandfile" TargetMode="External"/><Relationship Id="rId952" Type="http://schemas.openxmlformats.org/officeDocument/2006/relationships/hyperlink" Target="https://www.linkedin.com/learning/corporate-instruction-foundations?trk=ondemandfile" TargetMode="External"/><Relationship Id="rId1168" Type="http://schemas.openxmlformats.org/officeDocument/2006/relationships/hyperlink" Target="https://www.linkedin.com/learning/hiring-managing-and-separating-from-employees?trk=ondemandfile" TargetMode="External"/><Relationship Id="rId1375" Type="http://schemas.openxmlformats.org/officeDocument/2006/relationships/hyperlink" Target="https://www.linkedin.com/learning/using-microsoft-teams-and-outlook-together-maximizing-productivity?trk=ondemandfile" TargetMode="External"/><Relationship Id="rId1582" Type="http://schemas.openxmlformats.org/officeDocument/2006/relationships/hyperlink" Target="https://www.linkedin.com/learning/project-leadership?trk=ondemandfile" TargetMode="External"/><Relationship Id="rId2219" Type="http://schemas.openxmlformats.org/officeDocument/2006/relationships/hyperlink" Target="https://www.linkedin.com/learning/improving-employee-performance?trk=ondemandfile" TargetMode="External"/><Relationship Id="rId2426" Type="http://schemas.openxmlformats.org/officeDocument/2006/relationships/hyperlink" Target="https://www.linkedin.com/learning/succeeding-as-an-lgbt-professional?trk=ondemandfile" TargetMode="External"/><Relationship Id="rId2633" Type="http://schemas.openxmlformats.org/officeDocument/2006/relationships/hyperlink" Target="https://www.linkedin.com/learning/transition-from-manager-to-leader?trk=ondemandfile" TargetMode="External"/><Relationship Id="rId81" Type="http://schemas.openxmlformats.org/officeDocument/2006/relationships/hyperlink" Target="https://www.linkedin.com/learning/business-ethics-2?trk=ondemandfile" TargetMode="External"/><Relationship Id="rId605" Type="http://schemas.openxmlformats.org/officeDocument/2006/relationships/hyperlink" Target="https://www.linkedin.com/learning/advertising-on-facebook-14321583?trk=ondemandfile" TargetMode="External"/><Relationship Id="rId812" Type="http://schemas.openxmlformats.org/officeDocument/2006/relationships/hyperlink" Target="https://www.linkedin.com/learning/providing-legendary-customer-service?trk=ondemandfile" TargetMode="External"/><Relationship Id="rId1028" Type="http://schemas.openxmlformats.org/officeDocument/2006/relationships/hyperlink" Target="https://www.linkedin.com/learning/advanced-bookkeeping-techniques?trk=ondemandfile" TargetMode="External"/><Relationship Id="rId1235" Type="http://schemas.openxmlformats.org/officeDocument/2006/relationships/hyperlink" Target="https://www.linkedin.com/learning/human-resources-pay-strategy-2?trk=ondemandfile" TargetMode="External"/><Relationship Id="rId1442" Type="http://schemas.openxmlformats.org/officeDocument/2006/relationships/hyperlink" Target="https://www.linkedin.com/learning/communicating-in-times-of-change?trk=ondemandfile" TargetMode="External"/><Relationship Id="rId1887" Type="http://schemas.openxmlformats.org/officeDocument/2006/relationships/hyperlink" Target="https://www.linkedin.com/learning/project-management-preventing-scope-creep-2?trk=ondemandfile" TargetMode="External"/><Relationship Id="rId1302" Type="http://schemas.openxmlformats.org/officeDocument/2006/relationships/hyperlink" Target="https://www.linkedin.com/learning/managing-and-working-with-a-technical-team-for-nontechnical-professionals?trk=ondemandfile" TargetMode="External"/><Relationship Id="rId1747" Type="http://schemas.openxmlformats.org/officeDocument/2006/relationships/hyperlink" Target="https://www.linkedin.com/learning/supply-chain-foundations?trk=ondemandfile" TargetMode="External"/><Relationship Id="rId1954" Type="http://schemas.openxmlformats.org/officeDocument/2006/relationships/hyperlink" Target="https://www.linkedin.com/learning/what-is-disciplined-agile?trk=ondemandfile" TargetMode="External"/><Relationship Id="rId2700" Type="http://schemas.openxmlformats.org/officeDocument/2006/relationships/hyperlink" Target="https://www.linkedin.com/learning/coaching-skills-for-leaders-and-managers?trk=ondemandfile" TargetMode="External"/><Relationship Id="rId39" Type="http://schemas.openxmlformats.org/officeDocument/2006/relationships/hyperlink" Target="https://www.linkedin.com/learning/making-big-goals-achievable?trk=ondemandfile" TargetMode="External"/><Relationship Id="rId1607" Type="http://schemas.openxmlformats.org/officeDocument/2006/relationships/hyperlink" Target="https://www.linkedin.com/learning/fred-kofman-on-accountability?trk=ondemandfile" TargetMode="External"/><Relationship Id="rId1814" Type="http://schemas.openxmlformats.org/officeDocument/2006/relationships/hyperlink" Target="https://www.linkedin.com/learning/overcoming-your-fear-of-public-speaking-2?trk=ondemandfile" TargetMode="External"/><Relationship Id="rId188" Type="http://schemas.openxmlformats.org/officeDocument/2006/relationships/hyperlink" Target="https://www.linkedin.com/learning/the-practices-of-high-performing-employees?trk=ondemandfile" TargetMode="External"/><Relationship Id="rId395" Type="http://schemas.openxmlformats.org/officeDocument/2006/relationships/hyperlink" Target="https://www.linkedin.com/learning/communication-within-teams?trk=ondemandfile" TargetMode="External"/><Relationship Id="rId2076" Type="http://schemas.openxmlformats.org/officeDocument/2006/relationships/hyperlink" Target="https://www.linkedin.com/learning/how-to-create-a-life-of-meaning-and-purpose?trk=ondemandfile" TargetMode="External"/><Relationship Id="rId2283" Type="http://schemas.openxmlformats.org/officeDocument/2006/relationships/hyperlink" Target="https://www.linkedin.com/learning/managers-as-multipliers-of-well-being?trk=ondemandfile" TargetMode="External"/><Relationship Id="rId2490" Type="http://schemas.openxmlformats.org/officeDocument/2006/relationships/hyperlink" Target="https://www.linkedin.com/learning/managing-your-energy?trk=ondemandfile" TargetMode="External"/><Relationship Id="rId2588" Type="http://schemas.openxmlformats.org/officeDocument/2006/relationships/hyperlink" Target="https://www.linkedin.com/learning/managing-your-energy-for-better-performance?trk=ondemandfile" TargetMode="External"/><Relationship Id="rId255" Type="http://schemas.openxmlformats.org/officeDocument/2006/relationships/hyperlink" Target="https://www.linkedin.com/learning/paths/fostering-collaboration?trk=ondemandfile" TargetMode="External"/><Relationship Id="rId462" Type="http://schemas.openxmlformats.org/officeDocument/2006/relationships/hyperlink" Target="https://www.linkedin.com/learning/paths/improve-your-teamwork-skills?trk=ondemandfile" TargetMode="External"/><Relationship Id="rId1092" Type="http://schemas.openxmlformats.org/officeDocument/2006/relationships/hyperlink" Target="https://www.linkedin.com/learning/excel-2016-financial-functions-in-depth?trk=ondemandfile" TargetMode="External"/><Relationship Id="rId1397" Type="http://schemas.openxmlformats.org/officeDocument/2006/relationships/hyperlink" Target="https://www.linkedin.com/learning/artificial-intelligence-how-project-managers-can-leverage-ai?trk=ondemandfile" TargetMode="External"/><Relationship Id="rId2143" Type="http://schemas.openxmlformats.org/officeDocument/2006/relationships/hyperlink" Target="https://www.linkedin.com/learning/strategic-thinking?trk=ondemandfile" TargetMode="External"/><Relationship Id="rId2350" Type="http://schemas.openxmlformats.org/officeDocument/2006/relationships/hyperlink" Target="https://www.linkedin.com/learning/inclusive-selling-selling-across-culture-race-and-gender-differences?trk=ondemandfile" TargetMode="External"/><Relationship Id="rId115" Type="http://schemas.openxmlformats.org/officeDocument/2006/relationships/hyperlink" Target="https://www.linkedin.com/learning/unleash-your-team-s-creativity?trk=ondemandfile" TargetMode="External"/><Relationship Id="rId322" Type="http://schemas.openxmlformats.org/officeDocument/2006/relationships/hyperlink" Target="https://www.linkedin.com/learning/cultivating-grit-and-embracing-adversity-on-your-team?trk=ondemandfile" TargetMode="External"/><Relationship Id="rId767" Type="http://schemas.openxmlformats.org/officeDocument/2006/relationships/hyperlink" Target="https://www.linkedin.com/learning/thinking-fast-and-slow-blinkist-summary?trk=ondemandfile" TargetMode="External"/><Relationship Id="rId974" Type="http://schemas.openxmlformats.org/officeDocument/2006/relationships/hyperlink" Target="https://www.linkedin.com/learning/learning-to-teach-online-2?trk=ondemandfile" TargetMode="External"/><Relationship Id="rId2003" Type="http://schemas.openxmlformats.org/officeDocument/2006/relationships/hyperlink" Target="https://www.linkedin.com/learning/sales-fundamentals?trk=ondemandfile" TargetMode="External"/><Relationship Id="rId2210" Type="http://schemas.openxmlformats.org/officeDocument/2006/relationships/hyperlink" Target="https://www.linkedin.com/learning/coaching-new-managers?trk=ondemandfile" TargetMode="External"/><Relationship Id="rId2448" Type="http://schemas.openxmlformats.org/officeDocument/2006/relationships/hyperlink" Target="https://www.linkedin.com/learning/grammar-girl-s-quick-and-dirty-tips-for-better-writing?trk=ondemandfile" TargetMode="External"/><Relationship Id="rId2655" Type="http://schemas.openxmlformats.org/officeDocument/2006/relationships/hyperlink" Target="https://www.linkedin.com/learning/risk-taking-for-leaders-14145630?trk=ondemandfile" TargetMode="External"/><Relationship Id="rId627" Type="http://schemas.openxmlformats.org/officeDocument/2006/relationships/hyperlink" Target="https://www.linkedin.com/learning/content-marketing-roi?trk=ondemandfile" TargetMode="External"/><Relationship Id="rId834" Type="http://schemas.openxmlformats.org/officeDocument/2006/relationships/hyperlink" Target="https://www.linkedin.com/learning/paths/advance-your-data-science-skills-in-health-sciences?trk=ondemandfile" TargetMode="External"/><Relationship Id="rId1257" Type="http://schemas.openxmlformats.org/officeDocument/2006/relationships/hyperlink" Target="https://www.linkedin.com/learning/paths/master-the-fundamentals-of-ai-and-machine-learning?trk=ondemandfile" TargetMode="External"/><Relationship Id="rId1464" Type="http://schemas.openxmlformats.org/officeDocument/2006/relationships/hyperlink" Target="https://www.linkedin.com/learning/advocating-for-change-in-your-organization?trk=ondemandfile" TargetMode="External"/><Relationship Id="rId1671" Type="http://schemas.openxmlformats.org/officeDocument/2006/relationships/hyperlink" Target="https://www.linkedin.com/learning/managing-employee-performance-problems-2018?trk=ondemandfile" TargetMode="External"/><Relationship Id="rId2308" Type="http://schemas.openxmlformats.org/officeDocument/2006/relationships/hyperlink" Target="https://www.linkedin.com/learning/predictive-analytics-essential-training-for-executives?trk=ondemandfile" TargetMode="External"/><Relationship Id="rId2515" Type="http://schemas.openxmlformats.org/officeDocument/2006/relationships/hyperlink" Target="https://www.linkedin.com/learning/being-positive-at-work?trk=ondemandfile" TargetMode="External"/><Relationship Id="rId2722" Type="http://schemas.openxmlformats.org/officeDocument/2006/relationships/hyperlink" Target="https://www.linkedin.com/learning/just-ask-todd-dewett-2020?trk=ondemandfile" TargetMode="External"/><Relationship Id="rId901" Type="http://schemas.openxmlformats.org/officeDocument/2006/relationships/hyperlink" Target="https://www.linkedin.com/learning/hiring-a-chief-data-officer?trk=contentmappingfile" TargetMode="External"/><Relationship Id="rId1117" Type="http://schemas.openxmlformats.org/officeDocument/2006/relationships/hyperlink" Target="https://www.linkedin.com/learning/finance-foundations-corporate-governanace?trk=ondemandfile" TargetMode="External"/><Relationship Id="rId1324" Type="http://schemas.openxmlformats.org/officeDocument/2006/relationships/hyperlink" Target="https://www.linkedin.com/learning/scrollytelling-creating-a-one-page-web-experience?trk=ondemandfile" TargetMode="External"/><Relationship Id="rId1531" Type="http://schemas.openxmlformats.org/officeDocument/2006/relationships/hyperlink" Target="https://www.linkedin.com/learning/leading-with-vision?trk=ondemandfile" TargetMode="External"/><Relationship Id="rId1769" Type="http://schemas.openxmlformats.org/officeDocument/2006/relationships/hyperlink" Target="https://www.linkedin.com/learning/enterprise-agile-changing-your-culture?trk=ondemandfile" TargetMode="External"/><Relationship Id="rId1976" Type="http://schemas.openxmlformats.org/officeDocument/2006/relationships/hyperlink" Target="https://www.linkedin.com/learning/inside-sales-managing-sales-rep-personas?trk=ondemandfile" TargetMode="External"/><Relationship Id="rId30" Type="http://schemas.openxmlformats.org/officeDocument/2006/relationships/hyperlink" Target="https://www.linkedin.com/learning/productivity-tips-finding-your-rhythm?trk=ondemandfile" TargetMode="External"/><Relationship Id="rId1629" Type="http://schemas.openxmlformats.org/officeDocument/2006/relationships/hyperlink" Target="https://www.linkedin.com/learning/creating-the-conditions-for-others-to-thrive?trk=ondemandfile" TargetMode="External"/><Relationship Id="rId1836" Type="http://schemas.openxmlformats.org/officeDocument/2006/relationships/hyperlink" Target="https://www.linkedin.com/learning/preparing-for-successful-communication?trk=ondemandfile" TargetMode="External"/><Relationship Id="rId1903" Type="http://schemas.openxmlformats.org/officeDocument/2006/relationships/hyperlink" Target="https://www.linkedin.com/learning/5s-workplace-productivity?trk=ondemandfile" TargetMode="External"/><Relationship Id="rId2098" Type="http://schemas.openxmlformats.org/officeDocument/2006/relationships/hyperlink" Target="https://www.linkedin.com/learning/competitive-strategy?trk=ondemandfile" TargetMode="External"/><Relationship Id="rId277" Type="http://schemas.openxmlformats.org/officeDocument/2006/relationships/hyperlink" Target="https://www.linkedin.com/learning/collaborative-workflows-for-editors-and-designers?trk=contentmappingfile" TargetMode="External"/><Relationship Id="rId484" Type="http://schemas.openxmlformats.org/officeDocument/2006/relationships/hyperlink" Target="https://www.linkedin.com/learning/communicating-with-empathy?trk=ondemandfile" TargetMode="External"/><Relationship Id="rId2165" Type="http://schemas.openxmlformats.org/officeDocument/2006/relationships/hyperlink" Target="https://www.linkedin.com/learning/following-the-digital-thread?trk=ondemandfile" TargetMode="External"/><Relationship Id="rId137" Type="http://schemas.openxmlformats.org/officeDocument/2006/relationships/hyperlink" Target="https://www.linkedin.com/learning/creating-success-from-failures?trk=ondemandfile" TargetMode="External"/><Relationship Id="rId344" Type="http://schemas.openxmlformats.org/officeDocument/2006/relationships/hyperlink" Target="https://www.linkedin.com/learning/leading-from-the-middle?trk=ondemandfile" TargetMode="External"/><Relationship Id="rId691" Type="http://schemas.openxmlformats.org/officeDocument/2006/relationships/hyperlink" Target="https://www.linkedin.com/learning/practical-creativity-for-everyone?trk=ondemandfile" TargetMode="External"/><Relationship Id="rId789" Type="http://schemas.openxmlformats.org/officeDocument/2006/relationships/hyperlink" Target="https://www.linkedin.com/learning/using-assessments-to-hire-customer-service-reps?trk=ondemandfile" TargetMode="External"/><Relationship Id="rId996" Type="http://schemas.openxmlformats.org/officeDocument/2006/relationships/hyperlink" Target="https://www.linkedin.com/learning/practical-success-metrics-in-your-training-program?trk=ondemandfile" TargetMode="External"/><Relationship Id="rId2025" Type="http://schemas.openxmlformats.org/officeDocument/2006/relationships/hyperlink" Target="https://www.linkedin.com/learning/three-tips-for-dealing-with-deception-in-negotiations?trk=ondemandfile" TargetMode="External"/><Relationship Id="rId2372" Type="http://schemas.openxmlformats.org/officeDocument/2006/relationships/hyperlink" Target="https://www.linkedin.com/learning/inclusion-during-difficult-times?trk=ondemandfile" TargetMode="External"/><Relationship Id="rId2677" Type="http://schemas.openxmlformats.org/officeDocument/2006/relationships/hyperlink" Target="https://www.linkedin.com/learning/developing-credibility-as-a-leader?trk=ondemandfile" TargetMode="External"/><Relationship Id="rId551" Type="http://schemas.openxmlformats.org/officeDocument/2006/relationships/hyperlink" Target="https://www.linkedin.com/learning/determining-market-size-for-your-product-or-service?trk=ondemandfile" TargetMode="External"/><Relationship Id="rId649" Type="http://schemas.openxmlformats.org/officeDocument/2006/relationships/hyperlink" Target="https://www.linkedin.com/learning/ar-marketing-strategies?trk=ondemandfile" TargetMode="External"/><Relationship Id="rId856" Type="http://schemas.openxmlformats.org/officeDocument/2006/relationships/hyperlink" Target="https://www.linkedin.com/learning/paths/develop-your-data-analysis-skills?trk=ondemandfile" TargetMode="External"/><Relationship Id="rId1181" Type="http://schemas.openxmlformats.org/officeDocument/2006/relationships/hyperlink" Target="https://www.linkedin.com/learning/how-to-design-and-deliver-training-programs?trk=ondemandfile" TargetMode="External"/><Relationship Id="rId1279" Type="http://schemas.openxmlformats.org/officeDocument/2006/relationships/hyperlink" Target="https://www.linkedin.com/learning/paths/become-an-seo-expert?trk=ondemandfile" TargetMode="External"/><Relationship Id="rId1486" Type="http://schemas.openxmlformats.org/officeDocument/2006/relationships/hyperlink" Target="https://www.linkedin.com/learning/change-management-plan-on-a-page?trk=ondemandfile" TargetMode="External"/><Relationship Id="rId2232" Type="http://schemas.openxmlformats.org/officeDocument/2006/relationships/hyperlink" Target="https://www.linkedin.com/learning/connecting-to-executives-2018?trk=ondemandfile" TargetMode="External"/><Relationship Id="rId2537" Type="http://schemas.openxmlformats.org/officeDocument/2006/relationships/hyperlink" Target="https://www.linkedin.com/learning/lose-your-fear-of-asking-questions-at-work?trk=ondemandfile" TargetMode="External"/><Relationship Id="rId204" Type="http://schemas.openxmlformats.org/officeDocument/2006/relationships/hyperlink" Target="https://www.linkedin.com/learning/facilitation-skills-for-managers-and-leaders?trk=ondemandfile" TargetMode="External"/><Relationship Id="rId411" Type="http://schemas.openxmlformats.org/officeDocument/2006/relationships/hyperlink" Target="https://www.linkedin.com/learning/building-inclusive-work-communities?trk=ondemandfile" TargetMode="External"/><Relationship Id="rId509" Type="http://schemas.openxmlformats.org/officeDocument/2006/relationships/hyperlink" Target="https://www.linkedin.com/learning/blue-ocean-shift?trk=ondemandfile" TargetMode="External"/><Relationship Id="rId1041" Type="http://schemas.openxmlformats.org/officeDocument/2006/relationships/hyperlink" Target="https://www.linkedin.com/learning/audit-and-due-diligence-foundations?trk=ondemandfile" TargetMode="External"/><Relationship Id="rId1139" Type="http://schemas.openxmlformats.org/officeDocument/2006/relationships/hyperlink" Target="https://www.linkedin.com/learning/paths/become-an-hr-business-partner?trk=ondemandfile" TargetMode="External"/><Relationship Id="rId1346" Type="http://schemas.openxmlformats.org/officeDocument/2006/relationships/hyperlink" Target="https://www.linkedin.com/learning/excel-power-query-for-beginners?trk=ondemandfile" TargetMode="External"/><Relationship Id="rId1693" Type="http://schemas.openxmlformats.org/officeDocument/2006/relationships/hyperlink" Target="https://www.linkedin.com/learning/recognizing-and-rewarding-your-workers?trk=ondemandfile" TargetMode="External"/><Relationship Id="rId1998" Type="http://schemas.openxmlformats.org/officeDocument/2006/relationships/hyperlink" Target="https://www.linkedin.com/learning/business-analytics-sales-data?trk=ondemandfile" TargetMode="External"/><Relationship Id="rId716" Type="http://schemas.openxmlformats.org/officeDocument/2006/relationships/hyperlink" Target="https://www.linkedin.com/learning/making-quick-decisions" TargetMode="External"/><Relationship Id="rId923" Type="http://schemas.openxmlformats.org/officeDocument/2006/relationships/hyperlink" Target="https://www.linkedin.com/learning/sql-data-reporting-and-analysis-2?trk=ondemandfile" TargetMode="External"/><Relationship Id="rId1553" Type="http://schemas.openxmlformats.org/officeDocument/2006/relationships/hyperlink" Target="https://www.linkedin.com/learning/leading-and-working-in-teams?trk=ondemandfile" TargetMode="External"/><Relationship Id="rId1760" Type="http://schemas.openxmlformats.org/officeDocument/2006/relationships/hyperlink" Target="https://www.linkedin.com/learning/quality-management-foundations?trk=ondemandfile" TargetMode="External"/><Relationship Id="rId1858" Type="http://schemas.openxmlformats.org/officeDocument/2006/relationships/hyperlink" Target="https://www.linkedin.com/learning/paths/become-a-business-intelligence-specialist?trk=ondemandfile" TargetMode="External"/><Relationship Id="rId2604" Type="http://schemas.openxmlformats.org/officeDocument/2006/relationships/hyperlink" Target="https://www.linkedin.com/learning/the-culture-code?trk=ondemandfile" TargetMode="External"/><Relationship Id="rId52" Type="http://schemas.openxmlformats.org/officeDocument/2006/relationships/hyperlink" Target="https://www.linkedin.com/learning/how-to-organize-your-time-and-your-life?trk=ondemandfile" TargetMode="External"/><Relationship Id="rId1206" Type="http://schemas.openxmlformats.org/officeDocument/2006/relationships/hyperlink" Target="https://www.linkedin.com/learning/driving-workplace-happiness?trk=ondemandfile" TargetMode="External"/><Relationship Id="rId1413" Type="http://schemas.openxmlformats.org/officeDocument/2006/relationships/hyperlink" Target="https://www.linkedin.com/learning/jeff-weiner-on-managing-compassionately/what-is-compassionate-management" TargetMode="External"/><Relationship Id="rId1620" Type="http://schemas.openxmlformats.org/officeDocument/2006/relationships/hyperlink" Target="https://www.linkedin.com/learning/paths/become-a-manager?trk=ondemandfile" TargetMode="External"/><Relationship Id="rId1718" Type="http://schemas.openxmlformats.org/officeDocument/2006/relationships/hyperlink" Target="https://www.linkedin.com/learning/creating-a-product-centric-organization?trk=ondemandfile" TargetMode="External"/><Relationship Id="rId1925" Type="http://schemas.openxmlformats.org/officeDocument/2006/relationships/hyperlink" Target="https://www.linkedin.com/learning/what-is-scrum?trk=ondemandfile" TargetMode="External"/><Relationship Id="rId299" Type="http://schemas.openxmlformats.org/officeDocument/2006/relationships/hyperlink" Target="https://www.linkedin.com/learning/connecting-and-collaborating-in-a-virtual-or-hybrid-workplace?trk=ondemandfile" TargetMode="External"/><Relationship Id="rId2187" Type="http://schemas.openxmlformats.org/officeDocument/2006/relationships/hyperlink" Target="https://www.linkedin.com/learning/paths/develop-motivate-and-retain-employees?trk=ondemandfile" TargetMode="External"/><Relationship Id="rId2394" Type="http://schemas.openxmlformats.org/officeDocument/2006/relationships/hyperlink" Target="https://www.linkedin.com/learning/fair-and-effective-interviewing-for-diversity-and-inclusion?trk=ondemandfile" TargetMode="External"/><Relationship Id="rId159" Type="http://schemas.openxmlformats.org/officeDocument/2006/relationships/hyperlink" Target="https://www.linkedin.com/learning/avoid-career-burnout?trk=ondemandfile" TargetMode="External"/><Relationship Id="rId366" Type="http://schemas.openxmlformats.org/officeDocument/2006/relationships/hyperlink" Target="https://www.linkedin.com/learning/executive-presence-on-video-conference-calls?trk=ondemandfile" TargetMode="External"/><Relationship Id="rId573" Type="http://schemas.openxmlformats.org/officeDocument/2006/relationships/hyperlink" Target="https://www.linkedin.com/learning/creating-and-managing-a-youtube-channel-2?trk=ondemandfile" TargetMode="External"/><Relationship Id="rId780" Type="http://schemas.openxmlformats.org/officeDocument/2006/relationships/hyperlink" Target="https://www.linkedin.com/learning/paths/develop-your-customer-service-skills?trk=ondemandfile" TargetMode="External"/><Relationship Id="rId2047" Type="http://schemas.openxmlformats.org/officeDocument/2006/relationships/hyperlink" Target="https://www.linkedin.com/learning/sales-channel-management?trk=ondemandfile" TargetMode="External"/><Relationship Id="rId2254" Type="http://schemas.openxmlformats.org/officeDocument/2006/relationships/hyperlink" Target="https://www.linkedin.com/learning/enhancing-team-innovation?trk=ondemandfile" TargetMode="External"/><Relationship Id="rId2461" Type="http://schemas.openxmlformats.org/officeDocument/2006/relationships/hyperlink" Target="https://www.linkedin.com/learning/writing-in-plain-english?trk=ondemandfile" TargetMode="External"/><Relationship Id="rId2699" Type="http://schemas.openxmlformats.org/officeDocument/2006/relationships/hyperlink" Target="https://www.linkedin.com/learning/leading-through-relationships?trk=ondemandfile" TargetMode="External"/><Relationship Id="rId226" Type="http://schemas.openxmlformats.org/officeDocument/2006/relationships/hyperlink" Target="https://www.linkedin.com/learning/communication-within-teams?trk=ondemandfile" TargetMode="External"/><Relationship Id="rId433" Type="http://schemas.openxmlformats.org/officeDocument/2006/relationships/hyperlink" Target="https://www.linkedin.com/learning/complete-confidence-in-minutes-weekly?trk=ondemandfile" TargetMode="External"/><Relationship Id="rId878" Type="http://schemas.openxmlformats.org/officeDocument/2006/relationships/hyperlink" Target="https://www.linkedin.com/learning/power-bi-dashboards-for-beginners?trk=ondemandfile" TargetMode="External"/><Relationship Id="rId1063" Type="http://schemas.openxmlformats.org/officeDocument/2006/relationships/hyperlink" Target="https://www.linkedin.com/learning/accounting-foundations-understanding-the-gaap-general-applied-accounting-principles?trk=ondemandfile" TargetMode="External"/><Relationship Id="rId1270" Type="http://schemas.openxmlformats.org/officeDocument/2006/relationships/hyperlink" Target="https://www.linkedin.com/learning/data-privacy-michelle-dennedy?trk=ondemandfile" TargetMode="External"/><Relationship Id="rId2114" Type="http://schemas.openxmlformats.org/officeDocument/2006/relationships/hyperlink" Target="https://www.linkedin.com/learning/setting-business-unit-goals?trk=ondemandfile" TargetMode="External"/><Relationship Id="rId2559" Type="http://schemas.openxmlformats.org/officeDocument/2006/relationships/hyperlink" Target="https://www.linkedin.com/learning/developing-adaptable-employees?trk=ondemandfile" TargetMode="External"/><Relationship Id="rId640" Type="http://schemas.openxmlformats.org/officeDocument/2006/relationships/hyperlink" Target="https://www.linkedin.com/learning/become-a-marketing-entrepreneur?trk=ondemandfile" TargetMode="External"/><Relationship Id="rId738" Type="http://schemas.openxmlformats.org/officeDocument/2006/relationships/hyperlink" Target="https://www.linkedin.com/learning/problem-solving-techniques?trk=ondemandfile" TargetMode="External"/><Relationship Id="rId945" Type="http://schemas.openxmlformats.org/officeDocument/2006/relationships/hyperlink" Target="https://www.linkedin.com/learning/paths/advance-your-skills-as-a-user-experience-researcher?trk=ondemandfile" TargetMode="External"/><Relationship Id="rId1368" Type="http://schemas.openxmlformats.org/officeDocument/2006/relationships/hyperlink" Target="https://www.linkedin.com/learning/learning-sap-production-planning?trk=ondemandfile" TargetMode="External"/><Relationship Id="rId1575" Type="http://schemas.openxmlformats.org/officeDocument/2006/relationships/hyperlink" Target="https://www.linkedin.com/learning/leading-yourself-2017?trk=ondemandfile" TargetMode="External"/><Relationship Id="rId1782" Type="http://schemas.openxmlformats.org/officeDocument/2006/relationships/hyperlink" Target="https://www.linkedin.com/learning/agile-software-development-clean-coding-practices?trk=ondemandfile" TargetMode="External"/><Relationship Id="rId2321" Type="http://schemas.openxmlformats.org/officeDocument/2006/relationships/hyperlink" Target="https://www.linkedin.com/learning/paths/diversity-inclusion-and-belonging-for-leaders-and-managers?trk=ondemandfile" TargetMode="External"/><Relationship Id="rId2419" Type="http://schemas.openxmlformats.org/officeDocument/2006/relationships/hyperlink" Target="https://www.linkedin.com/learning/becoming-a-male-ally-at-work?trk=ondemandfile" TargetMode="External"/><Relationship Id="rId2626" Type="http://schemas.openxmlformats.org/officeDocument/2006/relationships/hyperlink" Target="https://www.linkedin.com/learning/paths/diversity-inclusion-and-belonging-for-leaders-and-managers?trk=ondemandfile" TargetMode="External"/><Relationship Id="rId74" Type="http://schemas.openxmlformats.org/officeDocument/2006/relationships/hyperlink" Target="https://www.linkedin.com/learning/personal-effectiveness-tips?trk=ondemandfile" TargetMode="External"/><Relationship Id="rId500" Type="http://schemas.openxmlformats.org/officeDocument/2006/relationships/hyperlink" Target="https://www.linkedin.com/learning/difficult-conversations-about-politics-at-work?trk=ondemandfile" TargetMode="External"/><Relationship Id="rId805" Type="http://schemas.openxmlformats.org/officeDocument/2006/relationships/hyperlink" Target="https://www.linkedin.com/learning/empathy-in-ux-design?trk=ondemandfile" TargetMode="External"/><Relationship Id="rId1130" Type="http://schemas.openxmlformats.org/officeDocument/2006/relationships/hyperlink" Target="https://www.linkedin.com/learning/succession-planning?trk=ondemandfile" TargetMode="External"/><Relationship Id="rId1228" Type="http://schemas.openxmlformats.org/officeDocument/2006/relationships/hyperlink" Target="https://www.linkedin.com/learning/hiring-and-developing-your-future-workforce?trk=ondemandfile" TargetMode="External"/><Relationship Id="rId1435" Type="http://schemas.openxmlformats.org/officeDocument/2006/relationships/hyperlink" Target="https://www.linkedin.com/learning/ai-for-product-managers?trk=ondemandfile" TargetMode="External"/><Relationship Id="rId1642" Type="http://schemas.openxmlformats.org/officeDocument/2006/relationships/hyperlink" Target="https://www.linkedin.com/learning/simple-manager-tools-that-cure-the-under-management-epi-demic?trk=ondemandfile" TargetMode="External"/><Relationship Id="rId1947" Type="http://schemas.openxmlformats.org/officeDocument/2006/relationships/hyperlink" Target="https://www.linkedin.com/learning/the-top-pmo-challenges?trk=ondemandfile" TargetMode="External"/><Relationship Id="rId1502" Type="http://schemas.openxmlformats.org/officeDocument/2006/relationships/hyperlink" Target="https://www.linkedin.com/learning/good-to-great?trk=ondemandfile" TargetMode="External"/><Relationship Id="rId1807" Type="http://schemas.openxmlformats.org/officeDocument/2006/relationships/hyperlink" Target="https://www.linkedin.com/learning/graphic-facilitation-for-productive-team-meetings?trk=ondemandfile" TargetMode="External"/><Relationship Id="rId290" Type="http://schemas.openxmlformats.org/officeDocument/2006/relationships/hyperlink" Target="https://www.linkedin.com/learning/creating-a-culture-of-learning-2?trk=ondemandfile" TargetMode="External"/><Relationship Id="rId388" Type="http://schemas.openxmlformats.org/officeDocument/2006/relationships/hyperlink" Target="https://www.linkedin.com/learning/crucial-conversations-getabstract-summary?trk=ondemandfile" TargetMode="External"/><Relationship Id="rId2069" Type="http://schemas.openxmlformats.org/officeDocument/2006/relationships/hyperlink" Target="https://www.linkedin.com/learning/selling-to-the-c-suite?trk=ondemandfile" TargetMode="External"/><Relationship Id="rId150" Type="http://schemas.openxmlformats.org/officeDocument/2006/relationships/hyperlink" Target="https://www.linkedin.com/learning/sheryl-sandberg-and-adam-grant-on-option-b?trk=ondemandfile" TargetMode="External"/><Relationship Id="rId595" Type="http://schemas.openxmlformats.org/officeDocument/2006/relationships/hyperlink" Target="https://www.linkedin.com/learning/getting-started-with-facebook-shop-for-creators?trk=ondemandfile" TargetMode="External"/><Relationship Id="rId2276" Type="http://schemas.openxmlformats.org/officeDocument/2006/relationships/hyperlink" Target="https://www.linkedin.com/learning/finding-and-retaining-high-potentials-9018297?trk=ondemandfile" TargetMode="External"/><Relationship Id="rId2483" Type="http://schemas.openxmlformats.org/officeDocument/2006/relationships/hyperlink" Target="https://www.linkedin.com/learning/career-wellness-nano-tips-with-shade-zahrai?trk=contentmappingfile" TargetMode="External"/><Relationship Id="rId2690" Type="http://schemas.openxmlformats.org/officeDocument/2006/relationships/hyperlink" Target="https://www.linkedin.com/learning/how-to-be-a-positive-leader?trk=ondemandfile" TargetMode="External"/><Relationship Id="rId248" Type="http://schemas.openxmlformats.org/officeDocument/2006/relationships/hyperlink" Target="https://www.linkedin.com/learning/inclusive-leadership?trk=ondemandfile" TargetMode="External"/><Relationship Id="rId455" Type="http://schemas.openxmlformats.org/officeDocument/2006/relationships/hyperlink" Target="https://www.linkedin.com/learning/communicating-across-cultures-virtually?trk=ondemandfile" TargetMode="External"/><Relationship Id="rId662" Type="http://schemas.openxmlformats.org/officeDocument/2006/relationships/hyperlink" Target="https://www.linkedin.com/learning/paths/stay-competitive-using-design-thinking?trk=ondemandfile" TargetMode="External"/><Relationship Id="rId1085" Type="http://schemas.openxmlformats.org/officeDocument/2006/relationships/hyperlink" Target="https://www.linkedin.com/learning/financial-risk-management-reduce-risk?trk=ondemandfile" TargetMode="External"/><Relationship Id="rId1292" Type="http://schemas.openxmlformats.org/officeDocument/2006/relationships/hyperlink" Target="https://www.linkedin.com/learning/paths/getting-started-with-microsoft-outlook?trk=ondemandfile" TargetMode="External"/><Relationship Id="rId2136" Type="http://schemas.openxmlformats.org/officeDocument/2006/relationships/hyperlink" Target="https://www.linkedin.com/learning/the-secret-what-great-leaders-know-and-do-getabstract-summary?trk=ondemandfile" TargetMode="External"/><Relationship Id="rId2343" Type="http://schemas.openxmlformats.org/officeDocument/2006/relationships/hyperlink" Target="https://www.linkedin.com/learning/managing-generation-z?trk=ondemandfile" TargetMode="External"/><Relationship Id="rId2550" Type="http://schemas.openxmlformats.org/officeDocument/2006/relationships/hyperlink" Target="https://www.linkedin.com/learning/mindset-blinkist-summary?trk=ondemandfile" TargetMode="External"/><Relationship Id="rId108" Type="http://schemas.openxmlformats.org/officeDocument/2006/relationships/hyperlink" Target="https://www.linkedin.com/learning/the-hard-thing-about-hard-things?trk=ondemandfile" TargetMode="External"/><Relationship Id="rId315" Type="http://schemas.openxmlformats.org/officeDocument/2006/relationships/hyperlink" Target="https://www.linkedin.com/learning/building-relationships-while-working-from-home?trk=ondemandfile" TargetMode="External"/><Relationship Id="rId522" Type="http://schemas.openxmlformats.org/officeDocument/2006/relationships/hyperlink" Target="https://www.linkedin.com/learning/paths/become-a-social-media-advertising-specialist?trk=ondemandfile" TargetMode="External"/><Relationship Id="rId967" Type="http://schemas.openxmlformats.org/officeDocument/2006/relationships/hyperlink" Target="https://www.linkedin.com/learning/paths/stay-competitive-using-design-thinking?trk=ondemandfile" TargetMode="External"/><Relationship Id="rId1152" Type="http://schemas.openxmlformats.org/officeDocument/2006/relationships/hyperlink" Target="https://www.linkedin.com/learning/managing-new-managers?trk=ondemandfile" TargetMode="External"/><Relationship Id="rId1597" Type="http://schemas.openxmlformats.org/officeDocument/2006/relationships/hyperlink" Target="https://www.linkedin.com/learning/building-and-managing-a-high-performing-sales-team?trk=ondemandfile" TargetMode="External"/><Relationship Id="rId2203" Type="http://schemas.openxmlformats.org/officeDocument/2006/relationships/hyperlink" Target="https://www.linkedin.com/learning/managing-multiple-generations-2?trk=ondemandfile" TargetMode="External"/><Relationship Id="rId2410" Type="http://schemas.openxmlformats.org/officeDocument/2006/relationships/hyperlink" Target="https://www.linkedin.com/learning/50-ways-to-fight-bias?trk=ondemandfile" TargetMode="External"/><Relationship Id="rId2648" Type="http://schemas.openxmlformats.org/officeDocument/2006/relationships/hyperlink" Target="https://www.linkedin.com/learning/change-leadership?trk=ondemandfile" TargetMode="External"/><Relationship Id="rId96" Type="http://schemas.openxmlformats.org/officeDocument/2006/relationships/hyperlink" Target="https://www.linkedin.com/learning/demonstrating-accountability-as-a-leader?trk=ondemandfile" TargetMode="External"/><Relationship Id="rId827" Type="http://schemas.openxmlformats.org/officeDocument/2006/relationships/hyperlink" Target="https://www.linkedin.com/learning/serving-customers-using-social-media-2?trk=ondemandfile" TargetMode="External"/><Relationship Id="rId1012" Type="http://schemas.openxmlformats.org/officeDocument/2006/relationships/hyperlink" Target="https://www.linkedin.com/learning/design-thinking-understanding-the-process?trk=ondemandfile" TargetMode="External"/><Relationship Id="rId1457" Type="http://schemas.openxmlformats.org/officeDocument/2006/relationships/hyperlink" Target="https://www.linkedin.com/learning/developing-a-learning-mindset?trk=ondemandfile" TargetMode="External"/><Relationship Id="rId1664" Type="http://schemas.openxmlformats.org/officeDocument/2006/relationships/hyperlink" Target="https://www.linkedin.com/learning/time-management-for-managers?trk=ondemandfile" TargetMode="External"/><Relationship Id="rId1871" Type="http://schemas.openxmlformats.org/officeDocument/2006/relationships/hyperlink" Target="https://www.linkedin.com/learning/project-management-choosing-the-right-online-too?trk=ondemandfile" TargetMode="External"/><Relationship Id="rId2508" Type="http://schemas.openxmlformats.org/officeDocument/2006/relationships/hyperlink" Target="https://www.linkedin.com/learning/developing-your-emotional-intelligence?trk=ondemandfile" TargetMode="External"/><Relationship Id="rId2715" Type="http://schemas.openxmlformats.org/officeDocument/2006/relationships/hyperlink" Target="https://www.linkedin.com/learning/becoming-an-impactful-and-influential-leader?trk=ondemandfile" TargetMode="External"/><Relationship Id="rId1317" Type="http://schemas.openxmlformats.org/officeDocument/2006/relationships/hyperlink" Target="https://www.linkedin.com/learning/paths/prepare-for-the-excel-2013-microsoft-office-specialist-mos-expert-exam?trk=ondemandfile" TargetMode="External"/><Relationship Id="rId1524" Type="http://schemas.openxmlformats.org/officeDocument/2006/relationships/hyperlink" Target="https://www.linkedin.com/learning/human-centered-leadership?trk=ondemandfile" TargetMode="External"/><Relationship Id="rId1731" Type="http://schemas.openxmlformats.org/officeDocument/2006/relationships/hyperlink" Target="https://www.linkedin.com/learning/workplace-visualization?trk=ondemandfile" TargetMode="External"/><Relationship Id="rId1969" Type="http://schemas.openxmlformats.org/officeDocument/2006/relationships/hyperlink" Target="https://www.linkedin.com/learning/paths/become-a-sales-representative?trk=ondemandfile" TargetMode="External"/><Relationship Id="rId23" Type="http://schemas.openxmlformats.org/officeDocument/2006/relationships/hyperlink" Target="https://www.linkedin.com/learning/performing-under-pressure?trk=ondemandfile" TargetMode="External"/><Relationship Id="rId1829" Type="http://schemas.openxmlformats.org/officeDocument/2006/relationships/hyperlink" Target="https://www.linkedin.com/learning/powerpoint-2019-essential-training?trk=ondemandfile" TargetMode="External"/><Relationship Id="rId2298" Type="http://schemas.openxmlformats.org/officeDocument/2006/relationships/hyperlink" Target="https://www.linkedin.com/learning/managing-employee-performance-problems-2018?trk=ondemandfile" TargetMode="External"/><Relationship Id="rId172" Type="http://schemas.openxmlformats.org/officeDocument/2006/relationships/hyperlink" Target="https://www.linkedin.com/learning/paths/build-and-manage-effective-teams?trk=ondemandfile" TargetMode="External"/><Relationship Id="rId477" Type="http://schemas.openxmlformats.org/officeDocument/2006/relationships/hyperlink" Target="https://www.linkedin.com/learning/having-difficult-conversations-a-guide-for-managers?trk=ondemandfile" TargetMode="External"/><Relationship Id="rId684" Type="http://schemas.openxmlformats.org/officeDocument/2006/relationships/hyperlink" Target="https://www.linkedin.com/learning/the-4-lenses-of-innovation-getabstract-summary?trk=ondemandfile" TargetMode="External"/><Relationship Id="rId2060" Type="http://schemas.openxmlformats.org/officeDocument/2006/relationships/hyperlink" Target="https://www.linkedin.com/learning/asking-great-sales-questions-2019?trk=ondemandfile" TargetMode="External"/><Relationship Id="rId2158" Type="http://schemas.openxmlformats.org/officeDocument/2006/relationships/hyperlink" Target="https://www.linkedin.com/learning/business-analysis-for-busy-professionals?trk=ondemandfile" TargetMode="External"/><Relationship Id="rId2365" Type="http://schemas.openxmlformats.org/officeDocument/2006/relationships/hyperlink" Target="https://www.linkedin.com/learning/overcoming-imposter-syndrome?trk=ondemandfile" TargetMode="External"/><Relationship Id="rId337" Type="http://schemas.openxmlformats.org/officeDocument/2006/relationships/hyperlink" Target="https://www.linkedin.com/learning/paths/develop-your-communication-skills-and-interpersonal-influence?trk=ondemandfile" TargetMode="External"/><Relationship Id="rId891" Type="http://schemas.openxmlformats.org/officeDocument/2006/relationships/hyperlink" Target="https://www.linkedin.com/learning/cloud-hadoop-scaling-apache-spark?trk=ondemandfile" TargetMode="External"/><Relationship Id="rId989" Type="http://schemas.openxmlformats.org/officeDocument/2006/relationships/hyperlink" Target="https://www.linkedin.com/learning/gaining-internal-buy-in-for-elearning-training?trk=ondemandfile" TargetMode="External"/><Relationship Id="rId2018" Type="http://schemas.openxmlformats.org/officeDocument/2006/relationships/hyperlink" Target="https://www.linkedin.com/learning/introduction-to-visualization-meditation?trk=ondemandfile" TargetMode="External"/><Relationship Id="rId2572" Type="http://schemas.openxmlformats.org/officeDocument/2006/relationships/hyperlink" Target="https://www.linkedin.com/learning/sheryl-sandberg-and-adam-grant-on-option-b?trk=ondemandfile" TargetMode="External"/><Relationship Id="rId544" Type="http://schemas.openxmlformats.org/officeDocument/2006/relationships/hyperlink" Target="https://www.linkedin.com/learning/marketing-your-side-hustle?trk=ondemandfile" TargetMode="External"/><Relationship Id="rId751" Type="http://schemas.openxmlformats.org/officeDocument/2006/relationships/hyperlink" Target="https://www.linkedin.com/learning/cultivating-a-growth-mindset?trk=ondemandfile" TargetMode="External"/><Relationship Id="rId849" Type="http://schemas.openxmlformats.org/officeDocument/2006/relationships/hyperlink" Target="https://www.linkedin.com/learning/excel-vba-managing-files-and-data-2?trk=ondemandfile" TargetMode="External"/><Relationship Id="rId1174" Type="http://schemas.openxmlformats.org/officeDocument/2006/relationships/hyperlink" Target="https://www.linkedin.com/learning/letting-an-employee-go-2?trk=ondemandfile" TargetMode="External"/><Relationship Id="rId1381" Type="http://schemas.openxmlformats.org/officeDocument/2006/relationships/hyperlink" Target="https://www.linkedin.com/learning/exploratory-testing?trk=ondemandfile" TargetMode="External"/><Relationship Id="rId1479" Type="http://schemas.openxmlformats.org/officeDocument/2006/relationships/hyperlink" Target="https://www.linkedin.com/learning/leading-in-uncertain-times?trk=ondemandfile" TargetMode="External"/><Relationship Id="rId1686" Type="http://schemas.openxmlformats.org/officeDocument/2006/relationships/hyperlink" Target="https://www.linkedin.com/learning/hr-guidelines-everyone-should-know?trk=ondemandfile" TargetMode="External"/><Relationship Id="rId2225" Type="http://schemas.openxmlformats.org/officeDocument/2006/relationships/hyperlink" Target="https://www.linkedin.com/learning/building-high-performance-teams?trk=ondemandfile" TargetMode="External"/><Relationship Id="rId2432" Type="http://schemas.openxmlformats.org/officeDocument/2006/relationships/hyperlink" Target="https://www.linkedin.com/learning/communicating-across-cultures-virtually?trk=ondemandfile" TargetMode="External"/><Relationship Id="rId404" Type="http://schemas.openxmlformats.org/officeDocument/2006/relationships/hyperlink" Target="https://www.linkedin.com/learning/influence-without-authority-getabstract-summary?trk=ondemandfile" TargetMode="External"/><Relationship Id="rId611" Type="http://schemas.openxmlformats.org/officeDocument/2006/relationships/hyperlink" Target="https://www.linkedin.com/learning/brand-design-foundations?trk=contentmappingfile" TargetMode="External"/><Relationship Id="rId1034" Type="http://schemas.openxmlformats.org/officeDocument/2006/relationships/hyperlink" Target="https://www.linkedin.com/learning/business-intelligence-for-consultants?trk=ondemandfile" TargetMode="External"/><Relationship Id="rId1241" Type="http://schemas.openxmlformats.org/officeDocument/2006/relationships/hyperlink" Target="https://www.linkedin.com/learning/lean-technology-strategy-managing-the-innovation-portfolio" TargetMode="External"/><Relationship Id="rId1339" Type="http://schemas.openxmlformats.org/officeDocument/2006/relationships/hyperlink" Target="https://www.linkedin.com/learning/succeeding-in-web-development-full-stack-and-front-end?trk=ondemandfile" TargetMode="External"/><Relationship Id="rId1893" Type="http://schemas.openxmlformats.org/officeDocument/2006/relationships/hyperlink" Target="https://www.linkedin.com/learning/project-management-foundations-requirements-2?trk=ondemandfile" TargetMode="External"/><Relationship Id="rId2737" Type="http://schemas.openxmlformats.org/officeDocument/2006/relationships/hyperlink" Target="https://www.linkedin.com/learning/advice-for-leaders-during-a-crisis?trk=ondemandfile" TargetMode="External"/><Relationship Id="rId709" Type="http://schemas.openxmlformats.org/officeDocument/2006/relationships/hyperlink" Target="https://www.linkedin.com/learning/unique-ways-to-generate-creative-ideas?trk=contentmappingfile" TargetMode="External"/><Relationship Id="rId916" Type="http://schemas.openxmlformats.org/officeDocument/2006/relationships/hyperlink" Target="https://www.linkedin.com/learning/power-bi-data-modeling-with-dax?trk=ondemandfile" TargetMode="External"/><Relationship Id="rId1101" Type="http://schemas.openxmlformats.org/officeDocument/2006/relationships/hyperlink" Target="https://www.linkedin.com/learning/sql-for-statistics-essential-training?trk=ondemandfile" TargetMode="External"/><Relationship Id="rId1546" Type="http://schemas.openxmlformats.org/officeDocument/2006/relationships/hyperlink" Target="https://www.linkedin.com/learning/developing-credibility-as-a-leader?trk=ondemandfile" TargetMode="External"/><Relationship Id="rId1753" Type="http://schemas.openxmlformats.org/officeDocument/2006/relationships/hyperlink" Target="https://www.linkedin.com/learning/5s-workplace-productivity?trk=ondemandfile" TargetMode="External"/><Relationship Id="rId1960" Type="http://schemas.openxmlformats.org/officeDocument/2006/relationships/hyperlink" Target="https://www.linkedin.com/learning/how-to-manage-lean-six-sigma-projects-part-i?trk=ondemandfile" TargetMode="External"/><Relationship Id="rId45" Type="http://schemas.openxmlformats.org/officeDocument/2006/relationships/hyperlink" Target="https://www.linkedin.com/learning/creating-lasting-habits?trk=ondemandfile" TargetMode="External"/><Relationship Id="rId1406" Type="http://schemas.openxmlformats.org/officeDocument/2006/relationships/hyperlink" Target="https://www.linkedin.com/learning/microsoft-power-apps-ai-builder?trk=ondemandfile" TargetMode="External"/><Relationship Id="rId1613" Type="http://schemas.openxmlformats.org/officeDocument/2006/relationships/hyperlink" Target="https://www.linkedin.com/learning/communicating-internally-during-times-of-uncertainty?trk=ondemandfile" TargetMode="External"/><Relationship Id="rId1820" Type="http://schemas.openxmlformats.org/officeDocument/2006/relationships/hyperlink" Target="https://www.linkedin.com/learning/how-to-turn-your-entrepreneur-journey-into-a-successful-keynote-talk?trk=ondemandfile" TargetMode="External"/><Relationship Id="rId194" Type="http://schemas.openxmlformats.org/officeDocument/2006/relationships/hyperlink" Target="https://www.linkedin.com/learning/leading-virtual-meetings?trk=ondemandfile" TargetMode="External"/><Relationship Id="rId1918" Type="http://schemas.openxmlformats.org/officeDocument/2006/relationships/hyperlink" Target="https://www.linkedin.com/learning/product-management-tips?trk=ondemandfile" TargetMode="External"/><Relationship Id="rId2082" Type="http://schemas.openxmlformats.org/officeDocument/2006/relationships/hyperlink" Target="https://www.linkedin.com/learning/paths/become-a-business-operations-associate?trk=ondemandfile" TargetMode="External"/><Relationship Id="rId261" Type="http://schemas.openxmlformats.org/officeDocument/2006/relationships/hyperlink" Target="https://www.linkedin.com/learning/leading-inclusive-teams?trk=ondemandfile" TargetMode="External"/><Relationship Id="rId499" Type="http://schemas.openxmlformats.org/officeDocument/2006/relationships/hyperlink" Target="https://www.linkedin.com/learning/how-to-give-negative-feedback-to-senior-colleagues?trk=ondemandfile" TargetMode="External"/><Relationship Id="rId2387" Type="http://schemas.openxmlformats.org/officeDocument/2006/relationships/hyperlink" Target="https://www.linkedin.com/learning/emotional-intelligence-as-an-inclusivity-booster?trk=ondemandfile" TargetMode="External"/><Relationship Id="rId2594" Type="http://schemas.openxmlformats.org/officeDocument/2006/relationships/hyperlink" Target="https://www.linkedin.com/learning/reframing-the-power-of-changing-your-perspective?trk=ondemandfile" TargetMode="External"/><Relationship Id="rId359" Type="http://schemas.openxmlformats.org/officeDocument/2006/relationships/hyperlink" Target="https://www.linkedin.com/learning/body-language-for-leaders-2?trk=ondemandfile" TargetMode="External"/><Relationship Id="rId566" Type="http://schemas.openxmlformats.org/officeDocument/2006/relationships/hyperlink" Target="https://www.linkedin.com/learning/marketing-tools-digital-marketing-2?trk=ondemandfile" TargetMode="External"/><Relationship Id="rId773" Type="http://schemas.openxmlformats.org/officeDocument/2006/relationships/hyperlink" Target="https://www.linkedin.com/learning/service-innovation?trk=ondemandfile" TargetMode="External"/><Relationship Id="rId1196" Type="http://schemas.openxmlformats.org/officeDocument/2006/relationships/hyperlink" Target="https://www.linkedin.com/learning/business-benefits-realization-foundations?trk=ondemandfile" TargetMode="External"/><Relationship Id="rId2247" Type="http://schemas.openxmlformats.org/officeDocument/2006/relationships/hyperlink" Target="https://www.linkedin.com/learning/how-to-be-a-good-mentee?trk=ondemandfile" TargetMode="External"/><Relationship Id="rId2454" Type="http://schemas.openxmlformats.org/officeDocument/2006/relationships/hyperlink" Target="https://www.linkedin.com/learning/writing-articles-2?trk=ondemandfile" TargetMode="External"/><Relationship Id="rId121" Type="http://schemas.openxmlformats.org/officeDocument/2006/relationships/hyperlink" Target="https://www.linkedin.com/learning/handling-workplace-change-as-an-employee?trk=ondemandfile" TargetMode="External"/><Relationship Id="rId219" Type="http://schemas.openxmlformats.org/officeDocument/2006/relationships/hyperlink" Target="https://www.linkedin.com/learning/the-ideal-team-player-getabstract-summary?trk=ondemandfile" TargetMode="External"/><Relationship Id="rId426" Type="http://schemas.openxmlformats.org/officeDocument/2006/relationships/hyperlink" Target="https://www.linkedin.com/learning/how-to-manage-office-politics?trk=ondemandfile" TargetMode="External"/><Relationship Id="rId633" Type="http://schemas.openxmlformats.org/officeDocument/2006/relationships/hyperlink" Target="https://www.linkedin.com/learning/social-media-marketing-optimization-2?trk=ondemandfile" TargetMode="External"/><Relationship Id="rId980" Type="http://schemas.openxmlformats.org/officeDocument/2006/relationships/hyperlink" Target="https://www.linkedin.com/learning/managing-globally/what-is-cultural-agility" TargetMode="External"/><Relationship Id="rId1056" Type="http://schemas.openxmlformats.org/officeDocument/2006/relationships/hyperlink" Target="https://www.linkedin.com/learning/behavioral-finance-foundations-2?trk=ondemandfile" TargetMode="External"/><Relationship Id="rId1263" Type="http://schemas.openxmlformats.org/officeDocument/2006/relationships/hyperlink" Target="https://www.linkedin.com/learning/paths/become-a-cloud-administrator?trk=ondemandfile" TargetMode="External"/><Relationship Id="rId2107" Type="http://schemas.openxmlformats.org/officeDocument/2006/relationships/hyperlink" Target="https://www.linkedin.com/learning/organizational-thought-leadership?trk=ondemandfile" TargetMode="External"/><Relationship Id="rId2314" Type="http://schemas.openxmlformats.org/officeDocument/2006/relationships/hyperlink" Target="https://www.linkedin.com/learning/leading-globally?trk=ondemandfile" TargetMode="External"/><Relationship Id="rId2661" Type="http://schemas.openxmlformats.org/officeDocument/2006/relationships/hyperlink" Target="https://www.linkedin.com/learning/getting-your-talent-to-bring-their-best-ideas-to-work?trk=ondemandfile" TargetMode="External"/><Relationship Id="rId840" Type="http://schemas.openxmlformats.org/officeDocument/2006/relationships/hyperlink" Target="https://www.linkedin.com/learning/paths/become-a-business-analytics-expert?trk=ondemandfile" TargetMode="External"/><Relationship Id="rId938" Type="http://schemas.openxmlformats.org/officeDocument/2006/relationships/hyperlink" Target="https://www.linkedin.com/learning/agile-business-analysis-weekly-tips?trk=ondemandfile" TargetMode="External"/><Relationship Id="rId1470" Type="http://schemas.openxmlformats.org/officeDocument/2006/relationships/hyperlink" Target="https://www.linkedin.com/learning/strategies-to-foster-inclusive-language-at-work?trk=contentmappingfile" TargetMode="External"/><Relationship Id="rId1568" Type="http://schemas.openxmlformats.org/officeDocument/2006/relationships/hyperlink" Target="https://www.linkedin.com/learning/become-a-digital-nomad?trk=ondemandfile" TargetMode="External"/><Relationship Id="rId1775" Type="http://schemas.openxmlformats.org/officeDocument/2006/relationships/hyperlink" Target="https://www.linkedin.com/learning/product-management-building-a-product-strategy?trk=ondemandfile" TargetMode="External"/><Relationship Id="rId2521" Type="http://schemas.openxmlformats.org/officeDocument/2006/relationships/hyperlink" Target="https://www.linkedin.com/learning/introduction-to-gratitude-meditation?trk=ondemandfile" TargetMode="External"/><Relationship Id="rId2619" Type="http://schemas.openxmlformats.org/officeDocument/2006/relationships/hyperlink" Target="https://www.linkedin.com/learning/leading-the-organization-monthly?trk=ondemandfile" TargetMode="External"/><Relationship Id="rId67" Type="http://schemas.openxmlformats.org/officeDocument/2006/relationships/hyperlink" Target="https://www.linkedin.com/learning/fred-kofman-on-accountability?trk=ondemandfile" TargetMode="External"/><Relationship Id="rId700" Type="http://schemas.openxmlformats.org/officeDocument/2006/relationships/hyperlink" Target="https://www.linkedin.com/learning/implementing-creative-feedback-the-win-win-way?trk=ondemandfile" TargetMode="External"/><Relationship Id="rId1123" Type="http://schemas.openxmlformats.org/officeDocument/2006/relationships/hyperlink" Target="https://www.linkedin.com/learning/content/425902?u=104" TargetMode="External"/><Relationship Id="rId1330" Type="http://schemas.openxmlformats.org/officeDocument/2006/relationships/hyperlink" Target="https://www.linkedin.com/learning/learning-system-center-configuration-manager-2?trk=ondemandfile" TargetMode="External"/><Relationship Id="rId1428" Type="http://schemas.openxmlformats.org/officeDocument/2006/relationships/hyperlink" Target="https://www.linkedin.com/learning/counterintuitive-leadership-strategies-for-a-vuca-environment?trk=ondemandfile" TargetMode="External"/><Relationship Id="rId1635" Type="http://schemas.openxmlformats.org/officeDocument/2006/relationships/hyperlink" Target="https://www.linkedin.com/learning/managing-new-managers?trk=ondemandfile" TargetMode="External"/><Relationship Id="rId1982" Type="http://schemas.openxmlformats.org/officeDocument/2006/relationships/hyperlink" Target="https://www.linkedin.com/learning/salesforce-essential-training?trk=ondemandfile" TargetMode="External"/><Relationship Id="rId1842" Type="http://schemas.openxmlformats.org/officeDocument/2006/relationships/hyperlink" Target="https://www.linkedin.com/learning/17-pr-mistakes-to-avoid?trk=ondemandfile" TargetMode="External"/><Relationship Id="rId1702" Type="http://schemas.openxmlformats.org/officeDocument/2006/relationships/hyperlink" Target="https://www.linkedin.com/learning/advice-for-leaders-during-a-crisis?trk=ondemandfile" TargetMode="External"/><Relationship Id="rId283" Type="http://schemas.openxmlformats.org/officeDocument/2006/relationships/hyperlink" Target="https://www.linkedin.com/learning/developing-self-awareness?trk=ondemandfile" TargetMode="External"/><Relationship Id="rId490" Type="http://schemas.openxmlformats.org/officeDocument/2006/relationships/hyperlink" Target="https://www.linkedin.com/learning/how-to-win-arguments?trk=ondemandfile" TargetMode="External"/><Relationship Id="rId2171" Type="http://schemas.openxmlformats.org/officeDocument/2006/relationships/hyperlink" Target="https://www.linkedin.com/learning/strategic-human-resources?trk=ondemandfile" TargetMode="External"/><Relationship Id="rId143" Type="http://schemas.openxmlformats.org/officeDocument/2006/relationships/hyperlink" Target="https://www.linkedin.com/learning/preparing-to-lead-developing-mental-toughness-in-yourself?trk=ondemandfile" TargetMode="External"/><Relationship Id="rId350" Type="http://schemas.openxmlformats.org/officeDocument/2006/relationships/hyperlink" Target="https://www.linkedin.com/learning/agile-negotiation?trk=ondemandfile" TargetMode="External"/><Relationship Id="rId588" Type="http://schemas.openxmlformats.org/officeDocument/2006/relationships/hyperlink" Target="https://www.linkedin.com/learning/the-22-immutable-laws-of-branding-blinkist-summary?trk=ondemandfile" TargetMode="External"/><Relationship Id="rId795" Type="http://schemas.openxmlformats.org/officeDocument/2006/relationships/hyperlink" Target="https://www.linkedin.com/learning/marketing-foundations-consumer-behavior?trk=ondemandfile" TargetMode="External"/><Relationship Id="rId2031" Type="http://schemas.openxmlformats.org/officeDocument/2006/relationships/hyperlink" Target="https://www.linkedin.com/learning/aftersale-maintaining-relationships?trk=ondemandfile" TargetMode="External"/><Relationship Id="rId2269" Type="http://schemas.openxmlformats.org/officeDocument/2006/relationships/hyperlink" Target="https://www.linkedin.com/learning/rewarding-employee-performance?trk=ondemandfile" TargetMode="External"/><Relationship Id="rId2476" Type="http://schemas.openxmlformats.org/officeDocument/2006/relationships/hyperlink" Target="https://www.linkedin.com/learning/connecting-with-your-millennial-manager" TargetMode="External"/><Relationship Id="rId2683" Type="http://schemas.openxmlformats.org/officeDocument/2006/relationships/hyperlink" Target="https://www.linkedin.com/learning/becoming-a-manager-your-team-loves?trk=ondemandfile" TargetMode="External"/><Relationship Id="rId9" Type="http://schemas.openxmlformats.org/officeDocument/2006/relationships/hyperlink" Target="https://www.linkedin.com/learning/goal-setting-objectives-and-key-results-okrs?trk=ondemandfile" TargetMode="External"/><Relationship Id="rId210" Type="http://schemas.openxmlformats.org/officeDocument/2006/relationships/hyperlink" Target="https://www.linkedin.com/learning/having-career-conversations-with-your-team?trk=ondemandfile" TargetMode="External"/><Relationship Id="rId448" Type="http://schemas.openxmlformats.org/officeDocument/2006/relationships/hyperlink" Target="https://www.linkedin.com/learning/the-10-essentials-of-influence-and-persuasion?trk=ondemandfile" TargetMode="External"/><Relationship Id="rId655" Type="http://schemas.openxmlformats.org/officeDocument/2006/relationships/hyperlink" Target="https://www.linkedin.com/learning/agile-software-development-creating-an-agile-culture?trk=ondemandfile" TargetMode="External"/><Relationship Id="rId862" Type="http://schemas.openxmlformats.org/officeDocument/2006/relationships/hyperlink" Target="https://www.linkedin.com/learning/paths/master-excel-for-data-science?trk=ondemandfile" TargetMode="External"/><Relationship Id="rId1078" Type="http://schemas.openxmlformats.org/officeDocument/2006/relationships/hyperlink" Target="https://www.linkedin.com/learning/corporate-finance-strategies-for-business-leaders?trk=ondemandfile" TargetMode="External"/><Relationship Id="rId1285" Type="http://schemas.openxmlformats.org/officeDocument/2006/relationships/hyperlink" Target="https://www.linkedin.com/learning/transitioning-from-technical-professional-to-manager?trk=ondemandfile" TargetMode="External"/><Relationship Id="rId1492" Type="http://schemas.openxmlformats.org/officeDocument/2006/relationships/hyperlink" Target="https://www.linkedin.com/learning/ryan-holmes-on-social-leadership?trk=ondemandfile" TargetMode="External"/><Relationship Id="rId2129" Type="http://schemas.openxmlformats.org/officeDocument/2006/relationships/hyperlink" Target="https://www.linkedin.com/learning/business-law-for-managers?trk=ondemandfile" TargetMode="External"/><Relationship Id="rId2336" Type="http://schemas.openxmlformats.org/officeDocument/2006/relationships/hyperlink" Target="https://www.linkedin.com/learning/leading-your-org-on-a-journey-of-allyship?trk=ondemandfile" TargetMode="External"/><Relationship Id="rId2543" Type="http://schemas.openxmlformats.org/officeDocument/2006/relationships/hyperlink" Target="https://www.linkedin.com/learning/improving-emotional-intelligence-with-mindfulness?trk=ondemandfile" TargetMode="External"/><Relationship Id="rId308" Type="http://schemas.openxmlformats.org/officeDocument/2006/relationships/hyperlink" Target="https://www.linkedin.com/learning/effective-listening?trk=ondemandfile" TargetMode="External"/><Relationship Id="rId515" Type="http://schemas.openxmlformats.org/officeDocument/2006/relationships/hyperlink" Target="https://www.linkedin.com/learning/seo-link-building?trk=ondemandfile" TargetMode="External"/><Relationship Id="rId722" Type="http://schemas.openxmlformats.org/officeDocument/2006/relationships/hyperlink" Target="https://www.linkedin.com/learning/paths/improve-your-problem-solving-skills?trk=ondemandfile" TargetMode="External"/><Relationship Id="rId1145" Type="http://schemas.openxmlformats.org/officeDocument/2006/relationships/hyperlink" Target="https://www.linkedin.com/learning/paths/develop-your-hr-management-and-leadership-skills?trk=ondemandfile" TargetMode="External"/><Relationship Id="rId1352" Type="http://schemas.openxmlformats.org/officeDocument/2006/relationships/hyperlink" Target="https://www.linkedin.com/learning/introduction-to-network-routing?trk=ondemandfile" TargetMode="External"/><Relationship Id="rId1797" Type="http://schemas.openxmlformats.org/officeDocument/2006/relationships/hyperlink" Target="https://www.linkedin.com/learning/communication-tips-for-pitching-to-investors?trk=ondemandfile" TargetMode="External"/><Relationship Id="rId2403" Type="http://schemas.openxmlformats.org/officeDocument/2006/relationships/hyperlink" Target="https://www.linkedin.com/learning/understanding-and-supporting-asian-employees?trk=ondemandfile" TargetMode="External"/><Relationship Id="rId89" Type="http://schemas.openxmlformats.org/officeDocument/2006/relationships/hyperlink" Target="https://www.linkedin.com/learning/habits-for-success?trk=ondemandfile" TargetMode="External"/><Relationship Id="rId1005" Type="http://schemas.openxmlformats.org/officeDocument/2006/relationships/hyperlink" Target="https://www.linkedin.com/learning/leveraging-neuroscience-for-business-impact?trk=ondemandfile" TargetMode="External"/><Relationship Id="rId1212" Type="http://schemas.openxmlformats.org/officeDocument/2006/relationships/hyperlink" Target="https://www.linkedin.com/learning/managing-globally/what-is-cultural-agility" TargetMode="External"/><Relationship Id="rId1657" Type="http://schemas.openxmlformats.org/officeDocument/2006/relationships/hyperlink" Target="https://www.linkedin.com/learning/motivating-and-engaging-employees-2?trk=ondemandfile" TargetMode="External"/><Relationship Id="rId1864" Type="http://schemas.openxmlformats.org/officeDocument/2006/relationships/hyperlink" Target="https://www.linkedin.com/learning/paths/become-a-portfolio-manager?trk=ondemandfile" TargetMode="External"/><Relationship Id="rId2610" Type="http://schemas.openxmlformats.org/officeDocument/2006/relationships/hyperlink" Target="https://www.linkedin.com/learning/thriving-work-leveraging-the-connection-between-well-being-and-productivity?trk=ondemandfile" TargetMode="External"/><Relationship Id="rId2708" Type="http://schemas.openxmlformats.org/officeDocument/2006/relationships/hyperlink" Target="https://www.linkedin.com/learning/mulitpliers?trk=ondemandfile" TargetMode="External"/><Relationship Id="rId1517" Type="http://schemas.openxmlformats.org/officeDocument/2006/relationships/hyperlink" Target="https://www.linkedin.com/learning/the-future-of-performance-management?trk=ondemandfile" TargetMode="External"/><Relationship Id="rId1724" Type="http://schemas.openxmlformats.org/officeDocument/2006/relationships/hyperlink" Target="https://www.linkedin.com/learning/skip-level-meetings?trk=ondemandfile" TargetMode="External"/><Relationship Id="rId16" Type="http://schemas.openxmlformats.org/officeDocument/2006/relationships/hyperlink" Target="https://www.linkedin.com/learning/how-to-build-virtual-accountability?trk=ondemandfile" TargetMode="External"/><Relationship Id="rId1931" Type="http://schemas.openxmlformats.org/officeDocument/2006/relationships/hyperlink" Target="https://www.linkedin.com/learning/become-a-project-management-entrepreneur?trk=ondemandfile" TargetMode="External"/><Relationship Id="rId2193" Type="http://schemas.openxmlformats.org/officeDocument/2006/relationships/hyperlink" Target="https://www.linkedin.com/learning/paths/improve-your-coaching-skills-as-a-manager?trk=ondemandfile" TargetMode="External"/><Relationship Id="rId2498" Type="http://schemas.openxmlformats.org/officeDocument/2006/relationships/hyperlink" Target="https://www.linkedin.com/learning/de-stress?trk=ondemandfile" TargetMode="External"/><Relationship Id="rId165" Type="http://schemas.openxmlformats.org/officeDocument/2006/relationships/hyperlink" Target="https://www.linkedin.com/learning/adaptive-project-leadership?trk=ondemandfile" TargetMode="External"/><Relationship Id="rId372" Type="http://schemas.openxmlformats.org/officeDocument/2006/relationships/hyperlink" Target="https://www.linkedin.com/learning/communicating-with-empathy?trk=ondemandfile" TargetMode="External"/><Relationship Id="rId677" Type="http://schemas.openxmlformats.org/officeDocument/2006/relationships/hyperlink" Target="https://www.linkedin.com/learning/creative-thinking?trk=ondemandfile" TargetMode="External"/><Relationship Id="rId2053" Type="http://schemas.openxmlformats.org/officeDocument/2006/relationships/hyperlink" Target="https://www.linkedin.com/learning/sales-data-driven-sales-management?trk=ondemandfile" TargetMode="External"/><Relationship Id="rId2260" Type="http://schemas.openxmlformats.org/officeDocument/2006/relationships/hyperlink" Target="https://www.linkedin.com/learning/paths/become-an-inclusive-leader?trk=ondemandfile" TargetMode="External"/><Relationship Id="rId2358" Type="http://schemas.openxmlformats.org/officeDocument/2006/relationships/hyperlink" Target="https://www.linkedin.com/learning/out-and-proud-approaching-lgbt-issues-in-the-workplace?trk=ondemandfile" TargetMode="External"/><Relationship Id="rId232" Type="http://schemas.openxmlformats.org/officeDocument/2006/relationships/hyperlink" Target="https://www.linkedin.com/learning/shane-snow-on-dream-teams?trk=ondemandfile" TargetMode="External"/><Relationship Id="rId884" Type="http://schemas.openxmlformats.org/officeDocument/2006/relationships/hyperlink" Target="https://www.linkedin.com/learning/data-science-foundations-fundamentals-2019-full-revision?trk=ondemandfile" TargetMode="External"/><Relationship Id="rId2120" Type="http://schemas.openxmlformats.org/officeDocument/2006/relationships/hyperlink" Target="https://www.linkedin.com/learning/creating-a-culture-of-privacy?trk=ondemandfile" TargetMode="External"/><Relationship Id="rId2565" Type="http://schemas.openxmlformats.org/officeDocument/2006/relationships/hyperlink" Target="https://www.linkedin.com/learning/sharing-your-best-self-at-work?trk=ondemandfile" TargetMode="External"/><Relationship Id="rId537" Type="http://schemas.openxmlformats.org/officeDocument/2006/relationships/hyperlink" Target="https://www.linkedin.com/learning/advertising-on-fac-ebook-advanced-2020?trk=ondemandfile" TargetMode="External"/><Relationship Id="rId744" Type="http://schemas.openxmlformats.org/officeDocument/2006/relationships/hyperlink" Target="https://www.linkedin.com/learning/improving-your-thinking?trk=ondemandfile" TargetMode="External"/><Relationship Id="rId951" Type="http://schemas.openxmlformats.org/officeDocument/2006/relationships/hyperlink" Target="https://www.linkedin.com/learning/paths/become-an-instructional-developer?trk=ondemandfile" TargetMode="External"/><Relationship Id="rId1167" Type="http://schemas.openxmlformats.org/officeDocument/2006/relationships/hyperlink" Target="https://www.linkedin.com/learning/hire-retain-and-grow-top-millennial-talent?trk=ondemandfile" TargetMode="External"/><Relationship Id="rId1374" Type="http://schemas.openxmlformats.org/officeDocument/2006/relationships/hyperlink" Target="https://www.linkedin.com/learning/applied-ai-for-human-resources?trk=ondemandfile" TargetMode="External"/><Relationship Id="rId1581" Type="http://schemas.openxmlformats.org/officeDocument/2006/relationships/hyperlink" Target="https://www.linkedin.com/learning/inclusive-communication?trk=ondemandfile" TargetMode="External"/><Relationship Id="rId1679" Type="http://schemas.openxmlformats.org/officeDocument/2006/relationships/hyperlink" Target="https://www.linkedin.com/learning/how-to-be-an-effective-remote-manager?trk=ondemandfile" TargetMode="External"/><Relationship Id="rId2218" Type="http://schemas.openxmlformats.org/officeDocument/2006/relationships/hyperlink" Target="https://www.linkedin.com/learning/developing-adaptable-employees?trk=ondemandfile" TargetMode="External"/><Relationship Id="rId2425" Type="http://schemas.openxmlformats.org/officeDocument/2006/relationships/hyperlink" Target="https://www.linkedin.com/learning/digital-accessibility-for-the-modern-workplace-with-audio-descriptions?trk=ondemandfile" TargetMode="External"/><Relationship Id="rId2632" Type="http://schemas.openxmlformats.org/officeDocument/2006/relationships/hyperlink" Target="https://www.linkedin.com/learning/paths/managing-and-leading-developers?trk=ondemandfile" TargetMode="External"/><Relationship Id="rId80" Type="http://schemas.openxmlformats.org/officeDocument/2006/relationships/hyperlink" Target="https://www.linkedin.com/learning/balancing-work-and-life-as-a-work-from-home-parent?trk=ondemandfile" TargetMode="External"/><Relationship Id="rId604" Type="http://schemas.openxmlformats.org/officeDocument/2006/relationships/hyperlink" Target="https://www.linkedin.com/learning/introduction-to-linkedin-creator-mode?trk=ondemandfile" TargetMode="External"/><Relationship Id="rId811" Type="http://schemas.openxmlformats.org/officeDocument/2006/relationships/hyperlink" Target="https://www.linkedin.com/learning/customer-service-managing-customer-expectations?trk=ondemandfile" TargetMode="External"/><Relationship Id="rId1027" Type="http://schemas.openxmlformats.org/officeDocument/2006/relationships/hyperlink" Target="https://www.linkedin.com/learning/paths/develop-your-finance-and-accounting-skills?trk=ondemandfile" TargetMode="External"/><Relationship Id="rId1234" Type="http://schemas.openxmlformats.org/officeDocument/2006/relationships/hyperlink" Target="https://www.linkedin.com/learning/using-neuroscience-for-more-effective-l-d?trk=ondemandfile" TargetMode="External"/><Relationship Id="rId1441" Type="http://schemas.openxmlformats.org/officeDocument/2006/relationships/hyperlink" Target="https://www.linkedin.com/learning/organizational-learning-and-development?trk=ondemandfile" TargetMode="External"/><Relationship Id="rId1886" Type="http://schemas.openxmlformats.org/officeDocument/2006/relationships/hyperlink" Target="https://docs.google.com/spreadsheets/d/125lXqIcHUrmOCQ3PkPvx9WmMu_iMuq6e8fL-2NaMLiA/edit" TargetMode="External"/><Relationship Id="rId909" Type="http://schemas.openxmlformats.org/officeDocument/2006/relationships/hyperlink" Target="https://www.linkedin.com/learning/ux-deep-dive-analyzing-data?trk=ondemandfile" TargetMode="External"/><Relationship Id="rId1301" Type="http://schemas.openxmlformats.org/officeDocument/2006/relationships/hyperlink" Target="https://www.linkedin.com/learning/paths/improve-your-microsoft-excel-skills?trk=ondemandfile" TargetMode="External"/><Relationship Id="rId1539" Type="http://schemas.openxmlformats.org/officeDocument/2006/relationships/hyperlink" Target="https://www.linkedin.com/learning/management-foundations-2019?trk=ondemandfile" TargetMode="External"/><Relationship Id="rId1746" Type="http://schemas.openxmlformats.org/officeDocument/2006/relationships/hyperlink" Target="https://www.linkedin.com/learning/process-improvement-foundations?trk=ondemandfile" TargetMode="External"/><Relationship Id="rId1953" Type="http://schemas.openxmlformats.org/officeDocument/2006/relationships/hyperlink" Target="https://www.linkedin.com/learning/agile-rebranding?trk=ondemandfile" TargetMode="External"/><Relationship Id="rId38" Type="http://schemas.openxmlformats.org/officeDocument/2006/relationships/hyperlink" Target="https://www.linkedin.com/learning/productivity-principles-to-make-time-for-what-s-important?trk=ondemandfile" TargetMode="External"/><Relationship Id="rId1606" Type="http://schemas.openxmlformats.org/officeDocument/2006/relationships/hyperlink" Target="https://www.linkedin.com/learning/bill-george-on-self-awareness-authenticity-and-leadership?trk=ondemandfile" TargetMode="External"/><Relationship Id="rId1813" Type="http://schemas.openxmlformats.org/officeDocument/2006/relationships/hyperlink" Target="https://www.linkedin.com/learning/managing-meetings?trk=ondemandfile" TargetMode="External"/><Relationship Id="rId187" Type="http://schemas.openxmlformats.org/officeDocument/2006/relationships/hyperlink" Target="https://www.linkedin.com/learning/culture-of-kaizen?trk=ondemandfile" TargetMode="External"/><Relationship Id="rId394" Type="http://schemas.openxmlformats.org/officeDocument/2006/relationships/hyperlink" Target="https://www.linkedin.com/learning/inspirational-leadership-skills-practical-motivational-leadership?trk=ondemandfile" TargetMode="External"/><Relationship Id="rId2075" Type="http://schemas.openxmlformats.org/officeDocument/2006/relationships/hyperlink" Target="https://www.linkedin.com/learning/flip-the-script-a-toolkit-for-sellers-and-negotiators-blinkist-summary?trk=ondemandfile" TargetMode="External"/><Relationship Id="rId2282" Type="http://schemas.openxmlformats.org/officeDocument/2006/relationships/hyperlink" Target="https://www.linkedin.com/learning/virtual-performance-reviews-and-feedback?trk=ondemandfile" TargetMode="External"/><Relationship Id="rId254" Type="http://schemas.openxmlformats.org/officeDocument/2006/relationships/hyperlink" Target="https://www.linkedin.com/learning/employee-experience?trk=ondemandfile" TargetMode="External"/><Relationship Id="rId699" Type="http://schemas.openxmlformats.org/officeDocument/2006/relationships/hyperlink" Target="https://www.linkedin.com/learning/banish-your-inner-critic-to-unleash-creativity-3?trk=ondemandfile" TargetMode="External"/><Relationship Id="rId1091" Type="http://schemas.openxmlformats.org/officeDocument/2006/relationships/hyperlink" Target="https://www.linkedin.com/learning/excel-for-investment-professionals?trk=ondemandfile" TargetMode="External"/><Relationship Id="rId2587" Type="http://schemas.openxmlformats.org/officeDocument/2006/relationships/hyperlink" Target="https://www.linkedin.com/learning/arianna-huffington-s-thrive-04-facing-challenges?trk=ondemandfile" TargetMode="External"/><Relationship Id="rId114" Type="http://schemas.openxmlformats.org/officeDocument/2006/relationships/hyperlink" Target="https://www.linkedin.com/learning/developing-adaptable-employees?trk=ondemandfile" TargetMode="External"/><Relationship Id="rId461" Type="http://schemas.openxmlformats.org/officeDocument/2006/relationships/hyperlink" Target="https://www.linkedin.com/learning/the-hard-thing-about-hard-things?trk=ondemandfile" TargetMode="External"/><Relationship Id="rId559" Type="http://schemas.openxmlformats.org/officeDocument/2006/relationships/hyperlink" Target="https://www.linkedin.com/learning/marketing-and-monetizing-on-youtube-2019?trk=ondemandfile" TargetMode="External"/><Relationship Id="rId766" Type="http://schemas.openxmlformats.org/officeDocument/2006/relationships/hyperlink" Target="https://www.linkedin.com/learning/smarter-faster-better-blinkist-summary?trk=ondemandfile" TargetMode="External"/><Relationship Id="rId1189" Type="http://schemas.openxmlformats.org/officeDocument/2006/relationships/hyperlink" Target="https://www.linkedin.com/learning/hr-guidelines-everyone-should-know?trk=ondemandfile" TargetMode="External"/><Relationship Id="rId1396" Type="http://schemas.openxmlformats.org/officeDocument/2006/relationships/hyperlink" Target="https://www.linkedin.com/learning/power-bi-data-modeling-with-dax?trk=ondemandfile" TargetMode="External"/><Relationship Id="rId2142" Type="http://schemas.openxmlformats.org/officeDocument/2006/relationships/hyperlink" Target="https://www.linkedin.com/learning/learning-logo-design?trk=ondemandfile" TargetMode="External"/><Relationship Id="rId2447" Type="http://schemas.openxmlformats.org/officeDocument/2006/relationships/hyperlink" Target="https://www.linkedin.com/learning/writing-white-papers?trk=ondemandfile" TargetMode="External"/><Relationship Id="rId321" Type="http://schemas.openxmlformats.org/officeDocument/2006/relationships/hyperlink" Target="https://www.linkedin.com/learning/communicating-with-diplomacy-and-tact?trk=ondemandfile" TargetMode="External"/><Relationship Id="rId419" Type="http://schemas.openxmlformats.org/officeDocument/2006/relationships/hyperlink" Target="https://www.linkedin.com/learning/communicating-with-diplomacy-and-tact?trk=ondemandfile" TargetMode="External"/><Relationship Id="rId626" Type="http://schemas.openxmlformats.org/officeDocument/2006/relationships/hyperlink" Target="https://www.linkedin.com/learning/social-media-monitoring-strategies-and-skills?trk=ondemandfile" TargetMode="External"/><Relationship Id="rId973" Type="http://schemas.openxmlformats.org/officeDocument/2006/relationships/hyperlink" Target="https://www.linkedin.com/learning/using-humor-in-training-to-eng-age-your-audience?trk=ondemandfile" TargetMode="External"/><Relationship Id="rId1049" Type="http://schemas.openxmlformats.org/officeDocument/2006/relationships/hyperlink" Target="https://www.linkedin.com/learning/how-to-analyze-a-wholesale-deal-in-real-estate?trk=ondemandfile" TargetMode="External"/><Relationship Id="rId1256" Type="http://schemas.openxmlformats.org/officeDocument/2006/relationships/hyperlink" Target="https://www.linkedin.com/learning/lean-technology-strategy-managing-the-innovation-portfolio?trk=ondemandfile" TargetMode="External"/><Relationship Id="rId2002" Type="http://schemas.openxmlformats.org/officeDocument/2006/relationships/hyperlink" Target="https://www.linkedin.com/learning/creating-your-sales-process-2?trk=ondemandfile" TargetMode="External"/><Relationship Id="rId2307" Type="http://schemas.openxmlformats.org/officeDocument/2006/relationships/hyperlink" Target="https://www.linkedin.com/learning/interviewing-t-echniques-2019?trk=ondemandfile" TargetMode="External"/><Relationship Id="rId2654" Type="http://schemas.openxmlformats.org/officeDocument/2006/relationships/hyperlink" Target="https://www.linkedin.com/learning/balancing-multiple-roles-as-a-leader?trk=ondemandfile" TargetMode="External"/><Relationship Id="rId833" Type="http://schemas.openxmlformats.org/officeDocument/2006/relationships/hyperlink" Target="https://www.linkedin.com/learning/data-strategy?trk=contentmappingfile" TargetMode="External"/><Relationship Id="rId1116" Type="http://schemas.openxmlformats.org/officeDocument/2006/relationships/hyperlink" Target="https://www.linkedin.com/learning/accounting-foundations-statement-of-cash-flows?trk=ondemandfile" TargetMode="External"/><Relationship Id="rId1463" Type="http://schemas.openxmlformats.org/officeDocument/2006/relationships/hyperlink" Target="https://www.linkedin.com/learning/guy-kawasaki-on-turning-life-wisd-om-into-business-success?trk=ondemandfile" TargetMode="External"/><Relationship Id="rId1670" Type="http://schemas.openxmlformats.org/officeDocument/2006/relationships/hyperlink" Target="https://www.linkedin.com/learning/leading-and-working-in-teams?trk=ondemandfile" TargetMode="External"/><Relationship Id="rId1768" Type="http://schemas.openxmlformats.org/officeDocument/2006/relationships/hyperlink" Target="https://www.linkedin.com/learning/excel-supply-chain-analysis-solving-transportation-problems?trk=ondemandfile" TargetMode="External"/><Relationship Id="rId2514" Type="http://schemas.openxmlformats.org/officeDocument/2006/relationships/hyperlink" Target="https://www.linkedin.com/learning/managing-stress-2019?trk=ondemandfile" TargetMode="External"/><Relationship Id="rId2721" Type="http://schemas.openxmlformats.org/officeDocument/2006/relationships/hyperlink" Target="https://www.linkedin.com/learning/preparing-to-lead-developing-mental-toughness-in-yourself?trk=ondemandfile" TargetMode="External"/><Relationship Id="rId900" Type="http://schemas.openxmlformats.org/officeDocument/2006/relationships/hyperlink" Target="https://www.linkedin.com/learning/skills-that-set-data-scientists-apart?trk=contentmappingfile" TargetMode="External"/><Relationship Id="rId1323" Type="http://schemas.openxmlformats.org/officeDocument/2006/relationships/hyperlink" Target="https://www.linkedin.com/learning/paths/succeed-as-a-remote-software-developer?trk=ondemandfile" TargetMode="External"/><Relationship Id="rId1530" Type="http://schemas.openxmlformats.org/officeDocument/2006/relationships/hyperlink" Target="https://www.linkedin.com/learning/executive-influence?trk=ondemandfile" TargetMode="External"/><Relationship Id="rId1628" Type="http://schemas.openxmlformats.org/officeDocument/2006/relationships/hyperlink" Target="https://www.linkedin.com/learning/paths/improve-your-coaching-skills-as-a-manager?trk=ondemandfile" TargetMode="External"/><Relationship Id="rId1975" Type="http://schemas.openxmlformats.org/officeDocument/2006/relationships/hyperlink" Target="https://www.linkedin.com/learning/paths/build-your-skills-in-sales-development?trk=ondemandfile" TargetMode="External"/><Relationship Id="rId1835" Type="http://schemas.openxmlformats.org/officeDocument/2006/relationships/hyperlink" Target="https://www.linkedin.com/learning/meeting-facilitation?trk=ondemandfile" TargetMode="External"/><Relationship Id="rId1902" Type="http://schemas.openxmlformats.org/officeDocument/2006/relationships/hyperlink" Target="https://www.linkedin.com/learning/project-management-tips?trk=ondemandfile" TargetMode="External"/><Relationship Id="rId2097" Type="http://schemas.openxmlformats.org/officeDocument/2006/relationships/hyperlink" Target="https://www.linkedin.com/learning/mergers-acquisitions?trk=ondemandfile" TargetMode="External"/><Relationship Id="rId276" Type="http://schemas.openxmlformats.org/officeDocument/2006/relationships/hyperlink" Target="https://www.linkedin.com/learning/build-a-trustworthy-reputation?trk=ondemandfile" TargetMode="External"/><Relationship Id="rId483" Type="http://schemas.openxmlformats.org/officeDocument/2006/relationships/hyperlink" Target="https://www.linkedin.com/learning/dealing-with-disappointment-in-your-role?trk=ondemandfile" TargetMode="External"/><Relationship Id="rId690" Type="http://schemas.openxmlformats.org/officeDocument/2006/relationships/hyperlink" Target="https://www.linkedin.com/learning/charles-adler-a-story-of-kickstarting-an-idea?trk=ondemandfile" TargetMode="External"/><Relationship Id="rId2164" Type="http://schemas.openxmlformats.org/officeDocument/2006/relationships/hyperlink" Target="https://www.linkedin.com/learning/technology-and-design-ethics?trk=ondemandfile" TargetMode="External"/><Relationship Id="rId2371" Type="http://schemas.openxmlformats.org/officeDocument/2006/relationships/hyperlink" Target="https://www.linkedin.com/learning/collaborating-with-your-millennial-manager?trk=ondemandfile" TargetMode="External"/><Relationship Id="rId136" Type="http://schemas.openxmlformats.org/officeDocument/2006/relationships/hyperlink" Target="https://www.linkedin.com/learning/staying-organized-at-work-and-while-working-remotely?trk=ondemandfile" TargetMode="External"/><Relationship Id="rId343" Type="http://schemas.openxmlformats.org/officeDocument/2006/relationships/hyperlink" Target="https://www.linkedin.com/learning/paths/improve-your-interoffice-politics-skills?trk=ondemandfile" TargetMode="External"/><Relationship Id="rId550" Type="http://schemas.openxmlformats.org/officeDocument/2006/relationships/hyperlink" Target="https://www.linkedin.com/learning/creating-marketing-objectives?trk=ondemandfile" TargetMode="External"/><Relationship Id="rId788" Type="http://schemas.openxmlformats.org/officeDocument/2006/relationships/hyperlink" Target="https://www.linkedin.com/learning/customer-service-creating-customer-value-2020?trk=ondemandfile" TargetMode="External"/><Relationship Id="rId995" Type="http://schemas.openxmlformats.org/officeDocument/2006/relationships/hyperlink" Target="https://www.linkedin.com/learning/elearning-quick-tips?trk=ondemandfile" TargetMode="External"/><Relationship Id="rId1180" Type="http://schemas.openxmlformats.org/officeDocument/2006/relationships/hyperlink" Target="https://www.linkedin.com/learning/handling-workplace-bullying?trk=ondemandfile" TargetMode="External"/><Relationship Id="rId2024" Type="http://schemas.openxmlformats.org/officeDocument/2006/relationships/hyperlink" Target="https://www.linkedin.com/learning/how-to-prepare-for-your-negotiations?trk=ondemandfile" TargetMode="External"/><Relationship Id="rId2231" Type="http://schemas.openxmlformats.org/officeDocument/2006/relationships/hyperlink" Target="https://www.linkedin.com/learning/persuasive-coaching?trk=ondemandfile" TargetMode="External"/><Relationship Id="rId2469" Type="http://schemas.openxmlformats.org/officeDocument/2006/relationships/hyperlink" Target="https://www.linkedin.com/learning/writing-with-commonly-confused-words?trk=ondemandfile" TargetMode="External"/><Relationship Id="rId2676" Type="http://schemas.openxmlformats.org/officeDocument/2006/relationships/hyperlink" Target="https://www.linkedin.com/learning/10-mistakes-leaders-should-avoid?trk=ondemandfile" TargetMode="External"/><Relationship Id="rId203" Type="http://schemas.openxmlformats.org/officeDocument/2006/relationships/hyperlink" Target="https://www.linkedin.com/learning/developing-leaders-on-your-team?trk=ondemandfile" TargetMode="External"/><Relationship Id="rId648" Type="http://schemas.openxmlformats.org/officeDocument/2006/relationships/hyperlink" Target="https://www.linkedin.com/learning/marketing-copywriting-for-social-media?trk=ondemandfile" TargetMode="External"/><Relationship Id="rId855" Type="http://schemas.openxmlformats.org/officeDocument/2006/relationships/hyperlink" Target="https://www.linkedin.com/learning/machine-learning-advanced-decision-trees?trk=ondemandfile" TargetMode="External"/><Relationship Id="rId1040" Type="http://schemas.openxmlformats.org/officeDocument/2006/relationships/hyperlink" Target="https://www.linkedin.com/learning/accounting-foundations-budgeting-2?trk=ondemandfile" TargetMode="External"/><Relationship Id="rId1278" Type="http://schemas.openxmlformats.org/officeDocument/2006/relationships/hyperlink" Target="https://www.linkedin.com/learning/implementing-an-information-security-program?trk=ondemandfile" TargetMode="External"/><Relationship Id="rId1485" Type="http://schemas.openxmlformats.org/officeDocument/2006/relationships/hyperlink" Target="https://www.linkedin.com/learning/preparing-yourself-for-change?trk=ondemandfile" TargetMode="External"/><Relationship Id="rId1692" Type="http://schemas.openxmlformats.org/officeDocument/2006/relationships/hyperlink" Target="https://www.linkedin.com/learning/just-ask-todd-dewett-2020?trk=ondemandfile" TargetMode="External"/><Relationship Id="rId2329" Type="http://schemas.openxmlformats.org/officeDocument/2006/relationships/hyperlink" Target="https://www.linkedin.com/learning/paths/transition-from-military-to-civilian-employment?trk=ondemandfile" TargetMode="External"/><Relationship Id="rId2536" Type="http://schemas.openxmlformats.org/officeDocument/2006/relationships/hyperlink" Target="https://www.linkedin.com/learning/sales-well-being-managing-anxiety-burnout-and-rejection?trk=ondemandfile" TargetMode="External"/><Relationship Id="rId410" Type="http://schemas.openxmlformats.org/officeDocument/2006/relationships/hyperlink" Target="https://www.linkedin.com/learning/talking-boldly-when-inclusion-meets-politics-at-the-office?trk=ondemandfile" TargetMode="External"/><Relationship Id="rId508" Type="http://schemas.openxmlformats.org/officeDocument/2006/relationships/hyperlink" Target="https://www.linkedin.com/learning/paths/become-a-digital-advertising-specialist?trk=ondemandfile" TargetMode="External"/><Relationship Id="rId715" Type="http://schemas.openxmlformats.org/officeDocument/2006/relationships/hyperlink" Target="https://www.linkedin.com/learning/the-definitive-drucker-getabstract-summary?trk=ondemandfile" TargetMode="External"/><Relationship Id="rId922" Type="http://schemas.openxmlformats.org/officeDocument/2006/relationships/hyperlink" Target="https://www.linkedin.com/learning/python-for-data-visualization?trk=ondemandfile" TargetMode="External"/><Relationship Id="rId1138" Type="http://schemas.openxmlformats.org/officeDocument/2006/relationships/hyperlink" Target="https://www.linkedin.com/learning/employee-experience?trk=ondemandfile" TargetMode="External"/><Relationship Id="rId1345" Type="http://schemas.openxmlformats.org/officeDocument/2006/relationships/hyperlink" Target="https://www.linkedin.com/learning/excel-macros-and-vba-for-beginners?trk=ondemandfile" TargetMode="External"/><Relationship Id="rId1552" Type="http://schemas.openxmlformats.org/officeDocument/2006/relationships/hyperlink" Target="https://www.linkedin.com/learning/lead-like-a-boss?trk=ondemandfile" TargetMode="External"/><Relationship Id="rId1997" Type="http://schemas.openxmlformats.org/officeDocument/2006/relationships/hyperlink" Target="https://www.linkedin.com/learning/onboarding-and-adoption-best-practices-for-customer-success-management?trk=ondemandfile" TargetMode="External"/><Relationship Id="rId2603" Type="http://schemas.openxmlformats.org/officeDocument/2006/relationships/hyperlink" Target="https://www.linkedin.com/learning/balancing-multiple-roles-as-a-leader?trk=ondemandfile" TargetMode="External"/><Relationship Id="rId1205" Type="http://schemas.openxmlformats.org/officeDocument/2006/relationships/hyperlink" Target="https://www.linkedin.com/learning/creating-a-compelling-job-description?trk=ondemandfile" TargetMode="External"/><Relationship Id="rId1857" Type="http://schemas.openxmlformats.org/officeDocument/2006/relationships/hyperlink" Target="https://www.linkedin.com/learning/business-analyst-foundations-babok-knowledge-areas?trk=ondemandfile" TargetMode="External"/><Relationship Id="rId51" Type="http://schemas.openxmlformats.org/officeDocument/2006/relationships/hyperlink" Target="https://www.linkedin.com/learning/time-management-for-busy-people?trk=ondemandfile" TargetMode="External"/><Relationship Id="rId1412" Type="http://schemas.openxmlformats.org/officeDocument/2006/relationships/hyperlink" Target="https://www.linkedin.com/learning/trending-tools?trk=ondemandfile" TargetMode="External"/><Relationship Id="rId1717" Type="http://schemas.openxmlformats.org/officeDocument/2006/relationships/hyperlink" Target="https://www.linkedin.com/learning/paths/improve-processes-and-deliver-operational-excellence?trk=ondemandfile" TargetMode="External"/><Relationship Id="rId1924" Type="http://schemas.openxmlformats.org/officeDocument/2006/relationships/hyperlink" Target="https://www.linkedin.com/learning/what-is-a-pmo?trk=ondemandfile" TargetMode="External"/><Relationship Id="rId298" Type="http://schemas.openxmlformats.org/officeDocument/2006/relationships/hyperlink" Target="https://www.linkedin.com/learning/the-value-of-employee-resource-groups?trk=ondemandfile" TargetMode="External"/><Relationship Id="rId158" Type="http://schemas.openxmlformats.org/officeDocument/2006/relationships/hyperlink" Target="https://www.linkedin.com/learning/balancing-work-and-life-as-a-work-from-home-parent?trk=ondemandfile" TargetMode="External"/><Relationship Id="rId2186" Type="http://schemas.openxmlformats.org/officeDocument/2006/relationships/hyperlink" Target="https://www.linkedin.com/learning/employee-engagement?trk=ondemandfile" TargetMode="External"/><Relationship Id="rId2393" Type="http://schemas.openxmlformats.org/officeDocument/2006/relationships/hyperlink" Target="https://www.linkedin.com/learning/how-to-succeed-as-a-latina-in-a-global-work-environment?trk=ondemandfile" TargetMode="External"/><Relationship Id="rId2698" Type="http://schemas.openxmlformats.org/officeDocument/2006/relationships/hyperlink" Target="https://www.linkedin.com/learning/2020-vlog-leading-with-intelligent-disobedience?trk=ondemandfile" TargetMode="External"/><Relationship Id="rId365" Type="http://schemas.openxmlformats.org/officeDocument/2006/relationships/hyperlink" Target="https://www.linkedin.com/learning/connecting-to-executives-2018?trk=ondemandfile" TargetMode="External"/><Relationship Id="rId572" Type="http://schemas.openxmlformats.org/officeDocument/2006/relationships/hyperlink" Target="https://www.linkedin.com/learning/marketing-foundations-consumer-behavior?trk=ondemandfile" TargetMode="External"/><Relationship Id="rId2046" Type="http://schemas.openxmlformats.org/officeDocument/2006/relationships/hyperlink" Target="https://www.linkedin.com/learning/key-account-management?trk=ondemandfile" TargetMode="External"/><Relationship Id="rId2253" Type="http://schemas.openxmlformats.org/officeDocument/2006/relationships/hyperlink" Target="https://www.linkedin.com/learning/getting-executive-buy-in-and-support-for-your-l-d-program?trk=ondemandfile" TargetMode="External"/><Relationship Id="rId2460" Type="http://schemas.openxmlformats.org/officeDocument/2006/relationships/hyperlink" Target="https://www.linkedin.com/learning/writing-formal-business-letters-and-emails?trk=ondemandfile" TargetMode="External"/><Relationship Id="rId225" Type="http://schemas.openxmlformats.org/officeDocument/2006/relationships/hyperlink" Target="https://www.linkedin.com/learning/leading-remote-projects-and-virtual-teams?trk=ondemandfile" TargetMode="External"/><Relationship Id="rId432" Type="http://schemas.openxmlformats.org/officeDocument/2006/relationships/hyperlink" Target="https://www.linkedin.com/learning/having-bold-and-inclusive-conversations?trk=ondemandfile" TargetMode="External"/><Relationship Id="rId877" Type="http://schemas.openxmlformats.org/officeDocument/2006/relationships/hyperlink" Target="https://www.linkedin.com/learning/ethics-and-law-in-data-analytics?trk=ondemandfile" TargetMode="External"/><Relationship Id="rId1062" Type="http://schemas.openxmlformats.org/officeDocument/2006/relationships/hyperlink" Target="https://www.linkedin.com/learning/managerial-finance-foundations?trk=ondemandfile" TargetMode="External"/><Relationship Id="rId2113" Type="http://schemas.openxmlformats.org/officeDocument/2006/relationships/hyperlink" Target="https://www.linkedin.com/learning/organizational-learning-and-development?trk=ondemandfile" TargetMode="External"/><Relationship Id="rId2320" Type="http://schemas.openxmlformats.org/officeDocument/2006/relationships/hyperlink" Target="https://www.linkedin.com/learning/how-to-be-an-inclusive-leader-getabstract-summary?trk=ondemandfile" TargetMode="External"/><Relationship Id="rId2558" Type="http://schemas.openxmlformats.org/officeDocument/2006/relationships/hyperlink" Target="https://www.linkedin.com/learning/supporting-a-grieving-employee-a-manager-s-guide?trk=ondemandfile" TargetMode="External"/><Relationship Id="rId737" Type="http://schemas.openxmlformats.org/officeDocument/2006/relationships/hyperlink" Target="https://www.linkedin.com/learning/monday-productivity-pointers?trk=ondemandfile" TargetMode="External"/><Relationship Id="rId944" Type="http://schemas.openxmlformats.org/officeDocument/2006/relationships/hyperlink" Target="https://www.linkedin.com/learning/reinforcement-learning-foundations?trk=ondemandfile" TargetMode="External"/><Relationship Id="rId1367" Type="http://schemas.openxmlformats.org/officeDocument/2006/relationships/hyperlink" Target="https://www.linkedin.com/learning/migrating-from-universal-analytics-to-google-analytics-4?trk=ondemandfile" TargetMode="External"/><Relationship Id="rId1574" Type="http://schemas.openxmlformats.org/officeDocument/2006/relationships/hyperlink" Target="https://www.linkedin.com/learning/inspirational-leadership-skills-practical-motivational-leadership?trk=ondemandfile" TargetMode="External"/><Relationship Id="rId1781" Type="http://schemas.openxmlformats.org/officeDocument/2006/relationships/hyperlink" Target="https://www.linkedin.com/learning/excel-implementing-balanced-scorecards-with-kpis?trk=ondemandfile" TargetMode="External"/><Relationship Id="rId2418" Type="http://schemas.openxmlformats.org/officeDocument/2006/relationships/hyperlink" Target="https://www.linkedin.com/learning/color-and-cultural-connections?trk=ondemandfile" TargetMode="External"/><Relationship Id="rId2625" Type="http://schemas.openxmlformats.org/officeDocument/2006/relationships/hyperlink" Target="https://www.linkedin.com/learning/ryan-holmes-on-social-leadership?trk=ondemandfile" TargetMode="External"/><Relationship Id="rId73" Type="http://schemas.openxmlformats.org/officeDocument/2006/relationships/hyperlink" Target="https://www.linkedin.com/learning/time-management?trk=ondemandfile" TargetMode="External"/><Relationship Id="rId804" Type="http://schemas.openxmlformats.org/officeDocument/2006/relationships/hyperlink" Target="https://www.linkedin.com/learning/data-ethics-managing-your-private-customer-data?trk=ondemandfile" TargetMode="External"/><Relationship Id="rId1227" Type="http://schemas.openxmlformats.org/officeDocument/2006/relationships/hyperlink" Target="https://www.linkedin.com/learning/running-a-design-business-the-staffing-rule-book?trk=ondemandfile" TargetMode="External"/><Relationship Id="rId1434" Type="http://schemas.openxmlformats.org/officeDocument/2006/relationships/hyperlink" Target="https://www.linkedin.com/learning/how-to-be-an-inclusive-leader-getabstract-summary?trk=ondemandfile" TargetMode="External"/><Relationship Id="rId1641" Type="http://schemas.openxmlformats.org/officeDocument/2006/relationships/hyperlink" Target="https://www.linkedin.com/learning/how-to-give-and-receive-useful-feedback-every-month?trk=ondemandfile" TargetMode="External"/><Relationship Id="rId1879" Type="http://schemas.openxmlformats.org/officeDocument/2006/relationships/hyperlink" Target="https://www.linkedin.com/learning/project-management-for-creative-projects-3?trk=ondemandfile" TargetMode="External"/><Relationship Id="rId1501" Type="http://schemas.openxmlformats.org/officeDocument/2006/relationships/hyperlink" Target="https://www.linkedin.com/learning/paths/leading-others-effectively?trk=ondemandfile" TargetMode="External"/><Relationship Id="rId1739" Type="http://schemas.openxmlformats.org/officeDocument/2006/relationships/hyperlink" Target="https://www.linkedin.com/learning/devops-foundations?trk=ondemandfile" TargetMode="External"/><Relationship Id="rId1946" Type="http://schemas.openxmlformats.org/officeDocument/2006/relationships/hyperlink" Target="https://www.linkedin.com/learning/project-management-foundations-risk-2018?trk=ondemandfile" TargetMode="External"/><Relationship Id="rId1806" Type="http://schemas.openxmlformats.org/officeDocument/2006/relationships/hyperlink" Target="https://www.linkedin.com/learning/paths/improve-your-presentation-skills?trk=ondemandfile" TargetMode="External"/><Relationship Id="rId387" Type="http://schemas.openxmlformats.org/officeDocument/2006/relationships/hyperlink" Target="https://www.linkedin.com/learning/jeffrey-gitomer-s-little-red-book-of-sales-answers-getabstract-summary?trk=ondemandfile" TargetMode="External"/><Relationship Id="rId594" Type="http://schemas.openxmlformats.org/officeDocument/2006/relationships/hyperlink" Target="https://www.linkedin.com/learning/marketing-messaging-with-purpose?trk=ondemandfile" TargetMode="External"/><Relationship Id="rId2068" Type="http://schemas.openxmlformats.org/officeDocument/2006/relationships/hyperlink" Target="https://www.linkedin.com/learning/advanced-persuasive-selling-persuading-different-personality-types?trk=ondemandfile" TargetMode="External"/><Relationship Id="rId2275" Type="http://schemas.openxmlformats.org/officeDocument/2006/relationships/hyperlink" Target="https://www.linkedin.com/learning/hr-and-digital-transformation?trk=ondemandfile" TargetMode="External"/><Relationship Id="rId247" Type="http://schemas.openxmlformats.org/officeDocument/2006/relationships/hyperlink" Target="https://www.linkedin.com/learning/interpersonal-communication/welcome" TargetMode="External"/><Relationship Id="rId899" Type="http://schemas.openxmlformats.org/officeDocument/2006/relationships/hyperlink" Target="https://www.linkedin.com/learning/the-data-science-of-retail-sales-and-commerce?trk=ondemandfile" TargetMode="External"/><Relationship Id="rId1084" Type="http://schemas.openxmlformats.org/officeDocument/2006/relationships/hyperlink" Target="https://www.linkedin.com/learning/managing-globally/what-is-cultural-agility" TargetMode="External"/><Relationship Id="rId2482" Type="http://schemas.openxmlformats.org/officeDocument/2006/relationships/hyperlink" Target="https://www.linkedin.com/learning/paths/staying-positive-and-productive-during-uncertainty?trk=ondemandfile" TargetMode="External"/><Relationship Id="rId107" Type="http://schemas.openxmlformats.org/officeDocument/2006/relationships/hyperlink" Target="https://www.linkedin.com/learning/managing-globally?trk=ondemandfile" TargetMode="External"/><Relationship Id="rId454" Type="http://schemas.openxmlformats.org/officeDocument/2006/relationships/hyperlink" Target="https://www.linkedin.com/learning/influencing-others?trk=ondemandfile" TargetMode="External"/><Relationship Id="rId661" Type="http://schemas.openxmlformats.org/officeDocument/2006/relationships/hyperlink" Target="https://www.linkedin.com/learning/mapping-innovation-a-playbook-for-navigating-a-disruptive-age-getabstract-summary?trk=ondemandfile" TargetMode="External"/><Relationship Id="rId759" Type="http://schemas.openxmlformats.org/officeDocument/2006/relationships/hyperlink" Target="https://www.linkedin.com/learning/powerless-to-powerful-taking-control?trk=ondemandfile" TargetMode="External"/><Relationship Id="rId966" Type="http://schemas.openxmlformats.org/officeDocument/2006/relationships/hyperlink" Target="https://www.linkedin.com/learning/building-a-creative-online-community?trk=ondemandfile" TargetMode="External"/><Relationship Id="rId1291" Type="http://schemas.openxmlformats.org/officeDocument/2006/relationships/hyperlink" Target="https://www.linkedin.com/learning/learning-xai-explainable-artificial-intelligence?trk=ondemandfile" TargetMode="External"/><Relationship Id="rId1389" Type="http://schemas.openxmlformats.org/officeDocument/2006/relationships/hyperlink" Target="https://www.linkedin.com/learning/azure-administration-manage-subscriptions-and-resources?trk=ondemandfile" TargetMode="External"/><Relationship Id="rId1596" Type="http://schemas.openxmlformats.org/officeDocument/2006/relationships/hyperlink" Target="https://www.linkedin.com/learning/powerless-to-powerful-taking-control?trk=ondemandfile" TargetMode="External"/><Relationship Id="rId2135" Type="http://schemas.openxmlformats.org/officeDocument/2006/relationships/hyperlink" Target="https://www.linkedin.com/learning/change-management-tips-for-leaders?trk=ondemandfile" TargetMode="External"/><Relationship Id="rId2342" Type="http://schemas.openxmlformats.org/officeDocument/2006/relationships/hyperlink" Target="https://www.linkedin.com/learning/business-law-for-managers?trk=ondemandfile" TargetMode="External"/><Relationship Id="rId2647" Type="http://schemas.openxmlformats.org/officeDocument/2006/relationships/hyperlink" Target="https://www.linkedin.com/learning/leading-with-values?trk=ondemandfile" TargetMode="External"/><Relationship Id="rId314" Type="http://schemas.openxmlformats.org/officeDocument/2006/relationships/hyperlink" Target="https://www.linkedin.com/learning/having-bold-and-inclusive-conversations?trk=ondemandfile" TargetMode="External"/><Relationship Id="rId521" Type="http://schemas.openxmlformats.org/officeDocument/2006/relationships/hyperlink" Target="https://www.linkedin.com/learning/job-interview-tips-for-marketing-managers?trk=ondemandfile" TargetMode="External"/><Relationship Id="rId619" Type="http://schemas.openxmlformats.org/officeDocument/2006/relationships/hyperlink" Target="https://www.linkedin.com/learning/marketing-during-a-crisis?trk=ondemandfile" TargetMode="External"/><Relationship Id="rId1151" Type="http://schemas.openxmlformats.org/officeDocument/2006/relationships/hyperlink" Target="https://www.linkedin.com/learning/the-future-of-performance-management?trk=ondemandfile" TargetMode="External"/><Relationship Id="rId1249" Type="http://schemas.openxmlformats.org/officeDocument/2006/relationships/hyperlink" Target="https://www.linkedin.com/learning/paths/advance-your-skills-as-an-it-help-desk-specialist?trk=ondemandfile" TargetMode="External"/><Relationship Id="rId2202" Type="http://schemas.openxmlformats.org/officeDocument/2006/relationships/hyperlink" Target="https://www.linkedin.com/learning/employee-experience?trk=ondemandfile" TargetMode="External"/><Relationship Id="rId95" Type="http://schemas.openxmlformats.org/officeDocument/2006/relationships/hyperlink" Target="https://www.linkedin.com/learning/developing-resourcefulness?trk=ondemandfile" TargetMode="External"/><Relationship Id="rId826" Type="http://schemas.openxmlformats.org/officeDocument/2006/relationships/hyperlink" Target="https://www.linkedin.com/learning/customer-service-serving-customers-through-chat-and-text?trk=ondemandfile" TargetMode="External"/><Relationship Id="rId1011" Type="http://schemas.openxmlformats.org/officeDocument/2006/relationships/hyperlink" Target="https://www.linkedin.com/learning/running-a-design-business-writing-and-pricing-winning-proposals?trk=ondemandfile" TargetMode="External"/><Relationship Id="rId1109" Type="http://schemas.openxmlformats.org/officeDocument/2006/relationships/hyperlink" Target="https://www.linkedin.com/learning/economics-for-business-leaders?trk=ondemandfile" TargetMode="External"/><Relationship Id="rId1456" Type="http://schemas.openxmlformats.org/officeDocument/2006/relationships/hyperlink" Target="https://www.linkedin.com/learning/cultivating-a-growth-mindset?trk=ondemandfile" TargetMode="External"/><Relationship Id="rId1663" Type="http://schemas.openxmlformats.org/officeDocument/2006/relationships/hyperlink" Target="https://www.linkedin.com/learning/delegating-tasks?trk=ondemandfile" TargetMode="External"/><Relationship Id="rId1870" Type="http://schemas.openxmlformats.org/officeDocument/2006/relationships/hyperlink" Target="https://www.linkedin.com/learning/paths/become-a-program-manager?trk=ondemandfile" TargetMode="External"/><Relationship Id="rId1968" Type="http://schemas.openxmlformats.org/officeDocument/2006/relationships/hyperlink" Target="https://www.linkedin.com/learning/business-fundamentals-for-customer-success-managers?trk=ondemandfile" TargetMode="External"/><Relationship Id="rId2507" Type="http://schemas.openxmlformats.org/officeDocument/2006/relationships/hyperlink" Target="https://www.linkedin.com/learning/ergonomics-101?trk=ondemandfile" TargetMode="External"/><Relationship Id="rId2714" Type="http://schemas.openxmlformats.org/officeDocument/2006/relationships/hyperlink" Target="https://www.linkedin.com/learning/leading-remote-projects-and-virtual-teams?trk=ondemandfile" TargetMode="External"/><Relationship Id="rId1316" Type="http://schemas.openxmlformats.org/officeDocument/2006/relationships/hyperlink" Target="https://www.linkedin.com/learning/creating-accessible-pdfs-14445392?trk=contentmappingfile" TargetMode="External"/><Relationship Id="rId1523" Type="http://schemas.openxmlformats.org/officeDocument/2006/relationships/hyperlink" Target="https://www.linkedin.com/learning/executive-leadership?trk=ondemandfile" TargetMode="External"/><Relationship Id="rId1730" Type="http://schemas.openxmlformats.org/officeDocument/2006/relationships/hyperlink" Target="https://www.linkedin.com/learning/implementing-an-information-security-program?trk=ondemandfile" TargetMode="External"/><Relationship Id="rId22" Type="http://schemas.openxmlformats.org/officeDocument/2006/relationships/hyperlink" Target="https://www.linkedin.com/learning/monday-productivity-pointers?trk=ondemandfile" TargetMode="External"/><Relationship Id="rId1828" Type="http://schemas.openxmlformats.org/officeDocument/2006/relationships/hyperlink" Target="https://www.linkedin.com/learning/present-a-techie-s-guide-to-public-speaking?trk=ondemandfile" TargetMode="External"/><Relationship Id="rId171" Type="http://schemas.openxmlformats.org/officeDocument/2006/relationships/hyperlink" Target="https://www.linkedin.com/learning/the-new-rules-of-work?trk=ondemandfile" TargetMode="External"/><Relationship Id="rId2297" Type="http://schemas.openxmlformats.org/officeDocument/2006/relationships/hyperlink" Target="https://www.linkedin.com/learning/coaching-for-results?trk=ondemandfile" TargetMode="External"/><Relationship Id="rId269" Type="http://schemas.openxmlformats.org/officeDocument/2006/relationships/hyperlink" Target="https://www.linkedin.com/learning/connecting-to-executives-2018?trk=ondemandfile" TargetMode="External"/><Relationship Id="rId476" Type="http://schemas.openxmlformats.org/officeDocument/2006/relationships/hyperlink" Target="https://www.linkedin.com/learning/managing-team-conflict?trk=ondemandfile" TargetMode="External"/><Relationship Id="rId683" Type="http://schemas.openxmlformats.org/officeDocument/2006/relationships/hyperlink" Target="https://www.linkedin.com/learning/how-getting-curious-helps-you-achieve-everything?trk=ondemandfile" TargetMode="External"/><Relationship Id="rId890" Type="http://schemas.openxmlformats.org/officeDocument/2006/relationships/hyperlink" Target="https://www.linkedin.com/learning/r-essential-training-part-1-wrangling-and-visualizing-data?trk=ondemandfile" TargetMode="External"/><Relationship Id="rId2157" Type="http://schemas.openxmlformats.org/officeDocument/2006/relationships/hyperlink" Target="https://www.linkedin.com/learning/developing-business-partnerships?trk=ondemandfile" TargetMode="External"/><Relationship Id="rId2364" Type="http://schemas.openxmlformats.org/officeDocument/2006/relationships/hyperlink" Target="https://www.linkedin.com/learning/marketing-to-diverse-audiences?trk=ondemandfile" TargetMode="External"/><Relationship Id="rId2571" Type="http://schemas.openxmlformats.org/officeDocument/2006/relationships/hyperlink" Target="https://www.linkedin.com/learning/arianna-huffington-s-thrive-01-discovering-meditation-and-sleep?trk=ondemandfile" TargetMode="External"/><Relationship Id="rId129" Type="http://schemas.openxmlformats.org/officeDocument/2006/relationships/hyperlink" Target="https://www.linkedin.com/learning/developing-a-learning-mindset?trk=ondemandfile" TargetMode="External"/><Relationship Id="rId336" Type="http://schemas.openxmlformats.org/officeDocument/2006/relationships/hyperlink" Target="https://www.linkedin.com/learning/communicating-to-drive-people-to-take-action?trk=ondemandfile" TargetMode="External"/><Relationship Id="rId543" Type="http://schemas.openxmlformats.org/officeDocument/2006/relationships/hyperlink" Target="https://www.linkedin.com/learning/lifecycle-marketing-foundations?trk=ondemandfile" TargetMode="External"/><Relationship Id="rId988" Type="http://schemas.openxmlformats.org/officeDocument/2006/relationships/hyperlink" Target="https://www.linkedin.com/learning/articulate-360-interactive-learning?trk=ondemandfile" TargetMode="External"/><Relationship Id="rId1173" Type="http://schemas.openxmlformats.org/officeDocument/2006/relationships/hyperlink" Target="https://www.linkedin.com/learning/people-success-employee-assessments?trk=ondemandfile" TargetMode="External"/><Relationship Id="rId1380" Type="http://schemas.openxmlformats.org/officeDocument/2006/relationships/hyperlink" Target="https://www.linkedin.com/learning/api-testing-for-web-services?trk=ondemandfile" TargetMode="External"/><Relationship Id="rId2017" Type="http://schemas.openxmlformats.org/officeDocument/2006/relationships/hyperlink" Target="https://www.linkedin.com/learning/introduction-to-forgiveness-meditation?trk=ondemandfile" TargetMode="External"/><Relationship Id="rId2224" Type="http://schemas.openxmlformats.org/officeDocument/2006/relationships/hyperlink" Target="https://www.linkedin.com/learning/delegating-tasks?trk=ondemandfile" TargetMode="External"/><Relationship Id="rId2669" Type="http://schemas.openxmlformats.org/officeDocument/2006/relationships/hyperlink" Target="https://www.linkedin.com/learning/leading-with-fearless-mindfulness?trk=ondemandfile" TargetMode="External"/><Relationship Id="rId403" Type="http://schemas.openxmlformats.org/officeDocument/2006/relationships/hyperlink" Target="https://www.linkedin.com/learning/how-to-be-both-assertive-and-likable?trk=ondemandfile" TargetMode="External"/><Relationship Id="rId750" Type="http://schemas.openxmlformats.org/officeDocument/2006/relationships/hyperlink" Target="https://www.linkedin.com/learning/critical-thinking?trk=ondemandfile" TargetMode="External"/><Relationship Id="rId848" Type="http://schemas.openxmlformats.org/officeDocument/2006/relationships/hyperlink" Target="https://www.linkedin.com/learning/paths/become-a-data-analytics-specialist?trk=ondemandfile" TargetMode="External"/><Relationship Id="rId1033" Type="http://schemas.openxmlformats.org/officeDocument/2006/relationships/hyperlink" Target="https://www.linkedin.com/learning/business-analytics-forecasting-with-seasonal-baseline-smoothing?trk=ondemandfile" TargetMode="External"/><Relationship Id="rId1478" Type="http://schemas.openxmlformats.org/officeDocument/2006/relationships/hyperlink" Target="https://www.linkedin.com/learning/how-to-innovate-and-stay-relevant-in-times-of-change-and-uncertainty?trk=ondemandfile" TargetMode="External"/><Relationship Id="rId1685" Type="http://schemas.openxmlformats.org/officeDocument/2006/relationships/hyperlink" Target="https://www.linkedin.com/learning/configure-and-manage-office-365-workload-integrations?trk=ondemandfile" TargetMode="External"/><Relationship Id="rId1892" Type="http://schemas.openxmlformats.org/officeDocument/2006/relationships/hyperlink" Target="https://www.linkedin.com/learning/paths/improve-your-business-analysis-skills?trk=ondemandfile" TargetMode="External"/><Relationship Id="rId2431" Type="http://schemas.openxmlformats.org/officeDocument/2006/relationships/hyperlink" Target="https://www.linkedin.com/learning/reshuffle-a-special-series-on-the-new-world-of-work?trk=ondemandfile" TargetMode="External"/><Relationship Id="rId2529" Type="http://schemas.openxmlformats.org/officeDocument/2006/relationships/hyperlink" Target="https://www.linkedin.com/learning/how-to-be-both-assertive-and-likable?trk=ondemandfile" TargetMode="External"/><Relationship Id="rId2736" Type="http://schemas.openxmlformats.org/officeDocument/2006/relationships/hyperlink" Target="https://www.linkedin.com/learning/leading-in-crisis?trk=ondemandfile" TargetMode="External"/><Relationship Id="rId610" Type="http://schemas.openxmlformats.org/officeDocument/2006/relationships/hyperlink" Target="https://www.linkedin.com/learning/social-media-for-working-professionals?trk=contentmappingfile" TargetMode="External"/><Relationship Id="rId708" Type="http://schemas.openxmlformats.org/officeDocument/2006/relationships/hyperlink" Target="https://www.linkedin.com/learning/productive-creativity?trk=ondemandfile" TargetMode="External"/><Relationship Id="rId915" Type="http://schemas.openxmlformats.org/officeDocument/2006/relationships/hyperlink" Target="https://www.linkedin.com/learning/storytelling-with-data?trk=ondemandfile" TargetMode="External"/><Relationship Id="rId1240" Type="http://schemas.openxmlformats.org/officeDocument/2006/relationships/hyperlink" Target="https://www.linkedin.com/learning/addiction-a-community-issue?trk=ondemandfile" TargetMode="External"/><Relationship Id="rId1338" Type="http://schemas.openxmlformats.org/officeDocument/2006/relationships/hyperlink" Target="https://www.linkedin.com/learning/introducing-ai-to-your-organization?trk=ondemandfile" TargetMode="External"/><Relationship Id="rId1545" Type="http://schemas.openxmlformats.org/officeDocument/2006/relationships/hyperlink" Target="https://www.linkedin.com/learning/creating-a-culture-that-inspires-your-employees?trk=ondemandfile" TargetMode="External"/><Relationship Id="rId1100" Type="http://schemas.openxmlformats.org/officeDocument/2006/relationships/hyperlink" Target="https://www.linkedin.com/learning/data-analytics-for-pricing-analysts-in-excel?trk=ondemandfile" TargetMode="External"/><Relationship Id="rId1405" Type="http://schemas.openxmlformats.org/officeDocument/2006/relationships/hyperlink" Target="https://www.linkedin.com/learning/advanced-nlp-with-python-for-machine-learning?trk=ondemandfile" TargetMode="External"/><Relationship Id="rId1752" Type="http://schemas.openxmlformats.org/officeDocument/2006/relationships/hyperlink" Target="https://www.linkedin.com/learning/from-resisting-to-embracing-lean-a-case-study?trk=ondemandfile" TargetMode="External"/><Relationship Id="rId44" Type="http://schemas.openxmlformats.org/officeDocument/2006/relationships/hyperlink" Target="https://www.linkedin.com/learning/building-better-routines?trk=ondemandfile" TargetMode="External"/><Relationship Id="rId1612" Type="http://schemas.openxmlformats.org/officeDocument/2006/relationships/hyperlink" Target="https://www.linkedin.com/learning/leadership-in-tech?trk=ondemandfile" TargetMode="External"/><Relationship Id="rId1917" Type="http://schemas.openxmlformats.org/officeDocument/2006/relationships/hyperlink" Target="https://www.linkedin.com/learning/project-management-foundations-2019?trk=ondemandfile" TargetMode="External"/><Relationship Id="rId193" Type="http://schemas.openxmlformats.org/officeDocument/2006/relationships/hyperlink" Target="https://www.linkedin.com/learning/hiring-an-employee-for-managers?trk=ondemandfile" TargetMode="External"/><Relationship Id="rId498" Type="http://schemas.openxmlformats.org/officeDocument/2006/relationships/hyperlink" Target="https://www.linkedin.com/learning/marketing-during-a-crisis?trk=ondemandfile" TargetMode="External"/><Relationship Id="rId2081" Type="http://schemas.openxmlformats.org/officeDocument/2006/relationships/hyperlink" Target="https://www.linkedin.com/learning/global-strategy?trk=ondemandfile" TargetMode="External"/><Relationship Id="rId2179" Type="http://schemas.openxmlformats.org/officeDocument/2006/relationships/hyperlink" Target="https://www.linkedin.com/learning/paths/advance-your-skills-as-a-manager?trk=ondemandfile" TargetMode="External"/><Relationship Id="rId260" Type="http://schemas.openxmlformats.org/officeDocument/2006/relationships/hyperlink" Target="https://www.linkedin.com/learning/supporting-a-grieving-employee-a-manager-s-guide?trk=ondemandfile" TargetMode="External"/><Relationship Id="rId2386" Type="http://schemas.openxmlformats.org/officeDocument/2006/relationships/hyperlink" Target="https://www.linkedin.com/learning/the-value-of-employee-resource-groups?trk=ondemandfile" TargetMode="External"/><Relationship Id="rId2593" Type="http://schemas.openxmlformats.org/officeDocument/2006/relationships/hyperlink" Target="https://www.linkedin.com/learning/enhance-productivity-in-a-hybrid-work-environment?trk=ondemandfile" TargetMode="External"/><Relationship Id="rId120" Type="http://schemas.openxmlformats.org/officeDocument/2006/relationships/hyperlink" Target="https://www.linkedin.com/learning/building-the-resources-for-resilience?trk=ondemandfile" TargetMode="External"/><Relationship Id="rId358" Type="http://schemas.openxmlformats.org/officeDocument/2006/relationships/hyperlink" Target="https://www.linkedin.com/learning/supporting-a-grieving-employee-a-manager-s-guide?trk=ondemandfile" TargetMode="External"/><Relationship Id="rId565" Type="http://schemas.openxmlformats.org/officeDocument/2006/relationships/hyperlink" Target="https://www.linkedin.com/learning/marketing-to-generation-z?trk=ondemandfile" TargetMode="External"/><Relationship Id="rId772" Type="http://schemas.openxmlformats.org/officeDocument/2006/relationships/hyperlink" Target="https://www.linkedin.com/learning/business-development-foundations-researching-market-and-customer-needs" TargetMode="External"/><Relationship Id="rId1195" Type="http://schemas.openxmlformats.org/officeDocument/2006/relationships/hyperlink" Target="https://www.linkedin.com/learning/demystifying-company-culture?trk=ondemandfile" TargetMode="External"/><Relationship Id="rId2039" Type="http://schemas.openxmlformats.org/officeDocument/2006/relationships/hyperlink" Target="https://www.linkedin.com/learning/the-science-of-sales?trk=ondemandfile" TargetMode="External"/><Relationship Id="rId2246" Type="http://schemas.openxmlformats.org/officeDocument/2006/relationships/hyperlink" Target="https://www.linkedin.com/learning/giving-and-receiving-feedback?trk=ondemandfile" TargetMode="External"/><Relationship Id="rId2453" Type="http://schemas.openxmlformats.org/officeDocument/2006/relationships/hyperlink" Target="https://www.linkedin.com/learning/technical-writing-quick-start-guides?trk=ondemandfile" TargetMode="External"/><Relationship Id="rId2660" Type="http://schemas.openxmlformats.org/officeDocument/2006/relationships/hyperlink" Target="https://www.linkedin.com/learning/using-emotions-to-leverage-and-accelerate-change-a-guide-for-leaders?trk=ondemandfile" TargetMode="External"/><Relationship Id="rId218" Type="http://schemas.openxmlformats.org/officeDocument/2006/relationships/hyperlink" Target="https://www.linkedin.com/learning/work-on-purpose?trk=ondemandfile" TargetMode="External"/><Relationship Id="rId425" Type="http://schemas.openxmlformats.org/officeDocument/2006/relationships/hyperlink" Target="https://www.linkedin.com/learning/advanced-business-development-communication-and-negotiation?trk=ondemandfile" TargetMode="External"/><Relationship Id="rId632" Type="http://schemas.openxmlformats.org/officeDocument/2006/relationships/hyperlink" Target="https://www.linkedin.com/learning/improve-seo-for-your-ecommerce-site?trk=ondemandfile" TargetMode="External"/><Relationship Id="rId1055" Type="http://schemas.openxmlformats.org/officeDocument/2006/relationships/hyperlink" Target="https://www.linkedin.com/learning/financial-accounting-foundations?trk=ondemandfile" TargetMode="External"/><Relationship Id="rId1262" Type="http://schemas.openxmlformats.org/officeDocument/2006/relationships/hyperlink" Target="https://www.linkedin.com/learning/implementing-your-it-strategy?trk=ondemandfile" TargetMode="External"/><Relationship Id="rId2106" Type="http://schemas.openxmlformats.org/officeDocument/2006/relationships/hyperlink" Target="https://www.linkedin.com/learning/digital-technologies-case-studies-ai-iot-robotics-blockchain?trk=ondemandfile" TargetMode="External"/><Relationship Id="rId2313" Type="http://schemas.openxmlformats.org/officeDocument/2006/relationships/hyperlink" Target="https://www.linkedin.com/learning/paths/become-an-inclusive-leader?trk=ondemandfile" TargetMode="External"/><Relationship Id="rId2520" Type="http://schemas.openxmlformats.org/officeDocument/2006/relationships/hyperlink" Target="https://www.linkedin.com/learning/mindful-stress-management?trk=ondemandfile" TargetMode="External"/><Relationship Id="rId937" Type="http://schemas.openxmlformats.org/officeDocument/2006/relationships/hyperlink" Target="https://www.linkedin.com/learning/business-analyst-digital-transformation?trk=ondemandfile" TargetMode="External"/><Relationship Id="rId1122" Type="http://schemas.openxmlformats.org/officeDocument/2006/relationships/hyperlink" Target="https://www.linkedin.com/learning/agile-foundations?trk=ondemandfile" TargetMode="External"/><Relationship Id="rId1567" Type="http://schemas.openxmlformats.org/officeDocument/2006/relationships/hyperlink" Target="https://www.linkedin.com/learning/the-secret-what-great-leaders-know-and-do-getabstract-summary?trk=ondemandfile" TargetMode="External"/><Relationship Id="rId1774" Type="http://schemas.openxmlformats.org/officeDocument/2006/relationships/hyperlink" Target="https://www.linkedin.com/learning/lean-six-sigma-work-out-and-kaizen-facilitator?trk=ondemandfile" TargetMode="External"/><Relationship Id="rId1981" Type="http://schemas.openxmlformats.org/officeDocument/2006/relationships/hyperlink" Target="https://www.linkedin.com/learning/paths/develop-your-sales-knowledge-and-skills?trk=ondemandfile" TargetMode="External"/><Relationship Id="rId2618" Type="http://schemas.openxmlformats.org/officeDocument/2006/relationships/hyperlink" Target="https://www.linkedin.com/learning/paths/become-a-manager?trk=ondemandfile" TargetMode="External"/><Relationship Id="rId66" Type="http://schemas.openxmlformats.org/officeDocument/2006/relationships/hyperlink" Target="https://www.linkedin.com/learning/enhancing-resilience?trk=ondemandfile" TargetMode="External"/><Relationship Id="rId1427" Type="http://schemas.openxmlformats.org/officeDocument/2006/relationships/hyperlink" Target="https://www.linkedin.com/learning/paths/women-in-leadership-3?trk=ondemandfile" TargetMode="External"/><Relationship Id="rId1634" Type="http://schemas.openxmlformats.org/officeDocument/2006/relationships/hyperlink" Target="https://www.linkedin.com/learning/paths/managing-performance?trk=ondemandfile" TargetMode="External"/><Relationship Id="rId1841" Type="http://schemas.openxmlformats.org/officeDocument/2006/relationships/hyperlink" Target="https://www.linkedin.com/learning/communicating-with-confidence?trk=ondemandfile" TargetMode="External"/><Relationship Id="rId1939" Type="http://schemas.openxmlformats.org/officeDocument/2006/relationships/hyperlink" Target="https://www.linkedin.com/learning/blending-project-management-methods?trk=ondemandfile" TargetMode="External"/><Relationship Id="rId1701" Type="http://schemas.openxmlformats.org/officeDocument/2006/relationships/hyperlink" Target="https://www.linkedin.com/learning/foundations-of-performance-management?trk=ondemandfile" TargetMode="External"/><Relationship Id="rId282" Type="http://schemas.openxmlformats.org/officeDocument/2006/relationships/hyperlink" Target="https://www.linkedin.com/learning/communicating-with-empathy?trk=ondemandfile" TargetMode="External"/><Relationship Id="rId587" Type="http://schemas.openxmlformats.org/officeDocument/2006/relationships/hyperlink" Target="https://www.linkedin.com/learning/marketing-virtual-events?trk=ondemandfile" TargetMode="External"/><Relationship Id="rId2170" Type="http://schemas.openxmlformats.org/officeDocument/2006/relationships/hyperlink" Target="https://www.linkedin.com/learning/create-a-go-to-market-plan-2?trk=ondemandfile" TargetMode="External"/><Relationship Id="rId2268" Type="http://schemas.openxmlformats.org/officeDocument/2006/relationships/hyperlink" Target="https://www.linkedin.com/learning/paths/managing-performance?trk=ondemandfile" TargetMode="External"/><Relationship Id="rId8" Type="http://schemas.openxmlformats.org/officeDocument/2006/relationships/hyperlink" Target="https://www.linkedin.com/learning/paths/improve-your-organizational-skills?trk=ondemandfile" TargetMode="External"/><Relationship Id="rId142" Type="http://schemas.openxmlformats.org/officeDocument/2006/relationships/hyperlink" Target="https://www.linkedin.com/learning/conquering-freak-outs-and-the-fear-of-failure?trk=ondemandfile" TargetMode="External"/><Relationship Id="rId447" Type="http://schemas.openxmlformats.org/officeDocument/2006/relationships/hyperlink" Target="https://www.linkedin.com/learning/backgrounder-netiquette?trk=ondemandfile" TargetMode="External"/><Relationship Id="rId794" Type="http://schemas.openxmlformats.org/officeDocument/2006/relationships/hyperlink" Target="https://www.linkedin.com/learning/empathy-for-customer-service-professionals?trk=ondemandfile" TargetMode="External"/><Relationship Id="rId1077" Type="http://schemas.openxmlformats.org/officeDocument/2006/relationships/hyperlink" Target="https://www.linkedin.com/learning/corporate-finance-statement-analysis?trk=ondemandfile" TargetMode="External"/><Relationship Id="rId2030" Type="http://schemas.openxmlformats.org/officeDocument/2006/relationships/hyperlink" Target="https://www.linkedin.com/learning/startup-stories-clothing-salesman-invents-baby-harness?trk=ondemandfile" TargetMode="External"/><Relationship Id="rId2128" Type="http://schemas.openxmlformats.org/officeDocument/2006/relationships/hyperlink" Target="https://www.linkedin.com/learning/how-to-be-more-strategic-in-six-steps?trk=contentmappingfile" TargetMode="External"/><Relationship Id="rId2475" Type="http://schemas.openxmlformats.org/officeDocument/2006/relationships/hyperlink" Target="https://www.linkedin.com/learning/writing-headlines?trk=ondemandfile" TargetMode="External"/><Relationship Id="rId2682" Type="http://schemas.openxmlformats.org/officeDocument/2006/relationships/hyperlink" Target="https://www.linkedin.com/learning/body-language-for-leaders-2?trk=ondemandfile" TargetMode="External"/><Relationship Id="rId654" Type="http://schemas.openxmlformats.org/officeDocument/2006/relationships/hyperlink" Target="https://www.linkedin.com/learning/paths/fostering-innovation?trk=ondemandfile" TargetMode="External"/><Relationship Id="rId861" Type="http://schemas.openxmlformats.org/officeDocument/2006/relationships/hyperlink" Target="https://www.linkedin.com/learning/data-driven-learning-design?trk=ondemandfile" TargetMode="External"/><Relationship Id="rId959" Type="http://schemas.openxmlformats.org/officeDocument/2006/relationships/hyperlink" Target="https://www.linkedin.com/learning/paths/create-linkedin-mobile-videos?trk=ondemandfile" TargetMode="External"/><Relationship Id="rId1284" Type="http://schemas.openxmlformats.org/officeDocument/2006/relationships/hyperlink" Target="https://www.linkedin.com/learning/paths/become-a-word-2013-microsoft-office-specialist?trk=ondemandfile" TargetMode="External"/><Relationship Id="rId1491" Type="http://schemas.openxmlformats.org/officeDocument/2006/relationships/hyperlink" Target="https://www.linkedin.com/learning/paths/build-a-company-learning-and-development-program?trk=ondemandfile" TargetMode="External"/><Relationship Id="rId1589" Type="http://schemas.openxmlformats.org/officeDocument/2006/relationships/hyperlink" Target="https://www.linkedin.com/learning/demonstrating-accountability-as-a-leader?trk=ondemandfile" TargetMode="External"/><Relationship Id="rId2335" Type="http://schemas.openxmlformats.org/officeDocument/2006/relationships/hyperlink" Target="https://www.linkedin.com/learning/paths/women-transforming-tech-navigating-your-career?trk=ondemandfile" TargetMode="External"/><Relationship Id="rId2542" Type="http://schemas.openxmlformats.org/officeDocument/2006/relationships/hyperlink" Target="https://www.linkedin.com/learning/mindful-team-building?trk=ondemandfile" TargetMode="External"/><Relationship Id="rId307" Type="http://schemas.openxmlformats.org/officeDocument/2006/relationships/hyperlink" Target="https://www.linkedin.com/learning/learning-to-say-no-with-confidence-and-grace?trk=ondemandfile" TargetMode="External"/><Relationship Id="rId514" Type="http://schemas.openxmlformats.org/officeDocument/2006/relationships/hyperlink" Target="https://www.linkedin.com/learning/paths/become-a-marketing-coordinator?trk=ondemandfile" TargetMode="External"/><Relationship Id="rId721" Type="http://schemas.openxmlformats.org/officeDocument/2006/relationships/hyperlink" Target="https://www.linkedin.com/learning/learning-agility?trk=ondemandfile" TargetMode="External"/><Relationship Id="rId1144" Type="http://schemas.openxmlformats.org/officeDocument/2006/relationships/hyperlink" Target="https://www.linkedin.com/learning/360-degree-feedback?trk=ondemandfile" TargetMode="External"/><Relationship Id="rId1351" Type="http://schemas.openxmlformats.org/officeDocument/2006/relationships/hyperlink" Target="https://www.linkedin.com/learning/buying-on-ariba-discovery?trk=ondemandfile" TargetMode="External"/><Relationship Id="rId1449" Type="http://schemas.openxmlformats.org/officeDocument/2006/relationships/hyperlink" Target="https://www.linkedin.com/learning/supporting-workers-with-disabilities?trk=ondemandfile" TargetMode="External"/><Relationship Id="rId1796" Type="http://schemas.openxmlformats.org/officeDocument/2006/relationships/hyperlink" Target="https://www.linkedin.com/learning/implementing-an-information-security-program" TargetMode="External"/><Relationship Id="rId2402" Type="http://schemas.openxmlformats.org/officeDocument/2006/relationships/hyperlink" Target="https://www.linkedin.com/learning/communicating-about-culturally-sensitive-issues?trk=ondemandfile" TargetMode="External"/><Relationship Id="rId88" Type="http://schemas.openxmlformats.org/officeDocument/2006/relationships/hyperlink" Target="https://www.linkedin.com/learning/managing-up-as-an-employee?trk=ondemandfile" TargetMode="External"/><Relationship Id="rId819" Type="http://schemas.openxmlformats.org/officeDocument/2006/relationships/hyperlink" Target="https://www.linkedin.com/learning/customer-service-motivating-your-team?trk=ondemandfile" TargetMode="External"/><Relationship Id="rId1004" Type="http://schemas.openxmlformats.org/officeDocument/2006/relationships/hyperlink" Target="https://www.linkedin.com/learning/applying-analytics-to-your-learning-program?trk=ondemandfile" TargetMode="External"/><Relationship Id="rId1211" Type="http://schemas.openxmlformats.org/officeDocument/2006/relationships/hyperlink" Target="https://www.linkedin.com/learning/human-resources-job-structure-and-design?trk=ondemandfile" TargetMode="External"/><Relationship Id="rId1656" Type="http://schemas.openxmlformats.org/officeDocument/2006/relationships/hyperlink" Target="https://www.linkedin.com/learning/managing-temporary-and-contract-employees?trk=ondemandfile" TargetMode="External"/><Relationship Id="rId1863" Type="http://schemas.openxmlformats.org/officeDocument/2006/relationships/hyperlink" Target="https://www.linkedin.com/learning/managing-in-a-matrixed-organization?trk=ondemandfile" TargetMode="External"/><Relationship Id="rId2707" Type="http://schemas.openxmlformats.org/officeDocument/2006/relationships/hyperlink" Target="https://www.linkedin.com/learning/leadership-through-feedback?trk=ondemandfile" TargetMode="External"/><Relationship Id="rId1309" Type="http://schemas.openxmlformats.org/officeDocument/2006/relationships/hyperlink" Target="https://www.linkedin.com/learning/paths/master-microsoft-excel?trk=ondemandfile" TargetMode="External"/><Relationship Id="rId1516" Type="http://schemas.openxmlformats.org/officeDocument/2006/relationships/hyperlink" Target="https://www.linkedin.com/learning/managing-experienced-managers?trk=ondemandfile" TargetMode="External"/><Relationship Id="rId1723" Type="http://schemas.openxmlformats.org/officeDocument/2006/relationships/hyperlink" Target="https://www.linkedin.com/learning/paths/stay-competitive-using-design-thinking?trk=ondemandfile" TargetMode="External"/><Relationship Id="rId1930" Type="http://schemas.openxmlformats.org/officeDocument/2006/relationships/hyperlink" Target="https://www.linkedin.com/learning/gemba-kaizen-a-common-sense-approach-to-continuous-improvement-blinkist-summary?trk=ondemandfile" TargetMode="External"/><Relationship Id="rId15" Type="http://schemas.openxmlformats.org/officeDocument/2006/relationships/hyperlink" Target="https://www.linkedin.com/learning/time-management-for-managers?trk=ondemandfile" TargetMode="External"/><Relationship Id="rId2192" Type="http://schemas.openxmlformats.org/officeDocument/2006/relationships/hyperlink" Target="https://www.linkedin.com/learning/talent-management?trk=ondemandfile" TargetMode="External"/><Relationship Id="rId164" Type="http://schemas.openxmlformats.org/officeDocument/2006/relationships/hyperlink" Target="https://www.linkedin.com/learning/taking-charge-of-technology-for-maximum-productivity?trk=ondemandfile" TargetMode="External"/><Relationship Id="rId371" Type="http://schemas.openxmlformats.org/officeDocument/2006/relationships/hyperlink" Target="https://www.linkedin.com/learning/how-to-speak-up-against-racism-at-work?trk=ondemandfile" TargetMode="External"/><Relationship Id="rId2052" Type="http://schemas.openxmlformats.org/officeDocument/2006/relationships/hyperlink" Target="https://www.linkedin.com/learning/sales-pipeline-management?trk=ondemandfile" TargetMode="External"/><Relationship Id="rId2497" Type="http://schemas.openxmlformats.org/officeDocument/2006/relationships/hyperlink" Target="https://www.linkedin.com/learning/teaching-civility-in-the-workplace?trk=ondemandfile" TargetMode="External"/><Relationship Id="rId469" Type="http://schemas.openxmlformats.org/officeDocument/2006/relationships/hyperlink" Target="https://www.linkedin.com/learning/difficult-situations-solutions-for-managers?trk=ondemandfile" TargetMode="External"/><Relationship Id="rId676" Type="http://schemas.openxmlformats.org/officeDocument/2006/relationships/hyperlink" Target="https://www.linkedin.com/learning/developing-your-creativity-as-a-leader?trk=ondemandfile" TargetMode="External"/><Relationship Id="rId883" Type="http://schemas.openxmlformats.org/officeDocument/2006/relationships/hyperlink" Target="https://www.linkedin.com/learning/blockchain-basics-14414119?trk=contentmappingfile" TargetMode="External"/><Relationship Id="rId1099" Type="http://schemas.openxmlformats.org/officeDocument/2006/relationships/hyperlink" Target="https://www.linkedin.com/learning/algorithmic-trading-and-stocks-essential-training?trk=ondemandfile" TargetMode="External"/><Relationship Id="rId2357" Type="http://schemas.openxmlformats.org/officeDocument/2006/relationships/hyperlink" Target="https://www.linkedin.com/learning/creating-a-great-place-to-work-for-all?trk=ondemandfile" TargetMode="External"/><Relationship Id="rId2564" Type="http://schemas.openxmlformats.org/officeDocument/2006/relationships/hyperlink" Target="https://www.linkedin.com/learning/the-leader-s-guide-to-mindfulness-getabstract-summary?trk=ondemandfile" TargetMode="External"/><Relationship Id="rId231" Type="http://schemas.openxmlformats.org/officeDocument/2006/relationships/hyperlink" Target="https://www.linkedin.com/learning/boosting-your-team-s-productivity?trk=ondemandfile" TargetMode="External"/><Relationship Id="rId329" Type="http://schemas.openxmlformats.org/officeDocument/2006/relationships/hyperlink" Target="https://www.linkedin.com/learning/paths/create-a-successful-pitch-for-investors?trk=ondemandfile" TargetMode="External"/><Relationship Id="rId536" Type="http://schemas.openxmlformats.org/officeDocument/2006/relationships/hyperlink" Target="https://www.linkedin.com/learning/advanced-google-analytics-4?trk=ondemandfile" TargetMode="External"/><Relationship Id="rId1166" Type="http://schemas.openxmlformats.org/officeDocument/2006/relationships/hyperlink" Target="https://www.linkedin.com/learning/human-resources-managing-employee-problems?trk=ondemandfile" TargetMode="External"/><Relationship Id="rId1373" Type="http://schemas.openxmlformats.org/officeDocument/2006/relationships/hyperlink" Target="https://www.linkedin.com/learning/powerpoint-8-easy-ways-to-make-your-presentations-look-better?trk=ondemandfile" TargetMode="External"/><Relationship Id="rId2217" Type="http://schemas.openxmlformats.org/officeDocument/2006/relationships/hyperlink" Target="https://www.linkedin.com/learning/transitioning-from-technical-professional-to-manager?trk=ondemandfile" TargetMode="External"/><Relationship Id="rId743" Type="http://schemas.openxmlformats.org/officeDocument/2006/relationships/hyperlink" Target="https://www.linkedin.com/learning/overcoming-cognitive-bias?trk=ondemandfile" TargetMode="External"/><Relationship Id="rId950" Type="http://schemas.openxmlformats.org/officeDocument/2006/relationships/hyperlink" Target="https://www.linkedin.com/learning/creating-inclusive-learning-experiences?trk=ondemandfile" TargetMode="External"/><Relationship Id="rId1026" Type="http://schemas.openxmlformats.org/officeDocument/2006/relationships/hyperlink" Target="https://www.linkedin.com/learning/s-4-finance-fiori-accounts-payable-analytics?trk=ondemandfile" TargetMode="External"/><Relationship Id="rId1580" Type="http://schemas.openxmlformats.org/officeDocument/2006/relationships/hyperlink" Target="https://www.linkedin.com/learning/superhuman-innovation-blinkist-summary?trk=ondemandfile" TargetMode="External"/><Relationship Id="rId1678" Type="http://schemas.openxmlformats.org/officeDocument/2006/relationships/hyperlink" Target="https://www.linkedin.com/learning/management-tips?trk=ondemandfile" TargetMode="External"/><Relationship Id="rId1885" Type="http://schemas.openxmlformats.org/officeDocument/2006/relationships/hyperlink" Target="https://www.linkedin.com/learning/project-management-foundations-small-projects-2?trk=ondemandfile" TargetMode="External"/><Relationship Id="rId2424" Type="http://schemas.openxmlformats.org/officeDocument/2006/relationships/hyperlink" Target="https://www.linkedin.com/learning/how-to-be-more-inclusive?trk=ondemandfile" TargetMode="External"/><Relationship Id="rId2631" Type="http://schemas.openxmlformats.org/officeDocument/2006/relationships/hyperlink" Target="https://www.linkedin.com/learning/inclusive-leadership?trk=ondemandfile" TargetMode="External"/><Relationship Id="rId2729" Type="http://schemas.openxmlformats.org/officeDocument/2006/relationships/hyperlink" Target="https://www.linkedin.com/learning/leadership-skills-for-the-future?trk=ondemandfile" TargetMode="External"/><Relationship Id="rId603" Type="http://schemas.openxmlformats.org/officeDocument/2006/relationships/hyperlink" Target="https://www.linkedin.com/learning/diversity-and-inclusion-in-marketing-inclusive-language-for-marketers?trk=ondemandfile" TargetMode="External"/><Relationship Id="rId810" Type="http://schemas.openxmlformats.org/officeDocument/2006/relationships/hyperlink" Target="https://www.linkedin.com/learning/building-rapport-with-customers?trk=ondemandfile" TargetMode="External"/><Relationship Id="rId908" Type="http://schemas.openxmlformats.org/officeDocument/2006/relationships/hyperlink" Target="https://www.linkedin.com/learning/excel-charts-in-depth?trk=ondemandfile" TargetMode="External"/><Relationship Id="rId1233" Type="http://schemas.openxmlformats.org/officeDocument/2006/relationships/hyperlink" Target="https://www.linkedin.com/learning/people-analytics?trk=ondemandfile" TargetMode="External"/><Relationship Id="rId1440" Type="http://schemas.openxmlformats.org/officeDocument/2006/relationships/hyperlink" Target="https://www.linkedin.com/learning/building-resilience-as-a-leader?trk=ondemandfile" TargetMode="External"/><Relationship Id="rId1538" Type="http://schemas.openxmlformats.org/officeDocument/2006/relationships/hyperlink" Target="https://www.linkedin.com/learning/leadership-foundations-4?trk=ondemandfile" TargetMode="External"/><Relationship Id="rId1300" Type="http://schemas.openxmlformats.org/officeDocument/2006/relationships/hyperlink" Target="https://www.linkedin.com/learning/ccsp-cert-prep-1-cloud-concepts-architecture-and-design-audio-review?trk=ondemandfile" TargetMode="External"/><Relationship Id="rId1745" Type="http://schemas.openxmlformats.org/officeDocument/2006/relationships/hyperlink" Target="https://www.linkedin.com/learning/operations-management-foundations?trk=ondemandfile" TargetMode="External"/><Relationship Id="rId1952" Type="http://schemas.openxmlformats.org/officeDocument/2006/relationships/hyperlink" Target="https://www.linkedin.com/learning/how-to-fix-bad-agile?trk=ondemandfile" TargetMode="External"/><Relationship Id="rId37" Type="http://schemas.openxmlformats.org/officeDocument/2006/relationships/hyperlink" Target="https://www.linkedin.com/learning/how-to-slow-down-and-be-more-productive?trk=ondemandfile" TargetMode="External"/><Relationship Id="rId1605" Type="http://schemas.openxmlformats.org/officeDocument/2006/relationships/hyperlink" Target="https://www.linkedin.com/learning/mastering-organizational-chaos?trk=ondemandfile" TargetMode="External"/><Relationship Id="rId1812" Type="http://schemas.openxmlformats.org/officeDocument/2006/relationships/hyperlink" Target="https://www.linkedin.com/learning/learning-powerpoint-2019?trk=ondemandfile" TargetMode="External"/><Relationship Id="rId186" Type="http://schemas.openxmlformats.org/officeDocument/2006/relationships/hyperlink" Target="https://www.linkedin.com/learning/how-to-set-team-and-employee-goals?trk=ondemandfile" TargetMode="External"/><Relationship Id="rId393" Type="http://schemas.openxmlformats.org/officeDocument/2006/relationships/hyperlink" Target="https://www.linkedin.com/learning/the-science-of-compassion-an-introduction?trk=ondemandfile" TargetMode="External"/><Relationship Id="rId2074" Type="http://schemas.openxmlformats.org/officeDocument/2006/relationships/hyperlink" Target="https://www.linkedin.com/learning/sales-management-simplified-blinkist-summary?trk=ondemandfile" TargetMode="External"/><Relationship Id="rId2281" Type="http://schemas.openxmlformats.org/officeDocument/2006/relationships/hyperlink" Target="https://www.linkedin.com/learning/how-to-set-team-and-employee-goals?trk=ondemandfile" TargetMode="External"/><Relationship Id="rId253" Type="http://schemas.openxmlformats.org/officeDocument/2006/relationships/hyperlink" Target="https://www.linkedin.com/learning/paths/digital-transformation-in-practice-virtual-collaboration-tools?trk=ondemandfile" TargetMode="External"/><Relationship Id="rId460" Type="http://schemas.openxmlformats.org/officeDocument/2006/relationships/hyperlink" Target="https://www.linkedin.com/learning/paths/develop-conflict-management-and-resolution-skills?trk=ondemandfile" TargetMode="External"/><Relationship Id="rId698" Type="http://schemas.openxmlformats.org/officeDocument/2006/relationships/hyperlink" Target="https://www.linkedin.com/learning/21-day-creative-exercise-desk-challenge?trk=ondemandfile" TargetMode="External"/><Relationship Id="rId1090" Type="http://schemas.openxmlformats.org/officeDocument/2006/relationships/hyperlink" Target="https://www.linkedin.com/learning/critical-roles-consultants-play-and-the-skills-you-need-to-fill-them?trk=ondemandfile" TargetMode="External"/><Relationship Id="rId2141" Type="http://schemas.openxmlformats.org/officeDocument/2006/relationships/hyperlink" Target="https://www.linkedin.com/learning/sap-erp-essential-training?trk=ondemandfile" TargetMode="External"/><Relationship Id="rId2379" Type="http://schemas.openxmlformats.org/officeDocument/2006/relationships/hyperlink" Target="https://www.linkedin.com/learning/the-science-of-compassion-the-upward-spiral-of-compassion?trk=ondemandfile" TargetMode="External"/><Relationship Id="rId2586" Type="http://schemas.openxmlformats.org/officeDocument/2006/relationships/hyperlink" Target="https://www.linkedin.com/learning/managing-depression-in-the-workplace?trk=ondemandfile" TargetMode="External"/><Relationship Id="rId113" Type="http://schemas.openxmlformats.org/officeDocument/2006/relationships/hyperlink" Target="https://www.linkedin.com/learning/developing-adaptable-managers?trk=ondemandfile" TargetMode="External"/><Relationship Id="rId320" Type="http://schemas.openxmlformats.org/officeDocument/2006/relationships/hyperlink" Target="https://www.linkedin.com/learning/business-collaboration-in-the-modern-workplace?trk=ondemandfile" TargetMode="External"/><Relationship Id="rId558" Type="http://schemas.openxmlformats.org/officeDocument/2006/relationships/hyperlink" Target="https://www.linkedin.com/learning/build-an-ecommerce-website-using-shopify?trk=ondemandfile" TargetMode="External"/><Relationship Id="rId765" Type="http://schemas.openxmlformats.org/officeDocument/2006/relationships/hyperlink" Target="https://www.linkedin.com/learning/how-to-think-like-a-lawyer-to-make-decisions-and-solve-problems?trk=ondemandfile" TargetMode="External"/><Relationship Id="rId972" Type="http://schemas.openxmlformats.org/officeDocument/2006/relationships/hyperlink" Target="https://www.linkedin.com/learning/build-your-own-baller-training-quick-start-guide-2?trk=ondemandfile" TargetMode="External"/><Relationship Id="rId1188" Type="http://schemas.openxmlformats.org/officeDocument/2006/relationships/hyperlink" Target="https://www.linkedin.com/learning/empathy-tips-for-hr-professionals?trk=ondemandfile" TargetMode="External"/><Relationship Id="rId1395" Type="http://schemas.openxmlformats.org/officeDocument/2006/relationships/hyperlink" Target="https://www.linkedin.com/learning/algorithmic-trading-and-finance-models-with-python-r-and-stata-essential-training?trk=ondemandfile" TargetMode="External"/><Relationship Id="rId2001" Type="http://schemas.openxmlformats.org/officeDocument/2006/relationships/hyperlink" Target="https://www.linkedin.com/learning/engagement-preparation-best-practices-for-customer-success-management?trk=ondemandfile" TargetMode="External"/><Relationship Id="rId2239" Type="http://schemas.openxmlformats.org/officeDocument/2006/relationships/hyperlink" Target="https://www.linkedin.com/learning/foundations-of-corporate-training?trk=ondemandfile" TargetMode="External"/><Relationship Id="rId2446" Type="http://schemas.openxmlformats.org/officeDocument/2006/relationships/hyperlink" Target="https://www.linkedin.com/learning/writing-case-studies?trk=ondemandfile" TargetMode="External"/><Relationship Id="rId2653" Type="http://schemas.openxmlformats.org/officeDocument/2006/relationships/hyperlink" Target="https://www.linkedin.com/learning/leading-with-purpose?trk=ondemandfile" TargetMode="External"/><Relationship Id="rId418" Type="http://schemas.openxmlformats.org/officeDocument/2006/relationships/hyperlink" Target="https://www.linkedin.com/learning/creating-the-ideal-sales-culture?trk=ondemandfile" TargetMode="External"/><Relationship Id="rId625" Type="http://schemas.openxmlformats.org/officeDocument/2006/relationships/hyperlink" Target="https://www.linkedin.com/learning/advertising-on-pinterest-2?trk=ondemandfile" TargetMode="External"/><Relationship Id="rId832" Type="http://schemas.openxmlformats.org/officeDocument/2006/relationships/hyperlink" Target="https://www.linkedin.com/learning/lessons-from-data-scientists" TargetMode="External"/><Relationship Id="rId1048" Type="http://schemas.openxmlformats.org/officeDocument/2006/relationships/hyperlink" Target="https://www.linkedin.com/learning/understanding-capital-markets?trk=ondemandfile" TargetMode="External"/><Relationship Id="rId1255" Type="http://schemas.openxmlformats.org/officeDocument/2006/relationships/hyperlink" Target="https://www.linkedin.com/learning/paths/advance-your-skills-in-deep-learning-and-neural-networks?trk=ondemandfile" TargetMode="External"/><Relationship Id="rId1462" Type="http://schemas.openxmlformats.org/officeDocument/2006/relationships/hyperlink" Target="https://www.linkedin.com/learning/women-transforming-tech-breaking-bias-2?trk=ondemandfile" TargetMode="External"/><Relationship Id="rId2306" Type="http://schemas.openxmlformats.org/officeDocument/2006/relationships/hyperlink" Target="https://www.linkedin.com/learning/driving-workplace-happiness?trk=ondemandfile" TargetMode="External"/><Relationship Id="rId2513" Type="http://schemas.openxmlformats.org/officeDocument/2006/relationships/hyperlink" Target="https://www.linkedin.com/learning/boost-emotional-intelligence-with-mindfulness?trk=ondemandfile" TargetMode="External"/><Relationship Id="rId1115" Type="http://schemas.openxmlformats.org/officeDocument/2006/relationships/hyperlink" Target="https://www.linkedin.com/learning/the-business-of-accounting?trk=ondemandfile" TargetMode="External"/><Relationship Id="rId1322" Type="http://schemas.openxmlformats.org/officeDocument/2006/relationships/hyperlink" Target="https://www.linkedin.com/learning/crisc-cert-prep-1-it-risk-identification?trk=ondemandfile" TargetMode="External"/><Relationship Id="rId1767" Type="http://schemas.openxmlformats.org/officeDocument/2006/relationships/hyperlink" Target="https://www.linkedin.com/learning/ux-deep-dive-remote-research?trk=ondemandfile" TargetMode="External"/><Relationship Id="rId1974" Type="http://schemas.openxmlformats.org/officeDocument/2006/relationships/hyperlink" Target="https://www.linkedin.com/learning/sales-coaching-2021?trk=ondemandfile" TargetMode="External"/><Relationship Id="rId2720" Type="http://schemas.openxmlformats.org/officeDocument/2006/relationships/hyperlink" Target="https://www.linkedin.com/learning/inspirational-leadership-skills-practical-motivational-leadership?trk=ondemandfile" TargetMode="External"/><Relationship Id="rId59" Type="http://schemas.openxmlformats.org/officeDocument/2006/relationships/hyperlink" Target="https://www.linkedin.com/learning/how-to-manage-your-attention-and-your-priorities?trk=ondemandfile" TargetMode="External"/><Relationship Id="rId1627" Type="http://schemas.openxmlformats.org/officeDocument/2006/relationships/hyperlink" Target="https://www.linkedin.com/learning/goal-setting-objectives-and-key-results-okrs?trk=ondemandfile" TargetMode="External"/><Relationship Id="rId1834" Type="http://schemas.openxmlformats.org/officeDocument/2006/relationships/hyperlink" Target="https://www.linkedin.com/learning/making-great-sales-presentations?trk=ondemandfile" TargetMode="External"/><Relationship Id="rId2096" Type="http://schemas.openxmlformats.org/officeDocument/2006/relationships/hyperlink" Target="https://www.linkedin.com/learning/paths/managing-change?trk=ondemandfile" TargetMode="External"/><Relationship Id="rId1901" Type="http://schemas.openxmlformats.org/officeDocument/2006/relationships/hyperlink" Target="https://www.linkedin.com/learning/from-resisting-to-embracing-lean-a-case-study?trk=ondemandfile" TargetMode="External"/><Relationship Id="rId275" Type="http://schemas.openxmlformats.org/officeDocument/2006/relationships/hyperlink" Target="https://www.linkedin.com/learning/a-guide-to-ergs-employee-resource-groups?trk=ondemandfile" TargetMode="External"/><Relationship Id="rId482" Type="http://schemas.openxmlformats.org/officeDocument/2006/relationships/hyperlink" Target="https://www.linkedin.com/learning/how-to-proactively-manage-conflict-as-an-employee?trk=ondemandfile" TargetMode="External"/><Relationship Id="rId2163" Type="http://schemas.openxmlformats.org/officeDocument/2006/relationships/hyperlink" Target="https://www.linkedin.com/learning/thinking-in-new-boxes-a-new-paradigm-for-business-creativity?trk=ondemandfile" TargetMode="External"/><Relationship Id="rId2370" Type="http://schemas.openxmlformats.org/officeDocument/2006/relationships/hyperlink" Target="https://www.linkedin.com/learning/finding-and-doing-the-one-thing?trk=ondemandfile" TargetMode="External"/><Relationship Id="rId135" Type="http://schemas.openxmlformats.org/officeDocument/2006/relationships/hyperlink" Target="https://www.linkedin.com/learning/creating-flow?trk=ondemandfile" TargetMode="External"/><Relationship Id="rId342" Type="http://schemas.openxmlformats.org/officeDocument/2006/relationships/hyperlink" Target="https://www.linkedin.com/learning/navigating-executive-politics?trk=ondemandfile" TargetMode="External"/><Relationship Id="rId787" Type="http://schemas.openxmlformats.org/officeDocument/2006/relationships/hyperlink" Target="https://www.linkedin.com/learning/journey-mapping-case-studies-in-action?trk=ondemandfile" TargetMode="External"/><Relationship Id="rId994" Type="http://schemas.openxmlformats.org/officeDocument/2006/relationships/hyperlink" Target="https://www.linkedin.com/learning/designing-a-training-program-setting-goals-objectives-and-mediums?trk=ondemandfile" TargetMode="External"/><Relationship Id="rId2023" Type="http://schemas.openxmlformats.org/officeDocument/2006/relationships/hyperlink" Target="https://www.linkedin.com/learning/sales-time-management?trk=ondemandfile" TargetMode="External"/><Relationship Id="rId2230" Type="http://schemas.openxmlformats.org/officeDocument/2006/relationships/hyperlink" Target="https://www.linkedin.com/learning/managing-employee-performance-problems-2018?trk=ondemandfile" TargetMode="External"/><Relationship Id="rId2468" Type="http://schemas.openxmlformats.org/officeDocument/2006/relationships/hyperlink" Target="https://www.linkedin.com/learning/quick-tips-for-writing-business-emails?trk=ondemandfile" TargetMode="External"/><Relationship Id="rId2675" Type="http://schemas.openxmlformats.org/officeDocument/2006/relationships/hyperlink" Target="https://www.linkedin.com/learning/key-mental-shifts-for-servant-leadership?trk=ondemandfile" TargetMode="External"/><Relationship Id="rId202" Type="http://schemas.openxmlformats.org/officeDocument/2006/relationships/hyperlink" Target="https://www.linkedin.com/learning/building-high-performance-teams?trk=ondemandfile" TargetMode="External"/><Relationship Id="rId647" Type="http://schemas.openxmlformats.org/officeDocument/2006/relationships/hyperlink" Target="https://www.linkedin.com/learning/consumer-behavior-trends-meet-the-postmodern-consumer?trk=ondemandfile" TargetMode="External"/><Relationship Id="rId854" Type="http://schemas.openxmlformats.org/officeDocument/2006/relationships/hyperlink" Target="https://www.linkedin.com/learning/paths/become-a-business-intelligence-specialist?trk=ondemandfile" TargetMode="External"/><Relationship Id="rId1277" Type="http://schemas.openxmlformats.org/officeDocument/2006/relationships/hyperlink" Target="https://www.linkedin.com/learning/paths/become-a-python-developer?trk=ondemandfile" TargetMode="External"/><Relationship Id="rId1484" Type="http://schemas.openxmlformats.org/officeDocument/2006/relationships/hyperlink" Target="https://www.linkedin.com/learning/mastering-self-leadership?trk=ondemandfile" TargetMode="External"/><Relationship Id="rId1691" Type="http://schemas.openxmlformats.org/officeDocument/2006/relationships/hyperlink" Target="https://www.linkedin.com/learning/how-to-stop-wasting-time-in-meetings?trk=ondemandfile" TargetMode="External"/><Relationship Id="rId2328" Type="http://schemas.openxmlformats.org/officeDocument/2006/relationships/hyperlink" Target="https://www.linkedin.com/learning/collaborative-leadership?trk=ondemandfile" TargetMode="External"/><Relationship Id="rId2535" Type="http://schemas.openxmlformats.org/officeDocument/2006/relationships/hyperlink" Target="https://www.linkedin.com/learning/overcoming-perfectionism?trk=ondemandfile" TargetMode="External"/><Relationship Id="rId507" Type="http://schemas.openxmlformats.org/officeDocument/2006/relationships/hyperlink" Target="https://www.linkedin.com/learning/cmo-foundations-measuring-marketing-effectiveness-roi?trk=ondemandfile" TargetMode="External"/><Relationship Id="rId714" Type="http://schemas.openxmlformats.org/officeDocument/2006/relationships/hyperlink" Target="https://www.linkedin.com/learning/managing-innovation?trk=ondemandfile" TargetMode="External"/><Relationship Id="rId921" Type="http://schemas.openxmlformats.org/officeDocument/2006/relationships/hyperlink" Target="https://www.linkedin.com/learning/using-python-with-excel?trk=ondemandfile" TargetMode="External"/><Relationship Id="rId1137" Type="http://schemas.openxmlformats.org/officeDocument/2006/relationships/hyperlink" Target="https://www.linkedin.com/learning/paths/become-a-technical-recruiter?trk=ondemandfile" TargetMode="External"/><Relationship Id="rId1344" Type="http://schemas.openxmlformats.org/officeDocument/2006/relationships/hyperlink" Target="https://www.linkedin.com/learning/getting-started-with-live-streaming?trk=ondemandfile" TargetMode="External"/><Relationship Id="rId1551" Type="http://schemas.openxmlformats.org/officeDocument/2006/relationships/hyperlink" Target="https://www.linkedin.com/learning/coaching-skills-for-leaders-and-managers?trk=ondemandfile" TargetMode="External"/><Relationship Id="rId1789" Type="http://schemas.openxmlformats.org/officeDocument/2006/relationships/hyperlink" Target="https://www.linkedin.com/learning/supply-chain-basics-for-everyone?trk=ondemandfile" TargetMode="External"/><Relationship Id="rId1996" Type="http://schemas.openxmlformats.org/officeDocument/2006/relationships/hyperlink" Target="https://www.linkedin.com/learning/avoiding-common-pitfalls-in-customer-success-management?trk=ondemandfile" TargetMode="External"/><Relationship Id="rId2602" Type="http://schemas.openxmlformats.org/officeDocument/2006/relationships/hyperlink" Target="https://www.linkedin.com/learning/the-power-of-habit-blinkist-summary?trk=ondemandfile" TargetMode="External"/><Relationship Id="rId50" Type="http://schemas.openxmlformats.org/officeDocument/2006/relationships/hyperlink" Target="https://www.linkedin.com/learning/the-five-conversations-that-deliver-accountability-and-performance?trk=ondemandfile" TargetMode="External"/><Relationship Id="rId1204" Type="http://schemas.openxmlformats.org/officeDocument/2006/relationships/hyperlink" Target="https://www.linkedin.com/learning/introduction-to-the-phr-certification-exam?trk=ondemandfile" TargetMode="External"/><Relationship Id="rId1411" Type="http://schemas.openxmlformats.org/officeDocument/2006/relationships/hyperlink" Target="https://www.linkedin.com/learning/microsoft-365-choose-the-right-tool-for-the-job?trk=ondemandfile" TargetMode="External"/><Relationship Id="rId1649" Type="http://schemas.openxmlformats.org/officeDocument/2006/relationships/hyperlink" Target="https://www.linkedin.com/learning/new-manager-foundations-2?trk=ondemandfile" TargetMode="External"/><Relationship Id="rId1856" Type="http://schemas.openxmlformats.org/officeDocument/2006/relationships/hyperlink" Target="https://www.linkedin.com/learning/paths/become-a-business-analyst?trk=ondemandfile" TargetMode="External"/><Relationship Id="rId1509" Type="http://schemas.openxmlformats.org/officeDocument/2006/relationships/hyperlink" Target="https://www.linkedin.com/learning/vision-in-action-leaders-live-case-studies?trk=ondemandfile" TargetMode="External"/><Relationship Id="rId1716" Type="http://schemas.openxmlformats.org/officeDocument/2006/relationships/hyperlink" Target="https://www.linkedin.com/learning/digital-transformation-2?trk=ondemandfile" TargetMode="External"/><Relationship Id="rId1923" Type="http://schemas.openxmlformats.org/officeDocument/2006/relationships/hyperlink" Target="https://www.linkedin.com/learning/project-management-foundations-communication-2019?trk=ondemandfile" TargetMode="External"/><Relationship Id="rId297" Type="http://schemas.openxmlformats.org/officeDocument/2006/relationships/hyperlink" Target="https://www.linkedin.com/learning/mindful-team-building?trk=ondemandfile" TargetMode="External"/><Relationship Id="rId2185" Type="http://schemas.openxmlformats.org/officeDocument/2006/relationships/hyperlink" Target="https://www.linkedin.com/learning/paths/become-a-senior-manager?trk=ondemandfile" TargetMode="External"/><Relationship Id="rId2392" Type="http://schemas.openxmlformats.org/officeDocument/2006/relationships/hyperlink" Target="https://www.linkedin.com/learning/developing-your-authentic-self-to-ignite-change?trk=ondemandfile" TargetMode="External"/><Relationship Id="rId157" Type="http://schemas.openxmlformats.org/officeDocument/2006/relationships/hyperlink" Target="https://www.linkedin.com/learning/what-is-scrum?trk=ondemandfile" TargetMode="External"/><Relationship Id="rId364" Type="http://schemas.openxmlformats.org/officeDocument/2006/relationships/hyperlink" Target="https://www.linkedin.com/learning/2020-vlog-leading-with-intelligent-disobedience?trk=ondemandfile" TargetMode="External"/><Relationship Id="rId2045" Type="http://schemas.openxmlformats.org/officeDocument/2006/relationships/hyperlink" Target="https://www.linkedin.com/learning/sales-forecasting?trk=ondemandfile" TargetMode="External"/><Relationship Id="rId2697" Type="http://schemas.openxmlformats.org/officeDocument/2006/relationships/hyperlink" Target="https://www.linkedin.com/learning/leading-with-applied-improv?trk=ondemandfile" TargetMode="External"/><Relationship Id="rId571" Type="http://schemas.openxmlformats.org/officeDocument/2006/relationships/hyperlink" Target="https://www.linkedin.com/learning/building-a-winning-enterprise-marketing-strategy?trk=ondemandfile" TargetMode="External"/><Relationship Id="rId669" Type="http://schemas.openxmlformats.org/officeDocument/2006/relationships/hyperlink" Target="https://www.linkedin.com/learning/futures-centered-design?trk=ondemandfile" TargetMode="External"/><Relationship Id="rId876" Type="http://schemas.openxmlformats.org/officeDocument/2006/relationships/hyperlink" Target="https://www.linkedin.com/learning/business-analytics-sales-data?trk=ondemandfile" TargetMode="External"/><Relationship Id="rId1299" Type="http://schemas.openxmlformats.org/officeDocument/2006/relationships/hyperlink" Target="https://www.linkedin.com/learning/paths/improve-your-itil-skills?trk=ondemandfile" TargetMode="External"/><Relationship Id="rId2252" Type="http://schemas.openxmlformats.org/officeDocument/2006/relationships/hyperlink" Target="https://www.linkedin.com/learning/habits-for-success?trk=ondemandfile" TargetMode="External"/><Relationship Id="rId2557" Type="http://schemas.openxmlformats.org/officeDocument/2006/relationships/hyperlink" Target="https://www.linkedin.com/learning/increasing-confidence-by-increasing-self-awareness?trk=contentmappingfile" TargetMode="External"/><Relationship Id="rId224" Type="http://schemas.openxmlformats.org/officeDocument/2006/relationships/hyperlink" Target="https://www.linkedin.com/learning/creating-a-culture-of-learning-2?trk=ondemandfile" TargetMode="External"/><Relationship Id="rId431" Type="http://schemas.openxmlformats.org/officeDocument/2006/relationships/hyperlink" Target="https://www.linkedin.com/learning/zoom-leading-effective-and-engaging-calls?trk=ondemandfile" TargetMode="External"/><Relationship Id="rId529" Type="http://schemas.openxmlformats.org/officeDocument/2006/relationships/hyperlink" Target="https://www.linkedin.com/learning/marketing-tools-seo-8551757?trk=ondemandfile" TargetMode="External"/><Relationship Id="rId736" Type="http://schemas.openxmlformats.org/officeDocument/2006/relationships/hyperlink" Target="https://www.linkedin.com/learning/developing-a-learning-mindset?trk=ondemandfile" TargetMode="External"/><Relationship Id="rId1061" Type="http://schemas.openxmlformats.org/officeDocument/2006/relationships/hyperlink" Target="https://www.linkedin.com/learning/build-your-financial-literacy?trk=ondemandfile" TargetMode="External"/><Relationship Id="rId1159" Type="http://schemas.openxmlformats.org/officeDocument/2006/relationships/hyperlink" Target="https://www.linkedin.com/learning/planning-for-your-hybrid-organization?trk=ondemandfile" TargetMode="External"/><Relationship Id="rId1366" Type="http://schemas.openxmlformats.org/officeDocument/2006/relationships/hyperlink" Target="https://www.linkedin.com/learning/google-analytics-ga4-audience-building-and-segmentation?trk=ondemandfile" TargetMode="External"/><Relationship Id="rId2112" Type="http://schemas.openxmlformats.org/officeDocument/2006/relationships/hyperlink" Target="https://www.linkedin.com/learning/executive-leadership?trk=ondemandfile" TargetMode="External"/><Relationship Id="rId2417" Type="http://schemas.openxmlformats.org/officeDocument/2006/relationships/hyperlink" Target="https://www.linkedin.com/learning/just-ask-kwame-christian-on-discussing-race?trk=ondemandfile" TargetMode="External"/><Relationship Id="rId943" Type="http://schemas.openxmlformats.org/officeDocument/2006/relationships/hyperlink" Target="https://www.linkedin.com/learning/paths/become-a-financial-analyst" TargetMode="External"/><Relationship Id="rId1019" Type="http://schemas.openxmlformats.org/officeDocument/2006/relationships/hyperlink" Target="https://www.linkedin.com/learning/paths/become-a-corporate-financial-planning-analyst?trk=ondemandfile" TargetMode="External"/><Relationship Id="rId1573" Type="http://schemas.openxmlformats.org/officeDocument/2006/relationships/hyperlink" Target="https://www.linkedin.com/learning/supporting-your-team-as-offices-reopen?trk=ondemandfile" TargetMode="External"/><Relationship Id="rId1780" Type="http://schemas.openxmlformats.org/officeDocument/2006/relationships/hyperlink" Target="https://www.linkedin.com/learning/managing-logistics?trk=ondemandfile" TargetMode="External"/><Relationship Id="rId1878" Type="http://schemas.openxmlformats.org/officeDocument/2006/relationships/hyperlink" Target="https://www.linkedin.com/learning/paths/becoming-a-six-sigma-black-belt?trk=ondemandfile" TargetMode="External"/><Relationship Id="rId2624" Type="http://schemas.openxmlformats.org/officeDocument/2006/relationships/hyperlink" Target="https://www.linkedin.com/learning/paths/digital-transformation-for-tech-leaders?trk=ondemandfile" TargetMode="External"/><Relationship Id="rId72" Type="http://schemas.openxmlformats.org/officeDocument/2006/relationships/hyperlink" Target="https://www.linkedin.com/learning/sheryl-sandberg-and-adam-grant-on-option-b?trk=ondemandfile" TargetMode="External"/><Relationship Id="rId803" Type="http://schemas.openxmlformats.org/officeDocument/2006/relationships/hyperlink" Target="https://www.linkedin.com/learning/aftersale-maintaining-relationships?trk=ondemandfile" TargetMode="External"/><Relationship Id="rId1226" Type="http://schemas.openxmlformats.org/officeDocument/2006/relationships/hyperlink" Target="https://www.linkedin.com/learning/leadership-mindsets?trk=ondemandfile" TargetMode="External"/><Relationship Id="rId1433" Type="http://schemas.openxmlformats.org/officeDocument/2006/relationships/hyperlink" Target="https://www.linkedin.com/learning/coaching-your-team-from-uncertainty-to-action?trk=ondemandfile" TargetMode="External"/><Relationship Id="rId1640" Type="http://schemas.openxmlformats.org/officeDocument/2006/relationships/hyperlink" Target="https://www.linkedin.com/learning/how-to-set-team-and-employee-goals?trk=ondemandfile" TargetMode="External"/><Relationship Id="rId1738" Type="http://schemas.openxmlformats.org/officeDocument/2006/relationships/hyperlink" Target="https://www.linkedin.com/learning/cost-reduction-cut-costs-and-maximise-profits?trk=ondemandfile" TargetMode="External"/><Relationship Id="rId1500" Type="http://schemas.openxmlformats.org/officeDocument/2006/relationships/hyperlink" Target="https://www.linkedin.com/learning/doing-good-to-build-a-profitable-business?trk=ondemandfile" TargetMode="External"/><Relationship Id="rId1945" Type="http://schemas.openxmlformats.org/officeDocument/2006/relationships/hyperlink" Target="https://www.linkedin.com/learning/project-management-foundations-procurement-2?trk=ondemandfile" TargetMode="External"/><Relationship Id="rId1805" Type="http://schemas.openxmlformats.org/officeDocument/2006/relationships/hyperlink" Target="https://www.linkedin.com/learning/facilitation-skills-for-managers-and-leaders?trk=ondemandfile" TargetMode="External"/><Relationship Id="rId179" Type="http://schemas.openxmlformats.org/officeDocument/2006/relationships/hyperlink" Target="https://www.linkedin.com/learning/the-long-distance-leader-getabstract-summary?trk=ondemandfile" TargetMode="External"/><Relationship Id="rId386" Type="http://schemas.openxmlformats.org/officeDocument/2006/relationships/hyperlink" Target="https://www.linkedin.com/learning/find-your-passion-how-padma-lakshmi-found-hers?trk=ondemandfile" TargetMode="External"/><Relationship Id="rId593" Type="http://schemas.openxmlformats.org/officeDocument/2006/relationships/hyperlink" Target="https://www.linkedin.com/learning/jump-start-your-linkedin-live-channel?trk=ondemandfile" TargetMode="External"/><Relationship Id="rId2067" Type="http://schemas.openxmlformats.org/officeDocument/2006/relationships/hyperlink" Target="https://www.linkedin.com/learning/sales-closing-strategies?trk=ondemandfile" TargetMode="External"/><Relationship Id="rId2274" Type="http://schemas.openxmlformats.org/officeDocument/2006/relationships/hyperlink" Target="https://www.linkedin.com/learning/developing-a-mentoring-program?trk=ondemandfile" TargetMode="External"/><Relationship Id="rId2481" Type="http://schemas.openxmlformats.org/officeDocument/2006/relationships/hyperlink" Target="https://www.linkedin.com/learning/leading-with-fearless-mindfulness?trk=ondemandfile" TargetMode="External"/><Relationship Id="rId246" Type="http://schemas.openxmlformats.org/officeDocument/2006/relationships/hyperlink" Target="https://www.linkedin.com/learning/creating-the-environment-for-productive-virtual-teams?trk=ondemandfile" TargetMode="External"/><Relationship Id="rId453" Type="http://schemas.openxmlformats.org/officeDocument/2006/relationships/hyperlink" Target="https://www.linkedin.com/learning/effective-listening?trk=ondemandfile" TargetMode="External"/><Relationship Id="rId660" Type="http://schemas.openxmlformats.org/officeDocument/2006/relationships/hyperlink" Target="https://www.linkedin.com/learning/paths/improve-your-problem-solving-skills?trk=ondemandfile" TargetMode="External"/><Relationship Id="rId898" Type="http://schemas.openxmlformats.org/officeDocument/2006/relationships/hyperlink" Target="https://www.linkedin.com/learning/the-data-science-of-government-and-political-science-with-barton-poulson?trk=ondemandfile" TargetMode="External"/><Relationship Id="rId1083" Type="http://schemas.openxmlformats.org/officeDocument/2006/relationships/hyperlink" Target="https://www.linkedin.com/learning/managing-globally/what-is-cultural-agility" TargetMode="External"/><Relationship Id="rId1290" Type="http://schemas.openxmlformats.org/officeDocument/2006/relationships/hyperlink" Target="https://www.linkedin.com/learning/paths/getting-started-with-microsoft-onenote?trk=ondemandfile" TargetMode="External"/><Relationship Id="rId2134" Type="http://schemas.openxmlformats.org/officeDocument/2006/relationships/hyperlink" Target="https://www.linkedin.com/learning/developing-executive-presence?trk=ondemandfile" TargetMode="External"/><Relationship Id="rId2341" Type="http://schemas.openxmlformats.org/officeDocument/2006/relationships/hyperlink" Target="https://www.linkedin.com/learning/new-manager-foundations-2?trk=ondemandfile" TargetMode="External"/><Relationship Id="rId2579" Type="http://schemas.openxmlformats.org/officeDocument/2006/relationships/hyperlink" Target="https://www.linkedin.com/learning/learning-to-say-no?trk=ondemandfile" TargetMode="External"/><Relationship Id="rId106" Type="http://schemas.openxmlformats.org/officeDocument/2006/relationships/hyperlink" Target="https://www.linkedin.com/learning/paths/master-in-demand-professional-soft-skills?trk=ondemandfile" TargetMode="External"/><Relationship Id="rId313" Type="http://schemas.openxmlformats.org/officeDocument/2006/relationships/hyperlink" Target="https://www.linkedin.com/learning/business-ethics-2?trk=ondemandfile" TargetMode="External"/><Relationship Id="rId758" Type="http://schemas.openxmlformats.org/officeDocument/2006/relationships/hyperlink" Target="https://www.linkedin.com/learning/successful-goal-setting?trk=ondemandfile" TargetMode="External"/><Relationship Id="rId965" Type="http://schemas.openxmlformats.org/officeDocument/2006/relationships/hyperlink" Target="https://www.linkedin.com/learning/paths/managing-your-career-as-a-developer?trk=ondemandfile" TargetMode="External"/><Relationship Id="rId1150" Type="http://schemas.openxmlformats.org/officeDocument/2006/relationships/hyperlink" Target="https://www.linkedin.com/learning/paths/finding-and-retaining-talent?trk=ondemandfile" TargetMode="External"/><Relationship Id="rId1388" Type="http://schemas.openxmlformats.org/officeDocument/2006/relationships/hyperlink" Target="https://www.linkedin.com/learning/network-virtualization-sdn-overlay-solutions?trk=ondemandfile" TargetMode="External"/><Relationship Id="rId1595" Type="http://schemas.openxmlformats.org/officeDocument/2006/relationships/hyperlink" Target="https://www.linkedin.com/learning/how-to-negotiate-your-leadership-success?trk=ondemandfile" TargetMode="External"/><Relationship Id="rId2439" Type="http://schemas.openxmlformats.org/officeDocument/2006/relationships/hyperlink" Target="https://www.linkedin.com/learning/empathy-at-work?trk=ondemandfile" TargetMode="External"/><Relationship Id="rId2646" Type="http://schemas.openxmlformats.org/officeDocument/2006/relationships/hyperlink" Target="https://www.linkedin.com/learning/start-with-why?trk=ondemandfile" TargetMode="External"/><Relationship Id="rId94" Type="http://schemas.openxmlformats.org/officeDocument/2006/relationships/hyperlink" Target="https://www.linkedin.com/learning/the-procrastination-cure-blinkist-summary?trk=ondemandfile" TargetMode="External"/><Relationship Id="rId520" Type="http://schemas.openxmlformats.org/officeDocument/2006/relationships/hyperlink" Target="https://www.linkedin.com/learning/paths/become-a-public-relations-specialist?trk=ondemandfile" TargetMode="External"/><Relationship Id="rId618" Type="http://schemas.openxmlformats.org/officeDocument/2006/relationships/hyperlink" Target="https://www.linkedin.com/learning/introduction-to-content-marketing-2?trk=ondemandfile" TargetMode="External"/><Relationship Id="rId825" Type="http://schemas.openxmlformats.org/officeDocument/2006/relationships/hyperlink" Target="https://www.linkedin.com/learning/customer-service-using-ai-and-machine-learning?trk=ondemandfile" TargetMode="External"/><Relationship Id="rId1248" Type="http://schemas.openxmlformats.org/officeDocument/2006/relationships/hyperlink" Target="https://www.linkedin.com/learning/ai-foundations-neural-networks?trk=ondemandfile" TargetMode="External"/><Relationship Id="rId1455" Type="http://schemas.openxmlformats.org/officeDocument/2006/relationships/hyperlink" Target="https://www.linkedin.com/learning/change-management-tips-for-leaders?trk=ondemandfile" TargetMode="External"/><Relationship Id="rId1662" Type="http://schemas.openxmlformats.org/officeDocument/2006/relationships/hyperlink" Target="https://www.linkedin.com/learning/managing-up-down-and-across-the-organization-14407231?trk=contentmappingfile" TargetMode="External"/><Relationship Id="rId2201" Type="http://schemas.openxmlformats.org/officeDocument/2006/relationships/hyperlink" Target="https://www.linkedin.com/learning/creating-the-conditions-for-others-to-thrive?trk=ondemandfile" TargetMode="External"/><Relationship Id="rId2506" Type="http://schemas.openxmlformats.org/officeDocument/2006/relationships/hyperlink" Target="https://www.linkedin.com/learning/creating-technology-boundaries-for-your-phone?trk=ondemandfile" TargetMode="External"/><Relationship Id="rId1010" Type="http://schemas.openxmlformats.org/officeDocument/2006/relationships/hyperlink" Target="https://www.linkedin.com/learning/technology-and-design-ethics?trk=ondemandfile" TargetMode="External"/><Relationship Id="rId1108" Type="http://schemas.openxmlformats.org/officeDocument/2006/relationships/hyperlink" Target="https://www.linkedin.com/learning/accounting-foundations-cost-based-pricing-strategies?trk=ondemandfile" TargetMode="External"/><Relationship Id="rId1315" Type="http://schemas.openxmlformats.org/officeDocument/2006/relationships/hyperlink" Target="https://www.linkedin.com/learning/paths/master-microsoft-word?trk=ondemandfile" TargetMode="External"/><Relationship Id="rId1967" Type="http://schemas.openxmlformats.org/officeDocument/2006/relationships/hyperlink" Target="https://www.linkedin.com/learning/paths/become-a-sales-manager?trk=ondemandfile" TargetMode="External"/><Relationship Id="rId2713" Type="http://schemas.openxmlformats.org/officeDocument/2006/relationships/hyperlink" Target="https://www.linkedin.com/learning/mindful-leadership?trk=ondemandfile" TargetMode="External"/><Relationship Id="rId1522" Type="http://schemas.openxmlformats.org/officeDocument/2006/relationships/hyperlink" Target="https://www.linkedin.com/learning/executive-decision-making?trk=ondemandfile" TargetMode="External"/><Relationship Id="rId21" Type="http://schemas.openxmlformats.org/officeDocument/2006/relationships/hyperlink" Target="https://www.linkedin.com/learning/holding-yourself-accountable?trk=ondemandfile" TargetMode="External"/><Relationship Id="rId2089" Type="http://schemas.openxmlformats.org/officeDocument/2006/relationships/hyperlink" Target="https://www.linkedin.com/learning/digital-transformation-2?trk=ondemandfile" TargetMode="External"/><Relationship Id="rId2296" Type="http://schemas.openxmlformats.org/officeDocument/2006/relationships/hyperlink" Target="https://www.linkedin.com/learning/coaching-employees-through-difficult-situations?trk=ondemandfile" TargetMode="External"/><Relationship Id="rId268" Type="http://schemas.openxmlformats.org/officeDocument/2006/relationships/hyperlink" Target="https://www.linkedin.com/learning/igniting-emotional-engagement?trk=ondemandfile" TargetMode="External"/><Relationship Id="rId475" Type="http://schemas.openxmlformats.org/officeDocument/2006/relationships/hyperlink" Target="https://www.linkedin.com/learning/managing-employee-performance-problems-2018?trk=ondemandfile" TargetMode="External"/><Relationship Id="rId682" Type="http://schemas.openxmlformats.org/officeDocument/2006/relationships/hyperlink" Target="https://www.linkedin.com/learning/icebreakers-for-teams-meetings-and-groups?trk=ondemandfile" TargetMode="External"/><Relationship Id="rId2156" Type="http://schemas.openxmlformats.org/officeDocument/2006/relationships/hyperlink" Target="https://www.linkedin.com/learning/business-analysis-essential-tools-and-techniques?trk=ondemandfile" TargetMode="External"/><Relationship Id="rId2363" Type="http://schemas.openxmlformats.org/officeDocument/2006/relationships/hyperlink" Target="https://www.linkedin.com/learning/teaching-with-linkedin-learning?trk=ondemandfile" TargetMode="External"/><Relationship Id="rId2570" Type="http://schemas.openxmlformats.org/officeDocument/2006/relationships/hyperlink" Target="https://www.linkedin.com/learning/gretchen-rubin-on-creating-great-workplace-habits?trk=ondemandfile" TargetMode="External"/><Relationship Id="rId128" Type="http://schemas.openxmlformats.org/officeDocument/2006/relationships/hyperlink" Target="https://www.linkedin.com/learning/performing-under-pressure?trk=ondemandfile" TargetMode="External"/><Relationship Id="rId335" Type="http://schemas.openxmlformats.org/officeDocument/2006/relationships/hyperlink" Target="https://www.linkedin.com/learning/paths/develop-motivate-and-retain-employees?trk=ondemandfile" TargetMode="External"/><Relationship Id="rId542" Type="http://schemas.openxmlformats.org/officeDocument/2006/relationships/hyperlink" Target="https://www.linkedin.com/learning/growth-hacking-foundations?trk=ondemandfile" TargetMode="External"/><Relationship Id="rId1172" Type="http://schemas.openxmlformats.org/officeDocument/2006/relationships/hyperlink" Target="https://www.linkedin.com/learning/performance-management-employee-engagement?trk=ondemandfile" TargetMode="External"/><Relationship Id="rId2016" Type="http://schemas.openxmlformats.org/officeDocument/2006/relationships/hyperlink" Target="https://www.linkedin.com/learning/introduction-to-loving-kindness-meditation?trk=ondemandfile" TargetMode="External"/><Relationship Id="rId2223" Type="http://schemas.openxmlformats.org/officeDocument/2006/relationships/hyperlink" Target="https://www.linkedin.com/learning/coaching-new-hires?trk=ondemandfile" TargetMode="External"/><Relationship Id="rId2430" Type="http://schemas.openxmlformats.org/officeDocument/2006/relationships/hyperlink" Target="https://www.linkedin.com/learning/building-a-more-authentic-workplace?trk=ondemandfile" TargetMode="External"/><Relationship Id="rId402" Type="http://schemas.openxmlformats.org/officeDocument/2006/relationships/hyperlink" Target="https://www.linkedin.com/learning/three-tips-for-managing-egos-and-difficult-emotions?trk=ondemandfile" TargetMode="External"/><Relationship Id="rId1032" Type="http://schemas.openxmlformats.org/officeDocument/2006/relationships/hyperlink" Target="https://www.linkedin.com/learning/business-analytics-deep-dive-forecasting-with-exponential-smoothing?trk=ondemandfile" TargetMode="External"/><Relationship Id="rId1989" Type="http://schemas.openxmlformats.org/officeDocument/2006/relationships/hyperlink" Target="https://www.linkedin.com/learning/sales-management-foundations?trk=ondemandfile" TargetMode="External"/><Relationship Id="rId1849" Type="http://schemas.openxmlformats.org/officeDocument/2006/relationships/hyperlink" Target="https://www.linkedin.com/learning/delivery-tips-for-speaking-in-public?trk=ondemandfile" TargetMode="External"/><Relationship Id="rId192" Type="http://schemas.openxmlformats.org/officeDocument/2006/relationships/hyperlink" Target="https://www.linkedin.com/learning/virtual-and-hybrid-meeting-essentials?trk=ondemandfile" TargetMode="External"/><Relationship Id="rId1709" Type="http://schemas.openxmlformats.org/officeDocument/2006/relationships/hyperlink" Target="https://www.linkedin.com/learning/paths/becoming-a-six-sigma-black-belt?trk=ondemandfile" TargetMode="External"/><Relationship Id="rId1916" Type="http://schemas.openxmlformats.org/officeDocument/2006/relationships/hyperlink" Target="https://www.linkedin.com/learning/transition-management-for-agile-environments?trk=ondemandfile" TargetMode="External"/><Relationship Id="rId2080" Type="http://schemas.openxmlformats.org/officeDocument/2006/relationships/hyperlink" Target="https://www.linkedin.com/learning/paths/become-a-business-analyst?trk=ondemandfile" TargetMode="External"/><Relationship Id="rId869" Type="http://schemas.openxmlformats.org/officeDocument/2006/relationships/hyperlink" Target="https://www.linkedin.com/learning/sql-for-exploratory-data-analysis-essential-training?trk=ondemandfile" TargetMode="External"/><Relationship Id="rId1499" Type="http://schemas.openxmlformats.org/officeDocument/2006/relationships/hyperlink" Target="https://www.linkedin.com/learning/paths/diversity-inclusion-and-belonging-for-leaders-and-managers?trk=ondemandfile" TargetMode="External"/><Relationship Id="rId729" Type="http://schemas.openxmlformats.org/officeDocument/2006/relationships/hyperlink" Target="https://www.linkedin.com/learning/using-questions-to-coach-and-lead?trk=ondemandfile" TargetMode="External"/><Relationship Id="rId1359" Type="http://schemas.openxmlformats.org/officeDocument/2006/relationships/hyperlink" Target="https://www.linkedin.com/learning/introduction-to-deep-learning-with-opencv?trk=ondemandfile" TargetMode="External"/><Relationship Id="rId936" Type="http://schemas.openxmlformats.org/officeDocument/2006/relationships/hyperlink" Target="https://www.linkedin.com/learning/content/425902?u=104" TargetMode="External"/><Relationship Id="rId1219" Type="http://schemas.openxmlformats.org/officeDocument/2006/relationships/hyperlink" Target="https://www.linkedin.com/learning/practical-success-metrics-in-your-training-program?trk=ondemandfile" TargetMode="External"/><Relationship Id="rId1566" Type="http://schemas.openxmlformats.org/officeDocument/2006/relationships/hyperlink" Target="https://www.linkedin.com/learning/jeff-weiner-on-compassionate-leadership-from-stanford?trk=ondemandfile" TargetMode="External"/><Relationship Id="rId1773" Type="http://schemas.openxmlformats.org/officeDocument/2006/relationships/hyperlink" Target="https://www.linkedin.com/learning/lean-technology-strategy-starting-your-business-transformation-2?trk=ondemandfile" TargetMode="External"/><Relationship Id="rId1980" Type="http://schemas.openxmlformats.org/officeDocument/2006/relationships/hyperlink" Target="https://www.linkedin.com/learning/microsoft-dynamics-365-essential-training-2021?trk=ondemandfile" TargetMode="External"/><Relationship Id="rId2617" Type="http://schemas.openxmlformats.org/officeDocument/2006/relationships/hyperlink" Target="https://www.linkedin.com/learning/vision-in-action-leaders-live-case-studies?trk=ondemandfile" TargetMode="External"/><Relationship Id="rId65" Type="http://schemas.openxmlformats.org/officeDocument/2006/relationships/hyperlink" Target="https://www.linkedin.com/learning/delivering-results-effectively?trk=ondemandfile" TargetMode="External"/><Relationship Id="rId1426" Type="http://schemas.openxmlformats.org/officeDocument/2006/relationships/hyperlink" Target="https://www.linkedin.com/learning/assessing-digital-maturity?trk=ondemandfile" TargetMode="External"/><Relationship Id="rId1633" Type="http://schemas.openxmlformats.org/officeDocument/2006/relationships/hyperlink" Target="https://www.linkedin.com/learning/measuring-team-performance?trk=ondemandfile" TargetMode="External"/><Relationship Id="rId1840" Type="http://schemas.openxmlformats.org/officeDocument/2006/relationships/hyperlink" Target="https://www.linkedin.com/learning/how-to-create-and-run-a-brilliant-remote-workshop?trk=ondemandfile" TargetMode="External"/><Relationship Id="rId1700" Type="http://schemas.openxmlformats.org/officeDocument/2006/relationships/hyperlink" Target="https://www.linkedin.com/learning/creating-a-communications-strategy?trk=ondemandfile" TargetMode="External"/><Relationship Id="rId379" Type="http://schemas.openxmlformats.org/officeDocument/2006/relationships/hyperlink" Target="https://www.linkedin.com/learning/women-transforming-tech-breaking-in-and-staying-in-the-industry?trk=ondemandfile" TargetMode="External"/><Relationship Id="rId586" Type="http://schemas.openxmlformats.org/officeDocument/2006/relationships/hyperlink" Target="https://www.linkedin.com/learning/learning-logo-design?trk=ondemandfile" TargetMode="External"/><Relationship Id="rId793" Type="http://schemas.openxmlformats.org/officeDocument/2006/relationships/hyperlink" Target="https://www.linkedin.com/learning/ecommerce-fundamentals-2?trk=ondemandfile" TargetMode="External"/><Relationship Id="rId2267" Type="http://schemas.openxmlformats.org/officeDocument/2006/relationships/hyperlink" Target="https://www.linkedin.com/learning/talent-management?trk=ondemandfile" TargetMode="External"/><Relationship Id="rId2474" Type="http://schemas.openxmlformats.org/officeDocument/2006/relationships/hyperlink" Target="https://www.linkedin.com/learning/ninja-writing-the-four-levels-of-writing-mastery?trk=ondemandfile" TargetMode="External"/><Relationship Id="rId2681" Type="http://schemas.openxmlformats.org/officeDocument/2006/relationships/hyperlink" Target="https://www.linkedin.com/learning/leading-inclusive-teams?trk=ondemandfile" TargetMode="External"/><Relationship Id="rId239" Type="http://schemas.openxmlformats.org/officeDocument/2006/relationships/hyperlink" Target="https://www.linkedin.com/learning/building-and-managing-a-high-performing-sales-team?trk=ondemandfile" TargetMode="External"/><Relationship Id="rId446" Type="http://schemas.openxmlformats.org/officeDocument/2006/relationships/hyperlink" Target="https://www.linkedin.com/learning/complex-negotiation-tips?trk=ondemandfile" TargetMode="External"/><Relationship Id="rId653" Type="http://schemas.openxmlformats.org/officeDocument/2006/relationships/hyperlink" Target="https://www.linkedin.com/learning/building-creative-organizations-2?trk=ondemandfile" TargetMode="External"/><Relationship Id="rId1076" Type="http://schemas.openxmlformats.org/officeDocument/2006/relationships/hyperlink" Target="https://www.linkedin.com/learning/activity-based-costing?trk=ondemandfile" TargetMode="External"/><Relationship Id="rId1283" Type="http://schemas.openxmlformats.org/officeDocument/2006/relationships/hyperlink" Target="https://www.linkedin.com/learning/intro-to-service-management-with-itil-4?trk=ondemandfile" TargetMode="External"/><Relationship Id="rId1490" Type="http://schemas.openxmlformats.org/officeDocument/2006/relationships/hyperlink" Target="https://www.linkedin.com/learning/privacy-for-executives?trk=ondemandfile" TargetMode="External"/><Relationship Id="rId2127" Type="http://schemas.openxmlformats.org/officeDocument/2006/relationships/hyperlink" Target="https://www.linkedin.com/learning/management-foundations-2018?trk=ondemandfile" TargetMode="External"/><Relationship Id="rId2334" Type="http://schemas.openxmlformats.org/officeDocument/2006/relationships/hyperlink" Target="https://www.linkedin.com/learning/be-an-inclusive-organization-people-won-t-leave?trk=ondemandfile" TargetMode="External"/><Relationship Id="rId306" Type="http://schemas.openxmlformats.org/officeDocument/2006/relationships/hyperlink" Target="https://www.linkedin.com/learning/microsoft-viva-first-look?trk=ondemandfile" TargetMode="External"/><Relationship Id="rId860" Type="http://schemas.openxmlformats.org/officeDocument/2006/relationships/hyperlink" Target="https://www.linkedin.com/learning/paths/master-advanced-excel-data-analytics-skills?trk=ondemandfile" TargetMode="External"/><Relationship Id="rId1143" Type="http://schemas.openxmlformats.org/officeDocument/2006/relationships/hyperlink" Target="https://www.linkedin.com/learning/paths/build-your-skills-in-recruiting?trk=ondemandfile" TargetMode="External"/><Relationship Id="rId2541" Type="http://schemas.openxmlformats.org/officeDocument/2006/relationships/hyperlink" Target="https://www.linkedin.com/learning/how-to-use-rejection-to-your-advantage?trk=ondemandfile" TargetMode="External"/><Relationship Id="rId513" Type="http://schemas.openxmlformats.org/officeDocument/2006/relationships/hyperlink" Target="https://www.linkedin.com/learning/leading-a-marketing-team?trk=ondemandfile" TargetMode="External"/><Relationship Id="rId720" Type="http://schemas.openxmlformats.org/officeDocument/2006/relationships/hyperlink" Target="https://www.linkedin.com/learning/paths/improve-your-organizational-skills?trk=ondemandfile" TargetMode="External"/><Relationship Id="rId1350" Type="http://schemas.openxmlformats.org/officeDocument/2006/relationships/hyperlink" Target="https://www.linkedin.com/learning/learning-word-for-the-web-office-365-microsoft-365-2021?trk=ondemandfile" TargetMode="External"/><Relationship Id="rId2401" Type="http://schemas.openxmlformats.org/officeDocument/2006/relationships/hyperlink" Target="https://www.linkedin.com/learning/preparing-to-lead-developing-mental-toughness-in-yourself?trk=ondemandfile" TargetMode="External"/><Relationship Id="rId1003" Type="http://schemas.openxmlformats.org/officeDocument/2006/relationships/hyperlink" Target="https://www.linkedin.com/learning/content/425902?u=104" TargetMode="External"/><Relationship Id="rId1210" Type="http://schemas.openxmlformats.org/officeDocument/2006/relationships/hyperlink" Target="https://www.linkedin.com/learning/human-resources-compensation-and-benefits?trk=ondemandfile" TargetMode="External"/><Relationship Id="rId2191" Type="http://schemas.openxmlformats.org/officeDocument/2006/relationships/hyperlink" Target="https://www.linkedin.com/learning/paths/finding-and-retaining-talent?trk=ondemandfile" TargetMode="External"/><Relationship Id="rId163" Type="http://schemas.openxmlformats.org/officeDocument/2006/relationships/hyperlink" Target="https://www.linkedin.com/learning/reshuffle-a-special-series-on-the-new-world-of-work?trk=ondemandfile" TargetMode="External"/><Relationship Id="rId370" Type="http://schemas.openxmlformats.org/officeDocument/2006/relationships/hyperlink" Target="https://www.linkedin.com/learning/how-to-develop-friendships-and-connect-meaningfully-with-work-colleagues?trk=ondemandfile" TargetMode="External"/><Relationship Id="rId2051" Type="http://schemas.openxmlformats.org/officeDocument/2006/relationships/hyperlink" Target="https://www.linkedin.com/learning/closing-a-complex-sale?trk=ondemandfile" TargetMode="External"/><Relationship Id="rId230" Type="http://schemas.openxmlformats.org/officeDocument/2006/relationships/hyperlink" Target="https://www.linkedin.com/learning/the-art-of-leadership-getabstract-summary?trk=ondemandfile" TargetMode="External"/><Relationship Id="rId1677" Type="http://schemas.openxmlformats.org/officeDocument/2006/relationships/hyperlink" Target="https://www.linkedin.com/learning/leadership-through-feedback?trk=ondemandfile" TargetMode="External"/><Relationship Id="rId1884" Type="http://schemas.openxmlformats.org/officeDocument/2006/relationships/hyperlink" Target="https://www.linkedin.com/learning/paths/become-a-software-project-manager?trk=ondemandfile" TargetMode="External"/><Relationship Id="rId2728" Type="http://schemas.openxmlformats.org/officeDocument/2006/relationships/hyperlink" Target="https://www.linkedin.com/learning/fostering-belonging-as-a-leader?trk=ondemandfile" TargetMode="External"/><Relationship Id="rId907" Type="http://schemas.openxmlformats.org/officeDocument/2006/relationships/hyperlink" Target="https://www.linkedin.com/learning/design-thinking-data-intelligence?trk=ondemandfile" TargetMode="External"/><Relationship Id="rId1537" Type="http://schemas.openxmlformats.org/officeDocument/2006/relationships/hyperlink" Target="https://www.linkedin.com/learning/leadership-practical-skills?trk=ondemandfile" TargetMode="External"/><Relationship Id="rId1744" Type="http://schemas.openxmlformats.org/officeDocument/2006/relationships/hyperlink" Target="https://www.linkedin.com/learning/lean-six-sigma-foundations?trk=ondemandfile" TargetMode="External"/><Relationship Id="rId1951" Type="http://schemas.openxmlformats.org/officeDocument/2006/relationships/hyperlink" Target="https://www.linkedin.com/learning/artificial-intelligence-how-project-managers-can-leverage-ai?trk=ondemandfile" TargetMode="External"/><Relationship Id="rId36" Type="http://schemas.openxmlformats.org/officeDocument/2006/relationships/hyperlink" Target="https://www.linkedin.com/learning/15-secrets-successful-people-know-about-time-management-getabstract-summary?trk=ondemandfile" TargetMode="External"/><Relationship Id="rId1604" Type="http://schemas.openxmlformats.org/officeDocument/2006/relationships/hyperlink" Target="https://www.linkedin.com/learning/adaptive-leadership-for-vuca-challenges?trk=ondemandfile" TargetMode="External"/><Relationship Id="rId1811" Type="http://schemas.openxmlformats.org/officeDocument/2006/relationships/hyperlink" Target="https://www.linkedin.com/learning/establishing-credibility-as-a-speaker?trk=ondemandfile" TargetMode="External"/><Relationship Id="rId697" Type="http://schemas.openxmlformats.org/officeDocument/2006/relationships/hyperlink" Target="https://www.linkedin.com/learning/how-to-boost-your-creativity-at-home-in-10-days?trk=ondemandfile" TargetMode="External"/><Relationship Id="rId2378" Type="http://schemas.openxmlformats.org/officeDocument/2006/relationships/hyperlink" Target="https://www.linkedin.com/learning/the-science-of-compassion-an-introduction?trk=ondemandfile" TargetMode="External"/><Relationship Id="rId1187" Type="http://schemas.openxmlformats.org/officeDocument/2006/relationships/hyperlink" Target="https://www.linkedin.com/learning/introduction-to-employee-relations?trk=ondemandfile" TargetMode="External"/><Relationship Id="rId2585" Type="http://schemas.openxmlformats.org/officeDocument/2006/relationships/hyperlink" Target="https://www.linkedin.com/learning/arianna-huffington-s-thrive-03-setting-priorities-and-letting-go?trk=ondemandfile" TargetMode="External"/><Relationship Id="rId557" Type="http://schemas.openxmlformats.org/officeDocument/2006/relationships/hyperlink" Target="https://www.linkedin.com/learning/marketing-foundations-2?trk=ondemandfile" TargetMode="External"/><Relationship Id="rId764" Type="http://schemas.openxmlformats.org/officeDocument/2006/relationships/hyperlink" Target="https://www.linkedin.com/learning/creativity-at-work-a-short-course-from-seth-godin?trk=ondemandfile" TargetMode="External"/><Relationship Id="rId971" Type="http://schemas.openxmlformats.org/officeDocument/2006/relationships/hyperlink" Target="https://www.linkedin.com/learning/building-engaging-video-training-that-doesn-t-suck-the-why?trk=ondemandfile" TargetMode="External"/><Relationship Id="rId1394" Type="http://schemas.openxmlformats.org/officeDocument/2006/relationships/hyperlink" Target="https://www.linkedin.com/learning/deep-learning-face-recognition?trk=ondemandfile" TargetMode="External"/><Relationship Id="rId2238" Type="http://schemas.openxmlformats.org/officeDocument/2006/relationships/hyperlink" Target="https://www.linkedin.com/learning/women-transforming-tech-tips-for-career-success?trk=ondemandfile" TargetMode="External"/><Relationship Id="rId2445" Type="http://schemas.openxmlformats.org/officeDocument/2006/relationships/hyperlink" Target="https://www.linkedin.com/learning/paths/develop-your-writing-skills?trk=ondemandfile" TargetMode="External"/><Relationship Id="rId2652" Type="http://schemas.openxmlformats.org/officeDocument/2006/relationships/hyperlink" Target="https://www.linkedin.com/learning/human-centered-leadership?trk=ondemandfile" TargetMode="External"/><Relationship Id="rId417" Type="http://schemas.openxmlformats.org/officeDocument/2006/relationships/hyperlink" Target="https://www.linkedin.com/learning/improving-your-listening-skills?trk=ondemandfile" TargetMode="External"/><Relationship Id="rId624" Type="http://schemas.openxmlformats.org/officeDocument/2006/relationships/hyperlink" Target="https://www.linkedin.com/learning/social-crm-fundamentals?trk=ondemandfile" TargetMode="External"/><Relationship Id="rId831" Type="http://schemas.openxmlformats.org/officeDocument/2006/relationships/hyperlink" Target="https://www.linkedin.com/learning/customer-service-knowledge-management?trk=ondemandfile" TargetMode="External"/><Relationship Id="rId1047" Type="http://schemas.openxmlformats.org/officeDocument/2006/relationships/hyperlink" Target="https://www.linkedin.com/learning/finance-foundations-for-solopreneurs?trk=ondemandfile" TargetMode="External"/><Relationship Id="rId1254" Type="http://schemas.openxmlformats.org/officeDocument/2006/relationships/hyperlink" Target="https://www.linkedin.com/learning/foundations-of-the-fourth-industrial-revolution-industry-4-0?trk=ondemandfile" TargetMode="External"/><Relationship Id="rId1461" Type="http://schemas.openxmlformats.org/officeDocument/2006/relationships/hyperlink" Target="https://www.linkedin.com/learning/women-transforming-tech-breaking-in-and-staying-in-the-industry?trk=ondemandfile" TargetMode="External"/><Relationship Id="rId2305" Type="http://schemas.openxmlformats.org/officeDocument/2006/relationships/hyperlink" Target="https://www.linkedin.com/learning/building-a-coaching-culture-improving-performance-through-timely-feedback?trk=ondemandfile" TargetMode="External"/><Relationship Id="rId2512" Type="http://schemas.openxmlformats.org/officeDocument/2006/relationships/hyperlink" Target="https://www.linkedin.com/learning/sky-yogi-relax-and-stretch-for-a-better-flight?trk=ondemandfile" TargetMode="External"/><Relationship Id="rId1114" Type="http://schemas.openxmlformats.org/officeDocument/2006/relationships/hyperlink" Target="https://www.linkedin.com/learning/quickbooks-online-tips-and-tricks?trk=ondemandfile" TargetMode="External"/><Relationship Id="rId1321" Type="http://schemas.openxmlformats.org/officeDocument/2006/relationships/hyperlink" Target="https://www.linkedin.com/learning/paths/succeed-as-a-remote-it-administrator?trk=ondemandfile" TargetMode="External"/><Relationship Id="rId2095" Type="http://schemas.openxmlformats.org/officeDocument/2006/relationships/hyperlink" Target="https://www.linkedin.com/learning/privacy-for-executives?trk=ondemandfile" TargetMode="External"/><Relationship Id="rId274" Type="http://schemas.openxmlformats.org/officeDocument/2006/relationships/hyperlink" Target="https://www.linkedin.com/learning/how-to-develop-friendships-and-connect-meaningfully-with-work-colleagues?trk=ondemandfile" TargetMode="External"/><Relationship Id="rId481" Type="http://schemas.openxmlformats.org/officeDocument/2006/relationships/hyperlink" Target="https://www.linkedin.com/learning/how-to-resolve-conflicts?trk=ondemandfile" TargetMode="External"/><Relationship Id="rId2162" Type="http://schemas.openxmlformats.org/officeDocument/2006/relationships/hyperlink" Target="https://www.linkedin.com/learning/how-to-make-strategic-thinking-a-habit?trk=ondemandfile" TargetMode="External"/><Relationship Id="rId134" Type="http://schemas.openxmlformats.org/officeDocument/2006/relationships/hyperlink" Target="https://www.linkedin.com/learning/managing-self-doubt-to-tackle-bigger-challenges?trk=ondemandfile" TargetMode="External"/><Relationship Id="rId341" Type="http://schemas.openxmlformats.org/officeDocument/2006/relationships/hyperlink" Target="https://www.linkedin.com/learning/paths/how-to-engage-meaningfully-in-allyship-and-anti-racism?trk=ondemandfile" TargetMode="External"/><Relationship Id="rId2022" Type="http://schemas.openxmlformats.org/officeDocument/2006/relationships/hyperlink" Target="https://www.linkedin.com/learning/the-52-best-sales-prospecting-tips?trk=ondemandfile" TargetMode="External"/><Relationship Id="rId201" Type="http://schemas.openxmlformats.org/officeDocument/2006/relationships/hyperlink" Target="https://www.linkedin.com/learning/becoming-a-manager-your-team-loves?trk=ondemandfile" TargetMode="External"/><Relationship Id="rId1788" Type="http://schemas.openxmlformats.org/officeDocument/2006/relationships/hyperlink" Target="https://www.linkedin.com/learning/following-the-digital-thread?trk=ondemandfile" TargetMode="External"/><Relationship Id="rId1995" Type="http://schemas.openxmlformats.org/officeDocument/2006/relationships/hyperlink" Target="https://www.linkedin.com/learning/value-realization-best-practices-for-customer-success-management?trk=ondemandfile" TargetMode="External"/><Relationship Id="rId1648" Type="http://schemas.openxmlformats.org/officeDocument/2006/relationships/hyperlink" Target="https://www.linkedin.com/learning/identify-and-unleash-potential-in-your-employees?trk=ondemandfile" TargetMode="External"/><Relationship Id="rId1508" Type="http://schemas.openxmlformats.org/officeDocument/2006/relationships/hyperlink" Target="https://www.linkedin.com/learning/leading-change-2018?trk=ondemandfile" TargetMode="External"/><Relationship Id="rId1855" Type="http://schemas.openxmlformats.org/officeDocument/2006/relationships/hyperlink" Target="https://www.linkedin.com/learning/how-to-be-an-effective-project-sponsor?trk=ondemandfile" TargetMode="External"/><Relationship Id="rId1715" Type="http://schemas.openxmlformats.org/officeDocument/2006/relationships/hyperlink" Target="https://www.linkedin.com/learning/paths/build-a-privacy-program?trk=ondemandfile" TargetMode="External"/><Relationship Id="rId1922" Type="http://schemas.openxmlformats.org/officeDocument/2006/relationships/hyperlink" Target="https://www.linkedin.com/learning/introduction-to-disciplined-agile?trk=ondemandfile" TargetMode="External"/><Relationship Id="rId2489" Type="http://schemas.openxmlformats.org/officeDocument/2006/relationships/hyperlink" Target="https://www.linkedin.com/learning/finding-your-introvert-extrovert-balance-in-the-workplace?trk=ondemandfile" TargetMode="External"/><Relationship Id="rId2696" Type="http://schemas.openxmlformats.org/officeDocument/2006/relationships/hyperlink" Target="https://www.linkedin.com/learning/leading-and-working-in-teams?trk=ondemandfile" TargetMode="External"/><Relationship Id="rId668" Type="http://schemas.openxmlformats.org/officeDocument/2006/relationships/hyperlink" Target="https://www.linkedin.com/learning/executing-on-innovation-a-process-that-scales?trk=ondemandfile" TargetMode="External"/><Relationship Id="rId875" Type="http://schemas.openxmlformats.org/officeDocument/2006/relationships/hyperlink" Target="https://www.linkedin.com/learning/business-analytics-marketing-data?trk=ondemandfile" TargetMode="External"/><Relationship Id="rId1298" Type="http://schemas.openxmlformats.org/officeDocument/2006/relationships/hyperlink" Target="https://www.linkedin.com/learning/it-service-management-foundations-measures-and-metrics?trk=ondemandfile" TargetMode="External"/><Relationship Id="rId2349" Type="http://schemas.openxmlformats.org/officeDocument/2006/relationships/hyperlink" Target="https://www.linkedin.com/learning/empowering-bipoc-through-mentorship?trk=ondemandfile" TargetMode="External"/><Relationship Id="rId2556" Type="http://schemas.openxmlformats.org/officeDocument/2006/relationships/hyperlink" Target="https://www.linkedin.com/learning/how-to-find-and-use-your-strengths?trk=contentmappingfile" TargetMode="External"/><Relationship Id="rId528" Type="http://schemas.openxmlformats.org/officeDocument/2006/relationships/hyperlink" Target="https://www.linkedin.com/learning/paths/develop-your-marketing-skills?trk=ondemandfile" TargetMode="External"/><Relationship Id="rId735" Type="http://schemas.openxmlformats.org/officeDocument/2006/relationships/hyperlink" Target="https://www.linkedin.com/learning/privacy-in-the-age-of-covid?trk=ondemandfile" TargetMode="External"/><Relationship Id="rId942" Type="http://schemas.openxmlformats.org/officeDocument/2006/relationships/hyperlink" Target="https://www.linkedin.com/learning/nonprofit-management-foundations" TargetMode="External"/><Relationship Id="rId1158" Type="http://schemas.openxmlformats.org/officeDocument/2006/relationships/hyperlink" Target="https://www.linkedin.com/learning/crisis-communication-for-hr?trk=ondemandfile" TargetMode="External"/><Relationship Id="rId1365" Type="http://schemas.openxmlformats.org/officeDocument/2006/relationships/hyperlink" Target="https://www.linkedin.com/learning/systems-thinking-for-product-designers?trk=ondemandfile" TargetMode="External"/><Relationship Id="rId1572" Type="http://schemas.openxmlformats.org/officeDocument/2006/relationships/hyperlink" Target="https://www.linkedin.com/learning/the-leader-s-guide-to-mindfulness-getabstract-summary?trk=ondemandfile" TargetMode="External"/><Relationship Id="rId2209" Type="http://schemas.openxmlformats.org/officeDocument/2006/relationships/hyperlink" Target="https://www.linkedin.com/learning/developing-a-mentoring-program?trk=ondemandfile" TargetMode="External"/><Relationship Id="rId2416" Type="http://schemas.openxmlformats.org/officeDocument/2006/relationships/hyperlink" Target="https://www.linkedin.com/learning/difficult-conversations-talking-about-race-at-work?trk=ondemandfile" TargetMode="External"/><Relationship Id="rId2623" Type="http://schemas.openxmlformats.org/officeDocument/2006/relationships/hyperlink" Target="https://www.linkedin.com/learning/leading-with-innovation?trk=ondemandfile" TargetMode="External"/><Relationship Id="rId1018" Type="http://schemas.openxmlformats.org/officeDocument/2006/relationships/hyperlink" Target="https://www.linkedin.com/learning/nonprofit-foundations?trk=ondemandfile" TargetMode="External"/><Relationship Id="rId1225" Type="http://schemas.openxmlformats.org/officeDocument/2006/relationships/hyperlink" Target="https://www.linkedin.com/learning/converting-face-to-face-training-into-digital-learning?trk=ondemandfile" TargetMode="External"/><Relationship Id="rId1432" Type="http://schemas.openxmlformats.org/officeDocument/2006/relationships/hyperlink" Target="https://www.linkedin.com/learning/using-emotions-to-leverage-and-accelerate-change-a-guide-for-leaders?trk=ondemandfile" TargetMode="External"/><Relationship Id="rId71" Type="http://schemas.openxmlformats.org/officeDocument/2006/relationships/hyperlink" Target="https://www.linkedin.com/learning/overcoming-procrastination-2?trk=ondemandfile" TargetMode="External"/><Relationship Id="rId802" Type="http://schemas.openxmlformats.org/officeDocument/2006/relationships/hyperlink" Target="https://www.linkedin.com/learning/creatorup-making-business-videos-for-customers?trk=ondemandfile" TargetMode="External"/><Relationship Id="rId178" Type="http://schemas.openxmlformats.org/officeDocument/2006/relationships/hyperlink" Target="https://www.linkedin.com/learning/paths/managing-performance?trk=ondemandfile" TargetMode="External"/><Relationship Id="rId385" Type="http://schemas.openxmlformats.org/officeDocument/2006/relationships/hyperlink" Target="https://www.linkedin.com/learning/learning-webex-meetings-2?trk=ondemandfile" TargetMode="External"/><Relationship Id="rId592" Type="http://schemas.openxmlformats.org/officeDocument/2006/relationships/hyperlink" Target="https://www.linkedin.com/learning/learning-instagram-2021?trk=ondemandfile" TargetMode="External"/><Relationship Id="rId2066" Type="http://schemas.openxmlformats.org/officeDocument/2006/relationships/hyperlink" Target="https://www.linkedin.com/learning/the-persuasion-code-the-neuroscience-of-sales?trk=ondemandfile" TargetMode="External"/><Relationship Id="rId2273" Type="http://schemas.openxmlformats.org/officeDocument/2006/relationships/hyperlink" Target="https://www.linkedin.com/learning/managing-experienced-managers?trk=ondemandfile" TargetMode="External"/><Relationship Id="rId2480" Type="http://schemas.openxmlformats.org/officeDocument/2006/relationships/hyperlink" Target="https://www.linkedin.com/learning/paths/remote-working-setting-yourself-and-your-teams-up-for-success?trk=ondemandfile" TargetMode="External"/><Relationship Id="rId245" Type="http://schemas.openxmlformats.org/officeDocument/2006/relationships/hyperlink" Target="https://www.linkedin.com/learning/creating-a-communications-strategy?trk=ondemandfile" TargetMode="External"/><Relationship Id="rId452" Type="http://schemas.openxmlformats.org/officeDocument/2006/relationships/hyperlink" Target="https://www.linkedin.com/learning/building-a-more-authentic-workplace?trk=ondemandfile" TargetMode="External"/><Relationship Id="rId1082" Type="http://schemas.openxmlformats.org/officeDocument/2006/relationships/hyperlink" Target="https://www.linkedin.com/learning/forecasting-using-financial-statements?trk=ondemandfile" TargetMode="External"/><Relationship Id="rId2133" Type="http://schemas.openxmlformats.org/officeDocument/2006/relationships/hyperlink" Target="https://www.linkedin.com/learning/business-development?trk=ondemandfile" TargetMode="External"/><Relationship Id="rId2340" Type="http://schemas.openxmlformats.org/officeDocument/2006/relationships/hyperlink" Target="https://www.linkedin.com/learning/achieving-diversity-as-a-hiring-manager?trk=ondemandfile" TargetMode="External"/><Relationship Id="rId105" Type="http://schemas.openxmlformats.org/officeDocument/2006/relationships/hyperlink" Target="https://www.linkedin.com/learning/aaron-dignan-on-transformational-change?trk=ondemandfile" TargetMode="External"/><Relationship Id="rId312" Type="http://schemas.openxmlformats.org/officeDocument/2006/relationships/hyperlink" Target="https://www.linkedin.com/learning/dealing-with-grief-loss-and-change-as-an-employee?trk=ondemandfile" TargetMode="External"/><Relationship Id="rId2200" Type="http://schemas.openxmlformats.org/officeDocument/2006/relationships/hyperlink" Target="https://www.linkedin.com/learning/measuring-team-performance?trk=ondemandfile" TargetMode="External"/><Relationship Id="rId1899" Type="http://schemas.openxmlformats.org/officeDocument/2006/relationships/hyperlink" Target="https://www.linkedin.com/learning/hoshin-plan-ning?trk=ondemandfile" TargetMode="External"/><Relationship Id="rId1759" Type="http://schemas.openxmlformats.org/officeDocument/2006/relationships/hyperlink" Target="https://www.linkedin.com/learning/data-ethics-managing-your-private-customer-data?trk=ondemandfile" TargetMode="External"/><Relationship Id="rId1966" Type="http://schemas.openxmlformats.org/officeDocument/2006/relationships/hyperlink" Target="https://www.linkedin.com/learning/cmo-foundations-measuring-marketing-effectiveness-roi?trk=ondemandfile" TargetMode="External"/><Relationship Id="rId1619" Type="http://schemas.openxmlformats.org/officeDocument/2006/relationships/hyperlink" Target="https://www.linkedin.com/learning/the-new-rules-of-work?trk=ondemandfile" TargetMode="External"/><Relationship Id="rId1826" Type="http://schemas.openxmlformats.org/officeDocument/2006/relationships/hyperlink" Target="https://www.linkedin.com/learning/business-analysis-essential-facilitation-and-workshop-skills?trk=ondemandfile" TargetMode="External"/><Relationship Id="rId779" Type="http://schemas.openxmlformats.org/officeDocument/2006/relationships/hyperlink" Target="https://www.linkedin.com/learning/business-fundamentals-for-customer-success-managers?trk=ondemandfile" TargetMode="External"/><Relationship Id="rId986" Type="http://schemas.openxmlformats.org/officeDocument/2006/relationships/hyperlink" Target="https://www.linkedin.com/learning/graphic-design-foundations-ideas-concepts-and-form?trk=ondemandfile" TargetMode="External"/><Relationship Id="rId2667" Type="http://schemas.openxmlformats.org/officeDocument/2006/relationships/hyperlink" Target="https://www.linkedin.com/learning/productive-leadership?trk=ondemandfile" TargetMode="External"/><Relationship Id="rId639" Type="http://schemas.openxmlformats.org/officeDocument/2006/relationships/hyperlink" Target="https://www.linkedin.com/learning/employer-branding-on-linkedin?trk=ondemandfile" TargetMode="External"/><Relationship Id="rId1269" Type="http://schemas.openxmlformats.org/officeDocument/2006/relationships/hyperlink" Target="https://www.linkedin.com/learning/paths/become-an-it-security-specialist?trk=ondemandfile" TargetMode="External"/><Relationship Id="rId1476" Type="http://schemas.openxmlformats.org/officeDocument/2006/relationships/hyperlink" Target="https://www.linkedin.com/learning/leading-with-kindness-and-strength?trk=ondemandfile" TargetMode="External"/><Relationship Id="rId846" Type="http://schemas.openxmlformats.org/officeDocument/2006/relationships/hyperlink" Target="https://www.linkedin.com/learning/paths/become-a-data-visualization-specialist-tools?trk=ondemandfile" TargetMode="External"/><Relationship Id="rId1129" Type="http://schemas.openxmlformats.org/officeDocument/2006/relationships/hyperlink" Target="https://www.linkedin.com/learning/hr-leadership-as-we-move-back-into-the-office" TargetMode="External"/><Relationship Id="rId1683" Type="http://schemas.openxmlformats.org/officeDocument/2006/relationships/hyperlink" Target="https://www.linkedin.com/learning/boosting-your-team-s-productivity?trk=ondemandfile" TargetMode="External"/><Relationship Id="rId1890" Type="http://schemas.openxmlformats.org/officeDocument/2006/relationships/hyperlink" Target="https://www.linkedin.com/learning/paths/develop-your-project-management-skills?trk=ondemandfile" TargetMode="External"/><Relationship Id="rId2527" Type="http://schemas.openxmlformats.org/officeDocument/2006/relationships/hyperlink" Target="https://www.linkedin.com/learning/creating-flow?trk=ondemandfile" TargetMode="External"/><Relationship Id="rId2734" Type="http://schemas.openxmlformats.org/officeDocument/2006/relationships/hyperlink" Target="https://www.linkedin.com/learning/mastering-self-leadership?trk=ondemandfile" TargetMode="External"/><Relationship Id="rId706" Type="http://schemas.openxmlformats.org/officeDocument/2006/relationships/hyperlink" Target="https://www.linkedin.com/learning/creativity-at-work-a-short-course-from-seth-godin?trk=ondemandfile" TargetMode="External"/><Relationship Id="rId913" Type="http://schemas.openxmlformats.org/officeDocument/2006/relationships/hyperlink" Target="https://www.linkedin.com/learning/excel-supply-chain-analysis-solving-transportation-problems?trk=ondemandfile" TargetMode="External"/><Relationship Id="rId1336" Type="http://schemas.openxmlformats.org/officeDocument/2006/relationships/hyperlink" Target="https://www.linkedin.com/learning/machine-learning-in-mobile-applications?trk=ondemandfile" TargetMode="External"/><Relationship Id="rId1543" Type="http://schemas.openxmlformats.org/officeDocument/2006/relationships/hyperlink" Target="https://www.linkedin.com/learning/leadership-fundamentals?trk=ondemandfile" TargetMode="External"/><Relationship Id="rId1750" Type="http://schemas.openxmlformats.org/officeDocument/2006/relationships/hyperlink" Target="https://www.linkedin.com/learning/lean-deep-dive-job-instruction?trk=ondemandfile" TargetMode="External"/><Relationship Id="rId42" Type="http://schemas.openxmlformats.org/officeDocument/2006/relationships/hyperlink" Target="https://www.linkedin.com/learning/productivity-prioritizing-at-work?trk=ondemandfile" TargetMode="External"/><Relationship Id="rId1403" Type="http://schemas.openxmlformats.org/officeDocument/2006/relationships/hyperlink" Target="https://www.linkedin.com/learning/excel-for-banking-professionals?trk=ondemandfile" TargetMode="External"/><Relationship Id="rId1610" Type="http://schemas.openxmlformats.org/officeDocument/2006/relationships/hyperlink" Target="https://www.linkedin.com/learning/what-s-next-reinventing-work-in-the-new-normal?trk=ondemandfile" TargetMode="External"/><Relationship Id="rId289" Type="http://schemas.openxmlformats.org/officeDocument/2006/relationships/hyperlink" Target="https://www.linkedin.com/learning/the-surprising-power-of-seeing-people-as-people?trk=ondemandfile" TargetMode="External"/><Relationship Id="rId496" Type="http://schemas.openxmlformats.org/officeDocument/2006/relationships/hyperlink" Target="https://www.linkedin.com/learning/effective-listening?trk=ondemandfile" TargetMode="External"/><Relationship Id="rId2177" Type="http://schemas.openxmlformats.org/officeDocument/2006/relationships/hyperlink" Target="https://www.linkedin.com/learning/negotiating-with-agility" TargetMode="External"/><Relationship Id="rId2384" Type="http://schemas.openxmlformats.org/officeDocument/2006/relationships/hyperlink" Target="https://www.linkedin.com/learning/connecting-engagement-and-inclusion-to-a-culture-of-performance?trk=ondemandfile" TargetMode="External"/><Relationship Id="rId2591" Type="http://schemas.openxmlformats.org/officeDocument/2006/relationships/hyperlink" Target="https://www.linkedin.com/learning/how-to-create-a-life-of-meaning-and-purpose?trk=ondemandfile" TargetMode="External"/><Relationship Id="rId149" Type="http://schemas.openxmlformats.org/officeDocument/2006/relationships/hyperlink" Target="https://www.linkedin.com/learning/critical-thinking?trk=ondemandfile" TargetMode="External"/><Relationship Id="rId356" Type="http://schemas.openxmlformats.org/officeDocument/2006/relationships/hyperlink" Target="https://www.linkedin.com/learning/creating-a-culture-that-inspires-your-employees?trk=ondemandfile" TargetMode="External"/><Relationship Id="rId563" Type="http://schemas.openxmlformats.org/officeDocument/2006/relationships/hyperlink" Target="https://www.linkedin.com/learning/social-media-marketing-foundations-20-20?trk=ondemandfile" TargetMode="External"/><Relationship Id="rId770" Type="http://schemas.openxmlformats.org/officeDocument/2006/relationships/hyperlink" Target="https://www.linkedin.com/learning/decision-making-in-high-stress-situations?trk=ondemandfile" TargetMode="External"/><Relationship Id="rId1193" Type="http://schemas.openxmlformats.org/officeDocument/2006/relationships/hyperlink" Target="https://www.linkedin.com/learning/recruiting-foundations-2019?trk=ondemandfile" TargetMode="External"/><Relationship Id="rId2037" Type="http://schemas.openxmlformats.org/officeDocument/2006/relationships/hyperlink" Target="https://www.linkedin.com/learning/business-to-business-sales?trk=ondemandfile" TargetMode="External"/><Relationship Id="rId2244" Type="http://schemas.openxmlformats.org/officeDocument/2006/relationships/hyperlink" Target="https://www.linkedin.com/learning/recognizing-and-rewarding-your-workers?trk=ondemandfile" TargetMode="External"/><Relationship Id="rId2451" Type="http://schemas.openxmlformats.org/officeDocument/2006/relationships/hyperlink" Target="https://www.linkedin.com/learning/writing-emails-people-want-to-read?trk=ondemandfile" TargetMode="External"/><Relationship Id="rId216" Type="http://schemas.openxmlformats.org/officeDocument/2006/relationships/hyperlink" Target="https://www.linkedin.com/learning/strategies-for-effective-leadership-teams?trk=ondemandfile" TargetMode="External"/><Relationship Id="rId423" Type="http://schemas.openxmlformats.org/officeDocument/2006/relationships/hyperlink" Target="https://www.linkedin.com/learning/building-your-visibility-as-a-leader?trk=ondemandfile" TargetMode="External"/><Relationship Id="rId1053" Type="http://schemas.openxmlformats.org/officeDocument/2006/relationships/hyperlink" Target="https://www.linkedin.com/learning/applying-managerial-accounting?trk=ondemandfile" TargetMode="External"/><Relationship Id="rId1260" Type="http://schemas.openxmlformats.org/officeDocument/2006/relationships/hyperlink" Target="https://www.linkedin.com/learning/make-it-work-in-your-business?trk=ondemandfile" TargetMode="External"/><Relationship Id="rId2104" Type="http://schemas.openxmlformats.org/officeDocument/2006/relationships/hyperlink" Target="https://www.linkedin.com/learning/strategic-agility?trk=ondemandfile" TargetMode="External"/><Relationship Id="rId630" Type="http://schemas.openxmlformats.org/officeDocument/2006/relationships/hyperlink" Target="https://www.linkedin.com/learning/create-a-go-to-market-plan-2?trk=ondemandfile" TargetMode="External"/><Relationship Id="rId2311" Type="http://schemas.openxmlformats.org/officeDocument/2006/relationships/hyperlink" Target="https://www.linkedin.com/learning/reframing-the-power-of-changing-your-perspective" TargetMode="External"/><Relationship Id="rId1120" Type="http://schemas.openxmlformats.org/officeDocument/2006/relationships/hyperlink" Target="https://www.linkedin.com/learning/accounting-ethics?trk=ondemandfile" TargetMode="External"/><Relationship Id="rId1937" Type="http://schemas.openxmlformats.org/officeDocument/2006/relationships/hyperlink" Target="https://www.linkedin.com/learning/creating-a-program-strategy?trk=ondemandfile" TargetMode="External"/><Relationship Id="rId280" Type="http://schemas.openxmlformats.org/officeDocument/2006/relationships/hyperlink" Target="https://www.linkedin.com/learning/become-a-super-collaborator?trk=ondemandfile" TargetMode="External"/><Relationship Id="rId140" Type="http://schemas.openxmlformats.org/officeDocument/2006/relationships/hyperlink" Target="https://www.linkedin.com/learning/simple-habits-for-complex-times-getabstract-summary?trk=ondemandfile" TargetMode="External"/><Relationship Id="rId6" Type="http://schemas.openxmlformats.org/officeDocument/2006/relationships/hyperlink" Target="https://www.linkedin.com/learning/paths/become-a-successful-remote-worker?trk=ondemandfile" TargetMode="External"/><Relationship Id="rId957" Type="http://schemas.openxmlformats.org/officeDocument/2006/relationships/hyperlink" Target="https://www.linkedin.com/learning/paths/build-your-own-professional-training?trk=ondemandfile" TargetMode="External"/><Relationship Id="rId1587" Type="http://schemas.openxmlformats.org/officeDocument/2006/relationships/hyperlink" Target="https://www.linkedin.com/learning/effective-sponsorship-across-difference-for-sponsors?trk=contentmappingfile" TargetMode="External"/><Relationship Id="rId1794" Type="http://schemas.openxmlformats.org/officeDocument/2006/relationships/hyperlink" Target="https://www.linkedin.com/learning/outsourcing-critical-success-factors?trk=ondemandfile" TargetMode="External"/><Relationship Id="rId2638" Type="http://schemas.openxmlformats.org/officeDocument/2006/relationships/hyperlink" Target="https://www.linkedin.com/learning/paths/women-in-leadership-3?trk=ondemandfile" TargetMode="External"/><Relationship Id="rId86" Type="http://schemas.openxmlformats.org/officeDocument/2006/relationships/hyperlink" Target="https://www.linkedin.com/learning/how-to-motivate-yourself-to-do-what-s-most-important?trk=ondemandfile" TargetMode="External"/><Relationship Id="rId817" Type="http://schemas.openxmlformats.org/officeDocument/2006/relationships/hyperlink" Target="https://www.linkedin.com/learning/customer-experience-journey-mapping?trk=ondemandfile" TargetMode="External"/><Relationship Id="rId1447" Type="http://schemas.openxmlformats.org/officeDocument/2006/relationships/hyperlink" Target="https://www.linkedin.com/learning/reorganize-and-transition-your-team-for-change?trk=ondemandfile" TargetMode="External"/><Relationship Id="rId1654" Type="http://schemas.openxmlformats.org/officeDocument/2006/relationships/hyperlink" Target="https://www.linkedin.com/learning/management-top-tips?trk=ondemandfile" TargetMode="External"/><Relationship Id="rId1861" Type="http://schemas.openxmlformats.org/officeDocument/2006/relationships/hyperlink" Target="https://www.linkedin.com/learning/leading-remote-projects-and-virtual-teams?trk=ondemandfile" TargetMode="External"/><Relationship Id="rId2705" Type="http://schemas.openxmlformats.org/officeDocument/2006/relationships/hyperlink" Target="https://www.linkedin.com/learning/lessons-in-enlightened-leadership?trk=ondemandfile" TargetMode="External"/><Relationship Id="rId1307" Type="http://schemas.openxmlformats.org/officeDocument/2006/relationships/hyperlink" Target="https://www.linkedin.com/learning/paths/master-digital-transformation?trk=ondemandfile" TargetMode="External"/><Relationship Id="rId1514" Type="http://schemas.openxmlformats.org/officeDocument/2006/relationships/hyperlink" Target="https://www.linkedin.com/learning/transition-from-manager-to-leader?trk=ondemandfile" TargetMode="External"/><Relationship Id="rId1721" Type="http://schemas.openxmlformats.org/officeDocument/2006/relationships/hyperlink" Target="https://www.linkedin.com/learning/paths/stay-ahead-in-sustainability-and-green-building?trk=ondemandfile" TargetMode="External"/><Relationship Id="rId13" Type="http://schemas.openxmlformats.org/officeDocument/2006/relationships/hyperlink" Target="https://www.linkedin.com/learning/building-resilience-as-a-leader?trk=ondemandfile" TargetMode="External"/><Relationship Id="rId2288" Type="http://schemas.openxmlformats.org/officeDocument/2006/relationships/hyperlink" Target="https://www.linkedin.com/learning/coaching-and-developing-employees-2019?trk=ondemandfile" TargetMode="External"/><Relationship Id="rId2495" Type="http://schemas.openxmlformats.org/officeDocument/2006/relationships/hyperlink" Target="https://www.linkedin.com/learning/how-to-slash-anxiety-and-keep-positivity-flowing?trk=ondemandfile" TargetMode="External"/><Relationship Id="rId467" Type="http://schemas.openxmlformats.org/officeDocument/2006/relationships/hyperlink" Target="https://www.linkedin.com/learning/communicating-in-times-of-change?trk=ondemandfile" TargetMode="External"/><Relationship Id="rId1097" Type="http://schemas.openxmlformats.org/officeDocument/2006/relationships/hyperlink" Target="https://www.linkedin.com/learning/managing-globally/what-is-cultural-agility" TargetMode="External"/><Relationship Id="rId2148" Type="http://schemas.openxmlformats.org/officeDocument/2006/relationships/hyperlink" Target="https://www.linkedin.com/learning/outsourcing-managing-service-transition?trk=ondemandfile" TargetMode="External"/><Relationship Id="rId674" Type="http://schemas.openxmlformats.org/officeDocument/2006/relationships/hyperlink" Target="https://www.linkedin.com/learning/the-business-case-for-creativity?trk=ondemandfile" TargetMode="External"/><Relationship Id="rId881" Type="http://schemas.openxmlformats.org/officeDocument/2006/relationships/hyperlink" Target="https://www.linkedin.com/learning/data-ethics-watching-out-for-data-misuse?trk=ondemandfile" TargetMode="External"/><Relationship Id="rId2355" Type="http://schemas.openxmlformats.org/officeDocument/2006/relationships/hyperlink" Target="https://www.linkedin.com/learning/diversity-and-inclusion-in-a-global-enterprise?trk=ondemandfile" TargetMode="External"/><Relationship Id="rId2562" Type="http://schemas.openxmlformats.org/officeDocument/2006/relationships/hyperlink" Target="https://www.linkedin.com/learning/meditation-audio-course?trk=ondemandfile" TargetMode="External"/><Relationship Id="rId327" Type="http://schemas.openxmlformats.org/officeDocument/2006/relationships/hyperlink" Target="https://www.linkedin.com/learning/paths/communicating-during-times-of-change?trk=ondemandfile" TargetMode="External"/><Relationship Id="rId534" Type="http://schemas.openxmlformats.org/officeDocument/2006/relationships/hyperlink" Target="https://www.linkedin.com/learning/advanced-product-marketing?trk=ondemandfile" TargetMode="External"/><Relationship Id="rId741" Type="http://schemas.openxmlformats.org/officeDocument/2006/relationships/hyperlink" Target="https://www.linkedin.com/learning/crafting-problem-and-solution-statements?trk=ondemandfile" TargetMode="External"/><Relationship Id="rId1164" Type="http://schemas.openxmlformats.org/officeDocument/2006/relationships/hyperlink" Target="https://www.linkedin.com/learning/managing-temporary-and-contract-employees?trk=ondemandfile" TargetMode="External"/><Relationship Id="rId1371" Type="http://schemas.openxmlformats.org/officeDocument/2006/relationships/hyperlink" Target="https://www.linkedin.com/learning/learning-sap-sd-sales-and-distribution?trk=ondemandfile" TargetMode="External"/><Relationship Id="rId2008" Type="http://schemas.openxmlformats.org/officeDocument/2006/relationships/hyperlink" Target="https://www.linkedin.com/learning/mastering-authentic-influence-for-highly-successful-sales?trk=ondemandfile" TargetMode="External"/><Relationship Id="rId2215" Type="http://schemas.openxmlformats.org/officeDocument/2006/relationships/hyperlink" Target="https://www.linkedin.com/learning/virtual-performance-reviews-and-feedback?trk=ondemandfile" TargetMode="External"/><Relationship Id="rId2422" Type="http://schemas.openxmlformats.org/officeDocument/2006/relationships/hyperlink" Target="https://www.linkedin.com/learning/speaking-up-at-work?trk=ondemandfile" TargetMode="External"/><Relationship Id="rId601" Type="http://schemas.openxmlformats.org/officeDocument/2006/relationships/hyperlink" Target="https://www.linkedin.com/learning/making-money-with-branded-content?trk=ondemandfile" TargetMode="External"/><Relationship Id="rId1024" Type="http://schemas.openxmlformats.org/officeDocument/2006/relationships/hyperlink" Target="https://www.linkedin.com/learning/s-4-finance-fiori-accounts-receivable-analytics?trk=ondemandfile" TargetMode="External"/><Relationship Id="rId1231" Type="http://schemas.openxmlformats.org/officeDocument/2006/relationships/hyperlink" Target="https://www.linkedin.com/learning/human-resources-strategic-workforce-planning?trk=ondemandfile" TargetMode="External"/><Relationship Id="rId184" Type="http://schemas.openxmlformats.org/officeDocument/2006/relationships/hyperlink" Target="https://www.linkedin.com/learning/managing-new-managers?trk=ondemandfile" TargetMode="External"/><Relationship Id="rId391" Type="http://schemas.openxmlformats.org/officeDocument/2006/relationships/hyperlink" Target="https://www.linkedin.com/learning/the-power-of-introverts?trk=ondemandfile" TargetMode="External"/><Relationship Id="rId1908" Type="http://schemas.openxmlformats.org/officeDocument/2006/relationships/hyperlink" Target="https://www.linkedin.com/learning/project-leadership?trk=ondemandfile" TargetMode="External"/><Relationship Id="rId2072" Type="http://schemas.openxmlformats.org/officeDocument/2006/relationships/hyperlink" Target="https://www.linkedin.com/learning/running-a-design-business-writing-and-pricing-winning-proposals?trk=ondemandfile" TargetMode="External"/><Relationship Id="rId251" Type="http://schemas.openxmlformats.org/officeDocument/2006/relationships/hyperlink" Target="https://www.linkedin.com/learning/paths/become-an-inclusive-leader?trk=ondemandfile" TargetMode="External"/><Relationship Id="rId111" Type="http://schemas.openxmlformats.org/officeDocument/2006/relationships/hyperlink" Target="https://www.linkedin.com/learning/organizational-learning-and-development?trk=ondemandfile" TargetMode="External"/><Relationship Id="rId1698" Type="http://schemas.openxmlformats.org/officeDocument/2006/relationships/hyperlink" Target="https://www.linkedin.com/learning/creating-an-adaptable-team?trk=ondemandfile" TargetMode="External"/><Relationship Id="rId928" Type="http://schemas.openxmlformats.org/officeDocument/2006/relationships/hyperlink" Target="https://www.linkedin.com/learning/review-and-manage-the-sap-mrp-list?trk=ondemandfile" TargetMode="External"/><Relationship Id="rId1558" Type="http://schemas.openxmlformats.org/officeDocument/2006/relationships/hyperlink" Target="https://www.linkedin.com/learning/lessons-in-enlightened-leadership?trk=ondemandfile" TargetMode="External"/><Relationship Id="rId1765" Type="http://schemas.openxmlformats.org/officeDocument/2006/relationships/hyperlink" Target="https://www.linkedin.com/learning/implementing-a-vulnerability-management-lifecycle?trk=ondemandfile" TargetMode="External"/><Relationship Id="rId2609" Type="http://schemas.openxmlformats.org/officeDocument/2006/relationships/hyperlink" Target="https://www.linkedin.com/learning/exercising-a-growth-mindset-as-a-leader-nine-common-workplace-challenges?trk=ondemandfile" TargetMode="External"/><Relationship Id="rId57" Type="http://schemas.openxmlformats.org/officeDocument/2006/relationships/hyperlink" Target="https://www.linkedin.com/learning/the-surprising-upside-of-procrastination?trk=ondemandfile" TargetMode="External"/><Relationship Id="rId1418" Type="http://schemas.openxmlformats.org/officeDocument/2006/relationships/hyperlink" Target="https://www.linkedin.com/learning/built-to-last-successful-habits-of-visionary-companies?trk=ondemandfile" TargetMode="External"/><Relationship Id="rId1972" Type="http://schemas.openxmlformats.org/officeDocument/2006/relationships/hyperlink" Target="https://www.linkedin.com/learning/building-and-fostering-a-great-sales-culture?trk=ondemandfile" TargetMode="External"/><Relationship Id="rId1625" Type="http://schemas.openxmlformats.org/officeDocument/2006/relationships/hyperlink" Target="https://www.linkedin.com/learning/talent-management?trk=ondemandfile" TargetMode="External"/><Relationship Id="rId1832" Type="http://schemas.openxmlformats.org/officeDocument/2006/relationships/hyperlink" Target="https://www.linkedin.com/learning/data-driven-presentations-with-excel-and-powerpoint-365-2019?trk=ondemandfile" TargetMode="External"/><Relationship Id="rId2399" Type="http://schemas.openxmlformats.org/officeDocument/2006/relationships/hyperlink" Target="https://www.linkedin.com/learning/proven-success-strategies-for-women-at-work?trk=ondemandfile" TargetMode="External"/><Relationship Id="rId578" Type="http://schemas.openxmlformats.org/officeDocument/2006/relationships/hyperlink" Target="https://www.linkedin.com/learning/international-seo?trk=ondemandfile" TargetMode="External"/><Relationship Id="rId785" Type="http://schemas.openxmlformats.org/officeDocument/2006/relationships/hyperlink" Target="https://www.linkedin.com/learning/calculating-the-value-and-roi-of-customer-service?trk=ondemandfile" TargetMode="External"/><Relationship Id="rId992" Type="http://schemas.openxmlformats.org/officeDocument/2006/relationships/hyperlink" Target="https://www.linkedin.com/learning/articulate-360-advanced-actions-2?trk=ondemandfile" TargetMode="External"/><Relationship Id="rId2259" Type="http://schemas.openxmlformats.org/officeDocument/2006/relationships/hyperlink" Target="https://www.linkedin.com/learning/creating-a-high-performance-culture?trk=ondemandfile" TargetMode="External"/><Relationship Id="rId2466" Type="http://schemas.openxmlformats.org/officeDocument/2006/relationships/hyperlink" Target="https://www.linkedin.com/learning/conquering-writer-s-block?trk=ondemandfile" TargetMode="External"/><Relationship Id="rId2673" Type="http://schemas.openxmlformats.org/officeDocument/2006/relationships/hyperlink" Target="https://www.linkedin.com/learning/leadership-foundations-4?trk=ondemandfile" TargetMode="External"/><Relationship Id="rId438" Type="http://schemas.openxmlformats.org/officeDocument/2006/relationships/hyperlink" Target="https://www.linkedin.com/learning/difficult-conversations-talking-about-race-at-work?trk=ondemandfile" TargetMode="External"/><Relationship Id="rId645" Type="http://schemas.openxmlformats.org/officeDocument/2006/relationships/hyperlink" Target="https://www.linkedin.com/learning/advanced-branding-facelift-q1-2021?trk=ondemandfile" TargetMode="External"/><Relationship Id="rId852" Type="http://schemas.openxmlformats.org/officeDocument/2006/relationships/hyperlink" Target="https://www.linkedin.com/learning/paths/build-essential-data-skills?trk=ondemandfile" TargetMode="External"/><Relationship Id="rId1068" Type="http://schemas.openxmlformats.org/officeDocument/2006/relationships/hyperlink" Target="https://www.linkedin.com/learning/financial-accounting-part-1?trk=ondemandfile" TargetMode="External"/><Relationship Id="rId1275" Type="http://schemas.openxmlformats.org/officeDocument/2006/relationships/hyperlink" Target="https://www.linkedin.com/learning/paths/become-a-powerpoint-2013-microsoft-office-specialist?trk=ondemandfile" TargetMode="External"/><Relationship Id="rId1482" Type="http://schemas.openxmlformats.org/officeDocument/2006/relationships/hyperlink" Target="https://www.linkedin.com/learning/reframing-organizations-blinkist-summary?trk=ondemandfile" TargetMode="External"/><Relationship Id="rId2119" Type="http://schemas.openxmlformats.org/officeDocument/2006/relationships/hyperlink" Target="https://www.linkedin.com/learning/the-future-of-performance-management?trk=ondemandfile" TargetMode="External"/><Relationship Id="rId2326" Type="http://schemas.openxmlformats.org/officeDocument/2006/relationships/hyperlink" Target="https://www.linkedin.com/learning/managing-a-multigenerational-workforce?trk=ondemandfile" TargetMode="External"/><Relationship Id="rId2533" Type="http://schemas.openxmlformats.org/officeDocument/2006/relationships/hyperlink" Target="https://www.linkedin.com/learning/confidence-how-to-overcome-self-doubt-insecurity-and-fears?trk=ondemandfile" TargetMode="External"/><Relationship Id="rId505" Type="http://schemas.openxmlformats.org/officeDocument/2006/relationships/hyperlink" Target="https://www.linkedin.com/learning/cmo-foundations-creating-a-marketing-culture?trk=ondemandfile" TargetMode="External"/><Relationship Id="rId712" Type="http://schemas.openxmlformats.org/officeDocument/2006/relationships/hyperlink" Target="https://www.linkedin.com/learning/enhancing-team-innovation?trk=ondemandfile" TargetMode="External"/><Relationship Id="rId1135" Type="http://schemas.openxmlformats.org/officeDocument/2006/relationships/hyperlink" Target="https://www.linkedin.com/learning/paths/become-an-external-recruiter?trk=ondemandfile" TargetMode="External"/><Relationship Id="rId1342" Type="http://schemas.openxmlformats.org/officeDocument/2006/relationships/hyperlink" Target="https://www.linkedin.com/learning/working-with-computers-and-devices?trk=ondemandfile" TargetMode="External"/><Relationship Id="rId1202" Type="http://schemas.openxmlformats.org/officeDocument/2006/relationships/hyperlink" Target="https://www.linkedin.com/learning/human-resources-creating-an-employee-handbook?trk=ondemandfile" TargetMode="External"/><Relationship Id="rId2600" Type="http://schemas.openxmlformats.org/officeDocument/2006/relationships/hyperlink" Target="https://www.linkedin.com/learning/mel-robbins-on-confidence?trk=ondemandfile" TargetMode="External"/><Relationship Id="rId295" Type="http://schemas.openxmlformats.org/officeDocument/2006/relationships/hyperlink" Target="https://www.linkedin.com/learning/21-opportunities-for-better-networking?trk=ondemandfile" TargetMode="External"/><Relationship Id="rId2183" Type="http://schemas.openxmlformats.org/officeDocument/2006/relationships/hyperlink" Target="https://www.linkedin.com/learning/paths/become-an-ld-professional?trk=ondemandfile" TargetMode="External"/><Relationship Id="rId2390" Type="http://schemas.openxmlformats.org/officeDocument/2006/relationships/hyperlink" Target="https://www.linkedin.com/learning/talking-boldly-when-inclusion-meets-politics-at-the-office?trk=ondemandfile" TargetMode="External"/><Relationship Id="rId155" Type="http://schemas.openxmlformats.org/officeDocument/2006/relationships/hyperlink" Target="https://www.linkedin.com/learning/powerless-to-powerful-taking-control?trk=ondemandfile" TargetMode="External"/><Relationship Id="rId362" Type="http://schemas.openxmlformats.org/officeDocument/2006/relationships/hyperlink" Target="https://www.linkedin.com/learning/leading-with-applied-improv?trk=ondemandfile" TargetMode="External"/><Relationship Id="rId2043" Type="http://schemas.openxmlformats.org/officeDocument/2006/relationships/hyperlink" Target="https://www.linkedin.com/learning/sales-negotiation?trk=ondemandfile" TargetMode="External"/><Relationship Id="rId2250" Type="http://schemas.openxmlformats.org/officeDocument/2006/relationships/hyperlink" Target="https://www.linkedin.com/learning/all-you-have-to-do-is-ask-how-to-ask-for-help-when-you-need-it?trk=ondemandfile" TargetMode="External"/><Relationship Id="rId222" Type="http://schemas.openxmlformats.org/officeDocument/2006/relationships/hyperlink" Target="https://www.linkedin.com/learning/the-six-morning-habits-of-high-performers?trk=ondemandfile" TargetMode="External"/><Relationship Id="rId2110" Type="http://schemas.openxmlformats.org/officeDocument/2006/relationships/hyperlink" Target="https://www.linkedin.com/learning/analyzing-and-evaluating-strategic-plans?trk=ondemandfile" TargetMode="External"/><Relationship Id="rId1669" Type="http://schemas.openxmlformats.org/officeDocument/2006/relationships/hyperlink" Target="https://www.linkedin.com/learning/facilitation-skills-for-managers-and-leaders?trk=ondemandfile" TargetMode="External"/><Relationship Id="rId1876" Type="http://schemas.openxmlformats.org/officeDocument/2006/relationships/hyperlink" Target="https://www.linkedin.com/learning/paths/become-a-project-scheduler?trk=ondemandfile" TargetMode="External"/><Relationship Id="rId1529" Type="http://schemas.openxmlformats.org/officeDocument/2006/relationships/hyperlink" Target="https://www.linkedin.com/learning/taking-charge-of-your-leadership-conversations?trk=ondemandfile" TargetMode="External"/><Relationship Id="rId1736" Type="http://schemas.openxmlformats.org/officeDocument/2006/relationships/hyperlink" Target="https://www.linkedin.com/learning/mastering-organizational-chaos?trk=ondemandfile" TargetMode="External"/><Relationship Id="rId1943" Type="http://schemas.openxmlformats.org/officeDocument/2006/relationships/hyperlink" Target="https://www.linkedin.com/learning/learning-program-management?trk=ondemandfile" TargetMode="External"/><Relationship Id="rId28" Type="http://schemas.openxmlformats.org/officeDocument/2006/relationships/hyperlink" Target="https://www.linkedin.com/learning/time-management-tips-teamwork?trk=ondemandfile" TargetMode="External"/><Relationship Id="rId1803" Type="http://schemas.openxmlformats.org/officeDocument/2006/relationships/hyperlink" Target="https://www.linkedin.com/learning/leading-productive-meetings-2018?trk=ondemandfile" TargetMode="External"/><Relationship Id="rId689" Type="http://schemas.openxmlformats.org/officeDocument/2006/relationships/hyperlink" Target="https://www.linkedin.com/learning/design-thinking-implementing-the-process?trk=ondemandfile" TargetMode="External"/><Relationship Id="rId896" Type="http://schemas.openxmlformats.org/officeDocument/2006/relationships/hyperlink" Target="https://www.linkedin.com/learning/tech-ethics-avoiding-unintended-consequences?trk=ondemandfile" TargetMode="External"/><Relationship Id="rId2577" Type="http://schemas.openxmlformats.org/officeDocument/2006/relationships/hyperlink" Target="https://www.linkedin.com/learning/life-mastery-achieving-happiness-and-success?trk=ondemandfile" TargetMode="External"/><Relationship Id="rId549" Type="http://schemas.openxmlformats.org/officeDocument/2006/relationships/hyperlink" Target="https://www.linkedin.com/learning/social-media-video-for-business-and-marketing?trk=ondemandfile" TargetMode="External"/><Relationship Id="rId756" Type="http://schemas.openxmlformats.org/officeDocument/2006/relationships/hyperlink" Target="https://www.linkedin.com/learning/prioritizing-your-tasks?trk=ondemandfile" TargetMode="External"/><Relationship Id="rId1179" Type="http://schemas.openxmlformats.org/officeDocument/2006/relationships/hyperlink" Target="https://www.linkedin.com/learning/managing-globally/what-is-cultural-agility" TargetMode="External"/><Relationship Id="rId1386" Type="http://schemas.openxmlformats.org/officeDocument/2006/relationships/hyperlink" Target="https://www.linkedin.com/learning/ccna-security-210-260-cert-prep-4-secure-routing-and-switching?trk=ondemandfile" TargetMode="External"/><Relationship Id="rId1593" Type="http://schemas.openxmlformats.org/officeDocument/2006/relationships/hyperlink" Target="https://www.linkedin.com/learning/leading-projects?trk=ondemandfile" TargetMode="External"/><Relationship Id="rId2437" Type="http://schemas.openxmlformats.org/officeDocument/2006/relationships/hyperlink" Target="https://www.linkedin.com/learning/leadership-strategies-for-women?trk=ondemandfile" TargetMode="External"/><Relationship Id="rId409" Type="http://schemas.openxmlformats.org/officeDocument/2006/relationships/hyperlink" Target="https://www.linkedin.com/learning/becoming-a-great-conversationalist?trk=ondemandfile" TargetMode="External"/><Relationship Id="rId963" Type="http://schemas.openxmlformats.org/officeDocument/2006/relationships/hyperlink" Target="https://www.linkedin.com/learning/paths/improve-your-ux-design-skills?trk=ondemandfile" TargetMode="External"/><Relationship Id="rId1039" Type="http://schemas.openxmlformats.org/officeDocument/2006/relationships/hyperlink" Target="https://www.linkedin.com/learning/779740?trk=ondemandfile" TargetMode="External"/><Relationship Id="rId1246" Type="http://schemas.openxmlformats.org/officeDocument/2006/relationships/hyperlink" Target="https://www.linkedin.com/learning/ai-foundations-machine-learning?trk=ondemandfile" TargetMode="External"/><Relationship Id="rId2644" Type="http://schemas.openxmlformats.org/officeDocument/2006/relationships/hyperlink" Target="https://www.linkedin.com/learning/leading-from-the-middle?trk=ondemandfile" TargetMode="External"/><Relationship Id="rId92" Type="http://schemas.openxmlformats.org/officeDocument/2006/relationships/hyperlink" Target="https://www.linkedin.com/learning/hyperfocus-blinkist-summary?trk=ondemandfile" TargetMode="External"/><Relationship Id="rId616" Type="http://schemas.openxmlformats.org/officeDocument/2006/relationships/hyperlink" Target="https://www.linkedin.com/learning/jonah-berger-on-viral-marketing?trk=ondemandfile" TargetMode="External"/><Relationship Id="rId823" Type="http://schemas.openxmlformats.org/officeDocument/2006/relationships/hyperlink" Target="https://www.linkedin.com/learning/working-with-upset-customers?trk=ondemandfile" TargetMode="External"/><Relationship Id="rId1453" Type="http://schemas.openxmlformats.org/officeDocument/2006/relationships/hyperlink" Target="https://www.linkedin.com/learning/managing-organizational-change-for-managers?trk=ondemandfile" TargetMode="External"/><Relationship Id="rId1660" Type="http://schemas.openxmlformats.org/officeDocument/2006/relationships/hyperlink" Target="https://www.linkedin.com/learning/coaching-new-hires?trk=ondemandfile" TargetMode="External"/><Relationship Id="rId2504" Type="http://schemas.openxmlformats.org/officeDocument/2006/relationships/hyperlink" Target="https://www.linkedin.com/learning/computer-and-text-neck-stretching-exercises?trk=ondemandfile" TargetMode="External"/><Relationship Id="rId2711" Type="http://schemas.openxmlformats.org/officeDocument/2006/relationships/hyperlink" Target="https://www.linkedin.com/learning/leading-with-empathy?trk=ondemandfile" TargetMode="External"/><Relationship Id="rId1106" Type="http://schemas.openxmlformats.org/officeDocument/2006/relationships/hyperlink" Target="https://www.linkedin.com/learning/business-investment-analysis?trk=ondemandfile" TargetMode="External"/><Relationship Id="rId1313" Type="http://schemas.openxmlformats.org/officeDocument/2006/relationships/hyperlink" Target="https://www.linkedin.com/learning/paths/master-microsoft-outlook?trk=ondemandfile" TargetMode="External"/><Relationship Id="rId1520" Type="http://schemas.openxmlformats.org/officeDocument/2006/relationships/hyperlink" Target="https://www.linkedin.com/learning/collaborative-leadership?trk=ondemandfile" TargetMode="External"/><Relationship Id="rId199" Type="http://schemas.openxmlformats.org/officeDocument/2006/relationships/hyperlink" Target="https://www.linkedin.com/learning/motivating-and-engaging-employees-2?trk=ondemandfile" TargetMode="External"/><Relationship Id="rId2087" Type="http://schemas.openxmlformats.org/officeDocument/2006/relationships/hyperlink" Target="https://www.linkedin.com/learning/implementing-your-it-strategy?trk=ondemandfile" TargetMode="External"/><Relationship Id="rId2294" Type="http://schemas.openxmlformats.org/officeDocument/2006/relationships/hyperlink" Target="https://www.linkedin.com/learning/performance-management-employee-engagement?trk=ondemandfile" TargetMode="External"/><Relationship Id="rId266" Type="http://schemas.openxmlformats.org/officeDocument/2006/relationships/hyperlink" Target="https://www.linkedin.com/learning/facilitation-skills-for-managers-and-leaders?trk=ondemandfile" TargetMode="External"/><Relationship Id="rId473" Type="http://schemas.openxmlformats.org/officeDocument/2006/relationships/hyperlink" Target="https://www.linkedin.com/learning/human-resources-managing-employee-problems?trk=ondemandfile" TargetMode="External"/><Relationship Id="rId680" Type="http://schemas.openxmlformats.org/officeDocument/2006/relationships/hyperlink" Target="https://www.linkedin.com/learning/the-five-step-creative-process?trk=ondemandfile" TargetMode="External"/><Relationship Id="rId2154" Type="http://schemas.openxmlformats.org/officeDocument/2006/relationships/hyperlink" Target="https://www.linkedin.com/learning/introduction-to-abusive-ai?trk=ondemandfile" TargetMode="External"/><Relationship Id="rId2361" Type="http://schemas.openxmlformats.org/officeDocument/2006/relationships/hyperlink" Target="https://www.linkedin.com/learning/women-transforming-tech-round-table-discussion?trk=ondemandfile" TargetMode="External"/><Relationship Id="rId126" Type="http://schemas.openxmlformats.org/officeDocument/2006/relationships/hyperlink" Target="https://www.linkedin.com/learning/how-to-slash-anxiety-and-keep-positivity-flowing?trk=ondemandfile" TargetMode="External"/><Relationship Id="rId333" Type="http://schemas.openxmlformats.org/officeDocument/2006/relationships/hyperlink" Target="https://www.linkedin.com/learning/paths/develop-conflict-management-and-resolution-skills?trk=ondemandfile" TargetMode="External"/><Relationship Id="rId540" Type="http://schemas.openxmlformats.org/officeDocument/2006/relationships/hyperlink" Target="https://www.linkedin.com/learning/advanced-facebook-advertising-2021?trk=ondemandfile" TargetMode="External"/><Relationship Id="rId1170" Type="http://schemas.openxmlformats.org/officeDocument/2006/relationships/hyperlink" Target="https://www.linkedin.com/learning/hr-communication-in-today-s-fluid-workplace?trk=ondemandfile" TargetMode="External"/><Relationship Id="rId2014" Type="http://schemas.openxmlformats.org/officeDocument/2006/relationships/hyperlink" Target="https://www.linkedin.com/learning/introduction-to-gratitude-meditation?trk=ondemandfile" TargetMode="External"/><Relationship Id="rId2221" Type="http://schemas.openxmlformats.org/officeDocument/2006/relationships/hyperlink" Target="https://www.linkedin.com/learning/coaching-and-developing-employees-2019?trk=ondemandfile" TargetMode="External"/><Relationship Id="rId1030" Type="http://schemas.openxmlformats.org/officeDocument/2006/relationships/hyperlink" Target="https://www.linkedin.com/learning/focusing-on-the-bottom-line-as-an-employee?trk=ondemandfile" TargetMode="External"/><Relationship Id="rId400" Type="http://schemas.openxmlformats.org/officeDocument/2006/relationships/hyperlink" Target="https://www.linkedin.com/learning/becoming-assertive?trk=ondemandfile" TargetMode="External"/><Relationship Id="rId1987" Type="http://schemas.openxmlformats.org/officeDocument/2006/relationships/hyperlink" Target="https://www.linkedin.com/learning/delivering-a-great-sales-pitch?trk=ondemandfile" TargetMode="External"/><Relationship Id="rId1847" Type="http://schemas.openxmlformats.org/officeDocument/2006/relationships/hyperlink" Target="https://www.linkedin.com/learning/powerpoint-design-savvy?trk=ondemandfile" TargetMode="External"/><Relationship Id="rId1707" Type="http://schemas.openxmlformats.org/officeDocument/2006/relationships/hyperlink" Target="https://www.linkedin.com/learning/paths/become-a-business-operations-associate?trk=ondemandfile" TargetMode="External"/><Relationship Id="rId190" Type="http://schemas.openxmlformats.org/officeDocument/2006/relationships/hyperlink" Target="https://www.linkedin.com/learning/productive-leadership?trk=ondemandfile" TargetMode="External"/><Relationship Id="rId1914" Type="http://schemas.openxmlformats.org/officeDocument/2006/relationships/hyperlink" Target="https://www.linkedin.com/learning/build-a-successful-career-in-project-management?trk=ondemandfile" TargetMode="External"/><Relationship Id="rId2688" Type="http://schemas.openxmlformats.org/officeDocument/2006/relationships/hyperlink" Target="https://www.linkedin.com/learning/jeff-weiner-on-how-to-lead-like-a-ceo?trk=ondemandfile" TargetMode="External"/><Relationship Id="rId867" Type="http://schemas.openxmlformats.org/officeDocument/2006/relationships/hyperlink" Target="https://www.linkedin.com/learning/data-science-tools-of-the-trade-first-steps?trk=ondemandfile" TargetMode="External"/><Relationship Id="rId1497" Type="http://schemas.openxmlformats.org/officeDocument/2006/relationships/hyperlink" Target="https://www.linkedin.com/learning/paths/become-a-thought-leader?trk=ondemandfile" TargetMode="External"/><Relationship Id="rId2548" Type="http://schemas.openxmlformats.org/officeDocument/2006/relationships/hyperlink" Target="https://www.linkedin.com/learning/don-t-take-yes-for-an-answer-blinkist-summary?trk=ondemandfile" TargetMode="External"/><Relationship Id="rId727" Type="http://schemas.openxmlformats.org/officeDocument/2006/relationships/hyperlink" Target="https://www.linkedin.com/learning/overcoming-decision-making-traps?trk=ondemandfile" TargetMode="External"/><Relationship Id="rId934" Type="http://schemas.openxmlformats.org/officeDocument/2006/relationships/hyperlink" Target="https://www.linkedin.com/learning/postgresql-essential-training?trk=ondemandfile" TargetMode="External"/><Relationship Id="rId1357" Type="http://schemas.openxmlformats.org/officeDocument/2006/relationships/hyperlink" Target="https://www.linkedin.com/learning/applied-machine-learning-essential-training?trk=ondemandfile" TargetMode="External"/><Relationship Id="rId1564" Type="http://schemas.openxmlformats.org/officeDocument/2006/relationships/hyperlink" Target="https://www.linkedin.com/learning/coaching-virtually?trk=ondemandfile" TargetMode="External"/><Relationship Id="rId1771" Type="http://schemas.openxmlformats.org/officeDocument/2006/relationships/hyperlink" Target="https://www.linkedin.com/learning/lean-six-sigma-analyze-improve-and-control-tools?trk=ondemandfile" TargetMode="External"/><Relationship Id="rId2408" Type="http://schemas.openxmlformats.org/officeDocument/2006/relationships/hyperlink" Target="https://www.linkedin.com/learning/esl-for-business-social-interactions-for-multinational-teams?trk=ondemandfile" TargetMode="External"/><Relationship Id="rId2615" Type="http://schemas.openxmlformats.org/officeDocument/2006/relationships/hyperlink" Target="https://www.linkedin.com/learning/counterintuitive-leadership-strategies-for-a-vuca-environment?trk=ondemandfile" TargetMode="External"/><Relationship Id="rId63" Type="http://schemas.openxmlformats.org/officeDocument/2006/relationships/hyperlink" Target="https://www.linkedin.com/learning/overcome-overthinking?trk=ondemandfile" TargetMode="External"/><Relationship Id="rId1217" Type="http://schemas.openxmlformats.org/officeDocument/2006/relationships/hyperlink" Target="https://www.linkedin.com/learning/strategic-human-resources?trk=ondemandfile" TargetMode="External"/><Relationship Id="rId1424" Type="http://schemas.openxmlformats.org/officeDocument/2006/relationships/hyperlink" Target="https://www.linkedin.com/learning/leading-change-2018?trk=ondemandfile" TargetMode="External"/><Relationship Id="rId1631" Type="http://schemas.openxmlformats.org/officeDocument/2006/relationships/hyperlink" Target="https://www.linkedin.com/learning/employee-experience?trk=ondemandfile" TargetMode="External"/><Relationship Id="rId2198" Type="http://schemas.openxmlformats.org/officeDocument/2006/relationships/hyperlink" Target="https://www.linkedin.com/learning/creating-a-leadership-development-program?trk=ondemandfile" TargetMode="External"/><Relationship Id="rId377" Type="http://schemas.openxmlformats.org/officeDocument/2006/relationships/hyperlink" Target="https://www.linkedin.com/learning/persuading-others?trk=ondemandfile" TargetMode="External"/><Relationship Id="rId584" Type="http://schemas.openxmlformats.org/officeDocument/2006/relationships/hyperlink" Target="https://www.linkedin.com/learning/marketing-on-twitter?trk=ondemandfile" TargetMode="External"/><Relationship Id="rId2058" Type="http://schemas.openxmlformats.org/officeDocument/2006/relationships/hyperlink" Target="https://www.linkedin.com/learning/sales-enablement?trk=ondemandfile" TargetMode="External"/><Relationship Id="rId2265" Type="http://schemas.openxmlformats.org/officeDocument/2006/relationships/hyperlink" Target="https://www.linkedin.com/learning/employer-branding-to-attract-talent?trk=ondemandfile" TargetMode="External"/><Relationship Id="rId237" Type="http://schemas.openxmlformats.org/officeDocument/2006/relationships/hyperlink" Target="https://www.linkedin.com/learning/backgrounder-difficult-conversations-and-negotiations?trk=ondemandfile" TargetMode="External"/><Relationship Id="rId791" Type="http://schemas.openxmlformats.org/officeDocument/2006/relationships/hyperlink" Target="https://www.linkedin.com/learning/customer-service-foundations-2?trk=ondemandfile" TargetMode="External"/><Relationship Id="rId1074" Type="http://schemas.openxmlformats.org/officeDocument/2006/relationships/hyperlink" Target="https://www.linkedin.com/learning/financial-modeling?trk=ondemandfile" TargetMode="External"/><Relationship Id="rId2472" Type="http://schemas.openxmlformats.org/officeDocument/2006/relationships/hyperlink" Target="https://www.linkedin.com/learning/writing-and-delivering-speeches?trk=ondemandfile" TargetMode="External"/><Relationship Id="rId444" Type="http://schemas.openxmlformats.org/officeDocument/2006/relationships/hyperlink" Target="https://www.linkedin.com/learning/having-powerful-advanced-conversations?trk=ondemandfile" TargetMode="External"/><Relationship Id="rId651" Type="http://schemas.openxmlformats.org/officeDocument/2006/relationships/hyperlink" Target="https://www.linkedin.com/learning/marketing-attribution-and-mix-modeling?trk=ondemandfile" TargetMode="External"/><Relationship Id="rId1281" Type="http://schemas.openxmlformats.org/officeDocument/2006/relationships/hyperlink" Target="https://www.linkedin.com/learning/paths/become-a-sharepoint-2013-microsoft-office-specialist?trk=ondemandfile" TargetMode="External"/><Relationship Id="rId2125" Type="http://schemas.openxmlformats.org/officeDocument/2006/relationships/hyperlink" Target="https://www.linkedin.com/learning/business-leadership-social-change-and-movements?trk=ondemandfile" TargetMode="External"/><Relationship Id="rId2332" Type="http://schemas.openxmlformats.org/officeDocument/2006/relationships/hyperlink" Target="https://www.linkedin.com/learning/accessibility-for-the-workplace?trk=ondemandfile" TargetMode="External"/><Relationship Id="rId304" Type="http://schemas.openxmlformats.org/officeDocument/2006/relationships/hyperlink" Target="https://www.linkedin.com/learning/giving-and-receiving-feedback?trk=ondemandfile" TargetMode="External"/><Relationship Id="rId511" Type="http://schemas.openxmlformats.org/officeDocument/2006/relationships/hyperlink" Target="https://www.linkedin.com/learning/brand-leadership-building-brand-and-culture?trk=ondemandfile" TargetMode="External"/><Relationship Id="rId1141" Type="http://schemas.openxmlformats.org/officeDocument/2006/relationships/hyperlink" Target="https://www.linkedin.com/learning/paths/build-a-more-equitable-and-inclusive-workplace?trk=ondemandfile" TargetMode="External"/><Relationship Id="rId1001" Type="http://schemas.openxmlformats.org/officeDocument/2006/relationships/hyperlink" Target="https://www.linkedin.com/learning/articulate-storyline-quick-tips?trk=ondemandfile" TargetMode="External"/><Relationship Id="rId1958" Type="http://schemas.openxmlformats.org/officeDocument/2006/relationships/hyperlink" Target="https://www.linkedin.com/learning/agile-project-management-with-microsoft-project-2021?trk=ondemandfile" TargetMode="External"/><Relationship Id="rId1818" Type="http://schemas.openxmlformats.org/officeDocument/2006/relationships/hyperlink" Target="https://www.linkedin.com/learning/how-to-present-and-stay-on-point-2019?trk=ondemandfile" TargetMode="External"/><Relationship Id="rId161" Type="http://schemas.openxmlformats.org/officeDocument/2006/relationships/hyperlink" Target="https://www.linkedin.com/learning/enhance-productivity-in-a-hybrid-work-environment?trk=ondemandfile" TargetMode="External"/><Relationship Id="rId978" Type="http://schemas.openxmlformats.org/officeDocument/2006/relationships/hyperlink" Target="https://www.linkedin.com/learning/pivoting-to-virtual-events?trk=ondemandfile" TargetMode="External"/><Relationship Id="rId2659" Type="http://schemas.openxmlformats.org/officeDocument/2006/relationships/hyperlink" Target="https://www.linkedin.com/learning/leading-with-vision?trk=ondemandfile" TargetMode="External"/><Relationship Id="rId838" Type="http://schemas.openxmlformats.org/officeDocument/2006/relationships/hyperlink" Target="https://www.linkedin.com/learning/paths/become-a-business-analyst?trk=ondemandfile" TargetMode="External"/><Relationship Id="rId1468" Type="http://schemas.openxmlformats.org/officeDocument/2006/relationships/hyperlink" Target="https://www.linkedin.com/learning/how-to-lead-and-inspire-change?trk=ondemandfile" TargetMode="External"/><Relationship Id="rId1675" Type="http://schemas.openxmlformats.org/officeDocument/2006/relationships/hyperlink" Target="https://www.linkedin.com/learning/succeeding-as-a-first-time-t-ech-manager?trk=ondemandfile" TargetMode="External"/><Relationship Id="rId1882" Type="http://schemas.openxmlformats.org/officeDocument/2006/relationships/hyperlink" Target="https://www.linkedin.com/learning/paths/become-a-six-sigma-yellow-belt?trk=ondemandfile" TargetMode="External"/><Relationship Id="rId2519" Type="http://schemas.openxmlformats.org/officeDocument/2006/relationships/hyperlink" Target="https://www.linkedin.com/learning/winding-down-get-a-better-night-s-sleep?trk=ondemandfile" TargetMode="External"/><Relationship Id="rId2726" Type="http://schemas.openxmlformats.org/officeDocument/2006/relationships/hyperlink" Target="https://www.linkedin.com/learning/leadership-mindsets?trk=ondemandfile" TargetMode="External"/><Relationship Id="rId1328" Type="http://schemas.openxmlformats.org/officeDocument/2006/relationships/hyperlink" Target="https://www.linkedin.com/learning/craft-a-great-github-profile?trk=ondemandfile" TargetMode="External"/><Relationship Id="rId1535" Type="http://schemas.openxmlformats.org/officeDocument/2006/relationships/hyperlink" Target="https://www.linkedin.com/learning/emerging-leader-foundations?trk=ondemandfile" TargetMode="External"/><Relationship Id="rId905" Type="http://schemas.openxmlformats.org/officeDocument/2006/relationships/hyperlink" Target="https://www.linkedin.com/learning/03dd510b-7db9-3067-949e-6ee38f2bf60a?trk=ondemandfile" TargetMode="External"/><Relationship Id="rId1742" Type="http://schemas.openxmlformats.org/officeDocument/2006/relationships/hyperlink" Target="https://www.linkedin.com/learning/lean-foundations?trk=ondemandfile" TargetMode="External"/><Relationship Id="rId34" Type="http://schemas.openxmlformats.org/officeDocument/2006/relationships/hyperlink" Target="https://www.linkedin.com/learning/productivity-tips-taking-control-of-email?trk=ondemandfile" TargetMode="External"/><Relationship Id="rId1602" Type="http://schemas.openxmlformats.org/officeDocument/2006/relationships/hyperlink" Target="https://www.linkedin.com/learning/leading-in-uncertain-times?trk=ondemandfile" TargetMode="External"/><Relationship Id="rId488" Type="http://schemas.openxmlformats.org/officeDocument/2006/relationships/hyperlink" Target="https://www.linkedin.com/learning/how-to-manage-high-stakes-conflict?trk=ondemandfile" TargetMode="External"/><Relationship Id="rId695" Type="http://schemas.openxmlformats.org/officeDocument/2006/relationships/hyperlink" Target="https://www.linkedin.com/learning/creativity-for-all?trk=ondemandfile" TargetMode="External"/><Relationship Id="rId2169" Type="http://schemas.openxmlformats.org/officeDocument/2006/relationships/hyperlink" Target="https://www.linkedin.com/learning/corporate-finance-strategies-for-business-leaders?trk=ondemandfile" TargetMode="External"/><Relationship Id="rId2376" Type="http://schemas.openxmlformats.org/officeDocument/2006/relationships/hyperlink" Target="https://www.linkedin.com/learning/empathy-in-business-design-for-success?trk=ondemandfile" TargetMode="External"/><Relationship Id="rId2583" Type="http://schemas.openxmlformats.org/officeDocument/2006/relationships/hyperlink" Target="https://www.linkedin.com/learning/how-to-manage-feeling-overwhelmed?trk=ondemandfile" TargetMode="External"/><Relationship Id="rId348" Type="http://schemas.openxmlformats.org/officeDocument/2006/relationships/hyperlink" Target="https://www.linkedin.com/learning/reputation-risk-management?trk=ondemandfile" TargetMode="External"/><Relationship Id="rId555" Type="http://schemas.openxmlformats.org/officeDocument/2006/relationships/hyperlink" Target="https://www.linkedin.com/learning/identifying-your-target-market?trk=ondemandfile" TargetMode="External"/><Relationship Id="rId762" Type="http://schemas.openxmlformats.org/officeDocument/2006/relationships/hyperlink" Target="https://www.linkedin.com/learning/presence-bringing-your-boldest-self-to-your-biggest-challenges-getabstract-summary?trk=ondemandfile" TargetMode="External"/><Relationship Id="rId1185" Type="http://schemas.openxmlformats.org/officeDocument/2006/relationships/hyperlink" Target="https://www.linkedin.com/learning/women-transforming-tech-finding-a-mentor?trk=ondemandfile" TargetMode="External"/><Relationship Id="rId1392" Type="http://schemas.openxmlformats.org/officeDocument/2006/relationships/hyperlink" Target="https://www.linkedin.com/learning/ai-accountability-essential-training?trk=ondemandfile" TargetMode="External"/><Relationship Id="rId2029" Type="http://schemas.openxmlformats.org/officeDocument/2006/relationships/hyperlink" Target="https://www.linkedin.com/learning/sales-well-being-managing-anxiety-burnout-and-rejection?trk=ondemandfile" TargetMode="External"/><Relationship Id="rId2236" Type="http://schemas.openxmlformats.org/officeDocument/2006/relationships/hyperlink" Target="https://www.linkedin.com/learning/using-neuroscience-for-more-effective-l-d?trk=ondemandfile" TargetMode="External"/><Relationship Id="rId2443" Type="http://schemas.openxmlformats.org/officeDocument/2006/relationships/hyperlink" Target="https://www.linkedin.com/learning/paths/become-a-content-strategist-7?trk=ondemandfile" TargetMode="External"/><Relationship Id="rId2650" Type="http://schemas.openxmlformats.org/officeDocument/2006/relationships/hyperlink" Target="https://www.linkedin.com/learning/developing-your-leadership-philosophy?trk=ondemandfile" TargetMode="External"/><Relationship Id="rId208" Type="http://schemas.openxmlformats.org/officeDocument/2006/relationships/hyperlink" Target="https://www.linkedin.com/learning/managing-team-conflict?trk=ondemandfile" TargetMode="External"/><Relationship Id="rId415" Type="http://schemas.openxmlformats.org/officeDocument/2006/relationships/hyperlink" Target="https://www.linkedin.com/learning/building-business-relationships-2?trk=ondemandfile" TargetMode="External"/><Relationship Id="rId622" Type="http://schemas.openxmlformats.org/officeDocument/2006/relationships/hyperlink" Target="https://www.linkedin.com/learning/social-media-marketing-trends?trk=ondemandfile" TargetMode="External"/><Relationship Id="rId1045" Type="http://schemas.openxmlformats.org/officeDocument/2006/relationships/hyperlink" Target="https://www.linkedin.com/learning/running-a-profitable-business-understanding-financial-ratios?trk=ondemandfile" TargetMode="External"/><Relationship Id="rId1252" Type="http://schemas.openxmlformats.org/officeDocument/2006/relationships/hyperlink" Target="https://www.linkedin.com/learning/accelerating-digital-transformation-as-offices-reopen?trk=ondemandfile" TargetMode="External"/><Relationship Id="rId2303" Type="http://schemas.openxmlformats.org/officeDocument/2006/relationships/hyperlink" Target="https://www.linkedin.com/learning/boosting-your-team-s-productivity?trk=ondemandfile" TargetMode="External"/><Relationship Id="rId2510" Type="http://schemas.openxmlformats.org/officeDocument/2006/relationships/hyperlink" Target="https://www.linkedin.com/learning/developing-self-awareness?trk=ondemandfile" TargetMode="External"/><Relationship Id="rId1112" Type="http://schemas.openxmlformats.org/officeDocument/2006/relationships/hyperlink" Target="https://www.linkedin.com/learning/excel-modeling-tips-and-tricks?trk=ondemandfile" TargetMode="External"/><Relationship Id="rId1929" Type="http://schemas.openxmlformats.org/officeDocument/2006/relationships/hyperlink" Target="https://www.linkedin.com/learning/emotional-intelligence-for-project-managers-blinkist-summary?trk=ondemandfile" TargetMode="External"/><Relationship Id="rId2093" Type="http://schemas.openxmlformats.org/officeDocument/2006/relationships/hyperlink" Target="https://www.linkedin.com/learning/data-strategy?trk=contentmappingfile" TargetMode="External"/><Relationship Id="rId272" Type="http://schemas.openxmlformats.org/officeDocument/2006/relationships/hyperlink" Target="https://www.linkedin.com/learning/building-connection-and-engagement-in-virtual-teams?trk=ondemandfile" TargetMode="External"/><Relationship Id="rId2160" Type="http://schemas.openxmlformats.org/officeDocument/2006/relationships/hyperlink" Target="https://www.linkedin.com/learning/the-new-age-of-risk-management-strategy-for-business?trk=ondemandfile" TargetMode="External"/><Relationship Id="rId132" Type="http://schemas.openxmlformats.org/officeDocument/2006/relationships/hyperlink" Target="https://www.linkedin.com/learning/get-un-stuck-from-a-career-rut?trk=ondemandfile" TargetMode="External"/><Relationship Id="rId2020" Type="http://schemas.openxmlformats.org/officeDocument/2006/relationships/hyperlink" Target="https://www.linkedin.com/learning/creating-flow?trk=ondemandfile" TargetMode="External"/><Relationship Id="rId1579" Type="http://schemas.openxmlformats.org/officeDocument/2006/relationships/hyperlink" Target="https://www.linkedin.com/learning/work-on-purpose?trk=ondemandfile" TargetMode="External"/><Relationship Id="rId949" Type="http://schemas.openxmlformats.org/officeDocument/2006/relationships/hyperlink" Target="https://www.linkedin.com/learning/paths/become-an-instructional-designer?trk=ondemandfile" TargetMode="External"/><Relationship Id="rId1786" Type="http://schemas.openxmlformats.org/officeDocument/2006/relationships/hyperlink" Target="https://www.linkedin.com/learning/introduction-to-sap-bi-bw?trk=ondemandfile" TargetMode="External"/><Relationship Id="rId1993" Type="http://schemas.openxmlformats.org/officeDocument/2006/relationships/hyperlink" Target="https://www.linkedin.com/learning/social-selling-foundations-2?trk=ondemandfile" TargetMode="External"/><Relationship Id="rId78" Type="http://schemas.openxmlformats.org/officeDocument/2006/relationships/hyperlink" Target="https://www.linkedin.com/learning/what-to-do-when-there-s-too-much-to-do-getabstract-summary?trk=ondemandfile" TargetMode="External"/><Relationship Id="rId809" Type="http://schemas.openxmlformats.org/officeDocument/2006/relationships/hyperlink" Target="https://www.linkedin.com/learning/developing-a-service-mindset?trk=ondemandfile" TargetMode="External"/><Relationship Id="rId1439" Type="http://schemas.openxmlformats.org/officeDocument/2006/relationships/hyperlink" Target="https://www.linkedin.com/learning/navigating-environmental-sustainability-a-guide-for-leaders?trk=ondemandfile" TargetMode="External"/><Relationship Id="rId1646" Type="http://schemas.openxmlformats.org/officeDocument/2006/relationships/hyperlink" Target="https://www.linkedin.com/learning/managers-as-multipliers-of-well-being?trk=ondemandfile" TargetMode="External"/><Relationship Id="rId1853" Type="http://schemas.openxmlformats.org/officeDocument/2006/relationships/hyperlink" Target="https://www.linkedin.com/learning/lean-technology-strategy-economic-frameworks-for-portfolio-and-product-management?trk=ondemandfile" TargetMode="External"/><Relationship Id="rId1506" Type="http://schemas.openxmlformats.org/officeDocument/2006/relationships/hyperlink" Target="https://www.linkedin.com/learning/counterintuitive-leadership-strategies-for-a-vuca-environment?trk=ondemandfile" TargetMode="External"/><Relationship Id="rId1713" Type="http://schemas.openxmlformats.org/officeDocument/2006/relationships/hyperlink" Target="https://www.linkedin.com/learning/paths/become-a-six-sigma-yellow-belt?trk=ondemandfile" TargetMode="External"/><Relationship Id="rId1920" Type="http://schemas.openxmlformats.org/officeDocument/2006/relationships/hyperlink" Target="https://www.linkedin.com/learning/transitioning-from-waterfall-to-agile-project-management-2019?trk=ondemandfile" TargetMode="External"/><Relationship Id="rId599" Type="http://schemas.openxmlformats.org/officeDocument/2006/relationships/hyperlink" Target="https://www.linkedin.com/learning/jump-start-your-twitch-channel?trk=ondemandfile" TargetMode="External"/><Relationship Id="rId2487" Type="http://schemas.openxmlformats.org/officeDocument/2006/relationships/hyperlink" Target="https://www.linkedin.com/learning/finding-and-doing-the-one-thing?trk=ondemandfile" TargetMode="External"/><Relationship Id="rId2694" Type="http://schemas.openxmlformats.org/officeDocument/2006/relationships/hyperlink" Target="https://www.linkedin.com/learning/executive-presence-on-video-conference-calls?trk=ondemandfile" TargetMode="External"/><Relationship Id="rId459" Type="http://schemas.openxmlformats.org/officeDocument/2006/relationships/hyperlink" Target="https://www.linkedin.com/learning/managing-in-difficult-times?trk=ondemandfile" TargetMode="External"/><Relationship Id="rId666" Type="http://schemas.openxmlformats.org/officeDocument/2006/relationships/hyperlink" Target="https://www.linkedin.com/learning/service-innovation?trk=ondemandfile" TargetMode="External"/><Relationship Id="rId873" Type="http://schemas.openxmlformats.org/officeDocument/2006/relationships/hyperlink" Target="https://www.linkedin.com/learning/introduction-to-business-analytics?trk=ondemandfile" TargetMode="External"/><Relationship Id="rId1089" Type="http://schemas.openxmlformats.org/officeDocument/2006/relationships/hyperlink" Target="https://www.linkedin.com/learning/consulting-foundations-client-management-and-relationships?trk=ondemandfile" TargetMode="External"/><Relationship Id="rId1296" Type="http://schemas.openxmlformats.org/officeDocument/2006/relationships/hyperlink" Target="https://www.linkedin.com/learning/conducting-tech-interviews?trk=ondemandfile" TargetMode="External"/><Relationship Id="rId2347" Type="http://schemas.openxmlformats.org/officeDocument/2006/relationships/hyperlink" Target="https://www.linkedin.com/learning/hiring-and-supporting-neurodiversity-in-the-workplace?trk=ondemandfile" TargetMode="External"/><Relationship Id="rId2554" Type="http://schemas.openxmlformats.org/officeDocument/2006/relationships/hyperlink" Target="https://www.linkedin.com/learning/mindfulness-a-critical-skill-for-project-managers?trk=ondemandfile" TargetMode="External"/><Relationship Id="rId319" Type="http://schemas.openxmlformats.org/officeDocument/2006/relationships/hyperlink" Target="https://www.linkedin.com/learning/creating-a-connection-culture?trk=ondemandfile" TargetMode="External"/><Relationship Id="rId526" Type="http://schemas.openxmlformats.org/officeDocument/2006/relationships/hyperlink" Target="https://www.linkedin.com/learning/paths/become-a-marketing-manager?trk=ondemandfile" TargetMode="External"/><Relationship Id="rId1156" Type="http://schemas.openxmlformats.org/officeDocument/2006/relationships/hyperlink" Target="https://www.linkedin.com/learning/employee-engagement?trk=ondemandfile" TargetMode="External"/><Relationship Id="rId1363" Type="http://schemas.openxmlformats.org/officeDocument/2006/relationships/hyperlink" Target="https://www.linkedin.com/learning/google-sheets-essential-training-2021?trk=ondemandfile" TargetMode="External"/><Relationship Id="rId2207" Type="http://schemas.openxmlformats.org/officeDocument/2006/relationships/hyperlink" Target="https://www.linkedin.com/learning/working-with-an-executive-coach?trk=ondemandfile" TargetMode="External"/><Relationship Id="rId733" Type="http://schemas.openxmlformats.org/officeDocument/2006/relationships/hyperlink" Target="https://www.linkedin.com/learning/the-secret-to-better-decisions-stop-hoarding-chips?trk=ondemandfile" TargetMode="External"/><Relationship Id="rId940" Type="http://schemas.openxmlformats.org/officeDocument/2006/relationships/hyperlink" Target="https://www.linkedin.com/learning/business-analyst-and-project-manager-collaboration?trk=ondemandfile" TargetMode="External"/><Relationship Id="rId1016" Type="http://schemas.openxmlformats.org/officeDocument/2006/relationships/hyperlink" Target="https://www.linkedin.com/learning/lean-technology-strategy-financial-management-to-support-business-agility?trk=ondemandfile" TargetMode="External"/><Relationship Id="rId1570" Type="http://schemas.openxmlformats.org/officeDocument/2006/relationships/hyperlink" Target="https://www.linkedin.com/learning/jeff-weiner-on-how-to-lead-like-a-ceo?trk=ondemandfile" TargetMode="External"/><Relationship Id="rId2414" Type="http://schemas.openxmlformats.org/officeDocument/2006/relationships/hyperlink" Target="https://www.linkedin.com/learning/awakening-compassion-at-work-blinkist-summary?trk=ondemandfile" TargetMode="External"/><Relationship Id="rId2621" Type="http://schemas.openxmlformats.org/officeDocument/2006/relationships/hyperlink" Target="https://www.linkedin.com/learning/leading-globally?trk=ondemandfile" TargetMode="External"/><Relationship Id="rId800" Type="http://schemas.openxmlformats.org/officeDocument/2006/relationships/hyperlink" Target="https://www.linkedin.com/learning/engagement-preparation-best-practices-for-customer-success-management?trk=ondemandfile" TargetMode="External"/><Relationship Id="rId1223" Type="http://schemas.openxmlformats.org/officeDocument/2006/relationships/hyperlink" Target="https://www.linkedin.com/learning/rolling-out-a-dibs-training-program-in-your-company?trk=ondemandfile" TargetMode="External"/><Relationship Id="rId1430" Type="http://schemas.openxmlformats.org/officeDocument/2006/relationships/hyperlink" Target="https://www.linkedin.com/learning/leading-organizations-ten-timeless-truths-getabstract-summary?trk=ondemandfile" TargetMode="External"/><Relationship Id="rId176" Type="http://schemas.openxmlformats.org/officeDocument/2006/relationships/hyperlink" Target="https://www.linkedin.com/learning/paths/improve-your-coaching-skills-as-a-manager?trk=ondemandfile" TargetMode="External"/><Relationship Id="rId383" Type="http://schemas.openxmlformats.org/officeDocument/2006/relationships/hyperlink" Target="https://www.linkedin.com/learning/social-success-at-work?trk=ondemandfile" TargetMode="External"/><Relationship Id="rId590" Type="http://schemas.openxmlformats.org/officeDocument/2006/relationships/hyperlink" Target="https://www.linkedin.com/learning/marketing-tools-social-media-13951096?trk=ondemandfile" TargetMode="External"/><Relationship Id="rId2064" Type="http://schemas.openxmlformats.org/officeDocument/2006/relationships/hyperlink" Target="https://www.linkedin.com/learning/managing-your-sales-process-2020?trk=ondemandfile" TargetMode="External"/><Relationship Id="rId2271" Type="http://schemas.openxmlformats.org/officeDocument/2006/relationships/hyperlink" Target="https://www.linkedin.com/learning/employee-experience?trk=ondemandfile" TargetMode="External"/><Relationship Id="rId243" Type="http://schemas.openxmlformats.org/officeDocument/2006/relationships/hyperlink" Target="https://www.linkedin.com/learning/leveraging-virtual-and-hybrid-teams-for-improved-effectiveness?trk=ondemandfile" TargetMode="External"/><Relationship Id="rId450" Type="http://schemas.openxmlformats.org/officeDocument/2006/relationships/hyperlink" Target="https://www.linkedin.com/learning/how-to-stand-out-remotely?trk=ondemandfile" TargetMode="External"/><Relationship Id="rId1080" Type="http://schemas.openxmlformats.org/officeDocument/2006/relationships/hyperlink" Target="https://www.linkedin.com/learning/finance-for-non-financial-managers?trk=ondemandfile" TargetMode="External"/><Relationship Id="rId2131" Type="http://schemas.openxmlformats.org/officeDocument/2006/relationships/hyperlink" Target="https://www.linkedin.com/learning/mulitpliers?trk=ondemandfile" TargetMode="External"/><Relationship Id="rId103" Type="http://schemas.openxmlformats.org/officeDocument/2006/relationships/hyperlink" Target="https://www.linkedin.com/learning/agile-software-development-creating-an-agile-culture?trk=ondemandfile" TargetMode="External"/><Relationship Id="rId310" Type="http://schemas.openxmlformats.org/officeDocument/2006/relationships/hyperlink" Target="https://www.linkedin.com/learning/professional-networking?trk=ondemandfile" TargetMode="External"/><Relationship Id="rId1897" Type="http://schemas.openxmlformats.org/officeDocument/2006/relationships/hyperlink" Target="https://www.linkedin.com/learning/software-project-management-foundations?trk=ondemandfile" TargetMode="External"/><Relationship Id="rId1757" Type="http://schemas.openxmlformats.org/officeDocument/2006/relationships/hyperlink" Target="https://www.linkedin.com/learning/revenue-staffing-and-expense-models-explained?trk=ondemandfile" TargetMode="External"/><Relationship Id="rId1964" Type="http://schemas.openxmlformats.org/officeDocument/2006/relationships/hyperlink" Target="https://www.linkedin.com/learning/how-to-manage-lean-six-sigma-projects-part-ii?trk=ondemandfile"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www.linkedin.com/learning/fuhrung-im-vertrieb-limbecks-leadership-lektionen?trk=ondemandfile" TargetMode="External"/><Relationship Id="rId671" Type="http://schemas.openxmlformats.org/officeDocument/2006/relationships/hyperlink" Target="https://www.linkedin.com/learning/00-beurteilung?trk=ondemandfile" TargetMode="External"/><Relationship Id="rId769" Type="http://schemas.openxmlformats.org/officeDocument/2006/relationships/hyperlink" Target="https://www.linkedin.com/learning/agil-arbeiten-reporting-mit-agilen-boards-und-chars?trk=ondemandfile" TargetMode="External"/><Relationship Id="rId976" Type="http://schemas.openxmlformats.org/officeDocument/2006/relationships/hyperlink" Target="https://www.linkedin.com/learning/00-fragenfuehren?trk=ondemandfile" TargetMode="External"/><Relationship Id="rId21" Type="http://schemas.openxmlformats.org/officeDocument/2006/relationships/hyperlink" Target="https://www.linkedin.com/learning/ihre-fuhrungsphilosophie-entwickeln?trk=ondemandfile" TargetMode="External"/><Relationship Id="rId324" Type="http://schemas.openxmlformats.org/officeDocument/2006/relationships/hyperlink" Target="https://www.linkedin.com/learning/google-ads-adwords-optimierung-tools-berichte?trk=ondemandfile" TargetMode="External"/><Relationship Id="rId531" Type="http://schemas.openxmlformats.org/officeDocument/2006/relationships/hyperlink" Target="https://www.linkedin.com/learning/online-und-web-analyse-grundlagen?trk=ondemandfile" TargetMode="External"/><Relationship Id="rId629" Type="http://schemas.openxmlformats.org/officeDocument/2006/relationships/hyperlink" Target="https://www.linkedin.com/learning/fair-fuhren-inclusive-leadership-im-unternehmen-fordern?trk=contentmappingfile" TargetMode="External"/><Relationship Id="rId170" Type="http://schemas.openxmlformats.org/officeDocument/2006/relationships/hyperlink" Target="https://www.linkedin.com/learning/digital-auf-distanz-fuhren-und-ergebnisse-erzielen?trk=contentmappingfile" TargetMode="External"/><Relationship Id="rId836" Type="http://schemas.openxmlformats.org/officeDocument/2006/relationships/hyperlink" Target="https://www.linkedin.com/learning/key-account-management-5?trk=ondemandfile" TargetMode="External"/><Relationship Id="rId268" Type="http://schemas.openxmlformats.org/officeDocument/2006/relationships/hyperlink" Target="https://www.linkedin.com/learning/schlagfertigkeit-nie-wieder-sprachlos?trk=ondemandfile" TargetMode="External"/><Relationship Id="rId475" Type="http://schemas.openxmlformats.org/officeDocument/2006/relationships/hyperlink" Target="https://www.linkedin.com/learning/datenanalyse-mit-r-datenvisualisierung?trk=contentmappingfile" TargetMode="External"/><Relationship Id="rId682" Type="http://schemas.openxmlformats.org/officeDocument/2006/relationships/hyperlink" Target="https://www.linkedin.com/learning/die-unternehmensleistung-messen?trk=ondemandfile" TargetMode="External"/><Relationship Id="rId903" Type="http://schemas.openxmlformats.org/officeDocument/2006/relationships/hyperlink" Target="https://www.linkedin.com/learning/beurteilungsgesprache-fuhren?trk=ondemandfile" TargetMode="External"/><Relationship Id="rId32" Type="http://schemas.openxmlformats.org/officeDocument/2006/relationships/hyperlink" Target="https://www.linkedin.com/learning/00-selbstorganisation-mit-mac?trk=ondemandfile" TargetMode="External"/><Relationship Id="rId128" Type="http://schemas.openxmlformats.org/officeDocument/2006/relationships/hyperlink" Target="https://www.linkedin.com/learning/im-team-kommunizieren?trk=ondemandfile" TargetMode="External"/><Relationship Id="rId335" Type="http://schemas.openxmlformats.org/officeDocument/2006/relationships/hyperlink" Target="https://www.linkedin.com/learning/instagram-kennenlernen?trk=ondemandfile" TargetMode="External"/><Relationship Id="rId542" Type="http://schemas.openxmlformats.org/officeDocument/2006/relationships/hyperlink" Target="https://www.linkedin.com/learning/grundlagen-des-e-commerce-payment?trk=ondemandfile" TargetMode="External"/><Relationship Id="rId987" Type="http://schemas.openxmlformats.org/officeDocument/2006/relationships/hyperlink" Target="https://www.linkedin.com/learning/e-mails-schreiben?trk=ondemandfile" TargetMode="External"/><Relationship Id="rId181" Type="http://schemas.openxmlformats.org/officeDocument/2006/relationships/hyperlink" Target="https://www.linkedin.com/learning/im-team-zusammenarbeiten-mit-microsoft-office-365?trk=ondemandfile" TargetMode="External"/><Relationship Id="rId402" Type="http://schemas.openxmlformats.org/officeDocument/2006/relationships/hyperlink" Target="https://www.linkedin.com/learning/fuhren-mit-innovation?trk=ondemandfile" TargetMode="External"/><Relationship Id="rId847" Type="http://schemas.openxmlformats.org/officeDocument/2006/relationships/hyperlink" Target="https://www.linkedin.com/learning/shopware?trk=ondemandfile" TargetMode="External"/><Relationship Id="rId279" Type="http://schemas.openxmlformats.org/officeDocument/2006/relationships/hyperlink" Target="https://www.linkedin.com/learning/die-leistung-der-mitarbeiter-innen-steigern?trk=ondemandfile" TargetMode="External"/><Relationship Id="rId486" Type="http://schemas.openxmlformats.org/officeDocument/2006/relationships/hyperlink" Target="https://www.linkedin.com/learning/00-excel-2016-power-pivot?trk=ondemandfile" TargetMode="External"/><Relationship Id="rId693" Type="http://schemas.openxmlformats.org/officeDocument/2006/relationships/hyperlink" Target="https://www.linkedin.com/learning/00-projektmanagement-teamfuhrung?trk=ondemandfile" TargetMode="External"/><Relationship Id="rId707" Type="http://schemas.openxmlformats.org/officeDocument/2006/relationships/hyperlink" Target="https://www.linkedin.com/learning/paths/ihr-weg-zum-devops-engineer?trk=ondemandfile" TargetMode="External"/><Relationship Id="rId914" Type="http://schemas.openxmlformats.org/officeDocument/2006/relationships/hyperlink" Target="https://www.linkedin.com/learning/00-kulturskal?trk=ondemandfile" TargetMode="External"/><Relationship Id="rId43" Type="http://schemas.openxmlformats.org/officeDocument/2006/relationships/hyperlink" Target="https://www.linkedin.com/learning/werteorientiertes-management?trk=ondemandfile" TargetMode="External"/><Relationship Id="rId139" Type="http://schemas.openxmlformats.org/officeDocument/2006/relationships/hyperlink" Target="https://www.linkedin.com/learning/multikulturelle-teams-f-hren?trk=ondemandfile" TargetMode="External"/><Relationship Id="rId346" Type="http://schemas.openxmlformats.org/officeDocument/2006/relationships/hyperlink" Target="https://www.linkedin.com/learning/marketing-mit-facebook-werbeanzeigenmanager?trk=ondemandfile" TargetMode="External"/><Relationship Id="rId553" Type="http://schemas.openxmlformats.org/officeDocument/2006/relationships/hyperlink" Target="https://www.linkedin.com/learning/das-personal-der-zukunft?trk=ondemandfile" TargetMode="External"/><Relationship Id="rId760" Type="http://schemas.openxmlformats.org/officeDocument/2006/relationships/hyperlink" Target="https://www.linkedin.com/learning/zahlen-spannend-prasentieren?trk=contentmappingfile" TargetMode="External"/><Relationship Id="rId998" Type="http://schemas.openxmlformats.org/officeDocument/2006/relationships/hyperlink" Target="https://www.linkedin.com/learning/achtsamkeit-im-beruf-durch-meditation-prasenz-und-offenheit?trk=ondemandfile" TargetMode="External"/><Relationship Id="rId192" Type="http://schemas.openxmlformats.org/officeDocument/2006/relationships/hyperlink" Target="https://www.linkedin.com/learning/00-feedback?trk=ondemandfile" TargetMode="External"/><Relationship Id="rId206" Type="http://schemas.openxmlformats.org/officeDocument/2006/relationships/hyperlink" Target="https://www.linkedin.com/learning/sharepoint-online-grundkurs-2?trk=ondemandfile" TargetMode="External"/><Relationship Id="rId413" Type="http://schemas.openxmlformats.org/officeDocument/2006/relationships/hyperlink" Target="https://www.linkedin.com/learning/kreative-ideen-in-10-minuten?trk=ondemandfile" TargetMode="External"/><Relationship Id="rId858" Type="http://schemas.openxmlformats.org/officeDocument/2006/relationships/hyperlink" Target="https://www.linkedin.com/learning/paths/ins-strategische-controlling-einsteigen?trk=ondemandfile" TargetMode="External"/><Relationship Id="rId497" Type="http://schemas.openxmlformats.org/officeDocument/2006/relationships/hyperlink" Target="https://www.linkedin.com/learning/machine-learning-grundkurs?trk=ondemandfile" TargetMode="External"/><Relationship Id="rId620" Type="http://schemas.openxmlformats.org/officeDocument/2006/relationships/hyperlink" Target="https://www.linkedin.com/learning/den-eigenen-fuhrungsstil-entwickeln?trk=ondemandfile" TargetMode="External"/><Relationship Id="rId718" Type="http://schemas.openxmlformats.org/officeDocument/2006/relationships/hyperlink" Target="https://www.linkedin.com/learning/bessere-foliengestaltung-in-powerpoint-tipps-und-tricks?trk=contentmappingfile" TargetMode="External"/><Relationship Id="rId925" Type="http://schemas.openxmlformats.org/officeDocument/2006/relationships/hyperlink" Target="https://www.linkedin.com/learning/active-sourcing?trk=ondemandfile" TargetMode="External"/><Relationship Id="rId357" Type="http://schemas.openxmlformats.org/officeDocument/2006/relationships/hyperlink" Target="https://www.linkedin.com/learning/photoshop-fur-pr-und-interne-externe-kommunikation?trk=ondemandfile" TargetMode="External"/><Relationship Id="rId54" Type="http://schemas.openxmlformats.org/officeDocument/2006/relationships/hyperlink" Target="https://www.linkedin.com/learning/paths/innovation-fordern?trk=ondemandfile" TargetMode="External"/><Relationship Id="rId217" Type="http://schemas.openxmlformats.org/officeDocument/2006/relationships/hyperlink" Target="https://www.linkedin.com/learning/besprechungen-moderieren?trk=ondemandfile" TargetMode="External"/><Relationship Id="rId564" Type="http://schemas.openxmlformats.org/officeDocument/2006/relationships/hyperlink" Target="https://www.linkedin.com/learning/00-feedback?trk=ondemandfile" TargetMode="External"/><Relationship Id="rId771" Type="http://schemas.openxmlformats.org/officeDocument/2006/relationships/hyperlink" Target="https://www.linkedin.com/learning/agil-arbeiten-vom-wasserfall-zum-agilen-projektmanagement?trk=ondemandfile" TargetMode="External"/><Relationship Id="rId869" Type="http://schemas.openxmlformats.org/officeDocument/2006/relationships/hyperlink" Target="https://www.linkedin.com/learning/ein-agiles-mindset-entwickeln?trk=ondemandfile" TargetMode="External"/><Relationship Id="rId424" Type="http://schemas.openxmlformats.org/officeDocument/2006/relationships/hyperlink" Target="https://www.linkedin.com/learning/00-urteilsvermogen?trk=ondemandfile" TargetMode="External"/><Relationship Id="rId631" Type="http://schemas.openxmlformats.org/officeDocument/2006/relationships/hyperlink" Target="https://www.linkedin.com/learning/fuhren-mit-emotionaler-intelligenz-16505108?trk=contentmappingfile" TargetMode="External"/><Relationship Id="rId729" Type="http://schemas.openxmlformats.org/officeDocument/2006/relationships/hyperlink" Target="https://www.linkedin.com/learning/in-medieninterviews-uberzeugen?trk=ondemandfile" TargetMode="External"/><Relationship Id="rId270" Type="http://schemas.openxmlformats.org/officeDocument/2006/relationships/hyperlink" Target="https://www.linkedin.com/learning/souveran-auftreten-und-uberzeugend-kommunizieren?trk=contentmappingfile" TargetMode="External"/><Relationship Id="rId936" Type="http://schemas.openxmlformats.org/officeDocument/2006/relationships/hyperlink" Target="https://www.linkedin.com/learning/beurteilungsgesprache-fuhren?trk=ondemandfile" TargetMode="External"/><Relationship Id="rId65" Type="http://schemas.openxmlformats.org/officeDocument/2006/relationships/hyperlink" Target="https://www.linkedin.com/learning/empathie-und-kreativitat-als-neue-schlusselkompetenzen?trk=ondemandfile" TargetMode="External"/><Relationship Id="rId130" Type="http://schemas.openxmlformats.org/officeDocument/2006/relationships/hyperlink" Target="https://www.linkedin.com/learning/korpersprache-fur-frauen?trk=ondemandfile" TargetMode="External"/><Relationship Id="rId368" Type="http://schemas.openxmlformats.org/officeDocument/2006/relationships/hyperlink" Target="https://www.linkedin.com/learning/seo-praktische-tipps-fur-online-marketing-manager-innen?trk=contentmappingfile" TargetMode="External"/><Relationship Id="rId575" Type="http://schemas.openxmlformats.org/officeDocument/2006/relationships/hyperlink" Target="https://www.linkedin.com/learning/wertschatzende-kommunikation-trotz-unterschieden-erfolgreich-kommunizieren?trk=contentmappingfile" TargetMode="External"/><Relationship Id="rId782" Type="http://schemas.openxmlformats.org/officeDocument/2006/relationships/hyperlink" Target="https://www.linkedin.com/learning/00-design-thinking?trk=ondemandfile" TargetMode="External"/><Relationship Id="rId228" Type="http://schemas.openxmlformats.org/officeDocument/2006/relationships/hyperlink" Target="https://www.linkedin.com/learning/e-mails-schreiben?trk=ondemandfile" TargetMode="External"/><Relationship Id="rId435" Type="http://schemas.openxmlformats.org/officeDocument/2006/relationships/hyperlink" Target="https://www.linkedin.com/learning/00-ohnmaechtig?trk=ondemandfile" TargetMode="External"/><Relationship Id="rId642" Type="http://schemas.openxmlformats.org/officeDocument/2006/relationships/hyperlink" Target="https://www.linkedin.com/learning/gesund-fuhren?trk=contentmappingfile" TargetMode="External"/><Relationship Id="rId281" Type="http://schemas.openxmlformats.org/officeDocument/2006/relationships/hyperlink" Target="https://www.linkedin.com/learning/effective-listening-2?trk=ondemandfile" TargetMode="External"/><Relationship Id="rId502" Type="http://schemas.openxmlformats.org/officeDocument/2006/relationships/hyperlink" Target="https://www.linkedin.com/learning/minitab-lernen?trk=ondemandfile" TargetMode="External"/><Relationship Id="rId947" Type="http://schemas.openxmlformats.org/officeDocument/2006/relationships/hyperlink" Target="https://www.linkedin.com/learning/mit-schwierigen-mitarbeiter-innen-umgehen?trk=ondemandfile" TargetMode="External"/><Relationship Id="rId76" Type="http://schemas.openxmlformats.org/officeDocument/2006/relationships/hyperlink" Target="https://www.linkedin.com/learning/ai-und-psychologie-angste-und-hurden-uberwinden?trk=ondemandfile" TargetMode="External"/><Relationship Id="rId141" Type="http://schemas.openxmlformats.org/officeDocument/2006/relationships/hyperlink" Target="https://www.linkedin.com/learning/00-onboarding?trk=ondemandfile" TargetMode="External"/><Relationship Id="rId379" Type="http://schemas.openxmlformats.org/officeDocument/2006/relationships/hyperlink" Target="https://www.linkedin.com/learning/tiktok-fur-unternehmen-und-start-ups?trk=contentmappingfile" TargetMode="External"/><Relationship Id="rId586" Type="http://schemas.openxmlformats.org/officeDocument/2006/relationships/hyperlink" Target="https://www.linkedin.com/learning/change-management-grundlagen?trk=ondemandfile" TargetMode="External"/><Relationship Id="rId793" Type="http://schemas.openxmlformats.org/officeDocument/2006/relationships/hyperlink" Target="https://www.linkedin.com/learning/project-2013-grundkurs?trk=ondemandfile" TargetMode="External"/><Relationship Id="rId807" Type="http://schemas.openxmlformats.org/officeDocument/2006/relationships/hyperlink" Target="https://www.linkedin.com/learning/00-pm-steuer?trk=ondemandfile" TargetMode="External"/><Relationship Id="rId7" Type="http://schemas.openxmlformats.org/officeDocument/2006/relationships/hyperlink" Target="https://www.linkedin.com/learning/aufschieberitis-berwinden?trk=ondemandfile" TargetMode="External"/><Relationship Id="rId239" Type="http://schemas.openxmlformats.org/officeDocument/2006/relationships/hyperlink" Target="https://www.linkedin.com/learning/ihre-kompetenz-sichtbar-machen?trk=ondemandfile" TargetMode="External"/><Relationship Id="rId446" Type="http://schemas.openxmlformats.org/officeDocument/2006/relationships/hyperlink" Target="https://www.linkedin.com/learning/effective-listening-2?trk=ondemandfile" TargetMode="External"/><Relationship Id="rId653" Type="http://schemas.openxmlformats.org/officeDocument/2006/relationships/hyperlink" Target="https://www.linkedin.com/learning/mit-schwierigen-mitarbeiter-innen-umgehen?trk=ondemandfile" TargetMode="External"/><Relationship Id="rId292" Type="http://schemas.openxmlformats.org/officeDocument/2006/relationships/hyperlink" Target="https://www.linkedin.com/learning/mit-schwierigen-kunden-umgehen?trk=ondemandfile" TargetMode="External"/><Relationship Id="rId306" Type="http://schemas.openxmlformats.org/officeDocument/2006/relationships/hyperlink" Target="https://www.linkedin.com/learning/c-c-chapman-content-marketing-und-die-kunst-des-storytelling?trk=ondemandfile" TargetMode="External"/><Relationship Id="rId860" Type="http://schemas.openxmlformats.org/officeDocument/2006/relationships/hyperlink" Target="https://www.linkedin.com/learning/paths/innovation-fordern?trk=ondemandfile?trk=ondemandfile" TargetMode="External"/><Relationship Id="rId958" Type="http://schemas.openxmlformats.org/officeDocument/2006/relationships/hyperlink" Target="https://de.linkedin.com/learning/paths/diversitat-inklusion-und-zugehorigkeit-im-unternehmen-schaffen?trk=ondemandfile" TargetMode="External"/><Relationship Id="rId87" Type="http://schemas.openxmlformats.org/officeDocument/2006/relationships/hyperlink" Target="https://www.linkedin.com/learning/veranderungen-im-beruf-erfolgreich-bewaltigen?trk=ondemandfile" TargetMode="External"/><Relationship Id="rId513" Type="http://schemas.openxmlformats.org/officeDocument/2006/relationships/hyperlink" Target="https://www.linkedin.com/learning/python-geometrische-berechnungen?trk=ondemandfile" TargetMode="External"/><Relationship Id="rId597" Type="http://schemas.openxmlformats.org/officeDocument/2006/relationships/hyperlink" Target="https://www.linkedin.com/learning/fuhrung-in-zeiten-von-unsicherheit?trk=ondemandfile" TargetMode="External"/><Relationship Id="rId720" Type="http://schemas.openxmlformats.org/officeDocument/2006/relationships/hyperlink" Target="https://www.linkedin.com/learning/00-auftritt-weekly?trk=ondemandfile" TargetMode="External"/><Relationship Id="rId818" Type="http://schemas.openxmlformats.org/officeDocument/2006/relationships/hyperlink" Target="https://www.linkedin.com/learning/als-kundenservice-manager-in-die-erwartung-der-kundschaft-steuern?trk=ondemandfile" TargetMode="External"/><Relationship Id="rId152" Type="http://schemas.openxmlformats.org/officeDocument/2006/relationships/hyperlink" Target="https://www.linkedin.com/learning/00-leading-change?trk=ondemandfile" TargetMode="External"/><Relationship Id="rId457" Type="http://schemas.openxmlformats.org/officeDocument/2006/relationships/hyperlink" Target="https://www.linkedin.com/learning/qualitatsstandard-im-kundenservice?trk=ondemandfile" TargetMode="External"/><Relationship Id="rId1003" Type="http://schemas.openxmlformats.org/officeDocument/2006/relationships/hyperlink" Target="https://www.linkedin.com/learning/eine-nachhaltige-work-life-balance-etablieren?trk=ondemandfile" TargetMode="External"/><Relationship Id="rId664" Type="http://schemas.openxmlformats.org/officeDocument/2006/relationships/hyperlink" Target="https://www.linkedin.com/learning/systemisch-fuhren?trk=ondemandfile" TargetMode="External"/><Relationship Id="rId871" Type="http://schemas.openxmlformats.org/officeDocument/2006/relationships/hyperlink" Target="https://www.linkedin.com/learning/einen-marketingplan-schreiben?trk=ondemandfile" TargetMode="External"/><Relationship Id="rId969" Type="http://schemas.openxmlformats.org/officeDocument/2006/relationships/hyperlink" Target="https://www.linkedin.com/learning/00-anteilmanag?trk=ondemandfile" TargetMode="External"/><Relationship Id="rId14" Type="http://schemas.openxmlformats.org/officeDocument/2006/relationships/hyperlink" Target="https://www.linkedin.com/learning/die-leistung-der-mitarbeiter-innen-steigern?trk=ondemandfile" TargetMode="External"/><Relationship Id="rId317" Type="http://schemas.openxmlformats.org/officeDocument/2006/relationships/hyperlink" Target="https://www.linkedin.com/learning/disrupt-yourself-erfinden-sie-sich-neu?trk=ondemandfile" TargetMode="External"/><Relationship Id="rId524" Type="http://schemas.openxmlformats.org/officeDocument/2006/relationships/hyperlink" Target="https://www.linkedin.com/learning/00-analysis-services?trk=ondemandfile" TargetMode="External"/><Relationship Id="rId731" Type="http://schemas.openxmlformats.org/officeDocument/2006/relationships/hyperlink" Target="https://www.linkedin.com/learning/korpersprache-fur-frauen?trk=ondemandfile" TargetMode="External"/><Relationship Id="rId98" Type="http://schemas.openxmlformats.org/officeDocument/2006/relationships/hyperlink" Target="https://www.linkedin.com/learning/paths/leistungsorientiertes-management" TargetMode="External"/><Relationship Id="rId163" Type="http://schemas.openxmlformats.org/officeDocument/2006/relationships/hyperlink" Target="https://de.linkedin.com/learning/paths/digitaler-arbeitsplatz-tools-fur-die-zusammenarbeit" TargetMode="External"/><Relationship Id="rId370" Type="http://schemas.openxmlformats.org/officeDocument/2006/relationships/hyperlink" Target="https://www.linkedin.com/learning/seo-gerechte-texte?trk=ondemandfile" TargetMode="External"/><Relationship Id="rId829" Type="http://schemas.openxmlformats.org/officeDocument/2006/relationships/hyperlink" Target="https://www.linkedin.com/learning/e-commerce-recht-grundlagen?trk=ondemandfile" TargetMode="External"/><Relationship Id="rId1014" Type="http://schemas.openxmlformats.org/officeDocument/2006/relationships/hyperlink" Target="https://www.linkedin.com/learning/resilienz-in-krisenzeiten?trk=ondemandfile" TargetMode="External"/><Relationship Id="rId230" Type="http://schemas.openxmlformats.org/officeDocument/2006/relationships/hyperlink" Target="https://www.linkedin.com/learning/erfolgreich-verhandeln-mit-dem-harvard-konzept?trk=ondemandfile" TargetMode="External"/><Relationship Id="rId468" Type="http://schemas.openxmlformats.org/officeDocument/2006/relationships/hyperlink" Target="https://www.linkedin.com/learning/data-science-grundlagen-eine-einfuhrung?trk=ondemandfile" TargetMode="External"/><Relationship Id="rId675" Type="http://schemas.openxmlformats.org/officeDocument/2006/relationships/hyperlink" Target="https://www.linkedin.com/learning/paths/teams-aufbauen-und-fuehren?trk=ondemandfile" TargetMode="External"/><Relationship Id="rId882" Type="http://schemas.openxmlformats.org/officeDocument/2006/relationships/hyperlink" Target="https://www.linkedin.com/learning/kunstliche-intelligenz-strategie-und-kommunikation-im-unternehmen?trk=ondemandfile" TargetMode="External"/><Relationship Id="rId25" Type="http://schemas.openxmlformats.org/officeDocument/2006/relationships/hyperlink" Target="https://www.linkedin.com/learning/modernes-leistungsmanagement?trk=ondemandfile" TargetMode="External"/><Relationship Id="rId328" Type="http://schemas.openxmlformats.org/officeDocument/2006/relationships/hyperlink" Target="https://www.linkedin.com/learning/growth-hacking-grundlagen?trk=ondemandfile" TargetMode="External"/><Relationship Id="rId535" Type="http://schemas.openxmlformats.org/officeDocument/2006/relationships/hyperlink" Target="https://www.linkedin.com/learning/businessplan-f-r-ihr-unternehmen?trk=ondemandfile" TargetMode="External"/><Relationship Id="rId742" Type="http://schemas.openxmlformats.org/officeDocument/2006/relationships/hyperlink" Target="https://www.linkedin.com/learning/powerpoint-tabellen?trk=ondemandfile" TargetMode="External"/><Relationship Id="rId174" Type="http://schemas.openxmlformats.org/officeDocument/2006/relationships/hyperlink" Target="https://www.linkedin.com/learning/effective-listening-2?trk=ondemandfile" TargetMode="External"/><Relationship Id="rId381" Type="http://schemas.openxmlformats.org/officeDocument/2006/relationships/hyperlink" Target="https://www.linkedin.com/learning/vermarktung-und-pr-sentation-f-r-fotografen?trk=ondemandfile" TargetMode="External"/><Relationship Id="rId602" Type="http://schemas.openxmlformats.org/officeDocument/2006/relationships/hyperlink" Target="https://www.linkedin.com/learning/projektmanagement-anderungsmanagement?trk=ondemandfile" TargetMode="External"/><Relationship Id="rId241" Type="http://schemas.openxmlformats.org/officeDocument/2006/relationships/hyperlink" Target="https://www.linkedin.com/learning/im-team-kommunizieren?trk=ondemandfile" TargetMode="External"/><Relationship Id="rId479" Type="http://schemas.openxmlformats.org/officeDocument/2006/relationships/hyperlink" Target="https://www.linkedin.com/learning/excel-2010-power-pivot?trk=ondemandfile" TargetMode="External"/><Relationship Id="rId686" Type="http://schemas.openxmlformats.org/officeDocument/2006/relationships/hyperlink" Target="https://www.linkedin.com/learning/hochleistungsteams-aufbauen?trk=ondemandfile" TargetMode="External"/><Relationship Id="rId893" Type="http://schemas.openxmlformats.org/officeDocument/2006/relationships/hyperlink" Target="https://www.linkedin.com/learning/strategisches-controlling-ein-uberblick?trk=ondemandfile" TargetMode="External"/><Relationship Id="rId907" Type="http://schemas.openxmlformats.org/officeDocument/2006/relationships/hyperlink" Target="https://www.linkedin.com/learning/00-teamkreativitat?trk=ondemandfile" TargetMode="External"/><Relationship Id="rId36" Type="http://schemas.openxmlformats.org/officeDocument/2006/relationships/hyperlink" Target="https://www.linkedin.com/learning/sich-selbst-fuhren?trk=ondemandfile" TargetMode="External"/><Relationship Id="rId339" Type="http://schemas.openxmlformats.org/officeDocument/2006/relationships/hyperlink" Target="https://www.linkedin.com/learning/lean-digital-marketing?trk=ondemandfile" TargetMode="External"/><Relationship Id="rId546" Type="http://schemas.openxmlformats.org/officeDocument/2006/relationships/hyperlink" Target="https://www.linkedin.com/learning/11731ecd-ff9a-3036-be55-55edd14aa971?trk=ondemandfile" TargetMode="External"/><Relationship Id="rId753" Type="http://schemas.openxmlformats.org/officeDocument/2006/relationships/hyperlink" Target="https://www.linkedin.com/learning/schlagfertigkeit-fur-fortgeschrittene?trk=ondemandfile" TargetMode="External"/><Relationship Id="rId101" Type="http://schemas.openxmlformats.org/officeDocument/2006/relationships/hyperlink" Target="https://www.linkedin.com/learning/besprechungen-moderieren?trk=ondemandfile" TargetMode="External"/><Relationship Id="rId185" Type="http://schemas.openxmlformats.org/officeDocument/2006/relationships/hyperlink" Target="https://www.linkedin.com/learning/konfliktlosung-grundlagen?trk=ondemandfile" TargetMode="External"/><Relationship Id="rId406" Type="http://schemas.openxmlformats.org/officeDocument/2006/relationships/hyperlink" Target="https://www.linkedin.com/learning/innovative-techniken-im-kundenservice?trk=ondemandfile" TargetMode="External"/><Relationship Id="rId960" Type="http://schemas.openxmlformats.org/officeDocument/2006/relationships/hyperlink" Target="https://www.linkedin.com/learning/paths/frauen-in-fuhrungspositionen?trk=ondemandfile" TargetMode="External"/><Relationship Id="rId392" Type="http://schemas.openxmlformats.org/officeDocument/2006/relationships/hyperlink" Target="https://www.linkedin.com/learning/paths/innovation-fordern?trk=ondemandfile" TargetMode="External"/><Relationship Id="rId613" Type="http://schemas.openxmlformats.org/officeDocument/2006/relationships/hyperlink" Target="https://www.linkedin.com/learning/paths/fuehrungsqualitten-entwickeln?trk=ondemandfile" TargetMode="External"/><Relationship Id="rId697" Type="http://schemas.openxmlformats.org/officeDocument/2006/relationships/hyperlink" Target="https://www.linkedin.com/learning/00-teams-bilden?trk=ondemandfile" TargetMode="External"/><Relationship Id="rId820" Type="http://schemas.openxmlformats.org/officeDocument/2006/relationships/hyperlink" Target="https://www.linkedin.com/learning/als-kundenservice-mitarbeiter-in-die-erwartung-der-kundschaft-steuern?trk=ondemandfile" TargetMode="External"/><Relationship Id="rId918" Type="http://schemas.openxmlformats.org/officeDocument/2006/relationships/hyperlink" Target="https://www.linkedin.com/learning/00-mitarbeiter-entickeln?trk=ondemandfile" TargetMode="External"/><Relationship Id="rId252" Type="http://schemas.openxmlformats.org/officeDocument/2006/relationships/hyperlink" Target="https://www.linkedin.com/learning/korpersprache-fur-frauen?trk=ondemandfile" TargetMode="External"/><Relationship Id="rId47" Type="http://schemas.openxmlformats.org/officeDocument/2006/relationships/hyperlink" Target="https://www.linkedin.com/learning/ziele-fur-mitarbeiter-innen-und-teams-setzen?trk=ondemandfile" TargetMode="External"/><Relationship Id="rId112" Type="http://schemas.openxmlformats.org/officeDocument/2006/relationships/hyperlink" Target="https://www.linkedin.com/learning/expert-innen-fuhren?trk=ondemandfile" TargetMode="External"/><Relationship Id="rId557" Type="http://schemas.openxmlformats.org/officeDocument/2006/relationships/hyperlink" Target="https://www.linkedin.com/learning/employer-branding-grundlagen?trk=contentmappingfile" TargetMode="External"/><Relationship Id="rId764" Type="http://schemas.openxmlformats.org/officeDocument/2006/relationships/hyperlink" Target="https://www.linkedin.com/learning/paths/agile-r-projektmanager-in-werden?trk=ondemandfile" TargetMode="External"/><Relationship Id="rId971" Type="http://schemas.openxmlformats.org/officeDocument/2006/relationships/hyperlink" Target="https://www.linkedin.com/learning/multikulturelle-teams-f-hren?trk=ondemandfile" TargetMode="External"/><Relationship Id="rId196" Type="http://schemas.openxmlformats.org/officeDocument/2006/relationships/hyperlink" Target="https://www.linkedin.com/learning/online-arbeiten-allein-und-im-team?trk=contentmappingfile" TargetMode="External"/><Relationship Id="rId417" Type="http://schemas.openxmlformats.org/officeDocument/2006/relationships/hyperlink" Target="https://www.linkedin.com/learning/aus-misserfolgen-lernen?trk=ondemandfile" TargetMode="External"/><Relationship Id="rId624" Type="http://schemas.openxmlformats.org/officeDocument/2006/relationships/hyperlink" Target="https://www.linkedin.com/learning/ein-team-im-kundenservice-leiten?trk=ondemandfile" TargetMode="External"/><Relationship Id="rId831" Type="http://schemas.openxmlformats.org/officeDocument/2006/relationships/hyperlink" Target="https://www.linkedin.com/learning/bei-anruf-termin?trk=ondemandfile" TargetMode="External"/><Relationship Id="rId263" Type="http://schemas.openxmlformats.org/officeDocument/2006/relationships/hyperlink" Target="https://www.linkedin.com/learning/neuro-linguistisches-programmieren-nlp-fur-einsteiger-und-neugierige?trk=ondemandfile" TargetMode="External"/><Relationship Id="rId470" Type="http://schemas.openxmlformats.org/officeDocument/2006/relationships/hyperlink" Target="https://www.linkedin.com/learning/data-science-lernen-die-grundlagen-verstehen?trk=ondemandfile" TargetMode="External"/><Relationship Id="rId929" Type="http://schemas.openxmlformats.org/officeDocument/2006/relationships/hyperlink" Target="https://www.linkedin.com/learning/potenzialtrager-fuhren?trk=ondemandfile" TargetMode="External"/><Relationship Id="rId58" Type="http://schemas.openxmlformats.org/officeDocument/2006/relationships/hyperlink" Target="https://www.linkedin.com/learning/aus-misserfolgen-lernen?trk=ondemandfile" TargetMode="External"/><Relationship Id="rId123" Type="http://schemas.openxmlformats.org/officeDocument/2006/relationships/hyperlink" Target="https://www.linkedin.com/learning/grundlagen-von-fuhrung-2?trk=ondemandfile" TargetMode="External"/><Relationship Id="rId330" Type="http://schemas.openxmlformats.org/officeDocument/2006/relationships/hyperlink" Target="https://www.linkedin.com/learning/ihr-optimales-linkedin-unternehmensprofil?trk=ondemandfile" TargetMode="External"/><Relationship Id="rId568" Type="http://schemas.openxmlformats.org/officeDocument/2006/relationships/hyperlink" Target="https://www.linkedin.com/learning/personalwesen-onboarding-programme-durchfuhren?trk=ondemandfile" TargetMode="External"/><Relationship Id="rId775" Type="http://schemas.openxmlformats.org/officeDocument/2006/relationships/hyperlink" Target="https://www.linkedin.com/learning/arduino-f-r-einsteiger?trk=ondemandfile" TargetMode="External"/><Relationship Id="rId982" Type="http://schemas.openxmlformats.org/officeDocument/2006/relationships/hyperlink" Target="https://www.linkedin.com/learning/corporate-blogs-grundlagen-2?trk=ondemandfile" TargetMode="External"/><Relationship Id="rId428" Type="http://schemas.openxmlformats.org/officeDocument/2006/relationships/hyperlink" Target="https://www.linkedin.com/learning/mit-fragen-kritisches-denken-und-neugierde-fordern?trk=ondemandfile" TargetMode="External"/><Relationship Id="rId635" Type="http://schemas.openxmlformats.org/officeDocument/2006/relationships/hyperlink" Target="https://www.linkedin.com/learning/fuhrung-im-team-warum-teams-die-besseren-fuhrungskrafte-sind?trk=contentmappingfile" TargetMode="External"/><Relationship Id="rId842" Type="http://schemas.openxmlformats.org/officeDocument/2006/relationships/hyperlink" Target="https://www.linkedin.com/learning/neue-kunden-finden?trk=ondemandfile" TargetMode="External"/><Relationship Id="rId274" Type="http://schemas.openxmlformats.org/officeDocument/2006/relationships/hyperlink" Target="https://www.linkedin.com/learning/treffende-texte?trk=ondemandfile" TargetMode="External"/><Relationship Id="rId481" Type="http://schemas.openxmlformats.org/officeDocument/2006/relationships/hyperlink" Target="https://www.linkedin.com/learning/excel-2016-daten-abrufen-und-transformieren?trk=ondemandfile" TargetMode="External"/><Relationship Id="rId702" Type="http://schemas.openxmlformats.org/officeDocument/2006/relationships/hyperlink" Target="https://www.linkedin.com/learning/azure-devops-grundkurs?trk=ondemandfile" TargetMode="External"/><Relationship Id="rId69" Type="http://schemas.openxmlformats.org/officeDocument/2006/relationships/hyperlink" Target="https://www.linkedin.com/learning/growth-mindset-personlicher-erfolg-und-wachstum-durch-ein-dynamisches-selbstbild?trk=ondemandfile" TargetMode="External"/><Relationship Id="rId134" Type="http://schemas.openxmlformats.org/officeDocument/2006/relationships/hyperlink" Target="https://www.linkedin.com/learning/00-mitarbeiter-entickeln?trk=ondemandfile" TargetMode="External"/><Relationship Id="rId579" Type="http://schemas.openxmlformats.org/officeDocument/2006/relationships/hyperlink" Target="https://www.linkedin.com/learning/paths/durch-veranderungsprozesse-fuhren?trk=ondemandfile" TargetMode="External"/><Relationship Id="rId786" Type="http://schemas.openxmlformats.org/officeDocument/2006/relationships/hyperlink" Target="https://www.linkedin.com/learning/gantt-diagramme-nutzen?trk=ondemandfile" TargetMode="External"/><Relationship Id="rId993" Type="http://schemas.openxmlformats.org/officeDocument/2006/relationships/hyperlink" Target="https://www.linkedin.com/learning/treffende-texte?trk=ondemandfile" TargetMode="External"/><Relationship Id="rId341" Type="http://schemas.openxmlformats.org/officeDocument/2006/relationships/hyperlink" Target="https://www.linkedin.com/learning/00-linkedin-sponsored-im?trk=ondemandfile" TargetMode="External"/><Relationship Id="rId439" Type="http://schemas.openxmlformats.org/officeDocument/2006/relationships/hyperlink" Target="https://www.linkedin.com/learning/als-kundenservice-mitarbeiter-in-die-erwartung-der-kundschaft-steuern?trk=ondemandfile" TargetMode="External"/><Relationship Id="rId646" Type="http://schemas.openxmlformats.org/officeDocument/2006/relationships/hyperlink" Target="https://www.linkedin.com/learning/00-anteilmanag?trk=ondemandfile" TargetMode="External"/><Relationship Id="rId201" Type="http://schemas.openxmlformats.org/officeDocument/2006/relationships/hyperlink" Target="https://www.linkedin.com/learning/projektmanagement-ethik-und-compliance?trk=ondemandfile" TargetMode="External"/><Relationship Id="rId285" Type="http://schemas.openxmlformats.org/officeDocument/2006/relationships/hyperlink" Target="https://www.linkedin.com/learning/00-mediation?trk=ondemandfile" TargetMode="External"/><Relationship Id="rId506" Type="http://schemas.openxmlformats.org/officeDocument/2006/relationships/hyperlink" Target="https://www.linkedin.com/learning/power-bi-desktop-grundkurs?trk=ondemandfile" TargetMode="External"/><Relationship Id="rId853" Type="http://schemas.openxmlformats.org/officeDocument/2006/relationships/hyperlink" Target="https://www.linkedin.com/learning/59fb67c0-ba5b-3770-b982-3aab3ae1262e?trk=ondemandfile" TargetMode="External"/><Relationship Id="rId492" Type="http://schemas.openxmlformats.org/officeDocument/2006/relationships/hyperlink" Target="https://www.linkedin.com/learning/excel-pivot-tabellen-fur-einsteiger?trk=contentmappingfile" TargetMode="External"/><Relationship Id="rId713" Type="http://schemas.openxmlformats.org/officeDocument/2006/relationships/hyperlink" Target="https://www.linkedin.com/learning/six-sigma-black-belt-3?trk=ondemandfile" TargetMode="External"/><Relationship Id="rId797" Type="http://schemas.openxmlformats.org/officeDocument/2006/relationships/hyperlink" Target="https://www.linkedin.com/learning/projektmanagement-ethik-und-compliance?trk=ondemandfile" TargetMode="External"/><Relationship Id="rId920" Type="http://schemas.openxmlformats.org/officeDocument/2006/relationships/hyperlink" Target="https://www.linkedin.com/learning/mitarbeiter-innen-motivieren?trk=ondemandfile" TargetMode="External"/><Relationship Id="rId145" Type="http://schemas.openxmlformats.org/officeDocument/2006/relationships/hyperlink" Target="https://www.linkedin.com/learning/storytelling-fur-fuhrungskrafte?trk=ondemandfile" TargetMode="External"/><Relationship Id="rId352" Type="http://schemas.openxmlformats.org/officeDocument/2006/relationships/hyperlink" Target="https://www.linkedin.com/learning/marketing-strategien-das-online-marketing-cockpit?trk=ondemandfile" TargetMode="External"/><Relationship Id="rId212" Type="http://schemas.openxmlformats.org/officeDocument/2006/relationships/hyperlink" Target="https://www.linkedin.com/learning/paths/besser-kommunizieren?trk=ondemandfile" TargetMode="External"/><Relationship Id="rId657" Type="http://schemas.openxmlformats.org/officeDocument/2006/relationships/hyperlink" Target="https://www.linkedin.com/learning/00-projektmanagement-teamfuhrung?trk=ondemandfile" TargetMode="External"/><Relationship Id="rId864" Type="http://schemas.openxmlformats.org/officeDocument/2006/relationships/hyperlink" Target="https://www.linkedin.com/learning/der-weg-zu-den-besten-blinkist-kernaussagen?trk=ondemandfile" TargetMode="External"/><Relationship Id="rId296" Type="http://schemas.openxmlformats.org/officeDocument/2006/relationships/hyperlink" Target="https://www.linkedin.com/learning/00-projektmanagement-teamfuhrung?trk=ondemandfile" TargetMode="External"/><Relationship Id="rId517" Type="http://schemas.openxmlformats.org/officeDocument/2006/relationships/hyperlink" Target="https://www.linkedin.com/learning/relationale-algebra-mit-mysql?trk=ondemandfile" TargetMode="External"/><Relationship Id="rId724" Type="http://schemas.openxmlformats.org/officeDocument/2006/relationships/hyperlink" Target="https://www.linkedin.com/learning/die-erfolgreiche-verkaufsprasentation?trk=ondemandfile" TargetMode="External"/><Relationship Id="rId931" Type="http://schemas.openxmlformats.org/officeDocument/2006/relationships/hyperlink" Target="https://www.linkedin.com/learning/00-teams-bilden?trk=ondemandfile" TargetMode="External"/><Relationship Id="rId60" Type="http://schemas.openxmlformats.org/officeDocument/2006/relationships/hyperlink" Target="https://www.linkedin.com/learning/change-management-grundlagen?trk=ondemandfile" TargetMode="External"/><Relationship Id="rId156" Type="http://schemas.openxmlformats.org/officeDocument/2006/relationships/hyperlink" Target="https://www.linkedin.com/learning/00-ohnmaechtig?trk=ondemandfile" TargetMode="External"/><Relationship Id="rId363" Type="http://schemas.openxmlformats.org/officeDocument/2006/relationships/hyperlink" Target="https://www.linkedin.com/learning/bildgestaltung2?trk=ondemandfile" TargetMode="External"/><Relationship Id="rId570" Type="http://schemas.openxmlformats.org/officeDocument/2006/relationships/hyperlink" Target="https://www.linkedin.com/learning/recruiting-grundlagen?trk=ondemandfile" TargetMode="External"/><Relationship Id="rId1007" Type="http://schemas.openxmlformats.org/officeDocument/2006/relationships/hyperlink" Target="https://www.linkedin.com/learning/mentale-starke-fur-mehr-erfolg-im-beruf?trk=ondemandfile" TargetMode="External"/><Relationship Id="rId223" Type="http://schemas.openxmlformats.org/officeDocument/2006/relationships/hyperlink" Target="https://www.linkedin.com/learning/corporate-blogs-grundlagen-2?trk=ondemandfile" TargetMode="External"/><Relationship Id="rId430" Type="http://schemas.openxmlformats.org/officeDocument/2006/relationships/hyperlink" Target="https://www.linkedin.com/learning/strategisches-denken?trk=ondemandfile" TargetMode="External"/><Relationship Id="rId668" Type="http://schemas.openxmlformats.org/officeDocument/2006/relationships/hyperlink" Target="https://www.linkedin.com/learning/unconscious-bias-unbewusste-denkmuster-erkennen-und-andern?trk=ondemandfile" TargetMode="External"/><Relationship Id="rId875" Type="http://schemas.openxmlformats.org/officeDocument/2006/relationships/hyperlink" Target="https://www.linkedin.com/learning/fuhren-mit-innovation?trk=ondemandfile" TargetMode="External"/><Relationship Id="rId18" Type="http://schemas.openxmlformats.org/officeDocument/2006/relationships/hyperlink" Target="https://www.linkedin.com/learning/00-ergebnis-manag?trk=ondemandfile" TargetMode="External"/><Relationship Id="rId528" Type="http://schemas.openxmlformats.org/officeDocument/2006/relationships/hyperlink" Target="https://www.linkedin.com/learning/statistik-1?trk=ondemandfile" TargetMode="External"/><Relationship Id="rId735" Type="http://schemas.openxmlformats.org/officeDocument/2006/relationships/hyperlink" Target="https://www.linkedin.com/learning/powerpoint-365-grundkurs?trk=ondemandfile" TargetMode="External"/><Relationship Id="rId942" Type="http://schemas.openxmlformats.org/officeDocument/2006/relationships/hyperlink" Target="https://www.linkedin.com/learning/eine-hochleistungskultur-schaffen?trk=ondemandfile" TargetMode="External"/><Relationship Id="rId167" Type="http://schemas.openxmlformats.org/officeDocument/2006/relationships/hyperlink" Target="https://www.linkedin.com/learning/die-10-stufen-des-zuhorens-die-eigene-zuhorkompetenz-ausbauen?trk=ondemandfile" TargetMode="External"/><Relationship Id="rId374" Type="http://schemas.openxmlformats.org/officeDocument/2006/relationships/hyperlink" Target="https://www.linkedin.com/learning/business-perspektive-social-media?trk=ondemandfile" TargetMode="External"/><Relationship Id="rId581" Type="http://schemas.openxmlformats.org/officeDocument/2006/relationships/hyperlink" Target="https://www.linkedin.com/learning/paths/innovation-fordern?trk=ondemandfile" TargetMode="External"/><Relationship Id="rId71" Type="http://schemas.openxmlformats.org/officeDocument/2006/relationships/hyperlink" Target="https://www.linkedin.com/learning/00-urteilsvermogen?trk=ondemandfile" TargetMode="External"/><Relationship Id="rId234" Type="http://schemas.openxmlformats.org/officeDocument/2006/relationships/hyperlink" Target="https://www.linkedin.com/learning/female-empowerment-selbstbewusstes-auftreten?trk=ondemandfile" TargetMode="External"/><Relationship Id="rId679" Type="http://schemas.openxmlformats.org/officeDocument/2006/relationships/hyperlink" Target="https://www.linkedin.com/learning/paths/fuehrungskompetenz-weiterentwickeln?trk=ondemandfile" TargetMode="External"/><Relationship Id="rId802" Type="http://schemas.openxmlformats.org/officeDocument/2006/relationships/hyperlink" Target="https://www.linkedin.com/learning/00-pm-krisen?trk=ondemandfile" TargetMode="External"/><Relationship Id="rId886" Type="http://schemas.openxmlformats.org/officeDocument/2006/relationships/hyperlink" Target="https://www.linkedin.com/learning/hr-strategien?trk=ondemandfile" TargetMode="External"/><Relationship Id="rId2" Type="http://schemas.openxmlformats.org/officeDocument/2006/relationships/hyperlink" Target="https://www.linkedin.com/learning/paths/die-selbstorganisation-verbessern?trk=ondemandfile" TargetMode="External"/><Relationship Id="rId29" Type="http://schemas.openxmlformats.org/officeDocument/2006/relationships/hyperlink" Target="https://www.linkedin.com/learning/10-minuten-tipps-mehr-produktivit-t-im-b-ro?trk=ondemandfile" TargetMode="External"/><Relationship Id="rId441" Type="http://schemas.openxmlformats.org/officeDocument/2006/relationships/hyperlink" Target="https://www.linkedin.com/learning/besser-zuhoren?trk=ondemandfile" TargetMode="External"/><Relationship Id="rId539" Type="http://schemas.openxmlformats.org/officeDocument/2006/relationships/hyperlink" Target="https://www.linkedin.com/learning/finanzwissen-fur-nicht-kaufmannische-fuhrungskrafte?trk=ondemandfile" TargetMode="External"/><Relationship Id="rId746" Type="http://schemas.openxmlformats.org/officeDocument/2006/relationships/hyperlink" Target="https://www.linkedin.com/learning/fragen-in-prasentationen?trk=ondemandfile" TargetMode="External"/><Relationship Id="rId178" Type="http://schemas.openxmlformats.org/officeDocument/2006/relationships/hyperlink" Target="https://www.linkedin.com/learning/00-mediation?trk=ondemandfile" TargetMode="External"/><Relationship Id="rId301" Type="http://schemas.openxmlformats.org/officeDocument/2006/relationships/hyperlink" Target="https://www.linkedin.com/learning/paths/seo-expert-in-werden?trk=ondemandfile" TargetMode="External"/><Relationship Id="rId953" Type="http://schemas.openxmlformats.org/officeDocument/2006/relationships/hyperlink" Target="https://www.linkedin.com/learning/ziele-fur-mitarbeiter-innen-und-teams-setzen?trk=ondemandfile" TargetMode="External"/><Relationship Id="rId82" Type="http://schemas.openxmlformats.org/officeDocument/2006/relationships/hyperlink" Target="https://www.linkedin.com/learning/resilienz-entwickeln?trk=ondemandfile" TargetMode="External"/><Relationship Id="rId385" Type="http://schemas.openxmlformats.org/officeDocument/2006/relationships/hyperlink" Target="https://www.linkedin.com/learning/website-konzeption-mit-storymap-und-kanban?trk=ondemandfile" TargetMode="External"/><Relationship Id="rId592" Type="http://schemas.openxmlformats.org/officeDocument/2006/relationships/hyperlink" Target="https://www.linkedin.com/learning/disruption-und-transformation-erfolgreich-nutzen-zukunftssicher-in-vertrieb-und-marketing?trk=ondemandfile" TargetMode="External"/><Relationship Id="rId606" Type="http://schemas.openxmlformats.org/officeDocument/2006/relationships/hyperlink" Target="https://www.linkedin.com/learning/agiler-fuhren-eine-einfuhrung?trk=ondemandfile" TargetMode="External"/><Relationship Id="rId813" Type="http://schemas.openxmlformats.org/officeDocument/2006/relationships/hyperlink" Target="https://www.linkedin.com/learning/scrum-mit-visual-studio-team-systems?trk=ondemandfile" TargetMode="External"/><Relationship Id="rId245" Type="http://schemas.openxmlformats.org/officeDocument/2006/relationships/hyperlink" Target="https://www.linkedin.com/learning/influencer-marketing-grundlagen-2?trk=ondemandfile" TargetMode="External"/><Relationship Id="rId452" Type="http://schemas.openxmlformats.org/officeDocument/2006/relationships/hyperlink" Target="https://www.linkedin.com/learning/kundenservice-grundlagen?trk=ondemandfile" TargetMode="External"/><Relationship Id="rId897" Type="http://schemas.openxmlformats.org/officeDocument/2006/relationships/hyperlink" Target="https://www.linkedin.com/learning/growth-strategy?trk=ondemandfile" TargetMode="External"/><Relationship Id="rId105" Type="http://schemas.openxmlformats.org/officeDocument/2006/relationships/hyperlink" Target="https://www.linkedin.com/learning/die-ersten-100-tage-als-fuhrungskraft-2?trk=ondemandfile" TargetMode="External"/><Relationship Id="rId312" Type="http://schemas.openxmlformats.org/officeDocument/2006/relationships/hyperlink" Target="https://www.linkedin.com/learning/corporate-design-f-r-online-marketing-projekte?trk=ondemandfile" TargetMode="External"/><Relationship Id="rId757" Type="http://schemas.openxmlformats.org/officeDocument/2006/relationships/hyperlink" Target="https://www.linkedin.com/learning/sprechen-wie-ein-profi?trk=ondemandfile" TargetMode="External"/><Relationship Id="rId964" Type="http://schemas.openxmlformats.org/officeDocument/2006/relationships/hyperlink" Target="https://www.linkedin.com/learning/fair-fuhren-blinkist-kernaussagen?trk=ondemandfile" TargetMode="External"/><Relationship Id="rId93" Type="http://schemas.openxmlformats.org/officeDocument/2006/relationships/hyperlink" Target="https://www.linkedin.com/learning/agiler-fuhren-eine-einfuhrung?trk=ondemandfile" TargetMode="External"/><Relationship Id="rId189" Type="http://schemas.openxmlformats.org/officeDocument/2006/relationships/hyperlink" Target="https://www.linkedin.com/learning/00-mentoring?trk=ondemandfile" TargetMode="External"/><Relationship Id="rId396" Type="http://schemas.openxmlformats.org/officeDocument/2006/relationships/hyperlink" Target="https://de.linkedin.com/learning/paths/starken-sie-ihre-schlusselkompetenzen?trk=ondemandfile" TargetMode="External"/><Relationship Id="rId617" Type="http://schemas.openxmlformats.org/officeDocument/2006/relationships/hyperlink" Target="https://www.linkedin.com/learning/paths/teams-aufbauen-und-fuehren?trk=ondemandfile" TargetMode="External"/><Relationship Id="rId824" Type="http://schemas.openxmlformats.org/officeDocument/2006/relationships/hyperlink" Target="https://www.linkedin.com/learning/die-erfolgreiche-verkaufsprasentation?trk=ondemandfile" TargetMode="External"/><Relationship Id="rId256" Type="http://schemas.openxmlformats.org/officeDocument/2006/relationships/hyperlink" Target="https://www.linkedin.com/learning/kundenkommunikation-mit-whatsapp-business?trk=ondemandfile" TargetMode="External"/><Relationship Id="rId463" Type="http://schemas.openxmlformats.org/officeDocument/2006/relationships/hyperlink" Target="https://www.linkedin.com/learning/blockchain-grundlagen?trk=ondemandfile" TargetMode="External"/><Relationship Id="rId670" Type="http://schemas.openxmlformats.org/officeDocument/2006/relationships/hyperlink" Target="https://www.linkedin.com/learning/virtuelle-teams-fuhren-16362149?trk=contentmappingfile" TargetMode="External"/><Relationship Id="rId116" Type="http://schemas.openxmlformats.org/officeDocument/2006/relationships/hyperlink" Target="https://www.linkedin.com/learning/fuhrung-im-team-warum-teams-die-besseren-fuhrungskrafte-sind?trk=contentmappingfile" TargetMode="External"/><Relationship Id="rId323" Type="http://schemas.openxmlformats.org/officeDocument/2006/relationships/hyperlink" Target="https://www.linkedin.com/learning/google-ads-adwords-grundkurs?trk=ondemandfile" TargetMode="External"/><Relationship Id="rId530" Type="http://schemas.openxmlformats.org/officeDocument/2006/relationships/hyperlink" Target="https://www.linkedin.com/learning/tableau-10-grundkurs?trk=ondemandfile" TargetMode="External"/><Relationship Id="rId768" Type="http://schemas.openxmlformats.org/officeDocument/2006/relationships/hyperlink" Target="https://www.linkedin.com/learning/paths/projektmanager-in-werden?trk=ondemandfile" TargetMode="External"/><Relationship Id="rId975" Type="http://schemas.openxmlformats.org/officeDocument/2006/relationships/hyperlink" Target="https://www.linkedin.com/learning/unconscious-bias-entgegenwirken-diversitat-und-inklusion-in-der-arbeitswelt-fordern?trk=ondemandfile" TargetMode="External"/><Relationship Id="rId20" Type="http://schemas.openxmlformats.org/officeDocument/2006/relationships/hyperlink" Target="https://www.linkedin.com/learning/hochleistungsteams-aufbauen?trk=ondemandfile" TargetMode="External"/><Relationship Id="rId628" Type="http://schemas.openxmlformats.org/officeDocument/2006/relationships/hyperlink" Target="https://www.linkedin.com/learning/expert-innen-fuhren?trk=ondemandfile" TargetMode="External"/><Relationship Id="rId835" Type="http://schemas.openxmlformats.org/officeDocument/2006/relationships/hyperlink" Target="https://www.linkedin.com/learning/ihr-pers-nlicher-elevator-pitch?trk=ondemandfile" TargetMode="External"/><Relationship Id="rId267" Type="http://schemas.openxmlformats.org/officeDocument/2006/relationships/hyperlink" Target="https://www.linkedin.com/learning/rhetorik-mit-argumenten-uberzeugen?trk=ondemandfile" TargetMode="External"/><Relationship Id="rId474" Type="http://schemas.openxmlformats.org/officeDocument/2006/relationships/hyperlink" Target="https://www.linkedin.com/learning/datenanalyse-mit-r-datenimport-und-handling-15602712?trk=contentmappingfile" TargetMode="External"/><Relationship Id="rId127" Type="http://schemas.openxmlformats.org/officeDocument/2006/relationships/hyperlink" Target="https://www.linkedin.com/learning/00-teamarbeit?trk=ondemandfile" TargetMode="External"/><Relationship Id="rId681" Type="http://schemas.openxmlformats.org/officeDocument/2006/relationships/hyperlink" Target="https://www.linkedin.com/learning/die-leistung-der-mitarbeiter-innen-steigern?trk=ondemandfile" TargetMode="External"/><Relationship Id="rId779" Type="http://schemas.openxmlformats.org/officeDocument/2006/relationships/hyperlink" Target="https://www.linkedin.com/learning/bc584969-6d6f-39e0-9c41-6ea464f2f577?trk=ondemandfile" TargetMode="External"/><Relationship Id="rId902" Type="http://schemas.openxmlformats.org/officeDocument/2006/relationships/hyperlink" Target="https://www.linkedin.com/learning/als-fuhrungskraft-das-agile-lernen-im-team-unterstutzen?trk=ondemandfile" TargetMode="External"/><Relationship Id="rId986" Type="http://schemas.openxmlformats.org/officeDocument/2006/relationships/hyperlink" Target="https://www.linkedin.com/learning/einfach-gendern-gendersensible-sprache-in-der-unternehmenspraxis?trk=ondemandfile" TargetMode="External"/><Relationship Id="rId31" Type="http://schemas.openxmlformats.org/officeDocument/2006/relationships/hyperlink" Target="https://www.linkedin.com/learning/resilienz-in-krisenzeiten?trk=ondemandfile" TargetMode="External"/><Relationship Id="rId334" Type="http://schemas.openxmlformats.org/officeDocument/2006/relationships/hyperlink" Target="https://www.linkedin.com/learning/instagram-f-r-kreative?trk=ondemandfile" TargetMode="External"/><Relationship Id="rId541" Type="http://schemas.openxmlformats.org/officeDocument/2006/relationships/hyperlink" Target="https://www.linkedin.com/learning/ecommerce-kosten?trk=ondemandfile" TargetMode="External"/><Relationship Id="rId639" Type="http://schemas.openxmlformats.org/officeDocument/2006/relationships/hyperlink" Target="https://www.linkedin.com/learning/fuhrungsqualitaten-fur-topmanager?trk=ondemandfile" TargetMode="External"/><Relationship Id="rId180" Type="http://schemas.openxmlformats.org/officeDocument/2006/relationships/hyperlink" Target="https://www.linkedin.com/learning/im-team-kommunizieren?trk=ondemandfile" TargetMode="External"/><Relationship Id="rId278" Type="http://schemas.openxmlformats.org/officeDocument/2006/relationships/hyperlink" Target="https://www.linkedin.com/learning/00-zielvereinbarung?trk=ondemandfile" TargetMode="External"/><Relationship Id="rId401" Type="http://schemas.openxmlformats.org/officeDocument/2006/relationships/hyperlink" Target="https://www.linkedin.com/learning/empathie-und-kreativitat-als-neue-schlusselkompetenzen?trk=ondemandfile" TargetMode="External"/><Relationship Id="rId846" Type="http://schemas.openxmlformats.org/officeDocument/2006/relationships/hyperlink" Target="https://www.linkedin.com/learning/salesforce?trk=ondemandfile" TargetMode="External"/><Relationship Id="rId485" Type="http://schemas.openxmlformats.org/officeDocument/2006/relationships/hyperlink" Target="https://www.linkedin.com/learning/excel-2016-pivot-tabellen?trk=ondemandfile" TargetMode="External"/><Relationship Id="rId692" Type="http://schemas.openxmlformats.org/officeDocument/2006/relationships/hyperlink" Target="https://www.linkedin.com/learning/modernes-leistungsmanagement?trk=ondemandfile" TargetMode="External"/><Relationship Id="rId706" Type="http://schemas.openxmlformats.org/officeDocument/2006/relationships/hyperlink" Target="https://www.linkedin.com/learning/devops-grundkurs?trk=ondemandfile" TargetMode="External"/><Relationship Id="rId913" Type="http://schemas.openxmlformats.org/officeDocument/2006/relationships/hyperlink" Target="https://www.linkedin.com/learning/internationale-personalentwicklung?trk=ondemandfile" TargetMode="External"/><Relationship Id="rId42" Type="http://schemas.openxmlformats.org/officeDocument/2006/relationships/hyperlink" Target="https://www.linkedin.com/learning/00-ohnmaechtig?trk=ondemandfile" TargetMode="External"/><Relationship Id="rId138" Type="http://schemas.openxmlformats.org/officeDocument/2006/relationships/hyperlink" Target="https://www.linkedin.com/learning/modernes-leistungsmanagement?trk=ondemandfile" TargetMode="External"/><Relationship Id="rId345" Type="http://schemas.openxmlformats.org/officeDocument/2006/relationships/hyperlink" Target="https://www.linkedin.com/learning/00-facebook-marketing?trk=ondemandfile" TargetMode="External"/><Relationship Id="rId552" Type="http://schemas.openxmlformats.org/officeDocument/2006/relationships/hyperlink" Target="https://www.linkedin.com/learning/beurteilungsgesprache-fuhren?trk=ondemandfile" TargetMode="External"/><Relationship Id="rId997" Type="http://schemas.openxmlformats.org/officeDocument/2006/relationships/hyperlink" Target="https://www.linkedin.com/learning/achtsamkeit-im-beruf-durch-meditation-innere-haltung?trk=ondemandfile" TargetMode="External"/><Relationship Id="rId191" Type="http://schemas.openxmlformats.org/officeDocument/2006/relationships/hyperlink" Target="https://www.linkedin.com/learning/microsoft-teams-besprechungen-webinare-liveereignisse?trk=contentmappingfile" TargetMode="External"/><Relationship Id="rId205" Type="http://schemas.openxmlformats.org/officeDocument/2006/relationships/hyperlink" Target="https://www.linkedin.com/learning/sharepoint-fur-power-user?trk=ondemandfile" TargetMode="External"/><Relationship Id="rId412" Type="http://schemas.openxmlformats.org/officeDocument/2006/relationships/hyperlink" Target="https://www.linkedin.com/learning/kreative-ideen-entwickeln-tipps-tricks?trk=ondemandfile" TargetMode="External"/><Relationship Id="rId857" Type="http://schemas.openxmlformats.org/officeDocument/2006/relationships/hyperlink" Target="https://www.linkedin.com/learning/agile-und-digitale-transformation?trk=ondemandfile" TargetMode="External"/><Relationship Id="rId289" Type="http://schemas.openxmlformats.org/officeDocument/2006/relationships/hyperlink" Target="https://www.linkedin.com/learning/konfliktmanagement-in-projekten?trk=ondemandfile" TargetMode="External"/><Relationship Id="rId496" Type="http://schemas.openxmlformats.org/officeDocument/2006/relationships/hyperlink" Target="https://www.linkedin.com/learning/datenviz?trk=ondemandfile" TargetMode="External"/><Relationship Id="rId717" Type="http://schemas.openxmlformats.org/officeDocument/2006/relationships/hyperlink" Target="https://www.linkedin.com/learning/paths/besser-prasentieren?trk=ondemandfile" TargetMode="External"/><Relationship Id="rId924" Type="http://schemas.openxmlformats.org/officeDocument/2006/relationships/hyperlink" Target="https://www.linkedin.com/learning/recruiting-grundlagen?trk=ondemandfile" TargetMode="External"/><Relationship Id="rId53" Type="http://schemas.openxmlformats.org/officeDocument/2006/relationships/hyperlink" Target="https://www.linkedin.com/learning/agiles-lernen-in-organisationen?trk=ondemandfile" TargetMode="External"/><Relationship Id="rId149" Type="http://schemas.openxmlformats.org/officeDocument/2006/relationships/hyperlink" Target="https://www.linkedin.com/learning/00-teams-bilden?trk=ondemandfile" TargetMode="External"/><Relationship Id="rId356" Type="http://schemas.openxmlformats.org/officeDocument/2006/relationships/hyperlink" Target="https://www.linkedin.com/learning/personal-branding-mit-linkedin?trk=ondemandfile" TargetMode="External"/><Relationship Id="rId563" Type="http://schemas.openxmlformats.org/officeDocument/2006/relationships/hyperlink" Target="https://www.linkedin.com/learning/00-mitarbeiter-entickeln?trk=ondemandfile" TargetMode="External"/><Relationship Id="rId770" Type="http://schemas.openxmlformats.org/officeDocument/2006/relationships/hyperlink" Target="https://www.linkedin.com/learning/paths/six-sigma-green-belt-werden?trk=ondemandfile" TargetMode="External"/><Relationship Id="rId216" Type="http://schemas.openxmlformats.org/officeDocument/2006/relationships/hyperlink" Target="https://www.linkedin.com/learning/paths/besser-prasentieren?trk=ondemandfile" TargetMode="External"/><Relationship Id="rId423" Type="http://schemas.openxmlformats.org/officeDocument/2006/relationships/hyperlink" Target="https://www.linkedin.com/learning/grundlagen-der-user-experience-fur-entscheider?trk=ondemandfile" TargetMode="External"/><Relationship Id="rId868" Type="http://schemas.openxmlformats.org/officeDocument/2006/relationships/hyperlink" Target="https://www.linkedin.com/learning/disrupt-yourself-erfinden-sie-sich-neu?trk=ondemandfile" TargetMode="External"/><Relationship Id="rId630" Type="http://schemas.openxmlformats.org/officeDocument/2006/relationships/hyperlink" Target="https://www.linkedin.com/learning/fair-fuhren-blinkist-kernaussagen?trk=ondemandfile" TargetMode="External"/><Relationship Id="rId728" Type="http://schemas.openxmlformats.org/officeDocument/2006/relationships/hyperlink" Target="https://www.linkedin.com/learning/datenviz?trk=ondemandfile" TargetMode="External"/><Relationship Id="rId935" Type="http://schemas.openxmlformats.org/officeDocument/2006/relationships/hyperlink" Target="https://www.linkedin.com/learning/paths/leistungsorientiertes-management?trk=ondemandfile" TargetMode="External"/><Relationship Id="rId64" Type="http://schemas.openxmlformats.org/officeDocument/2006/relationships/hyperlink" Target="https://www.linkedin.com/learning/emotionale-intelligenz-entwickeln?trk=ondemandfile" TargetMode="External"/><Relationship Id="rId367" Type="http://schemas.openxmlformats.org/officeDocument/2006/relationships/hyperlink" Target="https://www.linkedin.com/learning/seo-optimierung-fur-sprachbasierte-suche?trk=ondemandfile" TargetMode="External"/><Relationship Id="rId574" Type="http://schemas.openxmlformats.org/officeDocument/2006/relationships/hyperlink" Target="https://www.linkedin.com/learning/talente-finden-und-binden?trk=ondemandfile" TargetMode="External"/><Relationship Id="rId227" Type="http://schemas.openxmlformats.org/officeDocument/2006/relationships/hyperlink" Target="https://www.linkedin.com/learning/digital-nudging-nutzererfahrung-und-nutzerentscheidungen-positiv-beeinflussen?trk=ondemandfile" TargetMode="External"/><Relationship Id="rId781" Type="http://schemas.openxmlformats.org/officeDocument/2006/relationships/hyperlink" Target="https://www.linkedin.com/learning/design-thinking-grundlagen?trk=ondemandfile" TargetMode="External"/><Relationship Id="rId879" Type="http://schemas.openxmlformats.org/officeDocument/2006/relationships/hyperlink" Target="https://www.linkedin.com/learning/innovation-in-unternehmen?trk=ondemandfile" TargetMode="External"/><Relationship Id="rId434" Type="http://schemas.openxmlformats.org/officeDocument/2006/relationships/hyperlink" Target="https://www.linkedin.com/learning/unconscious-bias-unbewusste-denkmuster-erkennen-und-andern?trk=ondemandfile" TargetMode="External"/><Relationship Id="rId641" Type="http://schemas.openxmlformats.org/officeDocument/2006/relationships/hyperlink" Target="https://www.linkedin.com/learning/fuhrungsstarke-ausstrahlen-tipps-fur-frauen?trk=ondemandfile" TargetMode="External"/><Relationship Id="rId739" Type="http://schemas.openxmlformats.org/officeDocument/2006/relationships/hyperlink" Target="https://www.linkedin.com/learning/powerpoint-audio-und-video?trk=ondemandfile" TargetMode="External"/><Relationship Id="rId280" Type="http://schemas.openxmlformats.org/officeDocument/2006/relationships/hyperlink" Target="https://www.linkedin.com/learning/paths/besser-kommunizieren?trk=ondemandfile" TargetMode="External"/><Relationship Id="rId501" Type="http://schemas.openxmlformats.org/officeDocument/2006/relationships/hyperlink" Target="https://www.linkedin.com/learning/microsoft-power-bi-ein-uberblick-2?trk=ondemandfile" TargetMode="External"/><Relationship Id="rId946" Type="http://schemas.openxmlformats.org/officeDocument/2006/relationships/hyperlink" Target="https://www.linkedin.com/learning/mehrere-generationen-managen?trk=ondemandfile" TargetMode="External"/><Relationship Id="rId75" Type="http://schemas.openxmlformats.org/officeDocument/2006/relationships/hyperlink" Target="https://www.linkedin.com/learning/kritisches-denken?trk=ondemandfile" TargetMode="External"/><Relationship Id="rId140" Type="http://schemas.openxmlformats.org/officeDocument/2006/relationships/hyperlink" Target="https://www.linkedin.com/learning/neue-fuhrungskrafte-fuhren?trk=ondemandfile" TargetMode="External"/><Relationship Id="rId378" Type="http://schemas.openxmlformats.org/officeDocument/2006/relationships/hyperlink" Target="https://www.linkedin.com/learning/eine-unternehmensstrategie-entwickeln?trk=ondemandfile" TargetMode="External"/><Relationship Id="rId585" Type="http://schemas.openxmlformats.org/officeDocument/2006/relationships/hyperlink" Target="https://www.linkedin.com/learning/risk-taking-lead?trk=ondemandfile" TargetMode="External"/><Relationship Id="rId792" Type="http://schemas.openxmlformats.org/officeDocument/2006/relationships/hyperlink" Target="https://www.linkedin.com/learning/progman?trk=ondemandfile" TargetMode="External"/><Relationship Id="rId806" Type="http://schemas.openxmlformats.org/officeDocument/2006/relationships/hyperlink" Target="https://www.linkedin.com/learning/00-pm-risiko?trk=ondemandfile" TargetMode="External"/><Relationship Id="rId6" Type="http://schemas.openxmlformats.org/officeDocument/2006/relationships/hyperlink" Target="https://www.linkedin.com/learning/paths/leichter-lernen?trk=ondemandfile" TargetMode="External"/><Relationship Id="rId238" Type="http://schemas.openxmlformats.org/officeDocument/2006/relationships/hyperlink" Target="https://www.linkedin.com/learning/ihre-ideen-durchsetzen?trk=ondemandfile" TargetMode="External"/><Relationship Id="rId445" Type="http://schemas.openxmlformats.org/officeDocument/2006/relationships/hyperlink" Target="https://www.linkedin.com/learning/e-mails-schreiben?trk=ondemandfile" TargetMode="External"/><Relationship Id="rId652" Type="http://schemas.openxmlformats.org/officeDocument/2006/relationships/hyperlink" Target="https://www.linkedin.com/learning/mit-depressionen-am-arbeitsplatz-umgehen?trk=ondemandfile" TargetMode="External"/><Relationship Id="rId291" Type="http://schemas.openxmlformats.org/officeDocument/2006/relationships/hyperlink" Target="https://www.linkedin.com/learning/mit-einem-schwierigen-chef-zurechtkommen?trk=ondemandfile" TargetMode="External"/><Relationship Id="rId305" Type="http://schemas.openxmlformats.org/officeDocument/2006/relationships/hyperlink" Target="https://www.linkedin.com/learning/paths/social-media-marketing-expert-in-werden?trk=ondemandfile" TargetMode="External"/><Relationship Id="rId512" Type="http://schemas.openxmlformats.org/officeDocument/2006/relationships/hyperlink" Target="https://www.linkedin.com/learning/python-und-excel-strukturierte-daten-bearbeiten?trk=ondemandfile" TargetMode="External"/><Relationship Id="rId957" Type="http://schemas.openxmlformats.org/officeDocument/2006/relationships/hyperlink" Target="https://www.linkedin.com/learning/diversitat-und-inklusion-in-globalen-unternehmen?trk=ondemandfile" TargetMode="External"/><Relationship Id="rId86" Type="http://schemas.openxmlformats.org/officeDocument/2006/relationships/hyperlink" Target="https://www.linkedin.com/learning/00-leading-change?trk=ondemandfile" TargetMode="External"/><Relationship Id="rId151" Type="http://schemas.openxmlformats.org/officeDocument/2006/relationships/hyperlink" Target="https://www.linkedin.com/learning/00-fuhrungstipps?trk=ondemandfile" TargetMode="External"/><Relationship Id="rId389" Type="http://schemas.openxmlformats.org/officeDocument/2006/relationships/hyperlink" Target="https://www.linkedin.com/learning/1-minuten-tipps-fur-mehr-kreativitat?trk=ondemandfile" TargetMode="External"/><Relationship Id="rId596" Type="http://schemas.openxmlformats.org/officeDocument/2006/relationships/hyperlink" Target="https://www.linkedin.com/learning/00-fuhrung-21-jahrhundert?trk=ondemandfile" TargetMode="External"/><Relationship Id="rId817" Type="http://schemas.openxmlformats.org/officeDocument/2006/relationships/hyperlink" Target="https://www.linkedin.com/learning/vereinfachtes-projektmanagement?trk=ondemandfile" TargetMode="External"/><Relationship Id="rId1002" Type="http://schemas.openxmlformats.org/officeDocument/2006/relationships/hyperlink" Target="https://www.linkedin.com/learning/disrupt-yourself-erfinden-sie-sich-neu?trk=ondemandfile" TargetMode="External"/><Relationship Id="rId249" Type="http://schemas.openxmlformats.org/officeDocument/2006/relationships/hyperlink" Target="https://www.linkedin.com/learning/kommunikation-mit-empathie?trk=contentmappingfile" TargetMode="External"/><Relationship Id="rId456" Type="http://schemas.openxmlformats.org/officeDocument/2006/relationships/hyperlink" Target="https://www.linkedin.com/learning/neukundengeschaft-im-lizenzverkauf-b2b?trk=contentmappingfile" TargetMode="External"/><Relationship Id="rId663" Type="http://schemas.openxmlformats.org/officeDocument/2006/relationships/hyperlink" Target="https://www.linkedin.com/learning/storytelling-fur-fuhrungskrafte?trk=ondemandfile" TargetMode="External"/><Relationship Id="rId870" Type="http://schemas.openxmlformats.org/officeDocument/2006/relationships/hyperlink" Target="https://www.linkedin.com/learning/competstrat?trk=ondemandfile" TargetMode="External"/><Relationship Id="rId13" Type="http://schemas.openxmlformats.org/officeDocument/2006/relationships/hyperlink" Target="https://www.linkedin.com/learning/die-7-wege-zur-effektivitat-blinkist-kernaussagen?trk=ondemandfile" TargetMode="External"/><Relationship Id="rId109" Type="http://schemas.openxmlformats.org/officeDocument/2006/relationships/hyperlink" Target="https://www.linkedin.com/learning/eine-hochleistungskultur-schaffen?trk=ondemandfile" TargetMode="External"/><Relationship Id="rId316" Type="http://schemas.openxmlformats.org/officeDocument/2006/relationships/hyperlink" Target="https://www.linkedin.com/learning/digitale-kampagnen?trk=ondemandfile" TargetMode="External"/><Relationship Id="rId523" Type="http://schemas.openxmlformats.org/officeDocument/2006/relationships/hyperlink" Target="https://www.linkedin.com/learning/sql-lernen?trk=ondemandfile" TargetMode="External"/><Relationship Id="rId968" Type="http://schemas.openxmlformats.org/officeDocument/2006/relationships/hyperlink" Target="https://www.linkedin.com/learning/internationale-personalentwicklung?trk=ondemandfile" TargetMode="External"/><Relationship Id="rId97" Type="http://schemas.openxmlformats.org/officeDocument/2006/relationships/hyperlink" Target="https://www.linkedin.com/learning/als-ingenieur-in-oder-it-expert-in-mitarbeiter-fuhren?trk=ondemandfile" TargetMode="External"/><Relationship Id="rId730" Type="http://schemas.openxmlformats.org/officeDocument/2006/relationships/hyperlink" Target="https://www.linkedin.com/learning/kommunikation-mit-empathie?trk=contentmappingfile" TargetMode="External"/><Relationship Id="rId828" Type="http://schemas.openxmlformats.org/officeDocument/2006/relationships/hyperlink" Target="https://www.linkedin.com/learning/dynamics-365-for-sales-anpassung?trk=ondemandfile" TargetMode="External"/><Relationship Id="rId1013" Type="http://schemas.openxmlformats.org/officeDocument/2006/relationships/hyperlink" Target="https://www.linkedin.com/learning/resilienz-entwickeln?trk=ondemandfile" TargetMode="External"/><Relationship Id="rId162" Type="http://schemas.openxmlformats.org/officeDocument/2006/relationships/hyperlink" Target="https://www.linkedin.com/learning/825ea799-d58c-3ea0-99eb-6890487e8958?trk=ondemandfile" TargetMode="External"/><Relationship Id="rId467" Type="http://schemas.openxmlformats.org/officeDocument/2006/relationships/hyperlink" Target="https://www.linkedin.com/learning/data-mining-grundlagen-einfuhrung-in-die-datenvorbereitung-mit-data-cleansing-data-transformation-und-feature?trk=contentmappingfile" TargetMode="External"/><Relationship Id="rId674" Type="http://schemas.openxmlformats.org/officeDocument/2006/relationships/hyperlink" Target="https://www.linkedin.com/learning/als-ingenieur-in-oder-it-expert-in-mitarbeiter-fuhren?trk=ondemandfile" TargetMode="External"/><Relationship Id="rId881" Type="http://schemas.openxmlformats.org/officeDocument/2006/relationships/hyperlink" Target="https://www.linkedin.com/learning/kunstliche-intelligenz-grundlagenwissen-fur-manager-und-fuhrungskrafte?trk=ondemandfile" TargetMode="External"/><Relationship Id="rId979" Type="http://schemas.openxmlformats.org/officeDocument/2006/relationships/hyperlink" Target="https://www.linkedin.com/learning/berichte-schreiben?trk=ondemandfile" TargetMode="External"/><Relationship Id="rId24" Type="http://schemas.openxmlformats.org/officeDocument/2006/relationships/hyperlink" Target="https://www.linkedin.com/learning/mit-depressionen-am-arbeitsplatz-umgehen?trk=ondemandfile" TargetMode="External"/><Relationship Id="rId327" Type="http://schemas.openxmlformats.org/officeDocument/2006/relationships/hyperlink" Target="https://www.linkedin.com/learning/google-universal-analytics-grundkurs-2-bericht-erkenntnis-handlung?trk=contentmappingfile" TargetMode="External"/><Relationship Id="rId534" Type="http://schemas.openxmlformats.org/officeDocument/2006/relationships/hyperlink" Target="https://www.linkedin.com/learning/bitcoins-und-kryptowahrungen-grundlagen?trk=ondemandfile" TargetMode="External"/><Relationship Id="rId741" Type="http://schemas.openxmlformats.org/officeDocument/2006/relationships/hyperlink" Target="https://www.linkedin.com/learning/powerpoint-diagramme?trk=ondemandfile" TargetMode="External"/><Relationship Id="rId839" Type="http://schemas.openxmlformats.org/officeDocument/2006/relationships/hyperlink" Target="https://www.linkedin.com/learning/magento-2-grundkurs?trk=ondemandfile" TargetMode="External"/><Relationship Id="rId173" Type="http://schemas.openxmlformats.org/officeDocument/2006/relationships/hyperlink" Target="https://www.linkedin.com/learning/empathie-und-kreativitat-als-neue-schlusselkompetenzen?trk=ondemandfile" TargetMode="External"/><Relationship Id="rId380" Type="http://schemas.openxmlformats.org/officeDocument/2006/relationships/hyperlink" Target="https://www.linkedin.com/learning/twitter-marketing-anzeigen-und-werbe-kampagnen?trk=ondemandfile" TargetMode="External"/><Relationship Id="rId601" Type="http://schemas.openxmlformats.org/officeDocument/2006/relationships/hyperlink" Target="https://www.linkedin.com/learning/marketing-in-zeiten-der-veranderung?trk=ondemandfile" TargetMode="External"/><Relationship Id="rId240" Type="http://schemas.openxmlformats.org/officeDocument/2006/relationships/hyperlink" Target="https://www.linkedin.com/learning/00-teamarbeit?trk=ondemandfile" TargetMode="External"/><Relationship Id="rId478" Type="http://schemas.openxmlformats.org/officeDocument/2006/relationships/hyperlink" Target="https://www.linkedin.com/learning/einfuhrung-in-die-formelsprache-dax-excel-und-power-bi-desktop?trk=ondemandfile" TargetMode="External"/><Relationship Id="rId685" Type="http://schemas.openxmlformats.org/officeDocument/2006/relationships/hyperlink" Target="https://www.linkedin.com/learning/expert-innen-fuhren?trk=ondemandfile" TargetMode="External"/><Relationship Id="rId892" Type="http://schemas.openxmlformats.org/officeDocument/2006/relationships/hyperlink" Target="https://www.linkedin.com/learning/e8d38af9-0283-3b39-a22a-ecb29a021ef1?trk=ondemandfile" TargetMode="External"/><Relationship Id="rId906" Type="http://schemas.openxmlformats.org/officeDocument/2006/relationships/hyperlink" Target="https://www.linkedin.com/learning/das-personal-der-zukunft?trk=ondemandfile" TargetMode="External"/><Relationship Id="rId35" Type="http://schemas.openxmlformats.org/officeDocument/2006/relationships/hyperlink" Target="https://www.linkedin.com/learning/00-bereitfuehren?trk=ondemandfile" TargetMode="External"/><Relationship Id="rId100" Type="http://schemas.openxmlformats.org/officeDocument/2006/relationships/hyperlink" Target="https://www.linkedin.com/learning/paths/mitarbeiter-finden-und-halten?trk=ondemandfile" TargetMode="External"/><Relationship Id="rId338" Type="http://schemas.openxmlformats.org/officeDocument/2006/relationships/hyperlink" Target="https://www.linkedin.com/learning/kundenkommunikation-mit-whatsapp-business?trk=ondemandfile" TargetMode="External"/><Relationship Id="rId545" Type="http://schemas.openxmlformats.org/officeDocument/2006/relationships/hyperlink" Target="https://www.linkedin.com/learning/unternehmerische-fahigkeiten-entwickeln?trk=ondemandfile" TargetMode="External"/><Relationship Id="rId752" Type="http://schemas.openxmlformats.org/officeDocument/2006/relationships/hyperlink" Target="https://www.linkedin.com/learning/rhetorik-mit-argumenten-uberzeugen?trk=ondemandfile" TargetMode="External"/><Relationship Id="rId184" Type="http://schemas.openxmlformats.org/officeDocument/2006/relationships/hyperlink" Target="https://www.linkedin.com/learning/kollaborative-fuhrung?trk=contentmappingfile" TargetMode="External"/><Relationship Id="rId391" Type="http://schemas.openxmlformats.org/officeDocument/2006/relationships/hyperlink" Target="https://www.linkedin.com/learning/business-visualisierung-agil-und-kreativ?trk=ondemandfile" TargetMode="External"/><Relationship Id="rId405" Type="http://schemas.openxmlformats.org/officeDocument/2006/relationships/hyperlink" Target="https://www.linkedin.com/learning/innovation-in-unternehmen?trk=ondemandfile" TargetMode="External"/><Relationship Id="rId612" Type="http://schemas.openxmlformats.org/officeDocument/2006/relationships/hyperlink" Target="https://www.linkedin.com/learning/als-ingenieur-in-oder-it-expert-in-mitarbeiter-fuhren?trk=ondemandfile" TargetMode="External"/><Relationship Id="rId251" Type="http://schemas.openxmlformats.org/officeDocument/2006/relationships/hyperlink" Target="https://www.linkedin.com/learning/00-kommtipps?trk=ondemandfile" TargetMode="External"/><Relationship Id="rId489" Type="http://schemas.openxmlformats.org/officeDocument/2006/relationships/hyperlink" Target="https://www.linkedin.com/learning/excel-daten-abrufen-und-transformieren-power-query?trk=ondemandfile" TargetMode="External"/><Relationship Id="rId696" Type="http://schemas.openxmlformats.org/officeDocument/2006/relationships/hyperlink" Target="https://www.linkedin.com/learning/die-teamleistung-messen?trk=ondemandfile" TargetMode="External"/><Relationship Id="rId917" Type="http://schemas.openxmlformats.org/officeDocument/2006/relationships/hyperlink" Target="https://www.linkedin.com/learning/mit-schwierigen-mitarbeiter-innen-umgehen?trk=ondemandfile" TargetMode="External"/><Relationship Id="rId46" Type="http://schemas.openxmlformats.org/officeDocument/2006/relationships/hyperlink" Target="https://www.linkedin.com/learning/zeitmanagement-mit-outlook-2016?trk=ondemandfile" TargetMode="External"/><Relationship Id="rId349" Type="http://schemas.openxmlformats.org/officeDocument/2006/relationships/hyperlink" Target="https://www.linkedin.com/learning/marketing-mit-snapchat?trk=ondemandfile" TargetMode="External"/><Relationship Id="rId556" Type="http://schemas.openxmlformats.org/officeDocument/2006/relationships/hyperlink" Target="https://www.linkedin.com/learning/e-learning-technologien-und-systeme?trk=ondemandfile" TargetMode="External"/><Relationship Id="rId763" Type="http://schemas.openxmlformats.org/officeDocument/2006/relationships/hyperlink" Target="https://www.linkedin.com/learning/agil-arbeiten-besser-werden-mit-agilen-retrospektiven?trk=ondemandfile" TargetMode="External"/><Relationship Id="rId111" Type="http://schemas.openxmlformats.org/officeDocument/2006/relationships/hyperlink" Target="https://www.linkedin.com/learning/00-ergebnis-manag?trk=ondemandfile" TargetMode="External"/><Relationship Id="rId195" Type="http://schemas.openxmlformats.org/officeDocument/2006/relationships/hyperlink" Target="https://www.linkedin.com/learning/onedrive-grundkurs?trk=ondemandfile" TargetMode="External"/><Relationship Id="rId209" Type="http://schemas.openxmlformats.org/officeDocument/2006/relationships/hyperlink" Target="https://www.linkedin.com/learning/werteorientiertes-management?trk=ondemandfile" TargetMode="External"/><Relationship Id="rId416" Type="http://schemas.openxmlformats.org/officeDocument/2006/relationships/hyperlink" Target="https://www.linkedin.com/learning/visuelles-denken-im-business-umfeld?trk=ondemandfile" TargetMode="External"/><Relationship Id="rId970" Type="http://schemas.openxmlformats.org/officeDocument/2006/relationships/hyperlink" Target="https://www.linkedin.com/learning/mehrere-generationen-managen?trk=ondemandfile" TargetMode="External"/><Relationship Id="rId623" Type="http://schemas.openxmlformats.org/officeDocument/2006/relationships/hyperlink" Target="https://www.linkedin.com/learning/die-ersten-100-tage-als-fuhrungskraft-2?trk=ondemandfile" TargetMode="External"/><Relationship Id="rId830" Type="http://schemas.openxmlformats.org/officeDocument/2006/relationships/hyperlink" Target="https://www.linkedin.com/learning/einwandbehandlung-im-verkauf?trk=ondemandfile" TargetMode="External"/><Relationship Id="rId928" Type="http://schemas.openxmlformats.org/officeDocument/2006/relationships/hyperlink" Target="https://www.linkedin.com/learning/servant-leadership-dienende-fuhrung?trk=ondemandfile" TargetMode="External"/><Relationship Id="rId57" Type="http://schemas.openxmlformats.org/officeDocument/2006/relationships/hyperlink" Target="https://www.linkedin.com/learning/als-fuhrungskraft-das-agile-lernen-im-team-unterstutzen?trk=ondemandfile" TargetMode="External"/><Relationship Id="rId262" Type="http://schemas.openxmlformats.org/officeDocument/2006/relationships/hyperlink" Target="https://www.linkedin.com/learning/nein-sagen-und-gesunde-grenzen-setzen?trk=contentmappingfile" TargetMode="External"/><Relationship Id="rId567" Type="http://schemas.openxmlformats.org/officeDocument/2006/relationships/hyperlink" Target="https://www.linkedin.com/learning/administrative-personalarbeit?trk=ondemandfile" TargetMode="External"/><Relationship Id="rId122" Type="http://schemas.openxmlformats.org/officeDocument/2006/relationships/hyperlink" Target="https://www.linkedin.com/learning/gesund-fuhren?trk=contentmappingfile" TargetMode="External"/><Relationship Id="rId774" Type="http://schemas.openxmlformats.org/officeDocument/2006/relationships/hyperlink" Target="https://www.linkedin.com/learning/agiles-projektmanagement-mit-microsoft-project?trk=ondemandfile" TargetMode="External"/><Relationship Id="rId981" Type="http://schemas.openxmlformats.org/officeDocument/2006/relationships/hyperlink" Target="https://www.linkedin.com/learning/content-creation-ihr-redaktionsplan-fur-blogs-und-social-media?trk=contentmappingfile" TargetMode="External"/><Relationship Id="rId427" Type="http://schemas.openxmlformats.org/officeDocument/2006/relationships/hyperlink" Target="https://www.linkedin.com/learning/mentale-starke-fur-mehr-erfolg-im-beruf?trk=ondemandfile" TargetMode="External"/><Relationship Id="rId634" Type="http://schemas.openxmlformats.org/officeDocument/2006/relationships/hyperlink" Target="https://www.linkedin.com/learning/00-fuhrung-21-jahrhundert?trk=ondemandfile" TargetMode="External"/><Relationship Id="rId841" Type="http://schemas.openxmlformats.org/officeDocument/2006/relationships/hyperlink" Target="https://www.linkedin.com/learning/mit-schwierigen-kunden-umgehen?trk=ondemandfile" TargetMode="External"/><Relationship Id="rId273" Type="http://schemas.openxmlformats.org/officeDocument/2006/relationships/hyperlink" Target="https://www.linkedin.com/learning/strategisch-verhandeln?trk=ondemandfile" TargetMode="External"/><Relationship Id="rId480" Type="http://schemas.openxmlformats.org/officeDocument/2006/relationships/hyperlink" Target="https://www.linkedin.com/learning/excel-2013-power-query?trk=ondemandfile" TargetMode="External"/><Relationship Id="rId701" Type="http://schemas.openxmlformats.org/officeDocument/2006/relationships/hyperlink" Target="https://www.linkedin.com/learning/00-zielvereinbarung?trk=ondemandfile" TargetMode="External"/><Relationship Id="rId939" Type="http://schemas.openxmlformats.org/officeDocument/2006/relationships/hyperlink" Target="https://www.linkedin.com/learning/das-personal-der-zukunft?trk=ondemandfile" TargetMode="External"/><Relationship Id="rId68" Type="http://schemas.openxmlformats.org/officeDocument/2006/relationships/hyperlink" Target="https://www.linkedin.com/learning/gehirngerechtes-lernen?trk=ondemandfile" TargetMode="External"/><Relationship Id="rId133" Type="http://schemas.openxmlformats.org/officeDocument/2006/relationships/hyperlink" Target="https://www.linkedin.com/learning/mit-schwierigen-mitarbeiter-innen-umgehen?trk=ondemandfile" TargetMode="External"/><Relationship Id="rId340" Type="http://schemas.openxmlformats.org/officeDocument/2006/relationships/hyperlink" Target="https://www.linkedin.com/learning/00-linkedin-sponsored-content?trk=ondemandfile" TargetMode="External"/><Relationship Id="rId578" Type="http://schemas.openxmlformats.org/officeDocument/2006/relationships/hyperlink" Target="https://www.linkedin.com/learning/agile-lernformate-fur-organisationen?trk=ondemandfile" TargetMode="External"/><Relationship Id="rId785" Type="http://schemas.openxmlformats.org/officeDocument/2006/relationships/hyperlink" Target="https://www.linkedin.com/learning/00-projektmanagement-grundlagen?trk=ondemandfile" TargetMode="External"/><Relationship Id="rId992" Type="http://schemas.openxmlformats.org/officeDocument/2006/relationships/hyperlink" Target="https://www.linkedin.com/learning/seo-gerechte-texte?trk=ondemandfile" TargetMode="External"/><Relationship Id="rId200" Type="http://schemas.openxmlformats.org/officeDocument/2006/relationships/hyperlink" Target="https://www.linkedin.com/learning/professionell-netzwerken?trk=ondemandfile" TargetMode="External"/><Relationship Id="rId438" Type="http://schemas.openxmlformats.org/officeDocument/2006/relationships/hyperlink" Target="https://www.linkedin.com/learning/als-kundenservice-manager-in-die-erwartung-der-kundschaft-steuern?trk=ondemandfile" TargetMode="External"/><Relationship Id="rId645" Type="http://schemas.openxmlformats.org/officeDocument/2006/relationships/hyperlink" Target="https://www.linkedin.com/learning/ihre-fuhrungsphilosophie-entwickeln?trk=ondemandfile" TargetMode="External"/><Relationship Id="rId852" Type="http://schemas.openxmlformats.org/officeDocument/2006/relationships/hyperlink" Target="https://www.linkedin.com/learning/uberzeugendes-verkaufen?trk=ondemandfile" TargetMode="External"/><Relationship Id="rId284" Type="http://schemas.openxmlformats.org/officeDocument/2006/relationships/hyperlink" Target="https://www.linkedin.com/learning/fred-kofman-uber-konfliktmanagement?trk=ondemandfile" TargetMode="External"/><Relationship Id="rId491" Type="http://schemas.openxmlformats.org/officeDocument/2006/relationships/hyperlink" Target="https://www.linkedin.com/learning/excel-pivot-berichte-mit-datenmodell-verbessern?trk=contentmappingfile" TargetMode="External"/><Relationship Id="rId505" Type="http://schemas.openxmlformats.org/officeDocument/2006/relationships/hyperlink" Target="https://www.linkedin.com/learning/power-bi-desktop-fur-fortgeschrittene?trk=ondemandfile" TargetMode="External"/><Relationship Id="rId712" Type="http://schemas.openxmlformats.org/officeDocument/2006/relationships/hyperlink" Target="https://www.linkedin.com/learning/six-sigma-grundlagen?trk=ondemandfile" TargetMode="External"/><Relationship Id="rId79" Type="http://schemas.openxmlformats.org/officeDocument/2006/relationships/hyperlink" Target="https://www.linkedin.com/learning/mit-einem-schwierigen-chef-zurechtkommen?trk=ondemandfile" TargetMode="External"/><Relationship Id="rId144" Type="http://schemas.openxmlformats.org/officeDocument/2006/relationships/hyperlink" Target="https://www.linkedin.com/learning/potenzialtrager-fuhren?trk=ondemandfile" TargetMode="External"/><Relationship Id="rId589" Type="http://schemas.openxmlformats.org/officeDocument/2006/relationships/hyperlink" Target="https://www.linkedin.com/learning/die-kreative-organisation?trk=ondemandfile" TargetMode="External"/><Relationship Id="rId796" Type="http://schemas.openxmlformats.org/officeDocument/2006/relationships/hyperlink" Target="https://www.linkedin.com/learning/projektmanagement-anderungsmanagement?trk=ondemandfile" TargetMode="External"/><Relationship Id="rId351" Type="http://schemas.openxmlformats.org/officeDocument/2006/relationships/hyperlink" Target="https://www.linkedin.com/learning/00-marketing-mit-twitter?trk=ondemandfile" TargetMode="External"/><Relationship Id="rId449" Type="http://schemas.openxmlformats.org/officeDocument/2006/relationships/hyperlink" Target="https://www.linkedin.com/learning/innovative-techniken-im-kundenservice?trk=ondemandfile" TargetMode="External"/><Relationship Id="rId656" Type="http://schemas.openxmlformats.org/officeDocument/2006/relationships/hyperlink" Target="https://www.linkedin.com/learning/neue-fuhrungskrafte-fuhren?trk=ondemandfile" TargetMode="External"/><Relationship Id="rId863" Type="http://schemas.openxmlformats.org/officeDocument/2006/relationships/hyperlink" Target="https://www.linkedin.com/learning/das-personal-der-zukunft?trk=ondemandfile" TargetMode="External"/><Relationship Id="rId211" Type="http://schemas.openxmlformats.org/officeDocument/2006/relationships/hyperlink" Target="https://www.linkedin.com/learning/andere-beeinflussen-und-uberzeugen?trk=ondemandfile" TargetMode="External"/><Relationship Id="rId295" Type="http://schemas.openxmlformats.org/officeDocument/2006/relationships/hyperlink" Target="https://www.linkedin.com/learning/00-pm-krisen?trk=ondemandfile" TargetMode="External"/><Relationship Id="rId309" Type="http://schemas.openxmlformats.org/officeDocument/2006/relationships/hyperlink" Target="https://www.linkedin.com/learning/content-first-publishing?trk=ondemandfile" TargetMode="External"/><Relationship Id="rId516" Type="http://schemas.openxmlformats.org/officeDocument/2006/relationships/hyperlink" Target="https://www.linkedin.com/learning/rechtsgrundlagen-industrie-4-0-und-internet-of-things-iot?trk=contentmappingfile" TargetMode="External"/><Relationship Id="rId723" Type="http://schemas.openxmlformats.org/officeDocument/2006/relationships/hyperlink" Target="https://www.linkedin.com/learning/die-7-schlimmsten-kommunikationsfehler?trk=contentmappingfile" TargetMode="External"/><Relationship Id="rId930" Type="http://schemas.openxmlformats.org/officeDocument/2006/relationships/hyperlink" Target="https://www.linkedin.com/learning/talente-finden-und-binden?trk=ondemandfile" TargetMode="External"/><Relationship Id="rId1006" Type="http://schemas.openxmlformats.org/officeDocument/2006/relationships/hyperlink" Target="https://www.linkedin.com/learning/meditation-und-achtsamkeit-fur-neues-arbeiten?trk=ondemandfile" TargetMode="External"/><Relationship Id="rId155" Type="http://schemas.openxmlformats.org/officeDocument/2006/relationships/hyperlink" Target="https://www.linkedin.com/learning/00-beurteilung?trk=ondemandfile" TargetMode="External"/><Relationship Id="rId362" Type="http://schemas.openxmlformats.org/officeDocument/2006/relationships/hyperlink" Target="https://www.linkedin.com/learning/cfe008b7-d082-30e4-bd6f-2101e2a43335?trk=ondemandfile" TargetMode="External"/><Relationship Id="rId222" Type="http://schemas.openxmlformats.org/officeDocument/2006/relationships/hyperlink" Target="https://www.linkedin.com/learning/business-visualisierung-agil-und-kreativ?trk=ondemandfile" TargetMode="External"/><Relationship Id="rId667" Type="http://schemas.openxmlformats.org/officeDocument/2006/relationships/hyperlink" Target="https://www.linkedin.com/learning/00-fuhrungstipps?trk=ondemandfile" TargetMode="External"/><Relationship Id="rId874" Type="http://schemas.openxmlformats.org/officeDocument/2006/relationships/hyperlink" Target="https://www.linkedin.com/learning/fit-fur-die-geschaftsfuhrung-im-digitalen-zeitalter-blinkist-kernaussagen?trk=ondemandfile" TargetMode="External"/><Relationship Id="rId17" Type="http://schemas.openxmlformats.org/officeDocument/2006/relationships/hyperlink" Target="https://www.linkedin.com/learning/8806380a-9091-31ee-accd-2c173a41388d?trk=ondemandfile" TargetMode="External"/><Relationship Id="rId527" Type="http://schemas.openxmlformats.org/officeDocument/2006/relationships/hyperlink" Target="https://www.linkedin.com/learning/sql-server-reporting-services-visualisierung?trk=contentmappingfile" TargetMode="External"/><Relationship Id="rId734" Type="http://schemas.openxmlformats.org/officeDocument/2006/relationships/hyperlink" Target="https://www.linkedin.com/learning/powerpoint-fur-das-web-lernen-office-365-microsoft-365?trk=ondemandfile" TargetMode="External"/><Relationship Id="rId941" Type="http://schemas.openxmlformats.org/officeDocument/2006/relationships/hyperlink" Target="https://www.linkedin.com/learning/die-unternehmensleistung-messen?trk=ondemandfile" TargetMode="External"/><Relationship Id="rId70" Type="http://schemas.openxmlformats.org/officeDocument/2006/relationships/hyperlink" Target="https://www.linkedin.com/learning/grundlagen-der-prozessverbesserung?trk=ondemandfile" TargetMode="External"/><Relationship Id="rId166" Type="http://schemas.openxmlformats.org/officeDocument/2006/relationships/hyperlink" Target="https://www.linkedin.com/learning/das-homeoffice-sicher-machen?trk=ondemandfile" TargetMode="External"/><Relationship Id="rId373" Type="http://schemas.openxmlformats.org/officeDocument/2006/relationships/hyperlink" Target="https://www.linkedin.com/learning/social-commerce-e-commerce-mit-social-media-kennenlernen?trk=ondemandfile" TargetMode="External"/><Relationship Id="rId580" Type="http://schemas.openxmlformats.org/officeDocument/2006/relationships/hyperlink" Target="https://www.linkedin.com/learning/agile-und-digitale-transformation?trk=ondemandfile" TargetMode="External"/><Relationship Id="rId801" Type="http://schemas.openxmlformats.org/officeDocument/2006/relationships/hyperlink" Target="https://www.linkedin.com/learning/projektmanagement-kosten-und-nutzen?trk=ondemandfile" TargetMode="External"/><Relationship Id="rId1017" Type="http://schemas.openxmlformats.org/officeDocument/2006/relationships/hyperlink" Target="https://www.linkedin.com/learning/unerwartete-veranderungen-annehmen?trk=ondemandfile" TargetMode="External"/><Relationship Id="rId1" Type="http://schemas.openxmlformats.org/officeDocument/2006/relationships/hyperlink" Target="https://www.linkedin.com/learning/achtsamkeit?trk=ondemandfile" TargetMode="External"/><Relationship Id="rId233" Type="http://schemas.openxmlformats.org/officeDocument/2006/relationships/hyperlink" Target="https://www.linkedin.com/learning/erfolgreiche-kommunikation?trk=ondemandfile" TargetMode="External"/><Relationship Id="rId440" Type="http://schemas.openxmlformats.org/officeDocument/2006/relationships/hyperlink" Target="https://www.linkedin.com/learning/paths/kundenservice-spezialist-in-werden?trk=ondemandfile" TargetMode="External"/><Relationship Id="rId678" Type="http://schemas.openxmlformats.org/officeDocument/2006/relationships/hyperlink" Target="https://www.linkedin.com/learning/beurteilungsgesprache-fuhren?trk=ondemandfile" TargetMode="External"/><Relationship Id="rId885" Type="http://schemas.openxmlformats.org/officeDocument/2006/relationships/hyperlink" Target="https://www.linkedin.com/learning/nachhaltigkeit-im-unternehmen?trk=ondemandfile" TargetMode="External"/><Relationship Id="rId28" Type="http://schemas.openxmlformats.org/officeDocument/2006/relationships/hyperlink" Target="https://www.linkedin.com/learning/produktiv-mit-iphone-und-ipad?trk=ondemandfile" TargetMode="External"/><Relationship Id="rId300" Type="http://schemas.openxmlformats.org/officeDocument/2006/relationships/hyperlink" Target="https://www.linkedin.com/learning/1fc28008-fada-3384-8576-fa23752fe829?trk=ondemandfile" TargetMode="External"/><Relationship Id="rId538" Type="http://schemas.openxmlformats.org/officeDocument/2006/relationships/hyperlink" Target="https://www.linkedin.com/learning/die-finanzen-im-griff-als-grunder?trk=ondemandfile" TargetMode="External"/><Relationship Id="rId745" Type="http://schemas.openxmlformats.org/officeDocument/2006/relationships/hyperlink" Target="https://www.linkedin.com/learning/powerpoint-tipps-fur-eilige?trk=ondemandfile" TargetMode="External"/><Relationship Id="rId952" Type="http://schemas.openxmlformats.org/officeDocument/2006/relationships/hyperlink" Target="https://www.linkedin.com/learning/die-teamleistung-messen?trk=ondemandfile" TargetMode="External"/><Relationship Id="rId81" Type="http://schemas.openxmlformats.org/officeDocument/2006/relationships/hyperlink" Target="https://www.linkedin.com/learning/optimistisch-bleiben-im-job?trk=ondemandfile" TargetMode="External"/><Relationship Id="rId177" Type="http://schemas.openxmlformats.org/officeDocument/2006/relationships/hyperlink" Target="https://www.linkedin.com/learning/git-workflows-im-team-optimieren?trk=contentmappingfile" TargetMode="External"/><Relationship Id="rId384" Type="http://schemas.openxmlformats.org/officeDocument/2006/relationships/hyperlink" Target="https://www.linkedin.com/learning/growth-strategy?trk=ondemandfile" TargetMode="External"/><Relationship Id="rId591" Type="http://schemas.openxmlformats.org/officeDocument/2006/relationships/hyperlink" Target="https://www.linkedin.com/learning/disrupt-yourself-erfinden-sie-sich-neu?trk=ondemandfile" TargetMode="External"/><Relationship Id="rId605" Type="http://schemas.openxmlformats.org/officeDocument/2006/relationships/hyperlink" Target="https://www.linkedin.com/learning/veranderungen-im-beruf-erfolgreich-bewaltigen?trk=ondemandfile" TargetMode="External"/><Relationship Id="rId812" Type="http://schemas.openxmlformats.org/officeDocument/2006/relationships/hyperlink" Target="https://www.linkedin.com/learning/d469e5e3-91ef-356a-bd71-342c807fe1b6?trk=ondemandfile" TargetMode="External"/><Relationship Id="rId244" Type="http://schemas.openxmlformats.org/officeDocument/2006/relationships/hyperlink" Target="https://www.linkedin.com/learning/in-medieninterviews-uberzeugen?trk=ondemandfile" TargetMode="External"/><Relationship Id="rId689" Type="http://schemas.openxmlformats.org/officeDocument/2006/relationships/hyperlink" Target="https://www.linkedin.com/learning/mit-schwierigen-mitarbeiter-innen-umgehen?trk=ondemandfile" TargetMode="External"/><Relationship Id="rId896" Type="http://schemas.openxmlformats.org/officeDocument/2006/relationships/hyperlink" Target="https://www.linkedin.com/learning/unternehmerische-fahigkeiten-entwickeln?trk=ondemandfile" TargetMode="External"/><Relationship Id="rId39" Type="http://schemas.openxmlformats.org/officeDocument/2006/relationships/hyperlink" Target="https://www.linkedin.com/learning/veranderungen-im-beruf-erfolgreich-bewaltigen?trk=ondemandfile" TargetMode="External"/><Relationship Id="rId451" Type="http://schemas.openxmlformats.org/officeDocument/2006/relationships/hyperlink" Target="https://www.linkedin.com/learning/kundenkommunikation-mit-whatsapp-business?trk=ondemandfile" TargetMode="External"/><Relationship Id="rId549" Type="http://schemas.openxmlformats.org/officeDocument/2006/relationships/hyperlink" Target="https://www.linkedin.com/learning/agile-lernformate-fur-organisationen?trk=ondemandfile" TargetMode="External"/><Relationship Id="rId756" Type="http://schemas.openxmlformats.org/officeDocument/2006/relationships/hyperlink" Target="https://www.linkedin.com/learning/00-spannung?trk=ondemandfile" TargetMode="External"/><Relationship Id="rId104" Type="http://schemas.openxmlformats.org/officeDocument/2006/relationships/hyperlink" Target="https://www.linkedin.com/learning/den-eigenen-fuhrungsstil-entwickeln?trk=ondemandfile" TargetMode="External"/><Relationship Id="rId188" Type="http://schemas.openxmlformats.org/officeDocument/2006/relationships/hyperlink" Target="https://www.linkedin.com/learning/00-rechte-in-sozialen-netzwerken?trk=ondemandfile" TargetMode="External"/><Relationship Id="rId311" Type="http://schemas.openxmlformats.org/officeDocument/2006/relationships/hyperlink" Target="https://www.linkedin.com/learning/corporate-blogs-grundlagen-2?trk=ondemandfile" TargetMode="External"/><Relationship Id="rId395" Type="http://schemas.openxmlformats.org/officeDocument/2006/relationships/hyperlink" Target="https://www.linkedin.com/learning/design-thinking-grundlagen?trk=ondemandfile" TargetMode="External"/><Relationship Id="rId409" Type="http://schemas.openxmlformats.org/officeDocument/2006/relationships/hyperlink" Target="https://www.linkedin.com/learning/kreative-ideen-entwickeln-die-kreative-personlichkeit?trk=ondemandfile" TargetMode="External"/><Relationship Id="rId963" Type="http://schemas.openxmlformats.org/officeDocument/2006/relationships/hyperlink" Target="https://www.linkedin.com/learning/erfolgsstrategien-fur-frauen-in-fuhrungspositionen?trk=ondemandfile" TargetMode="External"/><Relationship Id="rId92" Type="http://schemas.openxmlformats.org/officeDocument/2006/relationships/hyperlink" Target="https://www.linkedin.com/learning/paths/fuehrungskompetenz-weiterentwickeln?trk=ondemandfile" TargetMode="External"/><Relationship Id="rId616" Type="http://schemas.openxmlformats.org/officeDocument/2006/relationships/hyperlink" Target="https://www.linkedin.com/learning/blinde-flecke-in-der-fuhrung-erkennen-und-uberwinden?trk=ondemandfile" TargetMode="External"/><Relationship Id="rId823" Type="http://schemas.openxmlformats.org/officeDocument/2006/relationships/hyperlink" Target="https://www.linkedin.com/learning/das-verkaufsgesprach?trk=ondemandfile" TargetMode="External"/><Relationship Id="rId255" Type="http://schemas.openxmlformats.org/officeDocument/2006/relationships/hyperlink" Target="https://www.linkedin.com/learning/00-krisenkommunikation?trk=ondemandfile" TargetMode="External"/><Relationship Id="rId462" Type="http://schemas.openxmlformats.org/officeDocument/2006/relationships/hyperlink" Target="https://www.linkedin.com/learning/paths/mit-excel-2016-daten-auswerten-und-prsentieren?trk=ondemandfile" TargetMode="External"/><Relationship Id="rId115" Type="http://schemas.openxmlformats.org/officeDocument/2006/relationships/hyperlink" Target="https://www.linkedin.com/learning/00-fuhrung-21-jahrhundert?trk=ondemandfile" TargetMode="External"/><Relationship Id="rId322" Type="http://schemas.openxmlformats.org/officeDocument/2006/relationships/hyperlink" Target="https://www.linkedin.com/learning/facebook-marketing-anzeigen-und-werbe-kampagnen?trk=ondemandfile" TargetMode="External"/><Relationship Id="rId767" Type="http://schemas.openxmlformats.org/officeDocument/2006/relationships/hyperlink" Target="https://www.linkedin.com/learning/agil-arbeiten-mit-user-stories-planen?trk=ondemandfile" TargetMode="External"/><Relationship Id="rId974" Type="http://schemas.openxmlformats.org/officeDocument/2006/relationships/hyperlink" Target="https://www.linkedin.com/learning/unconscious-bias-unbewusste-denkmuster-erkennen-und-andern?trk=ondemandfile" TargetMode="External"/><Relationship Id="rId199" Type="http://schemas.openxmlformats.org/officeDocument/2006/relationships/hyperlink" Target="https://www.linkedin.com/learning/premiere-pro-cloud-und-netzwerkbasierte-teamarbeit-mit-produktion-und-team-projects?trk=contentmappingfile" TargetMode="External"/><Relationship Id="rId627" Type="http://schemas.openxmlformats.org/officeDocument/2006/relationships/hyperlink" Target="https://www.linkedin.com/learning/erfolgsstrategien-fur-frauen-in-fuhrungspositionen?trk=ondemandfile" TargetMode="External"/><Relationship Id="rId834" Type="http://schemas.openxmlformats.org/officeDocument/2006/relationships/hyperlink" Target="https://www.linkedin.com/learning/fuhrung-im-vertrieb-limbecks-leadership-lektionen?trk=ondemandfile" TargetMode="External"/><Relationship Id="rId266" Type="http://schemas.openxmlformats.org/officeDocument/2006/relationships/hyperlink" Target="https://www.linkedin.com/learning/00-pm-komm?trk=ondemandfile" TargetMode="External"/><Relationship Id="rId473" Type="http://schemas.openxmlformats.org/officeDocument/2006/relationships/hyperlink" Target="https://www.linkedin.com/learning/daten-visualisieren-mit-d3-js?trk=ondemandfile" TargetMode="External"/><Relationship Id="rId680" Type="http://schemas.openxmlformats.org/officeDocument/2006/relationships/hyperlink" Target="https://www.linkedin.com/learning/die-ersten-100-tage-als-fuhrungskraft-2?trk=ondemandfile" TargetMode="External"/><Relationship Id="rId901" Type="http://schemas.openxmlformats.org/officeDocument/2006/relationships/hyperlink" Target="https://www.linkedin.com/learning/paths/recruiter-in-werden?trk=ondemandfile" TargetMode="External"/><Relationship Id="rId30" Type="http://schemas.openxmlformats.org/officeDocument/2006/relationships/hyperlink" Target="https://www.linkedin.com/learning/resilienz-entwickeln?trk=ondemandfile" TargetMode="External"/><Relationship Id="rId126" Type="http://schemas.openxmlformats.org/officeDocument/2006/relationships/hyperlink" Target="https://www.linkedin.com/learning/ihre-fuhrungsphilosophie-entwickeln?trk=ondemandfile" TargetMode="External"/><Relationship Id="rId333" Type="http://schemas.openxmlformats.org/officeDocument/2006/relationships/hyperlink" Target="https://www.linkedin.com/learning/influencer-marketing-grundlagen-2?trk=ondemandfile" TargetMode="External"/><Relationship Id="rId540" Type="http://schemas.openxmlformats.org/officeDocument/2006/relationships/hyperlink" Target="https://www.linkedin.com/learning/geld-am-aktienmarkt-anlegen?trk=ondemandfile" TargetMode="External"/><Relationship Id="rId778" Type="http://schemas.openxmlformats.org/officeDocument/2006/relationships/hyperlink" Target="https://www.linkedin.com/learning/berufsbild-projektmanagement?trk=ondemandfile" TargetMode="External"/><Relationship Id="rId985" Type="http://schemas.openxmlformats.org/officeDocument/2006/relationships/hyperlink" Target="https://www.linkedin.com/learning/einen-marketingplan-schreiben?trk=ondemandfile" TargetMode="External"/><Relationship Id="rId638" Type="http://schemas.openxmlformats.org/officeDocument/2006/relationships/hyperlink" Target="https://www.linkedin.com/learning/00-fuhrungsfallen?trk=ondemandfile" TargetMode="External"/><Relationship Id="rId845" Type="http://schemas.openxmlformats.org/officeDocument/2006/relationships/hyperlink" Target="https://www.linkedin.com/learning/rechtsgrundlagen-e-mail-marketing?trk=ondemandfile" TargetMode="External"/><Relationship Id="rId277" Type="http://schemas.openxmlformats.org/officeDocument/2006/relationships/hyperlink" Target="https://www.linkedin.com/learning/wertschatzende-kommunikation-trotz-unterschieden-erfolgreich-kommunizieren?trk=contentmappingfile" TargetMode="External"/><Relationship Id="rId400" Type="http://schemas.openxmlformats.org/officeDocument/2006/relationships/hyperlink" Target="https://www.linkedin.com/learning/disrupt-yourself-erfinden-sie-sich-neu?trk=ondemandfile" TargetMode="External"/><Relationship Id="rId484" Type="http://schemas.openxmlformats.org/officeDocument/2006/relationships/hyperlink" Target="https://www.linkedin.com/learning/excel-2016-management-reports?trk=ondemandfile" TargetMode="External"/><Relationship Id="rId705" Type="http://schemas.openxmlformats.org/officeDocument/2006/relationships/hyperlink" Target="https://www.linkedin.com/learning/paths/six-sigma-black-belt-werden?trk=ondemandfile" TargetMode="External"/><Relationship Id="rId137" Type="http://schemas.openxmlformats.org/officeDocument/2006/relationships/hyperlink" Target="https://www.linkedin.com/learning/feel-good-management?trk=ondemandfile" TargetMode="External"/><Relationship Id="rId344" Type="http://schemas.openxmlformats.org/officeDocument/2006/relationships/hyperlink" Target="https://www.linkedin.com/learning/marketing-in-zeiten-der-veranderung?trk=ondemandfile" TargetMode="External"/><Relationship Id="rId691" Type="http://schemas.openxmlformats.org/officeDocument/2006/relationships/hyperlink" Target="https://www.linkedin.com/learning/mitarbeiter-innen-motivieren?trk=ondemandfile" TargetMode="External"/><Relationship Id="rId789" Type="http://schemas.openxmlformats.org/officeDocument/2006/relationships/hyperlink" Target="https://www.linkedin.com/learning/microsoft-365-rollout-fur-projektleiter?trk=contentmappingfile" TargetMode="External"/><Relationship Id="rId912" Type="http://schemas.openxmlformats.org/officeDocument/2006/relationships/hyperlink" Target="https://www.linkedin.com/learning/ihre-starken-finden?trk=contentmappingfile" TargetMode="External"/><Relationship Id="rId996" Type="http://schemas.openxmlformats.org/officeDocument/2006/relationships/hyperlink" Target="https://www.linkedin.com/learning/achtsamkeit-im-beruf-durch-meditation-achtsame-interaktion?trk=ondemandfile" TargetMode="External"/><Relationship Id="rId41" Type="http://schemas.openxmlformats.org/officeDocument/2006/relationships/hyperlink" Target="https://www.linkedin.com/learning/videokonferenzen-moderieren?trk=ondemandfile" TargetMode="External"/><Relationship Id="rId551" Type="http://schemas.openxmlformats.org/officeDocument/2006/relationships/hyperlink" Target="https://www.linkedin.com/learning/agiles-personalmanagement?trk=contentmappingfile" TargetMode="External"/><Relationship Id="rId649" Type="http://schemas.openxmlformats.org/officeDocument/2006/relationships/hyperlink" Target="https://www.linkedin.com/learning/mehr-ausstrahlung-mit-dem-charisma-code?trk=ondemandfile" TargetMode="External"/><Relationship Id="rId856" Type="http://schemas.openxmlformats.org/officeDocument/2006/relationships/hyperlink" Target="https://www.linkedin.com/learning/vertrieb-geht-heute-anders-blinkist-kernaussagen?trk=ondemandfile" TargetMode="External"/><Relationship Id="rId190" Type="http://schemas.openxmlformats.org/officeDocument/2006/relationships/hyperlink" Target="https://www.linkedin.com/learning/microsoft-teams-grundkurs?trk=ondemandfile" TargetMode="External"/><Relationship Id="rId204" Type="http://schemas.openxmlformats.org/officeDocument/2006/relationships/hyperlink" Target="https://www.linkedin.com/learning/sharepoint-2019-grundkurs?trk=ondemandfile" TargetMode="External"/><Relationship Id="rId288" Type="http://schemas.openxmlformats.org/officeDocument/2006/relationships/hyperlink" Target="https://www.linkedin.com/learning/konfliktlosung-grundlagen?trk=ondemandfile" TargetMode="External"/><Relationship Id="rId411" Type="http://schemas.openxmlformats.org/officeDocument/2006/relationships/hyperlink" Target="https://www.linkedin.com/learning/kreative-ideen-entwickeln-einfalle-fordern-und-hindern?trk=ondemandfile" TargetMode="External"/><Relationship Id="rId509" Type="http://schemas.openxmlformats.org/officeDocument/2006/relationships/hyperlink" Target="https://www.linkedin.com/learning/14e453e3-3213-3545-9cbd-14d4d7c505a1?trk=ondemandfile" TargetMode="External"/><Relationship Id="rId495" Type="http://schemas.openxmlformats.org/officeDocument/2006/relationships/hyperlink" Target="https://www.linkedin.com/learning/excel-statistische-funktionen?trk=ondemandfile" TargetMode="External"/><Relationship Id="rId716" Type="http://schemas.openxmlformats.org/officeDocument/2006/relationships/hyperlink" Target="https://www.linkedin.com/learning/besprechungen-moderieren?trk=ondemandfile" TargetMode="External"/><Relationship Id="rId923" Type="http://schemas.openxmlformats.org/officeDocument/2006/relationships/hyperlink" Target="https://www.linkedin.com/learning/personalwesen-onboarding-programme-durchfuhren?trk=ondemandfile" TargetMode="External"/><Relationship Id="rId52" Type="http://schemas.openxmlformats.org/officeDocument/2006/relationships/hyperlink" Target="https://www.linkedin.com/learning/paths/die-interkulturelle-kompetenz-erweitern?trk=ondemandfile" TargetMode="External"/><Relationship Id="rId148" Type="http://schemas.openxmlformats.org/officeDocument/2006/relationships/hyperlink" Target="https://www.linkedin.com/learning/die-teamleistung-messen?trk=ondemandfile" TargetMode="External"/><Relationship Id="rId355" Type="http://schemas.openxmlformats.org/officeDocument/2006/relationships/hyperlink" Target="https://www.linkedin.com/learning/2b71e442-7a58-300a-a24a-0fc99cb52cff?trk=ondemandfile" TargetMode="External"/><Relationship Id="rId562" Type="http://schemas.openxmlformats.org/officeDocument/2006/relationships/hyperlink" Target="https://www.linkedin.com/learning/linkedin-recruiter-lernen-2?trk=ondemandfile" TargetMode="External"/><Relationship Id="rId215" Type="http://schemas.openxmlformats.org/officeDocument/2006/relationships/hyperlink" Target="https://www.linkedin.com/learning/berichte-schreiben?trk=ondemandfile" TargetMode="External"/><Relationship Id="rId257" Type="http://schemas.openxmlformats.org/officeDocument/2006/relationships/hyperlink" Target="https://www.linkedin.com/learning/kunstliche-intelligenz-strategie-und-kommunikation-im-unternehmen?trk=ondemandfile" TargetMode="External"/><Relationship Id="rId422" Type="http://schemas.openxmlformats.org/officeDocument/2006/relationships/hyperlink" Target="https://www.linkedin.com/learning/8806380a-9091-31ee-accd-2c173a41388d?trk=ondemandfile" TargetMode="External"/><Relationship Id="rId464" Type="http://schemas.openxmlformats.org/officeDocument/2006/relationships/hyperlink" Target="https://www.linkedin.com/learning/paths/python-entwickler-in-werden?trk=ondemandfile" TargetMode="External"/><Relationship Id="rId867" Type="http://schemas.openxmlformats.org/officeDocument/2006/relationships/hyperlink" Target="https://www.linkedin.com/learning/digitale-transformation?trk=ondemandfile" TargetMode="External"/><Relationship Id="rId1010" Type="http://schemas.openxmlformats.org/officeDocument/2006/relationships/hyperlink" Target="https://www.linkedin.com/learning/feel-good-management?trk=ondemandfile" TargetMode="External"/><Relationship Id="rId299" Type="http://schemas.openxmlformats.org/officeDocument/2006/relationships/hyperlink" Target="https://www.linkedin.com/learning/paths/online-marketing-expert-in-werden?trk=ondemandfile" TargetMode="External"/><Relationship Id="rId727" Type="http://schemas.openxmlformats.org/officeDocument/2006/relationships/hyperlink" Target="https://www.linkedin.com/learning/das-einmaleins-des-guten-designs-pr-sentationen?trk=ondemandfile" TargetMode="External"/><Relationship Id="rId934" Type="http://schemas.openxmlformats.org/officeDocument/2006/relationships/hyperlink" Target="https://www.linkedin.com/learning/berufsbild-agiler-projektmanager?trk=ondemandfile" TargetMode="External"/><Relationship Id="rId63" Type="http://schemas.openxmlformats.org/officeDocument/2006/relationships/hyperlink" Target="https://www.linkedin.com/learning/eine-nachhaltige-work-life-balance-etablieren?trk=ondemandfile" TargetMode="External"/><Relationship Id="rId159" Type="http://schemas.openxmlformats.org/officeDocument/2006/relationships/hyperlink" Target="https://www.linkedin.com/learning/00-zielvereinbarung?trk=ondemandfile" TargetMode="External"/><Relationship Id="rId366" Type="http://schemas.openxmlformats.org/officeDocument/2006/relationships/hyperlink" Target="https://www.linkedin.com/learning/dcbad499-077d-3987-bdc0-44221ebfe75f?trk=ondemandfile" TargetMode="External"/><Relationship Id="rId573" Type="http://schemas.openxmlformats.org/officeDocument/2006/relationships/hyperlink" Target="https://www.linkedin.com/learning/interview-recruitung?trk=ondemandfile" TargetMode="External"/><Relationship Id="rId780" Type="http://schemas.openxmlformats.org/officeDocument/2006/relationships/hyperlink" Target="https://www.linkedin.com/learning/design-sprint?trk=ondemandfile" TargetMode="External"/><Relationship Id="rId226" Type="http://schemas.openxmlformats.org/officeDocument/2006/relationships/hyperlink" Target="https://www.linkedin.com/learning/die-7-schlimmsten-kommunikationsfehler?trk=contentmappingfile" TargetMode="External"/><Relationship Id="rId433" Type="http://schemas.openxmlformats.org/officeDocument/2006/relationships/hyperlink" Target="https://www.linkedin.com/learning/00-projprobl?trk=ondemandfile" TargetMode="External"/><Relationship Id="rId878" Type="http://schemas.openxmlformats.org/officeDocument/2006/relationships/hyperlink" Target="https://www.linkedin.com/learning/industrie-4-0-grundlagen-und-okosysteme?trk=ondemandfile" TargetMode="External"/><Relationship Id="rId640" Type="http://schemas.openxmlformats.org/officeDocument/2006/relationships/hyperlink" Target="https://www.linkedin.com/learning/fuhrungsstarke-ausstrahlen?trk=ondemandfile" TargetMode="External"/><Relationship Id="rId738" Type="http://schemas.openxmlformats.org/officeDocument/2006/relationships/hyperlink" Target="https://www.linkedin.com/learning/powerpoint-animationen-und-folienubergange?trk=ondemandfile" TargetMode="External"/><Relationship Id="rId945" Type="http://schemas.openxmlformats.org/officeDocument/2006/relationships/hyperlink" Target="https://www.linkedin.com/learning/hochleistungsteams-aufbauen?trk=ondemandfile" TargetMode="External"/><Relationship Id="rId74" Type="http://schemas.openxmlformats.org/officeDocument/2006/relationships/hyperlink" Target="https://www.linkedin.com/learning/kommunikation-in-zeiten-der-veranderung?trk=ondemandfile" TargetMode="External"/><Relationship Id="rId377" Type="http://schemas.openxmlformats.org/officeDocument/2006/relationships/hyperlink" Target="https://www.linkedin.com/learning/storytelling?trk=ondemandfile" TargetMode="External"/><Relationship Id="rId500" Type="http://schemas.openxmlformats.org/officeDocument/2006/relationships/hyperlink" Target="https://www.linkedin.com/learning/matlab-grundkurs?trk=ondemandfile" TargetMode="External"/><Relationship Id="rId584" Type="http://schemas.openxmlformats.org/officeDocument/2006/relationships/hyperlink" Target="https://www.linkedin.com/learning/als-fuhrungskraft-das-agile-lernen-im-team-unterstutzen?trk=ondemandfile" TargetMode="External"/><Relationship Id="rId805" Type="http://schemas.openxmlformats.org/officeDocument/2006/relationships/hyperlink" Target="https://www.linkedin.com/learning/00-pm-quali?trk=ondemandfile" TargetMode="External"/><Relationship Id="rId5" Type="http://schemas.openxmlformats.org/officeDocument/2006/relationships/hyperlink" Target="https://www.linkedin.com/learning/00-arbmethodmanag?trk=ondemandfile" TargetMode="External"/><Relationship Id="rId237" Type="http://schemas.openxmlformats.org/officeDocument/2006/relationships/hyperlink" Target="https://www.linkedin.com/learning/ihr-pers-nlicher-elevator-pitch?trk=ondemandfile" TargetMode="External"/><Relationship Id="rId791" Type="http://schemas.openxmlformats.org/officeDocument/2006/relationships/hyperlink" Target="https://www.linkedin.com/learning/office-365-project?trk=ondemandfile" TargetMode="External"/><Relationship Id="rId889" Type="http://schemas.openxmlformats.org/officeDocument/2006/relationships/hyperlink" Target="https://www.linkedin.com/learning/eine-unternehmensstrategie-entwickeln?trk=ondemandfile" TargetMode="External"/><Relationship Id="rId444" Type="http://schemas.openxmlformats.org/officeDocument/2006/relationships/hyperlink" Target="https://www.linkedin.com/learning/ein-team-im-kundenservice-leiten?trk=ondemandfile" TargetMode="External"/><Relationship Id="rId651" Type="http://schemas.openxmlformats.org/officeDocument/2006/relationships/hyperlink" Target="https://www.linkedin.com/learning/mentoring-im-tandem-zum-erfolg-blinkist-kernaussagen?trk=ondemandfile" TargetMode="External"/><Relationship Id="rId749" Type="http://schemas.openxmlformats.org/officeDocument/2006/relationships/hyperlink" Target="https://www.linkedin.com/learning/rede-vortrag-prasentation-die-buhnen-basics?trk=ondemandfile" TargetMode="External"/><Relationship Id="rId290" Type="http://schemas.openxmlformats.org/officeDocument/2006/relationships/hyperlink" Target="https://www.linkedin.com/learning/00-krisenkommunikation?trk=ondemandfile" TargetMode="External"/><Relationship Id="rId304" Type="http://schemas.openxmlformats.org/officeDocument/2006/relationships/hyperlink" Target="https://www.linkedin.com/learning/branding-und-markenmanagement-grundlagen?trk=ondemandfile" TargetMode="External"/><Relationship Id="rId388" Type="http://schemas.openxmlformats.org/officeDocument/2006/relationships/hyperlink" Target="https://www.linkedin.com/learning/blog-wordpress?trk=ondemandfile" TargetMode="External"/><Relationship Id="rId511" Type="http://schemas.openxmlformats.org/officeDocument/2006/relationships/hyperlink" Target="https://www.linkedin.com/learning/python-lernen?trk=ondemandfile" TargetMode="External"/><Relationship Id="rId609" Type="http://schemas.openxmlformats.org/officeDocument/2006/relationships/hyperlink" Target="https://www.linkedin.com/learning/paths/fuehrungskompetenz-weiterentwickeln?trk=ondemandfile" TargetMode="External"/><Relationship Id="rId956" Type="http://schemas.openxmlformats.org/officeDocument/2006/relationships/hyperlink" Target="https://www.linkedin.com/learning/paths/die-interkulturelle-kompetenz-erweitern?trk=ondemandfile" TargetMode="External"/><Relationship Id="rId85" Type="http://schemas.openxmlformats.org/officeDocument/2006/relationships/hyperlink" Target="https://www.linkedin.com/learning/unerwartete-veranderungen-annehmen?trk=ondemandfile" TargetMode="External"/><Relationship Id="rId150" Type="http://schemas.openxmlformats.org/officeDocument/2006/relationships/hyperlink" Target="https://www.linkedin.com/learning/technische-fachkrafte-fuhren?trk=ondemandfile" TargetMode="External"/><Relationship Id="rId595" Type="http://schemas.openxmlformats.org/officeDocument/2006/relationships/hyperlink" Target="https://www.linkedin.com/learning/fuhren-mit-innovation?trk=ondemandfile" TargetMode="External"/><Relationship Id="rId816" Type="http://schemas.openxmlformats.org/officeDocument/2006/relationships/hyperlink" Target="https://www.linkedin.com/learning/00-projprobl?trk=ondemandfile" TargetMode="External"/><Relationship Id="rId1001" Type="http://schemas.openxmlformats.org/officeDocument/2006/relationships/hyperlink" Target="https://www.linkedin.com/learning/das-frustjobkillerbuch-blinkist-kernaussagen?trk=ondemandfile" TargetMode="External"/><Relationship Id="rId248" Type="http://schemas.openxmlformats.org/officeDocument/2006/relationships/hyperlink" Target="https://www.linkedin.com/learning/kommunikation-in-zeiten-der-veranderung?trk=ondemandfile" TargetMode="External"/><Relationship Id="rId455" Type="http://schemas.openxmlformats.org/officeDocument/2006/relationships/hyperlink" Target="https://www.linkedin.com/learning/neue-kunden-finden?trk=ondemandfile" TargetMode="External"/><Relationship Id="rId662" Type="http://schemas.openxmlformats.org/officeDocument/2006/relationships/hyperlink" Target="https://www.linkedin.com/learning/potenzialtrager-fuhren?trk=ondemandfile" TargetMode="External"/><Relationship Id="rId12" Type="http://schemas.openxmlformats.org/officeDocument/2006/relationships/hyperlink" Target="https://www.linkedin.com/learning/businessprobleme-l-sen?trk=ondemandfile" TargetMode="External"/><Relationship Id="rId108" Type="http://schemas.openxmlformats.org/officeDocument/2006/relationships/hyperlink" Target="https://www.linkedin.com/learning/durch-360-grad-fuhrung-aufsteigen?trk=ondemandfile" TargetMode="External"/><Relationship Id="rId315" Type="http://schemas.openxmlformats.org/officeDocument/2006/relationships/hyperlink" Target="https://www.linkedin.com/learning/digital-nudging-nutzererfahrung-und-nutzerentscheidungen-positiv-beeinflussen?trk=ondemandfile" TargetMode="External"/><Relationship Id="rId522" Type="http://schemas.openxmlformats.org/officeDocument/2006/relationships/hyperlink" Target="https://www.linkedin.com/learning/sql-grundkurs-4-data-definition-language-ddl-und-data-control-language-dcl?trk=contentmappingfile" TargetMode="External"/><Relationship Id="rId967" Type="http://schemas.openxmlformats.org/officeDocument/2006/relationships/hyperlink" Target="https://www.linkedin.com/learning/interkulturelle-kompetenz?trk=ondemandfile" TargetMode="External"/><Relationship Id="rId96" Type="http://schemas.openxmlformats.org/officeDocument/2006/relationships/hyperlink" Target="https://www.linkedin.com/learning/paths/leader-in-werden?trk=ondemandfile" TargetMode="External"/><Relationship Id="rId161" Type="http://schemas.openxmlformats.org/officeDocument/2006/relationships/hyperlink" Target="https://www.linkedin.com/learning/paths/die-zusammenarbeit-fordern?trk=ondemandfile" TargetMode="External"/><Relationship Id="rId399" Type="http://schemas.openxmlformats.org/officeDocument/2006/relationships/hyperlink" Target="https://www.linkedin.com/learning/00-teamkreativitat?trk=ondemandfile" TargetMode="External"/><Relationship Id="rId827" Type="http://schemas.openxmlformats.org/officeDocument/2006/relationships/hyperlink" Target="https://www.linkedin.com/learning/dynamics-365-business-central-grundkurs?trk=ondemandfile" TargetMode="External"/><Relationship Id="rId1012" Type="http://schemas.openxmlformats.org/officeDocument/2006/relationships/hyperlink" Target="https://www.linkedin.com/learning/optimistisch-bleiben-im-job?trk=ondemandfile" TargetMode="External"/><Relationship Id="rId259" Type="http://schemas.openxmlformats.org/officeDocument/2006/relationships/hyperlink" Target="https://www.linkedin.com/learning/mehr-ausstrahlung-mit-dem-charisma-code?trk=ondemandfile" TargetMode="External"/><Relationship Id="rId466" Type="http://schemas.openxmlformats.org/officeDocument/2006/relationships/hyperlink" Target="https://www.linkedin.com/learning/data-governance-mit-microsoft-office-365?trk=ondemandfile" TargetMode="External"/><Relationship Id="rId673" Type="http://schemas.openxmlformats.org/officeDocument/2006/relationships/hyperlink" Target="https://www.linkedin.com/learning/werteorientiertes-management?trk=ondemandfile" TargetMode="External"/><Relationship Id="rId880" Type="http://schemas.openxmlformats.org/officeDocument/2006/relationships/hyperlink" Target="https://www.linkedin.com/learning/iot-grundlagen-modelle-und-anwendungen?trk=ondemandfile" TargetMode="External"/><Relationship Id="rId23" Type="http://schemas.openxmlformats.org/officeDocument/2006/relationships/hyperlink" Target="https://www.linkedin.com/learning/meditation-und-achtsamkeit-fur-neues-arbeiten?trk=ondemandfile" TargetMode="External"/><Relationship Id="rId119" Type="http://schemas.openxmlformats.org/officeDocument/2006/relationships/hyperlink" Target="https://www.linkedin.com/learning/fuhrungsqualitaten-fur-topmanager?trk=ondemandfile" TargetMode="External"/><Relationship Id="rId326" Type="http://schemas.openxmlformats.org/officeDocument/2006/relationships/hyperlink" Target="https://www.linkedin.com/learning/google-universal-analytics-grundkurs-1-planen-implementieren-verwalten?trk=contentmappingfile" TargetMode="External"/><Relationship Id="rId533" Type="http://schemas.openxmlformats.org/officeDocument/2006/relationships/hyperlink" Target="https://www.linkedin.com/learning/00-bilanzen-lesen-und-verstehen?trk=ondemandfile" TargetMode="External"/><Relationship Id="rId978" Type="http://schemas.openxmlformats.org/officeDocument/2006/relationships/hyperlink" Target="https://www.linkedin.com/learning/wertschatzende-kommunikation-trotz-unterschieden-erfolgreich-kommunizieren?trk=contentmappingfile" TargetMode="External"/><Relationship Id="rId740" Type="http://schemas.openxmlformats.org/officeDocument/2006/relationships/hyperlink" Target="https://www.linkedin.com/learning/powerpoint-daten-aus-excel-bernehmen?trk=ondemandfile" TargetMode="External"/><Relationship Id="rId838" Type="http://schemas.openxmlformats.org/officeDocument/2006/relationships/hyperlink" Target="https://www.linkedin.com/learning/00-magento-entwickler?trk=ondemandfile" TargetMode="External"/><Relationship Id="rId172" Type="http://schemas.openxmlformats.org/officeDocument/2006/relationships/hyperlink" Target="https://www.linkedin.com/learning/emotionale-intelligenz-entwickeln?trk=ondemandfile" TargetMode="External"/><Relationship Id="rId477" Type="http://schemas.openxmlformats.org/officeDocument/2006/relationships/hyperlink" Target="https://www.linkedin.com/learning/azure-2?trk=ondemandfile" TargetMode="External"/><Relationship Id="rId600" Type="http://schemas.openxmlformats.org/officeDocument/2006/relationships/hyperlink" Target="https://www.linkedin.com/learning/kommunikation-in-zeiten-der-veranderung?trk=ondemandfile" TargetMode="External"/><Relationship Id="rId684" Type="http://schemas.openxmlformats.org/officeDocument/2006/relationships/hyperlink" Target="https://www.linkedin.com/learning/00-ergebnis-manag?trk=ondemandfile" TargetMode="External"/><Relationship Id="rId337" Type="http://schemas.openxmlformats.org/officeDocument/2006/relationships/hyperlink" Target="https://www.linkedin.com/learning/kreative-methoden-fur-marketing-kampagnen?trk=ondemandfile" TargetMode="External"/><Relationship Id="rId891" Type="http://schemas.openxmlformats.org/officeDocument/2006/relationships/hyperlink" Target="https://www.linkedin.com/learning/strategische-analysen?trk=ondemandfile" TargetMode="External"/><Relationship Id="rId905" Type="http://schemas.openxmlformats.org/officeDocument/2006/relationships/hyperlink" Target="https://www.linkedin.com/learning/coaching-skills-fur-fuhrungskrafte?trk=ondemandfile" TargetMode="External"/><Relationship Id="rId989" Type="http://schemas.openxmlformats.org/officeDocument/2006/relationships/hyperlink" Target="https://www.linkedin.com/learning/kreatives-texten-wortspiele-metaphern-co?trk=ondemandfile" TargetMode="External"/><Relationship Id="rId34" Type="http://schemas.openxmlformats.org/officeDocument/2006/relationships/hyperlink" Target="https://www.linkedin.com/learning/selbstmotivation?trk=ondemandfile" TargetMode="External"/><Relationship Id="rId544" Type="http://schemas.openxmlformats.org/officeDocument/2006/relationships/hyperlink" Target="https://www.linkedin.com/learning/e4d1e956-259e-36d6-baae-f836ce983afc?trk=ondemandfile" TargetMode="External"/><Relationship Id="rId751" Type="http://schemas.openxmlformats.org/officeDocument/2006/relationships/hyperlink" Target="https://www.linkedin.com/learning/00-vortrag-form?trk=ondemandfile" TargetMode="External"/><Relationship Id="rId849" Type="http://schemas.openxmlformats.org/officeDocument/2006/relationships/hyperlink" Target="https://www.linkedin.com/learning/storytelling-fur-vertrieb-und-verkauf-einfuhrung-und-basics?trk=ondemandfile" TargetMode="External"/><Relationship Id="rId183" Type="http://schemas.openxmlformats.org/officeDocument/2006/relationships/hyperlink" Target="https://www.linkedin.com/learning/00-anteilmanag?trk=ondemandfile" TargetMode="External"/><Relationship Id="rId390" Type="http://schemas.openxmlformats.org/officeDocument/2006/relationships/hyperlink" Target="https://www.linkedin.com/learning/paths/erweitern-sie-ihre-kreativitats-skills?trk=ondemandfile" TargetMode="External"/><Relationship Id="rId404" Type="http://schemas.openxmlformats.org/officeDocument/2006/relationships/hyperlink" Target="https://www.linkedin.com/learning/ihre-ideen-durchsetzen?trk=ondemandfile" TargetMode="External"/><Relationship Id="rId611" Type="http://schemas.openxmlformats.org/officeDocument/2006/relationships/hyperlink" Target="https://www.linkedin.com/learning/paths/fuhrungskraft-werden?trk=ondemandfile" TargetMode="External"/><Relationship Id="rId250" Type="http://schemas.openxmlformats.org/officeDocument/2006/relationships/hyperlink" Target="https://www.linkedin.com/learning/00-angularjs-best-practices?trk=ondemandfile" TargetMode="External"/><Relationship Id="rId488" Type="http://schemas.openxmlformats.org/officeDocument/2006/relationships/hyperlink" Target="https://www.linkedin.com/learning/excel-dashboards?trk=ondemandfile" TargetMode="External"/><Relationship Id="rId695" Type="http://schemas.openxmlformats.org/officeDocument/2006/relationships/hyperlink" Target="https://www.linkedin.com/learning/potenzialtrager-fuhren?trk=ondemandfile" TargetMode="External"/><Relationship Id="rId709" Type="http://schemas.openxmlformats.org/officeDocument/2006/relationships/hyperlink" Target="https://www.linkedin.com/learning/lean-six-sigma-grundlagen?trk=ondemandfile" TargetMode="External"/><Relationship Id="rId916" Type="http://schemas.openxmlformats.org/officeDocument/2006/relationships/hyperlink" Target="https://www.linkedin.com/learning/00-mentoring?trk=ondemandfile" TargetMode="External"/><Relationship Id="rId45" Type="http://schemas.openxmlformats.org/officeDocument/2006/relationships/hyperlink" Target="https://www.linkedin.com/learning/zeitmanagement-mit-outlook?trk=ondemandfile" TargetMode="External"/><Relationship Id="rId110" Type="http://schemas.openxmlformats.org/officeDocument/2006/relationships/hyperlink" Target="https://www.linkedin.com/learning/erfahrene-fuhrungskrafte-fuhren?trk=ondemandfile" TargetMode="External"/><Relationship Id="rId348" Type="http://schemas.openxmlformats.org/officeDocument/2006/relationships/hyperlink" Target="https://www.linkedin.com/learning/marketing-mit-kleinem-budget?trk=ondemandfile" TargetMode="External"/><Relationship Id="rId555" Type="http://schemas.openxmlformats.org/officeDocument/2006/relationships/hyperlink" Target="https://www.linkedin.com/learning/einfuhrung-ins-e-learning?trk=ondemandfile" TargetMode="External"/><Relationship Id="rId762" Type="http://schemas.openxmlformats.org/officeDocument/2006/relationships/hyperlink" Target="https://www.linkedin.com/learning/paths/agile-methoden-einsetzen?trk=ondemandfile" TargetMode="External"/><Relationship Id="rId194" Type="http://schemas.openxmlformats.org/officeDocument/2006/relationships/hyperlink" Target="https://www.linkedin.com/learning/lernen-ansprechbar-zu-sein?trk=ondemandfile" TargetMode="External"/><Relationship Id="rId208" Type="http://schemas.openxmlformats.org/officeDocument/2006/relationships/hyperlink" Target="https://www.linkedin.com/learning/vertrauen-aufbauen-aufrechterhalten-und-wiederherstellen?trk=contentmappingfile" TargetMode="External"/><Relationship Id="rId415" Type="http://schemas.openxmlformats.org/officeDocument/2006/relationships/hyperlink" Target="https://www.linkedin.com/learning/kreativnetzwerk?trk=ondemandfile" TargetMode="External"/><Relationship Id="rId622" Type="http://schemas.openxmlformats.org/officeDocument/2006/relationships/hyperlink" Target="https://www.linkedin.com/learning/die-5-rollen-einer-fuhrungskraft?trk=contentmappingfile" TargetMode="External"/><Relationship Id="rId261" Type="http://schemas.openxmlformats.org/officeDocument/2006/relationships/hyperlink" Target="https://www.linkedin.com/learning/mit-dem-ersten-eindruck-uberzeugen?trk=ondemandfile" TargetMode="External"/><Relationship Id="rId499" Type="http://schemas.openxmlformats.org/officeDocument/2006/relationships/hyperlink" Target="https://www.linkedin.com/learning/mathematik-grundbegriffe-fur-programmierer?trk=ondemandfile" TargetMode="External"/><Relationship Id="rId927" Type="http://schemas.openxmlformats.org/officeDocument/2006/relationships/hyperlink" Target="https://www.linkedin.com/learning/interview-recruitung?trk=ondemandfile" TargetMode="External"/><Relationship Id="rId56" Type="http://schemas.openxmlformats.org/officeDocument/2006/relationships/hyperlink" Target="https://de.linkedin.com/learning/paths/starken-sie-ihre-schlusselkompetenzen?trk=ondemandfile" TargetMode="External"/><Relationship Id="rId359" Type="http://schemas.openxmlformats.org/officeDocument/2006/relationships/hyperlink" Target="https://www.linkedin.com/learning/00-recht-fur-blogger?trk=ondemandfile" TargetMode="External"/><Relationship Id="rId566" Type="http://schemas.openxmlformats.org/officeDocument/2006/relationships/hyperlink" Target="https://www.linkedin.com/learning/hr-strategien?trk=ondemandfile" TargetMode="External"/><Relationship Id="rId773" Type="http://schemas.openxmlformats.org/officeDocument/2006/relationships/hyperlink" Target="https://www.linkedin.com/learning/agiles-projektmanagement?trk=ondemandfile" TargetMode="External"/><Relationship Id="rId121" Type="http://schemas.openxmlformats.org/officeDocument/2006/relationships/hyperlink" Target="https://www.linkedin.com/learning/fuhrungsstarke-ausstrahlen-tipps-fur-frauen?trk=ondemandfile" TargetMode="External"/><Relationship Id="rId219" Type="http://schemas.openxmlformats.org/officeDocument/2006/relationships/hyperlink" Target="https://www.linkedin.com/learning/besser-zuhoren?trk=ondemandfile" TargetMode="External"/><Relationship Id="rId426" Type="http://schemas.openxmlformats.org/officeDocument/2006/relationships/hyperlink" Target="https://www.linkedin.com/learning/kritisches-denken-fur-besseres-urteilsvermogen-und-bessere-entscheidungsfindung?trk=contentmappingfile" TargetMode="External"/><Relationship Id="rId633" Type="http://schemas.openxmlformats.org/officeDocument/2006/relationships/hyperlink" Target="https://www.linkedin.com/learning/fuhren-ohne-positionsmacht?trk=ondemandfile" TargetMode="External"/><Relationship Id="rId980" Type="http://schemas.openxmlformats.org/officeDocument/2006/relationships/hyperlink" Target="https://www.linkedin.com/learning/paths/bessere-texte-schreiben?trk=ondemandfile" TargetMode="External"/><Relationship Id="rId840" Type="http://schemas.openxmlformats.org/officeDocument/2006/relationships/hyperlink" Target="https://www.linkedin.com/learning/aufmerksamkeit-im-verkauf?trk=ondemandfile" TargetMode="External"/><Relationship Id="rId938" Type="http://schemas.openxmlformats.org/officeDocument/2006/relationships/hyperlink" Target="https://www.linkedin.com/learning/coaching-fur-mehr-wachstum?trk=ondemandfile" TargetMode="External"/><Relationship Id="rId67" Type="http://schemas.openxmlformats.org/officeDocument/2006/relationships/hyperlink" Target="https://www.linkedin.com/learning/fuhren-mit-innovation?trk=ondemandfile" TargetMode="External"/><Relationship Id="rId272" Type="http://schemas.openxmlformats.org/officeDocument/2006/relationships/hyperlink" Target="https://www.linkedin.com/learning/storytelling?trk=ondemandfile" TargetMode="External"/><Relationship Id="rId577" Type="http://schemas.openxmlformats.org/officeDocument/2006/relationships/hyperlink" Target="https://www.linkedin.com/learning/00-zielvereinbarung?trk=ondemandfile" TargetMode="External"/><Relationship Id="rId700" Type="http://schemas.openxmlformats.org/officeDocument/2006/relationships/hyperlink" Target="https://www.linkedin.com/learning/ziele-fur-mitarbeiter-innen-und-teams-setzen?trk=ondemandfile" TargetMode="External"/><Relationship Id="rId132" Type="http://schemas.openxmlformats.org/officeDocument/2006/relationships/hyperlink" Target="https://www.linkedin.com/learning/leistungstrager-fuhren?trk=ondemandfile" TargetMode="External"/><Relationship Id="rId784" Type="http://schemas.openxmlformats.org/officeDocument/2006/relationships/hyperlink" Target="https://www.linkedin.com/learning/ein-agiles-mindset-entwickeln?trk=ondemandfile" TargetMode="External"/><Relationship Id="rId991" Type="http://schemas.openxmlformats.org/officeDocument/2006/relationships/hyperlink" Target="https://www.linkedin.com/learning/professionelle-bewerbungsunterlagen-erstellen?trk=ondemandfile" TargetMode="External"/><Relationship Id="rId437" Type="http://schemas.openxmlformats.org/officeDocument/2006/relationships/hyperlink" Target="https://www.linkedin.com/learning/00-zielvereinbarung?trk=ondemandfile" TargetMode="External"/><Relationship Id="rId644" Type="http://schemas.openxmlformats.org/officeDocument/2006/relationships/hyperlink" Target="https://www.linkedin.com/learning/hybride-teams-fuhren?trk=contentmappingfile" TargetMode="External"/><Relationship Id="rId851" Type="http://schemas.openxmlformats.org/officeDocument/2006/relationships/hyperlink" Target="https://www.linkedin.com/learning/strategisch-verhandeln?trk=ondemandfile" TargetMode="External"/><Relationship Id="rId283" Type="http://schemas.openxmlformats.org/officeDocument/2006/relationships/hyperlink" Target="https://www.linkedin.com/learning/erfolgreiche-einzelgesprache-fuhren?trk=ondemandfile" TargetMode="External"/><Relationship Id="rId490" Type="http://schemas.openxmlformats.org/officeDocument/2006/relationships/hyperlink" Target="https://www.linkedin.com/learning/excel-dynamische-array-funktionen?trk=ondemandfile" TargetMode="External"/><Relationship Id="rId504" Type="http://schemas.openxmlformats.org/officeDocument/2006/relationships/hyperlink" Target="https://www.linkedin.com/learning/postgresql-grundkurs-2?trk=ondemandfile" TargetMode="External"/><Relationship Id="rId711" Type="http://schemas.openxmlformats.org/officeDocument/2006/relationships/hyperlink" Target="https://www.linkedin.com/learning/operative-exzellenz-grundlagen?trk=ondemandfile" TargetMode="External"/><Relationship Id="rId949" Type="http://schemas.openxmlformats.org/officeDocument/2006/relationships/hyperlink" Target="https://www.linkedin.com/learning/mitarbeiter-innen-motivieren?trk=ondemandfile" TargetMode="External"/><Relationship Id="rId78" Type="http://schemas.openxmlformats.org/officeDocument/2006/relationships/hyperlink" Target="https://www.linkedin.com/learning/mentale-starke-fur-mehr-erfolg-im-beruf?trk=ondemandfile" TargetMode="External"/><Relationship Id="rId143" Type="http://schemas.openxmlformats.org/officeDocument/2006/relationships/hyperlink" Target="https://www.linkedin.com/learning/servant-leadership-dienende-fuhrung?trk=ondemandfile" TargetMode="External"/><Relationship Id="rId350" Type="http://schemas.openxmlformats.org/officeDocument/2006/relationships/hyperlink" Target="https://www.linkedin.com/learning/marketing-mit-social-media-stories?trk=ondemandfile" TargetMode="External"/><Relationship Id="rId588" Type="http://schemas.openxmlformats.org/officeDocument/2006/relationships/hyperlink" Target="https://www.linkedin.com/learning/00-design-thinking?trk=ondemandfile" TargetMode="External"/><Relationship Id="rId795" Type="http://schemas.openxmlformats.org/officeDocument/2006/relationships/hyperlink" Target="https://www.linkedin.com/learning/projekt-kompass-blinkist-kernaussagen?trk=ondemandfile" TargetMode="External"/><Relationship Id="rId809" Type="http://schemas.openxmlformats.org/officeDocument/2006/relationships/hyperlink" Target="https://www.linkedin.com/learning/00-pm-tools?trk=ondemandfile" TargetMode="External"/><Relationship Id="rId9" Type="http://schemas.openxmlformats.org/officeDocument/2006/relationships/hyperlink" Target="https://www.linkedin.com/learning/825ea799-d58c-3ea0-99eb-6890487e8958?trk=ondemandfile" TargetMode="External"/><Relationship Id="rId210" Type="http://schemas.openxmlformats.org/officeDocument/2006/relationships/hyperlink" Target="https://www.linkedin.com/learning/probleme-konfliktfrei-losen-mit-inspektor-columbo-columbos-regeln?trk=contentmappingfile" TargetMode="External"/><Relationship Id="rId448" Type="http://schemas.openxmlformats.org/officeDocument/2006/relationships/hyperlink" Target="https://www.linkedin.com/learning/fuhrung-im-kundenservice?trk=ondemandfile" TargetMode="External"/><Relationship Id="rId655" Type="http://schemas.openxmlformats.org/officeDocument/2006/relationships/hyperlink" Target="https://www.linkedin.com/learning/multikulturelle-teams-f-hren?trk=ondemandfile" TargetMode="External"/><Relationship Id="rId862" Type="http://schemas.openxmlformats.org/officeDocument/2006/relationships/hyperlink" Target="https://www.linkedin.com/learning/businessplan-f-r-ihr-unternehmen?trk=ondemandfile" TargetMode="External"/><Relationship Id="rId294" Type="http://schemas.openxmlformats.org/officeDocument/2006/relationships/hyperlink" Target="https://www.linkedin.com/learning/00-feedback?trk=ondemandfile" TargetMode="External"/><Relationship Id="rId308" Type="http://schemas.openxmlformats.org/officeDocument/2006/relationships/hyperlink" Target="https://www.linkedin.com/learning/content-creation-fur-social-media-in-10-minuten?trk=ondemandfile" TargetMode="External"/><Relationship Id="rId515" Type="http://schemas.openxmlformats.org/officeDocument/2006/relationships/hyperlink" Target="https://www.linkedin.com/learning/r-grundkurs-1?trk=ondemandfile" TargetMode="External"/><Relationship Id="rId722" Type="http://schemas.openxmlformats.org/officeDocument/2006/relationships/hyperlink" Target="https://www.linkedin.com/learning/data-science-lernen-storytelling-mit-daten?trk=ondemandfile" TargetMode="External"/><Relationship Id="rId89" Type="http://schemas.openxmlformats.org/officeDocument/2006/relationships/hyperlink" Target="https://www.linkedin.com/learning/agil-arbeiten-agile-meetings-produktiv-durchfuhren?trk=ondemandfile" TargetMode="External"/><Relationship Id="rId154" Type="http://schemas.openxmlformats.org/officeDocument/2006/relationships/hyperlink" Target="https://www.linkedin.com/learning/virtuelle-teams-fuhren-16362149?trk=contentmappingfile" TargetMode="External"/><Relationship Id="rId361" Type="http://schemas.openxmlformats.org/officeDocument/2006/relationships/hyperlink" Target="https://www.linkedin.com/learning/rechtsgrundlagen-online-impressum?trk=ondemandfile" TargetMode="External"/><Relationship Id="rId599" Type="http://schemas.openxmlformats.org/officeDocument/2006/relationships/hyperlink" Target="https://www.linkedin.com/learning/innovation-in-unternehmen?trk=ondemandfile" TargetMode="External"/><Relationship Id="rId1005" Type="http://schemas.openxmlformats.org/officeDocument/2006/relationships/hyperlink" Target="https://www.linkedin.com/learning/kurze-meditationen-fur-beruf-und-alltag?trk=contentmappingfile" TargetMode="External"/><Relationship Id="rId459" Type="http://schemas.openxmlformats.org/officeDocument/2006/relationships/hyperlink" Target="https://www.linkedin.com/learning/apache-kafka-erweiterte-konzepte-lernen?trk=contentmappingfile" TargetMode="External"/><Relationship Id="rId666" Type="http://schemas.openxmlformats.org/officeDocument/2006/relationships/hyperlink" Target="https://www.linkedin.com/learning/technische-fachkrafte-fuhren?trk=ondemandfile" TargetMode="External"/><Relationship Id="rId873" Type="http://schemas.openxmlformats.org/officeDocument/2006/relationships/hyperlink" Target="https://www.linkedin.com/learning/8806380a-9091-31ee-accd-2c173a41388d?trk=ondemandfile" TargetMode="External"/><Relationship Id="rId16" Type="http://schemas.openxmlformats.org/officeDocument/2006/relationships/hyperlink" Target="https://www.linkedin.com/learning/eine-nachhaltige-work-life-balance-etablieren?trk=ondemandfile" TargetMode="External"/><Relationship Id="rId221" Type="http://schemas.openxmlformats.org/officeDocument/2006/relationships/hyperlink" Target="https://www.linkedin.com/learning/business-englisch-online-vorstellungsgesprache-meistern?trk=ondemandfile" TargetMode="External"/><Relationship Id="rId319" Type="http://schemas.openxmlformats.org/officeDocument/2006/relationships/hyperlink" Target="https://www.linkedin.com/learning/einen-marketingplan-schreiben?trk=ondemandfile" TargetMode="External"/><Relationship Id="rId526" Type="http://schemas.openxmlformats.org/officeDocument/2006/relationships/hyperlink" Target="https://www.linkedin.com/learning/8c55c7eb-fbae-34f3-9378-f86a417b0088?trk=ondemandfile" TargetMode="External"/><Relationship Id="rId733" Type="http://schemas.openxmlformats.org/officeDocument/2006/relationships/hyperlink" Target="https://www.linkedin.com/learning/mehr-ausstrahlung-mit-dem-charisma-code?trk=ondemandfile" TargetMode="External"/><Relationship Id="rId940" Type="http://schemas.openxmlformats.org/officeDocument/2006/relationships/hyperlink" Target="https://www.linkedin.com/learning/die-leistung-der-mitarbeiter-innen-steigern?trk=ondemandfile" TargetMode="External"/><Relationship Id="rId1016" Type="http://schemas.openxmlformats.org/officeDocument/2006/relationships/hyperlink" Target="https://www.linkedin.com/learning/stress-bewaltigen-2-fur-mehr-balance-und-gesundheit?trk=contentmappingfile" TargetMode="External"/><Relationship Id="rId165" Type="http://schemas.openxmlformats.org/officeDocument/2006/relationships/hyperlink" Target="https://www.linkedin.com/learning/besser-zuhoren?trk=ondemandfile" TargetMode="External"/><Relationship Id="rId372" Type="http://schemas.openxmlformats.org/officeDocument/2006/relationships/hyperlink" Target="https://www.linkedin.com/learning/snapchat-f-r-kreative?trk=ondemandfile" TargetMode="External"/><Relationship Id="rId677" Type="http://schemas.openxmlformats.org/officeDocument/2006/relationships/hyperlink" Target="https://www.linkedin.com/learning/paths/fuhrungskraft-werden?trk=ondemandfile" TargetMode="External"/><Relationship Id="rId800" Type="http://schemas.openxmlformats.org/officeDocument/2006/relationships/hyperlink" Target="https://www.linkedin.com/learning/00-pm-komm?trk=ondemandfile" TargetMode="External"/><Relationship Id="rId232" Type="http://schemas.openxmlformats.org/officeDocument/2006/relationships/hyperlink" Target="https://www.linkedin.com/learning/erfolgreiche-einzelgesprache-fuhren?trk=ondemandfile" TargetMode="External"/><Relationship Id="rId884" Type="http://schemas.openxmlformats.org/officeDocument/2006/relationships/hyperlink" Target="https://www.linkedin.com/learning/marketing-strategien-das-online-marketing-cockpit?trk=ondemandfile" TargetMode="External"/><Relationship Id="rId27" Type="http://schemas.openxmlformats.org/officeDocument/2006/relationships/hyperlink" Target="https://www.linkedin.com/learning/ortsunabhangig-arbeiten?trk=ondemandfile" TargetMode="External"/><Relationship Id="rId537" Type="http://schemas.openxmlformats.org/officeDocument/2006/relationships/hyperlink" Target="https://www.linkedin.com/learning/finanzen-grundlagen?trk=ondemandfile" TargetMode="External"/><Relationship Id="rId744" Type="http://schemas.openxmlformats.org/officeDocument/2006/relationships/hyperlink" Target="https://www.linkedin.com/learning/powerpoint-visualisierung?trk=ondemandfile" TargetMode="External"/><Relationship Id="rId951" Type="http://schemas.openxmlformats.org/officeDocument/2006/relationships/hyperlink" Target="https://www.linkedin.com/learning/administrative-personalarbeit?trk=ondemandfile" TargetMode="External"/><Relationship Id="rId80" Type="http://schemas.openxmlformats.org/officeDocument/2006/relationships/hyperlink" Target="https://www.linkedin.com/learning/multikulturelle-teams-f-hren?trk=ondemandfile" TargetMode="External"/><Relationship Id="rId176" Type="http://schemas.openxmlformats.org/officeDocument/2006/relationships/hyperlink" Target="https://www.linkedin.com/learning/fred-kofman-uber-konfliktmanagement?trk=ondemandfile" TargetMode="External"/><Relationship Id="rId383" Type="http://schemas.openxmlformats.org/officeDocument/2006/relationships/hyperlink" Target="https://www.linkedin.com/learning/00-visuelles-storytelling?trk=ondemandfile" TargetMode="External"/><Relationship Id="rId590" Type="http://schemas.openxmlformats.org/officeDocument/2006/relationships/hyperlink" Target="https://www.linkedin.com/learning/digitale-transformation?trk=ondemandfile" TargetMode="External"/><Relationship Id="rId604" Type="http://schemas.openxmlformats.org/officeDocument/2006/relationships/hyperlink" Target="https://www.linkedin.com/learning/00-leading-change?trk=ondemandfile" TargetMode="External"/><Relationship Id="rId811" Type="http://schemas.openxmlformats.org/officeDocument/2006/relationships/hyperlink" Target="https://www.linkedin.com/learning/00-product-owner?trk=ondemandfile" TargetMode="External"/><Relationship Id="rId243" Type="http://schemas.openxmlformats.org/officeDocument/2006/relationships/hyperlink" Target="https://www.linkedin.com/learning/in-der-videokonferenz-uberzeugen?trk=ondemandfile" TargetMode="External"/><Relationship Id="rId450" Type="http://schemas.openxmlformats.org/officeDocument/2006/relationships/hyperlink" Target="https://www.linkedin.com/learning/kunden-begeistern-mit-system-blinkist-kernaussagen?trk=ondemandfile" TargetMode="External"/><Relationship Id="rId688" Type="http://schemas.openxmlformats.org/officeDocument/2006/relationships/hyperlink" Target="https://www.linkedin.com/learning/mehrere-generationen-managen?trk=ondemandfile" TargetMode="External"/><Relationship Id="rId895" Type="http://schemas.openxmlformats.org/officeDocument/2006/relationships/hyperlink" Target="https://www.linkedin.com/learning/65e30dde-df28-3a85-89cd-faaf0c298709?trk=ondemandfile" TargetMode="External"/><Relationship Id="rId909" Type="http://schemas.openxmlformats.org/officeDocument/2006/relationships/hyperlink" Target="https://www.linkedin.com/learning/e-learning-technologien-und-systeme?trk=ondemandfile" TargetMode="External"/><Relationship Id="rId38" Type="http://schemas.openxmlformats.org/officeDocument/2006/relationships/hyperlink" Target="https://www.linkedin.com/learning/00-projprobl?trk=ondemandfile" TargetMode="External"/><Relationship Id="rId103" Type="http://schemas.openxmlformats.org/officeDocument/2006/relationships/hyperlink" Target="https://www.linkedin.com/learning/das-personal-der-zukunft?trk=ondemandfile" TargetMode="External"/><Relationship Id="rId310" Type="http://schemas.openxmlformats.org/officeDocument/2006/relationships/hyperlink" Target="https://www.linkedin.com/learning/00-content-marketing?trk=ondemandfile" TargetMode="External"/><Relationship Id="rId548" Type="http://schemas.openxmlformats.org/officeDocument/2006/relationships/hyperlink" Target="https://www.linkedin.com/learning/paths/mitarbeiter-finden-und-halten?trk=ondemandfile" TargetMode="External"/><Relationship Id="rId755" Type="http://schemas.openxmlformats.org/officeDocument/2006/relationships/hyperlink" Target="https://www.linkedin.com/learning/souveran-auftreten-und-uberzeugend-kommunizieren?trk=contentmappingfile" TargetMode="External"/><Relationship Id="rId962" Type="http://schemas.openxmlformats.org/officeDocument/2006/relationships/hyperlink" Target="https://www.linkedin.com/learning/erfolgsstrategien-fur-frauen-im-beruf?trk=ondemandfile" TargetMode="External"/><Relationship Id="rId91" Type="http://schemas.openxmlformats.org/officeDocument/2006/relationships/hyperlink" Target="https://www.linkedin.com/learning/agil-arbeiten-ein-agiles-team-aufbauen?trk=ondemandfile" TargetMode="External"/><Relationship Id="rId187" Type="http://schemas.openxmlformats.org/officeDocument/2006/relationships/hyperlink" Target="https://www.linkedin.com/learning/kreativnetzwerk?trk=ondemandfile" TargetMode="External"/><Relationship Id="rId394" Type="http://schemas.openxmlformats.org/officeDocument/2006/relationships/hyperlink" Target="https://www.linkedin.com/learning/paths/durch-veranderungsprozesse-fuhren?trk=ondemandfile" TargetMode="External"/><Relationship Id="rId408" Type="http://schemas.openxmlformats.org/officeDocument/2006/relationships/hyperlink" Target="https://www.linkedin.com/learning/kreative-ideen-entwickeln?trk=ondemandfile" TargetMode="External"/><Relationship Id="rId615" Type="http://schemas.openxmlformats.org/officeDocument/2006/relationships/hyperlink" Target="https://www.linkedin.com/learning/paths/leader-in-werden?trk=ondemandfile" TargetMode="External"/><Relationship Id="rId822" Type="http://schemas.openxmlformats.org/officeDocument/2006/relationships/hyperlink" Target="https://www.linkedin.com/learning/an-topmanager-innen-verkaufen?trk=ondemandfile" TargetMode="External"/><Relationship Id="rId254" Type="http://schemas.openxmlformats.org/officeDocument/2006/relationships/hyperlink" Target="https://www.linkedin.com/learning/kreatives-texten-wortspiele-metaphern-co?trk=ondemandfile" TargetMode="External"/><Relationship Id="rId699" Type="http://schemas.openxmlformats.org/officeDocument/2006/relationships/hyperlink" Target="https://www.linkedin.com/learning/virtuelle-teams-fuhren-16362149?trk=contentmappingfile" TargetMode="External"/><Relationship Id="rId49" Type="http://schemas.openxmlformats.org/officeDocument/2006/relationships/hyperlink" Target="https://www.linkedin.com/learning/achtsamkeit?trk=ondemandfile" TargetMode="External"/><Relationship Id="rId114" Type="http://schemas.openxmlformats.org/officeDocument/2006/relationships/hyperlink" Target="https://www.linkedin.com/learning/fuhren-ohne-positionsmacht?trk=ondemandfile" TargetMode="External"/><Relationship Id="rId461" Type="http://schemas.openxmlformats.org/officeDocument/2006/relationships/hyperlink" Target="https://www.linkedin.com/learning/big-data-grundlagen-methoden-und-konzepte-im-zeitalter-von-ki?trk=ondemandfile" TargetMode="External"/><Relationship Id="rId559" Type="http://schemas.openxmlformats.org/officeDocument/2006/relationships/hyperlink" Target="https://www.linkedin.com/learning/gesprache-strukturieren-und-steuern?trk=contentmappingfile" TargetMode="External"/><Relationship Id="rId766" Type="http://schemas.openxmlformats.org/officeDocument/2006/relationships/hyperlink" Target="https://www.linkedin.com/learning/paths/projektkoordinator-in-werden?trk=ondemandfile" TargetMode="External"/><Relationship Id="rId198" Type="http://schemas.openxmlformats.org/officeDocument/2006/relationships/hyperlink" Target="https://www.linkedin.com/learning/ortsunabhangig-arbeiten?trk=ondemandfile" TargetMode="External"/><Relationship Id="rId321" Type="http://schemas.openxmlformats.org/officeDocument/2006/relationships/hyperlink" Target="https://www.linkedin.com/learning/executive-summary-personal-branding-mit-linkedin?trk=ondemandfile" TargetMode="External"/><Relationship Id="rId419" Type="http://schemas.openxmlformats.org/officeDocument/2006/relationships/hyperlink" Target="https://www.linkedin.com/learning/berufliche-ziele-setzen-und-erreichen?trk=ondemandfile" TargetMode="External"/><Relationship Id="rId626" Type="http://schemas.openxmlformats.org/officeDocument/2006/relationships/hyperlink" Target="https://www.linkedin.com/learning/erfahrene-fuhrungskrafte-fuhren?trk=ondemandfile" TargetMode="External"/><Relationship Id="rId973" Type="http://schemas.openxmlformats.org/officeDocument/2006/relationships/hyperlink" Target="https://www.linkedin.com/learning/social-diversity-unternehmenserfolg-durch-soziale-vielfalt?trk=ondemandfile" TargetMode="External"/><Relationship Id="rId833" Type="http://schemas.openxmlformats.org/officeDocument/2006/relationships/hyperlink" Target="https://www.linkedin.com/learning/00-fragen-verkauf?trk=ondemandfile" TargetMode="External"/><Relationship Id="rId265" Type="http://schemas.openxmlformats.org/officeDocument/2006/relationships/hyperlink" Target="https://www.linkedin.com/learning/probleme-konfliktfrei-losen-mit-inspektor-columbo-columbos-regeln?trk=contentmappingfile" TargetMode="External"/><Relationship Id="rId472" Type="http://schemas.openxmlformats.org/officeDocument/2006/relationships/hyperlink" Target="https://www.linkedin.com/learning/daten-visualisieren-mit-chart-js?trk=ondemandfile" TargetMode="External"/><Relationship Id="rId900" Type="http://schemas.openxmlformats.org/officeDocument/2006/relationships/hyperlink" Target="https://www.linkedin.com/learning/agiles-lernen-in-organisationen?trk=ondemandfile" TargetMode="External"/><Relationship Id="rId125" Type="http://schemas.openxmlformats.org/officeDocument/2006/relationships/hyperlink" Target="https://www.linkedin.com/learning/hybride-teams-fuhren?trk=contentmappingfile" TargetMode="External"/><Relationship Id="rId332" Type="http://schemas.openxmlformats.org/officeDocument/2006/relationships/hyperlink" Target="https://www.linkedin.com/learning/indesign-cloudpublishing?trk=ondemandfile" TargetMode="External"/><Relationship Id="rId777" Type="http://schemas.openxmlformats.org/officeDocument/2006/relationships/hyperlink" Target="https://www.linkedin.com/learning/berufsbild-agiler-projektmanager?trk=ondemandfile" TargetMode="External"/><Relationship Id="rId984" Type="http://schemas.openxmlformats.org/officeDocument/2006/relationships/hyperlink" Target="https://www.linkedin.com/learning/drehb-cher-schreiben?trk=ondemandfile" TargetMode="External"/><Relationship Id="rId637" Type="http://schemas.openxmlformats.org/officeDocument/2006/relationships/hyperlink" Target="https://www.linkedin.com/learning/fuhrung-in-zeiten-von-unsicherheit?trk=ondemandfile" TargetMode="External"/><Relationship Id="rId844" Type="http://schemas.openxmlformats.org/officeDocument/2006/relationships/hyperlink" Target="https://www.linkedin.com/learning/preisheiten-alles-was-sie-uber-preise-wissen-mussen-blinkist-kernaussagen?trk=ondemandfile" TargetMode="External"/><Relationship Id="rId276" Type="http://schemas.openxmlformats.org/officeDocument/2006/relationships/hyperlink" Target="https://www.linkedin.com/learning/00-visuelles-storytelling?trk=ondemandfile" TargetMode="External"/><Relationship Id="rId483" Type="http://schemas.openxmlformats.org/officeDocument/2006/relationships/hyperlink" Target="https://www.linkedin.com/learning/00-excel-2016-datenanalyse?trk=ondemandfile" TargetMode="External"/><Relationship Id="rId690" Type="http://schemas.openxmlformats.org/officeDocument/2006/relationships/hyperlink" Target="https://www.linkedin.com/learning/00-feedback?trk=ondemandfile" TargetMode="External"/><Relationship Id="rId704" Type="http://schemas.openxmlformats.org/officeDocument/2006/relationships/hyperlink" Target="https://www.linkedin.com/learning/betriebsmanagement-grundlagen?trk=ondemandfile" TargetMode="External"/><Relationship Id="rId911" Type="http://schemas.openxmlformats.org/officeDocument/2006/relationships/hyperlink" Target="https://www.linkedin.com/learning/gewohnheiten-verandern-oder-entwickeln?trk=contentmappingfile" TargetMode="External"/><Relationship Id="rId40" Type="http://schemas.openxmlformats.org/officeDocument/2006/relationships/hyperlink" Target="https://www.linkedin.com/learning/00-fragenfuehren?trk=ondemandfile" TargetMode="External"/><Relationship Id="rId136" Type="http://schemas.openxmlformats.org/officeDocument/2006/relationships/hyperlink" Target="https://www.linkedin.com/learning/mitarbeiter-innen-motivieren?trk=ondemandfile" TargetMode="External"/><Relationship Id="rId343" Type="http://schemas.openxmlformats.org/officeDocument/2006/relationships/hyperlink" Target="https://www.linkedin.com/learning/marketing-automation-grundlagen?trk=contentmappingfile" TargetMode="External"/><Relationship Id="rId550" Type="http://schemas.openxmlformats.org/officeDocument/2006/relationships/hyperlink" Target="https://www.linkedin.com/learning/paths/recruiter-in-werden?trk=ondemandfile" TargetMode="External"/><Relationship Id="rId788" Type="http://schemas.openxmlformats.org/officeDocument/2006/relationships/hyperlink" Target="https://www.linkedin.com/learning/konfliktmanagement-in-projekten?trk=ondemandfile" TargetMode="External"/><Relationship Id="rId995" Type="http://schemas.openxmlformats.org/officeDocument/2006/relationships/hyperlink" Target="https://www.linkedin.com/learning/wissenschaftliche-arbeiten-schreiben?trk=ondemandfile" TargetMode="External"/><Relationship Id="rId203" Type="http://schemas.openxmlformats.org/officeDocument/2006/relationships/hyperlink" Target="https://www.linkedin.com/learning/servant-leadership-dienende-fuhrung?trk=ondemandfile" TargetMode="External"/><Relationship Id="rId648" Type="http://schemas.openxmlformats.org/officeDocument/2006/relationships/hyperlink" Target="https://www.linkedin.com/learning/00-korpersprache?trk=ondemandfile" TargetMode="External"/><Relationship Id="rId855" Type="http://schemas.openxmlformats.org/officeDocument/2006/relationships/hyperlink" Target="https://www.linkedin.com/learning/selbstvertrieb?trk=ondemandfile" TargetMode="External"/><Relationship Id="rId287" Type="http://schemas.openxmlformats.org/officeDocument/2006/relationships/hyperlink" Target="https://www.linkedin.com/learning/kommunikation-in-zeiten-der-veranderung?trk=ondemandfile" TargetMode="External"/><Relationship Id="rId410" Type="http://schemas.openxmlformats.org/officeDocument/2006/relationships/hyperlink" Target="https://www.linkedin.com/learning/kreative-ideen-entwickeln-ideen-bewerten?trk=ondemandfile" TargetMode="External"/><Relationship Id="rId494" Type="http://schemas.openxmlformats.org/officeDocument/2006/relationships/hyperlink" Target="https://www.linkedin.com/learning/excel-spezialfilter?trk=ondemandfile" TargetMode="External"/><Relationship Id="rId508" Type="http://schemas.openxmlformats.org/officeDocument/2006/relationships/hyperlink" Target="https://www.linkedin.com/learning/power-query-fur-fortgeschrittene-excel-und-power-bi-desktop?trk=ondemandfile" TargetMode="External"/><Relationship Id="rId715" Type="http://schemas.openxmlformats.org/officeDocument/2006/relationships/hyperlink" Target="https://www.linkedin.com/learning/die-teamleistung-messen?trk=ondemandfile" TargetMode="External"/><Relationship Id="rId922" Type="http://schemas.openxmlformats.org/officeDocument/2006/relationships/hyperlink" Target="https://www.linkedin.com/learning/hr-strategien?trk=ondemandfile" TargetMode="External"/><Relationship Id="rId147" Type="http://schemas.openxmlformats.org/officeDocument/2006/relationships/hyperlink" Target="https://www.linkedin.com/learning/talente-finden-und-binden?trk=ondemandfile" TargetMode="External"/><Relationship Id="rId354" Type="http://schemas.openxmlformats.org/officeDocument/2006/relationships/hyperlink" Target="https://www.linkedin.com/learning/00-rechte-in-sozialen-netzwerken?trk=ondemandfile" TargetMode="External"/><Relationship Id="rId799" Type="http://schemas.openxmlformats.org/officeDocument/2006/relationships/hyperlink" Target="https://www.linkedin.com/learning/projektmanagement-integration?trk=ondemandfile" TargetMode="External"/><Relationship Id="rId51" Type="http://schemas.openxmlformats.org/officeDocument/2006/relationships/hyperlink" Target="https://www.linkedin.com/learning/agile-und-digitale-transformation?trk=ondemandfile" TargetMode="External"/><Relationship Id="rId561" Type="http://schemas.openxmlformats.org/officeDocument/2006/relationships/hyperlink" Target="https://www.linkedin.com/learning/internationale-personalentwicklung?trk=ondemandfile" TargetMode="External"/><Relationship Id="rId659" Type="http://schemas.openxmlformats.org/officeDocument/2006/relationships/hyperlink" Target="https://www.linkedin.com/learning/servant-leadership-dienende-fuhrung?trk=ondemandfile" TargetMode="External"/><Relationship Id="rId866" Type="http://schemas.openxmlformats.org/officeDocument/2006/relationships/hyperlink" Target="https://www.linkedin.com/learning/die-unternehmensleistung-messen?trk=ondemandfile" TargetMode="External"/><Relationship Id="rId214" Type="http://schemas.openxmlformats.org/officeDocument/2006/relationships/hyperlink" Target="https://www.linkedin.com/learning/paths/bessere-texte-schreiben?trk=ondemandfile" TargetMode="External"/><Relationship Id="rId298" Type="http://schemas.openxmlformats.org/officeDocument/2006/relationships/hyperlink" Target="https://www.linkedin.com/learning/10-minuten-tipps-neue-ideen-fur-ihr-marketing?trk=ondemandfile" TargetMode="External"/><Relationship Id="rId421" Type="http://schemas.openxmlformats.org/officeDocument/2006/relationships/hyperlink" Target="https://www.linkedin.com/learning/entscheidungen-auf-fuhrungsebene-treffen?trk=ondemandfile" TargetMode="External"/><Relationship Id="rId519" Type="http://schemas.openxmlformats.org/officeDocument/2006/relationships/hyperlink" Target="https://www.linkedin.com/learning/sap-crystal-reports-2020-grundkurs?trk=contentmappingfile" TargetMode="External"/><Relationship Id="rId158" Type="http://schemas.openxmlformats.org/officeDocument/2006/relationships/hyperlink" Target="https://www.linkedin.com/learning/ziele-fur-mitarbeiter-innen-und-teams-setzen?trk=ondemandfile" TargetMode="External"/><Relationship Id="rId726" Type="http://schemas.openxmlformats.org/officeDocument/2006/relationships/hyperlink" Target="https://www.linkedin.com/learning/00-rhetorik?trk=ondemandfile" TargetMode="External"/><Relationship Id="rId933" Type="http://schemas.openxmlformats.org/officeDocument/2006/relationships/hyperlink" Target="https://www.linkedin.com/learning/ziele-fur-mitarbeiter-innen-und-teams-setzen?trk=ondemandfile" TargetMode="External"/><Relationship Id="rId1009" Type="http://schemas.openxmlformats.org/officeDocument/2006/relationships/hyperlink" Target="https://www.linkedin.com/learning/mit-depressionen-am-arbeitsplatz-umgehen?trk=ondemandfile" TargetMode="External"/><Relationship Id="rId62" Type="http://schemas.openxmlformats.org/officeDocument/2006/relationships/hyperlink" Target="https://www.linkedin.com/learning/ein-agiles-mindset-entwickeln?trk=ondemandfile" TargetMode="External"/><Relationship Id="rId365" Type="http://schemas.openxmlformats.org/officeDocument/2006/relationships/hyperlink" Target="https://www.linkedin.com/learning/seo-international-ausgerichtete-suchmaschinenoptimierung?trk=ondemandfile" TargetMode="External"/><Relationship Id="rId572" Type="http://schemas.openxmlformats.org/officeDocument/2006/relationships/hyperlink" Target="https://www.linkedin.com/learning/fachkraftemangel-mit-modernem-recruiting-beheben?trk=ondemandfile" TargetMode="External"/><Relationship Id="rId225" Type="http://schemas.openxmlformats.org/officeDocument/2006/relationships/hyperlink" Target="https://www.linkedin.com/learning/die-10-stufen-des-zuhorens-die-eigene-zuhorkompetenz-ausbauen?trk=ondemandfile" TargetMode="External"/><Relationship Id="rId432" Type="http://schemas.openxmlformats.org/officeDocument/2006/relationships/hyperlink" Target="https://www.linkedin.com/learning/techniken-zur-problemlosung?trk=contentmappingfile" TargetMode="External"/><Relationship Id="rId877" Type="http://schemas.openxmlformats.org/officeDocument/2006/relationships/hyperlink" Target="https://www.linkedin.com/learning/gesch-ftsmodelle-mit-dem-business-model-canvas-entwickeln?trk=ondemandfile" TargetMode="External"/><Relationship Id="rId737" Type="http://schemas.openxmlformats.org/officeDocument/2006/relationships/hyperlink" Target="https://www.linkedin.com/learning/powerpoint-3d-grafiken?trk=ondemandfile" TargetMode="External"/><Relationship Id="rId944" Type="http://schemas.openxmlformats.org/officeDocument/2006/relationships/hyperlink" Target="https://www.linkedin.com/learning/handwerkszeug-fur-fuhrungskrafte?trk=ondemandfile" TargetMode="External"/><Relationship Id="rId73" Type="http://schemas.openxmlformats.org/officeDocument/2006/relationships/hyperlink" Target="https://www.linkedin.com/learning/interkulturelle-kompetenz?trk=ondemandfile" TargetMode="External"/><Relationship Id="rId169" Type="http://schemas.openxmlformats.org/officeDocument/2006/relationships/hyperlink" Target="https://www.linkedin.com/learning/00-teamkreativitat?trk=ondemandfile" TargetMode="External"/><Relationship Id="rId376" Type="http://schemas.openxmlformats.org/officeDocument/2006/relationships/hyperlink" Target="https://www.linkedin.com/learning/social-media-marketing-grundlagen-netzwerke-tools-tipps-und-tricks?trk=ondemandfile" TargetMode="External"/><Relationship Id="rId583" Type="http://schemas.openxmlformats.org/officeDocument/2006/relationships/hyperlink" Target="https://www.linkedin.com/learning/agilitat-mit-strategie?trk=ondemandfile" TargetMode="External"/><Relationship Id="rId790" Type="http://schemas.openxmlformats.org/officeDocument/2006/relationships/hyperlink" Target="https://www.linkedin.com/learning/microsoft-project-2019-und-project-online-desktop-grundkurs?trk=ondemandfile" TargetMode="External"/><Relationship Id="rId804" Type="http://schemas.openxmlformats.org/officeDocument/2006/relationships/hyperlink" Target="https://www.linkedin.com/learning/00-pm-abschl?trk=ondemandfile" TargetMode="External"/><Relationship Id="rId4" Type="http://schemas.openxmlformats.org/officeDocument/2006/relationships/hyperlink" Target="https://www.linkedin.com/learning/paths/erfolgreich-im-home-office-arbeiten?trk=ondemandfile" TargetMode="External"/><Relationship Id="rId236" Type="http://schemas.openxmlformats.org/officeDocument/2006/relationships/hyperlink" Target="https://www.linkedin.com/learning/fuhren-mit-emotionaler-intelligenz-16505108?trk=contentmappingfile" TargetMode="External"/><Relationship Id="rId443" Type="http://schemas.openxmlformats.org/officeDocument/2006/relationships/hyperlink" Target="https://www.linkedin.com/learning/die-10-stufen-des-zuhorens-die-eigene-zuhorkompetenz-ausbauen?trk=ondemandfile" TargetMode="External"/><Relationship Id="rId650" Type="http://schemas.openxmlformats.org/officeDocument/2006/relationships/hyperlink" Target="https://www.linkedin.com/learning/mehrere-generationen-managen?trk=ondemandfile" TargetMode="External"/><Relationship Id="rId888" Type="http://schemas.openxmlformats.org/officeDocument/2006/relationships/hyperlink" Target="https://www.linkedin.com/learning/progman?trk=ondemandfile" TargetMode="External"/><Relationship Id="rId303" Type="http://schemas.openxmlformats.org/officeDocument/2006/relationships/hyperlink" Target="https://www.linkedin.com/learning/paths/erweitern-sie-ihre-online-marketing-skills-ideen-tipps-und-tricks-fur-fortgeschrittene?trk=ondemandfile" TargetMode="External"/><Relationship Id="rId748" Type="http://schemas.openxmlformats.org/officeDocument/2006/relationships/hyperlink" Target="https://www.linkedin.com/learning/00-ueberzeugpsych?trk=ondemandfile" TargetMode="External"/><Relationship Id="rId955" Type="http://schemas.openxmlformats.org/officeDocument/2006/relationships/hyperlink" Target="https://www.linkedin.com/learning/10-mythen-uber-diversity-inclusion-und-zugehorigkeit-am-arbeitsplatz?trk=contentmappingfile" TargetMode="External"/><Relationship Id="rId84" Type="http://schemas.openxmlformats.org/officeDocument/2006/relationships/hyperlink" Target="https://www.linkedin.com/learning/stress-bewaltigen-2-fur-mehr-balance-und-gesundheit?trk=ondemandfile" TargetMode="External"/><Relationship Id="rId387" Type="http://schemas.openxmlformats.org/officeDocument/2006/relationships/hyperlink" Target="https://www.linkedin.com/learning/werbung-auf-linkedin-2?trk=ondemandfile" TargetMode="External"/><Relationship Id="rId510" Type="http://schemas.openxmlformats.org/officeDocument/2006/relationships/hyperlink" Target="https://www.linkedin.com/learning/python-for-c-plus-plus-java-und-c-sharp-entwickler?trk=ondemandfile" TargetMode="External"/><Relationship Id="rId594" Type="http://schemas.openxmlformats.org/officeDocument/2006/relationships/hyperlink" Target="https://www.linkedin.com/learning/eine-veranderungskultur-schaffen?trk=ondemandfile" TargetMode="External"/><Relationship Id="rId608" Type="http://schemas.openxmlformats.org/officeDocument/2006/relationships/hyperlink" Target="https://www.linkedin.com/learning/als-fuhrungskraft-das-agile-lernen-im-team-unterstutzen?trk=ondemandfile" TargetMode="External"/><Relationship Id="rId815" Type="http://schemas.openxmlformats.org/officeDocument/2006/relationships/hyperlink" Target="https://www.linkedin.com/learning/trello-grundkurs?trk=ondemandfile" TargetMode="External"/><Relationship Id="rId247" Type="http://schemas.openxmlformats.org/officeDocument/2006/relationships/hyperlink" Target="https://www.linkedin.com/learning/intros-und-extros-blinkist-kernaussagen?trk=ondemandfile" TargetMode="External"/><Relationship Id="rId899" Type="http://schemas.openxmlformats.org/officeDocument/2006/relationships/hyperlink" Target="https://www.linkedin.com/learning/paths/mitarbeiter-finden-und-halten?trk=ondemandfile" TargetMode="External"/><Relationship Id="rId1000" Type="http://schemas.openxmlformats.org/officeDocument/2006/relationships/hyperlink" Target="https://www.linkedin.com/learning/achtsamkeit?trk=ondemandfile" TargetMode="External"/><Relationship Id="rId107" Type="http://schemas.openxmlformats.org/officeDocument/2006/relationships/hyperlink" Target="https://www.linkedin.com/learning/00-teamkreativitat?trk=ondemandfile" TargetMode="External"/><Relationship Id="rId454" Type="http://schemas.openxmlformats.org/officeDocument/2006/relationships/hyperlink" Target="https://www.linkedin.com/learning/mit-schwierigen-kunden-umgehen?trk=ondemandfile" TargetMode="External"/><Relationship Id="rId661" Type="http://schemas.openxmlformats.org/officeDocument/2006/relationships/hyperlink" Target="https://www.linkedin.com/learning/social-media-fur-fuhrungskrafte?trk=contentmappingfile" TargetMode="External"/><Relationship Id="rId759" Type="http://schemas.openxmlformats.org/officeDocument/2006/relationships/hyperlink" Target="https://www.linkedin.com/learning/webinare-gestalten-und-durchfuhren?trk=ondemandfile" TargetMode="External"/><Relationship Id="rId966" Type="http://schemas.openxmlformats.org/officeDocument/2006/relationships/hyperlink" Target="https://www.linkedin.com/learning/ihre-wirkungsvolle-diversity-strategie-entwickeln?trk=contentmappingfile" TargetMode="External"/><Relationship Id="rId11" Type="http://schemas.openxmlformats.org/officeDocument/2006/relationships/hyperlink" Target="https://www.linkedin.com/learning/besprechungen-moderieren?trk=ondemandfile" TargetMode="External"/><Relationship Id="rId314" Type="http://schemas.openxmlformats.org/officeDocument/2006/relationships/hyperlink" Target="https://www.linkedin.com/learning/creator-studio-fur-facebook-und-instagram-grundkurs?trk=ondemandfile" TargetMode="External"/><Relationship Id="rId398" Type="http://schemas.openxmlformats.org/officeDocument/2006/relationships/hyperlink" Target="https://www.linkedin.com/learning/die-kreative-organisation?trk=ondemandfile" TargetMode="External"/><Relationship Id="rId521" Type="http://schemas.openxmlformats.org/officeDocument/2006/relationships/hyperlink" Target="https://www.linkedin.com/learning/sql-grundkurs-3-data-manipulation-language-dml?trk=contentmappingfile" TargetMode="External"/><Relationship Id="rId619" Type="http://schemas.openxmlformats.org/officeDocument/2006/relationships/hyperlink" Target="https://www.linkedin.com/learning/de-3036?trk=ondemandfile" TargetMode="External"/><Relationship Id="rId95" Type="http://schemas.openxmlformats.org/officeDocument/2006/relationships/hyperlink" Target="https://www.linkedin.com/learning/als-fuhrungskraft-das-agile-lernen-im-team-unterstutzen?trk=ondemandfile" TargetMode="External"/><Relationship Id="rId160" Type="http://schemas.openxmlformats.org/officeDocument/2006/relationships/hyperlink" Target="https://www.linkedin.com/learning/als-fuhrungskraft-das-agile-lernen-im-team-unterstutzen?trk=ondemandfile" TargetMode="External"/><Relationship Id="rId826" Type="http://schemas.openxmlformats.org/officeDocument/2006/relationships/hyperlink" Target="https://www.linkedin.com/learning/digital-nudging-nutzererfahrung-und-nutzerentscheidungen-positiv-beeinflussen?trk=ondemandfile" TargetMode="External"/><Relationship Id="rId1011" Type="http://schemas.openxmlformats.org/officeDocument/2006/relationships/hyperlink" Target="https://www.linkedin.com/learning/nein-sagen-und-gesunde-grenzen-setzen?trk=contentmappingfile" TargetMode="External"/><Relationship Id="rId258" Type="http://schemas.openxmlformats.org/officeDocument/2006/relationships/hyperlink" Target="https://www.linkedin.com/learning/manipulation-abwehren-wie-sie-sprachtricks-erkennen?trk=ondemandfile" TargetMode="External"/><Relationship Id="rId465" Type="http://schemas.openxmlformats.org/officeDocument/2006/relationships/hyperlink" Target="https://www.linkedin.com/learning/cybersecurity-tipps-jede-woche-neu?trk=contentmappingfile" TargetMode="External"/><Relationship Id="rId672" Type="http://schemas.openxmlformats.org/officeDocument/2006/relationships/hyperlink" Target="https://www.linkedin.com/learning/00-ohnmaechtig?trk=ondemandfile" TargetMode="External"/><Relationship Id="rId22" Type="http://schemas.openxmlformats.org/officeDocument/2006/relationships/hyperlink" Target="https://www.linkedin.com/learning/kunstliche-intelligenz-und-menschlichkeit?trk=ondemandfile" TargetMode="External"/><Relationship Id="rId118" Type="http://schemas.openxmlformats.org/officeDocument/2006/relationships/hyperlink" Target="https://www.linkedin.com/learning/00-fuhrungsfallen?trk=ondemandfile" TargetMode="External"/><Relationship Id="rId325" Type="http://schemas.openxmlformats.org/officeDocument/2006/relationships/hyperlink" Target="https://www.linkedin.com/learning/00-gruppenrichtlinien?trk=ondemandfile" TargetMode="External"/><Relationship Id="rId532" Type="http://schemas.openxmlformats.org/officeDocument/2006/relationships/hyperlink" Target="https://www.linkedin.com/learning/zahlen-spannend-prasentieren?trk=contentmappingfile" TargetMode="External"/><Relationship Id="rId977" Type="http://schemas.openxmlformats.org/officeDocument/2006/relationships/hyperlink" Target="https://www.linkedin.com/learning/werteorientiertes-management?trk=ondemandfile" TargetMode="External"/><Relationship Id="rId171" Type="http://schemas.openxmlformats.org/officeDocument/2006/relationships/hyperlink" Target="https://www.linkedin.com/learning/ein-erfolgreiches-teammitglied-sein?trk=ondemandfile" TargetMode="External"/><Relationship Id="rId837" Type="http://schemas.openxmlformats.org/officeDocument/2006/relationships/hyperlink" Target="https://www.linkedin.com/learning/kunden-gewinnen-mit-online-prasentationen?trk=ondemandfile" TargetMode="External"/><Relationship Id="rId269" Type="http://schemas.openxmlformats.org/officeDocument/2006/relationships/hyperlink" Target="https://www.linkedin.com/learning/schwierige-sachverhalte-einfach-vermitteln?trk=contentmappingfile" TargetMode="External"/><Relationship Id="rId476" Type="http://schemas.openxmlformats.org/officeDocument/2006/relationships/hyperlink" Target="https://www.linkedin.com/learning/datenbankentwicklung-mit-php?trk=contentmappingfile" TargetMode="External"/><Relationship Id="rId683" Type="http://schemas.openxmlformats.org/officeDocument/2006/relationships/hyperlink" Target="https://www.linkedin.com/learning/eine-hochleistungskultur-schaffen?trk=ondemandfile" TargetMode="External"/><Relationship Id="rId890" Type="http://schemas.openxmlformats.org/officeDocument/2006/relationships/hyperlink" Target="https://www.linkedin.com/learning/strategisch-verhandeln?trk=ondemandfile" TargetMode="External"/><Relationship Id="rId904" Type="http://schemas.openxmlformats.org/officeDocument/2006/relationships/hyperlink" Target="https://www.linkedin.com/learning/coaching-fur-mehr-wachstum?trk=ondemandfile" TargetMode="External"/><Relationship Id="rId33" Type="http://schemas.openxmlformats.org/officeDocument/2006/relationships/hyperlink" Target="https://www.linkedin.com/learning/selbstmanagement-tipps-fur-fuhrungskrafte?trk=ondemandfile" TargetMode="External"/><Relationship Id="rId129" Type="http://schemas.openxmlformats.org/officeDocument/2006/relationships/hyperlink" Target="https://www.linkedin.com/learning/00-anteilmanag?trk=ondemandfile" TargetMode="External"/><Relationship Id="rId336" Type="http://schemas.openxmlformats.org/officeDocument/2006/relationships/hyperlink" Target="https://www.linkedin.com/learning/internationales-marketing-grundlagen?trk=ondemandfile" TargetMode="External"/><Relationship Id="rId543" Type="http://schemas.openxmlformats.org/officeDocument/2006/relationships/hyperlink" Target="https://www.linkedin.com/learning/excel-workshop-kassenbuch?trk=ondemandfile" TargetMode="External"/><Relationship Id="rId988" Type="http://schemas.openxmlformats.org/officeDocument/2006/relationships/hyperlink" Target="https://www.linkedin.com/learning/ihre-kompetenz-mit-einem-buch-zeigen?trk=contentmappingfile" TargetMode="External"/><Relationship Id="rId182" Type="http://schemas.openxmlformats.org/officeDocument/2006/relationships/hyperlink" Target="https://www.linkedin.com/learning/interkulturelle-kompetenz?trk=ondemandfile" TargetMode="External"/><Relationship Id="rId403" Type="http://schemas.openxmlformats.org/officeDocument/2006/relationships/hyperlink" Target="https://www.linkedin.com/learning/00-visuelles-denken?trk=ondemandfile" TargetMode="External"/><Relationship Id="rId750" Type="http://schemas.openxmlformats.org/officeDocument/2006/relationships/hyperlink" Target="https://www.linkedin.com/learning/00-vortraginhalt?trk=ondemandfile" TargetMode="External"/><Relationship Id="rId848" Type="http://schemas.openxmlformats.org/officeDocument/2006/relationships/hyperlink" Target="https://www.linkedin.com/learning/social-selling-mit-linkedin-sales-navigator-kennenlernen?trk=ondemandfile" TargetMode="External"/><Relationship Id="rId487" Type="http://schemas.openxmlformats.org/officeDocument/2006/relationships/hyperlink" Target="https://www.linkedin.com/learning/excel-2016-cubefunktionen?trk=ondemandfile" TargetMode="External"/><Relationship Id="rId610" Type="http://schemas.openxmlformats.org/officeDocument/2006/relationships/hyperlink" Target="https://www.linkedin.com/learning/risk-taking-lead?trk=ondemandfile" TargetMode="External"/><Relationship Id="rId694" Type="http://schemas.openxmlformats.org/officeDocument/2006/relationships/hyperlink" Target="https://www.linkedin.com/learning/selbstmanagement-tipps-fur-fuhrungskrafte?trk=ondemandfile" TargetMode="External"/><Relationship Id="rId708" Type="http://schemas.openxmlformats.org/officeDocument/2006/relationships/hyperlink" Target="https://www.linkedin.com/learning/grundlagen-der-prozessverbesserung?trk=ondemandfile" TargetMode="External"/><Relationship Id="rId915" Type="http://schemas.openxmlformats.org/officeDocument/2006/relationships/hyperlink" Target="https://www.linkedin.com/learning/leistungstrager-fuhren?trk=ondemandfile" TargetMode="External"/><Relationship Id="rId347" Type="http://schemas.openxmlformats.org/officeDocument/2006/relationships/hyperlink" Target="https://www.linkedin.com/learning/marketing-mit-instagram-2?trk=ondemandfile" TargetMode="External"/><Relationship Id="rId999" Type="http://schemas.openxmlformats.org/officeDocument/2006/relationships/hyperlink" Target="https://www.linkedin.com/learning/achtsamkeit-im-beruf-durch-meditation-resilienz?trk=ondemandfile" TargetMode="External"/><Relationship Id="rId44" Type="http://schemas.openxmlformats.org/officeDocument/2006/relationships/hyperlink" Target="https://www.linkedin.com/learning/wie-ich-die-dinge-geregelt-kriege-blinkist-kernaussagen?trk=ondemandfile" TargetMode="External"/><Relationship Id="rId554" Type="http://schemas.openxmlformats.org/officeDocument/2006/relationships/hyperlink" Target="https://www.linkedin.com/learning/diversitat-und-inklusion-in-globalen-unternehmen?trk=ondemandfile" TargetMode="External"/><Relationship Id="rId761" Type="http://schemas.openxmlformats.org/officeDocument/2006/relationships/hyperlink" Target="https://www.linkedin.com/learning/agil-arbeiten-agile-meetings-produktiv-durchfuhren?trk=ondemandfile" TargetMode="External"/><Relationship Id="rId859" Type="http://schemas.openxmlformats.org/officeDocument/2006/relationships/hyperlink" Target="https://www.linkedin.com/learning/agilitat-mit-strategie?trk=ondemandfile" TargetMode="External"/><Relationship Id="rId193" Type="http://schemas.openxmlformats.org/officeDocument/2006/relationships/hyperlink" Target="https://www.linkedin.com/learning/multikulturelle-teams-f-hren?trk=ondemandfile" TargetMode="External"/><Relationship Id="rId207" Type="http://schemas.openxmlformats.org/officeDocument/2006/relationships/hyperlink" Target="https://www.linkedin.com/learning/sich-und-andere-besser-verstehen?trk=ondemandfile" TargetMode="External"/><Relationship Id="rId414" Type="http://schemas.openxmlformats.org/officeDocument/2006/relationships/hyperlink" Target="https://www.linkedin.com/learning/kreative-methoden-fur-marketing-kampagnen?trk=ondemandfile" TargetMode="External"/><Relationship Id="rId498" Type="http://schemas.openxmlformats.org/officeDocument/2006/relationships/hyperlink" Target="https://www.linkedin.com/learning/e0bd925c-9e90-3e50-871a-8bcb5c7d32fa?trk=ondemandfile" TargetMode="External"/><Relationship Id="rId621" Type="http://schemas.openxmlformats.org/officeDocument/2006/relationships/hyperlink" Target="https://www.linkedin.com/learning/der-fuhrungs-talk?trk=contentmappingfile" TargetMode="External"/><Relationship Id="rId260" Type="http://schemas.openxmlformats.org/officeDocument/2006/relationships/hyperlink" Target="https://www.linkedin.com/learning/meinungsfuhrer-in-werden?trk=ondemandfile" TargetMode="External"/><Relationship Id="rId719" Type="http://schemas.openxmlformats.org/officeDocument/2006/relationships/hyperlink" Target="https://www.linkedin.com/learning/paths/ihr-gestalterisches-auge-schaerfen?trk=ondemandfile" TargetMode="External"/><Relationship Id="rId926" Type="http://schemas.openxmlformats.org/officeDocument/2006/relationships/hyperlink" Target="https://www.linkedin.com/learning/fachkraftemangel-mit-modernem-recruiting-beheben?trk=ondemandfile" TargetMode="External"/><Relationship Id="rId55" Type="http://schemas.openxmlformats.org/officeDocument/2006/relationships/hyperlink" Target="https://www.linkedin.com/learning/agilitat-mit-strategie?trk=ondemandfile" TargetMode="External"/><Relationship Id="rId120" Type="http://schemas.openxmlformats.org/officeDocument/2006/relationships/hyperlink" Target="https://www.linkedin.com/learning/fuhrungsstarke-ausstrahlen?trk=ondemandfile" TargetMode="External"/><Relationship Id="rId358" Type="http://schemas.openxmlformats.org/officeDocument/2006/relationships/hyperlink" Target="https://www.linkedin.com/learning/photoshop-fur-social-media?trk=ondemandfile" TargetMode="External"/><Relationship Id="rId565" Type="http://schemas.openxmlformats.org/officeDocument/2006/relationships/hyperlink" Target="https://www.linkedin.com/learning/00-onboarding?trk=ondemandfile" TargetMode="External"/><Relationship Id="rId772" Type="http://schemas.openxmlformats.org/officeDocument/2006/relationships/hyperlink" Target="https://www.linkedin.com/learning/paths/six-sigma-black-belt-werden?trk=ondemandfile" TargetMode="External"/><Relationship Id="rId218" Type="http://schemas.openxmlformats.org/officeDocument/2006/relationships/hyperlink" Target="https://www.linkedin.com/learning/paths/ueberzeugend-auftreten" TargetMode="External"/><Relationship Id="rId425" Type="http://schemas.openxmlformats.org/officeDocument/2006/relationships/hyperlink" Target="https://www.linkedin.com/learning/kritisches-denken?trk=ondemandfile" TargetMode="External"/><Relationship Id="rId632" Type="http://schemas.openxmlformats.org/officeDocument/2006/relationships/hyperlink" Target="https://www.linkedin.com/learning/fuhren-mit-innovation?trk=ondemandfile" TargetMode="External"/><Relationship Id="rId271" Type="http://schemas.openxmlformats.org/officeDocument/2006/relationships/hyperlink" Target="https://www.linkedin.com/learning/storytelling-fur-fuhrungskrafte?trk=ondemandfile" TargetMode="External"/><Relationship Id="rId937" Type="http://schemas.openxmlformats.org/officeDocument/2006/relationships/hyperlink" Target="https://www.linkedin.com/learning/paths/teams-aufbauen-und-fuehren?trk=ondemandfile" TargetMode="External"/><Relationship Id="rId66" Type="http://schemas.openxmlformats.org/officeDocument/2006/relationships/hyperlink" Target="https://www.linkedin.com/learning/freude-am-lernen-entwickeln?trk=ondemandfile" TargetMode="External"/><Relationship Id="rId131" Type="http://schemas.openxmlformats.org/officeDocument/2006/relationships/hyperlink" Target="https://www.linkedin.com/learning/00-korpersprache?trk=ondemandfile" TargetMode="External"/><Relationship Id="rId369" Type="http://schemas.openxmlformats.org/officeDocument/2006/relationships/hyperlink" Target="https://www.linkedin.com/learning/e30c15ea-0ed6-3d79-b62c-b901d96bf19b?trk=ondemandfile" TargetMode="External"/><Relationship Id="rId576" Type="http://schemas.openxmlformats.org/officeDocument/2006/relationships/hyperlink" Target="https://www.linkedin.com/learning/ziele-fur-mitarbeiter-innen-und-teams-setzen?trk=ondemandfile" TargetMode="External"/><Relationship Id="rId783" Type="http://schemas.openxmlformats.org/officeDocument/2006/relationships/hyperlink" Target="https://www.linkedin.com/learning/die-scrum-revolution-blinkist-kernaussagen?trk=ondemandfile" TargetMode="External"/><Relationship Id="rId990" Type="http://schemas.openxmlformats.org/officeDocument/2006/relationships/hyperlink" Target="https://www.linkedin.com/learning/presse-und-offentlichkeitsarbeit-fur-kleine-und-mittlere-unternehmen?trk=ondemandfile" TargetMode="External"/><Relationship Id="rId229" Type="http://schemas.openxmlformats.org/officeDocument/2006/relationships/hyperlink" Target="https://www.linkedin.com/learning/empathie-und-kreativitat-als-neue-schlusselkompetenzen?trk=ondemandfile" TargetMode="External"/><Relationship Id="rId436" Type="http://schemas.openxmlformats.org/officeDocument/2006/relationships/hyperlink" Target="https://www.linkedin.com/learning/ziele-fur-mitarbeiter-innen-und-teams-setzen?trk=ondemandfile" TargetMode="External"/><Relationship Id="rId643" Type="http://schemas.openxmlformats.org/officeDocument/2006/relationships/hyperlink" Target="https://www.linkedin.com/learning/grundlagen-von-fuhrung-2?trk=ondemandfile" TargetMode="External"/><Relationship Id="rId850" Type="http://schemas.openxmlformats.org/officeDocument/2006/relationships/hyperlink" Target="https://www.linkedin.com/learning/storytelling-fur-vertrieb-und-verkauf-in-der-praxis?trk=ondemandfile" TargetMode="External"/><Relationship Id="rId948" Type="http://schemas.openxmlformats.org/officeDocument/2006/relationships/hyperlink" Target="https://www.linkedin.com/learning/00-feedback?trk=ondemandfile" TargetMode="External"/><Relationship Id="rId77" Type="http://schemas.openxmlformats.org/officeDocument/2006/relationships/hyperlink" Target="https://www.linkedin.com/learning/lerntipps?trk=ondemandfile" TargetMode="External"/><Relationship Id="rId282" Type="http://schemas.openxmlformats.org/officeDocument/2006/relationships/hyperlink" Target="https://www.linkedin.com/learning/paths/die-zusammenarbeit-fordern?trk=ondemandfile" TargetMode="External"/><Relationship Id="rId503" Type="http://schemas.openxmlformats.org/officeDocument/2006/relationships/hyperlink" Target="https://www.linkedin.com/learning/modern-workplace-mit-microsoft-365?trk=contentmappingfile" TargetMode="External"/><Relationship Id="rId587" Type="http://schemas.openxmlformats.org/officeDocument/2006/relationships/hyperlink" Target="https://www.linkedin.com/learning/design-thinking-grundlagen?trk=ondemandfile" TargetMode="External"/><Relationship Id="rId710" Type="http://schemas.openxmlformats.org/officeDocument/2006/relationships/hyperlink" Target="https://www.linkedin.com/learning/microsoft-azure-policy-fur-devops?trk=contentmappingfile" TargetMode="External"/><Relationship Id="rId808" Type="http://schemas.openxmlformats.org/officeDocument/2006/relationships/hyperlink" Target="https://www.linkedin.com/learning/00-projektmanagement-teamfuhrung?trk=ondemandfile" TargetMode="External"/><Relationship Id="rId8" Type="http://schemas.openxmlformats.org/officeDocument/2006/relationships/hyperlink" Target="https://www.linkedin.com/learning/paths/starken-sie-ihre-schlusselkompetenzen?trk=ondemandfile" TargetMode="External"/><Relationship Id="rId142" Type="http://schemas.openxmlformats.org/officeDocument/2006/relationships/hyperlink" Target="https://www.linkedin.com/learning/personalwesen-onboarding-programme-durchfuhren?trk=ondemandfile" TargetMode="External"/><Relationship Id="rId447" Type="http://schemas.openxmlformats.org/officeDocument/2006/relationships/hyperlink" Target="https://www.linkedin.com/learning/erfolgreiche-kommunikation?trk=ondemandfile" TargetMode="External"/><Relationship Id="rId794" Type="http://schemas.openxmlformats.org/officeDocument/2006/relationships/hyperlink" Target="https://www.linkedin.com/learning/00-project-2016-grundlagen?trk=ondemandfile" TargetMode="External"/><Relationship Id="rId654" Type="http://schemas.openxmlformats.org/officeDocument/2006/relationships/hyperlink" Target="https://www.linkedin.com/learning/feel-good-management?trk=ondemandfile" TargetMode="External"/><Relationship Id="rId861" Type="http://schemas.openxmlformats.org/officeDocument/2006/relationships/hyperlink" Target="https://www.linkedin.com/learning/risk-taking-lead?trk=ondemandfile" TargetMode="External"/><Relationship Id="rId959" Type="http://schemas.openxmlformats.org/officeDocument/2006/relationships/hyperlink" Target="https://www.linkedin.com/learning/einfach-gendern-gendersensible-sprache-in-der-unternehmenspraxis?trk=ondemandfile" TargetMode="External"/><Relationship Id="rId293" Type="http://schemas.openxmlformats.org/officeDocument/2006/relationships/hyperlink" Target="https://www.linkedin.com/learning/mit-schwierigen-mitarbeiter-innen-umgehen?trk=ondemandfile" TargetMode="External"/><Relationship Id="rId307" Type="http://schemas.openxmlformats.org/officeDocument/2006/relationships/hyperlink" Target="https://www.linkedin.com/learning/chatbot-konzepte-und-strategien?trk=ondemandfile" TargetMode="External"/><Relationship Id="rId514" Type="http://schemas.openxmlformats.org/officeDocument/2006/relationships/hyperlink" Target="https://www.linkedin.com/learning/python-statistische-auswertungen?trk=ondemandfile" TargetMode="External"/><Relationship Id="rId721" Type="http://schemas.openxmlformats.org/officeDocument/2006/relationships/hyperlink" Target="https://www.linkedin.com/learning/paths/powerpoint-2016-expert-in-werden?trk=ondemandfile" TargetMode="External"/><Relationship Id="rId88" Type="http://schemas.openxmlformats.org/officeDocument/2006/relationships/hyperlink" Target="https://www.linkedin.com/learning/00-ohnmaechtig?trk=ondemandfile" TargetMode="External"/><Relationship Id="rId153" Type="http://schemas.openxmlformats.org/officeDocument/2006/relationships/hyperlink" Target="https://www.linkedin.com/learning/vertrauen-aufbauen-aufrechterhalten-und-wiederherstellen?trk=contentmappingfile" TargetMode="External"/><Relationship Id="rId360" Type="http://schemas.openxmlformats.org/officeDocument/2006/relationships/hyperlink" Target="https://www.linkedin.com/learning/rechtsgrundlagen-e-mail-marketing?trk=ondemandfile" TargetMode="External"/><Relationship Id="rId598" Type="http://schemas.openxmlformats.org/officeDocument/2006/relationships/hyperlink" Target="https://www.linkedin.com/learning/fuhrung-und-kommunikation-im-digitalen-zeitalter?trk=ondemandfile" TargetMode="External"/><Relationship Id="rId819" Type="http://schemas.openxmlformats.org/officeDocument/2006/relationships/hyperlink" Target="https://www.linkedin.com/learning/paths/verkaufer-in-werden?trk=ondemandfile" TargetMode="External"/><Relationship Id="rId1004" Type="http://schemas.openxmlformats.org/officeDocument/2006/relationships/hyperlink" Target="https://www.linkedin.com/learning/finde-den-job-der-dich-glucklich-macht-blinkist-kernaussagen?trk=ondemandfile" TargetMode="External"/><Relationship Id="rId220" Type="http://schemas.openxmlformats.org/officeDocument/2006/relationships/hyperlink" Target="https://www.linkedin.com/learning/business-englisch-erfolgreiche-e-mails-verfassen?trk=ondemandfile" TargetMode="External"/><Relationship Id="rId458" Type="http://schemas.openxmlformats.org/officeDocument/2006/relationships/hyperlink" Target="https://www.linkedin.com/learning/telefonischer-kundenservice?trk=ondemandfile" TargetMode="External"/><Relationship Id="rId665" Type="http://schemas.openxmlformats.org/officeDocument/2006/relationships/hyperlink" Target="https://www.linkedin.com/learning/00-teams-bilden?trk=ondemandfile" TargetMode="External"/><Relationship Id="rId872" Type="http://schemas.openxmlformats.org/officeDocument/2006/relationships/hyperlink" Target="https://www.linkedin.com/learning/entscheidungen-auf-fuhrungsebene-treffen?trk=ondemandfile" TargetMode="External"/><Relationship Id="rId15" Type="http://schemas.openxmlformats.org/officeDocument/2006/relationships/hyperlink" Target="https://www.linkedin.com/learning/eine-hochleistungskultur-schaffen?trk=ondemandfile" TargetMode="External"/><Relationship Id="rId318" Type="http://schemas.openxmlformats.org/officeDocument/2006/relationships/hyperlink" Target="https://www.linkedin.com/learning/competstrat?trk=ondemandfile" TargetMode="External"/><Relationship Id="rId525" Type="http://schemas.openxmlformats.org/officeDocument/2006/relationships/hyperlink" Target="https://www.linkedin.com/learning/sql-analysis-table?trk=ondemandfile" TargetMode="External"/><Relationship Id="rId732" Type="http://schemas.openxmlformats.org/officeDocument/2006/relationships/hyperlink" Target="https://www.linkedin.com/learning/00-korpersprache?trk=ondemandfile" TargetMode="External"/><Relationship Id="rId99" Type="http://schemas.openxmlformats.org/officeDocument/2006/relationships/hyperlink" Target="https://www.linkedin.com/learning/bereit-zur-fuhrung?trk=ondemandfile" TargetMode="External"/><Relationship Id="rId164" Type="http://schemas.openxmlformats.org/officeDocument/2006/relationships/hyperlink" Target="https://www.linkedin.com/learning/besprechungen-moderieren?trk=ondemandfile" TargetMode="External"/><Relationship Id="rId371" Type="http://schemas.openxmlformats.org/officeDocument/2006/relationships/hyperlink" Target="https://www.linkedin.com/learning/seo-strategien-das-seo-cockpit?trk=ondemandfile" TargetMode="External"/><Relationship Id="rId1015" Type="http://schemas.openxmlformats.org/officeDocument/2006/relationships/hyperlink" Target="https://www.linkedin.com/learning/produktiv-mit-stress-umgehen?trk=ondemandfile" TargetMode="External"/><Relationship Id="rId469" Type="http://schemas.openxmlformats.org/officeDocument/2006/relationships/hyperlink" Target="https://www.linkedin.com/learning/data-science-grundlagen-knowledge-graphen?trk=ondemandfile" TargetMode="External"/><Relationship Id="rId676" Type="http://schemas.openxmlformats.org/officeDocument/2006/relationships/hyperlink" Target="https://www.linkedin.com/learning/00-arbmethodmanag?trk=ondemandfile" TargetMode="External"/><Relationship Id="rId883" Type="http://schemas.openxmlformats.org/officeDocument/2006/relationships/hyperlink" Target="https://www.linkedin.com/learning/management-y-agile-scrum-design-thinking-co-blinkist-kernaussagen?trk=ondemandfile" TargetMode="External"/><Relationship Id="rId26" Type="http://schemas.openxmlformats.org/officeDocument/2006/relationships/hyperlink" Target="https://www.linkedin.com/learning/nachhaltigkeit-im-unternehmen?trk=ondemandfile" TargetMode="External"/><Relationship Id="rId231" Type="http://schemas.openxmlformats.org/officeDocument/2006/relationships/hyperlink" Target="https://www.linkedin.com/learning/effective-listening-2?trk=ondemandfile" TargetMode="External"/><Relationship Id="rId329" Type="http://schemas.openxmlformats.org/officeDocument/2006/relationships/hyperlink" Target="https://www.linkedin.com/learning/human-branding-ihre-personliche-marke-entwickeln?trk=contentmappingfile" TargetMode="External"/><Relationship Id="rId536" Type="http://schemas.openxmlformats.org/officeDocument/2006/relationships/hyperlink" Target="https://www.linkedin.com/learning/die-unternehmensleistung-messen?trk=ondemandfile" TargetMode="External"/><Relationship Id="rId175" Type="http://schemas.openxmlformats.org/officeDocument/2006/relationships/hyperlink" Target="https://www.linkedin.com/learning/firmeninterne-gesprachssituationen-meistern?trk=ondemandfile" TargetMode="External"/><Relationship Id="rId743" Type="http://schemas.openxmlformats.org/officeDocument/2006/relationships/hyperlink" Target="https://www.linkedin.com/learning/powerpoint-tipps-tricks-techniken-365-2019?trk=ondemandfile" TargetMode="External"/><Relationship Id="rId950" Type="http://schemas.openxmlformats.org/officeDocument/2006/relationships/hyperlink" Target="https://www.linkedin.com/learning/feel-good-management?trk=ondemandfile" TargetMode="External"/><Relationship Id="rId382" Type="http://schemas.openxmlformats.org/officeDocument/2006/relationships/hyperlink" Target="https://www.linkedin.com/learning/video-seo-mit-youtube?trk=ondemandfile" TargetMode="External"/><Relationship Id="rId603" Type="http://schemas.openxmlformats.org/officeDocument/2006/relationships/hyperlink" Target="https://www.linkedin.com/learning/unerwartete-veranderungen-annehmen?trk=ondemandfile" TargetMode="External"/><Relationship Id="rId687" Type="http://schemas.openxmlformats.org/officeDocument/2006/relationships/hyperlink" Target="https://www.linkedin.com/learning/leistungstrager-fuhren?trk=ondemandfile" TargetMode="External"/><Relationship Id="rId810" Type="http://schemas.openxmlformats.org/officeDocument/2006/relationships/hyperlink" Target="https://www.linkedin.com/learning/scope-creen-schleichende-umfangserweiterungen-in-projekten-vermeiden?trk=ondemandfile" TargetMode="External"/><Relationship Id="rId908" Type="http://schemas.openxmlformats.org/officeDocument/2006/relationships/hyperlink" Target="https://www.linkedin.com/learning/einfuhrung-ins-e-learning?trk=ondemandfile" TargetMode="External"/><Relationship Id="rId242" Type="http://schemas.openxmlformats.org/officeDocument/2006/relationships/hyperlink" Target="https://www.linkedin.com/learning/in-der-videokonferenz-souveran-auftreten?trk=ondemandfile" TargetMode="External"/><Relationship Id="rId894" Type="http://schemas.openxmlformats.org/officeDocument/2006/relationships/hyperlink" Target="https://www.linkedin.com/learning/strategisches-denken?trk=ondemandfile" TargetMode="External"/><Relationship Id="rId37" Type="http://schemas.openxmlformats.org/officeDocument/2006/relationships/hyperlink" Target="https://www.linkedin.com/learning/tipps-fur-kreatives-zeitmanagement?trk=contentmappingfile" TargetMode="External"/><Relationship Id="rId102" Type="http://schemas.openxmlformats.org/officeDocument/2006/relationships/hyperlink" Target="https://www.linkedin.com/learning/paths/teams-aufbauen-und-fuehren?trk=ondemandfile" TargetMode="External"/><Relationship Id="rId547" Type="http://schemas.openxmlformats.org/officeDocument/2006/relationships/hyperlink" Target="https://www.linkedin.com/learning/10-mythen-uber-diversity-inclusion-und-zugehorigkeit-am-arbeitsplatz?trk=contentmappingfile" TargetMode="External"/><Relationship Id="rId754" Type="http://schemas.openxmlformats.org/officeDocument/2006/relationships/hyperlink" Target="https://www.linkedin.com/learning/schwierige-sachverhalte-einfach-vermitteln?trk=contentmappingfile" TargetMode="External"/><Relationship Id="rId961" Type="http://schemas.openxmlformats.org/officeDocument/2006/relationships/hyperlink" Target="https://www.linkedin.com/learning/empathie-und-kreativitat-als-neue-schlusselkompetenzen?trk=ondemandfile" TargetMode="External"/><Relationship Id="rId90" Type="http://schemas.openxmlformats.org/officeDocument/2006/relationships/hyperlink" Target="https://www.linkedin.com/learning/paths/die-zusammenarbeit-fordern?trk=ondemandfile" TargetMode="External"/><Relationship Id="rId186" Type="http://schemas.openxmlformats.org/officeDocument/2006/relationships/hyperlink" Target="https://www.linkedin.com/learning/konfliktmanagement-in-projekten?trk=ondemandfile" TargetMode="External"/><Relationship Id="rId393" Type="http://schemas.openxmlformats.org/officeDocument/2006/relationships/hyperlink" Target="https://www.linkedin.com/learning/der-kreative-prozess-in-funf-schritten?trk=ondemandfile" TargetMode="External"/><Relationship Id="rId407" Type="http://schemas.openxmlformats.org/officeDocument/2006/relationships/hyperlink" Target="https://www.linkedin.com/learning/kreative-ideen-entwickeln-arten-von-kreativitat?trk=ondemandfile" TargetMode="External"/><Relationship Id="rId614" Type="http://schemas.openxmlformats.org/officeDocument/2006/relationships/hyperlink" Target="https://www.linkedin.com/learning/bereit-zur-fuhrung?trk=ondemandfile" TargetMode="External"/><Relationship Id="rId821" Type="http://schemas.openxmlformats.org/officeDocument/2006/relationships/hyperlink" Target="https://www.linkedin.com/learning/paths/rechtssicher-handeln-im-e-commerce?trk=ondemandfile" TargetMode="External"/><Relationship Id="rId253" Type="http://schemas.openxmlformats.org/officeDocument/2006/relationships/hyperlink" Target="https://www.linkedin.com/learning/00-korpersprache?trk=ondemandfile" TargetMode="External"/><Relationship Id="rId460" Type="http://schemas.openxmlformats.org/officeDocument/2006/relationships/hyperlink" Target="https://www.linkedin.com/learning/paths/excel-expert-in-werden?trk=ondemandfile" TargetMode="External"/><Relationship Id="rId698" Type="http://schemas.openxmlformats.org/officeDocument/2006/relationships/hyperlink" Target="https://www.linkedin.com/learning/technische-fachkrafte-fuhren?trk=ondemandfile" TargetMode="External"/><Relationship Id="rId919" Type="http://schemas.openxmlformats.org/officeDocument/2006/relationships/hyperlink" Target="https://www.linkedin.com/learning/00-feedback?trk=ondemandfile" TargetMode="External"/><Relationship Id="rId48" Type="http://schemas.openxmlformats.org/officeDocument/2006/relationships/hyperlink" Target="https://www.linkedin.com/learning/00-zielvereinbarung?trk=ondemandfile" TargetMode="External"/><Relationship Id="rId113" Type="http://schemas.openxmlformats.org/officeDocument/2006/relationships/hyperlink" Target="https://www.linkedin.com/learning/fuhren-mit-innovation?trk=ondemandfile" TargetMode="External"/><Relationship Id="rId320" Type="http://schemas.openxmlformats.org/officeDocument/2006/relationships/hyperlink" Target="https://www.linkedin.com/learning/a09c0cea-345d-3357-b2a0-a9a48f1f834d?trk=ondemandfile" TargetMode="External"/><Relationship Id="rId558" Type="http://schemas.openxmlformats.org/officeDocument/2006/relationships/hyperlink" Target="https://www.linkedin.com/learning/erfolgreiche-kommunikation?trk=ondemandfile" TargetMode="External"/><Relationship Id="rId765" Type="http://schemas.openxmlformats.org/officeDocument/2006/relationships/hyperlink" Target="https://www.linkedin.com/learning/agil-arbeiten-ein-agiles-team-aufbauen?trk=ondemandfile" TargetMode="External"/><Relationship Id="rId972" Type="http://schemas.openxmlformats.org/officeDocument/2006/relationships/hyperlink" Target="https://www.linkedin.com/learning/sich-und-andere-besser-verstehen?trk=ondemandfile" TargetMode="External"/><Relationship Id="rId197" Type="http://schemas.openxmlformats.org/officeDocument/2006/relationships/hyperlink" Target="https://www.linkedin.com/learning/optimistisch-bleiben-im-job?trk=ondemandfile" TargetMode="External"/><Relationship Id="rId418" Type="http://schemas.openxmlformats.org/officeDocument/2006/relationships/hyperlink" Target="https://www.linkedin.com/learning/paths/ihre-problemlosungsfahigkeiten-verbessern?trk=ondemandfile" TargetMode="External"/><Relationship Id="rId625" Type="http://schemas.openxmlformats.org/officeDocument/2006/relationships/hyperlink" Target="https://www.linkedin.com/learning/entscheidungen-auf-fuhrungsebene-treffen?trk=ondemandfile" TargetMode="External"/><Relationship Id="rId832" Type="http://schemas.openxmlformats.org/officeDocument/2006/relationships/hyperlink" Target="https://www.linkedin.com/learning/erfolgreich-verkaufen?trk=ondemandfile" TargetMode="External"/><Relationship Id="rId264" Type="http://schemas.openxmlformats.org/officeDocument/2006/relationships/hyperlink" Target="https://www.linkedin.com/learning/presse-und-offentlichkeitsarbeit-fur-kleine-und-mittlere-unternehmen?trk=ondemandfile" TargetMode="External"/><Relationship Id="rId471" Type="http://schemas.openxmlformats.org/officeDocument/2006/relationships/hyperlink" Target="https://www.linkedin.com/learning/data-science-lernen-storytelling-mit-daten?trk=ondemandfile" TargetMode="External"/><Relationship Id="rId59" Type="http://schemas.openxmlformats.org/officeDocument/2006/relationships/hyperlink" Target="https://www.linkedin.com/learning/businessprobleme-l-sen?trk=ondemandfile" TargetMode="External"/><Relationship Id="rId124" Type="http://schemas.openxmlformats.org/officeDocument/2006/relationships/hyperlink" Target="https://www.linkedin.com/learning/hochleistungsteams-aufbauen?trk=ondemandfile" TargetMode="External"/><Relationship Id="rId569" Type="http://schemas.openxmlformats.org/officeDocument/2006/relationships/hyperlink" Target="https://www.linkedin.com/learning/raumgestaltung-fur-innovation-kreativitat-und-agilitat?trk=contentmappingfile" TargetMode="External"/><Relationship Id="rId776" Type="http://schemas.openxmlformats.org/officeDocument/2006/relationships/hyperlink" Target="https://www.linkedin.com/learning/azure-devops-grundkurs?trk=ondemandfile" TargetMode="External"/><Relationship Id="rId983" Type="http://schemas.openxmlformats.org/officeDocument/2006/relationships/hyperlink" Target="https://www.linkedin.com/learning/deutsch-aber-richtig?trk=ondemandfile" TargetMode="External"/><Relationship Id="rId331" Type="http://schemas.openxmlformats.org/officeDocument/2006/relationships/hyperlink" Target="https://www.linkedin.com/learning/ihre-kompetenz-sichtbar-machen?trk=ondemandfile" TargetMode="External"/><Relationship Id="rId429" Type="http://schemas.openxmlformats.org/officeDocument/2006/relationships/hyperlink" Target="https://www.linkedin.com/learning/probleme-konfliktfrei-losen-mit-inspektor-columbo-columbos-regeln?trk=contentmappingfile" TargetMode="External"/><Relationship Id="rId636" Type="http://schemas.openxmlformats.org/officeDocument/2006/relationships/hyperlink" Target="https://www.linkedin.com/learning/fuhrung-im-vertrieb-limbecks-leadership-lektionen?trk=ondemandfile" TargetMode="External"/><Relationship Id="rId843" Type="http://schemas.openxmlformats.org/officeDocument/2006/relationships/hyperlink" Target="https://www.linkedin.com/learning/preisgesprache-im-verkauf?trk=ondemandfile" TargetMode="External"/><Relationship Id="rId275" Type="http://schemas.openxmlformats.org/officeDocument/2006/relationships/hyperlink" Target="https://www.linkedin.com/learning/00-uberzeugend-auftreten?trk=ondemandfile" TargetMode="External"/><Relationship Id="rId482" Type="http://schemas.openxmlformats.org/officeDocument/2006/relationships/hyperlink" Target="https://www.linkedin.com/learning/excel-2016-daten-importieren-modellieren-auswerten?trk=ondemandfile" TargetMode="External"/><Relationship Id="rId703" Type="http://schemas.openxmlformats.org/officeDocument/2006/relationships/hyperlink" Target="https://www.linkedin.com/learning/paths/six-sigma-green-belt-werden?trk=ondemandfile" TargetMode="External"/><Relationship Id="rId910" Type="http://schemas.openxmlformats.org/officeDocument/2006/relationships/hyperlink" Target="https://www.linkedin.com/learning/expert-innen-fuhren?trk=ondemandfile" TargetMode="External"/><Relationship Id="rId135" Type="http://schemas.openxmlformats.org/officeDocument/2006/relationships/hyperlink" Target="https://www.linkedin.com/learning/00-feedback?trk=ondemandfile" TargetMode="External"/><Relationship Id="rId342" Type="http://schemas.openxmlformats.org/officeDocument/2006/relationships/hyperlink" Target="https://www.linkedin.com/learning/e4277b1c-0557-3f48-bfb5-6e8130d302fa?trk=ondemandfile" TargetMode="External"/><Relationship Id="rId787" Type="http://schemas.openxmlformats.org/officeDocument/2006/relationships/hyperlink" Target="https://www.linkedin.com/learning/grundlagen-der-programmierung-agile-softwareentwicklung?trk=ondemandfile" TargetMode="External"/><Relationship Id="rId994" Type="http://schemas.openxmlformats.org/officeDocument/2006/relationships/hyperlink" Target="https://www.linkedin.com/learning/wie-rechtschreibung-auf-die-reputation-einzahlt?trk=ondemandfile" TargetMode="External"/><Relationship Id="rId202" Type="http://schemas.openxmlformats.org/officeDocument/2006/relationships/hyperlink" Target="https://www.linkedin.com/learning/00-projektmanagement-teamfuhrung?trk=ondemandfile" TargetMode="External"/><Relationship Id="rId647" Type="http://schemas.openxmlformats.org/officeDocument/2006/relationships/hyperlink" Target="https://www.linkedin.com/learning/kollaborative-fuhrung?trk=ondemandfile" TargetMode="External"/><Relationship Id="rId854" Type="http://schemas.openxmlformats.org/officeDocument/2006/relationships/hyperlink" Target="https://www.linkedin.com/learning/verkaufsprognosen?trk=ondemandfile" TargetMode="External"/><Relationship Id="rId286" Type="http://schemas.openxmlformats.org/officeDocument/2006/relationships/hyperlink" Target="https://www.linkedin.com/learning/00-anteilmanag?trk=ondemandfile" TargetMode="External"/><Relationship Id="rId493" Type="http://schemas.openxmlformats.org/officeDocument/2006/relationships/hyperlink" Target="https://www.linkedin.com/learning/excel-power-query-fur-einsteiger?trk=contentmappingfile" TargetMode="External"/><Relationship Id="rId507" Type="http://schemas.openxmlformats.org/officeDocument/2006/relationships/hyperlink" Target="https://www.linkedin.com/learning/power-bi-datenmodellierung?trk=contentmappingfile" TargetMode="External"/><Relationship Id="rId714" Type="http://schemas.openxmlformats.org/officeDocument/2006/relationships/hyperlink" Target="https://www.linkedin.com/learning/six-sigma-green-belt-2?trk=ondemandfile" TargetMode="External"/><Relationship Id="rId921" Type="http://schemas.openxmlformats.org/officeDocument/2006/relationships/hyperlink" Target="https://www.linkedin.com/learning/00-onboarding?trk=ondemandfile" TargetMode="External"/><Relationship Id="rId50" Type="http://schemas.openxmlformats.org/officeDocument/2006/relationships/hyperlink" Target="https://www.linkedin.com/learning/paths/durch-veranderungsprozesse-fuhren?trk=ondemandfile" TargetMode="External"/><Relationship Id="rId146" Type="http://schemas.openxmlformats.org/officeDocument/2006/relationships/hyperlink" Target="https://www.linkedin.com/learning/systemisch-fuhren?trk=ondemandfile" TargetMode="External"/><Relationship Id="rId353" Type="http://schemas.openxmlformats.org/officeDocument/2006/relationships/hyperlink" Target="https://www.linkedin.com/learning/aufmerksamkeit-im-verkauf?trk=ondemandfile" TargetMode="External"/><Relationship Id="rId560" Type="http://schemas.openxmlformats.org/officeDocument/2006/relationships/hyperlink" Target="https://www.linkedin.com/learning/ihre-wirkungsvolle-diversity-strategie-entwickeln?trk=contentmappingfile" TargetMode="External"/><Relationship Id="rId798" Type="http://schemas.openxmlformats.org/officeDocument/2006/relationships/hyperlink" Target="https://www.linkedin.com/learning/00-projektmanagement-initiierung?trk=ondemandfile" TargetMode="External"/><Relationship Id="rId213" Type="http://schemas.openxmlformats.org/officeDocument/2006/relationships/hyperlink" Target="https://www.linkedin.com/learning/argumentative-rhetorik-manipulative-rhetorik-zwei-wege-menschen-zu-beeinflussen?trk=ondemandfile" TargetMode="External"/><Relationship Id="rId420" Type="http://schemas.openxmlformats.org/officeDocument/2006/relationships/hyperlink" Target="https://www.linkedin.com/learning/businessprobleme-l-sen?trk=ondemandfile" TargetMode="External"/><Relationship Id="rId658" Type="http://schemas.openxmlformats.org/officeDocument/2006/relationships/hyperlink" Target="https://www.linkedin.com/learning/selbstmanagement-tipps-fur-fuhrungskrafte?trk=ondemandfile" TargetMode="External"/><Relationship Id="rId865" Type="http://schemas.openxmlformats.org/officeDocument/2006/relationships/hyperlink" Target="https://www.linkedin.com/learning/die-orbit-organisation-blinkist-kernaussagen?trk=ondemandfile" TargetMode="External"/><Relationship Id="rId297" Type="http://schemas.openxmlformats.org/officeDocument/2006/relationships/hyperlink" Target="https://www.linkedin.com/learning/unconscious-bias-unbewusste-denkmuster-erkennen-und-andern?trk=ondemandfile" TargetMode="External"/><Relationship Id="rId518" Type="http://schemas.openxmlformats.org/officeDocument/2006/relationships/hyperlink" Target="https://www.linkedin.com/learning/sap-business-one-stammdaten?trk=contentmappingfile" TargetMode="External"/><Relationship Id="rId725" Type="http://schemas.openxmlformats.org/officeDocument/2006/relationships/hyperlink" Target="https://www.linkedin.com/learning/eloquenz-fur-fuhrungskrafte?trk=ondemandfile" TargetMode="External"/><Relationship Id="rId932" Type="http://schemas.openxmlformats.org/officeDocument/2006/relationships/hyperlink" Target="https://www.linkedin.com/learning/tipps-fur-mehr-erfolg-jede-woche-neu?trk=contentmappingfile" TargetMode="External"/><Relationship Id="rId157" Type="http://schemas.openxmlformats.org/officeDocument/2006/relationships/hyperlink" Target="https://www.linkedin.com/learning/werteorientiertes-management?trk=ondemandfile" TargetMode="External"/><Relationship Id="rId364" Type="http://schemas.openxmlformats.org/officeDocument/2006/relationships/hyperlink" Target="https://www.linkedin.com/learning/seo-f-r-wordpress?trk=ondemandfile" TargetMode="External"/><Relationship Id="rId1008" Type="http://schemas.openxmlformats.org/officeDocument/2006/relationships/hyperlink" Target="https://www.linkedin.com/learning/mit-dem-inneren-kritiker-besser-leben?trk=contentmappingfile" TargetMode="External"/><Relationship Id="rId61" Type="http://schemas.openxmlformats.org/officeDocument/2006/relationships/hyperlink" Target="https://www.linkedin.com/learning/disrupt-yourself-erfinden-sie-sich-neu?trk=ondemandfile" TargetMode="External"/><Relationship Id="rId571" Type="http://schemas.openxmlformats.org/officeDocument/2006/relationships/hyperlink" Target="https://www.linkedin.com/learning/active-sourcing?trk=ondemandfile" TargetMode="External"/><Relationship Id="rId669" Type="http://schemas.openxmlformats.org/officeDocument/2006/relationships/hyperlink" Target="https://www.linkedin.com/learning/00-fragenfuehren?trk=ondemandfile" TargetMode="External"/><Relationship Id="rId876" Type="http://schemas.openxmlformats.org/officeDocument/2006/relationships/hyperlink" Target="https://www.linkedin.com/learning/fuhrungsqualitaten-fur-topmanager?trk=ondemandfile" TargetMode="External"/><Relationship Id="rId19" Type="http://schemas.openxmlformats.org/officeDocument/2006/relationships/hyperlink" Target="https://www.linkedin.com/learning/fokus-blinkist-kernaussagen?trk=ondemandfile" TargetMode="External"/><Relationship Id="rId224" Type="http://schemas.openxmlformats.org/officeDocument/2006/relationships/hyperlink" Target="https://www.linkedin.com/learning/data-science-lernen-storytelling-mit-daten?trk=ondemandfile" TargetMode="External"/><Relationship Id="rId431" Type="http://schemas.openxmlformats.org/officeDocument/2006/relationships/hyperlink" Target="https://www.linkedin.com/learning/65e30dde-df28-3a85-89cd-faaf0c298709?trk=ondemandfile" TargetMode="External"/><Relationship Id="rId529" Type="http://schemas.openxmlformats.org/officeDocument/2006/relationships/hyperlink" Target="https://www.linkedin.com/learning/statistik-grundlagen-2-mehrere-variablen-und-wahrscheinlichkeiten?trk=ondemandfile" TargetMode="External"/><Relationship Id="rId736" Type="http://schemas.openxmlformats.org/officeDocument/2006/relationships/hyperlink" Target="https://www.linkedin.com/learning/office-365-pp-lernen?trk=ondemandfile" TargetMode="External"/><Relationship Id="rId168" Type="http://schemas.openxmlformats.org/officeDocument/2006/relationships/hyperlink" Target="https://www.linkedin.com/learning/die-assistenz-der-zukunft-schlusselkompetenzen-fur-das-moderne-office-management?trk=ondemandfile" TargetMode="External"/><Relationship Id="rId943" Type="http://schemas.openxmlformats.org/officeDocument/2006/relationships/hyperlink" Target="https://www.linkedin.com/learning/00-ergebnis-manag?trk=ondemandfile" TargetMode="External"/><Relationship Id="rId72" Type="http://schemas.openxmlformats.org/officeDocument/2006/relationships/hyperlink" Target="https://www.linkedin.com/learning/innovation-in-unternehmen?trk=ondemandfile" TargetMode="External"/><Relationship Id="rId375" Type="http://schemas.openxmlformats.org/officeDocument/2006/relationships/hyperlink" Target="https://www.linkedin.com/learning/social-media-marketing-grundlagen-2?trk=ondemandfile" TargetMode="External"/><Relationship Id="rId582" Type="http://schemas.openxmlformats.org/officeDocument/2006/relationships/hyperlink" Target="https://www.linkedin.com/learning/agiler-fuhren-eine-einfuhrung?trk=ondemandfile" TargetMode="External"/><Relationship Id="rId803" Type="http://schemas.openxmlformats.org/officeDocument/2006/relationships/hyperlink" Target="https://www.linkedin.com/learning/00-projektmanagement-planung?trk=ondemandfile" TargetMode="External"/><Relationship Id="rId3" Type="http://schemas.openxmlformats.org/officeDocument/2006/relationships/hyperlink" Target="https://www.linkedin.com/learning/agile-strategieumsetzung-mit-okr-objectives-and-key-results?trk=contentmappingfile" TargetMode="External"/><Relationship Id="rId235" Type="http://schemas.openxmlformats.org/officeDocument/2006/relationships/hyperlink" Target="https://www.linkedin.com/learning/firmeninterne-gesprachssituationen-meistern?trk=ondemandfile" TargetMode="External"/><Relationship Id="rId442" Type="http://schemas.openxmlformats.org/officeDocument/2006/relationships/hyperlink" Target="https://www.linkedin.com/learning/customer-centricity-unternehmerisches-handeln-am-kunden-ausrichten?trk=ondemandfile" TargetMode="External"/><Relationship Id="rId887" Type="http://schemas.openxmlformats.org/officeDocument/2006/relationships/hyperlink" Target="https://www.linkedin.com/learning/preisheiten-alles-was-sie-uber-preise-wissen-mussen-blinkist-kernaussagen?trk=ondemandfile" TargetMode="External"/><Relationship Id="rId302" Type="http://schemas.openxmlformats.org/officeDocument/2006/relationships/hyperlink" Target="https://www.linkedin.com/learning/adobe-spark-grundkurs-2?trk=ondemandfile" TargetMode="External"/><Relationship Id="rId747" Type="http://schemas.openxmlformats.org/officeDocument/2006/relationships/hyperlink" Target="https://www.linkedin.com/learning/how-to-present-and-stay-on-point-2?trk=ondemandfile" TargetMode="External"/><Relationship Id="rId954" Type="http://schemas.openxmlformats.org/officeDocument/2006/relationships/hyperlink" Target="https://www.linkedin.com/learning/00-zielvereinbarung?trk=ondemandfile" TargetMode="External"/><Relationship Id="rId83" Type="http://schemas.openxmlformats.org/officeDocument/2006/relationships/hyperlink" Target="https://www.linkedin.com/learning/produktiv-mit-stress-umgehen?trk=ondemandfile" TargetMode="External"/><Relationship Id="rId179" Type="http://schemas.openxmlformats.org/officeDocument/2006/relationships/hyperlink" Target="https://www.linkedin.com/learning/00-teamarbeit?trk=ondemandfile" TargetMode="External"/><Relationship Id="rId386" Type="http://schemas.openxmlformats.org/officeDocument/2006/relationships/hyperlink" Target="https://www.linkedin.com/learning/werbung-auf-instagram?trk=ondemandfile" TargetMode="External"/><Relationship Id="rId593" Type="http://schemas.openxmlformats.org/officeDocument/2006/relationships/hyperlink" Target="https://www.linkedin.com/learning/ein-agiles-mindset-entwickeln?trk=ondemandfile" TargetMode="External"/><Relationship Id="rId607" Type="http://schemas.openxmlformats.org/officeDocument/2006/relationships/hyperlink" Target="https://www.linkedin.com/learning/paths/fuehren-im-zeitalter-der-digitalen-transformation?trk=ondemandfile" TargetMode="External"/><Relationship Id="rId814" Type="http://schemas.openxmlformats.org/officeDocument/2006/relationships/hyperlink" Target="https://www.linkedin.com/learning/stakeholdermanagement?trk=ondemandfile" TargetMode="External"/><Relationship Id="rId246" Type="http://schemas.openxmlformats.org/officeDocument/2006/relationships/hyperlink" Target="https://www.linkedin.com/learning/interkulturelle-kompetenz?trk=ondemandfile" TargetMode="External"/><Relationship Id="rId453" Type="http://schemas.openxmlformats.org/officeDocument/2006/relationships/hyperlink" Target="https://www.linkedin.com/learning/ein-blick-in-die-zukunft-design-und-automatisierung-ki?trk=ondemandfile" TargetMode="External"/><Relationship Id="rId660" Type="http://schemas.openxmlformats.org/officeDocument/2006/relationships/hyperlink" Target="https://www.linkedin.com/learning/sich-selbst-fuhren?trk=ondemandfile" TargetMode="External"/><Relationship Id="rId898" Type="http://schemas.openxmlformats.org/officeDocument/2006/relationships/hyperlink" Target="https://www.linkedin.com/learning/agile-lernformate-fur-organisationen?trk=ondemandfile" TargetMode="External"/><Relationship Id="rId106" Type="http://schemas.openxmlformats.org/officeDocument/2006/relationships/hyperlink" Target="https://www.linkedin.com/learning/die-leistung-der-mitarbeiter-innen-steigern?trk=ondemandfile" TargetMode="External"/><Relationship Id="rId313" Type="http://schemas.openxmlformats.org/officeDocument/2006/relationships/hyperlink" Target="https://www.linkedin.com/learning/corporate-influencer-in-mitarbeitende-als-werte-und-markenbotschafter-innen-einsetzen?trk=ondemandfile" TargetMode="External"/><Relationship Id="rId758" Type="http://schemas.openxmlformats.org/officeDocument/2006/relationships/hyperlink" Target="https://www.linkedin.com/learning/storytelling-fur-fuhrungskrafte?trk=ondemandfile" TargetMode="External"/><Relationship Id="rId965" Type="http://schemas.openxmlformats.org/officeDocument/2006/relationships/hyperlink" Target="https://www.linkedin.com/learning/fuhrungsstarke-ausstrahlen-tipps-fur-frauen?trk=ondemandfile" TargetMode="External"/><Relationship Id="rId10" Type="http://schemas.openxmlformats.org/officeDocument/2006/relationships/hyperlink" Target="https://www.linkedin.com/learning/berufliche-ziele-setzen-und-erreichen?trk=ondemandfile" TargetMode="External"/><Relationship Id="rId94" Type="http://schemas.openxmlformats.org/officeDocument/2006/relationships/hyperlink" Target="https://www.linkedin.com/learning/paths/fuhrungskraft-werden?trk=ondemandfile" TargetMode="External"/><Relationship Id="rId397" Type="http://schemas.openxmlformats.org/officeDocument/2006/relationships/hyperlink" Target="https://www.linkedin.com/learning/00-design-thinking?trk=ondemandfile" TargetMode="External"/><Relationship Id="rId520" Type="http://schemas.openxmlformats.org/officeDocument/2006/relationships/hyperlink" Target="https://www.linkedin.com/learning/spss-lernen?trk=ondemandfile" TargetMode="External"/><Relationship Id="rId618" Type="http://schemas.openxmlformats.org/officeDocument/2006/relationships/hyperlink" Target="https://www.linkedin.com/learning/coaching-skills-fur-fuhrungskrafte?trk=ondemandfile" TargetMode="External"/><Relationship Id="rId825" Type="http://schemas.openxmlformats.org/officeDocument/2006/relationships/hyperlink" Target="https://www.linkedin.com/learning/die-wissenschaft-des-verkaufens?trk=ondemandfile"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s://www.linkedin.com/learning/10-minutes-un-livre-soignez-la-reunionite?trk=contentmappingfile" TargetMode="External"/><Relationship Id="rId21" Type="http://schemas.openxmlformats.org/officeDocument/2006/relationships/hyperlink" Target="https://www.linkedin.com/learning/developper-l-engagement-des-employes-employees?trk=contentmappingfile" TargetMode="External"/><Relationship Id="rId42" Type="http://schemas.openxmlformats.org/officeDocument/2006/relationships/hyperlink" Target="https://www.linkedin.com/learning/donner-des-feedbacks-aux-employes-employees?trk=contentmappingfile" TargetMode="External"/><Relationship Id="rId63" Type="http://schemas.openxmlformats.org/officeDocument/2006/relationships/hyperlink" Target="https://www.linkedin.com/learning/creer-des-conversations-constructives-avec-des-clients-exigeants-clientes-exigeantes?trk=contentmappingfile" TargetMode="External"/><Relationship Id="rId84" Type="http://schemas.openxmlformats.org/officeDocument/2006/relationships/hyperlink" Target="https://www.linkedin.com/learning/faire-face-aux-microagressions-au-travail?trk=contentmappingfile" TargetMode="External"/><Relationship Id="rId138" Type="http://schemas.openxmlformats.org/officeDocument/2006/relationships/hyperlink" Target="https://www.linkedin.com/learning/les-fondements-du-lean-six-sigma?trk=contentmappingfile" TargetMode="External"/><Relationship Id="rId159" Type="http://schemas.openxmlformats.org/officeDocument/2006/relationships/hyperlink" Target="https://www.linkedin.com/learning/developper-la-motivation-et-l-engagement-des-employes-employees?trk=contentmappingfile" TargetMode="External"/><Relationship Id="rId170" Type="http://schemas.openxmlformats.org/officeDocument/2006/relationships/hyperlink" Target="https://www.linkedin.com/learning/etablir-des-objectifs-pour-son-equipe-et-ses-employes-employees?trk=contentmappingfile" TargetMode="External"/><Relationship Id="rId191" Type="http://schemas.openxmlformats.org/officeDocument/2006/relationships/hyperlink" Target="https://www.linkedin.com/learning/10-conseils-pour-construire-un-cv-percutant?trk=contentmappingfile" TargetMode="External"/><Relationship Id="rId107" Type="http://schemas.openxmlformats.org/officeDocument/2006/relationships/hyperlink" Target="https://www.linkedin.com/learning/diriger-grace-a-l-intelligence-emotionnelle?trk=contentmappingfile" TargetMode="External"/><Relationship Id="rId11" Type="http://schemas.openxmlformats.org/officeDocument/2006/relationships/hyperlink" Target="https://www.linkedin.com/learning/de-l-impuissance-au-pouvoir-la-prise-de-controle?trk=contentmappingfile" TargetMode="External"/><Relationship Id="rId32" Type="http://schemas.openxmlformats.org/officeDocument/2006/relationships/hyperlink" Target="https://www.linkedin.com/learning/conseils-d-experte-manager-la-generation-z?trk=contentmappingfile" TargetMode="External"/><Relationship Id="rId53" Type="http://schemas.openxmlformats.org/officeDocument/2006/relationships/hyperlink" Target="https://www.linkedin.com/learning/les-fondements-du-marketing-17444910?trk=contentmappingfile" TargetMode="External"/><Relationship Id="rId74" Type="http://schemas.openxmlformats.org/officeDocument/2006/relationships/hyperlink" Target="https://www.linkedin.com/learning/blockchain-creer-et-deployer-un-smart-contract?trk=contentmappingfile" TargetMode="External"/><Relationship Id="rId128" Type="http://schemas.openxmlformats.org/officeDocument/2006/relationships/hyperlink" Target="https://www.linkedin.com/learning/gerer-les-employes-tres-performants-employees-tres-performantes?trk=contentmappingfile" TargetMode="External"/><Relationship Id="rId149" Type="http://schemas.openxmlformats.org/officeDocument/2006/relationships/hyperlink" Target="https://www.linkedin.com/learning/gerer-la-force-de-vente-pour-les-directeurs-directrices-des-ventes?trk=contentmappingfile" TargetMode="External"/><Relationship Id="rId5" Type="http://schemas.openxmlformats.org/officeDocument/2006/relationships/hyperlink" Target="https://www.linkedin.com/learning/l-analyse-marketing-etablir-et-mesurer-des-indicateurs-cles-de-performance-kpi?trk=contentmappingfile" TargetMode="External"/><Relationship Id="rId95" Type="http://schemas.openxmlformats.org/officeDocument/2006/relationships/hyperlink" Target="https://www.linkedin.com/learning/reussir-un-entretien-pour-un-emploi-ou-un-stage-dans-le-design?trk=contentmappingfile" TargetMode="External"/><Relationship Id="rId160" Type="http://schemas.openxmlformats.org/officeDocument/2006/relationships/hyperlink" Target="https://www.linkedin.com/learning/developper-l-engagement-des-employes-employees?trk=contentmappingfile" TargetMode="External"/><Relationship Id="rId181" Type="http://schemas.openxmlformats.org/officeDocument/2006/relationships/hyperlink" Target="https://www.linkedin.com/learning/ameliorer-son-index-d-egalite-professionnelle?trk=contentmappingfile" TargetMode="External"/><Relationship Id="rId22" Type="http://schemas.openxmlformats.org/officeDocument/2006/relationships/hyperlink" Target="https://www.linkedin.com/learning/etablir-des-objectifs-pour-son-equipe-et-ses-employes-employees?trk=contentmappingfile" TargetMode="External"/><Relationship Id="rId43" Type="http://schemas.openxmlformats.org/officeDocument/2006/relationships/hyperlink" Target="https://www.linkedin.com/learning/donner-et-recevoir-du-feedback?trk=contentmappingfile" TargetMode="External"/><Relationship Id="rId64" Type="http://schemas.openxmlformats.org/officeDocument/2006/relationships/hyperlink" Target="https://www.linkedin.com/learning/gerer-les-attentes-des-clients-pour-les-managers?trk=contentmappingfile" TargetMode="External"/><Relationship Id="rId118" Type="http://schemas.openxmlformats.org/officeDocument/2006/relationships/hyperlink" Target="https://www.linkedin.com/learning/accroitre-la-securite-psychologique-de-votre-equipe?trk=contentmappingfile" TargetMode="External"/><Relationship Id="rId139" Type="http://schemas.openxmlformats.org/officeDocument/2006/relationships/hyperlink" Target="https://www.linkedin.com/learning/l-essentiel-de-powerpoint-microsoft-365-office-365?trk=contentmappingfile" TargetMode="External"/><Relationship Id="rId85" Type="http://schemas.openxmlformats.org/officeDocument/2006/relationships/hyperlink" Target="https://www.linkedin.com/learning/favoriser-l-inclusion-lgbtq-plus-au-travail?trk=contentmappingfile" TargetMode="External"/><Relationship Id="rId150" Type="http://schemas.openxmlformats.org/officeDocument/2006/relationships/hyperlink" Target="https://www.linkedin.com/learning/les-soft-skills-pour-les-commerciaux-commerciales?trk=contentmappingfile" TargetMode="External"/><Relationship Id="rId171" Type="http://schemas.openxmlformats.org/officeDocument/2006/relationships/hyperlink" Target="https://www.linkedin.com/learning/gerer-les-employes-tres-performants-employees-tres-performantes?trk=contentmappingfile" TargetMode="External"/><Relationship Id="rId192" Type="http://schemas.openxmlformats.org/officeDocument/2006/relationships/hyperlink" Target="https://www.linkedin.com/learning/word-creer-une-newsletter-microsoft-365-office-365?trk=contentmappingfile" TargetMode="External"/><Relationship Id="rId12" Type="http://schemas.openxmlformats.org/officeDocument/2006/relationships/hyperlink" Target="https://www.linkedin.com/learning/gerer-ses-relations-avec-son-chef-sa-cheffe-ses-collegues-et-ses-employes-employees?trk=contentmappingfile" TargetMode="External"/><Relationship Id="rId33" Type="http://schemas.openxmlformats.org/officeDocument/2006/relationships/hyperlink" Target="https://www.linkedin.com/learning/creer-des-conversations-constructives-avec-des-clients-exigeants-clientes-exigeantes?trk=contentmappingfile" TargetMode="External"/><Relationship Id="rId108" Type="http://schemas.openxmlformats.org/officeDocument/2006/relationships/hyperlink" Target="https://www.linkedin.com/learning/gerer-ses-relations-avec-son-chef-sa-cheffe-ses-collegues-et-ses-employes-employees?trk=contentmappingfile" TargetMode="External"/><Relationship Id="rId129" Type="http://schemas.openxmlformats.org/officeDocument/2006/relationships/hyperlink" Target="https://www.linkedin.com/learning/gerer-les-experts-expertes?trk=contentmappingfile" TargetMode="External"/><Relationship Id="rId54" Type="http://schemas.openxmlformats.org/officeDocument/2006/relationships/hyperlink" Target="https://www.linkedin.com/learning/les-fondements-du-marketing-etablir-une-proposition-de-valeur?trk=contentmappingfile" TargetMode="External"/><Relationship Id="rId75" Type="http://schemas.openxmlformats.org/officeDocument/2006/relationships/hyperlink" Target="https://www.linkedin.com/learning/blockchain-prise-en-main-de-solidity?trk=contentmappingfile" TargetMode="External"/><Relationship Id="rId96" Type="http://schemas.openxmlformats.org/officeDocument/2006/relationships/hyperlink" Target="https://www.linkedin.com/learning/s-exprimer-contre-les-discriminations-au-travail?trk=contentmappingfile" TargetMode="External"/><Relationship Id="rId140" Type="http://schemas.openxmlformats.org/officeDocument/2006/relationships/hyperlink" Target="https://www.linkedin.com/learning/powerpoint-astuces-rapides-microsoft-365-office-365?trk=contentmappingfile" TargetMode="External"/><Relationship Id="rId161" Type="http://schemas.openxmlformats.org/officeDocument/2006/relationships/hyperlink" Target="https://www.linkedin.com/learning/donner-et-recevoir-du-feedback?trk=contentmappingfile" TargetMode="External"/><Relationship Id="rId182" Type="http://schemas.openxmlformats.org/officeDocument/2006/relationships/hyperlink" Target="https://www.linkedin.com/learning/developper-un-programme-de-diversite-d-inclusion-et-d-appartenance?trk=contentmappingfile" TargetMode="External"/><Relationship Id="rId6" Type="http://schemas.openxmlformats.org/officeDocument/2006/relationships/hyperlink" Target="https://www.linkedin.com/learning/les-fondamentaux-de-la-gestion-du-temps?trk=ondemandfile" TargetMode="External"/><Relationship Id="rId23" Type="http://schemas.openxmlformats.org/officeDocument/2006/relationships/hyperlink" Target="https://www.linkedin.com/learning/gerer-les-problemes-de-performance-de-ses-employes-employees?trk=contentmappingfile" TargetMode="External"/><Relationship Id="rId119" Type="http://schemas.openxmlformats.org/officeDocument/2006/relationships/hyperlink" Target="https://www.linkedin.com/learning/ameliorer-les-performances-des-employes-employees?trk=contentmappingfile" TargetMode="External"/><Relationship Id="rId44" Type="http://schemas.openxmlformats.org/officeDocument/2006/relationships/hyperlink" Target="https://www.linkedin.com/learning/gerer-les-problemes-de-performance-de-ses-employes-employees?trk=contentmappingfile" TargetMode="External"/><Relationship Id="rId65" Type="http://schemas.openxmlformats.org/officeDocument/2006/relationships/hyperlink" Target="https://www.linkedin.com/learning/gerer-les-besoins-de-la-clientele-en-tant-qu-employes-employees-de-premiere-ligne?trk=contentmappingfile" TargetMode="External"/><Relationship Id="rId86" Type="http://schemas.openxmlformats.org/officeDocument/2006/relationships/hyperlink" Target="https://www.linkedin.com/learning/gerer-les-problemes-de-performance-de-ses-employes-employees?trk=contentmappingfile" TargetMode="External"/><Relationship Id="rId130" Type="http://schemas.openxmlformats.org/officeDocument/2006/relationships/hyperlink" Target="https://www.linkedin.com/learning/gerer-les-managers-experimentes-experimentees?trk=contentmappingfile" TargetMode="External"/><Relationship Id="rId151" Type="http://schemas.openxmlformats.org/officeDocument/2006/relationships/hyperlink" Target="https://www.linkedin.com/learning/repondre-aux-objections-de-ses-clients-clientes?trk=contentmappingfile" TargetMode="External"/><Relationship Id="rId172" Type="http://schemas.openxmlformats.org/officeDocument/2006/relationships/hyperlink" Target="https://www.linkedin.com/learning/gerer-les-experts-expertes?trk=contentmappingfile" TargetMode="External"/><Relationship Id="rId193" Type="http://schemas.openxmlformats.org/officeDocument/2006/relationships/hyperlink" Target="https://www.linkedin.com/learning/10-minutes-un-livre-l-art-de-la-meditation?trk=contentmappingfile" TargetMode="External"/><Relationship Id="rId13" Type="http://schemas.openxmlformats.org/officeDocument/2006/relationships/hyperlink" Target="https://www.linkedin.com/learning/la-transformation-digitale-pour-les-decideurs-decideuses?trk=contentmappingfile" TargetMode="External"/><Relationship Id="rId109" Type="http://schemas.openxmlformats.org/officeDocument/2006/relationships/hyperlink" Target="https://www.linkedin.com/learning/jeff-weiner-le-management-compassionnel?trk=contentmappingfile" TargetMode="External"/><Relationship Id="rId34" Type="http://schemas.openxmlformats.org/officeDocument/2006/relationships/hyperlink" Target="https://www.linkedin.com/learning/devenir-une-personne-charismatique-et-influente?trk=contentmappingfile" TargetMode="External"/><Relationship Id="rId50" Type="http://schemas.openxmlformats.org/officeDocument/2006/relationships/hyperlink" Target="https://www.linkedin.com/learning/exploiter-les-leviers-du-web-marketing-pour-booster-son-activite?trk=contentmappingfile" TargetMode="External"/><Relationship Id="rId55" Type="http://schemas.openxmlformats.org/officeDocument/2006/relationships/hyperlink" Target="https://www.linkedin.com/learning/les-fondements-du-marketing-le-comportement-des-utilisateurs-utilisatrices?trk=contentmappingfile" TargetMode="External"/><Relationship Id="rId76" Type="http://schemas.openxmlformats.org/officeDocument/2006/relationships/hyperlink" Target="https://www.linkedin.com/learning/excel-pour-mac-preparer-des-ecritures-comptables?trk=contentmappingfile" TargetMode="External"/><Relationship Id="rId97" Type="http://schemas.openxmlformats.org/officeDocument/2006/relationships/hyperlink" Target="https://www.linkedin.com/learning/creer-une-culture-du-changement?trk=contentmappingfile" TargetMode="External"/><Relationship Id="rId104" Type="http://schemas.openxmlformats.org/officeDocument/2006/relationships/hyperlink" Target="https://www.linkedin.com/learning/de-l-impuissance-au-pouvoir-la-prise-de-controle?trk=contentmappingfile" TargetMode="External"/><Relationship Id="rId120" Type="http://schemas.openxmlformats.org/officeDocument/2006/relationships/hyperlink" Target="https://www.linkedin.com/learning/choisir-d-etre-un-bon-manager?trk=contentmappingfile" TargetMode="External"/><Relationship Id="rId125" Type="http://schemas.openxmlformats.org/officeDocument/2006/relationships/hyperlink" Target="https://www.linkedin.com/learning/diriger-comme-un-patron-une-patronne?trk=contentmappingfile" TargetMode="External"/><Relationship Id="rId141" Type="http://schemas.openxmlformats.org/officeDocument/2006/relationships/hyperlink" Target="https://www.linkedin.com/learning/powerpoint-creer-des-graphiques-pour-les-reseaux-sociaux-microsoft-365-office-365?trk=contentmappingfile" TargetMode="External"/><Relationship Id="rId146" Type="http://schemas.openxmlformats.org/officeDocument/2006/relationships/hyperlink" Target="https://www.linkedin.com/learning/annoncer-une-mauvaise-nouvelle-a-un-client-une-cliente?trk=contentmappingfile" TargetMode="External"/><Relationship Id="rId167" Type="http://schemas.openxmlformats.org/officeDocument/2006/relationships/hyperlink" Target="https://www.linkedin.com/learning/conseils-d-experte-manager-la-generation-z?trk=contentmappingfile" TargetMode="External"/><Relationship Id="rId188" Type="http://schemas.openxmlformats.org/officeDocument/2006/relationships/hyperlink" Target="https://www.linkedin.com/learning/promouvoir-la-neurodiversite-au-travail?trk=contentmappingfile" TargetMode="External"/><Relationship Id="rId7" Type="http://schemas.openxmlformats.org/officeDocument/2006/relationships/hyperlink" Target="https://www.linkedin.com/learning/les-habitudes-menant-a-la-reussite?trk=contentmappingfile" TargetMode="External"/><Relationship Id="rId71" Type="http://schemas.openxmlformats.org/officeDocument/2006/relationships/hyperlink" Target="https://www.linkedin.com/learning/l-essentiel-de-clarity?trk=contentmappingfile" TargetMode="External"/><Relationship Id="rId92" Type="http://schemas.openxmlformats.org/officeDocument/2006/relationships/hyperlink" Target="https://www.linkedin.com/learning/preparer-son-entretien-de-developpement-informatique?trk=contentmappingfile" TargetMode="External"/><Relationship Id="rId162" Type="http://schemas.openxmlformats.org/officeDocument/2006/relationships/hyperlink" Target="https://www.linkedin.com/learning/etablir-des-objectifs-pour-son-equipe-et-ses-employes-employees?trk=contentmappingfile" TargetMode="External"/><Relationship Id="rId183" Type="http://schemas.openxmlformats.org/officeDocument/2006/relationships/hyperlink" Target="https://www.linkedin.com/learning/devenir-un-manager-bienveillant-une-manager-bienveillante?trk=contentmappingfile" TargetMode="External"/><Relationship Id="rId2" Type="http://schemas.openxmlformats.org/officeDocument/2006/relationships/hyperlink" Target="https://www.linkedin.com/learning/booster-son-efficacite-pour-atteindre-ses-objectifs?trk=contentmappingfile" TargetMode="External"/><Relationship Id="rId29" Type="http://schemas.openxmlformats.org/officeDocument/2006/relationships/hyperlink" Target="https://www.linkedin.com/learning/gerer-ses-relations-avec-son-chef-sa-cheffe-ses-collegues-et-ses-employes-employees?trk=contentmappingfile" TargetMode="External"/><Relationship Id="rId24" Type="http://schemas.openxmlformats.org/officeDocument/2006/relationships/hyperlink" Target="https://www.linkedin.com/learning/motiver-ses-equipes-quand-on-est-soi-meme-epuise-et-stresse?trk=contentmappingfile" TargetMode="External"/><Relationship Id="rId40" Type="http://schemas.openxmlformats.org/officeDocument/2006/relationships/hyperlink" Target="https://www.linkedin.com/learning/vendre-a-des-cadres-superieurs-superieures?trk=contentmappingfile" TargetMode="External"/><Relationship Id="rId45" Type="http://schemas.openxmlformats.org/officeDocument/2006/relationships/hyperlink" Target="https://www.linkedin.com/learning/jeff-weiner-le-management-compassionnel?trk=contentmappingfile" TargetMode="External"/><Relationship Id="rId66" Type="http://schemas.openxmlformats.org/officeDocument/2006/relationships/hyperlink" Target="https://www.linkedin.com/learning/les-standards-qualite-du-service-client?trk=contentmappingfile" TargetMode="External"/><Relationship Id="rId87" Type="http://schemas.openxmlformats.org/officeDocument/2006/relationships/hyperlink" Target="https://www.linkedin.com/learning/gerer-une-demande-d-augmentation-de-salaire?trk=contentmappingfile" TargetMode="External"/><Relationship Id="rId110" Type="http://schemas.openxmlformats.org/officeDocument/2006/relationships/hyperlink" Target="https://www.linkedin.com/learning/le-leadership-inclusif-devenir-un-allie-une-alliee?trk=contentmappingfile" TargetMode="External"/><Relationship Id="rId115" Type="http://schemas.openxmlformats.org/officeDocument/2006/relationships/hyperlink" Target="https://www.linkedin.com/learning/10-minutes-un-livre-comment-trouver-le-leader-en-vous?trk=contentmappingfile" TargetMode="External"/><Relationship Id="rId131" Type="http://schemas.openxmlformats.org/officeDocument/2006/relationships/hyperlink" Target="https://www.linkedin.com/learning/gerer-les-techniciens-techniciennes?trk=contentmappingfile" TargetMode="External"/><Relationship Id="rId136" Type="http://schemas.openxmlformats.org/officeDocument/2006/relationships/hyperlink" Target="https://www.linkedin.com/learning/les-meilleures-pratiques-du-leadership?trk=contentmappingfile" TargetMode="External"/><Relationship Id="rId157" Type="http://schemas.openxmlformats.org/officeDocument/2006/relationships/hyperlink" Target="https://www.linkedin.com/learning/coacher-et-aider-ses-employes-employees-a-se-developper?trk=contentmappingfile" TargetMode="External"/><Relationship Id="rId178" Type="http://schemas.openxmlformats.org/officeDocument/2006/relationships/hyperlink" Target="https://www.linkedin.com/learning/les-fondements-du-nouveau-et-de-la-nouvelle-manager?trk=contentmappingfile" TargetMode="External"/><Relationship Id="rId61" Type="http://schemas.openxmlformats.org/officeDocument/2006/relationships/hyperlink" Target="https://www.linkedin.com/learning/developper-son-agilite-cerebrale?trk=contentmappingfile" TargetMode="External"/><Relationship Id="rId82" Type="http://schemas.openxmlformats.org/officeDocument/2006/relationships/hyperlink" Target="https://www.linkedin.com/learning/developper-la-motivation-et-l-engagement-des-employes-employees?trk=contentmappingfile" TargetMode="External"/><Relationship Id="rId152" Type="http://schemas.openxmlformats.org/officeDocument/2006/relationships/hyperlink" Target="https://www.linkedin.com/learning/vendre-a-des-cadres-superieurs-superieures?trk=contentmappingfile" TargetMode="External"/><Relationship Id="rId173" Type="http://schemas.openxmlformats.org/officeDocument/2006/relationships/hyperlink" Target="https://www.linkedin.com/learning/gerer-les-managers-experimentes-experimentees?trk=contentmappingfile" TargetMode="External"/><Relationship Id="rId194" Type="http://schemas.openxmlformats.org/officeDocument/2006/relationships/hyperlink" Target="https://www.linkedin.com/learning/avoir-confiance-en-soi-15688050?trk=contentmappingfile" TargetMode="External"/><Relationship Id="rId19" Type="http://schemas.openxmlformats.org/officeDocument/2006/relationships/hyperlink" Target="https://www.linkedin.com/learning/conseils-d-experte-manager-la-generation-z?trk=contentmappingfile" TargetMode="External"/><Relationship Id="rId14" Type="http://schemas.openxmlformats.org/officeDocument/2006/relationships/hyperlink" Target="https://www.linkedin.com/learning/10-minutes-un-livre-constituer-son-equipe-pour-atteindre-le-succes?trk=contentmappingfile" TargetMode="External"/><Relationship Id="rId30" Type="http://schemas.openxmlformats.org/officeDocument/2006/relationships/hyperlink" Target="https://www.linkedin.com/learning/gerer-son-superieur-sa-superieure-hierarchique?trk=contentmappingfile" TargetMode="External"/><Relationship Id="rId35" Type="http://schemas.openxmlformats.org/officeDocument/2006/relationships/hyperlink" Target="https://www.linkedin.com/learning/faire-preuve-d-humour-au-travail?trk=contentmappingfile" TargetMode="External"/><Relationship Id="rId56" Type="http://schemas.openxmlformats.org/officeDocument/2006/relationships/hyperlink" Target="https://www.linkedin.com/learning/les-outils-du-marketing-digital?trk=contentmappingfile" TargetMode="External"/><Relationship Id="rId77" Type="http://schemas.openxmlformats.org/officeDocument/2006/relationships/hyperlink" Target="https://www.linkedin.com/learning/l-intelligence-artificielle-dans-le-secteur-de-la-banque-et-de-l-assurance?trk=contentmappingfile" TargetMode="External"/><Relationship Id="rId100" Type="http://schemas.openxmlformats.org/officeDocument/2006/relationships/hyperlink" Target="https://www.linkedin.com/learning/accroitre-la-securite-psychologique-de-votre-equipe?trk=contentmappingfile" TargetMode="External"/><Relationship Id="rId105" Type="http://schemas.openxmlformats.org/officeDocument/2006/relationships/hyperlink" Target="https://www.linkedin.com/learning/devenir-un-manager-bienveillant-une-manager-bienveillante?trk=contentmappingfile" TargetMode="External"/><Relationship Id="rId126" Type="http://schemas.openxmlformats.org/officeDocument/2006/relationships/hyperlink" Target="https://www.linkedin.com/learning/etablir-des-objectifs-pour-son-equipe-et-ses-employes-employees?trk=contentmappingfile" TargetMode="External"/><Relationship Id="rId147" Type="http://schemas.openxmlformats.org/officeDocument/2006/relationships/hyperlink" Target="https://www.linkedin.com/learning/devenir-une-personne-charismatique-et-influente?trk=contentmappingfile" TargetMode="External"/><Relationship Id="rId168" Type="http://schemas.openxmlformats.org/officeDocument/2006/relationships/hyperlink" Target="https://www.linkedin.com/learning/developper-la-motivation-et-l-engagement-des-employes-employees?trk=contentmappingfile" TargetMode="External"/><Relationship Id="rId8" Type="http://schemas.openxmlformats.org/officeDocument/2006/relationships/hyperlink" Target="https://www.linkedin.com/learning/s-autodiriger?trk=contentmappingfile" TargetMode="External"/><Relationship Id="rId51" Type="http://schemas.openxmlformats.org/officeDocument/2006/relationships/hyperlink" Target="https://www.linkedin.com/learning/le-marketing-digital-en-point-de-vente?trk=contentmappingfile" TargetMode="External"/><Relationship Id="rId72" Type="http://schemas.openxmlformats.org/officeDocument/2006/relationships/hyperlink" Target="https://www.linkedin.com/learning/migrer-une-base-de-donnees-sql-server-sur-azure-database?trk=contentmappingfile" TargetMode="External"/><Relationship Id="rId93" Type="http://schemas.openxmlformats.org/officeDocument/2006/relationships/hyperlink" Target="https://www.linkedin.com/learning/promouvoir-la-neurodiversite-au-travail?trk=contentmappingfile" TargetMode="External"/><Relationship Id="rId98" Type="http://schemas.openxmlformats.org/officeDocument/2006/relationships/hyperlink" Target="https://www.linkedin.com/learning/les-fondements-de-la-prise-de-risque-pour-les-dirigeants-dirigeantes?trk=contentmappingfile" TargetMode="External"/><Relationship Id="rId121" Type="http://schemas.openxmlformats.org/officeDocument/2006/relationships/hyperlink" Target="https://www.linkedin.com/learning/coacher-et-aider-ses-employes-employees-a-se-developper?trk=contentmappingfile" TargetMode="External"/><Relationship Id="rId142" Type="http://schemas.openxmlformats.org/officeDocument/2006/relationships/hyperlink" Target="https://www.linkedin.com/learning/travailler-sa-repartie?trk=contentmappingfile" TargetMode="External"/><Relationship Id="rId163" Type="http://schemas.openxmlformats.org/officeDocument/2006/relationships/hyperlink" Target="https://www.linkedin.com/learning/gerer-les-employes-tres-performants-employees-tres-performantes?trk=contentmappingfile" TargetMode="External"/><Relationship Id="rId184" Type="http://schemas.openxmlformats.org/officeDocument/2006/relationships/hyperlink" Target="https://www.linkedin.com/learning/faire-face-aux-microagressions-au-travail?trk=contentmappingfile" TargetMode="External"/><Relationship Id="rId189" Type="http://schemas.openxmlformats.org/officeDocument/2006/relationships/hyperlink" Target="https://www.linkedin.com/learning/recruter-en-pensant-a-la-diversite?trk=contentmappingfile" TargetMode="External"/><Relationship Id="rId3" Type="http://schemas.openxmlformats.org/officeDocument/2006/relationships/hyperlink" Target="https://www.linkedin.com/learning/de-l-impuissance-au-pouvoir-la-prise-de-controle?trk=contentmappingfile" TargetMode="External"/><Relationship Id="rId25" Type="http://schemas.openxmlformats.org/officeDocument/2006/relationships/hyperlink" Target="https://www.linkedin.com/learning/accroitre-la-securite-psychologique-de-votre-equipe?trk=contentmappingfile" TargetMode="External"/><Relationship Id="rId46" Type="http://schemas.openxmlformats.org/officeDocument/2006/relationships/hyperlink" Target="https://www.linkedin.com/learning/laisser-partir-un-employe-une-employee?trk=contentmappingfile" TargetMode="External"/><Relationship Id="rId67" Type="http://schemas.openxmlformats.org/officeDocument/2006/relationships/hyperlink" Target="https://www.linkedin.com/learning/traiter-avec-des-clients-mecontents-clientes-mecontentes?trk=contentmappingfile" TargetMode="External"/><Relationship Id="rId116" Type="http://schemas.openxmlformats.org/officeDocument/2006/relationships/hyperlink" Target="https://www.linkedin.com/learning/10-minutes-un-livre-constituer-son-equipe-pour-atteindre-le-succes?trk=contentmappingfile" TargetMode="External"/><Relationship Id="rId137" Type="http://schemas.openxmlformats.org/officeDocument/2006/relationships/hyperlink" Target="https://www.linkedin.com/learning/motiver-ses-equipes-quand-on-est-soi-meme-epuise-et-stresse?trk=contentmappingfile" TargetMode="External"/><Relationship Id="rId158" Type="http://schemas.openxmlformats.org/officeDocument/2006/relationships/hyperlink" Target="https://www.linkedin.com/learning/coacher-pour-generer-des-resultats?trk=contentmappingfile" TargetMode="External"/><Relationship Id="rId20" Type="http://schemas.openxmlformats.org/officeDocument/2006/relationships/hyperlink" Target="https://www.linkedin.com/learning/developper-la-motivation-et-l-engagement-des-employes-employees?trk=contentmappingfile" TargetMode="External"/><Relationship Id="rId41" Type="http://schemas.openxmlformats.org/officeDocument/2006/relationships/hyperlink" Target="https://www.linkedin.com/learning/creer-des-conversations-constructives-avec-des-clients-exigeants-clientes-exigeantes?trk=contentmappingfile" TargetMode="External"/><Relationship Id="rId62" Type="http://schemas.openxmlformats.org/officeDocument/2006/relationships/hyperlink" Target="https://www.linkedin.com/learning/annoncer-une-mauvaise-nouvelle-a-un-client-une-cliente?trk=contentmappingfile" TargetMode="External"/><Relationship Id="rId83" Type="http://schemas.openxmlformats.org/officeDocument/2006/relationships/hyperlink" Target="https://www.linkedin.com/learning/developper-l-engagement-des-employes-employees?trk=contentmappingfile" TargetMode="External"/><Relationship Id="rId88" Type="http://schemas.openxmlformats.org/officeDocument/2006/relationships/hyperlink" Target="https://www.linkedin.com/learning/jeff-weiner-definir-une-culture-et-un-plan-d-evolution?trk=contentmappingfile" TargetMode="External"/><Relationship Id="rId111" Type="http://schemas.openxmlformats.org/officeDocument/2006/relationships/hyperlink" Target="https://www.linkedin.com/learning/les-fondements-de-la-prise-de-risque-pour-les-dirigeants-dirigeantes?trk=contentmappingfile" TargetMode="External"/><Relationship Id="rId132" Type="http://schemas.openxmlformats.org/officeDocument/2006/relationships/hyperlink" Target="https://www.linkedin.com/learning/gerer-ses-relations-avec-son-chef-sa-cheffe-ses-collegues-et-ses-employes-employees?trk=contentmappingfile" TargetMode="External"/><Relationship Id="rId153" Type="http://schemas.openxmlformats.org/officeDocument/2006/relationships/hyperlink" Target="https://www.linkedin.com/learning/vendre-avec-des-histoires-les-grandes-histoires-commerciales?trk=contentmappingfile" TargetMode="External"/><Relationship Id="rId174" Type="http://schemas.openxmlformats.org/officeDocument/2006/relationships/hyperlink" Target="https://www.linkedin.com/learning/gerer-les-problemes-de-performance-de-ses-employes-employees?trk=contentmappingfile" TargetMode="External"/><Relationship Id="rId179" Type="http://schemas.openxmlformats.org/officeDocument/2006/relationships/hyperlink" Target="https://www.linkedin.com/learning/motiver-ses-equipes-quand-on-est-soi-meme-epuise-et-stresse?trk=contentmappingfile" TargetMode="External"/><Relationship Id="rId195" Type="http://schemas.openxmlformats.org/officeDocument/2006/relationships/hyperlink" Target="https://www.linkedin.com/learning/gerer-son-stress-au-travail?trk=contentmappingfile" TargetMode="External"/><Relationship Id="rId190" Type="http://schemas.openxmlformats.org/officeDocument/2006/relationships/hyperlink" Target="https://www.linkedin.com/learning/s-exprimer-contre-les-discriminations-au-travail?trk=contentmappingfile" TargetMode="External"/><Relationship Id="rId15" Type="http://schemas.openxmlformats.org/officeDocument/2006/relationships/hyperlink" Target="https://www.linkedin.com/learning/accroitre-la-securite-psychologique-de-votre-equipe?trk=contentmappingfile" TargetMode="External"/><Relationship Id="rId36" Type="http://schemas.openxmlformats.org/officeDocument/2006/relationships/hyperlink" Target="https://www.linkedin.com/learning/la-communication-serie?trk=contentmappingfile" TargetMode="External"/><Relationship Id="rId57" Type="http://schemas.openxmlformats.org/officeDocument/2006/relationships/hyperlink" Target="https://www.linkedin.com/learning/mettre-en-place-une-strategie-de-marketing-digital-en-b2b?trk=contentmappingfile" TargetMode="External"/><Relationship Id="rId106" Type="http://schemas.openxmlformats.org/officeDocument/2006/relationships/hyperlink" Target="https://www.linkedin.com/learning/devenir-une-personne-charismatique-et-influente?trk=contentmappingfile" TargetMode="External"/><Relationship Id="rId127" Type="http://schemas.openxmlformats.org/officeDocument/2006/relationships/hyperlink" Target="https://www.linkedin.com/learning/evoluer-de-collaborateur-collaboratrice-a-manager?trk=contentmappingfile" TargetMode="External"/><Relationship Id="rId10" Type="http://schemas.openxmlformats.org/officeDocument/2006/relationships/hyperlink" Target="https://www.linkedin.com/learning/creer-une-culture-du-changement?trk=contentmappingfile" TargetMode="External"/><Relationship Id="rId31" Type="http://schemas.openxmlformats.org/officeDocument/2006/relationships/hyperlink" Target="https://www.linkedin.com/learning/microsoft-teams-utiliser-les-applications-de-collaboration?trk=contentmappingfile" TargetMode="External"/><Relationship Id="rId52" Type="http://schemas.openxmlformats.org/officeDocument/2006/relationships/hyperlink" Target="https://www.linkedin.com/learning/le-rgpd-pour-les-marketeurs-marketeuses?trk=contentmappingfile" TargetMode="External"/><Relationship Id="rId73" Type="http://schemas.openxmlformats.org/officeDocument/2006/relationships/hyperlink" Target="https://www.linkedin.com/learning/python-pour-la-data-science-serie?trk=contentmappingfile" TargetMode="External"/><Relationship Id="rId78" Type="http://schemas.openxmlformats.org/officeDocument/2006/relationships/hyperlink" Target="https://www.linkedin.com/learning/ameliorer-son-index-d-egalite-professionnelle?trk=contentmappingfile" TargetMode="External"/><Relationship Id="rId94" Type="http://schemas.openxmlformats.org/officeDocument/2006/relationships/hyperlink" Target="https://www.linkedin.com/learning/recruter-en-pensant-a-la-diversite?trk=contentmappingfile" TargetMode="External"/><Relationship Id="rId99" Type="http://schemas.openxmlformats.org/officeDocument/2006/relationships/hyperlink" Target="https://www.linkedin.com/learning/10-minutes-un-livre-comment-trouver-le-leader-en-vous?trk=contentmappingfile" TargetMode="External"/><Relationship Id="rId101" Type="http://schemas.openxmlformats.org/officeDocument/2006/relationships/hyperlink" Target="https://www.linkedin.com/learning/conseils-d-expert-creer-une-culture-de-coaching-entre-pairs?trk=contentmappingfile" TargetMode="External"/><Relationship Id="rId122" Type="http://schemas.openxmlformats.org/officeDocument/2006/relationships/hyperlink" Target="https://www.linkedin.com/learning/conseils-d-experte-manager-la-generation-z?trk=contentmappingfile" TargetMode="External"/><Relationship Id="rId143" Type="http://schemas.openxmlformats.org/officeDocument/2006/relationships/hyperlink" Target="https://www.linkedin.com/learning/agile-au-travail-planifier-avec-des-user-stories-agiles?trk=contentmappingfile" TargetMode="External"/><Relationship Id="rId148" Type="http://schemas.openxmlformats.org/officeDocument/2006/relationships/hyperlink" Target="https://www.linkedin.com/learning/evoluer-de-commercial-commerciale-a-responsable-des-ventes?trk=contentmappingfile" TargetMode="External"/><Relationship Id="rId164" Type="http://schemas.openxmlformats.org/officeDocument/2006/relationships/hyperlink" Target="https://www.linkedin.com/learning/ameliorer-les-performances-des-employes-employees?trk=contentmappingfile" TargetMode="External"/><Relationship Id="rId169" Type="http://schemas.openxmlformats.org/officeDocument/2006/relationships/hyperlink" Target="https://www.linkedin.com/learning/devenir-un-manager-bienveillant-une-manager-bienveillante?trk=contentmappingfile" TargetMode="External"/><Relationship Id="rId185" Type="http://schemas.openxmlformats.org/officeDocument/2006/relationships/hyperlink" Target="https://www.linkedin.com/learning/favoriser-l-inclusion-lgbtq-plus-au-travail?trk=contentmappingfile" TargetMode="External"/><Relationship Id="rId4" Type="http://schemas.openxmlformats.org/officeDocument/2006/relationships/hyperlink" Target="https://www.linkedin.com/learning/etablir-des-objectifs-pour-son-equipe-et-ses-employes-employees?trk=contentmappingfile" TargetMode="External"/><Relationship Id="rId9" Type="http://schemas.openxmlformats.org/officeDocument/2006/relationships/hyperlink" Target="https://www.linkedin.com/learning/creer-des-conversations-constructives-avec-des-clients-exigeants-clientes-exigeantes?trk=contentmappingfile" TargetMode="External"/><Relationship Id="rId180" Type="http://schemas.openxmlformats.org/officeDocument/2006/relationships/hyperlink" Target="https://www.linkedin.com/learning/se-distinguer-au-travail-grace-au-savoir-etre?trk=contentmappingfile" TargetMode="External"/><Relationship Id="rId26" Type="http://schemas.openxmlformats.org/officeDocument/2006/relationships/hyperlink" Target="https://www.linkedin.com/learning/devenir-un-manager-bienveillant-une-manager-bienveillante?trk=contentmappingfile" TargetMode="External"/><Relationship Id="rId47" Type="http://schemas.openxmlformats.org/officeDocument/2006/relationships/hyperlink" Target="https://www.linkedin.com/learning/traiter-avec-des-clients-mecontents-clientes-mecontentes?trk=contentmappingfile" TargetMode="External"/><Relationship Id="rId68" Type="http://schemas.openxmlformats.org/officeDocument/2006/relationships/hyperlink" Target="https://www.linkedin.com/learning/developper-une-solution-big-data-avec-azure?trk=contentmappingfile" TargetMode="External"/><Relationship Id="rId89" Type="http://schemas.openxmlformats.org/officeDocument/2006/relationships/hyperlink" Target="https://www.linkedin.com/learning/laisser-partir-un-employe-une-employee?trk=contentmappingfile" TargetMode="External"/><Relationship Id="rId112" Type="http://schemas.openxmlformats.org/officeDocument/2006/relationships/hyperlink" Target="https://www.linkedin.com/learning/les-meilleures-pratiques-du-leadership?trk=contentmappingfile" TargetMode="External"/><Relationship Id="rId133" Type="http://schemas.openxmlformats.org/officeDocument/2006/relationships/hyperlink" Target="https://www.linkedin.com/learning/jeff-weiner-le-management-compassionnel?trk=contentmappingfile" TargetMode="External"/><Relationship Id="rId154" Type="http://schemas.openxmlformats.org/officeDocument/2006/relationships/hyperlink" Target="https://www.linkedin.com/learning/vendre-sur-les-reseaux-sociaux-le-social-commerce?trk=contentmappingfile" TargetMode="External"/><Relationship Id="rId175" Type="http://schemas.openxmlformats.org/officeDocument/2006/relationships/hyperlink" Target="https://www.linkedin.com/learning/gerer-les-techniciens-techniciennes?trk=contentmappingfile" TargetMode="External"/><Relationship Id="rId196" Type="http://schemas.openxmlformats.org/officeDocument/2006/relationships/hyperlink" Target="https://www.linkedin.com/learning/persuader-et-convaincre-5-techniques-efficaces-pour-canaliser-votre-stress?trk=contentmappingfile" TargetMode="External"/><Relationship Id="rId16" Type="http://schemas.openxmlformats.org/officeDocument/2006/relationships/hyperlink" Target="https://www.linkedin.com/learning/ameliorer-les-performances-des-employes-employees?trk=contentmappingfile" TargetMode="External"/><Relationship Id="rId37" Type="http://schemas.openxmlformats.org/officeDocument/2006/relationships/hyperlink" Target="https://www.linkedin.com/learning/reperer-et-gerer-des-personnes-toxiques?trk=contentmappingfile" TargetMode="External"/><Relationship Id="rId58" Type="http://schemas.openxmlformats.org/officeDocument/2006/relationships/hyperlink" Target="https://www.linkedin.com/learning/developper-sa-creativite-pour-innover?trk=contentmappingfile" TargetMode="External"/><Relationship Id="rId79" Type="http://schemas.openxmlformats.org/officeDocument/2006/relationships/hyperlink" Target="https://www.linkedin.com/learning/choisir-d-etre-un-bon-manager?trk=contentmappingfile" TargetMode="External"/><Relationship Id="rId102" Type="http://schemas.openxmlformats.org/officeDocument/2006/relationships/hyperlink" Target="https://www.linkedin.com/learning/conseils-d-experte-manager-la-generation-z?trk=contentmappingfile" TargetMode="External"/><Relationship Id="rId123" Type="http://schemas.openxmlformats.org/officeDocument/2006/relationships/hyperlink" Target="https://www.linkedin.com/learning/developper-la-motivation-et-l-engagement-des-employes-employees?trk=contentmappingfile" TargetMode="External"/><Relationship Id="rId144" Type="http://schemas.openxmlformats.org/officeDocument/2006/relationships/hyperlink" Target="https://www.linkedin.com/learning/l-intelligence-artificielle-pour-les-chefs-cheffes-de-projet?trk=contentmappingfile" TargetMode="External"/><Relationship Id="rId90" Type="http://schemas.openxmlformats.org/officeDocument/2006/relationships/hyperlink" Target="https://www.linkedin.com/learning/le-leadership-inclusif-devenir-un-allie-une-alliee?trk=contentmappingfile" TargetMode="External"/><Relationship Id="rId165" Type="http://schemas.openxmlformats.org/officeDocument/2006/relationships/hyperlink" Target="https://www.linkedin.com/learning/coacher-et-aider-ses-employes-employees-a-se-developper?trk=contentmappingfile" TargetMode="External"/><Relationship Id="rId186" Type="http://schemas.openxmlformats.org/officeDocument/2006/relationships/hyperlink" Target="https://www.linkedin.com/learning/le-leadership-inclusif-devenir-un-allie-une-alliee?trk=contentmappingfile" TargetMode="External"/><Relationship Id="rId27" Type="http://schemas.openxmlformats.org/officeDocument/2006/relationships/hyperlink" Target="https://www.linkedin.com/learning/donner-des-feedbacks-aux-employes-employees?trk=contentmappingfile" TargetMode="External"/><Relationship Id="rId48" Type="http://schemas.openxmlformats.org/officeDocument/2006/relationships/hyperlink" Target="https://www.linkedin.com/learning/travailler-avec-un-superieur-une-superieure-hierarchique-difficile?trk=contentmappingfile" TargetMode="External"/><Relationship Id="rId69" Type="http://schemas.openxmlformats.org/officeDocument/2006/relationships/hyperlink" Target="https://www.linkedin.com/learning/excel-analyse-de-donnees-avec-power-query-microsoft-365-office-365?trk=contentmappingfile" TargetMode="External"/><Relationship Id="rId113" Type="http://schemas.openxmlformats.org/officeDocument/2006/relationships/hyperlink" Target="https://www.linkedin.com/learning/motiver-ses-equipes-quand-on-est-soi-meme-epuise-et-stresse?trk=contentmappingfile" TargetMode="External"/><Relationship Id="rId134" Type="http://schemas.openxmlformats.org/officeDocument/2006/relationships/hyperlink" Target="https://www.linkedin.com/learning/le-leadership-inclusif-devenir-un-allie-une-alliee?trk=contentmappingfile" TargetMode="External"/><Relationship Id="rId80" Type="http://schemas.openxmlformats.org/officeDocument/2006/relationships/hyperlink" Target="https://www.linkedin.com/learning/conseils-d-experte-manager-la-generation-z?trk=contentmappingfile" TargetMode="External"/><Relationship Id="rId155" Type="http://schemas.openxmlformats.org/officeDocument/2006/relationships/hyperlink" Target="https://www.linkedin.com/learning/les-fondements-de-la-prise-de-risque-pour-les-dirigeants-dirigeantes?trk=contentmappingfile" TargetMode="External"/><Relationship Id="rId176" Type="http://schemas.openxmlformats.org/officeDocument/2006/relationships/hyperlink" Target="https://www.linkedin.com/learning/gerer-son-stress-au-travail?trk=contentmappingfile" TargetMode="External"/><Relationship Id="rId17" Type="http://schemas.openxmlformats.org/officeDocument/2006/relationships/hyperlink" Target="https://www.linkedin.com/learning/choisir-d-etre-un-bon-manager?trk=contentmappingfile" TargetMode="External"/><Relationship Id="rId38" Type="http://schemas.openxmlformats.org/officeDocument/2006/relationships/hyperlink" Target="https://www.linkedin.com/learning/repondre-aux-objections-de-ses-clients-clientes?trk=contentmappingfile" TargetMode="External"/><Relationship Id="rId59" Type="http://schemas.openxmlformats.org/officeDocument/2006/relationships/hyperlink" Target="https://www.linkedin.com/learning/creer-des-conversations-constructives-avec-des-clients-exigeants-clientes-exigeantes?trk=contentmappingfile" TargetMode="External"/><Relationship Id="rId103" Type="http://schemas.openxmlformats.org/officeDocument/2006/relationships/hyperlink" Target="https://www.linkedin.com/learning/conseils-et-astuces-pour-les-dirigeants-dirigeantes?trk=contentmappingfile" TargetMode="External"/><Relationship Id="rId124" Type="http://schemas.openxmlformats.org/officeDocument/2006/relationships/hyperlink" Target="https://www.linkedin.com/learning/devenir-un-manager-bienveillant-une-manager-bienveillante?trk=contentmappingfile" TargetMode="External"/><Relationship Id="rId70" Type="http://schemas.openxmlformats.org/officeDocument/2006/relationships/hyperlink" Target="https://www.linkedin.com/learning/go-pour-la-data-science?trk=contentmappingfile" TargetMode="External"/><Relationship Id="rId91" Type="http://schemas.openxmlformats.org/officeDocument/2006/relationships/hyperlink" Target="https://www.linkedin.com/learning/les-entretiens-a-distance-pour-les-hr?trk=contentmappingfile" TargetMode="External"/><Relationship Id="rId145" Type="http://schemas.openxmlformats.org/officeDocument/2006/relationships/hyperlink" Target="https://www.linkedin.com/learning/3-conseils-pour-avoir-le-bon-etat-d-esprit-lors-d-une-vente?trk=contentmappingfile" TargetMode="External"/><Relationship Id="rId166" Type="http://schemas.openxmlformats.org/officeDocument/2006/relationships/hyperlink" Target="https://www.linkedin.com/learning/coacher-pour-generer-des-resultats?trk=contentmappingfile" TargetMode="External"/><Relationship Id="rId187" Type="http://schemas.openxmlformats.org/officeDocument/2006/relationships/hyperlink" Target="https://www.linkedin.com/learning/manager-en-environnement-multiculturel?trk=ondemandfile" TargetMode="External"/><Relationship Id="rId1" Type="http://schemas.openxmlformats.org/officeDocument/2006/relationships/hyperlink" Target="https://www.linkedin.com/learning/10-minutes-un-livre-adopter-une-mentalite-de-champion-championne?trk=contentmappingfile" TargetMode="External"/><Relationship Id="rId28" Type="http://schemas.openxmlformats.org/officeDocument/2006/relationships/hyperlink" Target="https://www.linkedin.com/learning/donner-et-recevoir-du-feedback?trk=contentmappingfile" TargetMode="External"/><Relationship Id="rId49" Type="http://schemas.openxmlformats.org/officeDocument/2006/relationships/hyperlink" Target="https://www.linkedin.com/learning/construire-une-strategie-de-link-building?trk=contentmappingfile" TargetMode="External"/><Relationship Id="rId114" Type="http://schemas.openxmlformats.org/officeDocument/2006/relationships/hyperlink" Target="https://www.linkedin.com/learning/s-affirmer-par-le-travail-de-la-voix?trk=contentmappingfile" TargetMode="External"/><Relationship Id="rId60" Type="http://schemas.openxmlformats.org/officeDocument/2006/relationships/hyperlink" Target="https://www.linkedin.com/learning/de-l-impuissance-au-pouvoir-la-prise-de-controle?trk=contentmappingfile" TargetMode="External"/><Relationship Id="rId81" Type="http://schemas.openxmlformats.org/officeDocument/2006/relationships/hyperlink" Target="https://www.linkedin.com/learning/demander-une-augmentation-de-salaire?trk=contentmappingfile" TargetMode="External"/><Relationship Id="rId135" Type="http://schemas.openxmlformats.org/officeDocument/2006/relationships/hyperlink" Target="https://www.linkedin.com/learning/les-fondements-du-nouveau-et-de-la-nouvelle-manager?trk=contentmappingfile" TargetMode="External"/><Relationship Id="rId156" Type="http://schemas.openxmlformats.org/officeDocument/2006/relationships/hyperlink" Target="https://www.linkedin.com/learning/ameliorer-les-performances-des-employes-employees?trk=contentmappingfile" TargetMode="External"/><Relationship Id="rId177" Type="http://schemas.openxmlformats.org/officeDocument/2006/relationships/hyperlink" Target="https://www.linkedin.com/learning/jeff-weiner-definir-une-culture-et-un-plan-d-evolution?trk=contentmappingfile" TargetMode="External"/><Relationship Id="rId18" Type="http://schemas.openxmlformats.org/officeDocument/2006/relationships/hyperlink" Target="https://www.linkedin.com/learning/coacher-et-aider-ses-employes-employees-a-se-developper?trk=contentmappingfile" TargetMode="External"/><Relationship Id="rId39" Type="http://schemas.openxmlformats.org/officeDocument/2006/relationships/hyperlink" Target="https://www.linkedin.com/learning/travailler-sa-repartie?trk=contentmappingfil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1C232"/>
    <outlinePr summaryBelow="0" summaryRight="0"/>
  </sheetPr>
  <dimension ref="A1:AA1006"/>
  <sheetViews>
    <sheetView showGridLines="0" tabSelected="1" zoomScale="130" zoomScaleNormal="130" workbookViewId="0">
      <selection activeCell="O10" sqref="O10"/>
    </sheetView>
  </sheetViews>
  <sheetFormatPr baseColWidth="10" defaultColWidth="11.1640625" defaultRowHeight="15" customHeight="1"/>
  <cols>
    <col min="1" max="1" width="11.1640625" style="2" customWidth="1"/>
    <col min="2" max="2" width="11.1640625" style="2"/>
    <col min="3" max="3" width="42.83203125" style="2" customWidth="1"/>
    <col min="4" max="4" width="11.1640625" style="2"/>
    <col min="5" max="5" width="69.5" style="2" customWidth="1"/>
    <col min="6" max="16384" width="11.1640625" style="2"/>
  </cols>
  <sheetData>
    <row r="1" spans="1:27" ht="16"/>
    <row r="2" spans="1:27" ht="71" customHeight="1">
      <c r="B2" s="245" t="s">
        <v>4720</v>
      </c>
      <c r="C2" s="238"/>
      <c r="D2" s="238"/>
      <c r="E2" s="238"/>
      <c r="F2" s="239"/>
    </row>
    <row r="3" spans="1:27" ht="17">
      <c r="B3" s="3"/>
      <c r="C3" s="4"/>
      <c r="D3" s="4"/>
      <c r="E3" s="4"/>
      <c r="F3" s="5"/>
    </row>
    <row r="4" spans="1:27" ht="24" customHeight="1">
      <c r="B4" s="3"/>
      <c r="C4" s="240" t="s">
        <v>26</v>
      </c>
      <c r="D4" s="241"/>
      <c r="E4" s="241"/>
      <c r="F4" s="5"/>
    </row>
    <row r="5" spans="1:27" ht="43" customHeight="1">
      <c r="B5" s="3"/>
      <c r="C5" s="242" t="s">
        <v>27</v>
      </c>
      <c r="D5" s="241"/>
      <c r="E5" s="241"/>
      <c r="F5" s="5"/>
    </row>
    <row r="6" spans="1:27" ht="41" customHeight="1">
      <c r="B6" s="3"/>
      <c r="C6" s="242" t="s">
        <v>4721</v>
      </c>
      <c r="D6" s="241"/>
      <c r="E6" s="241"/>
      <c r="F6" s="5"/>
    </row>
    <row r="7" spans="1:27" ht="17">
      <c r="B7" s="3"/>
      <c r="C7" s="4"/>
      <c r="D7" s="4"/>
      <c r="E7" s="4"/>
      <c r="F7" s="5"/>
    </row>
    <row r="8" spans="1:27" ht="17">
      <c r="B8" s="6"/>
      <c r="C8" s="7"/>
      <c r="D8" s="7"/>
      <c r="E8" s="7"/>
      <c r="F8" s="8"/>
    </row>
    <row r="9" spans="1:27" ht="140" customHeight="1">
      <c r="B9" s="9"/>
      <c r="C9" s="223" t="s">
        <v>28</v>
      </c>
      <c r="D9" s="241"/>
      <c r="E9" s="241"/>
      <c r="F9" s="10"/>
    </row>
    <row r="10" spans="1:27" ht="228.75" customHeight="1">
      <c r="B10" s="11"/>
      <c r="C10" s="224"/>
      <c r="D10" s="241"/>
      <c r="E10" s="241"/>
      <c r="F10" s="10"/>
    </row>
    <row r="11" spans="1:27" ht="223" customHeight="1">
      <c r="A11" s="12"/>
      <c r="B11" s="13"/>
      <c r="C11" s="243" t="s">
        <v>4722</v>
      </c>
      <c r="D11" s="241"/>
      <c r="E11" s="241"/>
      <c r="F11" s="14"/>
      <c r="G11" s="12"/>
      <c r="H11" s="12"/>
      <c r="I11" s="12"/>
      <c r="J11" s="12"/>
      <c r="K11" s="12"/>
      <c r="L11" s="12"/>
      <c r="M11" s="12"/>
      <c r="N11" s="12"/>
      <c r="O11" s="12"/>
      <c r="P11" s="12"/>
      <c r="Q11" s="12"/>
      <c r="R11" s="12"/>
      <c r="S11" s="12"/>
      <c r="T11" s="12"/>
      <c r="U11" s="12"/>
      <c r="V11" s="12"/>
      <c r="W11" s="12"/>
      <c r="X11" s="12"/>
      <c r="Y11" s="12"/>
      <c r="Z11" s="12"/>
      <c r="AA11" s="12"/>
    </row>
    <row r="12" spans="1:27" ht="196" customHeight="1">
      <c r="B12" s="15"/>
      <c r="C12" s="225"/>
      <c r="D12" s="244"/>
      <c r="E12" s="244"/>
      <c r="F12" s="16"/>
    </row>
    <row r="13" spans="1:27" ht="16"/>
    <row r="14" spans="1:27" ht="16"/>
    <row r="15" spans="1:27" ht="16"/>
    <row r="16" spans="1:27" ht="16"/>
    <row r="17" ht="16"/>
    <row r="18" ht="16"/>
    <row r="19" ht="16"/>
    <row r="20" ht="16"/>
    <row r="21" ht="16"/>
    <row r="22" ht="16"/>
    <row r="23" ht="16"/>
    <row r="24" ht="16"/>
    <row r="25" ht="16"/>
    <row r="26" ht="16"/>
    <row r="27" ht="16"/>
    <row r="28" ht="16"/>
    <row r="29" ht="16"/>
    <row r="30" ht="16"/>
    <row r="31" ht="16"/>
    <row r="32" ht="16"/>
    <row r="33" ht="16"/>
    <row r="34" ht="16"/>
    <row r="35" ht="16"/>
    <row r="36" ht="16"/>
    <row r="37" ht="16"/>
    <row r="38" ht="16"/>
    <row r="39" ht="16"/>
    <row r="40" ht="16"/>
    <row r="41" ht="16"/>
    <row r="42" ht="16"/>
    <row r="43" ht="16"/>
    <row r="44" ht="16"/>
    <row r="45" ht="16"/>
    <row r="46" ht="16"/>
    <row r="47" ht="16"/>
    <row r="48" ht="16"/>
    <row r="49" ht="16"/>
    <row r="50" ht="16"/>
    <row r="51" ht="16"/>
    <row r="52" ht="16"/>
    <row r="53" ht="16"/>
    <row r="54" ht="16"/>
    <row r="55" ht="16"/>
    <row r="56" ht="16"/>
    <row r="57" ht="16"/>
    <row r="58" ht="16"/>
    <row r="59" ht="16"/>
    <row r="60" ht="16"/>
    <row r="61" ht="16"/>
    <row r="62" ht="16"/>
    <row r="63" ht="16"/>
    <row r="64" ht="16"/>
    <row r="65" ht="16"/>
    <row r="66" ht="16"/>
    <row r="67" ht="16"/>
    <row r="68" ht="16"/>
    <row r="69" ht="16"/>
    <row r="70" ht="16"/>
    <row r="71" ht="16"/>
    <row r="72" ht="16"/>
    <row r="73" ht="16"/>
    <row r="74" ht="16"/>
    <row r="75" ht="16"/>
    <row r="76" ht="16"/>
    <row r="77" ht="16"/>
    <row r="78" ht="16"/>
    <row r="79" ht="16"/>
    <row r="80" ht="16"/>
    <row r="81" ht="16"/>
    <row r="82" ht="16"/>
    <row r="83" ht="16"/>
    <row r="84" ht="16"/>
    <row r="85" ht="16"/>
    <row r="86" ht="16"/>
    <row r="87" ht="16"/>
    <row r="88" ht="16"/>
    <row r="89" ht="16"/>
    <row r="90" ht="16"/>
    <row r="91" ht="16"/>
    <row r="92" ht="16"/>
    <row r="93" ht="16"/>
    <row r="94" ht="16"/>
    <row r="95" ht="16"/>
    <row r="96" ht="16"/>
    <row r="97" ht="16"/>
    <row r="98" ht="16"/>
    <row r="99" ht="16"/>
    <row r="100" ht="16"/>
    <row r="101" ht="16"/>
    <row r="102" ht="16"/>
    <row r="103" ht="16"/>
    <row r="104" ht="16"/>
    <row r="105" ht="16"/>
    <row r="106" ht="16"/>
    <row r="107" ht="16"/>
    <row r="108" ht="16"/>
    <row r="109" ht="16"/>
    <row r="110" ht="16"/>
    <row r="111" ht="16"/>
    <row r="112" ht="16"/>
    <row r="113" ht="16"/>
    <row r="114" ht="16"/>
    <row r="115" ht="16"/>
    <row r="116" ht="16"/>
    <row r="117" ht="16"/>
    <row r="118" ht="16"/>
    <row r="119" ht="16"/>
    <row r="120" ht="16"/>
    <row r="121" ht="16"/>
    <row r="122" ht="16"/>
    <row r="123" ht="16"/>
    <row r="124" ht="16"/>
    <row r="125" ht="16"/>
    <row r="126" ht="16"/>
    <row r="127" ht="16"/>
    <row r="128" ht="16"/>
    <row r="129" ht="16"/>
    <row r="130" ht="16"/>
    <row r="131" ht="16"/>
    <row r="132" ht="16"/>
    <row r="133" ht="16"/>
    <row r="134" ht="16"/>
    <row r="135" ht="16"/>
    <row r="136" ht="16"/>
    <row r="137" ht="16"/>
    <row r="138" ht="16"/>
    <row r="139" ht="16"/>
    <row r="140" ht="16"/>
    <row r="141" ht="16"/>
    <row r="142" ht="16"/>
    <row r="143" ht="16"/>
    <row r="144" ht="16"/>
    <row r="145" ht="16"/>
    <row r="146" ht="16"/>
    <row r="147" ht="16"/>
    <row r="148" ht="16"/>
    <row r="149" ht="16"/>
    <row r="150" ht="16"/>
    <row r="151" ht="16"/>
    <row r="152" ht="16"/>
    <row r="153" ht="16"/>
    <row r="154" ht="16"/>
    <row r="155" ht="16"/>
    <row r="156" ht="16"/>
    <row r="157" ht="16"/>
    <row r="158" ht="16"/>
    <row r="159" ht="16"/>
    <row r="160" ht="16"/>
    <row r="161" ht="16"/>
    <row r="162" ht="16"/>
    <row r="163" ht="16"/>
    <row r="164" ht="16"/>
    <row r="165" ht="16"/>
    <row r="166" ht="16"/>
    <row r="167" ht="16"/>
    <row r="168" ht="16"/>
    <row r="169" ht="16"/>
    <row r="170" ht="16"/>
    <row r="171" ht="16"/>
    <row r="172" ht="16"/>
    <row r="173" ht="16"/>
    <row r="174" ht="16"/>
    <row r="175" ht="16"/>
    <row r="176" ht="16"/>
    <row r="177" ht="16"/>
    <row r="178" ht="16"/>
    <row r="179" ht="16"/>
    <row r="180" ht="16"/>
    <row r="181" ht="16"/>
    <row r="182" ht="16"/>
    <row r="183" ht="16"/>
    <row r="184" ht="16"/>
    <row r="185" ht="16"/>
    <row r="186" ht="16"/>
    <row r="187" ht="16"/>
    <row r="188" ht="16"/>
    <row r="189" ht="16"/>
    <row r="190" ht="16"/>
    <row r="191" ht="16"/>
    <row r="192" ht="16"/>
    <row r="193" ht="16"/>
    <row r="194" ht="16"/>
    <row r="195" ht="16"/>
    <row r="196" ht="16"/>
    <row r="197" ht="16"/>
    <row r="198" ht="16"/>
    <row r="199" ht="16"/>
    <row r="200" ht="16"/>
    <row r="201" ht="16"/>
    <row r="202" ht="16"/>
    <row r="203" ht="16"/>
    <row r="204" ht="16"/>
    <row r="205" ht="16"/>
    <row r="206" ht="16"/>
    <row r="207" ht="16"/>
    <row r="208" ht="16"/>
    <row r="209" ht="16"/>
    <row r="210" ht="16"/>
    <row r="211" ht="16"/>
    <row r="212" ht="16"/>
    <row r="213" ht="16"/>
    <row r="214" ht="16"/>
    <row r="215" ht="16"/>
    <row r="216" ht="16"/>
    <row r="217" ht="16"/>
    <row r="218" ht="16"/>
    <row r="219" ht="16"/>
    <row r="220" ht="16"/>
    <row r="221" ht="16"/>
    <row r="222" ht="16"/>
    <row r="223" ht="16"/>
    <row r="224" ht="16"/>
    <row r="225" ht="16"/>
    <row r="226" ht="16"/>
    <row r="227" ht="16"/>
    <row r="228" ht="16"/>
    <row r="229" ht="16"/>
    <row r="230" ht="16"/>
    <row r="231" ht="16"/>
    <row r="232" ht="16"/>
    <row r="233" ht="16"/>
    <row r="234" ht="16"/>
    <row r="235" ht="16"/>
    <row r="236" ht="16"/>
    <row r="237" ht="16"/>
    <row r="238" ht="16"/>
    <row r="239" ht="16"/>
    <row r="240" ht="16"/>
    <row r="241" ht="16"/>
    <row r="242" ht="16"/>
    <row r="243" ht="16"/>
    <row r="244" ht="16"/>
    <row r="245" ht="16"/>
    <row r="246" ht="16"/>
    <row r="247" ht="16"/>
    <row r="248" ht="16"/>
    <row r="249" ht="16"/>
    <row r="250" ht="16"/>
    <row r="251" ht="16"/>
    <row r="252" ht="16"/>
    <row r="253" ht="16"/>
    <row r="254" ht="16"/>
    <row r="255" ht="16"/>
    <row r="256" ht="16"/>
    <row r="257" ht="16"/>
    <row r="258" ht="16"/>
    <row r="259" ht="16"/>
    <row r="260" ht="16"/>
    <row r="261" ht="16"/>
    <row r="262" ht="16"/>
    <row r="263" ht="16"/>
    <row r="264" ht="16"/>
    <row r="265" ht="16"/>
    <row r="266" ht="16"/>
    <row r="267" ht="16"/>
    <row r="268" ht="16"/>
    <row r="269" ht="16"/>
    <row r="270" ht="16"/>
    <row r="271" ht="16"/>
    <row r="272" ht="16"/>
    <row r="273" ht="16"/>
    <row r="274" ht="16"/>
    <row r="275" ht="16"/>
    <row r="276" ht="16"/>
    <row r="277" ht="16"/>
    <row r="278" ht="16"/>
    <row r="279" ht="16"/>
    <row r="280" ht="16"/>
    <row r="281" ht="16"/>
    <row r="282" ht="16"/>
    <row r="283" ht="16"/>
    <row r="284" ht="16"/>
    <row r="285" ht="16"/>
    <row r="286" ht="16"/>
    <row r="287" ht="16"/>
    <row r="288" ht="16"/>
    <row r="289" ht="16"/>
    <row r="290" ht="16"/>
    <row r="291" ht="16"/>
    <row r="292" ht="16"/>
    <row r="293" ht="16"/>
    <row r="294" ht="16"/>
    <row r="295" ht="16"/>
    <row r="296" ht="16"/>
    <row r="297" ht="16"/>
    <row r="298" ht="16"/>
    <row r="299" ht="16"/>
    <row r="300" ht="16"/>
    <row r="301" ht="16"/>
    <row r="302" ht="16"/>
    <row r="303" ht="16"/>
    <row r="304" ht="16"/>
    <row r="305" ht="16"/>
    <row r="306" ht="16"/>
    <row r="307" ht="16"/>
    <row r="308" ht="16"/>
    <row r="309" ht="16"/>
    <row r="310" ht="16"/>
    <row r="311" ht="16"/>
    <row r="312" ht="16"/>
    <row r="313" ht="16"/>
    <row r="314" ht="16"/>
    <row r="315" ht="16"/>
    <row r="316" ht="16"/>
    <row r="317" ht="16"/>
    <row r="318" ht="16"/>
    <row r="319" ht="16"/>
    <row r="320" ht="16"/>
    <row r="321" ht="16"/>
    <row r="322" ht="16"/>
    <row r="323" ht="16"/>
    <row r="324" ht="16"/>
    <row r="325" ht="16"/>
    <row r="326" ht="16"/>
    <row r="327" ht="16"/>
    <row r="328" ht="16"/>
    <row r="329" ht="16"/>
    <row r="330" ht="16"/>
    <row r="331" ht="16"/>
    <row r="332" ht="16"/>
    <row r="333" ht="16"/>
    <row r="334" ht="16"/>
    <row r="335" ht="16"/>
    <row r="336" ht="16"/>
    <row r="337" ht="16"/>
    <row r="338" ht="16"/>
    <row r="339" ht="16"/>
    <row r="340" ht="16"/>
    <row r="341" ht="16"/>
    <row r="342" ht="16"/>
    <row r="343" ht="16"/>
    <row r="344" ht="16"/>
    <row r="345" ht="16"/>
    <row r="346" ht="16"/>
    <row r="347" ht="16"/>
    <row r="348" ht="16"/>
    <row r="349" ht="16"/>
    <row r="350" ht="16"/>
    <row r="351" ht="16"/>
    <row r="352" ht="16"/>
    <row r="353" ht="16"/>
    <row r="354" ht="16"/>
    <row r="355" ht="16"/>
    <row r="356" ht="16"/>
    <row r="357" ht="16"/>
    <row r="358" ht="16"/>
    <row r="359" ht="16"/>
    <row r="360" ht="16"/>
    <row r="361" ht="16"/>
    <row r="362" ht="16"/>
    <row r="363" ht="16"/>
    <row r="364" ht="16"/>
    <row r="365" ht="16"/>
    <row r="366" ht="16"/>
    <row r="367" ht="16"/>
    <row r="368" ht="16"/>
    <row r="369" ht="16"/>
    <row r="370" ht="16"/>
    <row r="371" ht="16"/>
    <row r="372" ht="16"/>
    <row r="373" ht="16"/>
    <row r="374" ht="16"/>
    <row r="375" ht="16"/>
    <row r="376" ht="16"/>
    <row r="377" ht="16"/>
    <row r="378" ht="16"/>
    <row r="379" ht="16"/>
    <row r="380" ht="16"/>
    <row r="381" ht="16"/>
    <row r="382" ht="16"/>
    <row r="383" ht="16"/>
    <row r="384" ht="16"/>
    <row r="385" ht="16"/>
    <row r="386" ht="16"/>
    <row r="387" ht="16"/>
    <row r="388" ht="16"/>
    <row r="389" ht="16"/>
    <row r="390" ht="16"/>
    <row r="391" ht="16"/>
    <row r="392" ht="16"/>
    <row r="393" ht="16"/>
    <row r="394" ht="16"/>
    <row r="395" ht="16"/>
    <row r="396" ht="16"/>
    <row r="397" ht="16"/>
    <row r="398" ht="16"/>
    <row r="399" ht="16"/>
    <row r="400" ht="16"/>
    <row r="401" ht="16"/>
    <row r="402" ht="16"/>
    <row r="403" ht="16"/>
    <row r="404" ht="16"/>
    <row r="405" ht="16"/>
    <row r="406" ht="16"/>
    <row r="407" ht="16"/>
    <row r="408" ht="16"/>
    <row r="409" ht="16"/>
    <row r="410" ht="16"/>
    <row r="411" ht="16"/>
    <row r="412" ht="16"/>
    <row r="413" ht="16"/>
    <row r="414" ht="16"/>
    <row r="415" ht="16"/>
    <row r="416" ht="16"/>
    <row r="417" ht="16"/>
    <row r="418" ht="16"/>
    <row r="419" ht="16"/>
    <row r="420" ht="16"/>
    <row r="421" ht="16"/>
    <row r="422" ht="16"/>
    <row r="423" ht="16"/>
    <row r="424" ht="16"/>
    <row r="425" ht="16"/>
    <row r="426" ht="16"/>
    <row r="427" ht="16"/>
    <row r="428" ht="16"/>
    <row r="429" ht="16"/>
    <row r="430" ht="16"/>
    <row r="431" ht="16"/>
    <row r="432" ht="16"/>
    <row r="433" ht="16"/>
    <row r="434" ht="16"/>
    <row r="435" ht="16"/>
    <row r="436" ht="16"/>
    <row r="437" ht="16"/>
    <row r="438" ht="16"/>
    <row r="439" ht="16"/>
    <row r="440" ht="16"/>
    <row r="441" ht="16"/>
    <row r="442" ht="16"/>
    <row r="443" ht="16"/>
    <row r="444" ht="16"/>
    <row r="445" ht="16"/>
    <row r="446" ht="16"/>
    <row r="447" ht="16"/>
    <row r="448" ht="16"/>
    <row r="449" ht="16"/>
    <row r="450" ht="16"/>
    <row r="451" ht="16"/>
    <row r="452" ht="16"/>
    <row r="453" ht="16"/>
    <row r="454" ht="16"/>
    <row r="455" ht="16"/>
    <row r="456" ht="16"/>
    <row r="457" ht="16"/>
    <row r="458" ht="16"/>
    <row r="459" ht="16"/>
    <row r="460" ht="16"/>
    <row r="461" ht="16"/>
    <row r="462" ht="16"/>
    <row r="463" ht="16"/>
    <row r="464" ht="16"/>
    <row r="465" ht="16"/>
    <row r="466" ht="16"/>
    <row r="467" ht="16"/>
    <row r="468" ht="16"/>
    <row r="469" ht="16"/>
    <row r="470" ht="16"/>
    <row r="471" ht="16"/>
    <row r="472" ht="16"/>
    <row r="473" ht="16"/>
    <row r="474" ht="16"/>
    <row r="475" ht="16"/>
    <row r="476" ht="16"/>
    <row r="477" ht="16"/>
    <row r="478" ht="16"/>
    <row r="479" ht="16"/>
    <row r="480" ht="16"/>
    <row r="481" ht="16"/>
    <row r="482" ht="16"/>
    <row r="483" ht="16"/>
    <row r="484" ht="16"/>
    <row r="485" ht="16"/>
    <row r="486" ht="16"/>
    <row r="487" ht="16"/>
    <row r="488" ht="16"/>
    <row r="489" ht="16"/>
    <row r="490" ht="16"/>
    <row r="491" ht="16"/>
    <row r="492" ht="16"/>
    <row r="493" ht="16"/>
    <row r="494" ht="16"/>
    <row r="495" ht="16"/>
    <row r="496" ht="16"/>
    <row r="497" ht="16"/>
    <row r="498" ht="16"/>
    <row r="499" ht="16"/>
    <row r="500" ht="16"/>
    <row r="501" ht="16"/>
    <row r="502" ht="16"/>
    <row r="503" ht="16"/>
    <row r="504" ht="16"/>
    <row r="505" ht="16"/>
    <row r="506" ht="16"/>
    <row r="507" ht="16"/>
    <row r="508" ht="16"/>
    <row r="509" ht="16"/>
    <row r="510" ht="16"/>
    <row r="511" ht="16"/>
    <row r="512" ht="16"/>
    <row r="513" ht="16"/>
    <row r="514" ht="16"/>
    <row r="515" ht="16"/>
    <row r="516" ht="16"/>
    <row r="517" ht="16"/>
    <row r="518" ht="16"/>
    <row r="519" ht="16"/>
    <row r="520" ht="16"/>
    <row r="521" ht="16"/>
    <row r="522" ht="16"/>
    <row r="523" ht="16"/>
    <row r="524" ht="16"/>
    <row r="525" ht="16"/>
    <row r="526" ht="16"/>
    <row r="527" ht="16"/>
    <row r="528" ht="16"/>
    <row r="529" ht="16"/>
    <row r="530" ht="16"/>
    <row r="531" ht="16"/>
    <row r="532" ht="16"/>
    <row r="533" ht="16"/>
    <row r="534" ht="16"/>
    <row r="535" ht="16"/>
    <row r="536" ht="16"/>
    <row r="537" ht="16"/>
    <row r="538" ht="16"/>
    <row r="539" ht="16"/>
    <row r="540" ht="16"/>
    <row r="541" ht="16"/>
    <row r="542" ht="16"/>
    <row r="543" ht="16"/>
    <row r="544" ht="16"/>
    <row r="545" ht="16"/>
    <row r="546" ht="16"/>
    <row r="547" ht="16"/>
    <row r="548" ht="16"/>
    <row r="549" ht="16"/>
    <row r="550" ht="16"/>
    <row r="551" ht="16"/>
    <row r="552" ht="16"/>
    <row r="553" ht="16"/>
    <row r="554" ht="16"/>
    <row r="555" ht="16"/>
    <row r="556" ht="16"/>
    <row r="557" ht="16"/>
    <row r="558" ht="16"/>
    <row r="559" ht="16"/>
    <row r="560" ht="16"/>
    <row r="561" ht="16"/>
    <row r="562" ht="16"/>
    <row r="563" ht="16"/>
    <row r="564" ht="16"/>
    <row r="565" ht="16"/>
    <row r="566" ht="16"/>
    <row r="567" ht="16"/>
    <row r="568" ht="16"/>
    <row r="569" ht="16"/>
    <row r="570" ht="16"/>
    <row r="571" ht="16"/>
    <row r="572" ht="16"/>
    <row r="573" ht="16"/>
    <row r="574" ht="16"/>
    <row r="575" ht="16"/>
    <row r="576" ht="16"/>
    <row r="577" ht="16"/>
    <row r="578" ht="16"/>
    <row r="579" ht="16"/>
    <row r="580" ht="16"/>
    <row r="581" ht="16"/>
    <row r="582" ht="16"/>
    <row r="583" ht="16"/>
    <row r="584" ht="16"/>
    <row r="585" ht="16"/>
    <row r="586" ht="16"/>
    <row r="587" ht="16"/>
    <row r="588" ht="16"/>
    <row r="589" ht="16"/>
    <row r="590" ht="16"/>
    <row r="591" ht="16"/>
    <row r="592" ht="16"/>
    <row r="593" ht="16"/>
    <row r="594" ht="16"/>
    <row r="595" ht="16"/>
    <row r="596" ht="16"/>
    <row r="597" ht="16"/>
    <row r="598" ht="16"/>
    <row r="599" ht="16"/>
    <row r="600" ht="16"/>
    <row r="601" ht="16"/>
    <row r="602" ht="16"/>
    <row r="603" ht="16"/>
    <row r="604" ht="16"/>
    <row r="605" ht="16"/>
    <row r="606" ht="16"/>
    <row r="607" ht="16"/>
    <row r="608" ht="16"/>
    <row r="609" ht="16"/>
    <row r="610" ht="16"/>
    <row r="611" ht="16"/>
    <row r="612" ht="16"/>
    <row r="613" ht="16"/>
    <row r="614" ht="16"/>
    <row r="615" ht="16"/>
    <row r="616" ht="16"/>
    <row r="617" ht="16"/>
    <row r="618" ht="16"/>
    <row r="619" ht="16"/>
    <row r="620" ht="16"/>
    <row r="621" ht="16"/>
    <row r="622" ht="16"/>
    <row r="623" ht="16"/>
    <row r="624" ht="16"/>
    <row r="625" ht="16"/>
    <row r="626" ht="16"/>
    <row r="627" ht="16"/>
    <row r="628" ht="16"/>
    <row r="629" ht="16"/>
    <row r="630" ht="16"/>
    <row r="631" ht="16"/>
    <row r="632" ht="16"/>
    <row r="633" ht="16"/>
    <row r="634" ht="16"/>
    <row r="635" ht="16"/>
    <row r="636" ht="16"/>
    <row r="637" ht="16"/>
    <row r="638" ht="16"/>
    <row r="639" ht="16"/>
    <row r="640" ht="16"/>
    <row r="641" ht="16"/>
    <row r="642" ht="16"/>
    <row r="643" ht="16"/>
    <row r="644" ht="16"/>
    <row r="645" ht="16"/>
    <row r="646" ht="16"/>
    <row r="647" ht="16"/>
    <row r="648" ht="16"/>
    <row r="649" ht="16"/>
    <row r="650" ht="16"/>
    <row r="651" ht="16"/>
    <row r="652" ht="16"/>
    <row r="653" ht="16"/>
    <row r="654" ht="16"/>
    <row r="655" ht="16"/>
    <row r="656" ht="16"/>
    <row r="657" ht="16"/>
    <row r="658" ht="16"/>
    <row r="659" ht="16"/>
    <row r="660" ht="16"/>
    <row r="661" ht="16"/>
    <row r="662" ht="16"/>
    <row r="663" ht="16"/>
    <row r="664" ht="16"/>
    <row r="665" ht="16"/>
    <row r="666" ht="16"/>
    <row r="667" ht="16"/>
    <row r="668" ht="16"/>
    <row r="669" ht="16"/>
    <row r="670" ht="16"/>
    <row r="671" ht="16"/>
    <row r="672" ht="16"/>
    <row r="673" ht="16"/>
    <row r="674" ht="16"/>
    <row r="675" ht="16"/>
    <row r="676" ht="16"/>
    <row r="677" ht="16"/>
    <row r="678" ht="16"/>
    <row r="679" ht="16"/>
    <row r="680" ht="16"/>
    <row r="681" ht="16"/>
    <row r="682" ht="16"/>
    <row r="683" ht="16"/>
    <row r="684" ht="16"/>
    <row r="685" ht="16"/>
    <row r="686" ht="16"/>
    <row r="687" ht="16"/>
    <row r="688" ht="16"/>
    <row r="689" ht="16"/>
    <row r="690" ht="16"/>
    <row r="691" ht="16"/>
    <row r="692" ht="16"/>
    <row r="693" ht="16"/>
    <row r="694" ht="16"/>
    <row r="695" ht="16"/>
    <row r="696" ht="16"/>
    <row r="697" ht="16"/>
    <row r="698" ht="16"/>
    <row r="699" ht="16"/>
    <row r="700" ht="16"/>
    <row r="701" ht="16"/>
    <row r="702" ht="16"/>
    <row r="703" ht="16"/>
    <row r="704" ht="16"/>
    <row r="705" ht="16"/>
    <row r="706" ht="16"/>
    <row r="707" ht="16"/>
    <row r="708" ht="16"/>
    <row r="709" ht="16"/>
    <row r="710" ht="16"/>
    <row r="711" ht="16"/>
    <row r="712" ht="16"/>
    <row r="713" ht="16"/>
    <row r="714" ht="16"/>
    <row r="715" ht="16"/>
    <row r="716" ht="16"/>
    <row r="717" ht="16"/>
    <row r="718" ht="16"/>
    <row r="719" ht="16"/>
    <row r="720" ht="16"/>
    <row r="721" ht="16"/>
    <row r="722" ht="16"/>
    <row r="723" ht="16"/>
    <row r="724" ht="16"/>
    <row r="725" ht="16"/>
    <row r="726" ht="16"/>
    <row r="727" ht="16"/>
    <row r="728" ht="16"/>
    <row r="729" ht="16"/>
    <row r="730" ht="16"/>
    <row r="731" ht="16"/>
    <row r="732" ht="16"/>
    <row r="733" ht="16"/>
    <row r="734" ht="16"/>
    <row r="735" ht="16"/>
    <row r="736" ht="16"/>
    <row r="737" ht="16"/>
    <row r="738" ht="16"/>
    <row r="739" ht="16"/>
    <row r="740" ht="16"/>
    <row r="741" ht="16"/>
    <row r="742" ht="16"/>
    <row r="743" ht="16"/>
    <row r="744" ht="16"/>
    <row r="745" ht="16"/>
    <row r="746" ht="16"/>
    <row r="747" ht="16"/>
    <row r="748" ht="16"/>
    <row r="749" ht="16"/>
    <row r="750" ht="16"/>
    <row r="751" ht="16"/>
    <row r="752" ht="16"/>
    <row r="753" ht="16"/>
    <row r="754" ht="16"/>
    <row r="755" ht="16"/>
    <row r="756" ht="16"/>
    <row r="757" ht="16"/>
    <row r="758" ht="16"/>
    <row r="759" ht="16"/>
    <row r="760" ht="16"/>
    <row r="761" ht="16"/>
    <row r="762" ht="16"/>
    <row r="763" ht="16"/>
    <row r="764" ht="16"/>
    <row r="765" ht="16"/>
    <row r="766" ht="16"/>
    <row r="767" ht="16"/>
    <row r="768" ht="16"/>
    <row r="769" ht="16"/>
    <row r="770" ht="16"/>
    <row r="771" ht="16"/>
    <row r="772" ht="16"/>
    <row r="773" ht="16"/>
    <row r="774" ht="16"/>
    <row r="775" ht="16"/>
    <row r="776" ht="16"/>
    <row r="777" ht="16"/>
    <row r="778" ht="16"/>
    <row r="779" ht="16"/>
    <row r="780" ht="16"/>
    <row r="781" ht="16"/>
    <row r="782" ht="16"/>
    <row r="783" ht="16"/>
    <row r="784" ht="16"/>
    <row r="785" ht="16"/>
    <row r="786" ht="16"/>
    <row r="787" ht="16"/>
    <row r="788" ht="16"/>
    <row r="789" ht="16"/>
    <row r="790" ht="16"/>
    <row r="791" ht="16"/>
    <row r="792" ht="16"/>
    <row r="793" ht="16"/>
    <row r="794" ht="16"/>
    <row r="795" ht="16"/>
    <row r="796" ht="16"/>
    <row r="797" ht="16"/>
    <row r="798" ht="16"/>
    <row r="799" ht="16"/>
    <row r="800" ht="16"/>
    <row r="801" ht="16"/>
    <row r="802" ht="16"/>
    <row r="803" ht="16"/>
    <row r="804" ht="16"/>
    <row r="805" ht="16"/>
    <row r="806" ht="16"/>
    <row r="807" ht="16"/>
    <row r="808" ht="16"/>
    <row r="809" ht="16"/>
    <row r="810" ht="16"/>
    <row r="811" ht="16"/>
    <row r="812" ht="16"/>
    <row r="813" ht="16"/>
    <row r="814" ht="16"/>
    <row r="815" ht="16"/>
    <row r="816" ht="16"/>
    <row r="817" ht="16"/>
    <row r="818" ht="16"/>
    <row r="819" ht="16"/>
    <row r="820" ht="16"/>
    <row r="821" ht="16"/>
    <row r="822" ht="16"/>
    <row r="823" ht="16"/>
    <row r="824" ht="16"/>
    <row r="825" ht="16"/>
    <row r="826" ht="16"/>
    <row r="827" ht="16"/>
    <row r="828" ht="16"/>
    <row r="829" ht="16"/>
    <row r="830" ht="16"/>
    <row r="831" ht="16"/>
    <row r="832" ht="16"/>
    <row r="833" ht="16"/>
    <row r="834" ht="16"/>
    <row r="835" ht="16"/>
    <row r="836" ht="16"/>
    <row r="837" ht="16"/>
    <row r="838" ht="16"/>
    <row r="839" ht="16"/>
    <row r="840" ht="16"/>
    <row r="841" ht="16"/>
    <row r="842" ht="16"/>
    <row r="843" ht="16"/>
    <row r="844" ht="16"/>
    <row r="845" ht="16"/>
    <row r="846" ht="16"/>
    <row r="847" ht="16"/>
    <row r="848" ht="16"/>
    <row r="849" ht="16"/>
    <row r="850" ht="16"/>
    <row r="851" ht="16"/>
    <row r="852" ht="16"/>
    <row r="853" ht="16"/>
    <row r="854" ht="16"/>
    <row r="855" ht="16"/>
    <row r="856" ht="16"/>
    <row r="857" ht="16"/>
    <row r="858" ht="16"/>
    <row r="859" ht="16"/>
    <row r="860" ht="16"/>
    <row r="861" ht="16"/>
    <row r="862" ht="16"/>
    <row r="863" ht="16"/>
    <row r="864" ht="16"/>
    <row r="865" ht="16"/>
    <row r="866" ht="16"/>
    <row r="867" ht="16"/>
    <row r="868" ht="16"/>
    <row r="869" ht="16"/>
    <row r="870" ht="16"/>
    <row r="871" ht="16"/>
    <row r="872" ht="16"/>
    <row r="873" ht="16"/>
    <row r="874" ht="16"/>
    <row r="875" ht="16"/>
    <row r="876" ht="16"/>
    <row r="877" ht="16"/>
    <row r="878" ht="16"/>
    <row r="879" ht="16"/>
    <row r="880" ht="16"/>
    <row r="881" ht="16"/>
    <row r="882" ht="16"/>
    <row r="883" ht="16"/>
    <row r="884" ht="16"/>
    <row r="885" ht="16"/>
    <row r="886" ht="16"/>
    <row r="887" ht="16"/>
    <row r="888" ht="16"/>
    <row r="889" ht="16"/>
    <row r="890" ht="16"/>
    <row r="891" ht="16"/>
    <row r="892" ht="16"/>
    <row r="893" ht="16"/>
    <row r="894" ht="16"/>
    <row r="895" ht="16"/>
    <row r="896" ht="16"/>
    <row r="897" ht="16"/>
    <row r="898" ht="16"/>
    <row r="899" ht="16"/>
    <row r="900" ht="16"/>
    <row r="901" ht="16"/>
    <row r="902" ht="16"/>
    <row r="903" ht="16"/>
    <row r="904" ht="16"/>
    <row r="905" ht="16"/>
    <row r="906" ht="16"/>
    <row r="907" ht="16"/>
    <row r="908" ht="16"/>
    <row r="909" ht="16"/>
    <row r="910" ht="16"/>
    <row r="911" ht="16"/>
    <row r="912" ht="16"/>
    <row r="913" ht="16"/>
    <row r="914" ht="16"/>
    <row r="915" ht="16"/>
    <row r="916" ht="16"/>
    <row r="917" ht="16"/>
    <row r="918" ht="16"/>
    <row r="919" ht="16"/>
    <row r="920" ht="16"/>
    <row r="921" ht="16"/>
    <row r="922" ht="16"/>
    <row r="923" ht="16"/>
    <row r="924" ht="16"/>
    <row r="925" ht="16"/>
    <row r="926" ht="16"/>
    <row r="927" ht="16"/>
    <row r="928" ht="16"/>
    <row r="929" ht="16"/>
    <row r="930" ht="16"/>
    <row r="931" ht="16"/>
    <row r="932" ht="16"/>
    <row r="933" ht="16"/>
    <row r="934" ht="16"/>
    <row r="935" ht="16"/>
    <row r="936" ht="16"/>
    <row r="937" ht="16"/>
    <row r="938" ht="16"/>
    <row r="939" ht="16"/>
    <row r="940" ht="16"/>
    <row r="941" ht="16"/>
    <row r="942" ht="16"/>
    <row r="943" ht="16"/>
    <row r="944" ht="16"/>
    <row r="945" ht="16"/>
    <row r="946" ht="16"/>
    <row r="947" ht="16"/>
    <row r="948" ht="16"/>
    <row r="949" ht="16"/>
    <row r="950" ht="16"/>
    <row r="951" ht="16"/>
    <row r="952" ht="16"/>
    <row r="953" ht="16"/>
    <row r="954" ht="16"/>
    <row r="955" ht="16"/>
    <row r="956" ht="16"/>
    <row r="957" ht="16"/>
    <row r="958" ht="16"/>
    <row r="959" ht="16"/>
    <row r="960" ht="16"/>
    <row r="961" ht="16"/>
    <row r="962" ht="16"/>
    <row r="963" ht="16"/>
    <row r="964" ht="16"/>
    <row r="965" ht="16"/>
    <row r="966" ht="16"/>
    <row r="967" ht="16"/>
    <row r="968" ht="16"/>
    <row r="969" ht="16"/>
    <row r="970" ht="16"/>
    <row r="971" ht="16"/>
    <row r="972" ht="16"/>
    <row r="973" ht="16"/>
    <row r="974" ht="16"/>
    <row r="975" ht="16"/>
    <row r="976" ht="16"/>
    <row r="977" ht="16"/>
    <row r="978" ht="16"/>
    <row r="979" ht="16"/>
    <row r="980" ht="16"/>
    <row r="981" ht="16"/>
    <row r="982" ht="16"/>
    <row r="983" ht="16"/>
    <row r="984" ht="16"/>
    <row r="985" ht="16"/>
    <row r="986" ht="16"/>
    <row r="987" ht="16"/>
    <row r="988" ht="16"/>
    <row r="989" ht="16"/>
    <row r="990" ht="16"/>
    <row r="991" ht="16"/>
    <row r="992" ht="16"/>
    <row r="993" ht="16"/>
    <row r="994" ht="16"/>
    <row r="995" ht="16"/>
    <row r="996" ht="16"/>
    <row r="997" ht="16"/>
    <row r="998" ht="16"/>
    <row r="999" ht="16"/>
    <row r="1000" ht="16"/>
    <row r="1001" ht="16"/>
    <row r="1002" ht="16"/>
    <row r="1003" ht="16"/>
    <row r="1004" ht="16"/>
    <row r="1005" ht="16"/>
    <row r="1006" ht="16"/>
  </sheetData>
  <mergeCells count="8">
    <mergeCell ref="C10:E10"/>
    <mergeCell ref="C11:E11"/>
    <mergeCell ref="C12:E12"/>
    <mergeCell ref="B2:F2"/>
    <mergeCell ref="C4:E4"/>
    <mergeCell ref="C5:E5"/>
    <mergeCell ref="C6:E6"/>
    <mergeCell ref="C9:E9"/>
  </mergeCells>
  <hyperlinks>
    <hyperlink ref="C9" location="Table of Contents Multi-languag!A1" display="Go to the Table of Contents tab for a list of the 26 competencies most frequently requested by LinkedIn Learning customers. _x000a_ _x000a_In this tab you'll find a full list of clickable competency titles. Click on a competency title to navigate to its associated tab within this document. For clarity, we've also included a list of alternative terms to describe each competency._x000a__x000a_" xr:uid="{00000000-0004-0000-0100-000000000000}"/>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A64D79"/>
    <outlinePr summaryBelow="0" summaryRight="0"/>
  </sheetPr>
  <dimension ref="A1:AJ99"/>
  <sheetViews>
    <sheetView showGridLines="0" workbookViewId="0">
      <pane ySplit="3" topLeftCell="A4" activePane="bottomLeft" state="frozen"/>
      <selection pane="bottomLeft" activeCell="J23" sqref="J23"/>
    </sheetView>
  </sheetViews>
  <sheetFormatPr baseColWidth="10" defaultColWidth="11.1640625" defaultRowHeight="15" customHeight="1"/>
  <cols>
    <col min="1" max="1" width="1.1640625" customWidth="1"/>
    <col min="2" max="2" width="11.1640625" customWidth="1"/>
    <col min="3" max="3" width="18.5" customWidth="1"/>
    <col min="4" max="5" width="44.5" customWidth="1"/>
    <col min="6" max="6" width="1.1640625" customWidth="1"/>
    <col min="7" max="7" width="11.1640625" customWidth="1"/>
    <col min="8" max="8" width="19.33203125" customWidth="1"/>
    <col min="9" max="10" width="44.5" customWidth="1"/>
    <col min="11" max="11" width="1.1640625" customWidth="1"/>
    <col min="12" max="12" width="11.1640625" customWidth="1"/>
    <col min="13" max="13" width="20.83203125" customWidth="1"/>
    <col min="14" max="15" width="44.5" customWidth="1"/>
    <col min="16" max="16" width="1.1640625" customWidth="1"/>
    <col min="17" max="17" width="11.1640625" customWidth="1"/>
    <col min="18" max="18" width="19.6640625" customWidth="1"/>
    <col min="19" max="20" width="44.5" customWidth="1"/>
    <col min="21" max="21" width="1.1640625" customWidth="1"/>
    <col min="23" max="23" width="18.6640625" customWidth="1"/>
    <col min="24" max="25" width="44.5" customWidth="1"/>
    <col min="26" max="26" width="1.1640625" customWidth="1"/>
    <col min="27" max="27" width="11.1640625" customWidth="1"/>
    <col min="28" max="28" width="26.6640625" customWidth="1"/>
    <col min="29" max="30" width="44.5" customWidth="1"/>
    <col min="31" max="31" width="1.1640625" customWidth="1"/>
    <col min="32" max="32" width="11.1640625" customWidth="1"/>
    <col min="33" max="33" width="21" customWidth="1"/>
    <col min="34" max="35" width="44.5" customWidth="1"/>
    <col min="36" max="36" width="1.1640625" customWidth="1"/>
  </cols>
  <sheetData>
    <row r="1" spans="1:36" ht="34.5" customHeight="1">
      <c r="A1" s="208"/>
      <c r="B1" s="230" t="s">
        <v>0</v>
      </c>
      <c r="C1" s="222"/>
      <c r="D1" s="222"/>
      <c r="E1" s="222"/>
      <c r="F1" s="208"/>
      <c r="G1" s="230" t="str">
        <f ca="1">IFERROR(__xludf.DUMMYFUNCTION("IFERROR(UNIQUE(FILTER(French!B:B,French!A:A=B1)))"),"Responsabilité et focus sur les résultats")</f>
        <v>Responsabilité et focus sur les résultats</v>
      </c>
      <c r="H1" s="222"/>
      <c r="I1" s="222"/>
      <c r="J1" s="222"/>
      <c r="K1" s="208"/>
      <c r="L1" s="230" t="str">
        <f ca="1">IFERROR(__xludf.DUMMYFUNCTION("IFERROR((UNIQUE(FILTER(Spanish!B:B,Spanish!A:A=B1))))"),"Rendimiento y orientación a resultados")</f>
        <v>Rendimiento y orientación a resultados</v>
      </c>
      <c r="M1" s="222"/>
      <c r="N1" s="222"/>
      <c r="O1" s="222"/>
      <c r="P1" s="208"/>
      <c r="Q1" s="230" t="str">
        <f ca="1">IFERROR(__xludf.DUMMYFUNCTION("IFERROR(UNIQUE(FILTER(German!B:B,German!A:A=B1)))"),"Verantwortungsbewusstsein und Ergebnisorientiertierung")</f>
        <v>Verantwortungsbewusstsein und Ergebnisorientiertierung</v>
      </c>
      <c r="R1" s="222"/>
      <c r="S1" s="222"/>
      <c r="T1" s="222"/>
      <c r="U1" s="208"/>
      <c r="V1" s="230" t="str">
        <f ca="1">IFERROR(__xludf.DUMMYFUNCTION("IFERROR(UNIQUE(FILTER(Japanese!B:B,Japanese!A:A=B1)))"),"アカウンタビリティと結果指向")</f>
        <v>アカウンタビリティと結果指向</v>
      </c>
      <c r="W1" s="222"/>
      <c r="X1" s="222"/>
      <c r="Y1" s="222"/>
      <c r="Z1" s="208"/>
      <c r="AA1" s="230" t="str">
        <f ca="1">IFERROR(__xludf.DUMMYFUNCTION("IFERROR(UNIQUE(FILTER(Portuguese!B:B,Portuguese!A:A=B1)))"),"Autorresponsabilidade e orientação para resultados")</f>
        <v>Autorresponsabilidade e orientação para resultados</v>
      </c>
      <c r="AB1" s="222"/>
      <c r="AC1" s="222"/>
      <c r="AD1" s="222"/>
      <c r="AE1" s="208"/>
      <c r="AF1" s="230" t="s">
        <v>676</v>
      </c>
      <c r="AG1" s="222"/>
      <c r="AH1" s="222"/>
      <c r="AI1" s="222"/>
      <c r="AJ1" s="208"/>
    </row>
    <row r="2" spans="1:36" ht="28" customHeight="1">
      <c r="A2" s="209"/>
      <c r="B2" s="234" t="s">
        <v>4713</v>
      </c>
      <c r="C2" s="222"/>
      <c r="D2" s="222"/>
      <c r="E2" s="222"/>
      <c r="F2" s="209"/>
      <c r="G2" s="231" t="s">
        <v>4714</v>
      </c>
      <c r="H2" s="222"/>
      <c r="I2" s="222"/>
      <c r="J2" s="222"/>
      <c r="K2" s="209"/>
      <c r="L2" s="235" t="s">
        <v>4715</v>
      </c>
      <c r="M2" s="222"/>
      <c r="N2" s="222"/>
      <c r="O2" s="222"/>
      <c r="P2" s="209"/>
      <c r="Q2" s="232" t="s">
        <v>4716</v>
      </c>
      <c r="R2" s="222"/>
      <c r="S2" s="222"/>
      <c r="T2" s="222"/>
      <c r="U2" s="209"/>
      <c r="V2" s="236" t="s">
        <v>4717</v>
      </c>
      <c r="W2" s="222"/>
      <c r="X2" s="222"/>
      <c r="Y2" s="222"/>
      <c r="Z2" s="209"/>
      <c r="AA2" s="233" t="s">
        <v>4718</v>
      </c>
      <c r="AB2" s="222"/>
      <c r="AC2" s="222"/>
      <c r="AD2" s="222"/>
      <c r="AE2" s="209"/>
      <c r="AF2" s="237" t="s">
        <v>4719</v>
      </c>
      <c r="AG2" s="222"/>
      <c r="AH2" s="222"/>
      <c r="AI2" s="222"/>
      <c r="AJ2" s="209"/>
    </row>
    <row r="3" spans="1:36" ht="26" customHeight="1">
      <c r="A3" s="210"/>
      <c r="B3" s="211" t="str">
        <f ca="1">IFERROR(__xludf.DUMMYFUNCTION("FILTER(English!B:B,English!A:A=B1)"),"Course IDs")</f>
        <v>Course IDs</v>
      </c>
      <c r="C3" s="211" t="str">
        <f ca="1">IFERROR(__xludf.DUMMYFUNCTION("FILTER(English!C:C,English!A:A=B1)"),"Levels")</f>
        <v>Levels</v>
      </c>
      <c r="D3" s="211" t="str">
        <f ca="1">IFERROR(__xludf.DUMMYFUNCTION("FILTER(English!D:D,English!A:A=B1)"),"Courses")</f>
        <v>Courses</v>
      </c>
      <c r="E3" s="212" t="str">
        <f ca="1">IFERROR(__xludf.DUMMYFUNCTION("FILTER(English!E:E,English!A:A=B1)"),"Learning Paths")</f>
        <v>Learning Paths</v>
      </c>
      <c r="F3" s="210"/>
      <c r="G3" s="211" t="str">
        <f ca="1">IFERROR(__xludf.DUMMYFUNCTION("FILTER(French!C:C,French!B:B=G1)"),"Course IDs")</f>
        <v>Course IDs</v>
      </c>
      <c r="H3" s="211" t="str">
        <f ca="1">IFERROR(__xludf.DUMMYFUNCTION("FILTER(French!D:D,French!B:B=G1)"),"Levels")</f>
        <v>Levels</v>
      </c>
      <c r="I3" s="211" t="str">
        <f ca="1">IFERROR(__xludf.DUMMYFUNCTION("FILTER(French!E:E,French!B:B=G1)"),"Courses")</f>
        <v>Courses</v>
      </c>
      <c r="J3" s="212" t="str">
        <f ca="1">IFERROR(__xludf.DUMMYFUNCTION("FILTER(French!G:G,French!B:B=G1)"),"Learning Paths")</f>
        <v>Learning Paths</v>
      </c>
      <c r="K3" s="210"/>
      <c r="L3" s="211" t="str">
        <f ca="1">IFERROR(__xludf.DUMMYFUNCTION("FILTER(Spanish!C:C,Spanish!B:B=L1)"),"Course IDs")</f>
        <v>Course IDs</v>
      </c>
      <c r="M3" s="211" t="str">
        <f ca="1">IFERROR(__xludf.DUMMYFUNCTION("FILTER(Spanish!D:D,Spanish!B:B=L1)"),"Levels")</f>
        <v>Levels</v>
      </c>
      <c r="N3" s="211" t="str">
        <f ca="1">IFERROR(__xludf.DUMMYFUNCTION("FILTER(Spanish!E:E,Spanish!B:B=L1)"),"Courses")</f>
        <v>Courses</v>
      </c>
      <c r="O3" s="212" t="str">
        <f ca="1">IFERROR(__xludf.DUMMYFUNCTION("FILTER(Spanish!G:G,Spanish!B:B=L1)"),"Learning Paths")</f>
        <v>Learning Paths</v>
      </c>
      <c r="P3" s="210"/>
      <c r="Q3" s="211" t="str">
        <f ca="1">IFERROR(__xludf.DUMMYFUNCTION("FILTER(German!C:C,German!B:B=Q1)"),"Course IDs")</f>
        <v>Course IDs</v>
      </c>
      <c r="R3" s="211" t="str">
        <f ca="1">IFERROR(__xludf.DUMMYFUNCTION("FILTER(German!D:D,German!B:B=Q1)"),"Levels")</f>
        <v>Levels</v>
      </c>
      <c r="S3" s="211" t="str">
        <f ca="1">IFERROR(__xludf.DUMMYFUNCTION("FILTER(German!E:E,German!B:B=Q1)"),"Courses")</f>
        <v>Courses</v>
      </c>
      <c r="T3" s="212" t="str">
        <f ca="1">IFERROR(__xludf.DUMMYFUNCTION("FILTER(German!G:G,German!B:B=Q1)"),"Learning Paths")</f>
        <v>Learning Paths</v>
      </c>
      <c r="U3" s="210"/>
      <c r="V3" s="211" t="str">
        <f ca="1">IFERROR(__xludf.DUMMYFUNCTION("FILTER(Japanese!C:C,Japanese!B:B=V1)"),"Course IDs")</f>
        <v>Course IDs</v>
      </c>
      <c r="W3" s="211" t="str">
        <f ca="1">IFERROR(__xludf.DUMMYFUNCTION("FILTER(Japanese!D:D,Japanese!B:B=V1)"),"Levels")</f>
        <v>Levels</v>
      </c>
      <c r="X3" s="211" t="str">
        <f ca="1">IFERROR(__xludf.DUMMYFUNCTION("FILTER(Japanese!E:E,Japanese!B:B=V1)"),"Courses")</f>
        <v>Courses</v>
      </c>
      <c r="Y3" s="212" t="str">
        <f ca="1">IFERROR(__xludf.DUMMYFUNCTION("FILTER(Japanese!G:G,Japanese!B:B=V1)"),"Learning Paths")</f>
        <v>Learning Paths</v>
      </c>
      <c r="Z3" s="210"/>
      <c r="AA3" s="211" t="str">
        <f ca="1">IFERROR(__xludf.DUMMYFUNCTION("FILTER(Portuguese!C:C,Portuguese!B:B=AA1)"),"Course IDs")</f>
        <v>Course IDs</v>
      </c>
      <c r="AB3" s="211" t="str">
        <f ca="1">IFERROR(__xludf.DUMMYFUNCTION("FILTER(Portuguese!D:D,Portuguese!B:B=AA1)"),"Levels")</f>
        <v>Levels</v>
      </c>
      <c r="AC3" s="211" t="str">
        <f ca="1">IFERROR(__xludf.DUMMYFUNCTION("FILTER(Portuguese!E:E,Portuguese!B:B=AA1)"),"Courses")</f>
        <v>Courses</v>
      </c>
      <c r="AD3" s="212" t="str">
        <f ca="1">IFERROR(__xludf.DUMMYFUNCTION("FILTER(Portuguese!G:G,Portuguese!B:B=AA1)"),"Learning Paths")</f>
        <v>Learning Paths</v>
      </c>
      <c r="AE3" s="210"/>
      <c r="AF3" s="211" t="str">
        <f ca="1">IFERROR(__xludf.DUMMYFUNCTION("FILTER(Mandarin!C:C,Mandarin!B:B=AF1)"),"Course IDs")</f>
        <v>Course IDs</v>
      </c>
      <c r="AG3" s="211" t="str">
        <f ca="1">IFERROR(__xludf.DUMMYFUNCTION("FILTER(Mandarin!D:D,Mandarin!B:B=AF1)"),"Levels")</f>
        <v>Levels</v>
      </c>
      <c r="AH3" s="211" t="str">
        <f ca="1">IFERROR(__xludf.DUMMYFUNCTION("FILTER(Mandarin!E:E,Mandarin!B:B=AF1)"),"Courses")</f>
        <v>Courses</v>
      </c>
      <c r="AI3" s="212" t="str">
        <f ca="1">IFERROR(__xludf.DUMMYFUNCTION("FILTER(Mandarin!G:G,Mandarin!B:B=AF1)"),"Learning Paths")</f>
        <v>Learning Paths</v>
      </c>
      <c r="AJ3" s="210"/>
    </row>
    <row r="4" spans="1:36" ht="33.75" customHeight="1">
      <c r="A4" s="213"/>
      <c r="B4" s="214">
        <f ca="1">IFERROR(__xludf.DUMMYFUNCTION("""COMPUTED_VALUE"""),5015886)</f>
        <v>5015886</v>
      </c>
      <c r="C4" s="215" t="str">
        <f ca="1">IFERROR(__xludf.DUMMYFUNCTION("""COMPUTED_VALUE"""),"Intermediate")</f>
        <v>Intermediate</v>
      </c>
      <c r="D4" s="216" t="str">
        <f ca="1">IFERROR(__xludf.DUMMYFUNCTION("""COMPUTED_VALUE"""),"Good to Great: Why Some Companies Make the Leap and Others Don't (Blinkist Summary)")</f>
        <v>Good to Great: Why Some Companies Make the Leap and Others Don't (Blinkist Summary)</v>
      </c>
      <c r="E4" s="217" t="str">
        <f ca="1">IFERROR(__xludf.DUMMYFUNCTION("""COMPUTED_VALUE"""),"Building Accountability and Becoming Results Oriented ")</f>
        <v xml:space="preserve">Building Accountability and Becoming Results Oriented </v>
      </c>
      <c r="F4" s="213"/>
      <c r="G4" s="214">
        <f ca="1">IFERROR(__xludf.DUMMYFUNCTION("""COMPUTED_VALUE"""),3207213)</f>
        <v>3207213</v>
      </c>
      <c r="H4" s="215" t="str">
        <f ca="1">IFERROR(__xludf.DUMMYFUNCTION("""COMPUTED_VALUE"""),"All levels")</f>
        <v>All levels</v>
      </c>
      <c r="I4" s="217" t="str">
        <f ca="1">IFERROR(__xludf.DUMMYFUNCTION("""COMPUTED_VALUE"""),"10 minutes, un livre : Adopter une mentalité de champion/championne")</f>
        <v>10 minutes, un livre : Adopter une mentalité de champion/championne</v>
      </c>
      <c r="J4" s="217" t="str">
        <f ca="1">IFERROR(__xludf.DUMMYFUNCTION("""COMPUTED_VALUE"""),"Améliorer ses compétences en gestion du temps")</f>
        <v>Améliorer ses compétences en gestion du temps</v>
      </c>
      <c r="K4" s="213"/>
      <c r="L4" s="215">
        <f ca="1">IFERROR(__xludf.DUMMYFUNCTION("""COMPUTED_VALUE"""),5025693)</f>
        <v>5025693</v>
      </c>
      <c r="M4" s="215" t="str">
        <f ca="1">IFERROR(__xludf.DUMMYFUNCTION("""COMPUTED_VALUE"""),"Intermediate")</f>
        <v>Intermediate</v>
      </c>
      <c r="N4" s="217" t="str">
        <f ca="1">IFERROR(__xludf.DUMMYFUNCTION("""COMPUTED_VALUE"""),"Agile en acción: Construye tu equipo ágil")</f>
        <v>Agile en acción: Construye tu equipo ágil</v>
      </c>
      <c r="O4" s="217" t="str">
        <f ca="1">IFERROR(__xludf.DUMMYFUNCTION("""COMPUTED_VALUE"""),"Crea una atmósfera de trabajo productiva")</f>
        <v>Crea una atmósfera de trabajo productiva</v>
      </c>
      <c r="P4" s="213"/>
      <c r="Q4" s="215">
        <f ca="1">IFERROR(__xludf.DUMMYFUNCTION("""COMPUTED_VALUE"""),2803013)</f>
        <v>2803013</v>
      </c>
      <c r="R4" s="215" t="str">
        <f ca="1">IFERROR(__xludf.DUMMYFUNCTION("""COMPUTED_VALUE"""),"All levels")</f>
        <v>All levels</v>
      </c>
      <c r="S4" s="217" t="str">
        <f ca="1">IFERROR(__xludf.DUMMYFUNCTION("""COMPUTED_VALUE"""),"Achtsamkeit kennenlernen und entwickeln")</f>
        <v>Achtsamkeit kennenlernen und entwickeln</v>
      </c>
      <c r="T4" s="217" t="str">
        <f ca="1">IFERROR(__xludf.DUMMYFUNCTION("""COMPUTED_VALUE"""),"Die Selbstorganisation verbessern")</f>
        <v>Die Selbstorganisation verbessern</v>
      </c>
      <c r="U4" s="213"/>
      <c r="V4" s="215">
        <f ca="1">IFERROR(__xludf.DUMMYFUNCTION("""COMPUTED_VALUE"""),2430002)</f>
        <v>2430002</v>
      </c>
      <c r="W4" s="215" t="str">
        <f ca="1">IFERROR(__xludf.DUMMYFUNCTION("""COMPUTED_VALUE"""),"Beginner")</f>
        <v>Beginner</v>
      </c>
      <c r="X4" s="217" t="str">
        <f ca="1">IFERROR(__xludf.DUMMYFUNCTION("""COMPUTED_VALUE"""),"SMARTの法則でチームと部下の目標を定めるには")</f>
        <v>SMARTの法則でチームと部下の目標を定めるには</v>
      </c>
      <c r="Y4" s="217" t="str">
        <f ca="1">IFERROR(__xludf.DUMMYFUNCTION("""COMPUTED_VALUE"""),"困難な時期に自身を高めて問題を乗り切るには")</f>
        <v>困難な時期に自身を高めて問題を乗り切るには</v>
      </c>
      <c r="Z4" s="213"/>
      <c r="AA4" s="215">
        <f ca="1">IFERROR(__xludf.DUMMYFUNCTION("""COMPUTED_VALUE"""),2928588)</f>
        <v>2928588</v>
      </c>
      <c r="AB4" s="215" t="str">
        <f ca="1">IFERROR(__xludf.DUMMYFUNCTION("""COMPUTED_VALUE"""),"Intermediate")</f>
        <v>Intermediate</v>
      </c>
      <c r="AC4" s="217" t="str">
        <f ca="1">IFERROR(__xludf.DUMMYFUNCTION("""COMPUTED_VALUE"""),"Agilidade Empresarial: Como Expandir o Scrum")</f>
        <v>Agilidade Empresarial: Como Expandir o Scrum</v>
      </c>
      <c r="AD4" s="217" t="str">
        <f ca="1">IFERROR(__xludf.DUMMYFUNCTION("""COMPUTED_VALUE"""),"Como Desenvolver uma Mentalidade de Crescimento")</f>
        <v>Como Desenvolver uma Mentalidade de Crescimento</v>
      </c>
      <c r="AE4" s="213"/>
      <c r="AF4" s="215">
        <f ca="1">IFERROR(__xludf.DUMMYFUNCTION("""COMPUTED_VALUE"""),762264)</f>
        <v>762264</v>
      </c>
      <c r="AG4" s="215" t="str">
        <f ca="1">IFERROR(__xludf.DUMMYFUNCTION("""COMPUTED_VALUE"""),"Intermediate")</f>
        <v>Intermediate</v>
      </c>
      <c r="AH4" s="217" t="str">
        <f ca="1">IFERROR(__xludf.DUMMYFUNCTION("""COMPUTED_VALUE"""),"以结果为导向的管理")</f>
        <v>以结果为导向的管理</v>
      </c>
      <c r="AI4" s="217" t="str">
        <f ca="1">IFERROR(__xludf.DUMMYFUNCTION("""COMPUTED_VALUE"""),"远程工作：团队合作与效率")</f>
        <v>远程工作：团队合作与效率</v>
      </c>
      <c r="AJ4" s="213"/>
    </row>
    <row r="5" spans="1:36" ht="45">
      <c r="A5" s="213"/>
      <c r="B5" s="214">
        <f ca="1">IFERROR(__xludf.DUMMYFUNCTION("""COMPUTED_VALUE"""),616665)</f>
        <v>616665</v>
      </c>
      <c r="C5" s="215" t="str">
        <f ca="1">IFERROR(__xludf.DUMMYFUNCTION("""COMPUTED_VALUE"""),"Advanced")</f>
        <v>Advanced</v>
      </c>
      <c r="D5" s="216" t="str">
        <f ca="1">IFERROR(__xludf.DUMMYFUNCTION("""COMPUTED_VALUE"""),"Organization Design")</f>
        <v>Organization Design</v>
      </c>
      <c r="E5" s="217" t="str">
        <f ca="1">IFERROR(__xludf.DUMMYFUNCTION("""COMPUTED_VALUE"""),"Become a High Performer")</f>
        <v>Become a High Performer</v>
      </c>
      <c r="F5" s="213"/>
      <c r="G5" s="214">
        <f ca="1">IFERROR(__xludf.DUMMYFUNCTION("""COMPUTED_VALUE"""),2390305)</f>
        <v>2390305</v>
      </c>
      <c r="H5" s="215" t="str">
        <f ca="1">IFERROR(__xludf.DUMMYFUNCTION("""COMPUTED_VALUE"""),"Intermediate")</f>
        <v>Intermediate</v>
      </c>
      <c r="I5" s="217" t="str">
        <f ca="1">IFERROR(__xludf.DUMMYFUNCTION("""COMPUTED_VALUE"""),"10 minutes, un livre : Apprendre à prioriser")</f>
        <v>10 minutes, un livre : Apprendre à prioriser</v>
      </c>
      <c r="J5" s="217" t="str">
        <f ca="1">IFERROR(__xludf.DUMMYFUNCTION("""COMPUTED_VALUE"""),"Améliorer ses compétences organisationnelles")</f>
        <v>Améliorer ses compétences organisationnelles</v>
      </c>
      <c r="K5" s="213"/>
      <c r="L5" s="215">
        <f ca="1">IFERROR(__xludf.DUMMYFUNCTION("""COMPUTED_VALUE"""),5025692)</f>
        <v>5025692</v>
      </c>
      <c r="M5" s="215" t="str">
        <f ca="1">IFERROR(__xludf.DUMMYFUNCTION("""COMPUTED_VALUE"""),"Intermediate")</f>
        <v>Intermediate</v>
      </c>
      <c r="N5" s="217" t="str">
        <f ca="1">IFERROR(__xludf.DUMMYFUNCTION("""COMPUTED_VALUE"""),"Agile en acción: Impulsar reuniones ágiles y productivas")</f>
        <v>Agile en acción: Impulsar reuniones ágiles y productivas</v>
      </c>
      <c r="O5" s="217" t="str">
        <f ca="1">IFERROR(__xludf.DUMMYFUNCTION("""COMPUTED_VALUE"""),"Mejora tus dotes de liderazgo y gestión de equipos de trabajo")</f>
        <v>Mejora tus dotes de liderazgo y gestión de equipos de trabajo</v>
      </c>
      <c r="P5" s="213"/>
      <c r="Q5" s="215">
        <f ca="1">IFERROR(__xludf.DUMMYFUNCTION("""COMPUTED_VALUE"""),2887340)</f>
        <v>2887340</v>
      </c>
      <c r="R5" s="215" t="str">
        <f ca="1">IFERROR(__xludf.DUMMYFUNCTION("""COMPUTED_VALUE"""),"Beginner")</f>
        <v>Beginner</v>
      </c>
      <c r="S5" s="217" t="str">
        <f ca="1">IFERROR(__xludf.DUMMYFUNCTION("""COMPUTED_VALUE"""),"Agile Strategieumsetzung mit OKR (Objectives and Key Results)")</f>
        <v>Agile Strategieumsetzung mit OKR (Objectives and Key Results)</v>
      </c>
      <c r="T5" s="217" t="str">
        <f ca="1">IFERROR(__xludf.DUMMYFUNCTION("""COMPUTED_VALUE"""),"Erfolgreich im Home-Office arbeiten")</f>
        <v>Erfolgreich im Home-Office arbeiten</v>
      </c>
      <c r="U5" s="213"/>
      <c r="V5" s="215">
        <f ca="1">IFERROR(__xludf.DUMMYFUNCTION("""COMPUTED_VALUE"""),709795)</f>
        <v>709795</v>
      </c>
      <c r="W5" s="215" t="str">
        <f ca="1">IFERROR(__xludf.DUMMYFUNCTION("""COMPUTED_VALUE"""),"Beginner")</f>
        <v>Beginner</v>
      </c>
      <c r="X5" s="217" t="str">
        <f ca="1">IFERROR(__xludf.DUMMYFUNCTION("""COMPUTED_VALUE"""),"アカウンタビリティを企業文化として根付かせるには")</f>
        <v>アカウンタビリティを企業文化として根付かせるには</v>
      </c>
      <c r="Y5" s="217"/>
      <c r="Z5" s="213"/>
      <c r="AA5" s="215">
        <f ca="1">IFERROR(__xludf.DUMMYFUNCTION("""COMPUTED_VALUE"""),2931602)</f>
        <v>2931602</v>
      </c>
      <c r="AB5" s="215" t="str">
        <f ca="1">IFERROR(__xludf.DUMMYFUNCTION("""COMPUTED_VALUE"""),"Beginner, Intermediate")</f>
        <v>Beginner, Intermediate</v>
      </c>
      <c r="AC5" s="217" t="str">
        <f ca="1">IFERROR(__xludf.DUMMYFUNCTION("""COMPUTED_VALUE"""),"Como Colaborar de Forma Eficaz com sua Equipe")</f>
        <v>Como Colaborar de Forma Eficaz com sua Equipe</v>
      </c>
      <c r="AD5" s="217" t="str">
        <f ca="1">IFERROR(__xludf.DUMMYFUNCTION("""COMPUTED_VALUE"""),"Como melhorar a Gestão do Tempo e aumentar a Produtividade")</f>
        <v>Como melhorar a Gestão do Tempo e aumentar a Produtividade</v>
      </c>
      <c r="AE5" s="213"/>
      <c r="AF5" s="215">
        <f ca="1">IFERROR(__xludf.DUMMYFUNCTION("""COMPUTED_VALUE"""),2255864)</f>
        <v>2255864</v>
      </c>
      <c r="AG5" s="215" t="str">
        <f ca="1">IFERROR(__xludf.DUMMYFUNCTION("""COMPUTED_VALUE"""),"Intermediate")</f>
        <v>Intermediate</v>
      </c>
      <c r="AH5" s="217" t="str">
        <f ca="1">IFERROR(__xludf.DUMMYFUNCTION("""COMPUTED_VALUE"""),"创建高绩效文化")</f>
        <v>创建高绩效文化</v>
      </c>
      <c r="AI5" s="217" t="str">
        <f ca="1">IFERROR(__xludf.DUMMYFUNCTION("""COMPUTED_VALUE"""),"提升自我：度过艰难时期")</f>
        <v>提升自我：度过艰难时期</v>
      </c>
      <c r="AJ5" s="213"/>
    </row>
    <row r="6" spans="1:36" ht="45">
      <c r="A6" s="213"/>
      <c r="B6" s="214">
        <f ca="1">IFERROR(__xludf.DUMMYFUNCTION("""COMPUTED_VALUE"""),5034165)</f>
        <v>5034165</v>
      </c>
      <c r="C6" s="215" t="str">
        <f ca="1">IFERROR(__xludf.DUMMYFUNCTION("""COMPUTED_VALUE"""),"Beginner + Intermediate")</f>
        <v>Beginner + Intermediate</v>
      </c>
      <c r="D6" s="216" t="str">
        <f ca="1">IFERROR(__xludf.DUMMYFUNCTION("""COMPUTED_VALUE"""),"Prioritizing Effectively as a Leader")</f>
        <v>Prioritizing Effectively as a Leader</v>
      </c>
      <c r="E6" s="217" t="str">
        <f ca="1">IFERROR(__xludf.DUMMYFUNCTION("""COMPUTED_VALUE"""),"Become a Successful Remote Worker")</f>
        <v>Become a Successful Remote Worker</v>
      </c>
      <c r="F6" s="213"/>
      <c r="G6" s="214">
        <f ca="1">IFERROR(__xludf.DUMMYFUNCTION("""COMPUTED_VALUE"""),2883009)</f>
        <v>2883009</v>
      </c>
      <c r="H6" s="215" t="str">
        <f ca="1">IFERROR(__xludf.DUMMYFUNCTION("""COMPUTED_VALUE"""),"All levels")</f>
        <v>All levels</v>
      </c>
      <c r="I6" s="217" t="str">
        <f ca="1">IFERROR(__xludf.DUMMYFUNCTION("""COMPUTED_VALUE"""),"10 minutes, un livre : Créer son temps infini")</f>
        <v>10 minutes, un livre : Créer son temps infini</v>
      </c>
      <c r="J6" s="217" t="str">
        <f ca="1">IFERROR(__xludf.DUMMYFUNCTION("""COMPUTED_VALUE"""),"Améliorer sa productivité et son efficacité en entreprise")</f>
        <v>Améliorer sa productivité et son efficacité en entreprise</v>
      </c>
      <c r="K6" s="213"/>
      <c r="L6" s="215">
        <f ca="1">IFERROR(__xludf.DUMMYFUNCTION("""COMPUTED_VALUE"""),5025688)</f>
        <v>5025688</v>
      </c>
      <c r="M6" s="215" t="str">
        <f ca="1">IFERROR(__xludf.DUMMYFUNCTION("""COMPUTED_VALUE"""),"Intermediate")</f>
        <v>Intermediate</v>
      </c>
      <c r="N6" s="217" t="str">
        <f ca="1">IFERROR(__xludf.DUMMYFUNCTION("""COMPUTED_VALUE"""),"Agile en acción: Mejorar con retrospectivas ágiles")</f>
        <v>Agile en acción: Mejorar con retrospectivas ágiles</v>
      </c>
      <c r="O6" s="217" t="str">
        <f ca="1">IFERROR(__xludf.DUMMYFUNCTION("""COMPUTED_VALUE"""),"Mejora tu gestión de tiempo y productividad")</f>
        <v>Mejora tu gestión de tiempo y productividad</v>
      </c>
      <c r="P6" s="213"/>
      <c r="Q6" s="215">
        <f ca="1">IFERROR(__xludf.DUMMYFUNCTION("""COMPUTED_VALUE"""),593910)</f>
        <v>593910</v>
      </c>
      <c r="R6" s="215" t="str">
        <f ca="1">IFERROR(__xludf.DUMMYFUNCTION("""COMPUTED_VALUE"""),"All levels")</f>
        <v>All levels</v>
      </c>
      <c r="S6" s="217" t="str">
        <f ca="1">IFERROR(__xludf.DUMMYFUNCTION("""COMPUTED_VALUE"""),"Arbeitsmethodik für Führungskräfte")</f>
        <v>Arbeitsmethodik für Führungskräfte</v>
      </c>
      <c r="T6" s="217" t="str">
        <f ca="1">IFERROR(__xludf.DUMMYFUNCTION("""COMPUTED_VALUE"""),"Leichter lernen")</f>
        <v>Leichter lernen</v>
      </c>
      <c r="U6" s="213"/>
      <c r="V6" s="215">
        <f ca="1">IFERROR(__xludf.DUMMYFUNCTION("""COMPUTED_VALUE"""),668001)</f>
        <v>668001</v>
      </c>
      <c r="W6" s="215" t="str">
        <f ca="1">IFERROR(__xludf.DUMMYFUNCTION("""COMPUTED_VALUE"""),"Beginner")</f>
        <v>Beginner</v>
      </c>
      <c r="X6" s="217" t="str">
        <f ca="1">IFERROR(__xludf.DUMMYFUNCTION("""COMPUTED_VALUE"""),"タイムマネジメントの基礎")</f>
        <v>タイムマネジメントの基礎</v>
      </c>
      <c r="Y6" s="217" t="str">
        <f ca="1">IFERROR(__xludf.DUMMYFUNCTION("""COMPUTED_VALUE"""),"困難な時期に自身を高めて問題を乗り切るには")</f>
        <v>困難な時期に自身を高めて問題を乗り切るには</v>
      </c>
      <c r="Z6" s="213"/>
      <c r="AA6" s="215">
        <f ca="1">IFERROR(__xludf.DUMMYFUNCTION("""COMPUTED_VALUE"""),2901333)</f>
        <v>2901333</v>
      </c>
      <c r="AB6" s="215" t="str">
        <f ca="1">IFERROR(__xludf.DUMMYFUNCTION("""COMPUTED_VALUE"""),"Beginner, Intermediate")</f>
        <v>Beginner, Intermediate</v>
      </c>
      <c r="AC6" s="217" t="str">
        <f ca="1">IFERROR(__xludf.DUMMYFUNCTION("""COMPUTED_VALUE"""),"Como Conduzir Reuniões Produtivas")</f>
        <v>Como Conduzir Reuniões Produtivas</v>
      </c>
      <c r="AD6" s="217" t="str">
        <f ca="1">IFERROR(__xludf.DUMMYFUNCTION("""COMPUTED_VALUE"""),"Trabalho Remoto: Colaboração, Foco e Produtividade")</f>
        <v>Trabalho Remoto: Colaboração, Foco e Produtividade</v>
      </c>
      <c r="AE6" s="213"/>
      <c r="AF6" s="215">
        <f ca="1">IFERROR(__xludf.DUMMYFUNCTION("""COMPUTED_VALUE"""),3103024)</f>
        <v>3103024</v>
      </c>
      <c r="AG6" s="215" t="str">
        <f ca="1">IFERROR(__xludf.DUMMYFUNCTION("""COMPUTED_VALUE"""),"Beginner")</f>
        <v>Beginner</v>
      </c>
      <c r="AH6" s="217" t="str">
        <f ca="1">IFERROR(__xludf.DUMMYFUNCTION("""COMPUTED_VALUE"""),"勇于当责")</f>
        <v>勇于当责</v>
      </c>
      <c r="AI6" s="217" t="str">
        <f ca="1">IFERROR(__xludf.DUMMYFUNCTION("""COMPUTED_VALUE"""),"培养团队合作")</f>
        <v>培养团队合作</v>
      </c>
      <c r="AJ6" s="213"/>
    </row>
    <row r="7" spans="1:36" ht="33.75" customHeight="1">
      <c r="A7" s="213"/>
      <c r="B7" s="214">
        <f ca="1">IFERROR(__xludf.DUMMYFUNCTION("""COMPUTED_VALUE"""),2819025)</f>
        <v>2819025</v>
      </c>
      <c r="C7" s="215" t="str">
        <f ca="1">IFERROR(__xludf.DUMMYFUNCTION("""COMPUTED_VALUE"""),"Beginner + Intermediate")</f>
        <v>Beginner + Intermediate</v>
      </c>
      <c r="D7" s="216" t="str">
        <f ca="1">IFERROR(__xludf.DUMMYFUNCTION("""COMPUTED_VALUE"""),"Communicating to Drive People to Take Action")</f>
        <v>Communicating to Drive People to Take Action</v>
      </c>
      <c r="E7" s="217" t="str">
        <f ca="1">IFERROR(__xludf.DUMMYFUNCTION("""COMPUTED_VALUE"""),"Improve Your Organizational Skills")</f>
        <v>Improve Your Organizational Skills</v>
      </c>
      <c r="F7" s="213"/>
      <c r="G7" s="214">
        <f ca="1">IFERROR(__xludf.DUMMYFUNCTION("""COMPUTED_VALUE"""),2885010)</f>
        <v>2885010</v>
      </c>
      <c r="H7" s="215" t="str">
        <f ca="1">IFERROR(__xludf.DUMMYFUNCTION("""COMPUTED_VALUE"""),"All levels")</f>
        <v>All levels</v>
      </c>
      <c r="I7" s="217" t="str">
        <f ca="1">IFERROR(__xludf.DUMMYFUNCTION("""COMPUTED_VALUE"""),"10 minutes, un livre : Maximiser son efficacité")</f>
        <v>10 minutes, un livre : Maximiser son efficacité</v>
      </c>
      <c r="J7" s="217" t="str">
        <f ca="1">IFERROR(__xludf.DUMMYFUNCTION("""COMPUTED_VALUE"""),"Maîtriser les soft skills les plus demandés")</f>
        <v>Maîtriser les soft skills les plus demandés</v>
      </c>
      <c r="K7" s="213"/>
      <c r="L7" s="215">
        <f ca="1">IFERROR(__xludf.DUMMYFUNCTION("""COMPUTED_VALUE"""),190327)</f>
        <v>190327</v>
      </c>
      <c r="M7" s="215" t="str">
        <f ca="1">IFERROR(__xludf.DUMMYFUNCTION("""COMPUTED_VALUE"""),"Intermediate")</f>
        <v>Intermediate</v>
      </c>
      <c r="N7" s="217" t="str">
        <f ca="1">IFERROR(__xludf.DUMMYFUNCTION("""COMPUTED_VALUE"""),"Aumenta tu productividad: Trucos")</f>
        <v>Aumenta tu productividad: Trucos</v>
      </c>
      <c r="O7" s="217" t="str">
        <f ca="1">IFERROR(__xludf.DUMMYFUNCTION("""COMPUTED_VALUE"""),"Domina el trabajo remoto")</f>
        <v>Domina el trabajo remoto</v>
      </c>
      <c r="P7" s="213"/>
      <c r="Q7" s="215">
        <f ca="1">IFERROR(__xludf.DUMMYFUNCTION("""COMPUTED_VALUE"""),436248)</f>
        <v>436248</v>
      </c>
      <c r="R7" s="215" t="str">
        <f ca="1">IFERROR(__xludf.DUMMYFUNCTION("""COMPUTED_VALUE"""),"All levels")</f>
        <v>All levels</v>
      </c>
      <c r="S7" s="217" t="str">
        <f ca="1">IFERROR(__xludf.DUMMYFUNCTION("""COMPUTED_VALUE"""),"Aufschieberitis überwinden")</f>
        <v>Aufschieberitis überwinden</v>
      </c>
      <c r="T7" s="217" t="str">
        <f ca="1">IFERROR(__xludf.DUMMYFUNCTION("""COMPUTED_VALUE"""),"Stärken Sie Ihre Schlüsselkompetenzen")</f>
        <v>Stärken Sie Ihre Schlüsselkompetenzen</v>
      </c>
      <c r="U7" s="213"/>
      <c r="V7" s="215">
        <f ca="1">IFERROR(__xludf.DUMMYFUNCTION("""COMPUTED_VALUE"""),780519)</f>
        <v>780519</v>
      </c>
      <c r="W7" s="215" t="str">
        <f ca="1">IFERROR(__xludf.DUMMYFUNCTION("""COMPUTED_VALUE"""),"All levels")</f>
        <v>All levels</v>
      </c>
      <c r="X7" s="217" t="str">
        <f ca="1">IFERROR(__xludf.DUMMYFUNCTION("""COMPUTED_VALUE"""),"困難から立ち直るには")</f>
        <v>困難から立ち直るには</v>
      </c>
      <c r="Y7" s="217"/>
      <c r="Z7" s="213"/>
      <c r="AA7" s="215">
        <f ca="1">IFERROR(__xludf.DUMMYFUNCTION("""COMPUTED_VALUE"""),753229)</f>
        <v>753229</v>
      </c>
      <c r="AB7" s="215" t="str">
        <f ca="1">IFERROR(__xludf.DUMMYFUNCTION("""COMPUTED_VALUE"""),"Intermediate")</f>
        <v>Intermediate</v>
      </c>
      <c r="AC7" s="217" t="str">
        <f ca="1">IFERROR(__xludf.DUMMYFUNCTION("""COMPUTED_VALUE"""),"Como Criar Equipes de Alto Desempenho")</f>
        <v>Como Criar Equipes de Alto Desempenho</v>
      </c>
      <c r="AD7" s="217" t="str">
        <f ca="1">IFERROR(__xludf.DUMMYFUNCTION("""COMPUTED_VALUE"""),"Como superar os desafios e se reinventar em tempos difíceis")</f>
        <v>Como superar os desafios e se reinventar em tempos difíceis</v>
      </c>
      <c r="AE7" s="213"/>
      <c r="AF7" s="215">
        <f ca="1">IFERROR(__xludf.DUMMYFUNCTION("""COMPUTED_VALUE"""),2811360)</f>
        <v>2811360</v>
      </c>
      <c r="AG7" s="215" t="str">
        <f ca="1">IFERROR(__xludf.DUMMYFUNCTION("""COMPUTED_VALUE"""),"All levels")</f>
        <v>All levels</v>
      </c>
      <c r="AH7" s="217" t="str">
        <f ca="1">IFERROR(__xludf.DUMMYFUNCTION("""COMPUTED_VALUE"""),"压力管理")</f>
        <v>压力管理</v>
      </c>
      <c r="AI7" s="217" t="str">
        <f ca="1">IFERROR(__xludf.DUMMYFUNCTION("""COMPUTED_VALUE"""),"成为管理者")</f>
        <v>成为管理者</v>
      </c>
      <c r="AJ7" s="213"/>
    </row>
    <row r="8" spans="1:36" ht="33.75" customHeight="1">
      <c r="A8" s="213"/>
      <c r="B8" s="214">
        <f ca="1">IFERROR(__xludf.DUMMYFUNCTION("""COMPUTED_VALUE"""),2825161)</f>
        <v>2825161</v>
      </c>
      <c r="C8" s="215" t="str">
        <f ca="1">IFERROR(__xludf.DUMMYFUNCTION("""COMPUTED_VALUE"""),"Beginner + Intermediate")</f>
        <v>Beginner + Intermediate</v>
      </c>
      <c r="D8" s="216" t="str">
        <f ca="1">IFERROR(__xludf.DUMMYFUNCTION("""COMPUTED_VALUE"""),"Goal Setting: Objectives and Key Results (OKRs)")</f>
        <v>Goal Setting: Objectives and Key Results (OKRs)</v>
      </c>
      <c r="E8" s="217" t="str">
        <f ca="1">IFERROR(__xludf.DUMMYFUNCTION("""COMPUTED_VALUE"""),"Remote Working: Setting Yourself and Your Teams Up for Success")</f>
        <v>Remote Working: Setting Yourself and Your Teams Up for Success</v>
      </c>
      <c r="F8" s="213"/>
      <c r="G8" s="214">
        <f ca="1">IFERROR(__xludf.DUMMYFUNCTION("""COMPUTED_VALUE"""),2886010)</f>
        <v>2886010</v>
      </c>
      <c r="H8" s="215" t="str">
        <f ca="1">IFERROR(__xludf.DUMMYFUNCTION("""COMPUTED_VALUE"""),"Intermediate")</f>
        <v>Intermediate</v>
      </c>
      <c r="I8" s="217" t="str">
        <f ca="1">IFERROR(__xludf.DUMMYFUNCTION("""COMPUTED_VALUE"""),"10 minutes, un livre : Optimiser quotidiennement son temps")</f>
        <v>10 minutes, un livre : Optimiser quotidiennement son temps</v>
      </c>
      <c r="J8" s="217" t="str">
        <f ca="1">IFERROR(__xludf.DUMMYFUNCTION("""COMPUTED_VALUE"""),"Devenir un employé ultraperformant")</f>
        <v>Devenir un employé ultraperformant</v>
      </c>
      <c r="K8" s="213"/>
      <c r="L8" s="215">
        <f ca="1">IFERROR(__xludf.DUMMYFUNCTION("""COMPUTED_VALUE"""),3146379)</f>
        <v>3146379</v>
      </c>
      <c r="M8" s="215" t="str">
        <f ca="1">IFERROR(__xludf.DUMMYFUNCTION("""COMPUTED_VALUE"""),"All levels")</f>
        <v>All levels</v>
      </c>
      <c r="N8" s="217" t="str">
        <f ca="1">IFERROR(__xludf.DUMMYFUNCTION("""COMPUTED_VALUE"""),"Búsqueda de empleo con redes sociales")</f>
        <v>Búsqueda de empleo con redes sociales</v>
      </c>
      <c r="O8" s="217" t="str">
        <f ca="1">IFERROR(__xludf.DUMMYFUNCTION("""COMPUTED_VALUE"""),"Mejora tu productividad con estas metodologías")</f>
        <v>Mejora tu productividad con estas metodologías</v>
      </c>
      <c r="P8" s="213"/>
      <c r="Q8" s="215">
        <f ca="1">IFERROR(__xludf.DUMMYFUNCTION("""COMPUTED_VALUE"""),503019)</f>
        <v>503019</v>
      </c>
      <c r="R8" s="215" t="str">
        <f ca="1">IFERROR(__xludf.DUMMYFUNCTION("""COMPUTED_VALUE"""),"All levels")</f>
        <v>All levels</v>
      </c>
      <c r="S8" s="217" t="str">
        <f ca="1">IFERROR(__xludf.DUMMYFUNCTION("""COMPUTED_VALUE"""),"Außerhalb des Büros arbeiten")</f>
        <v>Außerhalb des Büros arbeiten</v>
      </c>
      <c r="T8" s="217"/>
      <c r="U8" s="213"/>
      <c r="V8" s="215">
        <f ca="1">IFERROR(__xludf.DUMMYFUNCTION("""COMPUTED_VALUE"""),5017390)</f>
        <v>5017390</v>
      </c>
      <c r="W8" s="215" t="str">
        <f ca="1">IFERROR(__xludf.DUMMYFUNCTION("""COMPUTED_VALUE"""),"Beginner")</f>
        <v>Beginner</v>
      </c>
      <c r="X8" s="217" t="str">
        <f ca="1">IFERROR(__xludf.DUMMYFUNCTION("""COMPUTED_VALUE"""),"課題解決力を高めるには")</f>
        <v>課題解決力を高めるには</v>
      </c>
      <c r="Y8" s="217" t="str">
        <f ca="1">IFERROR(__xludf.DUMMYFUNCTION("""COMPUTED_VALUE"""),"テレワークをチームで効率よく行うには")</f>
        <v>テレワークをチームで効率よく行うには</v>
      </c>
      <c r="Z8" s="213"/>
      <c r="AA8" s="215">
        <f ca="1">IFERROR(__xludf.DUMMYFUNCTION("""COMPUTED_VALUE"""),801474)</f>
        <v>801474</v>
      </c>
      <c r="AB8" s="215" t="str">
        <f ca="1">IFERROR(__xludf.DUMMYFUNCTION("""COMPUTED_VALUE"""),"Advanced")</f>
        <v>Advanced</v>
      </c>
      <c r="AC8" s="217" t="str">
        <f ca="1">IFERROR(__xludf.DUMMYFUNCTION("""COMPUTED_VALUE"""),"Como Criar Estratégias de Crescimento")</f>
        <v>Como Criar Estratégias de Crescimento</v>
      </c>
      <c r="AD8" s="217" t="str">
        <f ca="1">IFERROR(__xludf.DUMMYFUNCTION("""COMPUTED_VALUE"""),"Como Desenvolver a Colaboração entre a Equipe")</f>
        <v>Como Desenvolver a Colaboração entre a Equipe</v>
      </c>
      <c r="AE8" s="213"/>
      <c r="AF8" s="215">
        <f ca="1">IFERROR(__xludf.DUMMYFUNCTION("""COMPUTED_VALUE"""),773688)</f>
        <v>773688</v>
      </c>
      <c r="AG8" s="215" t="str">
        <f ca="1">IFERROR(__xludf.DUMMYFUNCTION("""COMPUTED_VALUE"""),"All levels")</f>
        <v>All levels</v>
      </c>
      <c r="AH8" s="217" t="str">
        <f ca="1">IFERROR(__xludf.DUMMYFUNCTION("""COMPUTED_VALUE"""),"培养复原力")</f>
        <v>培养复原力</v>
      </c>
      <c r="AI8" s="217"/>
      <c r="AJ8" s="213"/>
    </row>
    <row r="9" spans="1:36" ht="33.75" customHeight="1">
      <c r="A9" s="213"/>
      <c r="B9" s="214">
        <f ca="1">IFERROR(__xludf.DUMMYFUNCTION("""COMPUTED_VALUE"""),661749)</f>
        <v>661749</v>
      </c>
      <c r="C9" s="215" t="str">
        <f ca="1">IFERROR(__xludf.DUMMYFUNCTION("""COMPUTED_VALUE"""),"General")</f>
        <v>General</v>
      </c>
      <c r="D9" s="216" t="str">
        <f ca="1">IFERROR(__xludf.DUMMYFUNCTION("""COMPUTED_VALUE"""),"Learning Agility")</f>
        <v>Learning Agility</v>
      </c>
      <c r="E9" s="217"/>
      <c r="F9" s="213"/>
      <c r="G9" s="214">
        <f ca="1">IFERROR(__xludf.DUMMYFUNCTION("""COMPUTED_VALUE"""),694712)</f>
        <v>694712</v>
      </c>
      <c r="H9" s="215" t="str">
        <f ca="1">IFERROR(__xludf.DUMMYFUNCTION("""COMPUTED_VALUE"""),"All levels")</f>
        <v>All levels</v>
      </c>
      <c r="I9" s="217" t="str">
        <f ca="1">IFERROR(__xludf.DUMMYFUNCTION("""COMPUTED_VALUE"""),"Améliorer sa concentration")</f>
        <v>Améliorer sa concentration</v>
      </c>
      <c r="J9" s="217"/>
      <c r="K9" s="213"/>
      <c r="L9" s="215">
        <f ca="1">IFERROR(__xludf.DUMMYFUNCTION("""COMPUTED_VALUE"""),530961)</f>
        <v>530961</v>
      </c>
      <c r="M9" s="215" t="str">
        <f ca="1">IFERROR(__xludf.DUMMYFUNCTION("""COMPUTED_VALUE"""),"Beginner")</f>
        <v>Beginner</v>
      </c>
      <c r="N9" s="217" t="str">
        <f ca="1">IFERROR(__xludf.DUMMYFUNCTION("""COMPUTED_VALUE"""),"Cómo aumentar la resiliencia")</f>
        <v>Cómo aumentar la resiliencia</v>
      </c>
      <c r="O9" s="217" t="str">
        <f ca="1">IFERROR(__xludf.DUMMYFUNCTION("""COMPUTED_VALUE"""),"Fomenta la colaboración en tu equipo")</f>
        <v>Fomenta la colaboración en tu equipo</v>
      </c>
      <c r="P9" s="213"/>
      <c r="Q9" s="215">
        <f ca="1">IFERROR(__xludf.DUMMYFUNCTION("""COMPUTED_VALUE"""),5033509)</f>
        <v>5033509</v>
      </c>
      <c r="R9" s="215" t="str">
        <f ca="1">IFERROR(__xludf.DUMMYFUNCTION("""COMPUTED_VALUE"""),"All levels")</f>
        <v>All levels</v>
      </c>
      <c r="S9" s="217" t="str">
        <f ca="1">IFERROR(__xludf.DUMMYFUNCTION("""COMPUTED_VALUE"""),"Berufliche Ziele setzen und erreichen")</f>
        <v>Berufliche Ziele setzen und erreichen</v>
      </c>
      <c r="T9" s="217"/>
      <c r="U9" s="213"/>
      <c r="V9" s="215">
        <f ca="1">IFERROR(__xludf.DUMMYFUNCTION("""COMPUTED_VALUE"""),783628)</f>
        <v>783628</v>
      </c>
      <c r="W9" s="215" t="str">
        <f ca="1">IFERROR(__xludf.DUMMYFUNCTION("""COMPUTED_VALUE"""),"All levels")</f>
        <v>All levels</v>
      </c>
      <c r="X9" s="217" t="str">
        <f ca="1">IFERROR(__xludf.DUMMYFUNCTION("""COMPUTED_VALUE"""),"集中力を保つには")</f>
        <v>集中力を保つには</v>
      </c>
      <c r="Y9" s="217"/>
      <c r="Z9" s="213"/>
      <c r="AA9" s="215">
        <f ca="1">IFERROR(__xludf.DUMMYFUNCTION("""COMPUTED_VALUE"""),2908959)</f>
        <v>2908959</v>
      </c>
      <c r="AB9" s="215" t="str">
        <f ca="1">IFERROR(__xludf.DUMMYFUNCTION("""COMPUTED_VALUE"""),"Advanced")</f>
        <v>Advanced</v>
      </c>
      <c r="AC9" s="217" t="str">
        <f ca="1">IFERROR(__xludf.DUMMYFUNCTION("""COMPUTED_VALUE"""),"Como Criar uma Cultura de Alto Desempenho")</f>
        <v>Como Criar uma Cultura de Alto Desempenho</v>
      </c>
      <c r="AD9" s="217" t="str">
        <f ca="1">IFERROR(__xludf.DUMMYFUNCTION("""COMPUTED_VALUE"""),"Domine as Competências Pessoais mais requisitadas no Mercado de Trabalho")</f>
        <v>Domine as Competências Pessoais mais requisitadas no Mercado de Trabalho</v>
      </c>
      <c r="AE9" s="213"/>
      <c r="AF9" s="215">
        <f ca="1">IFERROR(__xludf.DUMMYFUNCTION("""COMPUTED_VALUE"""),802086)</f>
        <v>802086</v>
      </c>
      <c r="AG9" s="215" t="str">
        <f ca="1">IFERROR(__xludf.DUMMYFUNCTION("""COMPUTED_VALUE"""),"All levels")</f>
        <v>All levels</v>
      </c>
      <c r="AH9" s="217" t="str">
        <f ca="1">IFERROR(__xludf.DUMMYFUNCTION("""COMPUTED_VALUE"""),"培养智谋力")</f>
        <v>培养智谋力</v>
      </c>
      <c r="AI9" s="217"/>
      <c r="AJ9" s="213"/>
    </row>
    <row r="10" spans="1:36" ht="33.75" customHeight="1">
      <c r="A10" s="213"/>
      <c r="B10" s="214">
        <f ca="1">IFERROR(__xludf.DUMMYFUNCTION("""COMPUTED_VALUE"""),784282)</f>
        <v>784282</v>
      </c>
      <c r="C10" s="215" t="str">
        <f ca="1">IFERROR(__xludf.DUMMYFUNCTION("""COMPUTED_VALUE"""),"Intermediate")</f>
        <v>Intermediate</v>
      </c>
      <c r="D10" s="216" t="str">
        <f ca="1">IFERROR(__xludf.DUMMYFUNCTION("""COMPUTED_VALUE"""),"Strategic Focus for Managers")</f>
        <v>Strategic Focus for Managers</v>
      </c>
      <c r="E10" s="217"/>
      <c r="F10" s="213"/>
      <c r="G10" s="214">
        <f ca="1">IFERROR(__xludf.DUMMYFUNCTION("""COMPUTED_VALUE"""),464632)</f>
        <v>464632</v>
      </c>
      <c r="H10" s="215" t="str">
        <f ca="1">IFERROR(__xludf.DUMMYFUNCTION("""COMPUTED_VALUE"""),"All levels")</f>
        <v>All levels</v>
      </c>
      <c r="I10" s="217" t="str">
        <f ca="1">IFERROR(__xludf.DUMMYFUNCTION("""COMPUTED_VALUE"""),"Améliorer sa faculté de juger")</f>
        <v>Améliorer sa faculté de juger</v>
      </c>
      <c r="J10" s="217"/>
      <c r="K10" s="213"/>
      <c r="L10" s="215">
        <f ca="1">IFERROR(__xludf.DUMMYFUNCTION("""COMPUTED_VALUE"""),2926136)</f>
        <v>2926136</v>
      </c>
      <c r="M10" s="215" t="str">
        <f ca="1">IFERROR(__xludf.DUMMYFUNCTION("""COMPUTED_VALUE"""),"Intermediate")</f>
        <v>Intermediate</v>
      </c>
      <c r="N10" s="217" t="str">
        <f ca="1">IFERROR(__xludf.DUMMYFUNCTION("""COMPUTED_VALUE"""),"Cómo coordinar reuniones")</f>
        <v>Cómo coordinar reuniones</v>
      </c>
      <c r="O10" s="217" t="str">
        <f ca="1">IFERROR(__xludf.DUMMYFUNCTION("""COMPUTED_VALUE"""),"Mejora tu capacidad para comunicar con las personas")</f>
        <v>Mejora tu capacidad para comunicar con las personas</v>
      </c>
      <c r="P10" s="213"/>
      <c r="Q10" s="215">
        <f ca="1">IFERROR(__xludf.DUMMYFUNCTION("""COMPUTED_VALUE"""),195515)</f>
        <v>195515</v>
      </c>
      <c r="R10" s="215" t="str">
        <f ca="1">IFERROR(__xludf.DUMMYFUNCTION("""COMPUTED_VALUE"""),"All levels")</f>
        <v>All levels</v>
      </c>
      <c r="S10" s="217" t="str">
        <f ca="1">IFERROR(__xludf.DUMMYFUNCTION("""COMPUTED_VALUE"""),"Besprechungen moderieren")</f>
        <v>Besprechungen moderieren</v>
      </c>
      <c r="T10" s="217"/>
      <c r="U10" s="213"/>
      <c r="V10" s="215"/>
      <c r="W10" s="215"/>
      <c r="X10" s="217"/>
      <c r="Y10" s="217"/>
      <c r="Z10" s="213"/>
      <c r="AA10" s="215">
        <f ca="1">IFERROR(__xludf.DUMMYFUNCTION("""COMPUTED_VALUE"""),753094)</f>
        <v>753094</v>
      </c>
      <c r="AB10" s="215" t="str">
        <f ca="1">IFERROR(__xludf.DUMMYFUNCTION("""COMPUTED_VALUE"""),"Intermediate")</f>
        <v>Intermediate</v>
      </c>
      <c r="AC10" s="217" t="str">
        <f ca="1">IFERROR(__xludf.DUMMYFUNCTION("""COMPUTED_VALUE"""),"Como Criar uma Cultura de Autorresponsabilidade")</f>
        <v>Como Criar uma Cultura de Autorresponsabilidade</v>
      </c>
      <c r="AD10" s="217" t="str">
        <f ca="1">IFERROR(__xludf.DUMMYFUNCTION("""COMPUTED_VALUE"""),"Trabalho Remoto: Colaboração, Foco e Produtividade")</f>
        <v>Trabalho Remoto: Colaboração, Foco e Produtividade</v>
      </c>
      <c r="AE10" s="213"/>
      <c r="AF10" s="215">
        <f ca="1">IFERROR(__xludf.DUMMYFUNCTION("""COMPUTED_VALUE"""),2823075)</f>
        <v>2823075</v>
      </c>
      <c r="AG10" s="215" t="str">
        <f ca="1">IFERROR(__xludf.DUMMYFUNCTION("""COMPUTED_VALUE"""),"Beginner")</f>
        <v>Beginner</v>
      </c>
      <c r="AH10" s="217" t="str">
        <f ca="1">IFERROR(__xludf.DUMMYFUNCTION("""COMPUTED_VALUE"""),"培养高情商")</f>
        <v>培养高情商</v>
      </c>
      <c r="AI10" s="217"/>
      <c r="AJ10" s="213"/>
    </row>
    <row r="11" spans="1:36" ht="33.75" customHeight="1">
      <c r="A11" s="213"/>
      <c r="B11" s="214">
        <f ca="1">IFERROR(__xludf.DUMMYFUNCTION("""COMPUTED_VALUE"""),5010646)</f>
        <v>5010646</v>
      </c>
      <c r="C11" s="215" t="str">
        <f ca="1">IFERROR(__xludf.DUMMYFUNCTION("""COMPUTED_VALUE"""),"Intermediate")</f>
        <v>Intermediate</v>
      </c>
      <c r="D11" s="216" t="str">
        <f ca="1">IFERROR(__xludf.DUMMYFUNCTION("""COMPUTED_VALUE"""),"Building Resilience as a Leader")</f>
        <v>Building Resilience as a Leader</v>
      </c>
      <c r="E11" s="217"/>
      <c r="F11" s="213"/>
      <c r="G11" s="214">
        <f ca="1">IFERROR(__xludf.DUMMYFUNCTION("""COMPUTED_VALUE"""),2921702)</f>
        <v>2921702</v>
      </c>
      <c r="H11" s="215" t="str">
        <f ca="1">IFERROR(__xludf.DUMMYFUNCTION("""COMPUTED_VALUE"""),"Intermediate")</f>
        <v>Intermediate</v>
      </c>
      <c r="I11" s="217" t="str">
        <f ca="1">IFERROR(__xludf.DUMMYFUNCTION("""COMPUTED_VALUE"""),"Améliorer sa mémoire")</f>
        <v>Améliorer sa mémoire</v>
      </c>
      <c r="J11" s="217"/>
      <c r="K11" s="213"/>
      <c r="L11" s="215">
        <f ca="1">IFERROR(__xludf.DUMMYFUNCTION("""COMPUTED_VALUE"""),608982)</f>
        <v>608982</v>
      </c>
      <c r="M11" s="215" t="str">
        <f ca="1">IFERROR(__xludf.DUMMYFUNCTION("""COMPUTED_VALUE"""),"Intermediate")</f>
        <v>Intermediate</v>
      </c>
      <c r="N11" s="217" t="str">
        <f ca="1">IFERROR(__xludf.DUMMYFUNCTION("""COMPUTED_VALUE"""),"Cómo crear equipos de alto rendimiento")</f>
        <v>Cómo crear equipos de alto rendimiento</v>
      </c>
      <c r="O11" s="217" t="str">
        <f ca="1">IFERROR(__xludf.DUMMYFUNCTION("""COMPUTED_VALUE"""),"Gestiona el rendimiento")</f>
        <v>Gestiona el rendimiento</v>
      </c>
      <c r="P11" s="213"/>
      <c r="Q11" s="215">
        <f ca="1">IFERROR(__xludf.DUMMYFUNCTION("""COMPUTED_VALUE"""),514910)</f>
        <v>514910</v>
      </c>
      <c r="R11" s="215" t="str">
        <f ca="1">IFERROR(__xludf.DUMMYFUNCTION("""COMPUTED_VALUE"""),"All levels")</f>
        <v>All levels</v>
      </c>
      <c r="S11" s="217" t="str">
        <f ca="1">IFERROR(__xludf.DUMMYFUNCTION("""COMPUTED_VALUE"""),"Businessprobleme lösen")</f>
        <v>Businessprobleme lösen</v>
      </c>
      <c r="T11" s="217"/>
      <c r="U11" s="213"/>
      <c r="V11" s="215"/>
      <c r="W11" s="215"/>
      <c r="X11" s="217"/>
      <c r="Y11" s="217"/>
      <c r="Z11" s="213"/>
      <c r="AA11" s="215">
        <f ca="1">IFERROR(__xludf.DUMMYFUNCTION("""COMPUTED_VALUE"""),2911573)</f>
        <v>2911573</v>
      </c>
      <c r="AB11" s="215" t="str">
        <f ca="1">IFERROR(__xludf.DUMMYFUNCTION("""COMPUTED_VALUE"""),"All levels")</f>
        <v>All levels</v>
      </c>
      <c r="AC11" s="217" t="str">
        <f ca="1">IFERROR(__xludf.DUMMYFUNCTION("""COMPUTED_VALUE"""),"Como Cultivar uma Mentalidade de Crescimento")</f>
        <v>Como Cultivar uma Mentalidade de Crescimento</v>
      </c>
      <c r="AD11" s="217"/>
      <c r="AE11" s="213"/>
      <c r="AF11" s="215">
        <f ca="1">IFERROR(__xludf.DUMMYFUNCTION("""COMPUTED_VALUE"""),5018436)</f>
        <v>5018436</v>
      </c>
      <c r="AG11" s="215" t="str">
        <f ca="1">IFERROR(__xludf.DUMMYFUNCTION("""COMPUTED_VALUE"""),"All levels")</f>
        <v>All levels</v>
      </c>
      <c r="AH11" s="217" t="str">
        <f ca="1">IFERROR(__xludf.DUMMYFUNCTION("""COMPUTED_VALUE"""),"学习的敏锐度")</f>
        <v>学习的敏锐度</v>
      </c>
      <c r="AI11" s="217"/>
      <c r="AJ11" s="213"/>
    </row>
    <row r="12" spans="1:36" ht="33.75" customHeight="1">
      <c r="A12" s="213"/>
      <c r="B12" s="214">
        <f ca="1">IFERROR(__xludf.DUMMYFUNCTION("""COMPUTED_VALUE"""),2890004)</f>
        <v>2890004</v>
      </c>
      <c r="C12" s="215" t="str">
        <f ca="1">IFERROR(__xludf.DUMMYFUNCTION("""COMPUTED_VALUE"""),"General")</f>
        <v>General</v>
      </c>
      <c r="D12" s="216" t="str">
        <f ca="1">IFERROR(__xludf.DUMMYFUNCTION("""COMPUTED_VALUE"""),"Building a Trustworthy Reputation")</f>
        <v>Building a Trustworthy Reputation</v>
      </c>
      <c r="E12" s="217"/>
      <c r="F12" s="213"/>
      <c r="G12" s="214">
        <f ca="1">IFERROR(__xludf.DUMMYFUNCTION("""COMPUTED_VALUE"""),2823374)</f>
        <v>2823374</v>
      </c>
      <c r="H12" s="215" t="str">
        <f ca="1">IFERROR(__xludf.DUMMYFUNCTION("""COMPUTED_VALUE"""),"All levels")</f>
        <v>All levels</v>
      </c>
      <c r="I12" s="217" t="str">
        <f ca="1">IFERROR(__xludf.DUMMYFUNCTION("""COMPUTED_VALUE"""),"Apprendre à mieux se connaître")</f>
        <v>Apprendre à mieux se connaître</v>
      </c>
      <c r="J12" s="217"/>
      <c r="K12" s="213"/>
      <c r="L12" s="215">
        <f ca="1">IFERROR(__xludf.DUMMYFUNCTION("""COMPUTED_VALUE"""),5025679)</f>
        <v>5025679</v>
      </c>
      <c r="M12" s="215" t="str">
        <f ca="1">IFERROR(__xludf.DUMMYFUNCTION("""COMPUTED_VALUE"""),"Advanced")</f>
        <v>Advanced</v>
      </c>
      <c r="N12" s="217" t="str">
        <f ca="1">IFERROR(__xludf.DUMMYFUNCTION("""COMPUTED_VALUE"""),"Cómo crear una cultura de alto rendimiento")</f>
        <v>Cómo crear una cultura de alto rendimiento</v>
      </c>
      <c r="O12" s="217" t="str">
        <f ca="1">IFERROR(__xludf.DUMMYFUNCTION("""COMPUTED_VALUE"""),"Amplía tus competencias de trabajo en equipo colaborativo y digital")</f>
        <v>Amplía tus competencias de trabajo en equipo colaborativo y digital</v>
      </c>
      <c r="P12" s="213"/>
      <c r="Q12" s="215">
        <f ca="1">IFERROR(__xludf.DUMMYFUNCTION("""COMPUTED_VALUE"""),3130120)</f>
        <v>3130120</v>
      </c>
      <c r="R12" s="215" t="str">
        <f ca="1">IFERROR(__xludf.DUMMYFUNCTION("""COMPUTED_VALUE"""),"All levels")</f>
        <v>All levels</v>
      </c>
      <c r="S12" s="217" t="str">
        <f ca="1">IFERROR(__xludf.DUMMYFUNCTION("""COMPUTED_VALUE"""),"Die 7 Wege zur Effektivität (Blinkist Kernaussagen)")</f>
        <v>Die 7 Wege zur Effektivität (Blinkist Kernaussagen)</v>
      </c>
      <c r="T12" s="217"/>
      <c r="U12" s="213"/>
      <c r="V12" s="215"/>
      <c r="W12" s="215"/>
      <c r="X12" s="217"/>
      <c r="Y12" s="217"/>
      <c r="Z12" s="213"/>
      <c r="AA12" s="215">
        <f ca="1">IFERROR(__xludf.DUMMYFUNCTION("""COMPUTED_VALUE"""),801458)</f>
        <v>801458</v>
      </c>
      <c r="AB12" s="215" t="str">
        <f ca="1">IFERROR(__xludf.DUMMYFUNCTION("""COMPUTED_VALUE"""),"Beginner")</f>
        <v>Beginner</v>
      </c>
      <c r="AC12" s="217" t="str">
        <f ca="1">IFERROR(__xludf.DUMMYFUNCTION("""COMPUTED_VALUE"""),"Como Definir Metas para Equipes e Colaboradores")</f>
        <v>Como Definir Metas para Equipes e Colaboradores</v>
      </c>
      <c r="AD12" s="217"/>
      <c r="AE12" s="213"/>
      <c r="AF12" s="215">
        <f ca="1">IFERROR(__xludf.DUMMYFUNCTION("""COMPUTED_VALUE"""),2808425)</f>
        <v>2808425</v>
      </c>
      <c r="AG12" s="215" t="str">
        <f ca="1">IFERROR(__xludf.DUMMYFUNCTION("""COMPUTED_VALUE"""),"All levels")</f>
        <v>All levels</v>
      </c>
      <c r="AH12" s="217" t="str">
        <f ca="1">IFERROR(__xludf.DUMMYFUNCTION("""COMPUTED_VALUE"""),"学会自信力")</f>
        <v>学会自信力</v>
      </c>
      <c r="AI12" s="217"/>
      <c r="AJ12" s="213"/>
    </row>
    <row r="13" spans="1:36" ht="33.75" customHeight="1">
      <c r="A13" s="213"/>
      <c r="B13" s="214">
        <f ca="1">IFERROR(__xludf.DUMMYFUNCTION("""COMPUTED_VALUE"""),564551)</f>
        <v>564551</v>
      </c>
      <c r="C13" s="215" t="str">
        <f ca="1">IFERROR(__xludf.DUMMYFUNCTION("""COMPUTED_VALUE"""),"General")</f>
        <v>General</v>
      </c>
      <c r="D13" s="216" t="str">
        <f ca="1">IFERROR(__xludf.DUMMYFUNCTION("""COMPUTED_VALUE"""),"Time Management for Managers")</f>
        <v>Time Management for Managers</v>
      </c>
      <c r="E13" s="217"/>
      <c r="F13" s="213"/>
      <c r="G13" s="214">
        <f ca="1">IFERROR(__xludf.DUMMYFUNCTION("""COMPUTED_VALUE"""),2930309)</f>
        <v>2930309</v>
      </c>
      <c r="H13" s="215" t="str">
        <f ca="1">IFERROR(__xludf.DUMMYFUNCTION("""COMPUTED_VALUE"""),"Intermediate")</f>
        <v>Intermediate</v>
      </c>
      <c r="I13" s="217" t="str">
        <f ca="1">IFERROR(__xludf.DUMMYFUNCTION("""COMPUTED_VALUE"""),"Booster ses compétences par le codéveloppement")</f>
        <v>Booster ses compétences par le codéveloppement</v>
      </c>
      <c r="J13" s="217"/>
      <c r="K13" s="213"/>
      <c r="L13" s="215">
        <f ca="1">IFERROR(__xludf.DUMMYFUNCTION("""COMPUTED_VALUE"""),608977)</f>
        <v>608977</v>
      </c>
      <c r="M13" s="215" t="str">
        <f ca="1">IFERROR(__xludf.DUMMYFUNCTION("""COMPUTED_VALUE"""),"Intermediate")</f>
        <v>Intermediate</v>
      </c>
      <c r="N13" s="217" t="str">
        <f ca="1">IFERROR(__xludf.DUMMYFUNCTION("""COMPUTED_VALUE"""),"Cómo crear una cultura de la responsabilidad")</f>
        <v>Cómo crear una cultura de la responsabilidad</v>
      </c>
      <c r="O13" s="217"/>
      <c r="P13" s="213"/>
      <c r="Q13" s="215">
        <f ca="1">IFERROR(__xludf.DUMMYFUNCTION("""COMPUTED_VALUE"""),5025562)</f>
        <v>5025562</v>
      </c>
      <c r="R13" s="215" t="str">
        <f ca="1">IFERROR(__xludf.DUMMYFUNCTION("""COMPUTED_VALUE"""),"Intermediate")</f>
        <v>Intermediate</v>
      </c>
      <c r="S13" s="217" t="str">
        <f ca="1">IFERROR(__xludf.DUMMYFUNCTION("""COMPUTED_VALUE"""),"Die Leistung der Mitarbeiter:innen steigern")</f>
        <v>Die Leistung der Mitarbeiter:innen steigern</v>
      </c>
      <c r="T13" s="217"/>
      <c r="U13" s="213"/>
      <c r="V13" s="215"/>
      <c r="W13" s="215"/>
      <c r="X13" s="217"/>
      <c r="Y13" s="217"/>
      <c r="Z13" s="213"/>
      <c r="AA13" s="215">
        <f ca="1">IFERROR(__xludf.DUMMYFUNCTION("""COMPUTED_VALUE"""),2841352)</f>
        <v>2841352</v>
      </c>
      <c r="AB13" s="215" t="str">
        <f ca="1">IFERROR(__xludf.DUMMYFUNCTION("""COMPUTED_VALUE"""),"Beginner")</f>
        <v>Beginner</v>
      </c>
      <c r="AC13" s="217" t="str">
        <f ca="1">IFERROR(__xludf.DUMMYFUNCTION("""COMPUTED_VALUE"""),"Como Desenvolver a Autoconsciência")</f>
        <v>Como Desenvolver a Autoconsciência</v>
      </c>
      <c r="AD13" s="217"/>
      <c r="AE13" s="213"/>
      <c r="AF13" s="215">
        <f ca="1">IFERROR(__xludf.DUMMYFUNCTION("""COMPUTED_VALUE"""),2816015)</f>
        <v>2816015</v>
      </c>
      <c r="AG13" s="215" t="str">
        <f ca="1">IFERROR(__xludf.DUMMYFUNCTION("""COMPUTED_VALUE"""),"Beginner")</f>
        <v>Beginner</v>
      </c>
      <c r="AH13" s="217" t="str">
        <f ca="1">IFERROR(__xludf.DUMMYFUNCTION("""COMPUTED_VALUE"""),"定义并实现职业目标")</f>
        <v>定义并实现职业目标</v>
      </c>
      <c r="AI13" s="217"/>
      <c r="AJ13" s="213"/>
    </row>
    <row r="14" spans="1:36" ht="33.75" customHeight="1">
      <c r="A14" s="213"/>
      <c r="B14" s="214">
        <f ca="1">IFERROR(__xludf.DUMMYFUNCTION("""COMPUTED_VALUE"""),2888109)</f>
        <v>2888109</v>
      </c>
      <c r="C14" s="215" t="str">
        <f ca="1">IFERROR(__xludf.DUMMYFUNCTION("""COMPUTED_VALUE"""),"Intermediate")</f>
        <v>Intermediate</v>
      </c>
      <c r="D14" s="216" t="str">
        <f ca="1">IFERROR(__xludf.DUMMYFUNCTION("""COMPUTED_VALUE"""),"How to Build Virtual Accountability")</f>
        <v>How to Build Virtual Accountability</v>
      </c>
      <c r="E14" s="217"/>
      <c r="F14" s="213"/>
      <c r="G14" s="214">
        <f ca="1">IFERROR(__xludf.DUMMYFUNCTION("""COMPUTED_VALUE"""),3204151)</f>
        <v>3204151</v>
      </c>
      <c r="H14" s="215" t="str">
        <f ca="1">IFERROR(__xludf.DUMMYFUNCTION("""COMPUTED_VALUE"""),"All levels")</f>
        <v>All levels</v>
      </c>
      <c r="I14" s="217" t="str">
        <f ca="1">IFERROR(__xludf.DUMMYFUNCTION("""COMPUTED_VALUE"""),"Booster son efficacité pour atteindre ses objectifs")</f>
        <v>Booster son efficacité pour atteindre ses objectifs</v>
      </c>
      <c r="J14" s="217"/>
      <c r="K14" s="213"/>
      <c r="L14" s="215">
        <f ca="1">IFERROR(__xludf.DUMMYFUNCTION("""COMPUTED_VALUE"""),778411)</f>
        <v>778411</v>
      </c>
      <c r="M14" s="215" t="str">
        <f ca="1">IFERROR(__xludf.DUMMYFUNCTION("""COMPUTED_VALUE"""),"All levels")</f>
        <v>All levels</v>
      </c>
      <c r="N14" s="217" t="str">
        <f ca="1">IFERROR(__xludf.DUMMYFUNCTION("""COMPUTED_VALUE"""),"Cómo dar y recibir feedback o retroalimentación")</f>
        <v>Cómo dar y recibir feedback o retroalimentación</v>
      </c>
      <c r="O14" s="217"/>
      <c r="P14" s="213"/>
      <c r="Q14" s="215">
        <f ca="1">IFERROR(__xludf.DUMMYFUNCTION("""COMPUTED_VALUE"""),5020332)</f>
        <v>5020332</v>
      </c>
      <c r="R14" s="215" t="str">
        <f ca="1">IFERROR(__xludf.DUMMYFUNCTION("""COMPUTED_VALUE"""),"Intermediate")</f>
        <v>Intermediate</v>
      </c>
      <c r="S14" s="217" t="str">
        <f ca="1">IFERROR(__xludf.DUMMYFUNCTION("""COMPUTED_VALUE"""),"Eine Hochleistungskultur schaffen")</f>
        <v>Eine Hochleistungskultur schaffen</v>
      </c>
      <c r="T14" s="217"/>
      <c r="U14" s="213"/>
      <c r="V14" s="215"/>
      <c r="W14" s="215"/>
      <c r="X14" s="217"/>
      <c r="Y14" s="217"/>
      <c r="Z14" s="213"/>
      <c r="AA14" s="215">
        <f ca="1">IFERROR(__xludf.DUMMYFUNCTION("""COMPUTED_VALUE"""),753101)</f>
        <v>753101</v>
      </c>
      <c r="AB14" s="215" t="str">
        <f ca="1">IFERROR(__xludf.DUMMYFUNCTION("""COMPUTED_VALUE"""),"All levels")</f>
        <v>All levels</v>
      </c>
      <c r="AC14" s="217" t="str">
        <f ca="1">IFERROR(__xludf.DUMMYFUNCTION("""COMPUTED_VALUE"""),"Como Desenvolver a Resiliência")</f>
        <v>Como Desenvolver a Resiliência</v>
      </c>
      <c r="AD14" s="217"/>
      <c r="AE14" s="213"/>
      <c r="AF14" s="215">
        <f ca="1">IFERROR(__xludf.DUMMYFUNCTION("""COMPUTED_VALUE"""),773686)</f>
        <v>773686</v>
      </c>
      <c r="AG14" s="215" t="str">
        <f ca="1">IFERROR(__xludf.DUMMYFUNCTION("""COMPUTED_VALUE"""),"Intermediate")</f>
        <v>Intermediate</v>
      </c>
      <c r="AH14" s="217" t="str">
        <f ca="1">IFERROR(__xludf.DUMMYFUNCTION("""COMPUTED_VALUE"""),"将问责制植入到文化中")</f>
        <v>将问责制植入到文化中</v>
      </c>
      <c r="AI14" s="217"/>
      <c r="AJ14" s="213"/>
    </row>
    <row r="15" spans="1:36" ht="33.75" customHeight="1">
      <c r="A15" s="213"/>
      <c r="B15" s="214">
        <f ca="1">IFERROR(__xludf.DUMMYFUNCTION("""COMPUTED_VALUE"""),2825260)</f>
        <v>2825260</v>
      </c>
      <c r="C15" s="215" t="str">
        <f ca="1">IFERROR(__xludf.DUMMYFUNCTION("""COMPUTED_VALUE"""),"Intermediate")</f>
        <v>Intermediate</v>
      </c>
      <c r="D15" s="216" t="str">
        <f ca="1">IFERROR(__xludf.DUMMYFUNCTION("""COMPUTED_VALUE"""),"Holding Your Team Accountable")</f>
        <v>Holding Your Team Accountable</v>
      </c>
      <c r="E15" s="217"/>
      <c r="F15" s="213"/>
      <c r="G15" s="214">
        <f ca="1">IFERROR(__xludf.DUMMYFUNCTION("""COMPUTED_VALUE"""),2919355)</f>
        <v>2919355</v>
      </c>
      <c r="H15" s="215" t="str">
        <f ca="1">IFERROR(__xludf.DUMMYFUNCTION("""COMPUTED_VALUE"""),"Intermediate")</f>
        <v>Intermediate</v>
      </c>
      <c r="I15" s="217" t="str">
        <f ca="1">IFERROR(__xludf.DUMMYFUNCTION("""COMPUTED_VALUE"""),"Coacher pour générer des résultats")</f>
        <v>Coacher pour générer des résultats</v>
      </c>
      <c r="J15" s="217"/>
      <c r="K15" s="213"/>
      <c r="L15" s="215">
        <f ca="1">IFERROR(__xludf.DUMMYFUNCTION("""COMPUTED_VALUE"""),561223)</f>
        <v>561223</v>
      </c>
      <c r="M15" s="215" t="str">
        <f ca="1">IFERROR(__xludf.DUMMYFUNCTION("""COMPUTED_VALUE"""),"All levels")</f>
        <v>All levels</v>
      </c>
      <c r="N15" s="217" t="str">
        <f ca="1">IFERROR(__xludf.DUMMYFUNCTION("""COMPUTED_VALUE"""),"Cómo decir que no")</f>
        <v>Cómo decir que no</v>
      </c>
      <c r="O15" s="217"/>
      <c r="P15" s="213"/>
      <c r="Q15" s="215">
        <f ca="1">IFERROR(__xludf.DUMMYFUNCTION("""COMPUTED_VALUE"""),778406)</f>
        <v>778406</v>
      </c>
      <c r="R15" s="215" t="str">
        <f ca="1">IFERROR(__xludf.DUMMYFUNCTION("""COMPUTED_VALUE"""),"All levels")</f>
        <v>All levels</v>
      </c>
      <c r="S15" s="217" t="str">
        <f ca="1">IFERROR(__xludf.DUMMYFUNCTION("""COMPUTED_VALUE"""),"Eine nachhaltige Work-Life-Balance etablieren")</f>
        <v>Eine nachhaltige Work-Life-Balance etablieren</v>
      </c>
      <c r="T15" s="217"/>
      <c r="U15" s="213"/>
      <c r="V15" s="215"/>
      <c r="W15" s="215"/>
      <c r="X15" s="217"/>
      <c r="Y15" s="217"/>
      <c r="Z15" s="213"/>
      <c r="AA15" s="215">
        <f ca="1">IFERROR(__xludf.DUMMYFUNCTION("""COMPUTED_VALUE"""),2841355)</f>
        <v>2841355</v>
      </c>
      <c r="AB15" s="215" t="str">
        <f ca="1">IFERROR(__xludf.DUMMYFUNCTION("""COMPUTED_VALUE"""),"Beginner")</f>
        <v>Beginner</v>
      </c>
      <c r="AC15" s="217" t="str">
        <f ca="1">IFERROR(__xludf.DUMMYFUNCTION("""COMPUTED_VALUE"""),"Como Desenvolver sua Autorresponsabilidade no Trabalho")</f>
        <v>Como Desenvolver sua Autorresponsabilidade no Trabalho</v>
      </c>
      <c r="AD15" s="217"/>
      <c r="AE15" s="213"/>
      <c r="AF15" s="215">
        <f ca="1">IFERROR(__xludf.DUMMYFUNCTION("""COMPUTED_VALUE"""),5037970)</f>
        <v>5037970</v>
      </c>
      <c r="AG15" s="215" t="str">
        <f ca="1">IFERROR(__xludf.DUMMYFUNCTION("""COMPUTED_VALUE"""),"All levels")</f>
        <v>All levels</v>
      </c>
      <c r="AH15" s="217" t="str">
        <f ca="1">IFERROR(__xludf.DUMMYFUNCTION("""COMPUTED_VALUE"""),"战胜拖延症")</f>
        <v>战胜拖延症</v>
      </c>
      <c r="AI15" s="217"/>
      <c r="AJ15" s="213"/>
    </row>
    <row r="16" spans="1:36" ht="33.75" customHeight="1">
      <c r="A16" s="213"/>
      <c r="B16" s="214">
        <f ca="1">IFERROR(__xludf.DUMMYFUNCTION("""COMPUTED_VALUE"""),2804658)</f>
        <v>2804658</v>
      </c>
      <c r="C16" s="215" t="str">
        <f ca="1">IFERROR(__xludf.DUMMYFUNCTION("""COMPUTED_VALUE"""),"Beginner")</f>
        <v>Beginner</v>
      </c>
      <c r="D16" s="216" t="str">
        <f ca="1">IFERROR(__xludf.DUMMYFUNCTION("""COMPUTED_VALUE"""),"Be More Productive: Take Small Steps, Have Big Goals")</f>
        <v>Be More Productive: Take Small Steps, Have Big Goals</v>
      </c>
      <c r="E16" s="217"/>
      <c r="F16" s="213"/>
      <c r="G16" s="214">
        <f ca="1">IFERROR(__xludf.DUMMYFUNCTION("""COMPUTED_VALUE"""),622393)</f>
        <v>622393</v>
      </c>
      <c r="H16" s="215" t="str">
        <f ca="1">IFERROR(__xludf.DUMMYFUNCTION("""COMPUTED_VALUE"""),"Intermediate")</f>
        <v>Intermediate</v>
      </c>
      <c r="I16" s="217" t="str">
        <f ca="1">IFERROR(__xludf.DUMMYFUNCTION("""COMPUTED_VALUE"""),"Constituer des équipes ultraperformantes")</f>
        <v>Constituer des équipes ultraperformantes</v>
      </c>
      <c r="J16" s="217"/>
      <c r="K16" s="213"/>
      <c r="L16" s="215">
        <f ca="1">IFERROR(__xludf.DUMMYFUNCTION("""COMPUTED_VALUE"""),185303)</f>
        <v>185303</v>
      </c>
      <c r="M16" s="215" t="str">
        <f ca="1">IFERROR(__xludf.DUMMYFUNCTION("""COMPUTED_VALUE"""),"Beginner")</f>
        <v>Beginner</v>
      </c>
      <c r="N16" s="217" t="str">
        <f ca="1">IFERROR(__xludf.DUMMYFUNCTION("""COMPUTED_VALUE"""),"Cómo delegar tareas en la empresa")</f>
        <v>Cómo delegar tareas en la empresa</v>
      </c>
      <c r="O16" s="217"/>
      <c r="P16" s="213"/>
      <c r="Q16" s="215">
        <f ca="1">IFERROR(__xludf.DUMMYFUNCTION("""COMPUTED_VALUE"""),496630)</f>
        <v>496630</v>
      </c>
      <c r="R16" s="215" t="str">
        <f ca="1">IFERROR(__xludf.DUMMYFUNCTION("""COMPUTED_VALUE"""),"All levels")</f>
        <v>All levels</v>
      </c>
      <c r="S16" s="217" t="str">
        <f ca="1">IFERROR(__xludf.DUMMYFUNCTION("""COMPUTED_VALUE"""),"Entscheidungsfindung im Businessumfeld")</f>
        <v>Entscheidungsfindung im Businessumfeld</v>
      </c>
      <c r="T16" s="217"/>
      <c r="U16" s="213"/>
      <c r="V16" s="215"/>
      <c r="W16" s="215"/>
      <c r="X16" s="217"/>
      <c r="Y16" s="217"/>
      <c r="Z16" s="213"/>
      <c r="AA16" s="215">
        <f ca="1">IFERROR(__xludf.DUMMYFUNCTION("""COMPUTED_VALUE"""),2877107)</f>
        <v>2877107</v>
      </c>
      <c r="AB16" s="215" t="str">
        <f ca="1">IFERROR(__xludf.DUMMYFUNCTION("""COMPUTED_VALUE"""),"All levels")</f>
        <v>All levels</v>
      </c>
      <c r="AC16" s="217" t="str">
        <f ca="1">IFERROR(__xludf.DUMMYFUNCTION("""COMPUTED_VALUE"""),"Como Desenvolver sua Imagem Profissional")</f>
        <v>Como Desenvolver sua Imagem Profissional</v>
      </c>
      <c r="AD16" s="217"/>
      <c r="AE16" s="213"/>
      <c r="AF16" s="215">
        <f ca="1">IFERROR(__xludf.DUMMYFUNCTION("""COMPUTED_VALUE"""),5015633)</f>
        <v>5015633</v>
      </c>
      <c r="AG16" s="215" t="str">
        <f ca="1">IFERROR(__xludf.DUMMYFUNCTION("""COMPUTED_VALUE"""),"Intermediate")</f>
        <v>Intermediate</v>
      </c>
      <c r="AH16" s="217" t="str">
        <f ca="1">IFERROR(__xludf.DUMMYFUNCTION("""COMPUTED_VALUE"""),"打造高绩效团队")</f>
        <v>打造高绩效团队</v>
      </c>
      <c r="AI16" s="217"/>
      <c r="AJ16" s="213"/>
    </row>
    <row r="17" spans="1:36" ht="33.75" customHeight="1">
      <c r="A17" s="213"/>
      <c r="B17" s="214">
        <f ca="1">IFERROR(__xludf.DUMMYFUNCTION("""COMPUTED_VALUE"""),661751)</f>
        <v>661751</v>
      </c>
      <c r="C17" s="215" t="str">
        <f ca="1">IFERROR(__xludf.DUMMYFUNCTION("""COMPUTED_VALUE"""),"Beginner")</f>
        <v>Beginner</v>
      </c>
      <c r="D17" s="216" t="str">
        <f ca="1">IFERROR(__xludf.DUMMYFUNCTION("""COMPUTED_VALUE"""),"Developing a Learning Mindset")</f>
        <v>Developing a Learning Mindset</v>
      </c>
      <c r="E17" s="217"/>
      <c r="F17" s="213"/>
      <c r="G17" s="214">
        <f ca="1">IFERROR(__xludf.DUMMYFUNCTION("""COMPUTED_VALUE"""),3107658)</f>
        <v>3107658</v>
      </c>
      <c r="H17" s="215" t="str">
        <f ca="1">IFERROR(__xludf.DUMMYFUNCTION("""COMPUTED_VALUE"""),"Intermediate")</f>
        <v>Intermediate</v>
      </c>
      <c r="I17" s="217" t="str">
        <f ca="1">IFERROR(__xludf.DUMMYFUNCTION("""COMPUTED_VALUE"""),"Construire la résilience en tant que leader")</f>
        <v>Construire la résilience en tant que leader</v>
      </c>
      <c r="J17" s="217"/>
      <c r="K17" s="213"/>
      <c r="L17" s="215">
        <f ca="1">IFERROR(__xludf.DUMMYFUNCTION("""COMPUTED_VALUE"""),2219818)</f>
        <v>2219818</v>
      </c>
      <c r="M17" s="215" t="str">
        <f ca="1">IFERROR(__xludf.DUMMYFUNCTION("""COMPUTED_VALUE"""),"Beginner")</f>
        <v>Beginner</v>
      </c>
      <c r="N17" s="217" t="str">
        <f ca="1">IFERROR(__xludf.DUMMYFUNCTION("""COMPUTED_VALUE"""),"Cómo desarrollar el autoconocimiento")</f>
        <v>Cómo desarrollar el autoconocimiento</v>
      </c>
      <c r="O17" s="217"/>
      <c r="P17" s="213"/>
      <c r="Q17" s="215">
        <f ca="1">IFERROR(__xludf.DUMMYFUNCTION("""COMPUTED_VALUE"""),563968)</f>
        <v>563968</v>
      </c>
      <c r="R17" s="215" t="str">
        <f ca="1">IFERROR(__xludf.DUMMYFUNCTION("""COMPUTED_VALUE"""),"Intermediate")</f>
        <v>Intermediate</v>
      </c>
      <c r="S17" s="217" t="str">
        <f ca="1">IFERROR(__xludf.DUMMYFUNCTION("""COMPUTED_VALUE"""),"Ergebnisorientiertes Management")</f>
        <v>Ergebnisorientiertes Management</v>
      </c>
      <c r="T17" s="217"/>
      <c r="U17" s="213"/>
      <c r="V17" s="215"/>
      <c r="W17" s="215"/>
      <c r="X17" s="217"/>
      <c r="Y17" s="217"/>
      <c r="Z17" s="213"/>
      <c r="AA17" s="215">
        <f ca="1">IFERROR(__xludf.DUMMYFUNCTION("""COMPUTED_VALUE"""),2903154)</f>
        <v>2903154</v>
      </c>
      <c r="AB17" s="215" t="str">
        <f ca="1">IFERROR(__xludf.DUMMYFUNCTION("""COMPUTED_VALUE"""),"Beginner")</f>
        <v>Beginner</v>
      </c>
      <c r="AC17" s="217" t="str">
        <f ca="1">IFERROR(__xludf.DUMMYFUNCTION("""COMPUTED_VALUE"""),"Como Desenvolver sua Inteligência Emocional")</f>
        <v>Como Desenvolver sua Inteligência Emocional</v>
      </c>
      <c r="AD17" s="217"/>
      <c r="AE17" s="213"/>
      <c r="AF17" s="215">
        <f ca="1">IFERROR(__xludf.DUMMYFUNCTION("""COMPUTED_VALUE"""),5001654)</f>
        <v>5001654</v>
      </c>
      <c r="AG17" s="215" t="str">
        <f ca="1">IFERROR(__xludf.DUMMYFUNCTION("""COMPUTED_VALUE"""),"All levels")</f>
        <v>All levels</v>
      </c>
      <c r="AH17" s="217" t="str">
        <f ca="1">IFERROR(__xludf.DUMMYFUNCTION("""COMPUTED_VALUE"""),"提高专注力")</f>
        <v>提高专注力</v>
      </c>
      <c r="AI17" s="217"/>
      <c r="AJ17" s="213"/>
    </row>
    <row r="18" spans="1:36" ht="33.75" customHeight="1">
      <c r="A18" s="213"/>
      <c r="B18" s="214">
        <f ca="1">IFERROR(__xludf.DUMMYFUNCTION("""COMPUTED_VALUE"""),2810933)</f>
        <v>2810933</v>
      </c>
      <c r="C18" s="215" t="str">
        <f ca="1">IFERROR(__xludf.DUMMYFUNCTION("""COMPUTED_VALUE"""),"Beginner")</f>
        <v>Beginner</v>
      </c>
      <c r="D18" s="216" t="str">
        <f ca="1">IFERROR(__xludf.DUMMYFUNCTION("""COMPUTED_VALUE"""),"Gaining Skills with LinkedIn Learning")</f>
        <v>Gaining Skills with LinkedIn Learning</v>
      </c>
      <c r="E18" s="217"/>
      <c r="F18" s="213"/>
      <c r="G18" s="214">
        <f ca="1">IFERROR(__xludf.DUMMYFUNCTION("""COMPUTED_VALUE"""),2834036)</f>
        <v>2834036</v>
      </c>
      <c r="H18" s="215" t="str">
        <f ca="1">IFERROR(__xludf.DUMMYFUNCTION("""COMPUTED_VALUE"""),"All levels")</f>
        <v>All levels</v>
      </c>
      <c r="I18" s="217" t="str">
        <f ca="1">IFERROR(__xludf.DUMMYFUNCTION("""COMPUTED_VALUE"""),"Cultiver une perspective de développement")</f>
        <v>Cultiver une perspective de développement</v>
      </c>
      <c r="J18" s="217"/>
      <c r="K18" s="213"/>
      <c r="L18" s="215">
        <f ca="1">IFERROR(__xludf.DUMMYFUNCTION("""COMPUTED_VALUE"""),2397438)</f>
        <v>2397438</v>
      </c>
      <c r="M18" s="215" t="str">
        <f ca="1">IFERROR(__xludf.DUMMYFUNCTION("""COMPUTED_VALUE"""),"Advanced")</f>
        <v>Advanced</v>
      </c>
      <c r="N18" s="217" t="str">
        <f ca="1">IFERROR(__xludf.DUMMYFUNCTION("""COMPUTED_VALUE"""),"Cómo desarrollar tu plan de carrera profesional y aprendizaje continuo")</f>
        <v>Cómo desarrollar tu plan de carrera profesional y aprendizaje continuo</v>
      </c>
      <c r="O18" s="217"/>
      <c r="P18" s="213"/>
      <c r="Q18" s="215">
        <f ca="1">IFERROR(__xludf.DUMMYFUNCTION("""COMPUTED_VALUE"""),2386056)</f>
        <v>2386056</v>
      </c>
      <c r="R18" s="215" t="str">
        <f ca="1">IFERROR(__xludf.DUMMYFUNCTION("""COMPUTED_VALUE"""),"All levels")</f>
        <v>All levels</v>
      </c>
      <c r="S18" s="217" t="str">
        <f ca="1">IFERROR(__xludf.DUMMYFUNCTION("""COMPUTED_VALUE"""),"Fokus! (Blinkist Kernaussagen)")</f>
        <v>Fokus! (Blinkist Kernaussagen)</v>
      </c>
      <c r="T18" s="217"/>
      <c r="U18" s="213"/>
      <c r="V18" s="215"/>
      <c r="W18" s="215"/>
      <c r="X18" s="217"/>
      <c r="Y18" s="217"/>
      <c r="Z18" s="213"/>
      <c r="AA18" s="215">
        <f ca="1">IFERROR(__xludf.DUMMYFUNCTION("""COMPUTED_VALUE"""),2929566)</f>
        <v>2929566</v>
      </c>
      <c r="AB18" s="215" t="str">
        <f ca="1">IFERROR(__xludf.DUMMYFUNCTION("""COMPUTED_VALUE"""),"Beginner")</f>
        <v>Beginner</v>
      </c>
      <c r="AC18" s="217" t="str">
        <f ca="1">IFERROR(__xludf.DUMMYFUNCTION("""COMPUTED_VALUE"""),"Como Desenvolver uma Mentalidade de Aprendizagem")</f>
        <v>Como Desenvolver uma Mentalidade de Aprendizagem</v>
      </c>
      <c r="AD18" s="217"/>
      <c r="AE18" s="213"/>
      <c r="AF18" s="215">
        <f ca="1">IFERROR(__xludf.DUMMYFUNCTION("""COMPUTED_VALUE"""),779391)</f>
        <v>779391</v>
      </c>
      <c r="AG18" s="215" t="str">
        <f ca="1">IFERROR(__xludf.DUMMYFUNCTION("""COMPUTED_VALUE"""),"All levels")</f>
        <v>All levels</v>
      </c>
      <c r="AH18" s="217" t="str">
        <f ca="1">IFERROR(__xludf.DUMMYFUNCTION("""COMPUTED_VALUE"""),"提高判断力")</f>
        <v>提高判断力</v>
      </c>
      <c r="AI18" s="217"/>
      <c r="AJ18" s="213"/>
    </row>
    <row r="19" spans="1:36" ht="33.75" customHeight="1">
      <c r="A19" s="213"/>
      <c r="B19" s="214">
        <f ca="1">IFERROR(__xludf.DUMMYFUNCTION("""COMPUTED_VALUE"""),625908)</f>
        <v>625908</v>
      </c>
      <c r="C19" s="215" t="str">
        <f ca="1">IFERROR(__xludf.DUMMYFUNCTION("""COMPUTED_VALUE"""),"Beginner")</f>
        <v>Beginner</v>
      </c>
      <c r="D19" s="216" t="str">
        <f ca="1">IFERROR(__xludf.DUMMYFUNCTION("""COMPUTED_VALUE"""),"Holding Yourself Accountable")</f>
        <v>Holding Yourself Accountable</v>
      </c>
      <c r="E19" s="217"/>
      <c r="F19" s="213"/>
      <c r="G19" s="214">
        <f ca="1">IFERROR(__xludf.DUMMYFUNCTION("""COMPUTED_VALUE"""),714748)</f>
        <v>714748</v>
      </c>
      <c r="H19" s="215" t="str">
        <f ca="1">IFERROR(__xludf.DUMMYFUNCTION("""COMPUTED_VALUE"""),"All levels")</f>
        <v>All levels</v>
      </c>
      <c r="I19" s="217" t="str">
        <f ca="1">IFERROR(__xludf.DUMMYFUNCTION("""COMPUTED_VALUE"""),"De l’impuissance au pouvoir : La prise de contrôle")</f>
        <v>De l’impuissance au pouvoir : La prise de contrôle</v>
      </c>
      <c r="J19" s="217"/>
      <c r="K19" s="213"/>
      <c r="L19" s="215">
        <f ca="1">IFERROR(__xludf.DUMMYFUNCTION("""COMPUTED_VALUE"""),2382665)</f>
        <v>2382665</v>
      </c>
      <c r="M19" s="215" t="str">
        <f ca="1">IFERROR(__xludf.DUMMYFUNCTION("""COMPUTED_VALUE"""),"Beginner")</f>
        <v>Beginner</v>
      </c>
      <c r="N19" s="217" t="str">
        <f ca="1">IFERROR(__xludf.DUMMYFUNCTION("""COMPUTED_VALUE"""),"Cómo ejercer la responsabilidad")</f>
        <v>Cómo ejercer la responsabilidad</v>
      </c>
      <c r="O19" s="217"/>
      <c r="P19" s="213"/>
      <c r="Q19" s="215">
        <f ca="1">IFERROR(__xludf.DUMMYFUNCTION("""COMPUTED_VALUE"""),672276)</f>
        <v>672276</v>
      </c>
      <c r="R19" s="215" t="str">
        <f ca="1">IFERROR(__xludf.DUMMYFUNCTION("""COMPUTED_VALUE"""),"Intermediate")</f>
        <v>Intermediate</v>
      </c>
      <c r="S19" s="217" t="str">
        <f ca="1">IFERROR(__xludf.DUMMYFUNCTION("""COMPUTED_VALUE"""),"Hochleistungsteams aufbauen")</f>
        <v>Hochleistungsteams aufbauen</v>
      </c>
      <c r="T19" s="217"/>
      <c r="U19" s="213"/>
      <c r="V19" s="215"/>
      <c r="W19" s="215"/>
      <c r="X19" s="217"/>
      <c r="Y19" s="217"/>
      <c r="Z19" s="213"/>
      <c r="AA19" s="215">
        <f ca="1">IFERROR(__xludf.DUMMYFUNCTION("""COMPUTED_VALUE"""),2928582)</f>
        <v>2928582</v>
      </c>
      <c r="AB19" s="215" t="str">
        <f ca="1">IFERROR(__xludf.DUMMYFUNCTION("""COMPUTED_VALUE"""),"Beginner")</f>
        <v>Beginner</v>
      </c>
      <c r="AC19" s="217" t="str">
        <f ca="1">IFERROR(__xludf.DUMMYFUNCTION("""COMPUTED_VALUE"""),"Como Engajar os Colaboradores")</f>
        <v>Como Engajar os Colaboradores</v>
      </c>
      <c r="AD19" s="217"/>
      <c r="AE19" s="213"/>
      <c r="AF19" s="215">
        <f ca="1">IFERROR(__xludf.DUMMYFUNCTION("""COMPUTED_VALUE"""),2216884)</f>
        <v>2216884</v>
      </c>
      <c r="AG19" s="215" t="str">
        <f ca="1">IFERROR(__xludf.DUMMYFUNCTION("""COMPUTED_VALUE"""),"All levels")</f>
        <v>All levels</v>
      </c>
      <c r="AH19" s="217" t="str">
        <f ca="1">IFERROR(__xludf.DUMMYFUNCTION("""COMPUTED_VALUE"""),"时间管理基础知识")</f>
        <v>时间管理基础知识</v>
      </c>
      <c r="AI19" s="217"/>
      <c r="AJ19" s="213"/>
    </row>
    <row r="20" spans="1:36" ht="33.75" customHeight="1">
      <c r="A20" s="213"/>
      <c r="B20" s="214">
        <f ca="1">IFERROR(__xludf.DUMMYFUNCTION("""COMPUTED_VALUE"""),114903)</f>
        <v>114903</v>
      </c>
      <c r="C20" s="215" t="str">
        <f ca="1">IFERROR(__xludf.DUMMYFUNCTION("""COMPUTED_VALUE"""),"Beginner")</f>
        <v>Beginner</v>
      </c>
      <c r="D20" s="216" t="str">
        <f ca="1">IFERROR(__xludf.DUMMYFUNCTION("""COMPUTED_VALUE"""),"Monday Productivity Pointers")</f>
        <v>Monday Productivity Pointers</v>
      </c>
      <c r="E20" s="217"/>
      <c r="F20" s="213"/>
      <c r="G20" s="214">
        <f ca="1">IFERROR(__xludf.DUMMYFUNCTION("""COMPUTED_VALUE"""),2838114)</f>
        <v>2838114</v>
      </c>
      <c r="H20" s="215" t="str">
        <f ca="1">IFERROR(__xludf.DUMMYFUNCTION("""COMPUTED_VALUE"""),"All levels")</f>
        <v>All levels</v>
      </c>
      <c r="I20" s="217" t="str">
        <f ca="1">IFERROR(__xludf.DUMMYFUNCTION("""COMPUTED_VALUE"""),"Découvrir ses forces")</f>
        <v>Découvrir ses forces</v>
      </c>
      <c r="J20" s="217"/>
      <c r="K20" s="213"/>
      <c r="L20" s="215">
        <f ca="1">IFERROR(__xludf.DUMMYFUNCTION("""COMPUTED_VALUE"""),5025626)</f>
        <v>5025626</v>
      </c>
      <c r="M20" s="215" t="str">
        <f ca="1">IFERROR(__xludf.DUMMYFUNCTION("""COMPUTED_VALUE"""),"All levels")</f>
        <v>All levels</v>
      </c>
      <c r="N20" s="217" t="str">
        <f ca="1">IFERROR(__xludf.DUMMYFUNCTION("""COMPUTED_VALUE"""),"Cómo establecer y cumplir tus objetivos profesionales")</f>
        <v>Cómo establecer y cumplir tus objetivos profesionales</v>
      </c>
      <c r="O20" s="217"/>
      <c r="P20" s="213"/>
      <c r="Q20" s="215">
        <f ca="1">IFERROR(__xludf.DUMMYFUNCTION("""COMPUTED_VALUE"""),648460)</f>
        <v>648460</v>
      </c>
      <c r="R20" s="215" t="str">
        <f ca="1">IFERROR(__xludf.DUMMYFUNCTION("""COMPUTED_VALUE"""),"Intermediate")</f>
        <v>Intermediate</v>
      </c>
      <c r="S20" s="217" t="str">
        <f ca="1">IFERROR(__xludf.DUMMYFUNCTION("""COMPUTED_VALUE"""),"Ihre Führungsphilosophie entwickeln")</f>
        <v>Ihre Führungsphilosophie entwickeln</v>
      </c>
      <c r="T20" s="217"/>
      <c r="U20" s="213"/>
      <c r="V20" s="215"/>
      <c r="W20" s="215"/>
      <c r="X20" s="217"/>
      <c r="Y20" s="217"/>
      <c r="Z20" s="213"/>
      <c r="AA20" s="215">
        <f ca="1">IFERROR(__xludf.DUMMYFUNCTION("""COMPUTED_VALUE"""),2900319)</f>
        <v>2900319</v>
      </c>
      <c r="AB20" s="215" t="str">
        <f ca="1">IFERROR(__xludf.DUMMYFUNCTION("""COMPUTED_VALUE"""),"All levels")</f>
        <v>All levels</v>
      </c>
      <c r="AC20" s="217" t="str">
        <f ca="1">IFERROR(__xludf.DUMMYFUNCTION("""COMPUTED_VALUE"""),"Como Estabelecer e Atingir Metas Profissionais")</f>
        <v>Como Estabelecer e Atingir Metas Profissionais</v>
      </c>
      <c r="AD20" s="217"/>
      <c r="AE20" s="213"/>
      <c r="AF20" s="215">
        <f ca="1">IFERROR(__xludf.DUMMYFUNCTION("""COMPUTED_VALUE"""),5015334)</f>
        <v>5015334</v>
      </c>
      <c r="AG20" s="215" t="str">
        <f ca="1">IFERROR(__xludf.DUMMYFUNCTION("""COMPUTED_VALUE"""),"Intermediate")</f>
        <v>Intermediate</v>
      </c>
      <c r="AH20" s="217" t="str">
        <f ca="1">IFERROR(__xludf.DUMMYFUNCTION("""COMPUTED_VALUE"""),"有效的领导力")</f>
        <v>有效的领导力</v>
      </c>
      <c r="AI20" s="217"/>
      <c r="AJ20" s="213"/>
    </row>
    <row r="21" spans="1:36" ht="33.75" customHeight="1">
      <c r="A21" s="213"/>
      <c r="B21" s="214">
        <f ca="1">IFERROR(__xludf.DUMMYFUNCTION("""COMPUTED_VALUE"""),599597)</f>
        <v>599597</v>
      </c>
      <c r="C21" s="215" t="str">
        <f ca="1">IFERROR(__xludf.DUMMYFUNCTION("""COMPUTED_VALUE"""),"Beginner")</f>
        <v>Beginner</v>
      </c>
      <c r="D21" s="216" t="str">
        <f ca="1">IFERROR(__xludf.DUMMYFUNCTION("""COMPUTED_VALUE"""),"Performing under Pressure")</f>
        <v>Performing under Pressure</v>
      </c>
      <c r="E21" s="217"/>
      <c r="F21" s="213"/>
      <c r="G21" s="214">
        <f ca="1">IFERROR(__xludf.DUMMYFUNCTION("""COMPUTED_VALUE"""),781084)</f>
        <v>781084</v>
      </c>
      <c r="H21" s="215" t="str">
        <f ca="1">IFERROR(__xludf.DUMMYFUNCTION("""COMPUTED_VALUE"""),"Intermediate")</f>
        <v>Intermediate</v>
      </c>
      <c r="I21" s="217" t="str">
        <f ca="1">IFERROR(__xludf.DUMMYFUNCTION("""COMPUTED_VALUE"""),"Définir les objectifs d’une unité d’affaires")</f>
        <v>Définir les objectifs d’une unité d’affaires</v>
      </c>
      <c r="J21" s="217"/>
      <c r="K21" s="213"/>
      <c r="L21" s="215">
        <f ca="1">IFERROR(__xludf.DUMMYFUNCTION("""COMPUTED_VALUE"""),3109019)</f>
        <v>3109019</v>
      </c>
      <c r="M21" s="215" t="str">
        <f ca="1">IFERROR(__xludf.DUMMYFUNCTION("""COMPUTED_VALUE"""),"Beginner, Intermediate")</f>
        <v>Beginner, Intermediate</v>
      </c>
      <c r="N21" s="217" t="str">
        <f ca="1">IFERROR(__xludf.DUMMYFUNCTION("""COMPUTED_VALUE"""),"Cómo fijar los objetivos de la unidad de negocio")</f>
        <v>Cómo fijar los objetivos de la unidad de negocio</v>
      </c>
      <c r="O21" s="217"/>
      <c r="P21" s="213"/>
      <c r="Q21" s="215">
        <f ca="1">IFERROR(__xludf.DUMMYFUNCTION("""COMPUTED_VALUE"""),2928473)</f>
        <v>2928473</v>
      </c>
      <c r="R21" s="215" t="str">
        <f ca="1">IFERROR(__xludf.DUMMYFUNCTION("""COMPUTED_VALUE"""),"All levels")</f>
        <v>All levels</v>
      </c>
      <c r="S21" s="217" t="str">
        <f ca="1">IFERROR(__xludf.DUMMYFUNCTION("""COMPUTED_VALUE"""),"Künstliche Intelligenz und Menschlichkeit")</f>
        <v>Künstliche Intelligenz und Menschlichkeit</v>
      </c>
      <c r="T21" s="217"/>
      <c r="U21" s="213"/>
      <c r="V21" s="215"/>
      <c r="W21" s="215"/>
      <c r="X21" s="217"/>
      <c r="Y21" s="217"/>
      <c r="Z21" s="213"/>
      <c r="AA21" s="215">
        <f ca="1">IFERROR(__xludf.DUMMYFUNCTION("""COMPUTED_VALUE"""),2929560)</f>
        <v>2929560</v>
      </c>
      <c r="AB21" s="215" t="str">
        <f ca="1">IFERROR(__xludf.DUMMYFUNCTION("""COMPUTED_VALUE"""),"Intermediate")</f>
        <v>Intermediate</v>
      </c>
      <c r="AC21" s="217" t="str">
        <f ca="1">IFERROR(__xludf.DUMMYFUNCTION("""COMPUTED_VALUE"""),"Como Gerenciar uma Equipe Diversificada")</f>
        <v>Como Gerenciar uma Equipe Diversificada</v>
      </c>
      <c r="AD21" s="217"/>
      <c r="AE21" s="213"/>
      <c r="AF21" s="215">
        <f ca="1">IFERROR(__xludf.DUMMYFUNCTION("""COMPUTED_VALUE"""),2818167)</f>
        <v>2818167</v>
      </c>
      <c r="AG21" s="215" t="str">
        <f ca="1">IFERROR(__xludf.DUMMYFUNCTION("""COMPUTED_VALUE"""),"All levels")</f>
        <v>All levels</v>
      </c>
      <c r="AH21" s="217" t="str">
        <f ca="1">IFERROR(__xludf.DUMMYFUNCTION("""COMPUTED_VALUE"""),"经理人的时间管理")</f>
        <v>经理人的时间管理</v>
      </c>
      <c r="AI21" s="217"/>
      <c r="AJ21" s="213"/>
    </row>
    <row r="22" spans="1:36" ht="33.75" customHeight="1">
      <c r="A22" s="213"/>
      <c r="B22" s="214">
        <f ca="1">IFERROR(__xludf.DUMMYFUNCTION("""COMPUTED_VALUE"""),155342)</f>
        <v>155342</v>
      </c>
      <c r="C22" s="215" t="str">
        <f ca="1">IFERROR(__xludf.DUMMYFUNCTION("""COMPUTED_VALUE"""),"Beginner")</f>
        <v>Beginner</v>
      </c>
      <c r="D22" s="216" t="str">
        <f ca="1">IFERROR(__xludf.DUMMYFUNCTION("""COMPUTED_VALUE"""),"Solving Business Problems")</f>
        <v>Solving Business Problems</v>
      </c>
      <c r="E22" s="217"/>
      <c r="F22" s="213"/>
      <c r="G22" s="214">
        <f ca="1">IFERROR(__xludf.DUMMYFUNCTION("""COMPUTED_VALUE"""),511184)</f>
        <v>511184</v>
      </c>
      <c r="H22" s="215" t="str">
        <f ca="1">IFERROR(__xludf.DUMMYFUNCTION("""COMPUTED_VALUE"""),"All levels")</f>
        <v>All levels</v>
      </c>
      <c r="I22" s="217" t="str">
        <f ca="1">IFERROR(__xludf.DUMMYFUNCTION("""COMPUTED_VALUE"""),"Développer la résilience")</f>
        <v>Développer la résilience</v>
      </c>
      <c r="J22" s="217"/>
      <c r="K22" s="213"/>
      <c r="L22" s="215">
        <f ca="1">IFERROR(__xludf.DUMMYFUNCTION("""COMPUTED_VALUE"""),190329)</f>
        <v>190329</v>
      </c>
      <c r="M22" s="215" t="str">
        <f ca="1">IFERROR(__xludf.DUMMYFUNCTION("""COMPUTED_VALUE"""),"All levels")</f>
        <v>All levels</v>
      </c>
      <c r="N22" s="217" t="str">
        <f ca="1">IFERROR(__xludf.DUMMYFUNCTION("""COMPUTED_VALUE"""),"Cómo gestionar mejor tu tiempo")</f>
        <v>Cómo gestionar mejor tu tiempo</v>
      </c>
      <c r="O22" s="217"/>
      <c r="P22" s="213"/>
      <c r="Q22" s="215">
        <f ca="1">IFERROR(__xludf.DUMMYFUNCTION("""COMPUTED_VALUE"""),2820214)</f>
        <v>2820214</v>
      </c>
      <c r="R22" s="215" t="str">
        <f ca="1">IFERROR(__xludf.DUMMYFUNCTION("""COMPUTED_VALUE"""),"Beginner")</f>
        <v>Beginner</v>
      </c>
      <c r="S22" s="217" t="str">
        <f ca="1">IFERROR(__xludf.DUMMYFUNCTION("""COMPUTED_VALUE"""),"Meditieren lernen in praktischen Schritten")</f>
        <v>Meditieren lernen in praktischen Schritten</v>
      </c>
      <c r="T22" s="217"/>
      <c r="U22" s="213"/>
      <c r="V22" s="215"/>
      <c r="W22" s="215"/>
      <c r="X22" s="217"/>
      <c r="Y22" s="217"/>
      <c r="Z22" s="213"/>
      <c r="AA22" s="215">
        <f ca="1">IFERROR(__xludf.DUMMYFUNCTION("""COMPUTED_VALUE"""),2841353)</f>
        <v>2841353</v>
      </c>
      <c r="AB22" s="215" t="str">
        <f ca="1">IFERROR(__xludf.DUMMYFUNCTION("""COMPUTED_VALUE"""),"All levels")</f>
        <v>All levels</v>
      </c>
      <c r="AC22" s="217" t="str">
        <f ca="1">IFERROR(__xludf.DUMMYFUNCTION("""COMPUTED_VALUE"""),"Como Identificar seus Pontos Fortes")</f>
        <v>Como Identificar seus Pontos Fortes</v>
      </c>
      <c r="AD22" s="217"/>
      <c r="AE22" s="213"/>
      <c r="AF22" s="215">
        <f ca="1">IFERROR(__xludf.DUMMYFUNCTION("""COMPUTED_VALUE"""),2822363)</f>
        <v>2822363</v>
      </c>
      <c r="AG22" s="215" t="str">
        <f ca="1">IFERROR(__xludf.DUMMYFUNCTION("""COMPUTED_VALUE"""),"Intermediate")</f>
        <v>Intermediate</v>
      </c>
      <c r="AH22" s="217" t="str">
        <f ca="1">IFERROR(__xludf.DUMMYFUNCTION("""COMPUTED_VALUE"""),"结果导向式辅导")</f>
        <v>结果导向式辅导</v>
      </c>
      <c r="AI22" s="217"/>
      <c r="AJ22" s="213"/>
    </row>
    <row r="23" spans="1:36" ht="33.75" customHeight="1">
      <c r="A23" s="213"/>
      <c r="B23" s="214">
        <f ca="1">IFERROR(__xludf.DUMMYFUNCTION("""COMPUTED_VALUE"""),578055)</f>
        <v>578055</v>
      </c>
      <c r="C23" s="215" t="str">
        <f ca="1">IFERROR(__xludf.DUMMYFUNCTION("""COMPUTED_VALUE"""),"Beginner")</f>
        <v>Beginner</v>
      </c>
      <c r="D23" s="216" t="str">
        <f ca="1">IFERROR(__xludf.DUMMYFUNCTION("""COMPUTED_VALUE"""),"Tony Schwartz on Managing Your Energy for Sustainable High Performance")</f>
        <v>Tony Schwartz on Managing Your Energy for Sustainable High Performance</v>
      </c>
      <c r="E23" s="217"/>
      <c r="F23" s="213"/>
      <c r="G23" s="214">
        <f ca="1">IFERROR(__xludf.DUMMYFUNCTION("""COMPUTED_VALUE"""),3107703)</f>
        <v>3107703</v>
      </c>
      <c r="H23" s="215" t="str">
        <f ca="1">IFERROR(__xludf.DUMMYFUNCTION("""COMPUTED_VALUE"""),"Intermediate")</f>
        <v>Intermediate</v>
      </c>
      <c r="I23" s="217" t="str">
        <f ca="1">IFERROR(__xludf.DUMMYFUNCTION("""COMPUTED_VALUE"""),"Développer son ingéniosité")</f>
        <v>Développer son ingéniosité</v>
      </c>
      <c r="J23" s="217"/>
      <c r="K23" s="213"/>
      <c r="L23" s="215">
        <f ca="1">IFERROR(__xludf.DUMMYFUNCTION("""COMPUTED_VALUE"""),5025658)</f>
        <v>5025658</v>
      </c>
      <c r="M23" s="215" t="str">
        <f ca="1">IFERROR(__xludf.DUMMYFUNCTION("""COMPUTED_VALUE"""),"Intermediate")</f>
        <v>Intermediate</v>
      </c>
      <c r="N23" s="217" t="str">
        <f ca="1">IFERROR(__xludf.DUMMYFUNCTION("""COMPUTED_VALUE"""),"Cómo hacer coaching a tu personal para obtener resultados")</f>
        <v>Cómo hacer coaching a tu personal para obtener resultados</v>
      </c>
      <c r="O23" s="217"/>
      <c r="P23" s="213"/>
      <c r="Q23" s="215">
        <f ca="1">IFERROR(__xludf.DUMMYFUNCTION("""COMPUTED_VALUE"""),2877212)</f>
        <v>2877212</v>
      </c>
      <c r="R23" s="215" t="str">
        <f ca="1">IFERROR(__xludf.DUMMYFUNCTION("""COMPUTED_VALUE"""),"All levels")</f>
        <v>All levels</v>
      </c>
      <c r="S23" s="217" t="str">
        <f ca="1">IFERROR(__xludf.DUMMYFUNCTION("""COMPUTED_VALUE"""),"Mit Depressionen am Arbeitsplatz umgehen")</f>
        <v>Mit Depressionen am Arbeitsplatz umgehen</v>
      </c>
      <c r="T23" s="217"/>
      <c r="U23" s="213"/>
      <c r="V23" s="215"/>
      <c r="W23" s="215"/>
      <c r="X23" s="217"/>
      <c r="Y23" s="217"/>
      <c r="Z23" s="213"/>
      <c r="AA23" s="215">
        <f ca="1">IFERROR(__xludf.DUMMYFUNCTION("""COMPUTED_VALUE"""),2929553)</f>
        <v>2929553</v>
      </c>
      <c r="AB23" s="215" t="str">
        <f ca="1">IFERROR(__xludf.DUMMYFUNCTION("""COMPUTED_VALUE"""),"All levels")</f>
        <v>All levels</v>
      </c>
      <c r="AC23" s="217" t="str">
        <f ca="1">IFERROR(__xludf.DUMMYFUNCTION("""COMPUTED_VALUE"""),"Como Lidar com a Depressão no Trabalho")</f>
        <v>Como Lidar com a Depressão no Trabalho</v>
      </c>
      <c r="AD23" s="217"/>
      <c r="AE23" s="213"/>
      <c r="AF23" s="215">
        <f ca="1">IFERROR(__xludf.DUMMYFUNCTION("""COMPUTED_VALUE"""),2822718)</f>
        <v>2822718</v>
      </c>
      <c r="AG23" s="215" t="str">
        <f ca="1">IFERROR(__xludf.DUMMYFUNCTION("""COMPUTED_VALUE"""),"Beginner")</f>
        <v>Beginner</v>
      </c>
      <c r="AH23" s="217" t="str">
        <f ca="1">IFERROR(__xludf.DUMMYFUNCTION("""COMPUTED_VALUE"""),"自我领导")</f>
        <v>自我领导</v>
      </c>
      <c r="AI23" s="217"/>
      <c r="AJ23" s="213"/>
    </row>
    <row r="24" spans="1:36" ht="33.75" customHeight="1">
      <c r="A24" s="213"/>
      <c r="B24" s="214">
        <f ca="1">IFERROR(__xludf.DUMMYFUNCTION("""COMPUTED_VALUE"""),2813145)</f>
        <v>2813145</v>
      </c>
      <c r="C24" s="215" t="str">
        <f ca="1">IFERROR(__xludf.DUMMYFUNCTION("""COMPUTED_VALUE"""),"Beginner")</f>
        <v>Beginner</v>
      </c>
      <c r="D24" s="216" t="str">
        <f ca="1">IFERROR(__xludf.DUMMYFUNCTION("""COMPUTED_VALUE"""),"Proven Tips for Managing Your Time")</f>
        <v>Proven Tips for Managing Your Time</v>
      </c>
      <c r="E24" s="217"/>
      <c r="F24" s="213"/>
      <c r="G24" s="214">
        <f ca="1">IFERROR(__xludf.DUMMYFUNCTION("""COMPUTED_VALUE"""),778444)</f>
        <v>778444</v>
      </c>
      <c r="H24" s="215" t="str">
        <f ca="1">IFERROR(__xludf.DUMMYFUNCTION("""COMPUTED_VALUE"""),"All levels")</f>
        <v>All levels</v>
      </c>
      <c r="I24" s="217" t="str">
        <f ca="1">IFERROR(__xludf.DUMMYFUNCTION("""COMPUTED_VALUE"""),"Développer un état d'esprit d'apprenant")</f>
        <v>Développer un état d'esprit d'apprenant</v>
      </c>
      <c r="J24" s="217"/>
      <c r="K24" s="213"/>
      <c r="L24" s="215">
        <f ca="1">IFERROR(__xludf.DUMMYFUNCTION("""COMPUTED_VALUE"""),3156265)</f>
        <v>3156265</v>
      </c>
      <c r="M24" s="215" t="str">
        <f ca="1">IFERROR(__xludf.DUMMYFUNCTION("""COMPUTED_VALUE"""),"Intermediate")</f>
        <v>Intermediate</v>
      </c>
      <c r="N24" s="217" t="str">
        <f ca="1">IFERROR(__xludf.DUMMYFUNCTION("""COMPUTED_VALUE"""),"Cómo identificar tu propósito")</f>
        <v>Cómo identificar tu propósito</v>
      </c>
      <c r="O24" s="217"/>
      <c r="P24" s="213"/>
      <c r="Q24" s="215">
        <f ca="1">IFERROR(__xludf.DUMMYFUNCTION("""COMPUTED_VALUE"""),5033508)</f>
        <v>5033508</v>
      </c>
      <c r="R24" s="215" t="str">
        <f ca="1">IFERROR(__xludf.DUMMYFUNCTION("""COMPUTED_VALUE"""),"All levels")</f>
        <v>All levels</v>
      </c>
      <c r="S24" s="217" t="str">
        <f ca="1">IFERROR(__xludf.DUMMYFUNCTION("""COMPUTED_VALUE"""),"Modernes Leistungsmanagement")</f>
        <v>Modernes Leistungsmanagement</v>
      </c>
      <c r="T24" s="217"/>
      <c r="U24" s="213"/>
      <c r="V24" s="215"/>
      <c r="W24" s="215"/>
      <c r="X24" s="217"/>
      <c r="Y24" s="217"/>
      <c r="Z24" s="213"/>
      <c r="AA24" s="215">
        <f ca="1">IFERROR(__xludf.DUMMYFUNCTION("""COMPUTED_VALUE"""),5014845)</f>
        <v>5014845</v>
      </c>
      <c r="AB24" s="215" t="str">
        <f ca="1">IFERROR(__xludf.DUMMYFUNCTION("""COMPUTED_VALUE"""),"All levels")</f>
        <v>All levels</v>
      </c>
      <c r="AC24" s="217" t="str">
        <f ca="1">IFERROR(__xludf.DUMMYFUNCTION("""COMPUTED_VALUE"""),"Como Lidar com o Estresse no Trabalho")</f>
        <v>Como Lidar com o Estresse no Trabalho</v>
      </c>
      <c r="AD24" s="217"/>
      <c r="AE24" s="213"/>
      <c r="AF24" s="215">
        <f ca="1">IFERROR(__xludf.DUMMYFUNCTION("""COMPUTED_VALUE"""),2824437)</f>
        <v>2824437</v>
      </c>
      <c r="AG24" s="215" t="str">
        <f ca="1">IFERROR(__xludf.DUMMYFUNCTION("""COMPUTED_VALUE"""),"All levels")</f>
        <v>All levels</v>
      </c>
      <c r="AH24" s="217" t="str">
        <f ca="1">IFERROR(__xludf.DUMMYFUNCTION("""COMPUTED_VALUE"""),"让无力者有力：谈控制力")</f>
        <v>让无力者有力：谈控制力</v>
      </c>
      <c r="AI24" s="217"/>
      <c r="AJ24" s="213"/>
    </row>
    <row r="25" spans="1:36" ht="33.75" customHeight="1">
      <c r="A25" s="213"/>
      <c r="B25" s="214">
        <f ca="1">IFERROR(__xludf.DUMMYFUNCTION("""COMPUTED_VALUE"""),2813184)</f>
        <v>2813184</v>
      </c>
      <c r="C25" s="215" t="str">
        <f ca="1">IFERROR(__xludf.DUMMYFUNCTION("""COMPUTED_VALUE"""),"Beginner")</f>
        <v>Beginner</v>
      </c>
      <c r="D25" s="216" t="str">
        <f ca="1">IFERROR(__xludf.DUMMYFUNCTION("""COMPUTED_VALUE"""),"Time Management Tips: Scheduling")</f>
        <v>Time Management Tips: Scheduling</v>
      </c>
      <c r="E25" s="217"/>
      <c r="F25" s="213"/>
      <c r="G25" s="214">
        <f ca="1">IFERROR(__xludf.DUMMYFUNCTION("""COMPUTED_VALUE"""),602729)</f>
        <v>602729</v>
      </c>
      <c r="H25" s="215" t="str">
        <f ca="1">IFERROR(__xludf.DUMMYFUNCTION("""COMPUTED_VALUE"""),"Intermediate")</f>
        <v>Intermediate</v>
      </c>
      <c r="I25" s="217" t="str">
        <f ca="1">IFERROR(__xludf.DUMMYFUNCTION("""COMPUTED_VALUE"""),"Diriger pour obtenir des résultats")</f>
        <v>Diriger pour obtenir des résultats</v>
      </c>
      <c r="J25" s="217"/>
      <c r="K25" s="213"/>
      <c r="L25" s="215">
        <f ca="1">IFERROR(__xludf.DUMMYFUNCTION("""COMPUTED_VALUE"""),3153256)</f>
        <v>3153256</v>
      </c>
      <c r="M25" s="215" t="str">
        <f ca="1">IFERROR(__xludf.DUMMYFUNCTION("""COMPUTED_VALUE"""),"Intermediate")</f>
        <v>Intermediate</v>
      </c>
      <c r="N25" s="217" t="str">
        <f ca="1">IFERROR(__xludf.DUMMYFUNCTION("""COMPUTED_VALUE"""),"Cómo liberar tu potencial")</f>
        <v>Cómo liberar tu potencial</v>
      </c>
      <c r="O25" s="217"/>
      <c r="P25" s="213"/>
      <c r="Q25" s="215">
        <f ca="1">IFERROR(__xludf.DUMMYFUNCTION("""COMPUTED_VALUE"""),2996363)</f>
        <v>2996363</v>
      </c>
      <c r="R25" s="215" t="str">
        <f ca="1">IFERROR(__xludf.DUMMYFUNCTION("""COMPUTED_VALUE"""),"All levels")</f>
        <v>All levels</v>
      </c>
      <c r="S25" s="217" t="str">
        <f ca="1">IFERROR(__xludf.DUMMYFUNCTION("""COMPUTED_VALUE"""),"Nachhaltigkeit im Unternehmen: Grundlagen des nachhaltigen Wirtschaftens")</f>
        <v>Nachhaltigkeit im Unternehmen: Grundlagen des nachhaltigen Wirtschaftens</v>
      </c>
      <c r="T25" s="217"/>
      <c r="U25" s="213"/>
      <c r="V25" s="215"/>
      <c r="W25" s="215"/>
      <c r="X25" s="217"/>
      <c r="Y25" s="217"/>
      <c r="Z25" s="213"/>
      <c r="AA25" s="215">
        <f ca="1">IFERROR(__xludf.DUMMYFUNCTION("""COMPUTED_VALUE"""),801457)</f>
        <v>801457</v>
      </c>
      <c r="AB25" s="215" t="str">
        <f ca="1">IFERROR(__xludf.DUMMYFUNCTION("""COMPUTED_VALUE"""),"Intermediate")</f>
        <v>Intermediate</v>
      </c>
      <c r="AC25" s="217" t="str">
        <f ca="1">IFERROR(__xludf.DUMMYFUNCTION("""COMPUTED_VALUE"""),"Como Liderar de Forma Eficaz")</f>
        <v>Como Liderar de Forma Eficaz</v>
      </c>
      <c r="AD25" s="217"/>
      <c r="AE25" s="213"/>
      <c r="AF25" s="215">
        <f ca="1">IFERROR(__xludf.DUMMYFUNCTION("""COMPUTED_VALUE"""),5020684)</f>
        <v>5020684</v>
      </c>
      <c r="AG25" s="215" t="str">
        <f ca="1">IFERROR(__xludf.DUMMYFUNCTION("""COMPUTED_VALUE"""),"Beginner")</f>
        <v>Beginner</v>
      </c>
      <c r="AH25" s="217" t="str">
        <f ca="1">IFERROR(__xludf.DUMMYFUNCTION("""COMPUTED_VALUE"""),"设定团队与员工目标")</f>
        <v>设定团队与员工目标</v>
      </c>
      <c r="AI25" s="217"/>
      <c r="AJ25" s="213"/>
    </row>
    <row r="26" spans="1:36" ht="33.75" customHeight="1">
      <c r="A26" s="213"/>
      <c r="B26" s="214">
        <f ca="1">IFERROR(__xludf.DUMMYFUNCTION("""COMPUTED_VALUE"""),2813277)</f>
        <v>2813277</v>
      </c>
      <c r="C26" s="215" t="str">
        <f ca="1">IFERROR(__xludf.DUMMYFUNCTION("""COMPUTED_VALUE"""),"Beginner")</f>
        <v>Beginner</v>
      </c>
      <c r="D26" s="216" t="str">
        <f ca="1">IFERROR(__xludf.DUMMYFUNCTION("""COMPUTED_VALUE"""),"Time Management Tips: Teamwork")</f>
        <v>Time Management Tips: Teamwork</v>
      </c>
      <c r="E26" s="217"/>
      <c r="F26" s="213"/>
      <c r="G26" s="214">
        <f ca="1">IFERROR(__xludf.DUMMYFUNCTION("""COMPUTED_VALUE"""),738774)</f>
        <v>738774</v>
      </c>
      <c r="H26" s="215" t="str">
        <f ca="1">IFERROR(__xludf.DUMMYFUNCTION("""COMPUTED_VALUE"""),"Intermediate")</f>
        <v>Intermediate</v>
      </c>
      <c r="I26" s="217" t="str">
        <f ca="1">IFERROR(__xludf.DUMMYFUNCTION("""COMPUTED_VALUE"""),"Établir des objectifs pour son équipe et ses employés / employées")</f>
        <v>Établir des objectifs pour son équipe et ses employés / employées</v>
      </c>
      <c r="J26" s="217"/>
      <c r="K26" s="213"/>
      <c r="L26" s="215">
        <f ca="1">IFERROR(__xludf.DUMMYFUNCTION("""COMPUTED_VALUE"""),2926133)</f>
        <v>2926133</v>
      </c>
      <c r="M26" s="215" t="str">
        <f ca="1">IFERROR(__xludf.DUMMYFUNCTION("""COMPUTED_VALUE"""),"All levels")</f>
        <v>All levels</v>
      </c>
      <c r="N26" s="217" t="str">
        <f ca="1">IFERROR(__xludf.DUMMYFUNCTION("""COMPUTED_VALUE"""),"Cómo liderar reuniones individuales productivas")</f>
        <v>Cómo liderar reuniones individuales productivas</v>
      </c>
      <c r="O26" s="217"/>
      <c r="P26" s="213"/>
      <c r="Q26" s="215">
        <f ca="1">IFERROR(__xludf.DUMMYFUNCTION("""COMPUTED_VALUE"""),5025607)</f>
        <v>5025607</v>
      </c>
      <c r="R26" s="215" t="str">
        <f ca="1">IFERROR(__xludf.DUMMYFUNCTION("""COMPUTED_VALUE"""),"All levels")</f>
        <v>All levels</v>
      </c>
      <c r="S26" s="217" t="str">
        <f ca="1">IFERROR(__xludf.DUMMYFUNCTION("""COMPUTED_VALUE"""),"Ortsunabhängig arbeiten")</f>
        <v>Ortsunabhängig arbeiten</v>
      </c>
      <c r="T26" s="217"/>
      <c r="U26" s="213"/>
      <c r="V26" s="215"/>
      <c r="W26" s="215"/>
      <c r="X26" s="217"/>
      <c r="Y26" s="217"/>
      <c r="Z26" s="213"/>
      <c r="AA26" s="215">
        <f ca="1">IFERROR(__xludf.DUMMYFUNCTION("""COMPUTED_VALUE"""),2876117)</f>
        <v>2876117</v>
      </c>
      <c r="AB26" s="215" t="str">
        <f ca="1">IFERROR(__xludf.DUMMYFUNCTION("""COMPUTED_VALUE"""),"Beginner")</f>
        <v>Beginner</v>
      </c>
      <c r="AC26" s="217" t="str">
        <f ca="1">IFERROR(__xludf.DUMMYFUNCTION("""COMPUTED_VALUE"""),"Como Manter uma Atitude Positiva no Trabalho")</f>
        <v>Como Manter uma Atitude Positiva no Trabalho</v>
      </c>
      <c r="AD26" s="217"/>
      <c r="AE26" s="213"/>
      <c r="AF26" s="215">
        <f ca="1">IFERROR(__xludf.DUMMYFUNCTION("""COMPUTED_VALUE"""),2700211)</f>
        <v>2700211</v>
      </c>
      <c r="AG26" s="215" t="str">
        <f ca="1">IFERROR(__xludf.DUMMYFUNCTION("""COMPUTED_VALUE"""),"Advanced")</f>
        <v>Advanced</v>
      </c>
      <c r="AH26" s="217" t="str">
        <f ca="1">IFERROR(__xludf.DUMMYFUNCTION("""COMPUTED_VALUE"""),"设计成长策略")</f>
        <v>设计成长策略</v>
      </c>
      <c r="AI26" s="217"/>
      <c r="AJ26" s="213"/>
    </row>
    <row r="27" spans="1:36" ht="33.75" customHeight="1">
      <c r="A27" s="213"/>
      <c r="B27" s="214">
        <f ca="1">IFERROR(__xludf.DUMMYFUNCTION("""COMPUTED_VALUE"""),2813278)</f>
        <v>2813278</v>
      </c>
      <c r="C27" s="215" t="str">
        <f ca="1">IFERROR(__xludf.DUMMYFUNCTION("""COMPUTED_VALUE"""),"Beginner")</f>
        <v>Beginner</v>
      </c>
      <c r="D27" s="216" t="str">
        <f ca="1">IFERROR(__xludf.DUMMYFUNCTION("""COMPUTED_VALUE"""),"Time Management Tips: Following Through")</f>
        <v>Time Management Tips: Following Through</v>
      </c>
      <c r="E27" s="217"/>
      <c r="F27" s="213"/>
      <c r="G27" s="214">
        <f ca="1">IFERROR(__xludf.DUMMYFUNCTION("""COMPUTED_VALUE"""),778463)</f>
        <v>778463</v>
      </c>
      <c r="H27" s="215" t="str">
        <f ca="1">IFERROR(__xludf.DUMMYFUNCTION("""COMPUTED_VALUE"""),"Intermediate")</f>
        <v>Intermediate</v>
      </c>
      <c r="I27" s="217" t="str">
        <f ca="1">IFERROR(__xludf.DUMMYFUNCTION("""COMPUTED_VALUE"""),"Être un leader efficace")</f>
        <v>Être un leader efficace</v>
      </c>
      <c r="J27" s="217"/>
      <c r="K27" s="213"/>
      <c r="L27" s="215">
        <f ca="1">IFERROR(__xludf.DUMMYFUNCTION("""COMPUTED_VALUE"""),2926134)</f>
        <v>2926134</v>
      </c>
      <c r="M27" s="215" t="str">
        <f ca="1">IFERROR(__xludf.DUMMYFUNCTION("""COMPUTED_VALUE"""),"Beginner, Intermediate")</f>
        <v>Beginner, Intermediate</v>
      </c>
      <c r="N27" s="217" t="str">
        <f ca="1">IFERROR(__xludf.DUMMYFUNCTION("""COMPUTED_VALUE"""),"Cómo liderar reuniones productivas")</f>
        <v>Cómo liderar reuniones productivas</v>
      </c>
      <c r="O27" s="217"/>
      <c r="P27" s="213"/>
      <c r="Q27" s="215">
        <f ca="1">IFERROR(__xludf.DUMMYFUNCTION("""COMPUTED_VALUE"""),414777)</f>
        <v>414777</v>
      </c>
      <c r="R27" s="215" t="str">
        <f ca="1">IFERROR(__xludf.DUMMYFUNCTION("""COMPUTED_VALUE"""),"Intermediate")</f>
        <v>Intermediate</v>
      </c>
      <c r="S27" s="217" t="str">
        <f ca="1">IFERROR(__xludf.DUMMYFUNCTION("""COMPUTED_VALUE"""),"Produktiv mit iPhone und iPad")</f>
        <v>Produktiv mit iPhone und iPad</v>
      </c>
      <c r="T27" s="217"/>
      <c r="U27" s="213"/>
      <c r="V27" s="215"/>
      <c r="W27" s="215"/>
      <c r="X27" s="217"/>
      <c r="Y27" s="217"/>
      <c r="Z27" s="213"/>
      <c r="AA27" s="215">
        <f ca="1">IFERROR(__xludf.DUMMYFUNCTION("""COMPUTED_VALUE"""),753221)</f>
        <v>753221</v>
      </c>
      <c r="AB27" s="215" t="str">
        <f ca="1">IFERROR(__xludf.DUMMYFUNCTION("""COMPUTED_VALUE"""),"All levels")</f>
        <v>All levels</v>
      </c>
      <c r="AC27" s="217" t="str">
        <f ca="1">IFERROR(__xludf.DUMMYFUNCTION("""COMPUTED_VALUE"""),"Como Melhorar o Foco")</f>
        <v>Como Melhorar o Foco</v>
      </c>
      <c r="AD27" s="217"/>
      <c r="AE27" s="213"/>
      <c r="AF27" s="215">
        <f ca="1">IFERROR(__xludf.DUMMYFUNCTION("""COMPUTED_VALUE"""),2822717)</f>
        <v>2822717</v>
      </c>
      <c r="AG27" s="215" t="str">
        <f ca="1">IFERROR(__xludf.DUMMYFUNCTION("""COMPUTED_VALUE"""),"All levels")</f>
        <v>All levels</v>
      </c>
      <c r="AH27" s="217" t="str">
        <f ca="1">IFERROR(__xludf.DUMMYFUNCTION("""COMPUTED_VALUE"""),"通往成功的习惯")</f>
        <v>通往成功的习惯</v>
      </c>
      <c r="AI27" s="217"/>
      <c r="AJ27" s="213"/>
    </row>
    <row r="28" spans="1:36" ht="33.75" customHeight="1">
      <c r="A28" s="213"/>
      <c r="B28" s="214">
        <f ca="1">IFERROR(__xludf.DUMMYFUNCTION("""COMPUTED_VALUE"""),2813279)</f>
        <v>2813279</v>
      </c>
      <c r="C28" s="215" t="str">
        <f ca="1">IFERROR(__xludf.DUMMYFUNCTION("""COMPUTED_VALUE"""),"Beginner")</f>
        <v>Beginner</v>
      </c>
      <c r="D28" s="216" t="str">
        <f ca="1">IFERROR(__xludf.DUMMYFUNCTION("""COMPUTED_VALUE"""),"Productivity Tips: Finding Your Rhythm")</f>
        <v>Productivity Tips: Finding Your Rhythm</v>
      </c>
      <c r="E28" s="217"/>
      <c r="F28" s="213"/>
      <c r="G28" s="214">
        <f ca="1">IFERROR(__xludf.DUMMYFUNCTION("""COMPUTED_VALUE"""),792279)</f>
        <v>792279</v>
      </c>
      <c r="H28" s="215" t="str">
        <f ca="1">IFERROR(__xludf.DUMMYFUNCTION("""COMPUTED_VALUE"""),"All levels")</f>
        <v>All levels</v>
      </c>
      <c r="I28" s="217" t="str">
        <f ca="1">IFERROR(__xludf.DUMMYFUNCTION("""COMPUTED_VALUE"""),"Fred Kofman – La responsabilisation")</f>
        <v>Fred Kofman – La responsabilisation</v>
      </c>
      <c r="J28" s="217"/>
      <c r="K28" s="213"/>
      <c r="L28" s="215">
        <f ca="1">IFERROR(__xludf.DUMMYFUNCTION("""COMPUTED_VALUE"""),5025680)</f>
        <v>5025680</v>
      </c>
      <c r="M28" s="215" t="str">
        <f ca="1">IFERROR(__xludf.DUMMYFUNCTION("""COMPUTED_VALUE"""),"Intermediate")</f>
        <v>Intermediate</v>
      </c>
      <c r="N28" s="217" t="str">
        <f ca="1">IFERROR(__xludf.DUMMYFUNCTION("""COMPUTED_VALUE"""),"Cómo medir el rendimiento de tu equipo")</f>
        <v>Cómo medir el rendimiento de tu equipo</v>
      </c>
      <c r="O28" s="217"/>
      <c r="P28" s="213"/>
      <c r="Q28" s="215">
        <f ca="1">IFERROR(__xludf.DUMMYFUNCTION("""COMPUTED_VALUE"""),195495)</f>
        <v>195495</v>
      </c>
      <c r="R28" s="215" t="str">
        <f ca="1">IFERROR(__xludf.DUMMYFUNCTION("""COMPUTED_VALUE"""),"Intermediate")</f>
        <v>Intermediate</v>
      </c>
      <c r="S28" s="217" t="str">
        <f ca="1">IFERROR(__xludf.DUMMYFUNCTION("""COMPUTED_VALUE"""),"Produktivitäts-Tipps: Mehr Effizienz im Büro")</f>
        <v>Produktivitäts-Tipps: Mehr Effizienz im Büro</v>
      </c>
      <c r="T28" s="217"/>
      <c r="U28" s="213"/>
      <c r="V28" s="215"/>
      <c r="W28" s="215"/>
      <c r="X28" s="217"/>
      <c r="Y28" s="217"/>
      <c r="Z28" s="213"/>
      <c r="AA28" s="215">
        <f ca="1">IFERROR(__xludf.DUMMYFUNCTION("""COMPUTED_VALUE"""),753200)</f>
        <v>753200</v>
      </c>
      <c r="AB28" s="215" t="str">
        <f ca="1">IFERROR(__xludf.DUMMYFUNCTION("""COMPUTED_VALUE"""),"All levels")</f>
        <v>All levels</v>
      </c>
      <c r="AC28" s="217" t="str">
        <f ca="1">IFERROR(__xludf.DUMMYFUNCTION("""COMPUTED_VALUE"""),"Como Melhorar seu Discernimento")</f>
        <v>Como Melhorar seu Discernimento</v>
      </c>
      <c r="AD28" s="217"/>
      <c r="AE28" s="213"/>
      <c r="AF28" s="215">
        <f ca="1">IFERROR(__xludf.DUMMYFUNCTION("""COMPUTED_VALUE"""),2810411)</f>
        <v>2810411</v>
      </c>
      <c r="AG28" s="215" t="str">
        <f ca="1">IFERROR(__xludf.DUMMYFUNCTION("""COMPUTED_VALUE"""),"Beginner, Intermediate")</f>
        <v>Beginner, Intermediate</v>
      </c>
      <c r="AH28" s="217" t="str">
        <f ca="1">IFERROR(__xludf.DUMMYFUNCTION("""COMPUTED_VALUE"""),"项目管理：解决常见项目问题")</f>
        <v>项目管理：解决常见项目问题</v>
      </c>
      <c r="AI28" s="217"/>
      <c r="AJ28" s="213"/>
    </row>
    <row r="29" spans="1:36" ht="33.75" customHeight="1">
      <c r="A29" s="213"/>
      <c r="B29" s="214">
        <f ca="1">IFERROR(__xludf.DUMMYFUNCTION("""COMPUTED_VALUE"""),2814141)</f>
        <v>2814141</v>
      </c>
      <c r="C29" s="215" t="str">
        <f ca="1">IFERROR(__xludf.DUMMYFUNCTION("""COMPUTED_VALUE"""),"Beginner")</f>
        <v>Beginner</v>
      </c>
      <c r="D29" s="216" t="str">
        <f ca="1">IFERROR(__xludf.DUMMYFUNCTION("""COMPUTED_VALUE"""),"Productivity Tips: Using Technology")</f>
        <v>Productivity Tips: Using Technology</v>
      </c>
      <c r="E29" s="217"/>
      <c r="F29" s="213"/>
      <c r="G29" s="214">
        <f ca="1">IFERROR(__xludf.DUMMYFUNCTION("""COMPUTED_VALUE"""),796909)</f>
        <v>796909</v>
      </c>
      <c r="H29" s="215" t="str">
        <f ca="1">IFERROR(__xludf.DUMMYFUNCTION("""COMPUTED_VALUE"""),"Advanced")</f>
        <v>Advanced</v>
      </c>
      <c r="I29" s="217" t="str">
        <f ca="1">IFERROR(__xludf.DUMMYFUNCTION("""COMPUTED_VALUE"""),"Instaurer une culture de la performance")</f>
        <v>Instaurer une culture de la performance</v>
      </c>
      <c r="J29" s="217"/>
      <c r="K29" s="213"/>
      <c r="L29" s="215">
        <f ca="1">IFERROR(__xludf.DUMMYFUNCTION("""COMPUTED_VALUE"""),608984)</f>
        <v>608984</v>
      </c>
      <c r="M29" s="215" t="str">
        <f ca="1">IFERROR(__xludf.DUMMYFUNCTION("""COMPUTED_VALUE"""),"Intermediate")</f>
        <v>Intermediate</v>
      </c>
      <c r="N29" s="217" t="str">
        <f ca="1">IFERROR(__xludf.DUMMYFUNCTION("""COMPUTED_VALUE"""),"Cómo medir el rendimiento en la empresa")</f>
        <v>Cómo medir el rendimiento en la empresa</v>
      </c>
      <c r="O29" s="217"/>
      <c r="P29" s="213"/>
      <c r="Q29" s="215">
        <f ca="1">IFERROR(__xludf.DUMMYFUNCTION("""COMPUTED_VALUE"""),428606)</f>
        <v>428606</v>
      </c>
      <c r="R29" s="215" t="str">
        <f ca="1">IFERROR(__xludf.DUMMYFUNCTION("""COMPUTED_VALUE"""),"All levels")</f>
        <v>All levels</v>
      </c>
      <c r="S29" s="217" t="str">
        <f ca="1">IFERROR(__xludf.DUMMYFUNCTION("""COMPUTED_VALUE"""),"Resilienz entwickeln")</f>
        <v>Resilienz entwickeln</v>
      </c>
      <c r="T29" s="217"/>
      <c r="U29" s="213"/>
      <c r="V29" s="215"/>
      <c r="W29" s="215"/>
      <c r="X29" s="217"/>
      <c r="Y29" s="217"/>
      <c r="Z29" s="213"/>
      <c r="AA29" s="215">
        <f ca="1">IFERROR(__xludf.DUMMYFUNCTION("""COMPUTED_VALUE"""),5011686)</f>
        <v>5011686</v>
      </c>
      <c r="AB29" s="215" t="str">
        <f ca="1">IFERROR(__xludf.DUMMYFUNCTION("""COMPUTED_VALUE"""),"All levels")</f>
        <v>All levels</v>
      </c>
      <c r="AC29" s="217" t="str">
        <f ca="1">IFERROR(__xludf.DUMMYFUNCTION("""COMPUTED_VALUE"""),"Como Ser uma Pessoa Assertiva")</f>
        <v>Como Ser uma Pessoa Assertiva</v>
      </c>
      <c r="AD29" s="217"/>
      <c r="AE29" s="213"/>
      <c r="AF29" s="215"/>
      <c r="AG29" s="215"/>
      <c r="AH29" s="217"/>
      <c r="AI29" s="217"/>
      <c r="AJ29" s="213"/>
    </row>
    <row r="30" spans="1:36" ht="33.75" customHeight="1">
      <c r="A30" s="213"/>
      <c r="B30" s="214">
        <f ca="1">IFERROR(__xludf.DUMMYFUNCTION("""COMPUTED_VALUE"""),2814142)</f>
        <v>2814142</v>
      </c>
      <c r="C30" s="215" t="str">
        <f ca="1">IFERROR(__xludf.DUMMYFUNCTION("""COMPUTED_VALUE"""),"Beginner")</f>
        <v>Beginner</v>
      </c>
      <c r="D30" s="216" t="str">
        <f ca="1">IFERROR(__xludf.DUMMYFUNCTION("""COMPUTED_VALUE"""),"Productivity Tips: Finding Your Productive Mindset")</f>
        <v>Productivity Tips: Finding Your Productive Mindset</v>
      </c>
      <c r="E30" s="217"/>
      <c r="F30" s="213"/>
      <c r="G30" s="214">
        <f ca="1">IFERROR(__xludf.DUMMYFUNCTION("""COMPUTED_VALUE"""),796908)</f>
        <v>796908</v>
      </c>
      <c r="H30" s="215" t="str">
        <f ca="1">IFERROR(__xludf.DUMMYFUNCTION("""COMPUTED_VALUE"""),"All levels")</f>
        <v>All levels</v>
      </c>
      <c r="I30" s="217" t="str">
        <f ca="1">IFERROR(__xludf.DUMMYFUNCTION("""COMPUTED_VALUE"""),"La gestion du temps pour les managers")</f>
        <v>La gestion du temps pour les managers</v>
      </c>
      <c r="J30" s="217"/>
      <c r="K30" s="213"/>
      <c r="L30" s="215">
        <f ca="1">IFERROR(__xludf.DUMMYFUNCTION("""COMPUTED_VALUE"""),2383339)</f>
        <v>2383339</v>
      </c>
      <c r="M30" s="215" t="str">
        <f ca="1">IFERROR(__xludf.DUMMYFUNCTION("""COMPUTED_VALUE"""),"All levels")</f>
        <v>All levels</v>
      </c>
      <c r="N30" s="217" t="str">
        <f ca="1">IFERROR(__xludf.DUMMYFUNCTION("""COMPUTED_VALUE"""),"Cómo reinventarse y capacitarse en tiempos de crisis")</f>
        <v>Cómo reinventarse y capacitarse en tiempos de crisis</v>
      </c>
      <c r="O30" s="217"/>
      <c r="P30" s="213"/>
      <c r="Q30" s="215">
        <f ca="1">IFERROR(__xludf.DUMMYFUNCTION("""COMPUTED_VALUE"""),2878063)</f>
        <v>2878063</v>
      </c>
      <c r="R30" s="215" t="str">
        <f ca="1">IFERROR(__xludf.DUMMYFUNCTION("""COMPUTED_VALUE"""),"All levels")</f>
        <v>All levels</v>
      </c>
      <c r="S30" s="217" t="str">
        <f ca="1">IFERROR(__xludf.DUMMYFUNCTION("""COMPUTED_VALUE"""),"Resilienz in Krisenzeiten")</f>
        <v>Resilienz in Krisenzeiten</v>
      </c>
      <c r="T30" s="217"/>
      <c r="U30" s="213"/>
      <c r="V30" s="215"/>
      <c r="W30" s="215"/>
      <c r="X30" s="217"/>
      <c r="Y30" s="217"/>
      <c r="Z30" s="213"/>
      <c r="AA30" s="215">
        <f ca="1">IFERROR(__xludf.DUMMYFUNCTION("""COMPUTED_VALUE"""),800926)</f>
        <v>800926</v>
      </c>
      <c r="AB30" s="215" t="str">
        <f ca="1">IFERROR(__xludf.DUMMYFUNCTION("""COMPUTED_VALUE"""),"All levels")</f>
        <v>All levels</v>
      </c>
      <c r="AC30" s="217" t="str">
        <f ca="1">IFERROR(__xludf.DUMMYFUNCTION("""COMPUTED_VALUE"""),"Como Vencer a Procrastinação")</f>
        <v>Como Vencer a Procrastinação</v>
      </c>
      <c r="AD30" s="217"/>
      <c r="AE30" s="213"/>
      <c r="AF30" s="215"/>
      <c r="AG30" s="215"/>
      <c r="AH30" s="217"/>
      <c r="AI30" s="217"/>
      <c r="AJ30" s="213"/>
    </row>
    <row r="31" spans="1:36" ht="33.75" customHeight="1">
      <c r="A31" s="213"/>
      <c r="B31" s="214">
        <f ca="1">IFERROR(__xludf.DUMMYFUNCTION("""COMPUTED_VALUE"""),2814143)</f>
        <v>2814143</v>
      </c>
      <c r="C31" s="215" t="str">
        <f ca="1">IFERROR(__xludf.DUMMYFUNCTION("""COMPUTED_VALUE"""),"Beginner")</f>
        <v>Beginner</v>
      </c>
      <c r="D31" s="216" t="str">
        <f ca="1">IFERROR(__xludf.DUMMYFUNCTION("""COMPUTED_VALUE"""),"Productivity Tips: Setting Up Your Workplace")</f>
        <v>Productivity Tips: Setting Up Your Workplace</v>
      </c>
      <c r="E31" s="217"/>
      <c r="F31" s="213"/>
      <c r="G31" s="214">
        <f ca="1">IFERROR(__xludf.DUMMYFUNCTION("""COMPUTED_VALUE"""),2937990)</f>
        <v>2937990</v>
      </c>
      <c r="H31" s="215" t="str">
        <f ca="1">IFERROR(__xludf.DUMMYFUNCTION("""COMPUTED_VALUE"""),"Intermediate")</f>
        <v>Intermediate</v>
      </c>
      <c r="I31" s="217" t="str">
        <f ca="1">IFERROR(__xludf.DUMMYFUNCTION("""COMPUTED_VALUE"""),"L'analyse marketing : Établir et mesurer des indicateurs clés de performance (KPI)")</f>
        <v>L'analyse marketing : Établir et mesurer des indicateurs clés de performance (KPI)</v>
      </c>
      <c r="J31" s="217"/>
      <c r="K31" s="213"/>
      <c r="L31" s="215">
        <f ca="1">IFERROR(__xludf.DUMMYFUNCTION("""COMPUTED_VALUE"""),2996869)</f>
        <v>2996869</v>
      </c>
      <c r="M31" s="215" t="str">
        <f ca="1">IFERROR(__xludf.DUMMYFUNCTION("""COMPUTED_VALUE"""),"All levels")</f>
        <v>All levels</v>
      </c>
      <c r="N31" s="217" t="str">
        <f ca="1">IFERROR(__xludf.DUMMYFUNCTION("""COMPUTED_VALUE"""),"Cómo ser parte de un ambiente de trabajo positivo")</f>
        <v>Cómo ser parte de un ambiente de trabajo positivo</v>
      </c>
      <c r="O31" s="217"/>
      <c r="P31" s="213"/>
      <c r="Q31" s="215">
        <f ca="1">IFERROR(__xludf.DUMMYFUNCTION("""COMPUTED_VALUE"""),559529)</f>
        <v>559529</v>
      </c>
      <c r="R31" s="215" t="str">
        <f ca="1">IFERROR(__xludf.DUMMYFUNCTION("""COMPUTED_VALUE"""),"Intermediate")</f>
        <v>Intermediate</v>
      </c>
      <c r="S31" s="217" t="str">
        <f ca="1">IFERROR(__xludf.DUMMYFUNCTION("""COMPUTED_VALUE"""),"Selbstmanagement mit macOS")</f>
        <v>Selbstmanagement mit macOS</v>
      </c>
      <c r="T31" s="217"/>
      <c r="U31" s="213"/>
      <c r="V31" s="215"/>
      <c r="W31" s="215"/>
      <c r="X31" s="217"/>
      <c r="Y31" s="217"/>
      <c r="Z31" s="213"/>
      <c r="AA31" s="215">
        <f ca="1">IFERROR(__xludf.DUMMYFUNCTION("""COMPUTED_VALUE"""),2928589)</f>
        <v>2928589</v>
      </c>
      <c r="AB31" s="215" t="str">
        <f ca="1">IFERROR(__xludf.DUMMYFUNCTION("""COMPUTED_VALUE"""),"Beginner")</f>
        <v>Beginner</v>
      </c>
      <c r="AC31" s="217" t="str">
        <f ca="1">IFERROR(__xludf.DUMMYFUNCTION("""COMPUTED_VALUE"""),"Cultura Organizacional: Conceito, Tipos e Como Definir a Sua")</f>
        <v>Cultura Organizacional: Conceito, Tipos e Como Definir a Sua</v>
      </c>
      <c r="AD31" s="217"/>
      <c r="AE31" s="213"/>
      <c r="AF31" s="215"/>
      <c r="AG31" s="215"/>
      <c r="AH31" s="217"/>
      <c r="AI31" s="217"/>
      <c r="AJ31" s="213"/>
    </row>
    <row r="32" spans="1:36" ht="45">
      <c r="A32" s="213"/>
      <c r="B32" s="214">
        <f ca="1">IFERROR(__xludf.DUMMYFUNCTION("""COMPUTED_VALUE"""),2815118)</f>
        <v>2815118</v>
      </c>
      <c r="C32" s="215" t="str">
        <f ca="1">IFERROR(__xludf.DUMMYFUNCTION("""COMPUTED_VALUE"""),"Beginner")</f>
        <v>Beginner</v>
      </c>
      <c r="D32" s="216" t="str">
        <f ca="1">IFERROR(__xludf.DUMMYFUNCTION("""COMPUTED_VALUE"""),"Productivity Tips: Taking Control of Email")</f>
        <v>Productivity Tips: Taking Control of Email</v>
      </c>
      <c r="E32" s="217"/>
      <c r="F32" s="213"/>
      <c r="G32" s="214">
        <f ca="1">IFERROR(__xludf.DUMMYFUNCTION("""COMPUTED_VALUE"""),568502)</f>
        <v>568502</v>
      </c>
      <c r="H32" s="215" t="str">
        <f ca="1">IFERROR(__xludf.DUMMYFUNCTION("""COMPUTED_VALUE"""),"Beginner, Intermediate")</f>
        <v>Beginner, Intermediate</v>
      </c>
      <c r="I32" s="217" t="str">
        <f ca="1">IFERROR(__xludf.DUMMYFUNCTION("""COMPUTED_VALUE"""),"Les fondements de la gestion du temps")</f>
        <v>Les fondements de la gestion du temps</v>
      </c>
      <c r="J32" s="217"/>
      <c r="K32" s="213"/>
      <c r="L32" s="215">
        <f ca="1">IFERROR(__xludf.DUMMYFUNCTION("""COMPUTED_VALUE"""),506454)</f>
        <v>506454</v>
      </c>
      <c r="M32" s="215" t="str">
        <f ca="1">IFERROR(__xludf.DUMMYFUNCTION("""COMPUTED_VALUE"""),"Beginner")</f>
        <v>Beginner</v>
      </c>
      <c r="N32" s="217" t="str">
        <f ca="1">IFERROR(__xludf.DUMMYFUNCTION("""COMPUTED_VALUE"""),"Cómo superar la procrastinación")</f>
        <v>Cómo superar la procrastinación</v>
      </c>
      <c r="O32" s="217"/>
      <c r="P32" s="213"/>
      <c r="Q32" s="215">
        <f ca="1">IFERROR(__xludf.DUMMYFUNCTION("""COMPUTED_VALUE"""),784037)</f>
        <v>784037</v>
      </c>
      <c r="R32" s="215" t="str">
        <f ca="1">IFERROR(__xludf.DUMMYFUNCTION("""COMPUTED_VALUE"""),"All levels")</f>
        <v>All levels</v>
      </c>
      <c r="S32" s="217" t="str">
        <f ca="1">IFERROR(__xludf.DUMMYFUNCTION("""COMPUTED_VALUE"""),"Selbstmanagement-Tipps für Führungskräfte")</f>
        <v>Selbstmanagement-Tipps für Führungskräfte</v>
      </c>
      <c r="T32" s="217"/>
      <c r="U32" s="213"/>
      <c r="V32" s="215"/>
      <c r="W32" s="215"/>
      <c r="X32" s="217"/>
      <c r="Y32" s="217"/>
      <c r="Z32" s="213"/>
      <c r="AA32" s="215">
        <f ca="1">IFERROR(__xludf.DUMMYFUNCTION("""COMPUTED_VALUE"""),2928584)</f>
        <v>2928584</v>
      </c>
      <c r="AB32" s="215" t="str">
        <f ca="1">IFERROR(__xludf.DUMMYFUNCTION("""COMPUTED_VALUE"""),"Beginner, Intermediate")</f>
        <v>Beginner, Intermediate</v>
      </c>
      <c r="AC32" s="217" t="str">
        <f ca="1">IFERROR(__xludf.DUMMYFUNCTION("""COMPUTED_VALUE"""),"Da Vitimização à Ação: Como Assumir o Controle")</f>
        <v>Da Vitimização à Ação: Como Assumir o Controle</v>
      </c>
      <c r="AD32" s="217"/>
      <c r="AE32" s="213"/>
      <c r="AF32" s="215"/>
      <c r="AG32" s="215"/>
      <c r="AH32" s="217"/>
      <c r="AI32" s="217"/>
      <c r="AJ32" s="213"/>
    </row>
    <row r="33" spans="1:36" ht="33.75" customHeight="1">
      <c r="A33" s="213"/>
      <c r="B33" s="214">
        <f ca="1">IFERROR(__xludf.DUMMYFUNCTION("""COMPUTED_VALUE"""),2823511)</f>
        <v>2823511</v>
      </c>
      <c r="C33" s="215" t="str">
        <f ca="1">IFERROR(__xludf.DUMMYFUNCTION("""COMPUTED_VALUE"""),"Beginner")</f>
        <v>Beginner</v>
      </c>
      <c r="D33" s="216" t="str">
        <f ca="1">IFERROR(__xludf.DUMMYFUNCTION("""COMPUTED_VALUE"""),"Building a Better To-Do List")</f>
        <v>Building a Better To-Do List</v>
      </c>
      <c r="E33" s="217"/>
      <c r="F33" s="213"/>
      <c r="G33" s="214">
        <f ca="1">IFERROR(__xludf.DUMMYFUNCTION("""COMPUTED_VALUE"""),2922800)</f>
        <v>2922800</v>
      </c>
      <c r="H33" s="215" t="str">
        <f ca="1">IFERROR(__xludf.DUMMYFUNCTION("""COMPUTED_VALUE"""),"Intermediate")</f>
        <v>Intermediate</v>
      </c>
      <c r="I33" s="217" t="str">
        <f ca="1">IFERROR(__xludf.DUMMYFUNCTION("""COMPUTED_VALUE"""),"Les habitudes menant à la réussite")</f>
        <v>Les habitudes menant à la réussite</v>
      </c>
      <c r="J33" s="217"/>
      <c r="K33" s="213"/>
      <c r="L33" s="215">
        <f ca="1">IFERROR(__xludf.DUMMYFUNCTION("""COMPUTED_VALUE"""),190401)</f>
        <v>190401</v>
      </c>
      <c r="M33" s="215" t="str">
        <f ca="1">IFERROR(__xludf.DUMMYFUNCTION("""COMPUTED_VALUE"""),"All levels")</f>
        <v>All levels</v>
      </c>
      <c r="N33" s="217" t="str">
        <f ca="1">IFERROR(__xludf.DUMMYFUNCTION("""COMPUTED_VALUE"""),"Cómo tomar decisiones")</f>
        <v>Cómo tomar decisiones</v>
      </c>
      <c r="O33" s="217"/>
      <c r="P33" s="213"/>
      <c r="Q33" s="215">
        <f ca="1">IFERROR(__xludf.DUMMYFUNCTION("""COMPUTED_VALUE"""),434825)</f>
        <v>434825</v>
      </c>
      <c r="R33" s="215" t="str">
        <f ca="1">IFERROR(__xludf.DUMMYFUNCTION("""COMPUTED_VALUE"""),"All levels")</f>
        <v>All levels</v>
      </c>
      <c r="S33" s="217" t="str">
        <f ca="1">IFERROR(__xludf.DUMMYFUNCTION("""COMPUTED_VALUE"""),"Selbstmotivation")</f>
        <v>Selbstmotivation</v>
      </c>
      <c r="T33" s="217"/>
      <c r="U33" s="213"/>
      <c r="V33" s="215"/>
      <c r="W33" s="215"/>
      <c r="X33" s="217"/>
      <c r="Y33" s="217"/>
      <c r="Z33" s="213"/>
      <c r="AA33" s="215">
        <f ca="1">IFERROR(__xludf.DUMMYFUNCTION("""COMPUTED_VALUE"""),753215)</f>
        <v>753215</v>
      </c>
      <c r="AB33" s="215" t="str">
        <f ca="1">IFERROR(__xludf.DUMMYFUNCTION("""COMPUTED_VALUE"""),"All levels")</f>
        <v>All levels</v>
      </c>
      <c r="AC33" s="217" t="str">
        <f ca="1">IFERROR(__xludf.DUMMYFUNCTION("""COMPUTED_VALUE"""),"Desenvolvimento da Inventividade")</f>
        <v>Desenvolvimento da Inventividade</v>
      </c>
      <c r="AD33" s="217"/>
      <c r="AE33" s="213"/>
      <c r="AF33" s="215"/>
      <c r="AG33" s="215"/>
      <c r="AH33" s="217"/>
      <c r="AI33" s="217"/>
      <c r="AJ33" s="213"/>
    </row>
    <row r="34" spans="1:36" ht="33.75" customHeight="1">
      <c r="A34" s="213"/>
      <c r="B34" s="214">
        <f ca="1">IFERROR(__xludf.DUMMYFUNCTION("""COMPUTED_VALUE"""),2242039)</f>
        <v>2242039</v>
      </c>
      <c r="C34" s="215" t="str">
        <f ca="1">IFERROR(__xludf.DUMMYFUNCTION("""COMPUTED_VALUE"""),"Beginner")</f>
        <v>Beginner</v>
      </c>
      <c r="D34" s="216" t="str">
        <f ca="1">IFERROR(__xludf.DUMMYFUNCTION("""COMPUTED_VALUE"""),"15 Secrets Successful People Know About Time Management (getAbstract Summary)")</f>
        <v>15 Secrets Successful People Know About Time Management (getAbstract Summary)</v>
      </c>
      <c r="E34" s="217"/>
      <c r="F34" s="213"/>
      <c r="G34" s="214">
        <f ca="1">IFERROR(__xludf.DUMMYFUNCTION("""COMPUTED_VALUE"""),503887)</f>
        <v>503887</v>
      </c>
      <c r="H34" s="215" t="str">
        <f ca="1">IFERROR(__xludf.DUMMYFUNCTION("""COMPUTED_VALUE"""),"All levels")</f>
        <v>All levels</v>
      </c>
      <c r="I34" s="217" t="str">
        <f ca="1">IFERROR(__xludf.DUMMYFUNCTION("""COMPUTED_VALUE"""),"Lutter contre la procrastination")</f>
        <v>Lutter contre la procrastination</v>
      </c>
      <c r="J34" s="217"/>
      <c r="K34" s="213"/>
      <c r="L34" s="215">
        <f ca="1">IFERROR(__xludf.DUMMYFUNCTION("""COMPUTED_VALUE"""),3124065)</f>
        <v>3124065</v>
      </c>
      <c r="M34" s="215" t="str">
        <f ca="1">IFERROR(__xludf.DUMMYFUNCTION("""COMPUTED_VALUE"""),"Beginner")</f>
        <v>Beginner</v>
      </c>
      <c r="N34" s="217" t="str">
        <f ca="1">IFERROR(__xludf.DUMMYFUNCTION("""COMPUTED_VALUE"""),"Cómo trabajar con gente difícil")</f>
        <v>Cómo trabajar con gente difícil</v>
      </c>
      <c r="O34" s="217"/>
      <c r="P34" s="213"/>
      <c r="Q34" s="215">
        <f ca="1">IFERROR(__xludf.DUMMYFUNCTION("""COMPUTED_VALUE"""),593049)</f>
        <v>593049</v>
      </c>
      <c r="R34" s="215" t="str">
        <f ca="1">IFERROR(__xludf.DUMMYFUNCTION("""COMPUTED_VALUE"""),"All levels")</f>
        <v>All levels</v>
      </c>
      <c r="S34" s="217" t="str">
        <f ca="1">IFERROR(__xludf.DUMMYFUNCTION("""COMPUTED_VALUE"""),"Sich besser konzentrieren – effizienter und entspannter arbeiten")</f>
        <v>Sich besser konzentrieren – effizienter und entspannter arbeiten</v>
      </c>
      <c r="T34" s="217"/>
      <c r="U34" s="213"/>
      <c r="V34" s="215"/>
      <c r="W34" s="215"/>
      <c r="X34" s="217"/>
      <c r="Y34" s="217"/>
      <c r="Z34" s="213"/>
      <c r="AA34" s="215">
        <f ca="1">IFERROR(__xludf.DUMMYFUNCTION("""COMPUTED_VALUE"""),2391482)</f>
        <v>2391482</v>
      </c>
      <c r="AB34" s="215" t="str">
        <f ca="1">IFERROR(__xludf.DUMMYFUNCTION("""COMPUTED_VALUE"""),"Beginner")</f>
        <v>Beginner</v>
      </c>
      <c r="AC34" s="217" t="str">
        <f ca="1">IFERROR(__xludf.DUMMYFUNCTION("""COMPUTED_VALUE"""),"Desenvolvimento de Software Remoto: Como Aumentar sua Produtividade")</f>
        <v>Desenvolvimento de Software Remoto: Como Aumentar sua Produtividade</v>
      </c>
      <c r="AD34" s="217"/>
      <c r="AE34" s="213"/>
      <c r="AF34" s="215"/>
      <c r="AG34" s="215"/>
      <c r="AH34" s="217"/>
      <c r="AI34" s="217"/>
      <c r="AJ34" s="213"/>
    </row>
    <row r="35" spans="1:36" ht="33.75" customHeight="1">
      <c r="A35" s="213"/>
      <c r="B35" s="214">
        <f ca="1">IFERROR(__xludf.DUMMYFUNCTION("""COMPUTED_VALUE"""),2822203)</f>
        <v>2822203</v>
      </c>
      <c r="C35" s="215" t="str">
        <f ca="1">IFERROR(__xludf.DUMMYFUNCTION("""COMPUTED_VALUE"""),"Beginner")</f>
        <v>Beginner</v>
      </c>
      <c r="D35" s="216" t="str">
        <f ca="1">IFERROR(__xludf.DUMMYFUNCTION("""COMPUTED_VALUE"""),"How to Slow Down and Be More Productive")</f>
        <v>How to Slow Down and Be More Productive</v>
      </c>
      <c r="E35" s="217"/>
      <c r="F35" s="213"/>
      <c r="G35" s="214">
        <f ca="1">IFERROR(__xludf.DUMMYFUNCTION("""COMPUTED_VALUE"""),553205)</f>
        <v>553205</v>
      </c>
      <c r="H35" s="215" t="str">
        <f ca="1">IFERROR(__xludf.DUMMYFUNCTION("""COMPUTED_VALUE"""),"All levels")</f>
        <v>All levels</v>
      </c>
      <c r="I35" s="217" t="str">
        <f ca="1">IFERROR(__xludf.DUMMYFUNCTION("""COMPUTED_VALUE"""),"Mener des réunions productives")</f>
        <v>Mener des réunions productives</v>
      </c>
      <c r="J35" s="217"/>
      <c r="K35" s="213"/>
      <c r="L35" s="215">
        <f ca="1">IFERROR(__xludf.DUMMYFUNCTION("""COMPUTED_VALUE"""),714740)</f>
        <v>714740</v>
      </c>
      <c r="M35" s="215" t="str">
        <f ca="1">IFERROR(__xludf.DUMMYFUNCTION("""COMPUTED_VALUE"""),"Beginner")</f>
        <v>Beginner</v>
      </c>
      <c r="N35" s="217" t="str">
        <f ca="1">IFERROR(__xludf.DUMMYFUNCTION("""COMPUTED_VALUE"""),"Cómo y por qué desarrollar una mentalidad de aprendizaje continuo")</f>
        <v>Cómo y por qué desarrollar una mentalidad de aprendizaje continuo</v>
      </c>
      <c r="O35" s="217"/>
      <c r="P35" s="213"/>
      <c r="Q35" s="215">
        <f ca="1">IFERROR(__xludf.DUMMYFUNCTION("""COMPUTED_VALUE"""),2926060)</f>
        <v>2926060</v>
      </c>
      <c r="R35" s="215" t="str">
        <f ca="1">IFERROR(__xludf.DUMMYFUNCTION("""COMPUTED_VALUE"""),"All levels")</f>
        <v>All levels</v>
      </c>
      <c r="S35" s="217" t="str">
        <f ca="1">IFERROR(__xludf.DUMMYFUNCTION("""COMPUTED_VALUE"""),"Sich selbst führen")</f>
        <v>Sich selbst führen</v>
      </c>
      <c r="T35" s="217"/>
      <c r="U35" s="213"/>
      <c r="V35" s="215"/>
      <c r="W35" s="215"/>
      <c r="X35" s="217"/>
      <c r="Y35" s="217"/>
      <c r="Z35" s="213"/>
      <c r="AA35" s="215">
        <f ca="1">IFERROR(__xludf.DUMMYFUNCTION("""COMPUTED_VALUE"""),753069)</f>
        <v>753069</v>
      </c>
      <c r="AB35" s="215" t="str">
        <f ca="1">IFERROR(__xludf.DUMMYFUNCTION("""COMPUTED_VALUE"""),"All levels")</f>
        <v>All levels</v>
      </c>
      <c r="AC35" s="217" t="str">
        <f ca="1">IFERROR(__xludf.DUMMYFUNCTION("""COMPUTED_VALUE"""),"Fundamentos de Gestão de Tempo")</f>
        <v>Fundamentos de Gestão de Tempo</v>
      </c>
      <c r="AD35" s="217"/>
      <c r="AE35" s="213"/>
      <c r="AF35" s="215"/>
      <c r="AG35" s="215"/>
      <c r="AH35" s="217"/>
      <c r="AI35" s="217"/>
      <c r="AJ35" s="213"/>
    </row>
    <row r="36" spans="1:36" ht="33.75" customHeight="1">
      <c r="A36" s="213"/>
      <c r="B36" s="214">
        <f ca="1">IFERROR(__xludf.DUMMYFUNCTION("""COMPUTED_VALUE"""),2822312)</f>
        <v>2822312</v>
      </c>
      <c r="C36" s="215" t="str">
        <f ca="1">IFERROR(__xludf.DUMMYFUNCTION("""COMPUTED_VALUE"""),"Beginner")</f>
        <v>Beginner</v>
      </c>
      <c r="D36" s="216" t="str">
        <f ca="1">IFERROR(__xludf.DUMMYFUNCTION("""COMPUTED_VALUE"""),"Productivity Principles to Make Time for What’s Important")</f>
        <v>Productivity Principles to Make Time for What’s Important</v>
      </c>
      <c r="E36" s="217"/>
      <c r="F36" s="213"/>
      <c r="G36" s="214">
        <f ca="1">IFERROR(__xludf.DUMMYFUNCTION("""COMPUTED_VALUE"""),551303)</f>
        <v>551303</v>
      </c>
      <c r="H36" s="215" t="str">
        <f ca="1">IFERROR(__xludf.DUMMYFUNCTION("""COMPUTED_VALUE"""),"Intermediate")</f>
        <v>Intermediate</v>
      </c>
      <c r="I36" s="217" t="str">
        <f ca="1">IFERROR(__xludf.DUMMYFUNCTION("""COMPUTED_VALUE"""),"Placer la responsabilisation au cœur de la culture d'entreprise")</f>
        <v>Placer la responsabilisation au cœur de la culture d'entreprise</v>
      </c>
      <c r="J36" s="217"/>
      <c r="K36" s="213"/>
      <c r="L36" s="215">
        <f ca="1">IFERROR(__xludf.DUMMYFUNCTION("""COMPUTED_VALUE"""),2219820)</f>
        <v>2219820</v>
      </c>
      <c r="M36" s="215" t="str">
        <f ca="1">IFERROR(__xludf.DUMMYFUNCTION("""COMPUTED_VALUE"""),"Beginner, Intermediate")</f>
        <v>Beginner, Intermediate</v>
      </c>
      <c r="N36" s="217" t="str">
        <f ca="1">IFERROR(__xludf.DUMMYFUNCTION("""COMPUTED_VALUE"""),"Curiosidad aplicada")</f>
        <v>Curiosidad aplicada</v>
      </c>
      <c r="O36" s="217"/>
      <c r="P36" s="213"/>
      <c r="Q36" s="215">
        <f ca="1">IFERROR(__xludf.DUMMYFUNCTION("""COMPUTED_VALUE"""),2382602)</f>
        <v>2382602</v>
      </c>
      <c r="R36" s="215" t="str">
        <f ca="1">IFERROR(__xludf.DUMMYFUNCTION("""COMPUTED_VALUE"""),"All levels")</f>
        <v>All levels</v>
      </c>
      <c r="S36" s="217" t="str">
        <f ca="1">IFERROR(__xludf.DUMMYFUNCTION("""COMPUTED_VALUE"""),"Tipps für kreatives Zeitmanagement")</f>
        <v>Tipps für kreatives Zeitmanagement</v>
      </c>
      <c r="T36" s="217"/>
      <c r="U36" s="213"/>
      <c r="V36" s="215"/>
      <c r="W36" s="215"/>
      <c r="X36" s="217"/>
      <c r="Y36" s="217"/>
      <c r="Z36" s="213"/>
      <c r="AA36" s="215">
        <f ca="1">IFERROR(__xludf.DUMMYFUNCTION("""COMPUTED_VALUE"""),2908954)</f>
        <v>2908954</v>
      </c>
      <c r="AB36" s="215" t="str">
        <f ca="1">IFERROR(__xludf.DUMMYFUNCTION("""COMPUTED_VALUE"""),"Intermediate")</f>
        <v>Intermediate</v>
      </c>
      <c r="AC36" s="217" t="str">
        <f ca="1">IFERROR(__xludf.DUMMYFUNCTION("""COMPUTED_VALUE"""),"Gestão Ágil no Trabalho: Como Criar Equipes Ágeis")</f>
        <v>Gestão Ágil no Trabalho: Como Criar Equipes Ágeis</v>
      </c>
      <c r="AD36" s="217"/>
      <c r="AE36" s="213"/>
      <c r="AF36" s="215"/>
      <c r="AG36" s="215"/>
      <c r="AH36" s="217"/>
      <c r="AI36" s="217"/>
      <c r="AJ36" s="213"/>
    </row>
    <row r="37" spans="1:36" ht="33.75" customHeight="1">
      <c r="A37" s="213"/>
      <c r="B37" s="214">
        <f ca="1">IFERROR(__xludf.DUMMYFUNCTION("""COMPUTED_VALUE"""),2822639)</f>
        <v>2822639</v>
      </c>
      <c r="C37" s="215" t="str">
        <f ca="1">IFERROR(__xludf.DUMMYFUNCTION("""COMPUTED_VALUE"""),"Beginner")</f>
        <v>Beginner</v>
      </c>
      <c r="D37" s="216" t="str">
        <f ca="1">IFERROR(__xludf.DUMMYFUNCTION("""COMPUTED_VALUE"""),"Making Big Goals Achievable")</f>
        <v>Making Big Goals Achievable</v>
      </c>
      <c r="E37" s="217"/>
      <c r="F37" s="213"/>
      <c r="G37" s="214">
        <f ca="1">IFERROR(__xludf.DUMMYFUNCTION("""COMPUTED_VALUE"""),538858)</f>
        <v>538858</v>
      </c>
      <c r="H37" s="215" t="str">
        <f ca="1">IFERROR(__xludf.DUMMYFUNCTION("""COMPUTED_VALUE"""),"All levels")</f>
        <v>All levels</v>
      </c>
      <c r="I37" s="217" t="str">
        <f ca="1">IFERROR(__xludf.DUMMYFUNCTION("""COMPUTED_VALUE"""),"Résoudre des problèmes métier")</f>
        <v>Résoudre des problèmes métier</v>
      </c>
      <c r="J37" s="217"/>
      <c r="K37" s="213"/>
      <c r="L37" s="215">
        <f ca="1">IFERROR(__xludf.DUMMYFUNCTION("""COMPUTED_VALUE"""),508725)</f>
        <v>508725</v>
      </c>
      <c r="M37" s="215" t="str">
        <f ca="1">IFERROR(__xludf.DUMMYFUNCTION("""COMPUTED_VALUE"""),"Beginner, Intermediate")</f>
        <v>Beginner, Intermediate</v>
      </c>
      <c r="N37" s="217" t="str">
        <f ca="1">IFERROR(__xludf.DUMMYFUNCTION("""COMPUTED_VALUE"""),"Del victimismo a la acción: Asume el control")</f>
        <v>Del victimismo a la acción: Asume el control</v>
      </c>
      <c r="O37" s="217"/>
      <c r="P37" s="213"/>
      <c r="Q37" s="215">
        <f ca="1">IFERROR(__xludf.DUMMYFUNCTION("""COMPUTED_VALUE"""),563971)</f>
        <v>563971</v>
      </c>
      <c r="R37" s="215" t="str">
        <f ca="1">IFERROR(__xludf.DUMMYFUNCTION("""COMPUTED_VALUE"""),"Beginner")</f>
        <v>Beginner</v>
      </c>
      <c r="S37" s="217" t="str">
        <f ca="1">IFERROR(__xludf.DUMMYFUNCTION("""COMPUTED_VALUE"""),"Typische Probleme in Projekten lösen")</f>
        <v>Typische Probleme in Projekten lösen</v>
      </c>
      <c r="T37" s="217"/>
      <c r="U37" s="213"/>
      <c r="V37" s="215"/>
      <c r="W37" s="215"/>
      <c r="X37" s="217"/>
      <c r="Y37" s="217"/>
      <c r="Z37" s="213"/>
      <c r="AA37" s="215">
        <f ca="1">IFERROR(__xludf.DUMMYFUNCTION("""COMPUTED_VALUE"""),2911568)</f>
        <v>2911568</v>
      </c>
      <c r="AB37" s="215" t="str">
        <f ca="1">IFERROR(__xludf.DUMMYFUNCTION("""COMPUTED_VALUE"""),"Intermediate")</f>
        <v>Intermediate</v>
      </c>
      <c r="AC37" s="217" t="str">
        <f ca="1">IFERROR(__xludf.DUMMYFUNCTION("""COMPUTED_VALUE"""),"Gestão Ágil no Trabalho: Como Tornar as Reuniões Ágeis mais Produtivas")</f>
        <v>Gestão Ágil no Trabalho: Como Tornar as Reuniões Ágeis mais Produtivas</v>
      </c>
      <c r="AD37" s="217"/>
      <c r="AE37" s="213"/>
      <c r="AF37" s="215"/>
      <c r="AG37" s="215"/>
      <c r="AH37" s="217"/>
      <c r="AI37" s="217"/>
      <c r="AJ37" s="213"/>
    </row>
    <row r="38" spans="1:36" ht="33.75" customHeight="1">
      <c r="A38" s="213"/>
      <c r="B38" s="214">
        <f ca="1">IFERROR(__xludf.DUMMYFUNCTION("""COMPUTED_VALUE"""),2815117)</f>
        <v>2815117</v>
      </c>
      <c r="C38" s="215" t="str">
        <f ca="1">IFERROR(__xludf.DUMMYFUNCTION("""COMPUTED_VALUE"""),"Beginner")</f>
        <v>Beginner</v>
      </c>
      <c r="D38" s="216" t="str">
        <f ca="1">IFERROR(__xludf.DUMMYFUNCTION("""COMPUTED_VALUE"""),"Time Management Tips: Communication")</f>
        <v>Time Management Tips: Communication</v>
      </c>
      <c r="E38" s="217"/>
      <c r="F38" s="213"/>
      <c r="G38" s="214">
        <f ca="1">IFERROR(__xludf.DUMMYFUNCTION("""COMPUTED_VALUE"""),800574)</f>
        <v>800574</v>
      </c>
      <c r="H38" s="215" t="str">
        <f ca="1">IFERROR(__xludf.DUMMYFUNCTION("""COMPUTED_VALUE"""),"Intermediate")</f>
        <v>Intermediate</v>
      </c>
      <c r="I38" s="217" t="str">
        <f ca="1">IFERROR(__xludf.DUMMYFUNCTION("""COMPUTED_VALUE"""),"Résoudre les problèmes de gestion de projet les plus fréquents")</f>
        <v>Résoudre les problèmes de gestion de projet les plus fréquents</v>
      </c>
      <c r="J38" s="217"/>
      <c r="K38" s="213"/>
      <c r="L38" s="215">
        <f ca="1">IFERROR(__xludf.DUMMYFUNCTION("""COMPUTED_VALUE"""),2838143)</f>
        <v>2838143</v>
      </c>
      <c r="M38" s="215" t="str">
        <f ca="1">IFERROR(__xludf.DUMMYFUNCTION("""COMPUTED_VALUE"""),"Intermediate")</f>
        <v>Intermediate</v>
      </c>
      <c r="N38" s="217" t="str">
        <f ca="1">IFERROR(__xludf.DUMMYFUNCTION("""COMPUTED_VALUE"""),"Design Thinking: Facilitación de procesos de trabajo")</f>
        <v>Design Thinking: Facilitación de procesos de trabajo</v>
      </c>
      <c r="O38" s="217"/>
      <c r="P38" s="213"/>
      <c r="Q38" s="215">
        <f ca="1">IFERROR(__xludf.DUMMYFUNCTION("""COMPUTED_VALUE"""),2925266)</f>
        <v>2925266</v>
      </c>
      <c r="R38" s="215" t="str">
        <f ca="1">IFERROR(__xludf.DUMMYFUNCTION("""COMPUTED_VALUE"""),"All levels")</f>
        <v>All levels</v>
      </c>
      <c r="S38" s="217" t="str">
        <f ca="1">IFERROR(__xludf.DUMMYFUNCTION("""COMPUTED_VALUE"""),"Veränderungen im Beruf erfolgreich bewältigen")</f>
        <v>Veränderungen im Beruf erfolgreich bewältigen</v>
      </c>
      <c r="T38" s="217"/>
      <c r="U38" s="213"/>
      <c r="V38" s="215"/>
      <c r="W38" s="215"/>
      <c r="X38" s="217"/>
      <c r="Y38" s="217"/>
      <c r="Z38" s="213"/>
      <c r="AA38" s="215">
        <f ca="1">IFERROR(__xludf.DUMMYFUNCTION("""COMPUTED_VALUE"""),2911571)</f>
        <v>2911571</v>
      </c>
      <c r="AB38" s="215" t="str">
        <f ca="1">IFERROR(__xludf.DUMMYFUNCTION("""COMPUTED_VALUE"""),"Intermediate")</f>
        <v>Intermediate</v>
      </c>
      <c r="AC38" s="217" t="str">
        <f ca="1">IFERROR(__xludf.DUMMYFUNCTION("""COMPUTED_VALUE"""),"Gestão Ágil no Trabalho: Relatórios com Gráficos e Quadros Ágeis")</f>
        <v>Gestão Ágil no Trabalho: Relatórios com Gráficos e Quadros Ágeis</v>
      </c>
      <c r="AD38" s="217"/>
      <c r="AE38" s="213"/>
      <c r="AF38" s="215"/>
      <c r="AG38" s="215"/>
      <c r="AH38" s="217"/>
      <c r="AI38" s="217"/>
      <c r="AJ38" s="213"/>
    </row>
    <row r="39" spans="1:36" ht="33.75" customHeight="1">
      <c r="A39" s="213"/>
      <c r="B39" s="214">
        <f ca="1">IFERROR(__xludf.DUMMYFUNCTION("""COMPUTED_VALUE"""),2822310)</f>
        <v>2822310</v>
      </c>
      <c r="C39" s="215" t="str">
        <f ca="1">IFERROR(__xludf.DUMMYFUNCTION("""COMPUTED_VALUE"""),"Beginner")</f>
        <v>Beginner</v>
      </c>
      <c r="D39" s="216" t="str">
        <f ca="1">IFERROR(__xludf.DUMMYFUNCTION("""COMPUTED_VALUE"""),"Subtle Shifts in Thinking for Tremendous Resilience")</f>
        <v>Subtle Shifts in Thinking for Tremendous Resilience</v>
      </c>
      <c r="E39" s="217"/>
      <c r="F39" s="213"/>
      <c r="G39" s="214">
        <f ca="1">IFERROR(__xludf.DUMMYFUNCTION("""COMPUTED_VALUE"""),2822437)</f>
        <v>2822437</v>
      </c>
      <c r="H39" s="215" t="str">
        <f ca="1">IFERROR(__xludf.DUMMYFUNCTION("""COMPUTED_VALUE"""),"Intermediate")</f>
        <v>Intermediate</v>
      </c>
      <c r="I39" s="217" t="str">
        <f ca="1">IFERROR(__xludf.DUMMYFUNCTION("""COMPUTED_VALUE"""),"S’autodiriger")</f>
        <v>S’autodiriger</v>
      </c>
      <c r="J39" s="217"/>
      <c r="K39" s="213"/>
      <c r="L39" s="215">
        <f ca="1">IFERROR(__xludf.DUMMYFUNCTION("""COMPUTED_VALUE"""),2838142)</f>
        <v>2838142</v>
      </c>
      <c r="M39" s="215" t="str">
        <f ca="1">IFERROR(__xludf.DUMMYFUNCTION("""COMPUTED_VALUE"""),"All levels")</f>
        <v>All levels</v>
      </c>
      <c r="N39" s="217" t="str">
        <f ca="1">IFERROR(__xludf.DUMMYFUNCTION("""COMPUTED_VALUE"""),"Design Thinking: Herramientas y técnicas (presenciales y en teletrabajo)")</f>
        <v>Design Thinking: Herramientas y técnicas (presenciales y en teletrabajo)</v>
      </c>
      <c r="O39" s="217"/>
      <c r="P39" s="213"/>
      <c r="Q39" s="215">
        <f ca="1">IFERROR(__xludf.DUMMYFUNCTION("""COMPUTED_VALUE"""),593052)</f>
        <v>593052</v>
      </c>
      <c r="R39" s="215" t="str">
        <f ca="1">IFERROR(__xludf.DUMMYFUNCTION("""COMPUTED_VALUE"""),"Intermediate")</f>
        <v>Intermediate</v>
      </c>
      <c r="S39" s="217" t="str">
        <f ca="1">IFERROR(__xludf.DUMMYFUNCTION("""COMPUTED_VALUE"""),"Verantwortung als Teil der Unternehmenskultur")</f>
        <v>Verantwortung als Teil der Unternehmenskultur</v>
      </c>
      <c r="T39" s="217"/>
      <c r="U39" s="213"/>
      <c r="V39" s="215"/>
      <c r="W39" s="215"/>
      <c r="X39" s="217"/>
      <c r="Y39" s="217"/>
      <c r="Z39" s="213"/>
      <c r="AA39" s="215">
        <f ca="1">IFERROR(__xludf.DUMMYFUNCTION("""COMPUTED_VALUE"""),752465)</f>
        <v>752465</v>
      </c>
      <c r="AB39" s="215" t="str">
        <f ca="1">IFERROR(__xludf.DUMMYFUNCTION("""COMPUTED_VALUE"""),"Intermediate")</f>
        <v>Intermediate</v>
      </c>
      <c r="AC39" s="217" t="str">
        <f ca="1">IFERROR(__xludf.DUMMYFUNCTION("""COMPUTED_VALUE"""),"Gestão por Resultados")</f>
        <v>Gestão por Resultados</v>
      </c>
      <c r="AD39" s="217"/>
      <c r="AE39" s="213"/>
      <c r="AF39" s="215"/>
      <c r="AG39" s="215"/>
      <c r="AH39" s="217"/>
      <c r="AI39" s="217"/>
      <c r="AJ39" s="213"/>
    </row>
    <row r="40" spans="1:36" ht="33.75" customHeight="1">
      <c r="A40" s="213"/>
      <c r="B40" s="214">
        <f ca="1">IFERROR(__xludf.DUMMYFUNCTION("""COMPUTED_VALUE"""),2823512)</f>
        <v>2823512</v>
      </c>
      <c r="C40" s="215" t="str">
        <f ca="1">IFERROR(__xludf.DUMMYFUNCTION("""COMPUTED_VALUE"""),"Beginner")</f>
        <v>Beginner</v>
      </c>
      <c r="D40" s="216" t="str">
        <f ca="1">IFERROR(__xludf.DUMMYFUNCTION("""COMPUTED_VALUE"""),"Productivity: Prioritizing at Work")</f>
        <v>Productivity: Prioritizing at Work</v>
      </c>
      <c r="E40" s="217"/>
      <c r="F40" s="213"/>
      <c r="G40" s="214">
        <f ca="1">IFERROR(__xludf.DUMMYFUNCTION("""COMPUTED_VALUE"""),193431)</f>
        <v>193431</v>
      </c>
      <c r="H40" s="215" t="str">
        <f ca="1">IFERROR(__xludf.DUMMYFUNCTION("""COMPUTED_VALUE"""),"All levels")</f>
        <v>All levels</v>
      </c>
      <c r="I40" s="217" t="str">
        <f ca="1">IFERROR(__xludf.DUMMYFUNCTION("""COMPUTED_VALUE"""),"Savoir gérer son temps")</f>
        <v>Savoir gérer son temps</v>
      </c>
      <c r="J40" s="217"/>
      <c r="K40" s="213"/>
      <c r="L40" s="215">
        <f ca="1">IFERROR(__xludf.DUMMYFUNCTION("""COMPUTED_VALUE"""),2924101)</f>
        <v>2924101</v>
      </c>
      <c r="M40" s="215" t="str">
        <f ca="1">IFERROR(__xludf.DUMMYFUNCTION("""COMPUTED_VALUE"""),"Beginner, Intermediate")</f>
        <v>Beginner, Intermediate</v>
      </c>
      <c r="N40" s="217" t="str">
        <f ca="1">IFERROR(__xludf.DUMMYFUNCTION("""COMPUTED_VALUE"""),"DesignOps: Habilidades personales esencial")</f>
        <v>DesignOps: Habilidades personales esencial</v>
      </c>
      <c r="O40" s="217"/>
      <c r="P40" s="213"/>
      <c r="Q40" s="215">
        <f ca="1">IFERROR(__xludf.DUMMYFUNCTION("""COMPUTED_VALUE"""),2419402)</f>
        <v>2419402</v>
      </c>
      <c r="R40" s="215" t="str">
        <f ca="1">IFERROR(__xludf.DUMMYFUNCTION("""COMPUTED_VALUE"""),"All levels")</f>
        <v>All levels</v>
      </c>
      <c r="S40" s="217" t="str">
        <f ca="1">IFERROR(__xludf.DUMMYFUNCTION("""COMPUTED_VALUE"""),"Videokonferenzen moderieren")</f>
        <v>Videokonferenzen moderieren</v>
      </c>
      <c r="T40" s="217"/>
      <c r="U40" s="213"/>
      <c r="V40" s="215"/>
      <c r="W40" s="215"/>
      <c r="X40" s="217"/>
      <c r="Y40" s="217"/>
      <c r="Z40" s="213"/>
      <c r="AA40" s="215">
        <f ca="1">IFERROR(__xludf.DUMMYFUNCTION("""COMPUTED_VALUE"""),2928599)</f>
        <v>2928599</v>
      </c>
      <c r="AB40" s="215" t="str">
        <f ca="1">IFERROR(__xludf.DUMMYFUNCTION("""COMPUTED_VALUE"""),"All levels")</f>
        <v>All levels</v>
      </c>
      <c r="AC40" s="217" t="str">
        <f ca="1">IFERROR(__xludf.DUMMYFUNCTION("""COMPUTED_VALUE"""),"Hábitos de Sucesso")</f>
        <v>Hábitos de Sucesso</v>
      </c>
      <c r="AD40" s="217"/>
      <c r="AE40" s="213"/>
      <c r="AF40" s="215"/>
      <c r="AG40" s="215"/>
      <c r="AH40" s="217"/>
      <c r="AI40" s="217"/>
      <c r="AJ40" s="213"/>
    </row>
    <row r="41" spans="1:36" ht="33.75" customHeight="1">
      <c r="A41" s="213"/>
      <c r="B41" s="214">
        <f ca="1">IFERROR(__xludf.DUMMYFUNCTION("""COMPUTED_VALUE"""),2822454)</f>
        <v>2822454</v>
      </c>
      <c r="C41" s="215" t="str">
        <f ca="1">IFERROR(__xludf.DUMMYFUNCTION("""COMPUTED_VALUE"""),"Beginner")</f>
        <v>Beginner</v>
      </c>
      <c r="D41" s="216" t="str">
        <f ca="1">IFERROR(__xludf.DUMMYFUNCTION("""COMPUTED_VALUE"""),"Managing Your Energy")</f>
        <v>Managing Your Energy</v>
      </c>
      <c r="E41" s="217"/>
      <c r="F41" s="213"/>
      <c r="G41" s="214">
        <f ca="1">IFERROR(__xludf.DUMMYFUNCTION("""COMPUTED_VALUE"""),2823375)</f>
        <v>2823375</v>
      </c>
      <c r="H41" s="215" t="str">
        <f ca="1">IFERROR(__xludf.DUMMYFUNCTION("""COMPUTED_VALUE"""),"Beginner")</f>
        <v>Beginner</v>
      </c>
      <c r="I41" s="217" t="str">
        <f ca="1">IFERROR(__xludf.DUMMYFUNCTION("""COMPUTED_VALUE"""),"Se responsabiliser")</f>
        <v>Se responsabiliser</v>
      </c>
      <c r="J41" s="217"/>
      <c r="K41" s="213"/>
      <c r="L41" s="215">
        <f ca="1">IFERROR(__xludf.DUMMYFUNCTION("""COMPUTED_VALUE"""),2983328)</f>
        <v>2983328</v>
      </c>
      <c r="M41" s="215" t="str">
        <f ca="1">IFERROR(__xludf.DUMMYFUNCTION("""COMPUTED_VALUE"""),"All levels")</f>
        <v>All levels</v>
      </c>
      <c r="N41" s="217" t="str">
        <f ca="1">IFERROR(__xludf.DUMMYFUNCTION("""COMPUTED_VALUE"""),"Dominar la automotivación en tiempos de crisis")</f>
        <v>Dominar la automotivación en tiempos de crisis</v>
      </c>
      <c r="O41" s="217"/>
      <c r="P41" s="213"/>
      <c r="Q41" s="215">
        <f ca="1">IFERROR(__xludf.DUMMYFUNCTION("""COMPUTED_VALUE"""),565181)</f>
        <v>565181</v>
      </c>
      <c r="R41" s="215" t="str">
        <f ca="1">IFERROR(__xludf.DUMMYFUNCTION("""COMPUTED_VALUE"""),"Beginner, Intermediate")</f>
        <v>Beginner, Intermediate</v>
      </c>
      <c r="S41" s="217" t="str">
        <f ca="1">IFERROR(__xludf.DUMMYFUNCTION("""COMPUTED_VALUE"""),"Von Ohnmacht zu Macht: Kontrolle übernehmen")</f>
        <v>Von Ohnmacht zu Macht: Kontrolle übernehmen</v>
      </c>
      <c r="T41" s="217"/>
      <c r="U41" s="213"/>
      <c r="V41" s="215"/>
      <c r="W41" s="215"/>
      <c r="X41" s="217"/>
      <c r="Y41" s="217"/>
      <c r="Z41" s="213"/>
      <c r="AA41" s="215">
        <f ca="1">IFERROR(__xludf.DUMMYFUNCTION("""COMPUTED_VALUE"""),2841370)</f>
        <v>2841370</v>
      </c>
      <c r="AB41" s="215" t="str">
        <f ca="1">IFERROR(__xludf.DUMMYFUNCTION("""COMPUTED_VALUE"""),"Intermediate")</f>
        <v>Intermediate</v>
      </c>
      <c r="AC41" s="217" t="str">
        <f ca="1">IFERROR(__xludf.DUMMYFUNCTION("""COMPUTED_VALUE"""),"O Poder das Perguntas para Estimular o Pensamento Crítico e a Curiosidade")</f>
        <v>O Poder das Perguntas para Estimular o Pensamento Crítico e a Curiosidade</v>
      </c>
      <c r="AD41" s="217"/>
      <c r="AE41" s="213"/>
      <c r="AF41" s="215"/>
      <c r="AG41" s="215"/>
      <c r="AH41" s="217"/>
      <c r="AI41" s="217"/>
      <c r="AJ41" s="213"/>
    </row>
    <row r="42" spans="1:36" ht="33.75" customHeight="1">
      <c r="A42" s="213"/>
      <c r="B42" s="214">
        <f ca="1">IFERROR(__xludf.DUMMYFUNCTION("""COMPUTED_VALUE"""),2825479)</f>
        <v>2825479</v>
      </c>
      <c r="C42" s="215" t="str">
        <f ca="1">IFERROR(__xludf.DUMMYFUNCTION("""COMPUTED_VALUE"""),"Beginner")</f>
        <v>Beginner</v>
      </c>
      <c r="D42" s="216" t="str">
        <f ca="1">IFERROR(__xludf.DUMMYFUNCTION("""COMPUTED_VALUE"""),"Building Better Routines")</f>
        <v>Building Better Routines</v>
      </c>
      <c r="E42" s="217"/>
      <c r="F42" s="213"/>
      <c r="G42" s="214"/>
      <c r="H42" s="215"/>
      <c r="I42" s="217"/>
      <c r="J42" s="217"/>
      <c r="K42" s="213"/>
      <c r="L42" s="215">
        <f ca="1">IFERROR(__xludf.DUMMYFUNCTION("""COMPUTED_VALUE"""),5025686)</f>
        <v>5025686</v>
      </c>
      <c r="M42" s="215" t="str">
        <f ca="1">IFERROR(__xludf.DUMMYFUNCTION("""COMPUTED_VALUE"""),"Intermediate")</f>
        <v>Intermediate</v>
      </c>
      <c r="N42" s="217" t="str">
        <f ca="1">IFERROR(__xludf.DUMMYFUNCTION("""COMPUTED_VALUE"""),"El futuro de la gestión del rendimiento")</f>
        <v>El futuro de la gestión del rendimiento</v>
      </c>
      <c r="O42" s="217"/>
      <c r="P42" s="213"/>
      <c r="Q42" s="215">
        <f ca="1">IFERROR(__xludf.DUMMYFUNCTION("""COMPUTED_VALUE"""),641774)</f>
        <v>641774</v>
      </c>
      <c r="R42" s="215" t="str">
        <f ca="1">IFERROR(__xludf.DUMMYFUNCTION("""COMPUTED_VALUE"""),"Intermediate")</f>
        <v>Intermediate</v>
      </c>
      <c r="S42" s="217" t="str">
        <f ca="1">IFERROR(__xludf.DUMMYFUNCTION("""COMPUTED_VALUE"""),"Werteorientiertes Management")</f>
        <v>Werteorientiertes Management</v>
      </c>
      <c r="T42" s="217"/>
      <c r="U42" s="213"/>
      <c r="V42" s="215"/>
      <c r="W42" s="215"/>
      <c r="X42" s="217"/>
      <c r="Y42" s="217"/>
      <c r="Z42" s="213"/>
      <c r="AA42" s="215">
        <f ca="1">IFERROR(__xludf.DUMMYFUNCTION("""COMPUTED_VALUE"""),2903152)</f>
        <v>2903152</v>
      </c>
      <c r="AB42" s="215" t="str">
        <f ca="1">IFERROR(__xludf.DUMMYFUNCTION("""COMPUTED_VALUE"""),"All levels")</f>
        <v>All levels</v>
      </c>
      <c r="AC42" s="217" t="str">
        <f ca="1">IFERROR(__xludf.DUMMYFUNCTION("""COMPUTED_VALUE"""),"Técnicas de Gestão de Tempo para Gerentes")</f>
        <v>Técnicas de Gestão de Tempo para Gerentes</v>
      </c>
      <c r="AD42" s="217"/>
      <c r="AE42" s="213"/>
      <c r="AF42" s="215"/>
      <c r="AG42" s="215"/>
      <c r="AH42" s="217"/>
      <c r="AI42" s="217"/>
      <c r="AJ42" s="213"/>
    </row>
    <row r="43" spans="1:36" ht="33.75" customHeight="1">
      <c r="A43" s="213"/>
      <c r="B43" s="214">
        <f ca="1">IFERROR(__xludf.DUMMYFUNCTION("""COMPUTED_VALUE"""),2823289)</f>
        <v>2823289</v>
      </c>
      <c r="C43" s="215" t="str">
        <f ca="1">IFERROR(__xludf.DUMMYFUNCTION("""COMPUTED_VALUE"""),"Beginner")</f>
        <v>Beginner</v>
      </c>
      <c r="D43" s="216" t="str">
        <f ca="1">IFERROR(__xludf.DUMMYFUNCTION("""COMPUTED_VALUE"""),"Creating Lasting Habits")</f>
        <v>Creating Lasting Habits</v>
      </c>
      <c r="E43" s="217"/>
      <c r="F43" s="213"/>
      <c r="G43" s="214"/>
      <c r="H43" s="215"/>
      <c r="I43" s="217"/>
      <c r="J43" s="217"/>
      <c r="K43" s="213"/>
      <c r="L43" s="215">
        <f ca="1">IFERROR(__xludf.DUMMYFUNCTION("""COMPUTED_VALUE"""),778413)</f>
        <v>778413</v>
      </c>
      <c r="M43" s="215" t="str">
        <f ca="1">IFERROR(__xludf.DUMMYFUNCTION("""COMPUTED_VALUE"""),"Beginner")</f>
        <v>Beginner</v>
      </c>
      <c r="N43" s="217" t="str">
        <f ca="1">IFERROR(__xludf.DUMMYFUNCTION("""COMPUTED_VALUE"""),"Fred Kofman sobre la responsabilidad")</f>
        <v>Fred Kofman sobre la responsabilidad</v>
      </c>
      <c r="O43" s="217"/>
      <c r="P43" s="213"/>
      <c r="Q43" s="215">
        <f ca="1">IFERROR(__xludf.DUMMYFUNCTION("""COMPUTED_VALUE"""),2383346)</f>
        <v>2383346</v>
      </c>
      <c r="R43" s="215" t="str">
        <f ca="1">IFERROR(__xludf.DUMMYFUNCTION("""COMPUTED_VALUE"""),"All levels")</f>
        <v>All levels</v>
      </c>
      <c r="S43" s="217" t="str">
        <f ca="1">IFERROR(__xludf.DUMMYFUNCTION("""COMPUTED_VALUE"""),"Wie ich die Dinge geregelt kriege (Blinkist Kernaussagen)")</f>
        <v>Wie ich die Dinge geregelt kriege (Blinkist Kernaussagen)</v>
      </c>
      <c r="T43" s="217"/>
      <c r="U43" s="213"/>
      <c r="V43" s="215"/>
      <c r="W43" s="215"/>
      <c r="X43" s="217"/>
      <c r="Y43" s="217"/>
      <c r="Z43" s="213"/>
      <c r="AA43" s="215">
        <f ca="1">IFERROR(__xludf.DUMMYFUNCTION("""COMPUTED_VALUE"""),2841362)</f>
        <v>2841362</v>
      </c>
      <c r="AB43" s="215" t="str">
        <f ca="1">IFERROR(__xludf.DUMMYFUNCTION("""COMPUTED_VALUE"""),"Beginner")</f>
        <v>Beginner</v>
      </c>
      <c r="AC43" s="217" t="str">
        <f ca="1">IFERROR(__xludf.DUMMYFUNCTION("""COMPUTED_VALUE"""),"Técnicas para Lidar com o Trabalho sob Pressão")</f>
        <v>Técnicas para Lidar com o Trabalho sob Pressão</v>
      </c>
      <c r="AD43" s="217"/>
      <c r="AE43" s="213"/>
      <c r="AF43" s="215"/>
      <c r="AG43" s="215"/>
      <c r="AH43" s="217"/>
      <c r="AI43" s="217"/>
      <c r="AJ43" s="213"/>
    </row>
    <row r="44" spans="1:36" ht="33.75" customHeight="1">
      <c r="A44" s="213"/>
      <c r="B44" s="214">
        <f ca="1">IFERROR(__xludf.DUMMYFUNCTION("""COMPUTED_VALUE"""),2839044)</f>
        <v>2839044</v>
      </c>
      <c r="C44" s="215" t="str">
        <f ca="1">IFERROR(__xludf.DUMMYFUNCTION("""COMPUTED_VALUE"""),"Beginner")</f>
        <v>Beginner</v>
      </c>
      <c r="D44" s="216" t="str">
        <f ca="1">IFERROR(__xludf.DUMMYFUNCTION("""COMPUTED_VALUE"""),"How to Effectively Deliver Criticism")</f>
        <v>How to Effectively Deliver Criticism</v>
      </c>
      <c r="E44" s="217"/>
      <c r="F44" s="213"/>
      <c r="G44" s="214"/>
      <c r="H44" s="215"/>
      <c r="I44" s="217"/>
      <c r="J44" s="217"/>
      <c r="K44" s="213"/>
      <c r="L44" s="215">
        <f ca="1">IFERROR(__xludf.DUMMYFUNCTION("""COMPUTED_VALUE"""),5025672)</f>
        <v>5025672</v>
      </c>
      <c r="M44" s="215" t="str">
        <f ca="1">IFERROR(__xludf.DUMMYFUNCTION("""COMPUTED_VALUE"""),"All levels")</f>
        <v>All levels</v>
      </c>
      <c r="N44" s="217" t="str">
        <f ca="1">IFERROR(__xludf.DUMMYFUNCTION("""COMPUTED_VALUE"""),"Fundamentos de la excelencia operativa")</f>
        <v>Fundamentos de la excelencia operativa</v>
      </c>
      <c r="O44" s="217"/>
      <c r="P44" s="213"/>
      <c r="Q44" s="215">
        <f ca="1">IFERROR(__xludf.DUMMYFUNCTION("""COMPUTED_VALUE"""),2805105)</f>
        <v>2805105</v>
      </c>
      <c r="R44" s="215" t="str">
        <f ca="1">IFERROR(__xludf.DUMMYFUNCTION("""COMPUTED_VALUE"""),"Intermediate")</f>
        <v>Intermediate</v>
      </c>
      <c r="S44" s="217" t="str">
        <f ca="1">IFERROR(__xludf.DUMMYFUNCTION("""COMPUTED_VALUE"""),"Zeitmanagement mit Outlook (365/2019)")</f>
        <v>Zeitmanagement mit Outlook (365/2019)</v>
      </c>
      <c r="T44" s="217"/>
      <c r="U44" s="213"/>
      <c r="V44" s="215"/>
      <c r="W44" s="215"/>
      <c r="X44" s="217"/>
      <c r="Y44" s="217"/>
      <c r="Z44" s="213"/>
      <c r="AA44" s="215">
        <f ca="1">IFERROR(__xludf.DUMMYFUNCTION("""COMPUTED_VALUE"""),2930668)</f>
        <v>2930668</v>
      </c>
      <c r="AB44" s="215" t="str">
        <f ca="1">IFERROR(__xludf.DUMMYFUNCTION("""COMPUTED_VALUE"""),"All levels")</f>
        <v>All levels</v>
      </c>
      <c r="AC44" s="217" t="str">
        <f ca="1">IFERROR(__xludf.DUMMYFUNCTION("""COMPUTED_VALUE"""),"Truques para mudar ou criar novos hábitos")</f>
        <v>Truques para mudar ou criar novos hábitos</v>
      </c>
      <c r="AD44" s="217"/>
      <c r="AE44" s="213"/>
      <c r="AF44" s="215"/>
      <c r="AG44" s="215"/>
      <c r="AH44" s="217"/>
      <c r="AI44" s="217"/>
      <c r="AJ44" s="213"/>
    </row>
    <row r="45" spans="1:36" ht="33.75" customHeight="1">
      <c r="A45" s="213"/>
      <c r="B45" s="214">
        <f ca="1">IFERROR(__xludf.DUMMYFUNCTION("""COMPUTED_VALUE"""),2870084)</f>
        <v>2870084</v>
      </c>
      <c r="C45" s="215" t="str">
        <f ca="1">IFERROR(__xludf.DUMMYFUNCTION("""COMPUTED_VALUE"""),"Beginner")</f>
        <v>Beginner</v>
      </c>
      <c r="D45" s="216" t="str">
        <f ca="1">IFERROR(__xludf.DUMMYFUNCTION("""COMPUTED_VALUE"""),"Dealing with Disappointment in Your Role")</f>
        <v>Dealing with Disappointment in Your Role</v>
      </c>
      <c r="E45" s="217"/>
      <c r="F45" s="213"/>
      <c r="G45" s="214"/>
      <c r="H45" s="215"/>
      <c r="I45" s="217"/>
      <c r="J45" s="217"/>
      <c r="K45" s="213"/>
      <c r="L45" s="215">
        <f ca="1">IFERROR(__xludf.DUMMYFUNCTION("""COMPUTED_VALUE"""),608963)</f>
        <v>608963</v>
      </c>
      <c r="M45" s="215" t="str">
        <f ca="1">IFERROR(__xludf.DUMMYFUNCTION("""COMPUTED_VALUE"""),"All levels")</f>
        <v>All levels</v>
      </c>
      <c r="N45" s="217" t="str">
        <f ca="1">IFERROR(__xludf.DUMMYFUNCTION("""COMPUTED_VALUE"""),"Fundamentos de la gestión del tiempo")</f>
        <v>Fundamentos de la gestión del tiempo</v>
      </c>
      <c r="O45" s="217"/>
      <c r="P45" s="213"/>
      <c r="Q45" s="215">
        <f ca="1">IFERROR(__xludf.DUMMYFUNCTION("""COMPUTED_VALUE"""),618224)</f>
        <v>618224</v>
      </c>
      <c r="R45" s="215" t="str">
        <f ca="1">IFERROR(__xludf.DUMMYFUNCTION("""COMPUTED_VALUE"""),"Intermediate")</f>
        <v>Intermediate</v>
      </c>
      <c r="S45" s="217" t="str">
        <f ca="1">IFERROR(__xludf.DUMMYFUNCTION("""COMPUTED_VALUE"""),"Zeitmanagement mit Outlook 2016")</f>
        <v>Zeitmanagement mit Outlook 2016</v>
      </c>
      <c r="T45" s="217"/>
      <c r="U45" s="213"/>
      <c r="V45" s="215"/>
      <c r="W45" s="215"/>
      <c r="X45" s="217"/>
      <c r="Y45" s="217"/>
      <c r="Z45" s="213"/>
      <c r="AA45" s="215"/>
      <c r="AB45" s="215"/>
      <c r="AC45" s="217"/>
      <c r="AD45" s="217"/>
      <c r="AE45" s="213"/>
      <c r="AF45" s="215"/>
      <c r="AG45" s="215"/>
      <c r="AH45" s="217"/>
      <c r="AI45" s="217"/>
      <c r="AJ45" s="213"/>
    </row>
    <row r="46" spans="1:36" ht="33.75" customHeight="1">
      <c r="A46" s="213"/>
      <c r="B46" s="214">
        <f ca="1">IFERROR(__xludf.DUMMYFUNCTION("""COMPUTED_VALUE"""),2366891)</f>
        <v>2366891</v>
      </c>
      <c r="C46" s="215" t="str">
        <f ca="1">IFERROR(__xludf.DUMMYFUNCTION("""COMPUTED_VALUE"""),"Beginner")</f>
        <v>Beginner</v>
      </c>
      <c r="D46" s="216" t="str">
        <f ca="1">IFERROR(__xludf.DUMMYFUNCTION("""COMPUTED_VALUE"""),"Unlocking Your Potential")</f>
        <v>Unlocking Your Potential</v>
      </c>
      <c r="E46" s="217"/>
      <c r="F46" s="213"/>
      <c r="G46" s="214"/>
      <c r="H46" s="215"/>
      <c r="I46" s="217"/>
      <c r="J46" s="217"/>
      <c r="K46" s="213"/>
      <c r="L46" s="215">
        <f ca="1">IFERROR(__xludf.DUMMYFUNCTION("""COMPUTED_VALUE"""),608975)</f>
        <v>608975</v>
      </c>
      <c r="M46" s="215" t="str">
        <f ca="1">IFERROR(__xludf.DUMMYFUNCTION("""COMPUTED_VALUE"""),"All levels")</f>
        <v>All levels</v>
      </c>
      <c r="N46" s="217" t="str">
        <f ca="1">IFERROR(__xludf.DUMMYFUNCTION("""COMPUTED_VALUE"""),"Fundamentos de la optimización de procesos")</f>
        <v>Fundamentos de la optimización de procesos</v>
      </c>
      <c r="O46" s="217"/>
      <c r="P46" s="213"/>
      <c r="Q46" s="215">
        <f ca="1">IFERROR(__xludf.DUMMYFUNCTION("""COMPUTED_VALUE"""),5033458)</f>
        <v>5033458</v>
      </c>
      <c r="R46" s="215" t="str">
        <f ca="1">IFERROR(__xludf.DUMMYFUNCTION("""COMPUTED_VALUE"""),"All levels")</f>
        <v>All levels</v>
      </c>
      <c r="S46" s="217" t="str">
        <f ca="1">IFERROR(__xludf.DUMMYFUNCTION("""COMPUTED_VALUE"""),"Ziele für Mitarbeiter:innen und Teams setzen")</f>
        <v>Ziele für Mitarbeiter:innen und Teams setzen</v>
      </c>
      <c r="T46" s="217"/>
      <c r="U46" s="213"/>
      <c r="V46" s="215"/>
      <c r="W46" s="215"/>
      <c r="X46" s="217"/>
      <c r="Y46" s="217"/>
      <c r="Z46" s="213"/>
      <c r="AA46" s="215"/>
      <c r="AB46" s="215"/>
      <c r="AC46" s="217"/>
      <c r="AD46" s="217"/>
      <c r="AE46" s="213"/>
      <c r="AF46" s="215"/>
      <c r="AG46" s="215"/>
      <c r="AH46" s="217"/>
      <c r="AI46" s="217"/>
      <c r="AJ46" s="213"/>
    </row>
    <row r="47" spans="1:36" ht="33.75" customHeight="1">
      <c r="A47" s="213"/>
      <c r="B47" s="214">
        <f ca="1">IFERROR(__xludf.DUMMYFUNCTION("""COMPUTED_VALUE"""),2873068)</f>
        <v>2873068</v>
      </c>
      <c r="C47" s="215" t="str">
        <f ca="1">IFERROR(__xludf.DUMMYFUNCTION("""COMPUTED_VALUE"""),"Beginner")</f>
        <v>Beginner</v>
      </c>
      <c r="D47" s="216" t="str">
        <f ca="1">IFERROR(__xludf.DUMMYFUNCTION("""COMPUTED_VALUE"""),"Prioritizing Tasks for Maximum Impact")</f>
        <v>Prioritizing Tasks for Maximum Impact</v>
      </c>
      <c r="E47" s="217"/>
      <c r="F47" s="213"/>
      <c r="G47" s="214"/>
      <c r="H47" s="215"/>
      <c r="I47" s="217"/>
      <c r="J47" s="217"/>
      <c r="K47" s="213"/>
      <c r="L47" s="215">
        <f ca="1">IFERROR(__xludf.DUMMYFUNCTION("""COMPUTED_VALUE"""),795024)</f>
        <v>795024</v>
      </c>
      <c r="M47" s="215" t="str">
        <f ca="1">IFERROR(__xludf.DUMMYFUNCTION("""COMPUTED_VALUE"""),"Intermediate")</f>
        <v>Intermediate</v>
      </c>
      <c r="N47" s="217" t="str">
        <f ca="1">IFERROR(__xludf.DUMMYFUNCTION("""COMPUTED_VALUE"""),"Fundamentos de la productividad")</f>
        <v>Fundamentos de la productividad</v>
      </c>
      <c r="O47" s="217"/>
      <c r="P47" s="213"/>
      <c r="Q47" s="215">
        <f ca="1">IFERROR(__xludf.DUMMYFUNCTION("""COMPUTED_VALUE"""),593896)</f>
        <v>593896</v>
      </c>
      <c r="R47" s="215" t="str">
        <f ca="1">IFERROR(__xludf.DUMMYFUNCTION("""COMPUTED_VALUE"""),"Intermediate")</f>
        <v>Intermediate</v>
      </c>
      <c r="S47" s="217" t="str">
        <f ca="1">IFERROR(__xludf.DUMMYFUNCTION("""COMPUTED_VALUE"""),"Zielvereinbarungsgespräche führen")</f>
        <v>Zielvereinbarungsgespräche führen</v>
      </c>
      <c r="T47" s="217"/>
      <c r="U47" s="213"/>
      <c r="V47" s="215"/>
      <c r="W47" s="215"/>
      <c r="X47" s="217"/>
      <c r="Y47" s="217"/>
      <c r="Z47" s="213"/>
      <c r="AA47" s="215"/>
      <c r="AB47" s="215"/>
      <c r="AC47" s="217"/>
      <c r="AD47" s="217"/>
      <c r="AE47" s="213"/>
      <c r="AF47" s="215"/>
      <c r="AG47" s="215"/>
      <c r="AH47" s="217"/>
      <c r="AI47" s="217"/>
      <c r="AJ47" s="213"/>
    </row>
    <row r="48" spans="1:36" ht="33.75" customHeight="1">
      <c r="A48" s="213"/>
      <c r="B48" s="214">
        <f ca="1">IFERROR(__xludf.DUMMYFUNCTION("""COMPUTED_VALUE"""),2874006)</f>
        <v>2874006</v>
      </c>
      <c r="C48" s="215" t="str">
        <f ca="1">IFERROR(__xludf.DUMMYFUNCTION("""COMPUTED_VALUE"""),"Beginner")</f>
        <v>Beginner</v>
      </c>
      <c r="D48" s="216" t="str">
        <f ca="1">IFERROR(__xludf.DUMMYFUNCTION("""COMPUTED_VALUE"""),"The Five Conversations That Deliver Accountability and Performance")</f>
        <v>The Five Conversations That Deliver Accountability and Performance</v>
      </c>
      <c r="E48" s="217"/>
      <c r="F48" s="213"/>
      <c r="G48" s="214"/>
      <c r="H48" s="215"/>
      <c r="I48" s="217"/>
      <c r="J48" s="217"/>
      <c r="K48" s="213"/>
      <c r="L48" s="215">
        <f ca="1">IFERROR(__xludf.DUMMYFUNCTION("""COMPUTED_VALUE"""),795022)</f>
        <v>795022</v>
      </c>
      <c r="M48" s="215" t="str">
        <f ca="1">IFERROR(__xludf.DUMMYFUNCTION("""COMPUTED_VALUE"""),"Intermediate")</f>
        <v>Intermediate</v>
      </c>
      <c r="N48" s="217" t="str">
        <f ca="1">IFERROR(__xludf.DUMMYFUNCTION("""COMPUTED_VALUE"""),"Fundamentos de la productividad: Kanban, outlining y mapas mentales")</f>
        <v>Fundamentos de la productividad: Kanban, outlining y mapas mentales</v>
      </c>
      <c r="O48" s="217"/>
      <c r="P48" s="213"/>
      <c r="Q48" s="215"/>
      <c r="R48" s="215"/>
      <c r="S48" s="217"/>
      <c r="T48" s="217"/>
      <c r="U48" s="213"/>
      <c r="V48" s="215"/>
      <c r="W48" s="215"/>
      <c r="X48" s="217"/>
      <c r="Y48" s="217"/>
      <c r="Z48" s="213"/>
      <c r="AA48" s="215"/>
      <c r="AB48" s="215"/>
      <c r="AC48" s="217"/>
      <c r="AD48" s="217"/>
      <c r="AE48" s="213"/>
      <c r="AF48" s="215"/>
      <c r="AG48" s="215"/>
      <c r="AH48" s="217"/>
      <c r="AI48" s="217"/>
      <c r="AJ48" s="213"/>
    </row>
    <row r="49" spans="1:36" ht="33.75" customHeight="1">
      <c r="A49" s="213"/>
      <c r="B49" s="214">
        <f ca="1">IFERROR(__xludf.DUMMYFUNCTION("""COMPUTED_VALUE"""),2875042)</f>
        <v>2875042</v>
      </c>
      <c r="C49" s="215" t="str">
        <f ca="1">IFERROR(__xludf.DUMMYFUNCTION("""COMPUTED_VALUE"""),"Beginner")</f>
        <v>Beginner</v>
      </c>
      <c r="D49" s="216" t="str">
        <f ca="1">IFERROR(__xludf.DUMMYFUNCTION("""COMPUTED_VALUE"""),"Time Management for Busy People")</f>
        <v>Time Management for Busy People</v>
      </c>
      <c r="E49" s="217"/>
      <c r="F49" s="213"/>
      <c r="G49" s="214"/>
      <c r="H49" s="215"/>
      <c r="I49" s="217"/>
      <c r="J49" s="217"/>
      <c r="K49" s="213"/>
      <c r="L49" s="215">
        <f ca="1">IFERROR(__xludf.DUMMYFUNCTION("""COMPUTED_VALUE"""),714717)</f>
        <v>714717</v>
      </c>
      <c r="M49" s="215" t="str">
        <f ca="1">IFERROR(__xludf.DUMMYFUNCTION("""COMPUTED_VALUE"""),"Advanced")</f>
        <v>Advanced</v>
      </c>
      <c r="N49" s="217" t="str">
        <f ca="1">IFERROR(__xludf.DUMMYFUNCTION("""COMPUTED_VALUE"""),"Gestión de equipos mediante OKR's o misiones, objetivos y resultados clave")</f>
        <v>Gestión de equipos mediante OKR's o misiones, objetivos y resultados clave</v>
      </c>
      <c r="O49" s="217"/>
      <c r="P49" s="213"/>
      <c r="Q49" s="215"/>
      <c r="R49" s="215"/>
      <c r="S49" s="217"/>
      <c r="T49" s="217"/>
      <c r="U49" s="213"/>
      <c r="V49" s="215"/>
      <c r="W49" s="215"/>
      <c r="X49" s="217"/>
      <c r="Y49" s="217"/>
      <c r="Z49" s="213"/>
      <c r="AA49" s="215"/>
      <c r="AB49" s="215"/>
      <c r="AC49" s="217"/>
      <c r="AD49" s="217"/>
      <c r="AE49" s="213"/>
      <c r="AF49" s="215"/>
      <c r="AG49" s="215"/>
      <c r="AH49" s="217"/>
      <c r="AI49" s="217"/>
      <c r="AJ49" s="213"/>
    </row>
    <row r="50" spans="1:36" ht="33.75" customHeight="1">
      <c r="A50" s="213"/>
      <c r="B50" s="214">
        <f ca="1">IFERROR(__xludf.DUMMYFUNCTION("""COMPUTED_VALUE"""),2875043)</f>
        <v>2875043</v>
      </c>
      <c r="C50" s="215" t="str">
        <f ca="1">IFERROR(__xludf.DUMMYFUNCTION("""COMPUTED_VALUE"""),"Beginner")</f>
        <v>Beginner</v>
      </c>
      <c r="D50" s="216" t="str">
        <f ca="1">IFERROR(__xludf.DUMMYFUNCTION("""COMPUTED_VALUE"""),"How to Organize Your Time and Your Life")</f>
        <v>How to Organize Your Time and Your Life</v>
      </c>
      <c r="E50" s="217"/>
      <c r="F50" s="213"/>
      <c r="G50" s="214"/>
      <c r="H50" s="215"/>
      <c r="I50" s="217"/>
      <c r="J50" s="217"/>
      <c r="K50" s="213"/>
      <c r="L50" s="215">
        <f ca="1">IFERROR(__xludf.DUMMYFUNCTION("""COMPUTED_VALUE"""),651774)</f>
        <v>651774</v>
      </c>
      <c r="M50" s="215" t="str">
        <f ca="1">IFERROR(__xludf.DUMMYFUNCTION("""COMPUTED_VALUE"""),"Beginner, Intermediate")</f>
        <v>Beginner, Intermediate</v>
      </c>
      <c r="N50" s="217" t="str">
        <f ca="1">IFERROR(__xludf.DUMMYFUNCTION("""COMPUTED_VALUE"""),"Gestión de proyectos: Resolución de problemas")</f>
        <v>Gestión de proyectos: Resolución de problemas</v>
      </c>
      <c r="O50" s="217"/>
      <c r="P50" s="213"/>
      <c r="Q50" s="215"/>
      <c r="R50" s="215"/>
      <c r="S50" s="217"/>
      <c r="T50" s="217"/>
      <c r="U50" s="213"/>
      <c r="V50" s="215"/>
      <c r="W50" s="215"/>
      <c r="X50" s="217"/>
      <c r="Y50" s="217"/>
      <c r="Z50" s="213"/>
      <c r="AA50" s="215"/>
      <c r="AB50" s="215"/>
      <c r="AC50" s="217"/>
      <c r="AD50" s="217"/>
      <c r="AE50" s="213"/>
      <c r="AF50" s="215"/>
      <c r="AG50" s="215"/>
      <c r="AH50" s="217"/>
      <c r="AI50" s="217"/>
      <c r="AJ50" s="213"/>
    </row>
    <row r="51" spans="1:36" ht="33.75" customHeight="1">
      <c r="A51" s="213"/>
      <c r="B51" s="214">
        <f ca="1">IFERROR(__xludf.DUMMYFUNCTION("""COMPUTED_VALUE"""),2822030)</f>
        <v>2822030</v>
      </c>
      <c r="C51" s="215" t="str">
        <f ca="1">IFERROR(__xludf.DUMMYFUNCTION("""COMPUTED_VALUE"""),"Beginner")</f>
        <v>Beginner</v>
      </c>
      <c r="D51" s="216" t="str">
        <f ca="1">IFERROR(__xludf.DUMMYFUNCTION("""COMPUTED_VALUE"""),"Components of Effective Learning")</f>
        <v>Components of Effective Learning</v>
      </c>
      <c r="E51" s="217"/>
      <c r="F51" s="213"/>
      <c r="G51" s="214"/>
      <c r="H51" s="215"/>
      <c r="I51" s="217"/>
      <c r="J51" s="217"/>
      <c r="K51" s="213"/>
      <c r="L51" s="215">
        <f ca="1">IFERROR(__xludf.DUMMYFUNCTION("""COMPUTED_VALUE"""),2279358)</f>
        <v>2279358</v>
      </c>
      <c r="M51" s="215" t="str">
        <f ca="1">IFERROR(__xludf.DUMMYFUNCTION("""COMPUTED_VALUE"""),"Beginner, Intermediate")</f>
        <v>Beginner, Intermediate</v>
      </c>
      <c r="N51" s="217" t="str">
        <f ca="1">IFERROR(__xludf.DUMMYFUNCTION("""COMPUTED_VALUE"""),"Gestión del fracaso para tener éxito")</f>
        <v>Gestión del fracaso para tener éxito</v>
      </c>
      <c r="O51" s="217"/>
      <c r="P51" s="213"/>
      <c r="Q51" s="215"/>
      <c r="R51" s="215"/>
      <c r="S51" s="217"/>
      <c r="T51" s="217"/>
      <c r="U51" s="213"/>
      <c r="V51" s="215"/>
      <c r="W51" s="215"/>
      <c r="X51" s="217"/>
      <c r="Y51" s="217"/>
      <c r="Z51" s="213"/>
      <c r="AA51" s="215"/>
      <c r="AB51" s="215"/>
      <c r="AC51" s="217"/>
      <c r="AD51" s="217"/>
      <c r="AE51" s="213"/>
      <c r="AF51" s="215"/>
      <c r="AG51" s="215"/>
      <c r="AH51" s="217"/>
      <c r="AI51" s="217"/>
      <c r="AJ51" s="213"/>
    </row>
    <row r="52" spans="1:36" ht="33.75" customHeight="1">
      <c r="A52" s="213"/>
      <c r="B52" s="214">
        <f ca="1">IFERROR(__xludf.DUMMYFUNCTION("""COMPUTED_VALUE"""),2885172)</f>
        <v>2885172</v>
      </c>
      <c r="C52" s="215" t="str">
        <f ca="1">IFERROR(__xludf.DUMMYFUNCTION("""COMPUTED_VALUE"""),"Beginner")</f>
        <v>Beginner</v>
      </c>
      <c r="D52" s="216" t="str">
        <f ca="1">IFERROR(__xludf.DUMMYFUNCTION("""COMPUTED_VALUE"""),"Powerful Prioritization with the 80/20 Rule")</f>
        <v>Powerful Prioritization with the 80/20 Rule</v>
      </c>
      <c r="E52" s="217"/>
      <c r="F52" s="213"/>
      <c r="G52" s="214"/>
      <c r="H52" s="215"/>
      <c r="I52" s="217"/>
      <c r="J52" s="217"/>
      <c r="K52" s="213"/>
      <c r="L52" s="215">
        <f ca="1">IFERROR(__xludf.DUMMYFUNCTION("""COMPUTED_VALUE"""),5025624)</f>
        <v>5025624</v>
      </c>
      <c r="M52" s="215" t="str">
        <f ca="1">IFERROR(__xludf.DUMMYFUNCTION("""COMPUTED_VALUE"""),"All levels")</f>
        <v>All levels</v>
      </c>
      <c r="N52" s="217" t="str">
        <f ca="1">IFERROR(__xludf.DUMMYFUNCTION("""COMPUTED_VALUE"""),"Gestión del tiempo para líderes")</f>
        <v>Gestión del tiempo para líderes</v>
      </c>
      <c r="O52" s="217"/>
      <c r="P52" s="213"/>
      <c r="Q52" s="215"/>
      <c r="R52" s="215"/>
      <c r="S52" s="217"/>
      <c r="T52" s="217"/>
      <c r="U52" s="213"/>
      <c r="V52" s="215"/>
      <c r="W52" s="215"/>
      <c r="X52" s="217"/>
      <c r="Y52" s="217"/>
      <c r="Z52" s="213"/>
      <c r="AA52" s="215"/>
      <c r="AB52" s="215"/>
      <c r="AC52" s="217"/>
      <c r="AD52" s="217"/>
      <c r="AE52" s="213"/>
      <c r="AF52" s="215"/>
      <c r="AG52" s="215"/>
      <c r="AH52" s="217"/>
      <c r="AI52" s="217"/>
      <c r="AJ52" s="213"/>
    </row>
    <row r="53" spans="1:36" ht="33.75" customHeight="1">
      <c r="A53" s="213"/>
      <c r="B53" s="214">
        <f ca="1">IFERROR(__xludf.DUMMYFUNCTION("""COMPUTED_VALUE"""),2895112)</f>
        <v>2895112</v>
      </c>
      <c r="C53" s="215" t="str">
        <f ca="1">IFERROR(__xludf.DUMMYFUNCTION("""COMPUTED_VALUE"""),"Beginner")</f>
        <v>Beginner</v>
      </c>
      <c r="D53" s="216" t="str">
        <f ca="1">IFERROR(__xludf.DUMMYFUNCTION("""COMPUTED_VALUE"""),"Overcoming Perfectionism")</f>
        <v>Overcoming Perfectionism</v>
      </c>
      <c r="E53" s="217"/>
      <c r="F53" s="213"/>
      <c r="G53" s="214"/>
      <c r="H53" s="215"/>
      <c r="I53" s="217"/>
      <c r="J53" s="217"/>
      <c r="K53" s="213"/>
      <c r="L53" s="215">
        <f ca="1">IFERROR(__xludf.DUMMYFUNCTION("""COMPUTED_VALUE"""),407975)</f>
        <v>407975</v>
      </c>
      <c r="M53" s="215" t="str">
        <f ca="1">IFERROR(__xludf.DUMMYFUNCTION("""COMPUTED_VALUE"""),"Beginner")</f>
        <v>Beginner</v>
      </c>
      <c r="N53" s="217" t="str">
        <f ca="1">IFERROR(__xludf.DUMMYFUNCTION("""COMPUTED_VALUE"""),"Getting Things Done. Organízate con eficacia")</f>
        <v>Getting Things Done. Organízate con eficacia</v>
      </c>
      <c r="O53" s="217"/>
      <c r="P53" s="213"/>
      <c r="Q53" s="215"/>
      <c r="R53" s="215"/>
      <c r="S53" s="217"/>
      <c r="T53" s="217"/>
      <c r="U53" s="213"/>
      <c r="V53" s="215"/>
      <c r="W53" s="215"/>
      <c r="X53" s="217"/>
      <c r="Y53" s="217"/>
      <c r="Z53" s="213"/>
      <c r="AA53" s="215"/>
      <c r="AB53" s="215"/>
      <c r="AC53" s="217"/>
      <c r="AD53" s="217"/>
      <c r="AE53" s="213"/>
      <c r="AF53" s="215"/>
      <c r="AG53" s="215"/>
      <c r="AH53" s="217"/>
      <c r="AI53" s="217"/>
      <c r="AJ53" s="213"/>
    </row>
    <row r="54" spans="1:36" ht="33.75" customHeight="1">
      <c r="A54" s="213"/>
      <c r="B54" s="214">
        <f ca="1">IFERROR(__xludf.DUMMYFUNCTION("""COMPUTED_VALUE"""),2895003)</f>
        <v>2895003</v>
      </c>
      <c r="C54" s="215" t="str">
        <f ca="1">IFERROR(__xludf.DUMMYFUNCTION("""COMPUTED_VALUE"""),"Beginner")</f>
        <v>Beginner</v>
      </c>
      <c r="D54" s="216" t="str">
        <f ca="1">IFERROR(__xludf.DUMMYFUNCTION("""COMPUTED_VALUE"""),"How to Get Things Done Ahead of Deadlines")</f>
        <v>How to Get Things Done Ahead of Deadlines</v>
      </c>
      <c r="E54" s="217"/>
      <c r="F54" s="213"/>
      <c r="G54" s="214"/>
      <c r="H54" s="215"/>
      <c r="I54" s="217"/>
      <c r="J54" s="217"/>
      <c r="K54" s="213"/>
      <c r="L54" s="215">
        <f ca="1">IFERROR(__xludf.DUMMYFUNCTION("""COMPUTED_VALUE"""),756689)</f>
        <v>756689</v>
      </c>
      <c r="M54" s="215" t="str">
        <f ca="1">IFERROR(__xludf.DUMMYFUNCTION("""COMPUTED_VALUE"""),"Beginner")</f>
        <v>Beginner</v>
      </c>
      <c r="N54" s="217" t="str">
        <f ca="1">IFERROR(__xludf.DUMMYFUNCTION("""COMPUTED_VALUE"""),"Habilidades de trabajo fundamentales")</f>
        <v>Habilidades de trabajo fundamentales</v>
      </c>
      <c r="O54" s="217"/>
      <c r="P54" s="213"/>
      <c r="Q54" s="215"/>
      <c r="R54" s="215"/>
      <c r="S54" s="217"/>
      <c r="T54" s="217"/>
      <c r="U54" s="213"/>
      <c r="V54" s="215"/>
      <c r="W54" s="215"/>
      <c r="X54" s="217"/>
      <c r="Y54" s="217"/>
      <c r="Z54" s="213"/>
      <c r="AA54" s="215"/>
      <c r="AB54" s="215"/>
      <c r="AC54" s="217"/>
      <c r="AD54" s="217"/>
      <c r="AE54" s="213"/>
      <c r="AF54" s="215"/>
      <c r="AG54" s="215"/>
      <c r="AH54" s="217"/>
      <c r="AI54" s="217"/>
      <c r="AJ54" s="213"/>
    </row>
    <row r="55" spans="1:36" ht="33.75" customHeight="1">
      <c r="A55" s="213"/>
      <c r="B55" s="214">
        <f ca="1">IFERROR(__xludf.DUMMYFUNCTION("""COMPUTED_VALUE"""),2425283)</f>
        <v>2425283</v>
      </c>
      <c r="C55" s="215" t="str">
        <f ca="1">IFERROR(__xludf.DUMMYFUNCTION("""COMPUTED_VALUE"""),"Beginner")</f>
        <v>Beginner</v>
      </c>
      <c r="D55" s="216" t="str">
        <f ca="1">IFERROR(__xludf.DUMMYFUNCTION("""COMPUTED_VALUE"""),"The Surprising Upside of Procrastination")</f>
        <v>The Surprising Upside of Procrastination</v>
      </c>
      <c r="E55" s="217"/>
      <c r="F55" s="213"/>
      <c r="G55" s="214"/>
      <c r="H55" s="215"/>
      <c r="I55" s="217"/>
      <c r="J55" s="217"/>
      <c r="K55" s="213"/>
      <c r="L55" s="215">
        <f ca="1">IFERROR(__xludf.DUMMYFUNCTION("""COMPUTED_VALUE"""),2874199)</f>
        <v>2874199</v>
      </c>
      <c r="M55" s="215" t="str">
        <f ca="1">IFERROR(__xludf.DUMMYFUNCTION("""COMPUTED_VALUE"""),"All levels")</f>
        <v>All levels</v>
      </c>
      <c r="N55" s="217" t="str">
        <f ca="1">IFERROR(__xludf.DUMMYFUNCTION("""COMPUTED_VALUE"""),"Herramientas online para teletrabajo: Trucos")</f>
        <v>Herramientas online para teletrabajo: Trucos</v>
      </c>
      <c r="O55" s="217"/>
      <c r="P55" s="213"/>
      <c r="Q55" s="215"/>
      <c r="R55" s="215"/>
      <c r="S55" s="217"/>
      <c r="T55" s="217"/>
      <c r="U55" s="213"/>
      <c r="V55" s="215"/>
      <c r="W55" s="215"/>
      <c r="X55" s="217"/>
      <c r="Y55" s="217"/>
      <c r="Z55" s="213"/>
      <c r="AA55" s="215"/>
      <c r="AB55" s="215"/>
      <c r="AC55" s="217"/>
      <c r="AD55" s="217"/>
      <c r="AE55" s="213"/>
      <c r="AF55" s="215"/>
      <c r="AG55" s="215"/>
      <c r="AH55" s="217"/>
      <c r="AI55" s="217"/>
      <c r="AJ55" s="213"/>
    </row>
    <row r="56" spans="1:36" ht="33.75" customHeight="1">
      <c r="A56" s="213"/>
      <c r="B56" s="214">
        <f ca="1">IFERROR(__xludf.DUMMYFUNCTION("""COMPUTED_VALUE"""),3004703)</f>
        <v>3004703</v>
      </c>
      <c r="C56" s="215" t="str">
        <f ca="1">IFERROR(__xludf.DUMMYFUNCTION("""COMPUTED_VALUE"""),"Beginner")</f>
        <v>Beginner</v>
      </c>
      <c r="D56" s="216" t="str">
        <f ca="1">IFERROR(__xludf.DUMMYFUNCTION("""COMPUTED_VALUE"""),"Secrets of Effective Prioritization")</f>
        <v>Secrets of Effective Prioritization</v>
      </c>
      <c r="E56" s="217"/>
      <c r="F56" s="213"/>
      <c r="G56" s="214"/>
      <c r="H56" s="215"/>
      <c r="I56" s="217"/>
      <c r="J56" s="217"/>
      <c r="K56" s="213"/>
      <c r="L56" s="215">
        <f ca="1">IFERROR(__xludf.DUMMYFUNCTION("""COMPUTED_VALUE"""),651773)</f>
        <v>651773</v>
      </c>
      <c r="M56" s="215" t="str">
        <f ca="1">IFERROR(__xludf.DUMMYFUNCTION("""COMPUTED_VALUE"""),"Beginner")</f>
        <v>Beginner</v>
      </c>
      <c r="N56" s="217" t="str">
        <f ca="1">IFERROR(__xludf.DUMMYFUNCTION("""COMPUTED_VALUE"""),"Mejora tu productividad")</f>
        <v>Mejora tu productividad</v>
      </c>
      <c r="O56" s="217"/>
      <c r="P56" s="213"/>
      <c r="Q56" s="215"/>
      <c r="R56" s="215"/>
      <c r="S56" s="217"/>
      <c r="T56" s="217"/>
      <c r="U56" s="213"/>
      <c r="V56" s="215"/>
      <c r="W56" s="215"/>
      <c r="X56" s="217"/>
      <c r="Y56" s="217"/>
      <c r="Z56" s="213"/>
      <c r="AA56" s="215"/>
      <c r="AB56" s="215"/>
      <c r="AC56" s="217"/>
      <c r="AD56" s="217"/>
      <c r="AE56" s="213"/>
      <c r="AF56" s="215"/>
      <c r="AG56" s="215"/>
      <c r="AH56" s="217"/>
      <c r="AI56" s="217"/>
      <c r="AJ56" s="213"/>
    </row>
    <row r="57" spans="1:36" ht="33.75" customHeight="1">
      <c r="A57" s="213"/>
      <c r="B57" s="214">
        <f ca="1">IFERROR(__xludf.DUMMYFUNCTION("""COMPUTED_VALUE"""),3004947)</f>
        <v>3004947</v>
      </c>
      <c r="C57" s="215" t="str">
        <f ca="1">IFERROR(__xludf.DUMMYFUNCTION("""COMPUTED_VALUE"""),"Beginner")</f>
        <v>Beginner</v>
      </c>
      <c r="D57" s="216" t="str">
        <f ca="1">IFERROR(__xludf.DUMMYFUNCTION("""COMPUTED_VALUE"""),"How to Manage Your Attention and Your Priorities")</f>
        <v>How to Manage Your Attention and Your Priorities</v>
      </c>
      <c r="E57" s="217"/>
      <c r="F57" s="213"/>
      <c r="G57" s="214"/>
      <c r="H57" s="215"/>
      <c r="I57" s="217"/>
      <c r="J57" s="217"/>
      <c r="K57" s="213"/>
      <c r="L57" s="215">
        <f ca="1">IFERROR(__xludf.DUMMYFUNCTION("""COMPUTED_VALUE"""),449379)</f>
        <v>449379</v>
      </c>
      <c r="M57" s="215" t="str">
        <f ca="1">IFERROR(__xludf.DUMMYFUNCTION("""COMPUTED_VALUE"""),"Beginner")</f>
        <v>Beginner</v>
      </c>
      <c r="N57" s="217" t="str">
        <f ca="1">IFERROR(__xludf.DUMMYFUNCTION("""COMPUTED_VALUE"""),"Motivación e implicación en la empresa")</f>
        <v>Motivación e implicación en la empresa</v>
      </c>
      <c r="O57" s="217"/>
      <c r="P57" s="213"/>
      <c r="Q57" s="215"/>
      <c r="R57" s="215"/>
      <c r="S57" s="217"/>
      <c r="T57" s="217"/>
      <c r="U57" s="213"/>
      <c r="V57" s="215"/>
      <c r="W57" s="215"/>
      <c r="X57" s="217"/>
      <c r="Y57" s="217"/>
      <c r="Z57" s="213"/>
      <c r="AA57" s="215"/>
      <c r="AB57" s="215"/>
      <c r="AC57" s="217"/>
      <c r="AD57" s="217"/>
      <c r="AE57" s="213"/>
      <c r="AF57" s="215"/>
      <c r="AG57" s="215"/>
      <c r="AH57" s="217"/>
      <c r="AI57" s="217"/>
      <c r="AJ57" s="213"/>
    </row>
    <row r="58" spans="1:36" ht="33.75" customHeight="1">
      <c r="A58" s="213"/>
      <c r="B58" s="214">
        <f ca="1">IFERROR(__xludf.DUMMYFUNCTION("""COMPUTED_VALUE"""),3008781)</f>
        <v>3008781</v>
      </c>
      <c r="C58" s="215" t="str">
        <f ca="1">IFERROR(__xludf.DUMMYFUNCTION("""COMPUTED_VALUE"""),"Beginner")</f>
        <v>Beginner</v>
      </c>
      <c r="D58" s="216" t="str">
        <f ca="1">IFERROR(__xludf.DUMMYFUNCTION("""COMPUTED_VALUE"""),"Focus on What Matters and Minimize Distraction")</f>
        <v>Focus on What Matters and Minimize Distraction</v>
      </c>
      <c r="E58" s="217"/>
      <c r="F58" s="213"/>
      <c r="G58" s="214"/>
      <c r="H58" s="215"/>
      <c r="I58" s="217"/>
      <c r="J58" s="217"/>
      <c r="K58" s="213"/>
      <c r="L58" s="215">
        <f ca="1">IFERROR(__xludf.DUMMYFUNCTION("""COMPUTED_VALUE"""),2837256)</f>
        <v>2837256</v>
      </c>
      <c r="M58" s="215" t="str">
        <f ca="1">IFERROR(__xludf.DUMMYFUNCTION("""COMPUTED_VALUE"""),"Advanced")</f>
        <v>Advanced</v>
      </c>
      <c r="N58" s="217" t="str">
        <f ca="1">IFERROR(__xludf.DUMMYFUNCTION("""COMPUTED_VALUE"""),"Outlook: Gestión del tiempo con calendario y tareas (Office 365/Microsoft 365)")</f>
        <v>Outlook: Gestión del tiempo con calendario y tareas (Office 365/Microsoft 365)</v>
      </c>
      <c r="O58" s="217"/>
      <c r="P58" s="213"/>
      <c r="Q58" s="215"/>
      <c r="R58" s="215"/>
      <c r="S58" s="217"/>
      <c r="T58" s="217"/>
      <c r="U58" s="213"/>
      <c r="V58" s="215"/>
      <c r="W58" s="215"/>
      <c r="X58" s="217"/>
      <c r="Y58" s="217"/>
      <c r="Z58" s="213"/>
      <c r="AA58" s="215"/>
      <c r="AB58" s="215"/>
      <c r="AC58" s="217"/>
      <c r="AD58" s="217"/>
      <c r="AE58" s="213"/>
      <c r="AF58" s="215"/>
      <c r="AG58" s="215"/>
      <c r="AH58" s="217"/>
      <c r="AI58" s="217"/>
      <c r="AJ58" s="213"/>
    </row>
    <row r="59" spans="1:36" ht="33.75" customHeight="1">
      <c r="A59" s="213"/>
      <c r="B59" s="214">
        <f ca="1">IFERROR(__xludf.DUMMYFUNCTION("""COMPUTED_VALUE"""),3008782)</f>
        <v>3008782</v>
      </c>
      <c r="C59" s="215" t="str">
        <f ca="1">IFERROR(__xludf.DUMMYFUNCTION("""COMPUTED_VALUE"""),"Beginner")</f>
        <v>Beginner</v>
      </c>
      <c r="D59" s="216" t="str">
        <f ca="1">IFERROR(__xludf.DUMMYFUNCTION("""COMPUTED_VALUE"""),"Learn to Control Your Attention")</f>
        <v>Learn to Control Your Attention</v>
      </c>
      <c r="E59" s="217"/>
      <c r="F59" s="213"/>
      <c r="G59" s="214"/>
      <c r="H59" s="215"/>
      <c r="I59" s="217"/>
      <c r="J59" s="217"/>
      <c r="K59" s="213"/>
      <c r="L59" s="215">
        <f ca="1">IFERROR(__xludf.DUMMYFUNCTION("""COMPUTED_VALUE"""),2401127)</f>
        <v>2401127</v>
      </c>
      <c r="M59" s="215" t="str">
        <f ca="1">IFERROR(__xludf.DUMMYFUNCTION("""COMPUTED_VALUE"""),"All levels")</f>
        <v>All levels</v>
      </c>
      <c r="N59" s="217" t="str">
        <f ca="1">IFERROR(__xludf.DUMMYFUNCTION("""COMPUTED_VALUE"""),"Prepara tu curriculum vitae")</f>
        <v>Prepara tu curriculum vitae</v>
      </c>
      <c r="O59" s="217"/>
      <c r="P59" s="213"/>
      <c r="Q59" s="215"/>
      <c r="R59" s="215"/>
      <c r="S59" s="217"/>
      <c r="T59" s="217"/>
      <c r="U59" s="213"/>
      <c r="V59" s="215"/>
      <c r="W59" s="215"/>
      <c r="X59" s="217"/>
      <c r="Y59" s="217"/>
      <c r="Z59" s="213"/>
      <c r="AA59" s="215"/>
      <c r="AB59" s="215"/>
      <c r="AC59" s="217"/>
      <c r="AD59" s="217"/>
      <c r="AE59" s="213"/>
      <c r="AF59" s="215"/>
      <c r="AG59" s="215"/>
      <c r="AH59" s="217"/>
      <c r="AI59" s="217"/>
      <c r="AJ59" s="213"/>
    </row>
    <row r="60" spans="1:36" ht="33.75" customHeight="1">
      <c r="A60" s="213"/>
      <c r="B60" s="214">
        <f ca="1">IFERROR(__xludf.DUMMYFUNCTION("""COMPUTED_VALUE"""),2822392)</f>
        <v>2822392</v>
      </c>
      <c r="C60" s="215" t="str">
        <f ca="1">IFERROR(__xludf.DUMMYFUNCTION("""COMPUTED_VALUE"""),"Beginner + Intermediate")</f>
        <v>Beginner + Intermediate</v>
      </c>
      <c r="D60" s="216" t="str">
        <f ca="1">IFERROR(__xludf.DUMMYFUNCTION("""COMPUTED_VALUE"""),"Mixtape: Learning Highlights on Personal Effectiveness")</f>
        <v>Mixtape: Learning Highlights on Personal Effectiveness</v>
      </c>
      <c r="E60" s="217"/>
      <c r="F60" s="213"/>
      <c r="G60" s="214"/>
      <c r="H60" s="215"/>
      <c r="I60" s="217"/>
      <c r="J60" s="217"/>
      <c r="K60" s="213"/>
      <c r="L60" s="215">
        <f ca="1">IFERROR(__xludf.DUMMYFUNCTION("""COMPUTED_VALUE"""),428124)</f>
        <v>428124</v>
      </c>
      <c r="M60" s="215" t="str">
        <f ca="1">IFERROR(__xludf.DUMMYFUNCTION("""COMPUTED_VALUE"""),"All levels")</f>
        <v>All levels</v>
      </c>
      <c r="N60" s="217" t="str">
        <f ca="1">IFERROR(__xludf.DUMMYFUNCTION("""COMPUTED_VALUE"""),"Reuniones eficaces")</f>
        <v>Reuniones eficaces</v>
      </c>
      <c r="O60" s="217"/>
      <c r="P60" s="213"/>
      <c r="Q60" s="215"/>
      <c r="R60" s="215"/>
      <c r="S60" s="217"/>
      <c r="T60" s="217"/>
      <c r="U60" s="213"/>
      <c r="V60" s="215"/>
      <c r="W60" s="215"/>
      <c r="X60" s="217"/>
      <c r="Y60" s="217"/>
      <c r="Z60" s="213"/>
      <c r="AA60" s="215"/>
      <c r="AB60" s="215"/>
      <c r="AC60" s="217"/>
      <c r="AD60" s="217"/>
      <c r="AE60" s="213"/>
      <c r="AF60" s="215"/>
      <c r="AG60" s="215"/>
      <c r="AH60" s="217"/>
      <c r="AI60" s="217"/>
      <c r="AJ60" s="213"/>
    </row>
    <row r="61" spans="1:36" ht="33.75" customHeight="1">
      <c r="A61" s="213"/>
      <c r="B61" s="214">
        <f ca="1">IFERROR(__xludf.DUMMYFUNCTION("""COMPUTED_VALUE"""),2424406)</f>
        <v>2424406</v>
      </c>
      <c r="C61" s="215" t="str">
        <f ca="1">IFERROR(__xludf.DUMMYFUNCTION("""COMPUTED_VALUE"""),"General")</f>
        <v>General</v>
      </c>
      <c r="D61" s="216" t="str">
        <f ca="1">IFERROR(__xludf.DUMMYFUNCTION("""COMPUTED_VALUE"""),"Overcome Overthinking")</f>
        <v>Overcome Overthinking</v>
      </c>
      <c r="E61" s="217"/>
      <c r="F61" s="213"/>
      <c r="G61" s="214"/>
      <c r="H61" s="215"/>
      <c r="I61" s="217"/>
      <c r="J61" s="217"/>
      <c r="K61" s="213"/>
      <c r="L61" s="215">
        <f ca="1">IFERROR(__xludf.DUMMYFUNCTION("""COMPUTED_VALUE"""),2875067)</f>
        <v>2875067</v>
      </c>
      <c r="M61" s="215" t="str">
        <f ca="1">IFERROR(__xludf.DUMMYFUNCTION("""COMPUTED_VALUE"""),"Beginner")</f>
        <v>Beginner</v>
      </c>
      <c r="N61" s="217" t="str">
        <f ca="1">IFERROR(__xludf.DUMMYFUNCTION("""COMPUTED_VALUE"""),"Técnicas de resolución de problemas")</f>
        <v>Técnicas de resolución de problemas</v>
      </c>
      <c r="O61" s="217"/>
      <c r="P61" s="213"/>
      <c r="Q61" s="215"/>
      <c r="R61" s="215"/>
      <c r="S61" s="217"/>
      <c r="T61" s="217"/>
      <c r="U61" s="213"/>
      <c r="V61" s="215"/>
      <c r="W61" s="215"/>
      <c r="X61" s="217"/>
      <c r="Y61" s="217"/>
      <c r="Z61" s="213"/>
      <c r="AA61" s="215"/>
      <c r="AB61" s="215"/>
      <c r="AC61" s="217"/>
      <c r="AD61" s="217"/>
      <c r="AE61" s="213"/>
      <c r="AF61" s="215"/>
      <c r="AG61" s="215"/>
      <c r="AH61" s="217"/>
      <c r="AI61" s="217"/>
      <c r="AJ61" s="213"/>
    </row>
    <row r="62" spans="1:36" ht="33.75" customHeight="1">
      <c r="A62" s="213"/>
      <c r="B62" s="214">
        <f ca="1">IFERROR(__xludf.DUMMYFUNCTION("""COMPUTED_VALUE"""),170777)</f>
        <v>170777</v>
      </c>
      <c r="C62" s="215" t="str">
        <f ca="1">IFERROR(__xludf.DUMMYFUNCTION("""COMPUTED_VALUE"""),"General")</f>
        <v>General</v>
      </c>
      <c r="D62" s="216" t="str">
        <f ca="1">IFERROR(__xludf.DUMMYFUNCTION("""COMPUTED_VALUE"""),"Building Resilience")</f>
        <v>Building Resilience</v>
      </c>
      <c r="E62" s="217"/>
      <c r="F62" s="213"/>
      <c r="G62" s="214"/>
      <c r="H62" s="215"/>
      <c r="I62" s="217"/>
      <c r="J62" s="217"/>
      <c r="K62" s="213"/>
      <c r="L62" s="215">
        <f ca="1">IFERROR(__xludf.DUMMYFUNCTION("""COMPUTED_VALUE"""),2810235)</f>
        <v>2810235</v>
      </c>
      <c r="M62" s="215" t="str">
        <f ca="1">IFERROR(__xludf.DUMMYFUNCTION("""COMPUTED_VALUE"""),"All levels")</f>
        <v>All levels</v>
      </c>
      <c r="N62" s="217" t="str">
        <f ca="1">IFERROR(__xludf.DUMMYFUNCTION("""COMPUTED_VALUE"""),"Vitalidad y capacidad de concentración a través de la alimentación sana")</f>
        <v>Vitalidad y capacidad de concentración a través de la alimentación sana</v>
      </c>
      <c r="O62" s="217"/>
      <c r="P62" s="213"/>
      <c r="Q62" s="215"/>
      <c r="R62" s="215"/>
      <c r="S62" s="217"/>
      <c r="T62" s="217"/>
      <c r="U62" s="213"/>
      <c r="V62" s="215"/>
      <c r="W62" s="215"/>
      <c r="X62" s="217"/>
      <c r="Y62" s="217"/>
      <c r="Z62" s="213"/>
      <c r="AA62" s="215"/>
      <c r="AB62" s="215"/>
      <c r="AC62" s="217"/>
      <c r="AD62" s="217"/>
      <c r="AE62" s="213"/>
      <c r="AF62" s="215"/>
      <c r="AG62" s="215"/>
      <c r="AH62" s="217"/>
      <c r="AI62" s="217"/>
      <c r="AJ62" s="213"/>
    </row>
    <row r="63" spans="1:36" ht="33.75" customHeight="1">
      <c r="A63" s="213"/>
      <c r="B63" s="214">
        <f ca="1">IFERROR(__xludf.DUMMYFUNCTION("""COMPUTED_VALUE"""),777381)</f>
        <v>777381</v>
      </c>
      <c r="C63" s="215" t="str">
        <f ca="1">IFERROR(__xludf.DUMMYFUNCTION("""COMPUTED_VALUE"""),"General")</f>
        <v>General</v>
      </c>
      <c r="D63" s="216" t="str">
        <f ca="1">IFERROR(__xludf.DUMMYFUNCTION("""COMPUTED_VALUE"""),"Delivering Results Effectively")</f>
        <v>Delivering Results Effectively</v>
      </c>
      <c r="E63" s="217"/>
      <c r="F63" s="213"/>
      <c r="G63" s="214"/>
      <c r="H63" s="215"/>
      <c r="I63" s="217"/>
      <c r="J63" s="217"/>
      <c r="K63" s="213"/>
      <c r="L63" s="215"/>
      <c r="M63" s="215"/>
      <c r="N63" s="217"/>
      <c r="O63" s="217"/>
      <c r="P63" s="213"/>
      <c r="Q63" s="215"/>
      <c r="R63" s="215"/>
      <c r="S63" s="217"/>
      <c r="T63" s="217"/>
      <c r="U63" s="213"/>
      <c r="V63" s="215"/>
      <c r="W63" s="215"/>
      <c r="X63" s="217"/>
      <c r="Y63" s="217"/>
      <c r="Z63" s="213"/>
      <c r="AA63" s="215"/>
      <c r="AB63" s="215"/>
      <c r="AC63" s="217"/>
      <c r="AD63" s="217"/>
      <c r="AE63" s="213"/>
      <c r="AF63" s="215"/>
      <c r="AG63" s="215"/>
      <c r="AH63" s="217"/>
      <c r="AI63" s="217"/>
      <c r="AJ63" s="213"/>
    </row>
    <row r="64" spans="1:36" ht="33.75" customHeight="1">
      <c r="A64" s="213"/>
      <c r="B64" s="214">
        <f ca="1">IFERROR(__xludf.DUMMYFUNCTION("""COMPUTED_VALUE"""),718618)</f>
        <v>718618</v>
      </c>
      <c r="C64" s="215" t="str">
        <f ca="1">IFERROR(__xludf.DUMMYFUNCTION("""COMPUTED_VALUE"""),"General")</f>
        <v>General</v>
      </c>
      <c r="D64" s="216" t="str">
        <f ca="1">IFERROR(__xludf.DUMMYFUNCTION("""COMPUTED_VALUE"""),"Enhancing Resilience")</f>
        <v>Enhancing Resilience</v>
      </c>
      <c r="E64" s="217"/>
      <c r="F64" s="213"/>
      <c r="G64" s="214"/>
      <c r="H64" s="215"/>
      <c r="I64" s="217"/>
      <c r="J64" s="217"/>
      <c r="K64" s="213"/>
      <c r="L64" s="215"/>
      <c r="M64" s="215"/>
      <c r="N64" s="217"/>
      <c r="O64" s="217"/>
      <c r="P64" s="213"/>
      <c r="Q64" s="215"/>
      <c r="R64" s="215"/>
      <c r="S64" s="217"/>
      <c r="T64" s="217"/>
      <c r="U64" s="213"/>
      <c r="V64" s="215"/>
      <c r="W64" s="215"/>
      <c r="X64" s="217"/>
      <c r="Y64" s="217"/>
      <c r="Z64" s="213"/>
      <c r="AA64" s="215"/>
      <c r="AB64" s="215"/>
      <c r="AC64" s="217"/>
      <c r="AD64" s="217"/>
      <c r="AE64" s="213"/>
      <c r="AF64" s="215"/>
      <c r="AG64" s="215"/>
      <c r="AH64" s="217"/>
      <c r="AI64" s="217"/>
      <c r="AJ64" s="213"/>
    </row>
    <row r="65" spans="1:36" ht="33.75" customHeight="1">
      <c r="A65" s="213"/>
      <c r="B65" s="214">
        <f ca="1">IFERROR(__xludf.DUMMYFUNCTION("""COMPUTED_VALUE"""),458640)</f>
        <v>458640</v>
      </c>
      <c r="C65" s="215" t="str">
        <f ca="1">IFERROR(__xludf.DUMMYFUNCTION("""COMPUTED_VALUE"""),"General")</f>
        <v>General</v>
      </c>
      <c r="D65" s="216" t="str">
        <f ca="1">IFERROR(__xludf.DUMMYFUNCTION("""COMPUTED_VALUE"""),"Fred Kofman on Accountability")</f>
        <v>Fred Kofman on Accountability</v>
      </c>
      <c r="E65" s="217"/>
      <c r="F65" s="213"/>
      <c r="G65" s="214"/>
      <c r="H65" s="215"/>
      <c r="I65" s="217"/>
      <c r="J65" s="217"/>
      <c r="K65" s="213"/>
      <c r="L65" s="215"/>
      <c r="M65" s="215"/>
      <c r="N65" s="217"/>
      <c r="O65" s="217"/>
      <c r="P65" s="213"/>
      <c r="Q65" s="215"/>
      <c r="R65" s="215"/>
      <c r="S65" s="217"/>
      <c r="T65" s="217"/>
      <c r="U65" s="213"/>
      <c r="V65" s="215"/>
      <c r="W65" s="215"/>
      <c r="X65" s="217"/>
      <c r="Y65" s="217"/>
      <c r="Z65" s="213"/>
      <c r="AA65" s="215"/>
      <c r="AB65" s="215"/>
      <c r="AC65" s="217"/>
      <c r="AD65" s="217"/>
      <c r="AE65" s="213"/>
      <c r="AF65" s="215"/>
      <c r="AG65" s="215"/>
      <c r="AH65" s="217"/>
      <c r="AI65" s="217"/>
      <c r="AJ65" s="213"/>
    </row>
    <row r="66" spans="1:36" ht="33.75" customHeight="1">
      <c r="A66" s="213"/>
      <c r="B66" s="214">
        <f ca="1">IFERROR(__xludf.DUMMYFUNCTION("""COMPUTED_VALUE"""),458641)</f>
        <v>458641</v>
      </c>
      <c r="C66" s="215" t="str">
        <f ca="1">IFERROR(__xludf.DUMMYFUNCTION("""COMPUTED_VALUE"""),"General")</f>
        <v>General</v>
      </c>
      <c r="D66" s="216" t="str">
        <f ca="1">IFERROR(__xludf.DUMMYFUNCTION("""COMPUTED_VALUE"""),"Fred Kofman on Making Commitments")</f>
        <v>Fred Kofman on Making Commitments</v>
      </c>
      <c r="E66" s="217"/>
      <c r="F66" s="213"/>
      <c r="G66" s="214"/>
      <c r="H66" s="215"/>
      <c r="I66" s="217"/>
      <c r="J66" s="217"/>
      <c r="K66" s="213"/>
      <c r="L66" s="215"/>
      <c r="M66" s="215"/>
      <c r="N66" s="217"/>
      <c r="O66" s="217"/>
      <c r="P66" s="213"/>
      <c r="Q66" s="215"/>
      <c r="R66" s="215"/>
      <c r="S66" s="217"/>
      <c r="T66" s="217"/>
      <c r="U66" s="213"/>
      <c r="V66" s="215"/>
      <c r="W66" s="215"/>
      <c r="X66" s="217"/>
      <c r="Y66" s="217"/>
      <c r="Z66" s="213"/>
      <c r="AA66" s="215"/>
      <c r="AB66" s="215"/>
      <c r="AC66" s="217"/>
      <c r="AD66" s="217"/>
      <c r="AE66" s="213"/>
      <c r="AF66" s="215"/>
      <c r="AG66" s="215"/>
      <c r="AH66" s="217"/>
      <c r="AI66" s="217"/>
      <c r="AJ66" s="213"/>
    </row>
    <row r="67" spans="1:36" ht="33.75" customHeight="1">
      <c r="A67" s="213"/>
      <c r="B67" s="214">
        <f ca="1">IFERROR(__xludf.DUMMYFUNCTION("""COMPUTED_VALUE"""),170776)</f>
        <v>170776</v>
      </c>
      <c r="C67" s="215" t="str">
        <f ca="1">IFERROR(__xludf.DUMMYFUNCTION("""COMPUTED_VALUE"""),"General")</f>
        <v>General</v>
      </c>
      <c r="D67" s="216" t="str">
        <f ca="1">IFERROR(__xludf.DUMMYFUNCTION("""COMPUTED_VALUE"""),"Getting Things Done")</f>
        <v>Getting Things Done</v>
      </c>
      <c r="E67" s="217"/>
      <c r="F67" s="213"/>
      <c r="G67" s="214"/>
      <c r="H67" s="215"/>
      <c r="I67" s="217"/>
      <c r="J67" s="217"/>
      <c r="K67" s="213"/>
      <c r="L67" s="215"/>
      <c r="M67" s="215"/>
      <c r="N67" s="217"/>
      <c r="O67" s="217"/>
      <c r="P67" s="213"/>
      <c r="Q67" s="215"/>
      <c r="R67" s="215"/>
      <c r="S67" s="217"/>
      <c r="T67" s="217"/>
      <c r="U67" s="213"/>
      <c r="V67" s="215"/>
      <c r="W67" s="215"/>
      <c r="X67" s="217"/>
      <c r="Y67" s="217"/>
      <c r="Z67" s="213"/>
      <c r="AA67" s="215"/>
      <c r="AB67" s="215"/>
      <c r="AC67" s="217"/>
      <c r="AD67" s="217"/>
      <c r="AE67" s="213"/>
      <c r="AF67" s="215"/>
      <c r="AG67" s="215"/>
      <c r="AH67" s="217"/>
      <c r="AI67" s="217"/>
      <c r="AJ67" s="213"/>
    </row>
    <row r="68" spans="1:36" ht="33.75" customHeight="1">
      <c r="A68" s="213"/>
      <c r="B68" s="214">
        <f ca="1">IFERROR(__xludf.DUMMYFUNCTION("""COMPUTED_VALUE"""),533302)</f>
        <v>533302</v>
      </c>
      <c r="C68" s="215" t="str">
        <f ca="1">IFERROR(__xludf.DUMMYFUNCTION("""COMPUTED_VALUE"""),"General")</f>
        <v>General</v>
      </c>
      <c r="D68" s="216" t="str">
        <f ca="1">IFERROR(__xludf.DUMMYFUNCTION("""COMPUTED_VALUE"""),"Improving Your Focus")</f>
        <v>Improving Your Focus</v>
      </c>
      <c r="E68" s="217"/>
      <c r="F68" s="213"/>
      <c r="G68" s="214"/>
      <c r="H68" s="215"/>
      <c r="I68" s="217"/>
      <c r="J68" s="217"/>
      <c r="K68" s="213"/>
      <c r="L68" s="215"/>
      <c r="M68" s="215"/>
      <c r="N68" s="217"/>
      <c r="O68" s="217"/>
      <c r="P68" s="213"/>
      <c r="Q68" s="215"/>
      <c r="R68" s="215"/>
      <c r="S68" s="217"/>
      <c r="T68" s="217"/>
      <c r="U68" s="213"/>
      <c r="V68" s="215"/>
      <c r="W68" s="215"/>
      <c r="X68" s="217"/>
      <c r="Y68" s="217"/>
      <c r="Z68" s="213"/>
      <c r="AA68" s="215"/>
      <c r="AB68" s="215"/>
      <c r="AC68" s="217"/>
      <c r="AD68" s="217"/>
      <c r="AE68" s="213"/>
      <c r="AF68" s="215"/>
      <c r="AG68" s="215"/>
      <c r="AH68" s="217"/>
      <c r="AI68" s="217"/>
      <c r="AJ68" s="213"/>
    </row>
    <row r="69" spans="1:36" ht="33.75" customHeight="1">
      <c r="A69" s="213"/>
      <c r="B69" s="214">
        <f ca="1">IFERROR(__xludf.DUMMYFUNCTION("""COMPUTED_VALUE"""),734629)</f>
        <v>734629</v>
      </c>
      <c r="C69" s="215" t="str">
        <f ca="1">IFERROR(__xludf.DUMMYFUNCTION("""COMPUTED_VALUE"""),"General")</f>
        <v>General</v>
      </c>
      <c r="D69" s="216" t="str">
        <f ca="1">IFERROR(__xludf.DUMMYFUNCTION("""COMPUTED_VALUE"""),"Overcoming Procrastination")</f>
        <v>Overcoming Procrastination</v>
      </c>
      <c r="E69" s="217"/>
      <c r="F69" s="213"/>
      <c r="G69" s="214"/>
      <c r="H69" s="215"/>
      <c r="I69" s="217"/>
      <c r="J69" s="217"/>
      <c r="K69" s="213"/>
      <c r="L69" s="215"/>
      <c r="M69" s="215"/>
      <c r="N69" s="217"/>
      <c r="O69" s="217"/>
      <c r="P69" s="213"/>
      <c r="Q69" s="215"/>
      <c r="R69" s="215"/>
      <c r="S69" s="217"/>
      <c r="T69" s="217"/>
      <c r="U69" s="213"/>
      <c r="V69" s="215"/>
      <c r="W69" s="215"/>
      <c r="X69" s="217"/>
      <c r="Y69" s="217"/>
      <c r="Z69" s="213"/>
      <c r="AA69" s="215"/>
      <c r="AB69" s="215"/>
      <c r="AC69" s="217"/>
      <c r="AD69" s="217"/>
      <c r="AE69" s="213"/>
      <c r="AF69" s="215"/>
      <c r="AG69" s="215"/>
      <c r="AH69" s="217"/>
      <c r="AI69" s="217"/>
      <c r="AJ69" s="213"/>
    </row>
    <row r="70" spans="1:36" ht="33.75" customHeight="1">
      <c r="A70" s="213"/>
      <c r="B70" s="214">
        <f ca="1">IFERROR(__xludf.DUMMYFUNCTION("""COMPUTED_VALUE"""),669533)</f>
        <v>669533</v>
      </c>
      <c r="C70" s="215" t="str">
        <f ca="1">IFERROR(__xludf.DUMMYFUNCTION("""COMPUTED_VALUE"""),"General")</f>
        <v>General</v>
      </c>
      <c r="D70" s="216" t="str">
        <f ca="1">IFERROR(__xludf.DUMMYFUNCTION("""COMPUTED_VALUE"""),"Sheryl Sandberg and Adam Grant on Option B: Building Resilience")</f>
        <v>Sheryl Sandberg and Adam Grant on Option B: Building Resilience</v>
      </c>
      <c r="E70" s="217"/>
      <c r="F70" s="213"/>
      <c r="G70" s="214"/>
      <c r="H70" s="215"/>
      <c r="I70" s="217"/>
      <c r="J70" s="217"/>
      <c r="K70" s="213"/>
      <c r="L70" s="215"/>
      <c r="M70" s="215"/>
      <c r="N70" s="217"/>
      <c r="O70" s="217"/>
      <c r="P70" s="213"/>
      <c r="Q70" s="215"/>
      <c r="R70" s="215"/>
      <c r="S70" s="217"/>
      <c r="T70" s="217"/>
      <c r="U70" s="213"/>
      <c r="V70" s="215"/>
      <c r="W70" s="215"/>
      <c r="X70" s="217"/>
      <c r="Y70" s="217"/>
      <c r="Z70" s="213"/>
      <c r="AA70" s="215"/>
      <c r="AB70" s="215"/>
      <c r="AC70" s="217"/>
      <c r="AD70" s="217"/>
      <c r="AE70" s="213"/>
      <c r="AF70" s="215"/>
      <c r="AG70" s="215"/>
      <c r="AH70" s="217"/>
      <c r="AI70" s="217"/>
      <c r="AJ70" s="213"/>
    </row>
    <row r="71" spans="1:36" ht="33.75" customHeight="1">
      <c r="A71" s="213"/>
      <c r="B71" s="214">
        <f ca="1">IFERROR(__xludf.DUMMYFUNCTION("""COMPUTED_VALUE"""),397387)</f>
        <v>397387</v>
      </c>
      <c r="C71" s="215" t="str">
        <f ca="1">IFERROR(__xludf.DUMMYFUNCTION("""COMPUTED_VALUE"""),"General")</f>
        <v>General</v>
      </c>
      <c r="D71" s="216" t="str">
        <f ca="1">IFERROR(__xludf.DUMMYFUNCTION("""COMPUTED_VALUE"""),"Time Management Fundamentals")</f>
        <v>Time Management Fundamentals</v>
      </c>
      <c r="E71" s="217"/>
      <c r="F71" s="213"/>
      <c r="G71" s="214"/>
      <c r="H71" s="215"/>
      <c r="I71" s="217"/>
      <c r="J71" s="217"/>
      <c r="K71" s="213"/>
      <c r="L71" s="215"/>
      <c r="M71" s="215"/>
      <c r="N71" s="217"/>
      <c r="O71" s="217"/>
      <c r="P71" s="213"/>
      <c r="Q71" s="215"/>
      <c r="R71" s="215"/>
      <c r="S71" s="217"/>
      <c r="T71" s="217"/>
      <c r="U71" s="213"/>
      <c r="V71" s="215"/>
      <c r="W71" s="215"/>
      <c r="X71" s="217"/>
      <c r="Y71" s="217"/>
      <c r="Z71" s="213"/>
      <c r="AA71" s="215"/>
      <c r="AB71" s="215"/>
      <c r="AC71" s="217"/>
      <c r="AD71" s="217"/>
      <c r="AE71" s="213"/>
      <c r="AF71" s="215"/>
      <c r="AG71" s="215"/>
      <c r="AH71" s="217"/>
      <c r="AI71" s="217"/>
      <c r="AJ71" s="213"/>
    </row>
    <row r="72" spans="1:36" ht="33.75" customHeight="1">
      <c r="A72" s="213"/>
      <c r="B72" s="214">
        <f ca="1">IFERROR(__xludf.DUMMYFUNCTION("""COMPUTED_VALUE"""),580626)</f>
        <v>580626</v>
      </c>
      <c r="C72" s="215" t="str">
        <f ca="1">IFERROR(__xludf.DUMMYFUNCTION("""COMPUTED_VALUE"""),"General")</f>
        <v>General</v>
      </c>
      <c r="D72" s="216" t="str">
        <f ca="1">IFERROR(__xludf.DUMMYFUNCTION("""COMPUTED_VALUE"""),"Personal Effectiveness Tips")</f>
        <v>Personal Effectiveness Tips</v>
      </c>
      <c r="E72" s="217"/>
      <c r="F72" s="213"/>
      <c r="G72" s="214"/>
      <c r="H72" s="215"/>
      <c r="I72" s="217"/>
      <c r="J72" s="217"/>
      <c r="K72" s="213"/>
      <c r="L72" s="215"/>
      <c r="M72" s="215"/>
      <c r="N72" s="217"/>
      <c r="O72" s="217"/>
      <c r="P72" s="213"/>
      <c r="Q72" s="215"/>
      <c r="R72" s="215"/>
      <c r="S72" s="217"/>
      <c r="T72" s="217"/>
      <c r="U72" s="213"/>
      <c r="V72" s="215"/>
      <c r="W72" s="215"/>
      <c r="X72" s="217"/>
      <c r="Y72" s="217"/>
      <c r="Z72" s="213"/>
      <c r="AA72" s="215"/>
      <c r="AB72" s="215"/>
      <c r="AC72" s="217"/>
      <c r="AD72" s="217"/>
      <c r="AE72" s="213"/>
      <c r="AF72" s="215"/>
      <c r="AG72" s="215"/>
      <c r="AH72" s="217"/>
      <c r="AI72" s="217"/>
      <c r="AJ72" s="213"/>
    </row>
    <row r="73" spans="1:36" ht="33.75" customHeight="1">
      <c r="A73" s="213"/>
      <c r="B73" s="214">
        <f ca="1">IFERROR(__xludf.DUMMYFUNCTION("""COMPUTED_VALUE"""),387349)</f>
        <v>387349</v>
      </c>
      <c r="C73" s="215" t="str">
        <f ca="1">IFERROR(__xludf.DUMMYFUNCTION("""COMPUTED_VALUE"""),"General")</f>
        <v>General</v>
      </c>
      <c r="D73" s="216" t="str">
        <f ca="1">IFERROR(__xludf.DUMMYFUNCTION("""COMPUTED_VALUE"""),"Powerless to Powerful: Taking Control")</f>
        <v>Powerless to Powerful: Taking Control</v>
      </c>
      <c r="E73" s="217"/>
      <c r="F73" s="213"/>
      <c r="G73" s="214"/>
      <c r="H73" s="215"/>
      <c r="I73" s="217"/>
      <c r="J73" s="217"/>
      <c r="K73" s="213"/>
      <c r="L73" s="215"/>
      <c r="M73" s="215"/>
      <c r="N73" s="217"/>
      <c r="O73" s="217"/>
      <c r="P73" s="213"/>
      <c r="Q73" s="215"/>
      <c r="R73" s="215"/>
      <c r="S73" s="217"/>
      <c r="T73" s="217"/>
      <c r="U73" s="213"/>
      <c r="V73" s="215"/>
      <c r="W73" s="215"/>
      <c r="X73" s="217"/>
      <c r="Y73" s="217"/>
      <c r="Z73" s="213"/>
      <c r="AA73" s="215"/>
      <c r="AB73" s="215"/>
      <c r="AC73" s="217"/>
      <c r="AD73" s="217"/>
      <c r="AE73" s="213"/>
      <c r="AF73" s="215"/>
      <c r="AG73" s="215"/>
      <c r="AH73" s="217"/>
      <c r="AI73" s="217"/>
      <c r="AJ73" s="213"/>
    </row>
    <row r="74" spans="1:36" ht="33.75" customHeight="1">
      <c r="A74" s="213"/>
      <c r="B74" s="214">
        <f ca="1">IFERROR(__xludf.DUMMYFUNCTION("""COMPUTED_VALUE"""),737763)</f>
        <v>737763</v>
      </c>
      <c r="C74" s="215" t="str">
        <f ca="1">IFERROR(__xludf.DUMMYFUNCTION("""COMPUTED_VALUE"""),"General")</f>
        <v>General</v>
      </c>
      <c r="D74" s="216" t="str">
        <f ca="1">IFERROR(__xludf.DUMMYFUNCTION("""COMPUTED_VALUE"""),"Prioritizing Your Tasks")</f>
        <v>Prioritizing Your Tasks</v>
      </c>
      <c r="E74" s="217"/>
      <c r="F74" s="213"/>
      <c r="G74" s="214"/>
      <c r="H74" s="215"/>
      <c r="I74" s="217"/>
      <c r="J74" s="217"/>
      <c r="K74" s="213"/>
      <c r="L74" s="215"/>
      <c r="M74" s="215"/>
      <c r="N74" s="217"/>
      <c r="O74" s="217"/>
      <c r="P74" s="213"/>
      <c r="Q74" s="215"/>
      <c r="R74" s="215"/>
      <c r="S74" s="217"/>
      <c r="T74" s="217"/>
      <c r="U74" s="213"/>
      <c r="V74" s="215"/>
      <c r="W74" s="215"/>
      <c r="X74" s="217"/>
      <c r="Y74" s="217"/>
      <c r="Z74" s="213"/>
      <c r="AA74" s="215"/>
      <c r="AB74" s="215"/>
      <c r="AC74" s="217"/>
      <c r="AD74" s="217"/>
      <c r="AE74" s="213"/>
      <c r="AF74" s="215"/>
      <c r="AG74" s="215"/>
      <c r="AH74" s="217"/>
      <c r="AI74" s="217"/>
      <c r="AJ74" s="213"/>
    </row>
    <row r="75" spans="1:36" ht="33.75" customHeight="1">
      <c r="A75" s="213"/>
      <c r="B75" s="214">
        <f ca="1">IFERROR(__xludf.DUMMYFUNCTION("""COMPUTED_VALUE"""),2242041)</f>
        <v>2242041</v>
      </c>
      <c r="C75" s="215" t="str">
        <f ca="1">IFERROR(__xludf.DUMMYFUNCTION("""COMPUTED_VALUE"""),"General")</f>
        <v>General</v>
      </c>
      <c r="D75" s="216" t="str">
        <f ca="1">IFERROR(__xludf.DUMMYFUNCTION("""COMPUTED_VALUE"""),"Stepping Up: How Taking Responsibility Changes Everything (getAbstract Summary)")</f>
        <v>Stepping Up: How Taking Responsibility Changes Everything (getAbstract Summary)</v>
      </c>
      <c r="E75" s="217"/>
      <c r="F75" s="213"/>
      <c r="G75" s="214"/>
      <c r="H75" s="215"/>
      <c r="I75" s="217"/>
      <c r="J75" s="217"/>
      <c r="K75" s="213"/>
      <c r="L75" s="215"/>
      <c r="M75" s="215"/>
      <c r="N75" s="217"/>
      <c r="O75" s="217"/>
      <c r="P75" s="213"/>
      <c r="Q75" s="215"/>
      <c r="R75" s="215"/>
      <c r="S75" s="217"/>
      <c r="T75" s="217"/>
      <c r="U75" s="213"/>
      <c r="V75" s="215"/>
      <c r="W75" s="215"/>
      <c r="X75" s="217"/>
      <c r="Y75" s="217"/>
      <c r="Z75" s="213"/>
      <c r="AA75" s="215"/>
      <c r="AB75" s="215"/>
      <c r="AC75" s="217"/>
      <c r="AD75" s="217"/>
      <c r="AE75" s="213"/>
      <c r="AF75" s="215"/>
      <c r="AG75" s="215"/>
      <c r="AH75" s="217"/>
      <c r="AI75" s="217"/>
      <c r="AJ75" s="213"/>
    </row>
    <row r="76" spans="1:36" ht="33.75" customHeight="1">
      <c r="A76" s="213"/>
      <c r="B76" s="214">
        <f ca="1">IFERROR(__xludf.DUMMYFUNCTION("""COMPUTED_VALUE"""),2244043)</f>
        <v>2244043</v>
      </c>
      <c r="C76" s="215" t="str">
        <f ca="1">IFERROR(__xludf.DUMMYFUNCTION("""COMPUTED_VALUE"""),"General")</f>
        <v>General</v>
      </c>
      <c r="D76" s="216" t="str">
        <f ca="1">IFERROR(__xludf.DUMMYFUNCTION("""COMPUTED_VALUE"""),"What to Do When There's Too Much to Do (getAbstract Summary)")</f>
        <v>What to Do When There's Too Much to Do (getAbstract Summary)</v>
      </c>
      <c r="E76" s="217"/>
      <c r="F76" s="213"/>
      <c r="G76" s="214"/>
      <c r="H76" s="215"/>
      <c r="I76" s="217"/>
      <c r="J76" s="217"/>
      <c r="K76" s="213"/>
      <c r="L76" s="215"/>
      <c r="M76" s="215"/>
      <c r="N76" s="217"/>
      <c r="O76" s="217"/>
      <c r="P76" s="213"/>
      <c r="Q76" s="215"/>
      <c r="R76" s="215"/>
      <c r="S76" s="217"/>
      <c r="T76" s="217"/>
      <c r="U76" s="213"/>
      <c r="V76" s="215"/>
      <c r="W76" s="215"/>
      <c r="X76" s="217"/>
      <c r="Y76" s="217"/>
      <c r="Z76" s="213"/>
      <c r="AA76" s="215"/>
      <c r="AB76" s="215"/>
      <c r="AC76" s="217"/>
      <c r="AD76" s="217"/>
      <c r="AE76" s="213"/>
      <c r="AF76" s="215"/>
      <c r="AG76" s="215"/>
      <c r="AH76" s="217"/>
      <c r="AI76" s="217"/>
      <c r="AJ76" s="213"/>
    </row>
    <row r="77" spans="1:36" ht="33.75" customHeight="1">
      <c r="A77" s="213"/>
      <c r="B77" s="214">
        <f ca="1">IFERROR(__xludf.DUMMYFUNCTION("""COMPUTED_VALUE"""),2805120)</f>
        <v>2805120</v>
      </c>
      <c r="C77" s="215" t="str">
        <f ca="1">IFERROR(__xludf.DUMMYFUNCTION("""COMPUTED_VALUE"""),"General")</f>
        <v>General</v>
      </c>
      <c r="D77" s="216" t="str">
        <f ca="1">IFERROR(__xludf.DUMMYFUNCTION("""COMPUTED_VALUE"""),"Improving the Value of Your Time")</f>
        <v>Improving the Value of Your Time</v>
      </c>
      <c r="E77" s="217"/>
      <c r="F77" s="213"/>
      <c r="G77" s="214"/>
      <c r="H77" s="215"/>
      <c r="I77" s="217"/>
      <c r="J77" s="217"/>
      <c r="K77" s="213"/>
      <c r="L77" s="215"/>
      <c r="M77" s="215"/>
      <c r="N77" s="217"/>
      <c r="O77" s="217"/>
      <c r="P77" s="213"/>
      <c r="Q77" s="215"/>
      <c r="R77" s="215"/>
      <c r="S77" s="217"/>
      <c r="T77" s="217"/>
      <c r="U77" s="213"/>
      <c r="V77" s="215"/>
      <c r="W77" s="215"/>
      <c r="X77" s="217"/>
      <c r="Y77" s="217"/>
      <c r="Z77" s="213"/>
      <c r="AA77" s="215"/>
      <c r="AB77" s="215"/>
      <c r="AC77" s="217"/>
      <c r="AD77" s="217"/>
      <c r="AE77" s="213"/>
      <c r="AF77" s="215"/>
      <c r="AG77" s="215"/>
      <c r="AH77" s="217"/>
      <c r="AI77" s="217"/>
      <c r="AJ77" s="213"/>
    </row>
    <row r="78" spans="1:36" ht="33.75" customHeight="1">
      <c r="A78" s="213"/>
      <c r="B78" s="214">
        <f ca="1">IFERROR(__xludf.DUMMYFUNCTION("""COMPUTED_VALUE"""),2841516)</f>
        <v>2841516</v>
      </c>
      <c r="C78" s="215" t="str">
        <f ca="1">IFERROR(__xludf.DUMMYFUNCTION("""COMPUTED_VALUE"""),"General")</f>
        <v>General</v>
      </c>
      <c r="D78" s="216" t="str">
        <f ca="1">IFERROR(__xludf.DUMMYFUNCTION("""COMPUTED_VALUE"""),"Balancing Work and Life as a Work-from-Home Parent")</f>
        <v>Balancing Work and Life as a Work-from-Home Parent</v>
      </c>
      <c r="E78" s="217"/>
      <c r="F78" s="213"/>
      <c r="G78" s="214"/>
      <c r="H78" s="215"/>
      <c r="I78" s="217"/>
      <c r="J78" s="217"/>
      <c r="K78" s="213"/>
      <c r="L78" s="215"/>
      <c r="M78" s="215"/>
      <c r="N78" s="217"/>
      <c r="O78" s="217"/>
      <c r="P78" s="213"/>
      <c r="Q78" s="215"/>
      <c r="R78" s="215"/>
      <c r="S78" s="217"/>
      <c r="T78" s="217"/>
      <c r="U78" s="213"/>
      <c r="V78" s="215"/>
      <c r="W78" s="215"/>
      <c r="X78" s="217"/>
      <c r="Y78" s="217"/>
      <c r="Z78" s="213"/>
      <c r="AA78" s="215"/>
      <c r="AB78" s="215"/>
      <c r="AC78" s="217"/>
      <c r="AD78" s="217"/>
      <c r="AE78" s="213"/>
      <c r="AF78" s="215"/>
      <c r="AG78" s="215"/>
      <c r="AH78" s="217"/>
      <c r="AI78" s="217"/>
      <c r="AJ78" s="213"/>
    </row>
    <row r="79" spans="1:36" ht="33.75" customHeight="1">
      <c r="A79" s="213"/>
      <c r="B79" s="214">
        <f ca="1">IFERROR(__xludf.DUMMYFUNCTION("""COMPUTED_VALUE"""),2801187)</f>
        <v>2801187</v>
      </c>
      <c r="C79" s="215" t="str">
        <f ca="1">IFERROR(__xludf.DUMMYFUNCTION("""COMPUTED_VALUE"""),"General")</f>
        <v>General</v>
      </c>
      <c r="D79" s="216" t="str">
        <f ca="1">IFERROR(__xludf.DUMMYFUNCTION("""COMPUTED_VALUE"""),"Business Ethics")</f>
        <v>Business Ethics</v>
      </c>
      <c r="E79" s="217"/>
      <c r="F79" s="213"/>
      <c r="G79" s="214"/>
      <c r="H79" s="215"/>
      <c r="I79" s="217"/>
      <c r="J79" s="217"/>
      <c r="K79" s="213"/>
      <c r="L79" s="215"/>
      <c r="M79" s="215"/>
      <c r="N79" s="217"/>
      <c r="O79" s="217"/>
      <c r="P79" s="213"/>
      <c r="Q79" s="215"/>
      <c r="R79" s="215"/>
      <c r="S79" s="217"/>
      <c r="T79" s="217"/>
      <c r="U79" s="213"/>
      <c r="V79" s="215"/>
      <c r="W79" s="215"/>
      <c r="X79" s="217"/>
      <c r="Y79" s="217"/>
      <c r="Z79" s="213"/>
      <c r="AA79" s="215"/>
      <c r="AB79" s="215"/>
      <c r="AC79" s="217"/>
      <c r="AD79" s="217"/>
      <c r="AE79" s="213"/>
      <c r="AF79" s="215"/>
      <c r="AG79" s="215"/>
      <c r="AH79" s="217"/>
      <c r="AI79" s="217"/>
      <c r="AJ79" s="213"/>
    </row>
    <row r="80" spans="1:36" ht="33.75" customHeight="1">
      <c r="A80" s="213"/>
      <c r="B80" s="214">
        <f ca="1">IFERROR(__xludf.DUMMYFUNCTION("""COMPUTED_VALUE"""),2849188)</f>
        <v>2849188</v>
      </c>
      <c r="C80" s="215" t="str">
        <f ca="1">IFERROR(__xludf.DUMMYFUNCTION("""COMPUTED_VALUE"""),"General")</f>
        <v>General</v>
      </c>
      <c r="D80" s="216" t="str">
        <f ca="1">IFERROR(__xludf.DUMMYFUNCTION("""COMPUTED_VALUE"""),"Working from Home: Strategies for Success")</f>
        <v>Working from Home: Strategies for Success</v>
      </c>
      <c r="E80" s="217"/>
      <c r="F80" s="213"/>
      <c r="G80" s="214"/>
      <c r="H80" s="215"/>
      <c r="I80" s="217"/>
      <c r="J80" s="217"/>
      <c r="K80" s="213"/>
      <c r="L80" s="215"/>
      <c r="M80" s="215"/>
      <c r="N80" s="217"/>
      <c r="O80" s="217"/>
      <c r="P80" s="213"/>
      <c r="Q80" s="215"/>
      <c r="R80" s="215"/>
      <c r="S80" s="217"/>
      <c r="T80" s="217"/>
      <c r="U80" s="213"/>
      <c r="V80" s="215"/>
      <c r="W80" s="215"/>
      <c r="X80" s="217"/>
      <c r="Y80" s="217"/>
      <c r="Z80" s="213"/>
      <c r="AA80" s="215"/>
      <c r="AB80" s="215"/>
      <c r="AC80" s="217"/>
      <c r="AD80" s="217"/>
      <c r="AE80" s="213"/>
      <c r="AF80" s="215"/>
      <c r="AG80" s="215"/>
      <c r="AH80" s="217"/>
      <c r="AI80" s="217"/>
      <c r="AJ80" s="213"/>
    </row>
    <row r="81" spans="1:36" ht="33.75" customHeight="1">
      <c r="A81" s="213"/>
      <c r="B81" s="214">
        <f ca="1">IFERROR(__xludf.DUMMYFUNCTION("""COMPUTED_VALUE"""),2281181)</f>
        <v>2281181</v>
      </c>
      <c r="C81" s="215" t="str">
        <f ca="1">IFERROR(__xludf.DUMMYFUNCTION("""COMPUTED_VALUE"""),"General")</f>
        <v>General</v>
      </c>
      <c r="D81" s="216" t="str">
        <f ca="1">IFERROR(__xludf.DUMMYFUNCTION("""COMPUTED_VALUE"""),"The Power of Lists to Get Stuff Done")</f>
        <v>The Power of Lists to Get Stuff Done</v>
      </c>
      <c r="E81" s="217"/>
      <c r="F81" s="213"/>
      <c r="G81" s="214"/>
      <c r="H81" s="215"/>
      <c r="I81" s="217"/>
      <c r="J81" s="217"/>
      <c r="K81" s="213"/>
      <c r="L81" s="215"/>
      <c r="M81" s="215"/>
      <c r="N81" s="217"/>
      <c r="O81" s="217"/>
      <c r="P81" s="213"/>
      <c r="Q81" s="215"/>
      <c r="R81" s="215"/>
      <c r="S81" s="217"/>
      <c r="T81" s="217"/>
      <c r="U81" s="213"/>
      <c r="V81" s="215"/>
      <c r="W81" s="215"/>
      <c r="X81" s="217"/>
      <c r="Y81" s="217"/>
      <c r="Z81" s="213"/>
      <c r="AA81" s="215"/>
      <c r="AB81" s="215"/>
      <c r="AC81" s="217"/>
      <c r="AD81" s="217"/>
      <c r="AE81" s="213"/>
      <c r="AF81" s="215"/>
      <c r="AG81" s="215"/>
      <c r="AH81" s="217"/>
      <c r="AI81" s="217"/>
      <c r="AJ81" s="213"/>
    </row>
    <row r="82" spans="1:36" ht="33.75" customHeight="1">
      <c r="A82" s="213"/>
      <c r="B82" s="214">
        <f ca="1">IFERROR(__xludf.DUMMYFUNCTION("""COMPUTED_VALUE"""),2825740)</f>
        <v>2825740</v>
      </c>
      <c r="C82" s="215" t="str">
        <f ca="1">IFERROR(__xludf.DUMMYFUNCTION("""COMPUTED_VALUE"""),"General")</f>
        <v>General</v>
      </c>
      <c r="D82" s="216" t="str">
        <f ca="1">IFERROR(__xludf.DUMMYFUNCTION("""COMPUTED_VALUE"""),"Asking for Feedback as an Employee")</f>
        <v>Asking for Feedback as an Employee</v>
      </c>
      <c r="E82" s="217"/>
      <c r="F82" s="213"/>
      <c r="G82" s="214"/>
      <c r="H82" s="215"/>
      <c r="I82" s="217"/>
      <c r="J82" s="217"/>
      <c r="K82" s="213"/>
      <c r="L82" s="215"/>
      <c r="M82" s="215"/>
      <c r="N82" s="217"/>
      <c r="O82" s="217"/>
      <c r="P82" s="213"/>
      <c r="Q82" s="215"/>
      <c r="R82" s="215"/>
      <c r="S82" s="217"/>
      <c r="T82" s="217"/>
      <c r="U82" s="213"/>
      <c r="V82" s="215"/>
      <c r="W82" s="215"/>
      <c r="X82" s="217"/>
      <c r="Y82" s="217"/>
      <c r="Z82" s="213"/>
      <c r="AA82" s="215"/>
      <c r="AB82" s="215"/>
      <c r="AC82" s="217"/>
      <c r="AD82" s="217"/>
      <c r="AE82" s="213"/>
      <c r="AF82" s="215"/>
      <c r="AG82" s="215"/>
      <c r="AH82" s="217"/>
      <c r="AI82" s="217"/>
      <c r="AJ82" s="213"/>
    </row>
    <row r="83" spans="1:36" ht="33.75" customHeight="1">
      <c r="A83" s="213"/>
      <c r="B83" s="214">
        <f ca="1">IFERROR(__xludf.DUMMYFUNCTION("""COMPUTED_VALUE"""),3107148)</f>
        <v>3107148</v>
      </c>
      <c r="C83" s="215" t="str">
        <f ca="1">IFERROR(__xludf.DUMMYFUNCTION("""COMPUTED_VALUE"""),"General")</f>
        <v>General</v>
      </c>
      <c r="D83" s="216" t="str">
        <f ca="1">IFERROR(__xludf.DUMMYFUNCTION("""COMPUTED_VALUE"""),"Enhance Your Productivity with Effective Note-Taking")</f>
        <v>Enhance Your Productivity with Effective Note-Taking</v>
      </c>
      <c r="E83" s="217"/>
      <c r="F83" s="213"/>
      <c r="G83" s="214"/>
      <c r="H83" s="215"/>
      <c r="I83" s="217"/>
      <c r="J83" s="217"/>
      <c r="K83" s="213"/>
      <c r="L83" s="215"/>
      <c r="M83" s="215"/>
      <c r="N83" s="217"/>
      <c r="O83" s="217"/>
      <c r="P83" s="213"/>
      <c r="Q83" s="215"/>
      <c r="R83" s="215"/>
      <c r="S83" s="217"/>
      <c r="T83" s="217"/>
      <c r="U83" s="213"/>
      <c r="V83" s="215"/>
      <c r="W83" s="215"/>
      <c r="X83" s="217"/>
      <c r="Y83" s="217"/>
      <c r="Z83" s="213"/>
      <c r="AA83" s="215"/>
      <c r="AB83" s="215"/>
      <c r="AC83" s="217"/>
      <c r="AD83" s="217"/>
      <c r="AE83" s="213"/>
      <c r="AF83" s="215"/>
      <c r="AG83" s="215"/>
      <c r="AH83" s="217"/>
      <c r="AI83" s="217"/>
      <c r="AJ83" s="213"/>
    </row>
    <row r="84" spans="1:36" ht="33.75" customHeight="1">
      <c r="A84" s="213"/>
      <c r="B84" s="214">
        <f ca="1">IFERROR(__xludf.DUMMYFUNCTION("""COMPUTED_VALUE"""),2875016)</f>
        <v>2875016</v>
      </c>
      <c r="C84" s="215" t="str">
        <f ca="1">IFERROR(__xludf.DUMMYFUNCTION("""COMPUTED_VALUE"""),"General")</f>
        <v>General</v>
      </c>
      <c r="D84" s="216" t="str">
        <f ca="1">IFERROR(__xludf.DUMMYFUNCTION("""COMPUTED_VALUE"""),"How to Motivate Yourself to Do What’s Most Important")</f>
        <v>How to Motivate Yourself to Do What’s Most Important</v>
      </c>
      <c r="E84" s="217"/>
      <c r="F84" s="213"/>
      <c r="G84" s="214"/>
      <c r="H84" s="215"/>
      <c r="I84" s="217"/>
      <c r="J84" s="217"/>
      <c r="K84" s="213"/>
      <c r="L84" s="215"/>
      <c r="M84" s="215"/>
      <c r="N84" s="217"/>
      <c r="O84" s="217"/>
      <c r="P84" s="213"/>
      <c r="Q84" s="215"/>
      <c r="R84" s="215"/>
      <c r="S84" s="217"/>
      <c r="T84" s="217"/>
      <c r="U84" s="213"/>
      <c r="V84" s="215"/>
      <c r="W84" s="215"/>
      <c r="X84" s="217"/>
      <c r="Y84" s="217"/>
      <c r="Z84" s="213"/>
      <c r="AA84" s="215"/>
      <c r="AB84" s="215"/>
      <c r="AC84" s="217"/>
      <c r="AD84" s="217"/>
      <c r="AE84" s="213"/>
      <c r="AF84" s="215"/>
      <c r="AG84" s="215"/>
      <c r="AH84" s="217"/>
      <c r="AI84" s="217"/>
      <c r="AJ84" s="213"/>
    </row>
    <row r="85" spans="1:36" ht="33.75" customHeight="1">
      <c r="A85" s="213"/>
      <c r="B85" s="214">
        <f ca="1">IFERROR(__xludf.DUMMYFUNCTION("""COMPUTED_VALUE"""),2833004)</f>
        <v>2833004</v>
      </c>
      <c r="C85" s="215" t="str">
        <f ca="1">IFERROR(__xludf.DUMMYFUNCTION("""COMPUTED_VALUE"""),"General")</f>
        <v>General</v>
      </c>
      <c r="D85" s="216" t="str">
        <f ca="1">IFERROR(__xludf.DUMMYFUNCTION("""COMPUTED_VALUE"""),"Mastering Self-Leadership")</f>
        <v>Mastering Self-Leadership</v>
      </c>
      <c r="E85" s="217"/>
      <c r="F85" s="213"/>
      <c r="G85" s="214"/>
      <c r="H85" s="215"/>
      <c r="I85" s="217"/>
      <c r="J85" s="217"/>
      <c r="K85" s="213"/>
      <c r="L85" s="215"/>
      <c r="M85" s="215"/>
      <c r="N85" s="217"/>
      <c r="O85" s="217"/>
      <c r="P85" s="213"/>
      <c r="Q85" s="215"/>
      <c r="R85" s="215"/>
      <c r="S85" s="217"/>
      <c r="T85" s="217"/>
      <c r="U85" s="213"/>
      <c r="V85" s="215"/>
      <c r="W85" s="215"/>
      <c r="X85" s="217"/>
      <c r="Y85" s="217"/>
      <c r="Z85" s="213"/>
      <c r="AA85" s="215"/>
      <c r="AB85" s="215"/>
      <c r="AC85" s="217"/>
      <c r="AD85" s="217"/>
      <c r="AE85" s="213"/>
      <c r="AF85" s="215"/>
      <c r="AG85" s="215"/>
      <c r="AH85" s="217"/>
      <c r="AI85" s="217"/>
      <c r="AJ85" s="213"/>
    </row>
    <row r="86" spans="1:36" ht="33.75" customHeight="1">
      <c r="A86" s="213"/>
      <c r="B86" s="214">
        <f ca="1">IFERROR(__xludf.DUMMYFUNCTION("""COMPUTED_VALUE"""),2300009)</f>
        <v>2300009</v>
      </c>
      <c r="C86" s="215" t="str">
        <f ca="1">IFERROR(__xludf.DUMMYFUNCTION("""COMPUTED_VALUE"""),"General")</f>
        <v>General</v>
      </c>
      <c r="D86" s="216" t="str">
        <f ca="1">IFERROR(__xludf.DUMMYFUNCTION("""COMPUTED_VALUE"""),"Managing Up as an Employee")</f>
        <v>Managing Up as an Employee</v>
      </c>
      <c r="E86" s="217"/>
      <c r="F86" s="213"/>
      <c r="G86" s="214"/>
      <c r="H86" s="215"/>
      <c r="I86" s="217"/>
      <c r="J86" s="217"/>
      <c r="K86" s="213"/>
      <c r="L86" s="215"/>
      <c r="M86" s="215"/>
      <c r="N86" s="217"/>
      <c r="O86" s="217"/>
      <c r="P86" s="213"/>
      <c r="Q86" s="215"/>
      <c r="R86" s="215"/>
      <c r="S86" s="217"/>
      <c r="T86" s="217"/>
      <c r="U86" s="213"/>
      <c r="V86" s="215"/>
      <c r="W86" s="215"/>
      <c r="X86" s="217"/>
      <c r="Y86" s="217"/>
      <c r="Z86" s="213"/>
      <c r="AA86" s="215"/>
      <c r="AB86" s="215"/>
      <c r="AC86" s="217"/>
      <c r="AD86" s="217"/>
      <c r="AE86" s="213"/>
      <c r="AF86" s="215"/>
      <c r="AG86" s="215"/>
      <c r="AH86" s="217"/>
      <c r="AI86" s="217"/>
      <c r="AJ86" s="213"/>
    </row>
    <row r="87" spans="1:36" ht="33.75" customHeight="1">
      <c r="A87" s="213"/>
      <c r="B87" s="214">
        <f ca="1">IFERROR(__xludf.DUMMYFUNCTION("""COMPUTED_VALUE"""),2887218)</f>
        <v>2887218</v>
      </c>
      <c r="C87" s="215" t="str">
        <f ca="1">IFERROR(__xludf.DUMMYFUNCTION("""COMPUTED_VALUE"""),"General")</f>
        <v>General</v>
      </c>
      <c r="D87" s="216" t="str">
        <f ca="1">IFERROR(__xludf.DUMMYFUNCTION("""COMPUTED_VALUE"""),"One-Minute Habits for Success")</f>
        <v>One-Minute Habits for Success</v>
      </c>
      <c r="E87" s="217"/>
      <c r="F87" s="213"/>
      <c r="G87" s="214"/>
      <c r="H87" s="215"/>
      <c r="I87" s="217"/>
      <c r="J87" s="217"/>
      <c r="K87" s="213"/>
      <c r="L87" s="215"/>
      <c r="M87" s="215"/>
      <c r="N87" s="217"/>
      <c r="O87" s="217"/>
      <c r="P87" s="213"/>
      <c r="Q87" s="215"/>
      <c r="R87" s="215"/>
      <c r="S87" s="217"/>
      <c r="T87" s="217"/>
      <c r="U87" s="213"/>
      <c r="V87" s="215"/>
      <c r="W87" s="215"/>
      <c r="X87" s="217"/>
      <c r="Y87" s="217"/>
      <c r="Z87" s="213"/>
      <c r="AA87" s="215"/>
      <c r="AB87" s="215"/>
      <c r="AC87" s="217"/>
      <c r="AD87" s="217"/>
      <c r="AE87" s="213"/>
      <c r="AF87" s="215"/>
      <c r="AG87" s="215"/>
      <c r="AH87" s="217"/>
      <c r="AI87" s="217"/>
      <c r="AJ87" s="213"/>
    </row>
    <row r="88" spans="1:36" ht="33.75" customHeight="1">
      <c r="A88" s="213"/>
      <c r="B88" s="214">
        <f ca="1">IFERROR(__xludf.DUMMYFUNCTION("""COMPUTED_VALUE"""),2895102)</f>
        <v>2895102</v>
      </c>
      <c r="C88" s="215" t="str">
        <f ca="1">IFERROR(__xludf.DUMMYFUNCTION("""COMPUTED_VALUE"""),"General")</f>
        <v>General</v>
      </c>
      <c r="D88" s="217" t="str">
        <f ca="1">IFERROR(__xludf.DUMMYFUNCTION("""COMPUTED_VALUE"""),"Habits to Win Every Day")</f>
        <v>Habits to Win Every Day</v>
      </c>
      <c r="E88" s="217"/>
      <c r="F88" s="213"/>
      <c r="G88" s="214"/>
      <c r="H88" s="215"/>
      <c r="I88" s="217"/>
      <c r="J88" s="217"/>
      <c r="K88" s="213"/>
      <c r="L88" s="215"/>
      <c r="M88" s="215"/>
      <c r="N88" s="217"/>
      <c r="O88" s="217"/>
      <c r="P88" s="213"/>
      <c r="Q88" s="215"/>
      <c r="R88" s="215"/>
      <c r="S88" s="217"/>
      <c r="T88" s="217"/>
      <c r="U88" s="213"/>
      <c r="V88" s="215"/>
      <c r="W88" s="215"/>
      <c r="X88" s="217"/>
      <c r="Y88" s="217"/>
      <c r="Z88" s="213"/>
      <c r="AA88" s="215"/>
      <c r="AB88" s="215"/>
      <c r="AC88" s="217"/>
      <c r="AD88" s="217"/>
      <c r="AE88" s="213"/>
      <c r="AF88" s="215"/>
      <c r="AG88" s="215"/>
      <c r="AH88" s="217"/>
      <c r="AI88" s="217"/>
      <c r="AJ88" s="213"/>
    </row>
    <row r="89" spans="1:36" ht="16">
      <c r="A89" s="213"/>
      <c r="B89" s="214">
        <f ca="1">IFERROR(__xludf.DUMMYFUNCTION("""COMPUTED_VALUE"""),3005198)</f>
        <v>3005198</v>
      </c>
      <c r="C89" s="215" t="str">
        <f ca="1">IFERROR(__xludf.DUMMYFUNCTION("""COMPUTED_VALUE"""),"General")</f>
        <v>General</v>
      </c>
      <c r="D89" s="216" t="str">
        <f ca="1">IFERROR(__xludf.DUMMYFUNCTION("""COMPUTED_VALUE"""),"Flexible Working (Blinkist Summary)")</f>
        <v>Flexible Working (Blinkist Summary)</v>
      </c>
      <c r="E89" s="217"/>
      <c r="F89" s="213"/>
      <c r="G89" s="214"/>
      <c r="H89" s="215"/>
      <c r="I89" s="217"/>
      <c r="J89" s="217"/>
      <c r="K89" s="213"/>
      <c r="L89" s="215"/>
      <c r="M89" s="215"/>
      <c r="N89" s="217"/>
      <c r="O89" s="217"/>
      <c r="P89" s="213"/>
      <c r="Q89" s="215"/>
      <c r="R89" s="215"/>
      <c r="S89" s="217"/>
      <c r="T89" s="217"/>
      <c r="U89" s="213"/>
      <c r="V89" s="215"/>
      <c r="W89" s="215"/>
      <c r="X89" s="217"/>
      <c r="Y89" s="217"/>
      <c r="Z89" s="213"/>
      <c r="AA89" s="215"/>
      <c r="AB89" s="215"/>
      <c r="AC89" s="217"/>
      <c r="AD89" s="217"/>
      <c r="AE89" s="213"/>
      <c r="AF89" s="215"/>
      <c r="AG89" s="215"/>
      <c r="AH89" s="217"/>
      <c r="AI89" s="217"/>
      <c r="AJ89" s="213"/>
    </row>
    <row r="90" spans="1:36" ht="16">
      <c r="A90" s="213"/>
      <c r="B90" s="214">
        <f ca="1">IFERROR(__xludf.DUMMYFUNCTION("""COMPUTED_VALUE"""),3005199)</f>
        <v>3005199</v>
      </c>
      <c r="C90" s="215" t="str">
        <f ca="1">IFERROR(__xludf.DUMMYFUNCTION("""COMPUTED_VALUE"""),"General")</f>
        <v>General</v>
      </c>
      <c r="D90" s="216" t="str">
        <f ca="1">IFERROR(__xludf.DUMMYFUNCTION("""COMPUTED_VALUE"""),"Hyperfocus (Blinkist Summary)")</f>
        <v>Hyperfocus (Blinkist Summary)</v>
      </c>
      <c r="E90" s="217"/>
      <c r="F90" s="213"/>
      <c r="G90" s="214"/>
      <c r="H90" s="215"/>
      <c r="I90" s="217"/>
      <c r="J90" s="217"/>
      <c r="K90" s="213"/>
      <c r="L90" s="215"/>
      <c r="M90" s="215"/>
      <c r="N90" s="217"/>
      <c r="O90" s="217"/>
      <c r="P90" s="213"/>
      <c r="Q90" s="215"/>
      <c r="R90" s="215"/>
      <c r="S90" s="217"/>
      <c r="T90" s="217"/>
      <c r="U90" s="213"/>
      <c r="V90" s="215"/>
      <c r="W90" s="215"/>
      <c r="X90" s="217"/>
      <c r="Y90" s="217"/>
      <c r="Z90" s="213"/>
      <c r="AA90" s="215"/>
      <c r="AB90" s="215"/>
      <c r="AC90" s="217"/>
      <c r="AD90" s="217"/>
      <c r="AE90" s="213"/>
      <c r="AF90" s="215"/>
      <c r="AG90" s="215"/>
      <c r="AH90" s="217"/>
      <c r="AI90" s="217"/>
      <c r="AJ90" s="213"/>
    </row>
    <row r="91" spans="1:36" ht="30">
      <c r="A91" s="213"/>
      <c r="B91" s="214">
        <f ca="1">IFERROR(__xludf.DUMMYFUNCTION("""COMPUTED_VALUE"""),3010104)</f>
        <v>3010104</v>
      </c>
      <c r="C91" s="215" t="str">
        <f ca="1">IFERROR(__xludf.DUMMYFUNCTION("""COMPUTED_VALUE"""),"General")</f>
        <v>General</v>
      </c>
      <c r="D91" s="216" t="str">
        <f ca="1">IFERROR(__xludf.DUMMYFUNCTION("""COMPUTED_VALUE"""),"The Three Secrets to Effective Time Investment (Blinkist Summary)")</f>
        <v>The Three Secrets to Effective Time Investment (Blinkist Summary)</v>
      </c>
      <c r="E91" s="217"/>
      <c r="F91" s="213"/>
      <c r="G91" s="214"/>
      <c r="H91" s="215"/>
      <c r="I91" s="217"/>
      <c r="J91" s="217"/>
      <c r="K91" s="213"/>
      <c r="L91" s="215"/>
      <c r="M91" s="215"/>
      <c r="N91" s="217"/>
      <c r="O91" s="217"/>
      <c r="P91" s="213"/>
      <c r="Q91" s="215"/>
      <c r="R91" s="215"/>
      <c r="S91" s="217"/>
      <c r="T91" s="217"/>
      <c r="U91" s="213"/>
      <c r="V91" s="215"/>
      <c r="W91" s="215"/>
      <c r="X91" s="217"/>
      <c r="Y91" s="217"/>
      <c r="Z91" s="213"/>
      <c r="AA91" s="215"/>
      <c r="AB91" s="215"/>
      <c r="AC91" s="217"/>
      <c r="AD91" s="217"/>
      <c r="AE91" s="213"/>
      <c r="AF91" s="215"/>
      <c r="AG91" s="215"/>
      <c r="AH91" s="217"/>
      <c r="AI91" s="217"/>
      <c r="AJ91" s="213"/>
    </row>
    <row r="92" spans="1:36" ht="16">
      <c r="A92" s="213"/>
      <c r="B92" s="214">
        <f ca="1">IFERROR(__xludf.DUMMYFUNCTION("""COMPUTED_VALUE"""),3011079)</f>
        <v>3011079</v>
      </c>
      <c r="C92" s="215" t="str">
        <f ca="1">IFERROR(__xludf.DUMMYFUNCTION("""COMPUTED_VALUE"""),"General")</f>
        <v>General</v>
      </c>
      <c r="D92" s="216" t="str">
        <f ca="1">IFERROR(__xludf.DUMMYFUNCTION("""COMPUTED_VALUE"""),"The Procrastination Cure (Blinkist Summary)")</f>
        <v>The Procrastination Cure (Blinkist Summary)</v>
      </c>
      <c r="E92" s="217"/>
      <c r="F92" s="213"/>
      <c r="G92" s="214"/>
      <c r="H92" s="215"/>
      <c r="I92" s="217"/>
      <c r="J92" s="217"/>
      <c r="K92" s="213"/>
      <c r="L92" s="215"/>
      <c r="M92" s="215"/>
      <c r="N92" s="217"/>
      <c r="O92" s="217"/>
      <c r="P92" s="213"/>
      <c r="Q92" s="215"/>
      <c r="R92" s="215"/>
      <c r="S92" s="217"/>
      <c r="T92" s="217"/>
      <c r="U92" s="213"/>
      <c r="V92" s="215"/>
      <c r="W92" s="215"/>
      <c r="X92" s="217"/>
      <c r="Y92" s="217"/>
      <c r="Z92" s="213"/>
      <c r="AA92" s="215"/>
      <c r="AB92" s="215"/>
      <c r="AC92" s="217"/>
      <c r="AD92" s="217"/>
      <c r="AE92" s="213"/>
      <c r="AF92" s="215"/>
      <c r="AG92" s="215"/>
      <c r="AH92" s="217"/>
      <c r="AI92" s="217"/>
      <c r="AJ92" s="213"/>
    </row>
    <row r="93" spans="1:36" ht="30">
      <c r="A93" s="213"/>
      <c r="B93" s="214">
        <f ca="1">IFERROR(__xludf.DUMMYFUNCTION("""COMPUTED_VALUE"""),185320)</f>
        <v>185320</v>
      </c>
      <c r="C93" s="215" t="str">
        <f ca="1">IFERROR(__xludf.DUMMYFUNCTION("""COMPUTED_VALUE"""),"Intermediate")</f>
        <v>Intermediate</v>
      </c>
      <c r="D93" s="216" t="str">
        <f ca="1">IFERROR(__xludf.DUMMYFUNCTION("""COMPUTED_VALUE"""),"Developing Resourcefulness")</f>
        <v>Developing Resourcefulness</v>
      </c>
      <c r="E93" s="217"/>
      <c r="F93" s="213"/>
      <c r="G93" s="214"/>
      <c r="H93" s="215"/>
      <c r="I93" s="217"/>
      <c r="J93" s="217"/>
      <c r="K93" s="213"/>
      <c r="L93" s="215"/>
      <c r="M93" s="215"/>
      <c r="N93" s="217"/>
      <c r="O93" s="217"/>
      <c r="P93" s="213"/>
      <c r="Q93" s="215"/>
      <c r="R93" s="215"/>
      <c r="S93" s="217"/>
      <c r="T93" s="217"/>
      <c r="U93" s="213"/>
      <c r="V93" s="215"/>
      <c r="W93" s="215"/>
      <c r="X93" s="217"/>
      <c r="Y93" s="217"/>
      <c r="Z93" s="213"/>
      <c r="AA93" s="215"/>
      <c r="AB93" s="215"/>
      <c r="AC93" s="217"/>
      <c r="AD93" s="217"/>
      <c r="AE93" s="213"/>
      <c r="AF93" s="215"/>
      <c r="AG93" s="215"/>
      <c r="AH93" s="217"/>
      <c r="AI93" s="217"/>
      <c r="AJ93" s="213"/>
    </row>
    <row r="94" spans="1:36" ht="30">
      <c r="A94" s="213"/>
      <c r="B94" s="214">
        <f ca="1">IFERROR(__xludf.DUMMYFUNCTION("""COMPUTED_VALUE"""),2822683)</f>
        <v>2822683</v>
      </c>
      <c r="C94" s="215" t="str">
        <f ca="1">IFERROR(__xludf.DUMMYFUNCTION("""COMPUTED_VALUE"""),"Intermediate")</f>
        <v>Intermediate</v>
      </c>
      <c r="D94" s="216" t="str">
        <f ca="1">IFERROR(__xludf.DUMMYFUNCTION("""COMPUTED_VALUE"""),"Demonstrating Accountability as a Leader")</f>
        <v>Demonstrating Accountability as a Leader</v>
      </c>
      <c r="E94" s="217"/>
      <c r="F94" s="213"/>
      <c r="G94" s="214"/>
      <c r="H94" s="215"/>
      <c r="I94" s="217"/>
      <c r="J94" s="217"/>
      <c r="K94" s="213"/>
      <c r="L94" s="215"/>
      <c r="M94" s="215"/>
      <c r="N94" s="217"/>
      <c r="O94" s="217"/>
      <c r="P94" s="213"/>
      <c r="Q94" s="215"/>
      <c r="R94" s="215"/>
      <c r="S94" s="217"/>
      <c r="T94" s="217"/>
      <c r="U94" s="213"/>
      <c r="V94" s="215"/>
      <c r="W94" s="215"/>
      <c r="X94" s="217"/>
      <c r="Y94" s="217"/>
      <c r="Z94" s="213"/>
      <c r="AA94" s="215"/>
      <c r="AB94" s="215"/>
      <c r="AC94" s="217"/>
      <c r="AD94" s="217"/>
      <c r="AE94" s="213"/>
      <c r="AF94" s="215"/>
      <c r="AG94" s="215"/>
      <c r="AH94" s="217"/>
      <c r="AI94" s="217"/>
      <c r="AJ94" s="213"/>
    </row>
    <row r="95" spans="1:36" ht="30">
      <c r="A95" s="213"/>
      <c r="B95" s="214">
        <f ca="1">IFERROR(__xludf.DUMMYFUNCTION("""COMPUTED_VALUE"""),2849034)</f>
        <v>2849034</v>
      </c>
      <c r="C95" s="215" t="str">
        <f ca="1">IFERROR(__xludf.DUMMYFUNCTION("""COMPUTED_VALUE"""),"Intermediate")</f>
        <v>Intermediate</v>
      </c>
      <c r="D95" s="216" t="str">
        <f ca="1">IFERROR(__xludf.DUMMYFUNCTION("""COMPUTED_VALUE"""),"Using Microsoft Teams and Outlook Together: Maximizing Productivity")</f>
        <v>Using Microsoft Teams and Outlook Together: Maximizing Productivity</v>
      </c>
      <c r="E95" s="217"/>
      <c r="F95" s="213"/>
      <c r="G95" s="214"/>
      <c r="H95" s="215"/>
      <c r="I95" s="217"/>
      <c r="J95" s="217"/>
      <c r="K95" s="213"/>
      <c r="L95" s="215"/>
      <c r="M95" s="215"/>
      <c r="N95" s="217"/>
      <c r="O95" s="217"/>
      <c r="P95" s="213"/>
      <c r="Q95" s="215"/>
      <c r="R95" s="215"/>
      <c r="S95" s="217"/>
      <c r="T95" s="217"/>
      <c r="U95" s="213"/>
      <c r="V95" s="215"/>
      <c r="W95" s="215"/>
      <c r="X95" s="217"/>
      <c r="Y95" s="217"/>
      <c r="Z95" s="213"/>
      <c r="AA95" s="215"/>
      <c r="AB95" s="215"/>
      <c r="AC95" s="217"/>
      <c r="AD95" s="217"/>
      <c r="AE95" s="213"/>
      <c r="AF95" s="215"/>
      <c r="AG95" s="215"/>
      <c r="AH95" s="217"/>
      <c r="AI95" s="217"/>
      <c r="AJ95" s="213"/>
    </row>
    <row r="96" spans="1:36" ht="16">
      <c r="A96" s="213"/>
      <c r="B96" s="214"/>
      <c r="C96" s="215"/>
      <c r="D96" s="217"/>
      <c r="E96" s="217"/>
      <c r="F96" s="213"/>
      <c r="G96" s="214"/>
      <c r="H96" s="215"/>
      <c r="I96" s="217"/>
      <c r="J96" s="217"/>
      <c r="K96" s="213"/>
      <c r="L96" s="215"/>
      <c r="M96" s="215"/>
      <c r="N96" s="217"/>
      <c r="O96" s="217"/>
      <c r="P96" s="213"/>
      <c r="Q96" s="215"/>
      <c r="R96" s="215"/>
      <c r="S96" s="217"/>
      <c r="T96" s="217"/>
      <c r="U96" s="213"/>
      <c r="V96" s="215"/>
      <c r="W96" s="215"/>
      <c r="X96" s="217"/>
      <c r="Y96" s="217"/>
      <c r="Z96" s="213"/>
      <c r="AA96" s="215"/>
      <c r="AB96" s="215"/>
      <c r="AC96" s="217"/>
      <c r="AD96" s="217"/>
      <c r="AE96" s="213"/>
      <c r="AF96" s="215"/>
      <c r="AG96" s="215"/>
      <c r="AH96" s="217"/>
      <c r="AI96" s="217"/>
      <c r="AJ96" s="213"/>
    </row>
    <row r="97" spans="1:36" ht="16">
      <c r="A97" s="213"/>
      <c r="B97" s="214"/>
      <c r="C97" s="215"/>
      <c r="D97" s="217"/>
      <c r="E97" s="217"/>
      <c r="F97" s="213"/>
      <c r="G97" s="214"/>
      <c r="H97" s="215"/>
      <c r="I97" s="217"/>
      <c r="J97" s="217"/>
      <c r="K97" s="213"/>
      <c r="L97" s="215"/>
      <c r="M97" s="215"/>
      <c r="N97" s="217"/>
      <c r="O97" s="217"/>
      <c r="P97" s="213"/>
      <c r="Q97" s="215"/>
      <c r="R97" s="215"/>
      <c r="S97" s="217"/>
      <c r="T97" s="217"/>
      <c r="U97" s="213"/>
      <c r="V97" s="215"/>
      <c r="W97" s="215"/>
      <c r="X97" s="217"/>
      <c r="Y97" s="217"/>
      <c r="Z97" s="213"/>
      <c r="AA97" s="215"/>
      <c r="AB97" s="215"/>
      <c r="AC97" s="217"/>
      <c r="AD97" s="217"/>
      <c r="AE97" s="213"/>
      <c r="AF97" s="215"/>
      <c r="AG97" s="215"/>
      <c r="AH97" s="217"/>
      <c r="AI97" s="217"/>
      <c r="AJ97" s="213"/>
    </row>
    <row r="98" spans="1:36" ht="16">
      <c r="A98" s="213"/>
      <c r="B98" s="214"/>
      <c r="C98" s="215"/>
      <c r="D98" s="217"/>
      <c r="E98" s="217"/>
      <c r="F98" s="213"/>
      <c r="G98" s="214"/>
      <c r="H98" s="215"/>
      <c r="I98" s="217"/>
      <c r="J98" s="217"/>
      <c r="K98" s="213"/>
      <c r="L98" s="215"/>
      <c r="M98" s="215"/>
      <c r="N98" s="217"/>
      <c r="O98" s="217"/>
      <c r="P98" s="213"/>
      <c r="Q98" s="215"/>
      <c r="R98" s="215"/>
      <c r="S98" s="217"/>
      <c r="T98" s="217"/>
      <c r="U98" s="213"/>
      <c r="V98" s="215"/>
      <c r="W98" s="215"/>
      <c r="X98" s="217"/>
      <c r="Y98" s="217"/>
      <c r="Z98" s="213"/>
      <c r="AA98" s="215"/>
      <c r="AB98" s="215"/>
      <c r="AC98" s="217"/>
      <c r="AD98" s="217"/>
      <c r="AE98" s="213"/>
      <c r="AF98" s="215"/>
      <c r="AG98" s="215"/>
      <c r="AH98" s="217"/>
      <c r="AI98" s="217"/>
      <c r="AJ98" s="213"/>
    </row>
    <row r="99" spans="1:36" ht="16">
      <c r="A99" s="213"/>
      <c r="B99" s="214"/>
      <c r="C99" s="215"/>
      <c r="D99" s="217"/>
      <c r="E99" s="217"/>
      <c r="F99" s="213"/>
      <c r="G99" s="214"/>
      <c r="H99" s="215"/>
      <c r="I99" s="218"/>
      <c r="J99" s="219"/>
      <c r="K99" s="213"/>
      <c r="L99" s="215"/>
      <c r="M99" s="215"/>
      <c r="N99" s="220"/>
      <c r="O99" s="220"/>
      <c r="P99" s="213"/>
      <c r="Q99" s="215"/>
      <c r="R99" s="215"/>
      <c r="S99" s="220"/>
      <c r="T99" s="220"/>
      <c r="U99" s="213"/>
      <c r="V99" s="215"/>
      <c r="W99" s="215"/>
      <c r="X99" s="220"/>
      <c r="Y99" s="220"/>
      <c r="Z99" s="213"/>
      <c r="AA99" s="215"/>
      <c r="AB99" s="215"/>
      <c r="AC99" s="221"/>
      <c r="AD99" s="221"/>
      <c r="AE99" s="213"/>
      <c r="AF99" s="215"/>
      <c r="AG99" s="215"/>
      <c r="AH99" s="220"/>
      <c r="AI99" s="220"/>
      <c r="AJ99" s="213"/>
    </row>
  </sheetData>
  <mergeCells count="14">
    <mergeCell ref="B1:E1"/>
    <mergeCell ref="L1:O1"/>
    <mergeCell ref="V1:Y1"/>
    <mergeCell ref="AF1:AI1"/>
    <mergeCell ref="B2:E2"/>
    <mergeCell ref="L2:O2"/>
    <mergeCell ref="V2:Y2"/>
    <mergeCell ref="AF2:AI2"/>
    <mergeCell ref="G1:J1"/>
    <mergeCell ref="G2:J2"/>
    <mergeCell ref="Q1:T1"/>
    <mergeCell ref="Q2:T2"/>
    <mergeCell ref="AA1:AD1"/>
    <mergeCell ref="AA2:AD2"/>
  </mergeCells>
  <hyperlinks>
    <hyperlink ref="D4" r:id="rId1" display="https://www.linkedin.com/learning/good-to-great?trk=ondemandfile" xr:uid="{00000000-0004-0000-0A00-000000000000}"/>
    <hyperlink ref="E4" r:id="rId2" display="https://www.linkedin.com/learning/paths/building-accountability-and-becoming-results-oriented?trk=ondemandfile" xr:uid="{00000000-0004-0000-0A00-000001000000}"/>
    <hyperlink ref="I4" r:id="rId3" display="https://www.linkedin.com/learning/10-minutes-un-livre-adopter-une-mentalite-de-champion-championne?trk=contentmappingfile" xr:uid="{00000000-0004-0000-0A00-000002000000}"/>
    <hyperlink ref="N4" r:id="rId4" display="https://www.linkedin.com/learning/agile-en-accion-construye-tu-equipo-agil?trk=ondemandfile" xr:uid="{00000000-0004-0000-0A00-000003000000}"/>
    <hyperlink ref="O4" r:id="rId5" display="https://www.linkedin.com/learning/paths/crea-una-atmosfera-de-trabajo-productiva?trk=ondemandfile" xr:uid="{00000000-0004-0000-0A00-000004000000}"/>
    <hyperlink ref="S4" r:id="rId6" display="https://www.linkedin.com/learning/achtsamkeit?trk=ondemandfile" xr:uid="{00000000-0004-0000-0A00-000005000000}"/>
    <hyperlink ref="T4" r:id="rId7" display="https://www.linkedin.com/learning/paths/die-selbstorganisation-verbessern?trk=ondemandfile" xr:uid="{00000000-0004-0000-0A00-000006000000}"/>
    <hyperlink ref="X4" r:id="rId8" display="https://www.linkedin.com/learning/setting-team-and-employee-goals-14797875?trk=contentmappingfile" xr:uid="{00000000-0004-0000-0A00-000007000000}"/>
    <hyperlink ref="Y4" r:id="rId9" display="https://www.linkedin.com/learning/paths/31070ed0-b901-3bf1-af9c-de2667146e4d?trk=ondemandfile" xr:uid="{00000000-0004-0000-0A00-000008000000}"/>
    <hyperlink ref="AD4" r:id="rId10" display="https://www.linkedin.com/learning/paths/como-desenvolver-uma-mentalidade-de-crescimento?trk=ondemandfile" xr:uid="{00000000-0004-0000-0A00-000009000000}"/>
    <hyperlink ref="AH4" r:id="rId11" display="https://www.linkedin.com/learning/managing-for-results-2?trk=ondemandfile" xr:uid="{00000000-0004-0000-0A00-00000A000000}"/>
    <hyperlink ref="AI4" r:id="rId12" display="https://www.linkedin.com/learning/paths/07304244-eccf-3d14-923a-8ca64b7fb518?trk=ondemandfile" xr:uid="{00000000-0004-0000-0A00-00000B000000}"/>
    <hyperlink ref="D5" r:id="rId13" display="https://www.linkedin.com/learning/organization-design?trk=ondemandfile" xr:uid="{00000000-0004-0000-0A00-00000C000000}"/>
    <hyperlink ref="E5" r:id="rId14" display="https://www.linkedin.com/learning/paths/become-a-high-performer-2?trk=ondemandfile" xr:uid="{00000000-0004-0000-0A00-00000D000000}"/>
    <hyperlink ref="N5" r:id="rId15" display="https://www.linkedin.com/learning/agile-en-accion-impulsar-reuniones-agiles-y-productivas?trk=ondemandfile" xr:uid="{00000000-0004-0000-0A00-00000E000000}"/>
    <hyperlink ref="O5" r:id="rId16" display="https://www.linkedin.com/learning/paths/mejora-tus-dotes-de-liderazgo-y-gestion-de-equipos-de-trabajo?trk=ondemandfile" xr:uid="{00000000-0004-0000-0A00-00000F000000}"/>
    <hyperlink ref="S5" r:id="rId17" display="https://www.linkedin.com/learning/agile-strategieumsetzung-mit-okr-objectives-and-key-results?trk=contentmappingfile" xr:uid="{00000000-0004-0000-0A00-000010000000}"/>
    <hyperlink ref="T5" r:id="rId18" display="https://www.linkedin.com/learning/paths/erfolgreich-im-home-office-arbeiten?trk=ondemandfile" xr:uid="{00000000-0004-0000-0A00-000011000000}"/>
    <hyperlink ref="X5" r:id="rId19" display="https://www.linkedin.com/learning/building-accountability-into-your-culture-2?trk=ondemandfile" xr:uid="{00000000-0004-0000-0A00-000012000000}"/>
    <hyperlink ref="AC5" r:id="rId20" display="https://www.linkedin.com/learning/como-colaborar-de-forma-eficaz-com-sua-equipe?trk=contentmappingfile" xr:uid="{00000000-0004-0000-0A00-000013000000}"/>
    <hyperlink ref="AD5" r:id="rId21" display="https://www.linkedin.com/learning/paths/como-melhorar-a-gestao-de-tempo-e-aumentar-a-produtividade?trk=ondemandfile" xr:uid="{00000000-0004-0000-0A00-000014000000}"/>
    <hyperlink ref="AH5" r:id="rId22" display="https://www.linkedin.com/learning/creating-a-high-performance-culture-4?trk=ondemandfile" xr:uid="{00000000-0004-0000-0A00-000015000000}"/>
    <hyperlink ref="AI5" r:id="rId23" display="https://www.linkedin.com/learning/paths/5e7d3101-368f-3335-9206-178f9e406630?trk=ondemandfile" xr:uid="{00000000-0004-0000-0A00-000016000000}"/>
    <hyperlink ref="D6" r:id="rId24" display="https://www.linkedin.com/learning/prioritizing-effectively-as-a-leader?trk=ondemandfile" xr:uid="{00000000-0004-0000-0A00-000017000000}"/>
    <hyperlink ref="E6" r:id="rId25" display="https://www.linkedin.com/learning/paths/become-a-successful-remote-worker?trk=ondemandfile" xr:uid="{00000000-0004-0000-0A00-000018000000}"/>
    <hyperlink ref="N6" r:id="rId26" display="https://www.linkedin.com/learning/agile-en-accion-mejorar-con-retrospectivas-agiles?trk=contentmappingfile" xr:uid="{00000000-0004-0000-0A00-000019000000}"/>
    <hyperlink ref="O6" r:id="rId27" display="https://www.linkedin.com/learning/paths/mejora-tu-gestin-de-tiempo-y-productividad?trk=ondemandfile" xr:uid="{00000000-0004-0000-0A00-00001A000000}"/>
    <hyperlink ref="S6" r:id="rId28" display="https://www.linkedin.com/learning/00-arbmethodmanag?trk=ondemandfile" xr:uid="{00000000-0004-0000-0A00-00001B000000}"/>
    <hyperlink ref="T6" r:id="rId29" display="https://www.linkedin.com/learning/paths/leichter-lernen?trk=ondemandfile" xr:uid="{00000000-0004-0000-0A00-00001C000000}"/>
    <hyperlink ref="X6" r:id="rId30" display="https://www.linkedin.com/learning/time-management-fundamentals-2?trk=ondemandfile" xr:uid="{00000000-0004-0000-0A00-00001D000000}"/>
    <hyperlink ref="Y6" r:id="rId31" display="https://www.linkedin.com/learning/paths/31070ed0-b901-3bf1-af9c-de2667146e4d?trk=ondemandfile" xr:uid="{00000000-0004-0000-0A00-00001E000000}"/>
    <hyperlink ref="AD6" r:id="rId32" display="https://www.linkedin.com/learning/paths/trabalho-remoto-colaboracao-foco-e-produtividade?trk=ondemandfile" xr:uid="{00000000-0004-0000-0A00-00001F000000}"/>
    <hyperlink ref="AH6" r:id="rId33" display="https://www.linkedin.com/learning/holding-yourself-accountable-2?trk=ondemandfile" xr:uid="{00000000-0004-0000-0A00-000020000000}"/>
    <hyperlink ref="AI6" r:id="rId34" display="https://www.linkedin.com/learning/paths/6844219d-129d-3432-be7a-4c32e6eaf336?trk=ondemandfile" xr:uid="{00000000-0004-0000-0A00-000021000000}"/>
    <hyperlink ref="D7" r:id="rId35" display="https://www.linkedin.com/learning/communicating-to-drive-people-to-take-action?trk=ondemandfile" xr:uid="{00000000-0004-0000-0A00-000022000000}"/>
    <hyperlink ref="E7" r:id="rId36" display="https://www.linkedin.com/learning/paths/improve-your-organizational-skills?trk=ondemandfile" xr:uid="{00000000-0004-0000-0A00-000023000000}"/>
    <hyperlink ref="N7" r:id="rId37" display="https://www.linkedin.com/learning/aumenta-cada-mi-rcoles-tu-productividad?trk=ondemandfile" xr:uid="{00000000-0004-0000-0A00-000024000000}"/>
    <hyperlink ref="O7" r:id="rId38" display="https://www.linkedin.com/learning/paths/domina-el-trabajo-remoto?trk=ondemandfile" xr:uid="{00000000-0004-0000-0A00-000025000000}"/>
    <hyperlink ref="S7" r:id="rId39" display="https://www.linkedin.com/learning/aufschieberitis-berwinden?trk=ondemandfile" xr:uid="{00000000-0004-0000-0A00-000026000000}"/>
    <hyperlink ref="T7" r:id="rId40" display="https://www.linkedin.com/learning/paths/starken-sie-ihre-schlusselkompetenzen?trk=ondemandfile" xr:uid="{00000000-0004-0000-0A00-000027000000}"/>
    <hyperlink ref="X7" r:id="rId41" display="https://www.linkedin.com/learning/building-resilience-4?trk=ondemandfile" xr:uid="{00000000-0004-0000-0A00-000028000000}"/>
    <hyperlink ref="AD7" r:id="rId42" display="https://www.linkedin.com/learning/paths/como-superar-os-desafios-e-se-reinventar-em-tempos-dificeis?trk=ondemandfile" xr:uid="{00000000-0004-0000-0A00-000029000000}"/>
    <hyperlink ref="AH7" r:id="rId43" display="https://www.linkedin.com/learning/managing-stress-2?trk=ondemandfile" xr:uid="{00000000-0004-0000-0A00-00002A000000}"/>
    <hyperlink ref="AI7" r:id="rId44" display="https://www.linkedin.com/learning/paths/a0eb3d8c-a473-3d5e-b3a6-750ac02b3b49?trk=ondemandfile" xr:uid="{00000000-0004-0000-0A00-00002B000000}"/>
    <hyperlink ref="D8" r:id="rId45" display="https://www.linkedin.com/learning/goal-setting-objectives-and-key-results-okrs?trk=ondemandfile" xr:uid="{00000000-0004-0000-0A00-00002C000000}"/>
    <hyperlink ref="E8" r:id="rId46" display="https://www.linkedin.com/learning/paths/remote-working-setting-yourself-and-your-teams-up-for-success?trk=ondemandfile" xr:uid="{00000000-0004-0000-0A00-00002D000000}"/>
    <hyperlink ref="N8" r:id="rId47" display="https://www.linkedin.com/learning/busqueda-de-empleo-con-redes-sociales?trk=ondemandfile" xr:uid="{00000000-0004-0000-0A00-00002E000000}"/>
    <hyperlink ref="O8" r:id="rId48" display="https://www.linkedin.com/learning/paths/mejora-tu-productividad-con-estas-metodologias?trk=ondemandfile" xr:uid="{00000000-0004-0000-0A00-00002F000000}"/>
    <hyperlink ref="S8" r:id="rId49" display="https://www.linkedin.com/learning/825ea799-d58c-3ea0-99eb-6890487e8958?trk=ondemandfile" xr:uid="{00000000-0004-0000-0A00-000030000000}"/>
    <hyperlink ref="X8" r:id="rId50" display="https://www.linkedin.com/learning/developing-resourcefulness-3?trk=ondemandfile" xr:uid="{00000000-0004-0000-0A00-000031000000}"/>
    <hyperlink ref="Y8" r:id="rId51" display="https://www.linkedin.com/learning/paths/9577cb77-9246-370e-bb07-e3ee1a2ea5fe?trk=ondemandfile" xr:uid="{00000000-0004-0000-0A00-000032000000}"/>
    <hyperlink ref="AD8" r:id="rId52" display="https://www.linkedin.com/learning/paths/como-desenvolver-a-colaboracao-entre-a-equipe?trk=ondemandfile" xr:uid="{00000000-0004-0000-0A00-000033000000}"/>
    <hyperlink ref="AH8" r:id="rId53" display="https://www.linkedin.com/learning/9b4bd443-b907-3050-9476-0ec0b08dfda8?trk=ondemandfile" xr:uid="{00000000-0004-0000-0A00-000034000000}"/>
    <hyperlink ref="D9" r:id="rId54" display="https://www.linkedin.com/learning/learning-agility?trk=ondemandfile" xr:uid="{00000000-0004-0000-0A00-000035000000}"/>
    <hyperlink ref="N9" r:id="rId55" display="https://www.linkedin.com/learning/c-mo-aumentar-la-resiliencia?trk=ondemandfile" xr:uid="{00000000-0004-0000-0A00-000036000000}"/>
    <hyperlink ref="O9" r:id="rId56" display="https://www.linkedin.com/learning/paths/fomenta-la-colaboracion-en-tu-equipo?trk=ondemandfile" xr:uid="{00000000-0004-0000-0A00-000037000000}"/>
    <hyperlink ref="S9" r:id="rId57" display="https://www.linkedin.com/learning/berufliche-ziele-setzen-und-erreichen?trk=ondemandfile" xr:uid="{00000000-0004-0000-0A00-000038000000}"/>
    <hyperlink ref="X9" r:id="rId58" display="https://www.linkedin.com/learning/improving-your-focus-2?trk=ondemandfile" xr:uid="{00000000-0004-0000-0A00-000039000000}"/>
    <hyperlink ref="AD9" r:id="rId59" display="https://www.linkedin.com/learning/paths/domine-as-competencias-pessoais-mais-requisitadas-no-mercado-de-trabalho?trk=ondemandfile" xr:uid="{00000000-0004-0000-0A00-00003A000000}"/>
    <hyperlink ref="AH9" r:id="rId60" display="https://www.linkedin.com/learning/developing-resourcefulness-2?trk=ondemandfile" xr:uid="{00000000-0004-0000-0A00-00003B000000}"/>
    <hyperlink ref="D10" r:id="rId61" display="https://www.linkedin.com/learning/strategic-focus-for-managers?trk=ondemandfile" xr:uid="{00000000-0004-0000-0A00-00003C000000}"/>
    <hyperlink ref="N10" r:id="rId62" display="https://www.linkedin.com/learning/como-coordinar-reuniones?trk=ondemandfile" xr:uid="{00000000-0004-0000-0A00-00003D000000}"/>
    <hyperlink ref="O10" r:id="rId63" display="https://www.linkedin.com/learning/paths/mejora-tu-capacidad-para-comunicar-con-las-personas?trk=ondemandfile" xr:uid="{00000000-0004-0000-0A00-00003E000000}"/>
    <hyperlink ref="S10" r:id="rId64" display="https://www.linkedin.com/learning/besprechungen-moderieren?trk=ondemandfile" xr:uid="{00000000-0004-0000-0A00-00003F000000}"/>
    <hyperlink ref="AD10" r:id="rId65" display="https://www.linkedin.com/learning/paths/trabalho-remoto-colaboracao-foco-e-produtividade?trk=ondemandfile" xr:uid="{00000000-0004-0000-0A00-000040000000}"/>
    <hyperlink ref="AH10" r:id="rId66" display="https://www.linkedin.com/learning/developing-your-emotional-intelligence-2?trk=ondemandfile" xr:uid="{00000000-0004-0000-0A00-000041000000}"/>
    <hyperlink ref="D11" r:id="rId67" display="https://www.linkedin.com/learning/building-resilience-as-a-leader?trk=ondemandfile" xr:uid="{00000000-0004-0000-0A00-000042000000}"/>
    <hyperlink ref="N11" r:id="rId68" display="https://www.linkedin.com/learning/00-building-high-performance-teams?trk=ondemandfile" xr:uid="{00000000-0004-0000-0A00-000043000000}"/>
    <hyperlink ref="O11" r:id="rId69" display="https://www.linkedin.com/learning/paths/gestiona-el-rendimiento?trk=ondemandfile" xr:uid="{00000000-0004-0000-0A00-000044000000}"/>
    <hyperlink ref="S11" r:id="rId70" display="https://www.linkedin.com/learning/businessprobleme-l-sen?trk=ondemandfile" xr:uid="{00000000-0004-0000-0A00-000045000000}"/>
    <hyperlink ref="AH11" r:id="rId71" display="https://www.linkedin.com/learning/learning-agility-2?trk=ondemandfile" xr:uid="{00000000-0004-0000-0A00-000046000000}"/>
    <hyperlink ref="D12" r:id="rId72" display="https://www.linkedin.com/learning/build-a-trustworthy-reputation?trk=ondemandfile" xr:uid="{00000000-0004-0000-0A00-000047000000}"/>
    <hyperlink ref="N12" r:id="rId73" display="https://www.linkedin.com/learning/como-crear-una-cultura-de-alto-rendimiento?trk=ondemandfile" xr:uid="{00000000-0004-0000-0A00-000048000000}"/>
    <hyperlink ref="O12" r:id="rId74" display="https://www.linkedin.com/learning/paths/amplia-tus-competencias-de-trabajo-en-equipo-colaborativo-y-digital?trk=ondemandfile" xr:uid="{00000000-0004-0000-0A00-000049000000}"/>
    <hyperlink ref="S12" r:id="rId75" display="https://www.linkedin.com/learning/die-7-wege-zur-effektivitat-blinkist-kernaussagen?trk=ondemandfile" xr:uid="{00000000-0004-0000-0A00-00004A000000}"/>
    <hyperlink ref="AH12" r:id="rId76" display="https://www.linkedin.com/learning/learning-to-be-assertive-3?trk=ondemandfile" xr:uid="{00000000-0004-0000-0A00-00004B000000}"/>
    <hyperlink ref="D13" r:id="rId77" display="https://www.linkedin.com/learning/time-management-for-managers?trk=ondemandfile" xr:uid="{00000000-0004-0000-0A00-00004C000000}"/>
    <hyperlink ref="N13" r:id="rId78" display="https://www.linkedin.com/learning/00-building-accountability-into-your-culture?trk=ondemandfile" xr:uid="{00000000-0004-0000-0A00-00004D000000}"/>
    <hyperlink ref="S13" r:id="rId79" display="https://www.linkedin.com/learning/die-leistung-der-mitarbeiter-innen-steigern?trk=ondemandfile" xr:uid="{00000000-0004-0000-0A00-00004E000000}"/>
    <hyperlink ref="AH13" r:id="rId80" display="https://www.linkedin.com/learning/defining-and-achieving-professional-goals-3?trk=ondemandfile" xr:uid="{00000000-0004-0000-0A00-00004F000000}"/>
    <hyperlink ref="D14" r:id="rId81" display="https://www.linkedin.com/learning/how-to-build-virtual-accountability?trk=ondemandfile" xr:uid="{00000000-0004-0000-0A00-000050000000}"/>
    <hyperlink ref="I14" r:id="rId82" display="https://www.linkedin.com/learning/booster-son-efficacite-pour-atteindre-ses-objectifs?trk=contentmappingfile" xr:uid="{00000000-0004-0000-0A00-000051000000}"/>
    <hyperlink ref="N14" r:id="rId83" display="https://www.linkedin.com/learning/00-dar-y-recibir-feedback?trk=ondemandfile" xr:uid="{00000000-0004-0000-0A00-000052000000}"/>
    <hyperlink ref="S14" r:id="rId84" display="https://www.linkedin.com/learning/eine-hochleistungskultur-schaffen?trk=ondemandfile" xr:uid="{00000000-0004-0000-0A00-000053000000}"/>
    <hyperlink ref="AH14" r:id="rId85" display="https://www.linkedin.com/learning/building-accountability-into-your-culture-3?trk=ondemandfile" xr:uid="{00000000-0004-0000-0A00-000054000000}"/>
    <hyperlink ref="D15" r:id="rId86" display="https://www.linkedin.com/learning/holding-your-team-accountable?trk=ondemandfile" xr:uid="{00000000-0004-0000-0A00-000055000000}"/>
    <hyperlink ref="N15" r:id="rId87" display="https://www.linkedin.com/learning/00-learning-to-say-no?trk=ondemandfile" xr:uid="{00000000-0004-0000-0A00-000056000000}"/>
    <hyperlink ref="S15" r:id="rId88" display="https://www.linkedin.com/learning/eine-nachhaltige-work-life-balance-etablieren?trk=ondemandfile" xr:uid="{00000000-0004-0000-0A00-000057000000}"/>
    <hyperlink ref="AH15" r:id="rId89" display="https://www.linkedin.com/learning/overcoming-procrastination-3?trk=ondemandfile" xr:uid="{00000000-0004-0000-0A00-000058000000}"/>
    <hyperlink ref="D16" r:id="rId90" display="https://www.linkedin.com/learning/be-more-productive-take-small-steps-have-big-goals?trk=ondemandfile" xr:uid="{00000000-0004-0000-0A00-000059000000}"/>
    <hyperlink ref="N16" r:id="rId91" display="https://www.linkedin.com/learning/c-mo-delegar-tareas-en-la-empresa?trk=ondemandfile" xr:uid="{00000000-0004-0000-0A00-00005A000000}"/>
    <hyperlink ref="S16" r:id="rId92" display="https://www.linkedin.com/learning/8806380a-9091-31ee-accd-2c173a41388d?trk=ondemandfile" xr:uid="{00000000-0004-0000-0A00-00005B000000}"/>
    <hyperlink ref="AH16" r:id="rId93" display="https://www.linkedin.com/learning/building-high-performance-teams-4?trk=ondemandfile" xr:uid="{00000000-0004-0000-0A00-00005C000000}"/>
    <hyperlink ref="D17" r:id="rId94" display="https://www.linkedin.com/learning/developing-a-learning-mindset?trk=ondemandfile" xr:uid="{00000000-0004-0000-0A00-00005D000000}"/>
    <hyperlink ref="N17" r:id="rId95" display="https://www.linkedin.com/learning/como-desarrollar-el-autoconocimiento?trk=ondemandfile" xr:uid="{00000000-0004-0000-0A00-00005E000000}"/>
    <hyperlink ref="S17" r:id="rId96" display="https://www.linkedin.com/learning/00-ergebnis-manag?trk=ondemandfile" xr:uid="{00000000-0004-0000-0A00-00005F000000}"/>
    <hyperlink ref="AH17" r:id="rId97" display="https://www.linkedin.com/learning/improving-your-focus-3?trk=ondemandfile" xr:uid="{00000000-0004-0000-0A00-000060000000}"/>
    <hyperlink ref="D18" r:id="rId98" display="https://www.linkedin.com/learning/gaining-skills-with-linkedin-learning-2?trk=ondemandfile" xr:uid="{00000000-0004-0000-0A00-000061000000}"/>
    <hyperlink ref="N18" r:id="rId99" display="https://www.linkedin.com/learning/como-desarrollar-tu-carrera-y-crear-un-plan-de-aprendizaje-70-20-10?trk=ondemandfile" xr:uid="{00000000-0004-0000-0A00-000062000000}"/>
    <hyperlink ref="S18" r:id="rId100" display="https://www.linkedin.com/learning/fokus-blinkist-kernaussagen?trk=ondemandfile" xr:uid="{00000000-0004-0000-0A00-000063000000}"/>
    <hyperlink ref="AH18" r:id="rId101" display="https://www.linkedin.com/learning/improving-your-judgment-2?trk=ondemandfile" xr:uid="{00000000-0004-0000-0A00-000064000000}"/>
    <hyperlink ref="D19" r:id="rId102" display="https://www.linkedin.com/learning/holding-yourself-accountable?trk=ondemandfile" xr:uid="{00000000-0004-0000-0A00-000065000000}"/>
    <hyperlink ref="I19" r:id="rId103" display="https://www.linkedin.com/learning/de-l-impuissance-au-pouvoir-la-prise-de-controle?trk=contentmappingfile" xr:uid="{00000000-0004-0000-0A00-000066000000}"/>
    <hyperlink ref="N19" r:id="rId104" display="https://www.linkedin.com/learning/como-ejercer-la-responsabilidad?trk=ondemandfile" xr:uid="{00000000-0004-0000-0A00-000067000000}"/>
    <hyperlink ref="S19" r:id="rId105" display="https://www.linkedin.com/learning/hochleistungsteams-aufbauen?trk=ondemandfile" xr:uid="{00000000-0004-0000-0A00-000068000000}"/>
    <hyperlink ref="AH19" r:id="rId106" display="https://www.linkedin.com/learning/time-management-fundamentals-3?trk=ondemandfile" xr:uid="{00000000-0004-0000-0A00-000069000000}"/>
    <hyperlink ref="D20" r:id="rId107" display="https://www.linkedin.com/learning/monday-productivity-pointers?trk=ondemandfile" xr:uid="{00000000-0004-0000-0A00-00006A000000}"/>
    <hyperlink ref="N20" r:id="rId108" display="https://www.linkedin.com/learning/como-establecer-y-cumplir-tus-objetivos-profesionales?trk=ondemandfile" xr:uid="{00000000-0004-0000-0A00-00006B000000}"/>
    <hyperlink ref="S20" r:id="rId109" display="https://www.linkedin.com/learning/ihre-fuhrungsphilosophie-entwickeln?trk=ondemandfile" xr:uid="{00000000-0004-0000-0A00-00006C000000}"/>
    <hyperlink ref="AH20" r:id="rId110" display="https://www.linkedin.com/learning/leading-effectively-3?trk=ondemandfile" xr:uid="{00000000-0004-0000-0A00-00006D000000}"/>
    <hyperlink ref="D21" r:id="rId111" display="https://www.linkedin.com/learning/performing-under-pressure?trk=ondemandfile" xr:uid="{00000000-0004-0000-0A00-00006E000000}"/>
    <hyperlink ref="N21" r:id="rId112" display="https://www.linkedin.com/learning/como-fijar-los-objetivos-de-la-unidad-de-negocio?trk=contentmappingfile" xr:uid="{00000000-0004-0000-0A00-00006F000000}"/>
    <hyperlink ref="S21" r:id="rId113" display="https://www.linkedin.com/learning/kunstliche-intelligenz-und-menschlichkeit?trk=ondemandfile" xr:uid="{00000000-0004-0000-0A00-000070000000}"/>
    <hyperlink ref="AH21" r:id="rId114" display="https://www.linkedin.com/learning/0205c79a-985b-337b-8a72-81f0f9bde52b?trk=ondemandfile" xr:uid="{00000000-0004-0000-0A00-000071000000}"/>
    <hyperlink ref="D22" r:id="rId115" display="https://www.linkedin.com/learning/solving-business-problems?trk=ondemandfile" xr:uid="{00000000-0004-0000-0A00-000072000000}"/>
    <hyperlink ref="N22" r:id="rId116" display="https://www.linkedin.com/learning/c-mo-gestionar-mejor-tu-tiempo?trk=ondemandfile" xr:uid="{00000000-0004-0000-0A00-000073000000}"/>
    <hyperlink ref="S22" r:id="rId117" display="https://www.linkedin.com/learning/meditation-und-achtsamkeit-fur-neues-arbeiten?trk=ondemandfile" xr:uid="{00000000-0004-0000-0A00-000074000000}"/>
    <hyperlink ref="AH22" r:id="rId118" display="https://www.linkedin.com/learning/coaching-for-results-4?trk=ondemandfile" xr:uid="{00000000-0004-0000-0A00-000075000000}"/>
    <hyperlink ref="D23" r:id="rId119" display="https://www.linkedin.com/learning/tony-schwartz-on-energy-management?trk=ondemandfile" xr:uid="{00000000-0004-0000-0A00-000076000000}"/>
    <hyperlink ref="N23" r:id="rId120" display="https://www.linkedin.com/learning/como-hacer-coaching-a-tu-personal-para-obtener-resultados?trk=contentmappingfile" xr:uid="{00000000-0004-0000-0A00-000077000000}"/>
    <hyperlink ref="S23" r:id="rId121" display="https://www.linkedin.com/learning/mit-depressionen-am-arbeitsplatz-umgehen?trk=ondemandfile" xr:uid="{00000000-0004-0000-0A00-000078000000}"/>
    <hyperlink ref="AH23" r:id="rId122" display="https://www.linkedin.com/learning/leading-yourself-4?trk=ondemandfile" xr:uid="{00000000-0004-0000-0A00-000079000000}"/>
    <hyperlink ref="D24" r:id="rId123" display="https://www.linkedin.com/learning/proven-tips-for-managing-your-time?trk=ondemandfile" xr:uid="{00000000-0004-0000-0A00-00007A000000}"/>
    <hyperlink ref="N24" r:id="rId124" display="https://www.linkedin.com/learning/como-identificar-tu-proposito?trk=ondemandfile" xr:uid="{00000000-0004-0000-0A00-00007B000000}"/>
    <hyperlink ref="S24" r:id="rId125" display="https://www.linkedin.com/learning/modernes-leistungsmanagement?trk=ondemandfile" xr:uid="{00000000-0004-0000-0A00-00007C000000}"/>
    <hyperlink ref="AH24" r:id="rId126" display="https://www.linkedin.com/learning/powerless-to-powerful-taking-control-2?trk=ondemandfile" xr:uid="{00000000-0004-0000-0A00-00007D000000}"/>
    <hyperlink ref="D25" r:id="rId127" display="https://www.linkedin.com/learning/time-management-tips-2019?trk=ondemandfile" xr:uid="{00000000-0004-0000-0A00-00007E000000}"/>
    <hyperlink ref="N25" r:id="rId128" display="https://www.linkedin.com/learning/como-liberar-tu-potencial?trk=ondemandfile" xr:uid="{00000000-0004-0000-0A00-00007F000000}"/>
    <hyperlink ref="S25" r:id="rId129" display="https://www.linkedin.com/learning/nachhaltigkeit-im-unternehmen?trk=ondemandfile" xr:uid="{00000000-0004-0000-0A00-000080000000}"/>
    <hyperlink ref="AH25" r:id="rId130" display="https://www.linkedin.com/learning/setting-team-and-employee-goals-3?trk=ondemandfile" xr:uid="{00000000-0004-0000-0A00-000081000000}"/>
    <hyperlink ref="D26" r:id="rId131" display="https://www.linkedin.com/learning/time-management-tips-teamwork?trk=ondemandfile" xr:uid="{00000000-0004-0000-0A00-000082000000}"/>
    <hyperlink ref="I26" r:id="rId132" display="https://www.linkedin.com/learning/etablir-des-objectifs-pour-son-equipe-et-ses-employes-employees?trk=contentmappingfile" xr:uid="{00000000-0004-0000-0A00-000083000000}"/>
    <hyperlink ref="N26" r:id="rId133" display="https://www.linkedin.com/learning/como-liderar-reuniones-individuales-productivas?trk=ondemandfile" xr:uid="{00000000-0004-0000-0A00-000084000000}"/>
    <hyperlink ref="S26" r:id="rId134" display="https://www.linkedin.com/learning/ortsunabhangig-arbeiten?trk=ondemandfile" xr:uid="{00000000-0004-0000-0A00-000085000000}"/>
    <hyperlink ref="AH26" r:id="rId135" display="https://www.linkedin.com/learning/designing-growth-strategies-2?trk=ondemandfile" xr:uid="{00000000-0004-0000-0A00-000086000000}"/>
    <hyperlink ref="D27" r:id="rId136" display="https://www.linkedin.com/learning/time-management-tips-following-through?trk=ondemandfile" xr:uid="{00000000-0004-0000-0A00-000087000000}"/>
    <hyperlink ref="N27" r:id="rId137" display="https://www.linkedin.com/learning/como-liderar-reuniones-productivas?trk=ondemandfile" xr:uid="{00000000-0004-0000-0A00-000088000000}"/>
    <hyperlink ref="S27" r:id="rId138" display="https://www.linkedin.com/learning/produktiv-mit-iphone-und-ipad?trk=ondemandfile" xr:uid="{00000000-0004-0000-0A00-000089000000}"/>
    <hyperlink ref="AH27" r:id="rId139" display="https://www.linkedin.com/learning/success-habits-2?trk=ondemandfile" xr:uid="{00000000-0004-0000-0A00-00008A000000}"/>
    <hyperlink ref="D28" r:id="rId140" display="https://www.linkedin.com/learning/productivity-tips-finding-your-rhythm?trk=ondemandfile" xr:uid="{00000000-0004-0000-0A00-00008B000000}"/>
    <hyperlink ref="N28" r:id="rId141" display="https://www.linkedin.com/learning/como-medir-el-rendimiento-de-tu-equipo?trk=contentmappingfile" xr:uid="{00000000-0004-0000-0A00-00008C000000}"/>
    <hyperlink ref="S28" r:id="rId142" display="https://www.linkedin.com/learning/10-minuten-tipps-mehr-produktivit-t-im-b-ro?trk=ondemandfile" xr:uid="{00000000-0004-0000-0A00-00008D000000}"/>
    <hyperlink ref="AH28" r:id="rId143" display="https://www.linkedin.com/learning/project-management-solving-common-project-problems-3?trk=ondemandfile" xr:uid="{00000000-0004-0000-0A00-00008E000000}"/>
    <hyperlink ref="D29" r:id="rId144" display="https://www.linkedin.com/learning/productivity-tips-using-technology?trk=ondemandfile" xr:uid="{00000000-0004-0000-0A00-00008F000000}"/>
    <hyperlink ref="N29" r:id="rId145" display="https://www.linkedin.com/learning/00-measuring-business-performance?trk=ondemandfile" xr:uid="{00000000-0004-0000-0A00-000090000000}"/>
    <hyperlink ref="S29" r:id="rId146" display="https://www.linkedin.com/learning/resilienz-entwickeln?trk=ondemandfile" xr:uid="{00000000-0004-0000-0A00-000091000000}"/>
    <hyperlink ref="AC29" r:id="rId147" display="https://www.linkedin.com/learning/como-ser-uma-pessoa-assertiva?trk=contentmappingfile" xr:uid="{00000000-0004-0000-0A00-000092000000}"/>
    <hyperlink ref="D30" r:id="rId148" display="https://www.linkedin.com/learning/productivity-tips-finding-your-productive-mindset?trk=ondemandfile" xr:uid="{00000000-0004-0000-0A00-000093000000}"/>
    <hyperlink ref="N30" r:id="rId149" display="https://www.linkedin.com/learning/como-reinventarse-y-capacitarse-en-tiempos-de-crisis?trk=ondemandfile" xr:uid="{00000000-0004-0000-0A00-000094000000}"/>
    <hyperlink ref="S30" r:id="rId150" display="https://www.linkedin.com/learning/resilienz-in-krisenzeiten?trk=ondemandfile" xr:uid="{00000000-0004-0000-0A00-000095000000}"/>
    <hyperlink ref="D31" r:id="rId151" display="https://www.linkedin.com/learning/productivity-tips-setting-up-your-workplace?trk=ondemandfile" xr:uid="{00000000-0004-0000-0A00-000096000000}"/>
    <hyperlink ref="I31" r:id="rId152" display="https://www.linkedin.com/learning/l-analyse-marketing-etablir-et-mesurer-des-indicateurs-cles-de-performance-kpi?trk=contentmappingfile" xr:uid="{00000000-0004-0000-0A00-000097000000}"/>
    <hyperlink ref="N31" r:id="rId153" display="https://www.linkedin.com/learning/como-ser-parte-de-un-ambiente-de-trabajo-positivo?trk=ondemandfile" xr:uid="{00000000-0004-0000-0A00-000098000000}"/>
    <hyperlink ref="S31" r:id="rId154" display="https://www.linkedin.com/learning/00-selbstorganisation-mit-mac?trk=ondemandfile" xr:uid="{00000000-0004-0000-0A00-000099000000}"/>
    <hyperlink ref="D32" r:id="rId155" display="https://www.linkedin.com/learning/productivity-tips-taking-control-of-email?trk=ondemandfile" xr:uid="{00000000-0004-0000-0A00-00009A000000}"/>
    <hyperlink ref="I32" r:id="rId156" display="https://www.linkedin.com/learning/les-fondamentaux-de-la-gestion-du-temps?trk=ondemandfile" xr:uid="{00000000-0004-0000-0A00-00009B000000}"/>
    <hyperlink ref="N32" r:id="rId157" display="https://www.linkedin.com/learning/como-superar-la-procrastinacion?trk=ondemandfile" xr:uid="{00000000-0004-0000-0A00-00009C000000}"/>
    <hyperlink ref="S32" r:id="rId158" display="https://www.linkedin.com/learning/selbstmanagement-tipps-fur-fuhrungskrafte?trk=ondemandfile" xr:uid="{00000000-0004-0000-0A00-00009D000000}"/>
    <hyperlink ref="D33" r:id="rId159" display="https://www.linkedin.com/learning/building-a-better-to-do-list?trk=ondemandfile" xr:uid="{00000000-0004-0000-0A00-00009E000000}"/>
    <hyperlink ref="I33" r:id="rId160" display="https://www.linkedin.com/learning/les-habitudes-menant-a-la-reussite?trk=contentmappingfile" xr:uid="{00000000-0004-0000-0A00-00009F000000}"/>
    <hyperlink ref="N33" r:id="rId161" display="https://www.linkedin.com/learning/c-mo-tomar-decisiones?trk=ondemandfile" xr:uid="{00000000-0004-0000-0A00-0000A0000000}"/>
    <hyperlink ref="S33" r:id="rId162" display="https://www.linkedin.com/learning/selbstmotivation?trk=ondemandfile" xr:uid="{00000000-0004-0000-0A00-0000A1000000}"/>
    <hyperlink ref="D34" r:id="rId163" display="https://www.linkedin.com/learning/15-secrets-successful-people-know-about-time-management-getabstract-summary?trk=ondemandfile" xr:uid="{00000000-0004-0000-0A00-0000A2000000}"/>
    <hyperlink ref="N34" r:id="rId164" display="https://www.linkedin.com/learning/como-trabajar-con-gente-dificil?trk=ondemandfile" xr:uid="{00000000-0004-0000-0A00-0000A3000000}"/>
    <hyperlink ref="S34" r:id="rId165" display="https://www.linkedin.com/learning/00-bereitfuehren?trk=ondemandfile" xr:uid="{00000000-0004-0000-0A00-0000A4000000}"/>
    <hyperlink ref="D35" r:id="rId166" display="https://www.linkedin.com/learning/how-to-slow-down-and-be-more-productive?trk=ondemandfile" xr:uid="{00000000-0004-0000-0A00-0000A5000000}"/>
    <hyperlink ref="N35" r:id="rId167" display="https://www.linkedin.com/learning/00-por-que-aprender?trk=ondemandfile" xr:uid="{00000000-0004-0000-0A00-0000A6000000}"/>
    <hyperlink ref="S35" r:id="rId168" display="https://www.linkedin.com/learning/sich-selbst-fuhren?trk=ondemandfile" xr:uid="{00000000-0004-0000-0A00-0000A7000000}"/>
    <hyperlink ref="D36" r:id="rId169" display="https://www.linkedin.com/learning/productivity-principles-to-make-time-for-what-s-important?trk=ondemandfile" xr:uid="{00000000-0004-0000-0A00-0000A8000000}"/>
    <hyperlink ref="N36" r:id="rId170" display="https://www.linkedin.com/learning/curiosidad-aplicada?trk=ondemandfile" xr:uid="{00000000-0004-0000-0A00-0000A9000000}"/>
    <hyperlink ref="S36" r:id="rId171" display="https://www.linkedin.com/learning/tipps-fur-kreatives-zeitmanagement?trk=contentmappingfile" xr:uid="{00000000-0004-0000-0A00-0000AA000000}"/>
    <hyperlink ref="D37" r:id="rId172" display="https://www.linkedin.com/learning/making-big-goals-achievable?trk=ondemandfile" xr:uid="{00000000-0004-0000-0A00-0000AB000000}"/>
    <hyperlink ref="N37" r:id="rId173" display="https://www.linkedin.com/learning/del-victimismo-a-la-acci-n-asume-el-control?trk=ondemandfile" xr:uid="{00000000-0004-0000-0A00-0000AC000000}"/>
    <hyperlink ref="S37" r:id="rId174" display="https://www.linkedin.com/learning/00-projprobl?trk=ondemandfile" xr:uid="{00000000-0004-0000-0A00-0000AD000000}"/>
    <hyperlink ref="D38" r:id="rId175" display="https://www.linkedin.com/learning/time-management-tips-communication?trk=ondemandfile" xr:uid="{00000000-0004-0000-0A00-0000AE000000}"/>
    <hyperlink ref="N38" r:id="rId176" display="https://www.linkedin.com/learning/design-thinking-facilitacion-de-procesos-de-trabajo?trk=ondemandfile" xr:uid="{00000000-0004-0000-0A00-0000AF000000}"/>
    <hyperlink ref="S38" r:id="rId177" display="https://www.linkedin.com/learning/veranderungen-im-beruf-erfolgreich-bewaltigen?trk=ondemandfile" xr:uid="{00000000-0004-0000-0A00-0000B0000000}"/>
    <hyperlink ref="D39" r:id="rId178" display="https://www.linkedin.com/learning/subtle-shifts-in-thinking-for-tremendous-resilience?trk=ondemandfile" xr:uid="{00000000-0004-0000-0A00-0000B1000000}"/>
    <hyperlink ref="I39" r:id="rId179" display="https://www.linkedin.com/learning/s-autodiriger?trk=contentmappingfile" xr:uid="{00000000-0004-0000-0A00-0000B2000000}"/>
    <hyperlink ref="N39" r:id="rId180" display="https://www.linkedin.com/learning/design-thinking-herramientas-y-tecnicas-presenciales-y-en-teletrabajo?trk=ondemandfile" xr:uid="{00000000-0004-0000-0A00-0000B3000000}"/>
    <hyperlink ref="S39" r:id="rId181" display="https://www.linkedin.com/learning/00-fragenfuehren?trk=ondemandfile" xr:uid="{00000000-0004-0000-0A00-0000B4000000}"/>
    <hyperlink ref="D40" r:id="rId182" display="https://www.linkedin.com/learning/productivity-prioritizing-at-work?trk=ondemandfile" xr:uid="{00000000-0004-0000-0A00-0000B5000000}"/>
    <hyperlink ref="N40" r:id="rId183" display="https://www.linkedin.com/learning/designops-habilidades-personales-esencial?trk=ondemandfile" xr:uid="{00000000-0004-0000-0A00-0000B6000000}"/>
    <hyperlink ref="S40" r:id="rId184" display="https://www.linkedin.com/learning/videokonferenzen-moderieren?trk=ondemandfile" xr:uid="{00000000-0004-0000-0A00-0000B7000000}"/>
    <hyperlink ref="D41" r:id="rId185" display="https://www.linkedin.com/learning/managing-your-energy?trk=ondemandfile" xr:uid="{00000000-0004-0000-0A00-0000B8000000}"/>
    <hyperlink ref="N41" r:id="rId186" display="https://www.linkedin.com/learning/dominar-la-auto-motivacion-en-tiempos-de-crisis?trk=ondemandfile" xr:uid="{00000000-0004-0000-0A00-0000B9000000}"/>
    <hyperlink ref="S41" r:id="rId187" display="https://www.linkedin.com/learning/00-ohnmaechtig?trk=ondemandfile" xr:uid="{00000000-0004-0000-0A00-0000BA000000}"/>
    <hyperlink ref="D42" r:id="rId188" display="https://www.linkedin.com/learning/building-better-routines?trk=ondemandfile" xr:uid="{00000000-0004-0000-0A00-0000BB000000}"/>
    <hyperlink ref="N42" r:id="rId189" display="https://www.linkedin.com/learning/el-futuro-de-la-gestion-del-rendimiento?trk=ondemandfile" xr:uid="{00000000-0004-0000-0A00-0000BC000000}"/>
    <hyperlink ref="S42" r:id="rId190" display="https://www.linkedin.com/learning/werteorientiertes-management?trk=ondemandfile" xr:uid="{00000000-0004-0000-0A00-0000BD000000}"/>
    <hyperlink ref="D43" r:id="rId191" display="https://www.linkedin.com/learning/creating-lasting-habits?trk=ondemandfile" xr:uid="{00000000-0004-0000-0A00-0000BE000000}"/>
    <hyperlink ref="N43" r:id="rId192" display="https://www.linkedin.com/learning/00-fred-kofman-on-accountability?trk=ondemandfile" xr:uid="{00000000-0004-0000-0A00-0000BF000000}"/>
    <hyperlink ref="S43" r:id="rId193" display="https://www.linkedin.com/learning/wie-ich-die-dinge-geregelt-kriege-blinkist-kernaussagen?trk=ondemandfile" xr:uid="{00000000-0004-0000-0A00-0000C0000000}"/>
    <hyperlink ref="D44" r:id="rId194" display="https://www.linkedin.com/learning/how-to-effectively-deliver-criticism?trk=ondemandfile" xr:uid="{00000000-0004-0000-0A00-0000C1000000}"/>
    <hyperlink ref="N44" r:id="rId195" display="https://www.linkedin.com/learning/fundamentos-de-la-excelencia-operativa?trk=ondemandfile" xr:uid="{00000000-0004-0000-0A00-0000C2000000}"/>
    <hyperlink ref="S44" r:id="rId196" display="https://www.linkedin.com/learning/zeitmanagement-mit-outlook?trk=ondemandfile" xr:uid="{00000000-0004-0000-0A00-0000C3000000}"/>
    <hyperlink ref="D45" r:id="rId197" display="https://www.linkedin.com/learning/dealing-with-disappointment-in-your-role?trk=ondemandfile" xr:uid="{00000000-0004-0000-0A00-0000C4000000}"/>
    <hyperlink ref="N45" r:id="rId198" display="https://www.linkedin.com/learning/00-gestion-eficaz-del-tiempo?trk=ondemandfile" xr:uid="{00000000-0004-0000-0A00-0000C5000000}"/>
    <hyperlink ref="S45" r:id="rId199" display="https://www.linkedin.com/learning/zeitmanagement-mit-outlook-2016?trk=ondemandfile" xr:uid="{00000000-0004-0000-0A00-0000C6000000}"/>
    <hyperlink ref="D46" r:id="rId200" display="https://www.linkedin.com/learning/unlocking-your-potential?trk=ondemandfile" xr:uid="{00000000-0004-0000-0A00-0000C7000000}"/>
    <hyperlink ref="N46" r:id="rId201" display="https://www.linkedin.com/learning/00-process-improvement-fundamentals?trk=ondemandfile" xr:uid="{00000000-0004-0000-0A00-0000C8000000}"/>
    <hyperlink ref="S46" r:id="rId202" display="https://www.linkedin.com/learning/ziele-fur-mitarbeiter-innen-und-teams-setzen?trk=ondemandfile" xr:uid="{00000000-0004-0000-0A00-0000C9000000}"/>
    <hyperlink ref="D47" r:id="rId203" display="https://www.linkedin.com/learning/prioritizing-tasks-for-maximum-impact?trk=ondemandfile" xr:uid="{00000000-0004-0000-0A00-0000CA000000}"/>
    <hyperlink ref="N47" r:id="rId204" display="https://www.linkedin.com/learning/fundamentos-de-la-productividad-2?trk=ondemandfile" xr:uid="{00000000-0004-0000-0A00-0000CB000000}"/>
    <hyperlink ref="S47" r:id="rId205" display="https://www.linkedin.com/learning/00-zielvereinbarung?trk=ondemandfile" xr:uid="{00000000-0004-0000-0A00-0000CC000000}"/>
    <hyperlink ref="D48" r:id="rId206" display="https://www.linkedin.com/learning/the-five-conversations-that-deliver-accountability-and-performance?trk=ondemandfile" xr:uid="{00000000-0004-0000-0A00-0000CD000000}"/>
    <hyperlink ref="N48" r:id="rId207" display="https://www.linkedin.com/learning/fundamentos-de-la-productividad?trk=ondemandfile" xr:uid="{00000000-0004-0000-0A00-0000CE000000}"/>
    <hyperlink ref="D49" r:id="rId208" display="https://www.linkedin.com/learning/time-management-for-busy-people?trk=ondemandfile" xr:uid="{00000000-0004-0000-0A00-0000CF000000}"/>
    <hyperlink ref="N49" r:id="rId209" display="https://www.linkedin.com/learning/gestion-de-equipos-mediante-okr-s-o-misiones-objetivos-y-resultados-clave?trk=contentmappingfile" xr:uid="{00000000-0004-0000-0A00-0000D0000000}"/>
    <hyperlink ref="D50" r:id="rId210" display="https://www.linkedin.com/learning/how-to-organize-your-time-and-your-life?trk=ondemandfile" xr:uid="{00000000-0004-0000-0A00-0000D1000000}"/>
    <hyperlink ref="N50" r:id="rId211" display="https://www.linkedin.com/learning/00-solving-common-project-problems?trk=ondemandfile" xr:uid="{00000000-0004-0000-0A00-0000D2000000}"/>
    <hyperlink ref="D51" r:id="rId212" display="https://www.linkedin.com/learning/components-of-effective-learning?trk=ondemandfile" xr:uid="{00000000-0004-0000-0A00-0000D3000000}"/>
    <hyperlink ref="N51" r:id="rId213" display="https://www.linkedin.com/learning/gestion-del-fracaso-para-tener-exito?trk=contentmappingfile" xr:uid="{00000000-0004-0000-0A00-0000D4000000}"/>
    <hyperlink ref="D52" r:id="rId214" display="https://www.linkedin.com/learning/powerful-prioritization-with-the-80-20-rule?trk=ondemandfile" xr:uid="{00000000-0004-0000-0A00-0000D5000000}"/>
    <hyperlink ref="N52" r:id="rId215" display="https://www.linkedin.com/learning/gestion-del-tiempo-para-lideres?trk=contentmappingfile" xr:uid="{00000000-0004-0000-0A00-0000D6000000}"/>
    <hyperlink ref="D53" r:id="rId216" display="https://www.linkedin.com/learning/overcoming-perfectionism?trk=ondemandfile" xr:uid="{00000000-0004-0000-0A00-0000D7000000}"/>
    <hyperlink ref="N53" r:id="rId217" display="https://www.linkedin.com/learning/getting-things-done-organ-zate-con-eficacia?trk=ondemandfile" xr:uid="{00000000-0004-0000-0A00-0000D8000000}"/>
    <hyperlink ref="D54" r:id="rId218" display="https://www.linkedin.com/learning/how-to-get-things-done-ahead-of-deadlines?trk=ondemandfile" xr:uid="{00000000-0004-0000-0A00-0000D9000000}"/>
    <hyperlink ref="N54" r:id="rId219" display="https://www.linkedin.com/learning/habilidades-de-trabajo-fundamentales?trk=ondemandfile" xr:uid="{00000000-0004-0000-0A00-0000DA000000}"/>
    <hyperlink ref="D55" r:id="rId220" display="https://www.linkedin.com/learning/the-surprising-upside-of-procrastination?trk=ondemandfile" xr:uid="{00000000-0004-0000-0A00-0000DB000000}"/>
    <hyperlink ref="N55" r:id="rId221" display="https://www.linkedin.com/learning/herramientas-online-para-teletrabajo-trucos?trk=ondemandfile" xr:uid="{00000000-0004-0000-0A00-0000DC000000}"/>
    <hyperlink ref="D56" r:id="rId222" display="https://www.linkedin.com/learning/secrets-of-effective-prioritization?trk=ondemandfile" xr:uid="{00000000-0004-0000-0A00-0000DD000000}"/>
    <hyperlink ref="N56" r:id="rId223" display="https://www.linkedin.com/learning/00-enhancing-your-productivity?trk=ondemandfile" xr:uid="{00000000-0004-0000-0A00-0000DE000000}"/>
    <hyperlink ref="D57" r:id="rId224" display="https://www.linkedin.com/learning/how-to-manage-your-attention-and-your-priorities?trk=ondemandfile" xr:uid="{00000000-0004-0000-0A00-0000DF000000}"/>
    <hyperlink ref="N57" r:id="rId225" display="https://www.linkedin.com/learning/motivaci-n-e-implicaci-n-en-la-empresa?trk=ondemandfile" xr:uid="{00000000-0004-0000-0A00-0000E0000000}"/>
    <hyperlink ref="D58" r:id="rId226" display="https://www.linkedin.com/learning/focus-on-what-matters-and-minimize-distraction?trk=ondemandfile" xr:uid="{00000000-0004-0000-0A00-0000E1000000}"/>
    <hyperlink ref="N58" r:id="rId227" display="https://www.linkedin.com/learning/outlook-gestion-del-tiempo-con-calendario-y-tareas-office-365-microsoft-365?trk=ondemandfile" xr:uid="{00000000-0004-0000-0A00-0000E2000000}"/>
    <hyperlink ref="D59" r:id="rId228" display="https://www.linkedin.com/learning/learn-to-control-your-attention?trk=ondemandfile" xr:uid="{00000000-0004-0000-0A00-0000E3000000}"/>
    <hyperlink ref="N59" r:id="rId229" display="https://www.linkedin.com/learning/prepara-tu-curriculum-vitae-2?trk=ondemandfile" xr:uid="{00000000-0004-0000-0A00-0000E4000000}"/>
    <hyperlink ref="D60" r:id="rId230" display="https://www.linkedin.com/learning/mixtape-learning-highlights-on-personal-effectiveness?trk=ondemandfile" xr:uid="{00000000-0004-0000-0A00-0000E5000000}"/>
    <hyperlink ref="N60" r:id="rId231" display="https://www.linkedin.com/learning/reuniones-eficaces?trk=ondemandfile" xr:uid="{00000000-0004-0000-0A00-0000E6000000}"/>
    <hyperlink ref="D61" r:id="rId232" display="https://www.linkedin.com/learning/overcome-overthinking?trk=ondemandfile" xr:uid="{00000000-0004-0000-0A00-0000E7000000}"/>
    <hyperlink ref="N61" r:id="rId233" display="https://www.linkedin.com/learning/tecnicas-de-resolucion-de-problemas?trk=ondemandfile" xr:uid="{00000000-0004-0000-0A00-0000E8000000}"/>
    <hyperlink ref="D62" r:id="rId234" display="https://www.linkedin.com/learning/building-resilience?trk=ondemandfile" xr:uid="{00000000-0004-0000-0A00-0000E9000000}"/>
    <hyperlink ref="N62" r:id="rId235" display="https://www.linkedin.com/learning/vitalidad-y-capacidad-de-concentracion-a-traves-de-la-alimentacion-sana?trk=ondemandfile" xr:uid="{00000000-0004-0000-0A00-0000EA000000}"/>
    <hyperlink ref="D63" r:id="rId236" display="https://www.linkedin.com/learning/delivering-results-effectively?trk=ondemandfile" xr:uid="{00000000-0004-0000-0A00-0000EB000000}"/>
    <hyperlink ref="D64" r:id="rId237" display="https://www.linkedin.com/learning/enhancing-resilience?trk=ondemandfile" xr:uid="{00000000-0004-0000-0A00-0000EC000000}"/>
    <hyperlink ref="D65" r:id="rId238" display="https://www.linkedin.com/learning/fred-kofman-on-accountability?trk=ondemandfile" xr:uid="{00000000-0004-0000-0A00-0000ED000000}"/>
    <hyperlink ref="D66" r:id="rId239" display="https://www.linkedin.com/learning/fred-kofman-on-making-commitments?trk=ondemandfile" xr:uid="{00000000-0004-0000-0A00-0000EE000000}"/>
    <hyperlink ref="D67" r:id="rId240" display="https://www.linkedin.com/learning/getting-things-done?trk=ondemandfile" xr:uid="{00000000-0004-0000-0A00-0000EF000000}"/>
    <hyperlink ref="D68" r:id="rId241" display="https://www.linkedin.com/learning/improving-your-focus?trk=ondemandfile" xr:uid="{00000000-0004-0000-0A00-0000F0000000}"/>
    <hyperlink ref="D69" r:id="rId242" display="https://www.linkedin.com/learning/overcoming-procrastination-2?trk=ondemandfile" xr:uid="{00000000-0004-0000-0A00-0000F1000000}"/>
    <hyperlink ref="D70" r:id="rId243" display="https://www.linkedin.com/learning/sheryl-sandberg-and-adam-grant-on-option-b?trk=ondemandfile" xr:uid="{00000000-0004-0000-0A00-0000F2000000}"/>
    <hyperlink ref="D71" r:id="rId244" display="https://www.linkedin.com/learning/time-management?trk=ondemandfile" xr:uid="{00000000-0004-0000-0A00-0000F3000000}"/>
    <hyperlink ref="D72" r:id="rId245" display="https://www.linkedin.com/learning/personal-effectiveness-tips?trk=ondemandfile" xr:uid="{00000000-0004-0000-0A00-0000F4000000}"/>
    <hyperlink ref="D73" r:id="rId246" display="https://www.linkedin.com/learning/powerless-to-powerful-taking-control?trk=ondemandfile" xr:uid="{00000000-0004-0000-0A00-0000F5000000}"/>
    <hyperlink ref="D74" r:id="rId247" display="https://www.linkedin.com/learning/prioritizing-your-tasks?trk=ondemandfile" xr:uid="{00000000-0004-0000-0A00-0000F6000000}"/>
    <hyperlink ref="D75" r:id="rId248" display="https://www.linkedin.com/learning/happy-accidents-the-transformative-power-of-yes-and-at-work-and-in-life-getabstract-summary?trk=ondemandfile" xr:uid="{00000000-0004-0000-0A00-0000F7000000}"/>
    <hyperlink ref="D76" r:id="rId249" display="https://www.linkedin.com/learning/what-to-do-when-there-s-too-much-to-do-getabstract-summary?trk=ondemandfile" xr:uid="{00000000-0004-0000-0A00-0000F8000000}"/>
    <hyperlink ref="D77" r:id="rId250" display="https://www.linkedin.com/learning/improving-the-value-of-your-time?trk=ondemandfile" xr:uid="{00000000-0004-0000-0A00-0000F9000000}"/>
    <hyperlink ref="D78" r:id="rId251" display="https://www.linkedin.com/learning/balancing-work-and-life-as-a-work-from-home-parent?trk=ondemandfile" xr:uid="{00000000-0004-0000-0A00-0000FA000000}"/>
    <hyperlink ref="D79" r:id="rId252" display="https://www.linkedin.com/learning/business-ethics-2?trk=ondemandfile" xr:uid="{00000000-0004-0000-0A00-0000FB000000}"/>
    <hyperlink ref="D80" r:id="rId253" display="https://www.linkedin.com/learning/working-from-home-strategies-for-success?trk=ondemandfile" xr:uid="{00000000-0004-0000-0A00-0000FC000000}"/>
    <hyperlink ref="D81" r:id="rId254" display="https://www.linkedin.com/learning/the-power-of-lists-to-get-stuff-done?trk=ondemandfile" xr:uid="{00000000-0004-0000-0A00-0000FD000000}"/>
    <hyperlink ref="D82" r:id="rId255" display="https://www.linkedin.com/learning/asking-for-feedback-as-an-employee?trk=ondemandfile" xr:uid="{00000000-0004-0000-0A00-0000FE000000}"/>
    <hyperlink ref="D83" r:id="rId256" display="https://www.linkedin.com/learning/enhance-your-productivity-with-effective-note-taking?trk=ondemandfile" xr:uid="{00000000-0004-0000-0A00-0000FF000000}"/>
    <hyperlink ref="D84" r:id="rId257" display="https://www.linkedin.com/learning/how-to-motivate-yourself-to-do-what-s-most-important?trk=ondemandfile" xr:uid="{00000000-0004-0000-0A00-000000010000}"/>
    <hyperlink ref="D85" r:id="rId258" display="https://www.linkedin.com/learning/mastering-self-leadership?trk=ondemandfile" xr:uid="{00000000-0004-0000-0A00-000001010000}"/>
    <hyperlink ref="D86" r:id="rId259" display="https://www.linkedin.com/learning/managing-up-as-an-employee?trk=ondemandfile" xr:uid="{00000000-0004-0000-0A00-000002010000}"/>
    <hyperlink ref="D87" r:id="rId260" display="https://www.linkedin.com/learning/habits-for-success?trk=ondemandfile" xr:uid="{00000000-0004-0000-0A00-000003010000}"/>
    <hyperlink ref="D88" r:id="rId261" display="https://www.linkedin.com/learning/habits-to-win-every-day?trk=ondemandfile" xr:uid="{00000000-0004-0000-0A00-000004010000}"/>
    <hyperlink ref="D89" r:id="rId262" display="https://www.linkedin.com/learning/flexible-working-blinkist-summary?trk=ondemandfile" xr:uid="{00000000-0004-0000-0A00-000005010000}"/>
    <hyperlink ref="D90" r:id="rId263" display="https://www.linkedin.com/learning/hyperfocus-blinkist-summary?trk=ondemandfile" xr:uid="{00000000-0004-0000-0A00-000006010000}"/>
    <hyperlink ref="D91" r:id="rId264" display="https://www.linkedin.com/learning/the-three-secrets-to-effective-time-investment-blinkist-summary?trk=ondemandfile" xr:uid="{00000000-0004-0000-0A00-000007010000}"/>
    <hyperlink ref="D92" r:id="rId265" display="https://www.linkedin.com/learning/the-procrastination-cure-blinkist-summary?trk=ondemandfile" xr:uid="{00000000-0004-0000-0A00-000008010000}"/>
    <hyperlink ref="D93" r:id="rId266" display="https://www.linkedin.com/learning/developing-resourcefulness?trk=ondemandfile" xr:uid="{00000000-0004-0000-0A00-000009010000}"/>
    <hyperlink ref="D94" r:id="rId267" display="https://www.linkedin.com/learning/demonstrating-accountability-as-a-leader?trk=ondemandfile" xr:uid="{00000000-0004-0000-0A00-00000A010000}"/>
    <hyperlink ref="D95" r:id="rId268" display="https://www.linkedin.com/learning/using-microsoft-teams-and-outlook-together-maximizing-productivity?trk=ondemandfile" xr:uid="{00000000-0004-0000-0A00-00000B01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Click and enter a value from range 'Competency Titles'!A1:A27" xr:uid="{00000000-0002-0000-0A00-000000000000}">
          <x14:formula1>
            <xm:f>#REF!</xm:f>
          </x14:formula1>
          <xm:sqref>B1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674EA7"/>
    <outlinePr summaryBelow="0" summaryRight="0"/>
  </sheetPr>
  <dimension ref="A1:AJ99"/>
  <sheetViews>
    <sheetView showGridLines="0" workbookViewId="0">
      <pane ySplit="3" topLeftCell="A4" activePane="bottomLeft" state="frozen"/>
      <selection pane="bottomLeft" sqref="A1:XFD1048576"/>
    </sheetView>
  </sheetViews>
  <sheetFormatPr baseColWidth="10" defaultColWidth="11.1640625" defaultRowHeight="15" customHeight="1"/>
  <cols>
    <col min="1" max="1" width="1.1640625" customWidth="1"/>
    <col min="2" max="2" width="11.1640625" customWidth="1"/>
    <col min="3" max="3" width="18.5" customWidth="1"/>
    <col min="4" max="5" width="44.5" customWidth="1"/>
    <col min="6" max="6" width="1.1640625" customWidth="1"/>
    <col min="7" max="7" width="11.1640625" customWidth="1"/>
    <col min="8" max="8" width="19.33203125" customWidth="1"/>
    <col min="9" max="10" width="44.5" customWidth="1"/>
    <col min="11" max="11" width="1.1640625" customWidth="1"/>
    <col min="12" max="12" width="11.1640625" customWidth="1"/>
    <col min="13" max="13" width="20.83203125" customWidth="1"/>
    <col min="14" max="15" width="44.5" customWidth="1"/>
    <col min="16" max="16" width="1.1640625" customWidth="1"/>
    <col min="17" max="17" width="11.1640625" customWidth="1"/>
    <col min="18" max="18" width="19.6640625" customWidth="1"/>
    <col min="19" max="20" width="44.5" customWidth="1"/>
    <col min="21" max="21" width="1.1640625" customWidth="1"/>
    <col min="23" max="23" width="18.6640625" customWidth="1"/>
    <col min="24" max="25" width="44.5" customWidth="1"/>
    <col min="26" max="26" width="1.1640625" customWidth="1"/>
    <col min="27" max="27" width="11.1640625" customWidth="1"/>
    <col min="28" max="28" width="26.6640625" customWidth="1"/>
    <col min="29" max="30" width="44.5" customWidth="1"/>
    <col min="31" max="31" width="1.1640625" customWidth="1"/>
    <col min="32" max="32" width="11.1640625" customWidth="1"/>
    <col min="33" max="33" width="21" customWidth="1"/>
    <col min="34" max="35" width="44.5" customWidth="1"/>
    <col min="36" max="36" width="1.1640625" customWidth="1"/>
  </cols>
  <sheetData>
    <row r="1" spans="1:36" ht="34.5" customHeight="1">
      <c r="A1" s="208"/>
      <c r="B1" s="230" t="s">
        <v>1</v>
      </c>
      <c r="C1" s="222"/>
      <c r="D1" s="222"/>
      <c r="E1" s="222"/>
      <c r="F1" s="208"/>
      <c r="G1" s="230" t="str">
        <f ca="1">IFERROR(__xludf.DUMMYFUNCTION("IFERROR(UNIQUE(FILTER(French!B:B,French!A:A=B1)))"),"Adaptabilité")</f>
        <v>Adaptabilité</v>
      </c>
      <c r="H1" s="222"/>
      <c r="I1" s="222"/>
      <c r="J1" s="222"/>
      <c r="K1" s="208"/>
      <c r="L1" s="230" t="str">
        <f ca="1">IFERROR(__xludf.DUMMYFUNCTION("IFERROR((UNIQUE(FILTER(Spanish!B:B,Spanish!A:A=B1))))"),"Adaptabilidad")</f>
        <v>Adaptabilidad</v>
      </c>
      <c r="M1" s="222"/>
      <c r="N1" s="222"/>
      <c r="O1" s="222"/>
      <c r="P1" s="208"/>
      <c r="Q1" s="230" t="str">
        <f ca="1">IFERROR(__xludf.DUMMYFUNCTION("IFERROR(UNIQUE(FILTER(German!B:B,German!A:A=B1)))"),"Anpassungsfähigkeit")</f>
        <v>Anpassungsfähigkeit</v>
      </c>
      <c r="R1" s="222"/>
      <c r="S1" s="222"/>
      <c r="T1" s="222"/>
      <c r="U1" s="208"/>
      <c r="V1" s="230" t="str">
        <f ca="1">IFERROR(__xludf.DUMMYFUNCTION("IFERROR(UNIQUE(FILTER(Japanese!B:B,Japanese!A:A=B1)))"),"適応能力")</f>
        <v>適応能力</v>
      </c>
      <c r="W1" s="222"/>
      <c r="X1" s="222"/>
      <c r="Y1" s="222"/>
      <c r="Z1" s="208"/>
      <c r="AA1" s="230" t="str">
        <f ca="1">IFERROR(__xludf.DUMMYFUNCTION("IFERROR(UNIQUE(FILTER(Portuguese!B:B,Portuguese!A:A=B1)))"),"Capacidade de adaptação")</f>
        <v>Capacidade de adaptação</v>
      </c>
      <c r="AB1" s="222"/>
      <c r="AC1" s="222"/>
      <c r="AD1" s="222"/>
      <c r="AE1" s="208"/>
      <c r="AF1" s="230" t="str">
        <f ca="1">IFERROR(__xludf.DUMMYFUNCTION("IFERROR(UNIQUE(FILTER(Mandarin!B:B,Mandarin!A:A=B1)))"),"适应能力")</f>
        <v>适应能力</v>
      </c>
      <c r="AG1" s="222"/>
      <c r="AH1" s="222"/>
      <c r="AI1" s="222"/>
      <c r="AJ1" s="208"/>
    </row>
    <row r="2" spans="1:36" ht="28" customHeight="1">
      <c r="A2" s="209"/>
      <c r="B2" s="234" t="s">
        <v>4713</v>
      </c>
      <c r="C2" s="222"/>
      <c r="D2" s="222"/>
      <c r="E2" s="222"/>
      <c r="F2" s="209"/>
      <c r="G2" s="231" t="s">
        <v>4714</v>
      </c>
      <c r="H2" s="222"/>
      <c r="I2" s="222"/>
      <c r="J2" s="222"/>
      <c r="K2" s="209"/>
      <c r="L2" s="235" t="s">
        <v>4715</v>
      </c>
      <c r="M2" s="222"/>
      <c r="N2" s="222"/>
      <c r="O2" s="222"/>
      <c r="P2" s="209"/>
      <c r="Q2" s="232" t="s">
        <v>4716</v>
      </c>
      <c r="R2" s="222"/>
      <c r="S2" s="222"/>
      <c r="T2" s="222"/>
      <c r="U2" s="209"/>
      <c r="V2" s="236" t="s">
        <v>4717</v>
      </c>
      <c r="W2" s="222"/>
      <c r="X2" s="222"/>
      <c r="Y2" s="222"/>
      <c r="Z2" s="209"/>
      <c r="AA2" s="233" t="s">
        <v>4718</v>
      </c>
      <c r="AB2" s="222"/>
      <c r="AC2" s="222"/>
      <c r="AD2" s="222"/>
      <c r="AE2" s="209"/>
      <c r="AF2" s="237" t="s">
        <v>4719</v>
      </c>
      <c r="AG2" s="222"/>
      <c r="AH2" s="222"/>
      <c r="AI2" s="222"/>
      <c r="AJ2" s="209"/>
    </row>
    <row r="3" spans="1:36" ht="26" customHeight="1">
      <c r="A3" s="210"/>
      <c r="B3" s="211" t="str">
        <f ca="1">IFERROR(__xludf.DUMMYFUNCTION("FILTER(English!B:B,English!A:A=B1)"),"Course IDs")</f>
        <v>Course IDs</v>
      </c>
      <c r="C3" s="211" t="str">
        <f ca="1">IFERROR(__xludf.DUMMYFUNCTION("FILTER(English!C:C,English!A:A=B1)"),"Levels")</f>
        <v>Levels</v>
      </c>
      <c r="D3" s="211" t="str">
        <f ca="1">IFERROR(__xludf.DUMMYFUNCTION("FILTER(English!D:D,English!A:A=B1)"),"Courses")</f>
        <v>Courses</v>
      </c>
      <c r="E3" s="212" t="str">
        <f ca="1">IFERROR(__xludf.DUMMYFUNCTION("FILTER(English!E:E,English!A:A=B1)"),"Learning Paths")</f>
        <v>Learning Paths</v>
      </c>
      <c r="F3" s="210"/>
      <c r="G3" s="211" t="str">
        <f ca="1">IFERROR(__xludf.DUMMYFUNCTION("FILTER(French!C:C,French!B:B=G1)"),"Course IDs")</f>
        <v>Course IDs</v>
      </c>
      <c r="H3" s="211" t="str">
        <f ca="1">IFERROR(__xludf.DUMMYFUNCTION("FILTER(French!D:D,French!B:B=G1)"),"Levels")</f>
        <v>Levels</v>
      </c>
      <c r="I3" s="211" t="str">
        <f ca="1">IFERROR(__xludf.DUMMYFUNCTION("FILTER(French!E:E,French!B:B=G1)"),"Courses")</f>
        <v>Courses</v>
      </c>
      <c r="J3" s="212" t="str">
        <f ca="1">IFERROR(__xludf.DUMMYFUNCTION("FILTER(French!G:G,French!B:B=G1)"),"Learning Paths")</f>
        <v>Learning Paths</v>
      </c>
      <c r="K3" s="210"/>
      <c r="L3" s="211" t="str">
        <f ca="1">IFERROR(__xludf.DUMMYFUNCTION("FILTER(Spanish!C:C,Spanish!B:B=L1)"),"Course IDs")</f>
        <v>Course IDs</v>
      </c>
      <c r="M3" s="211" t="str">
        <f ca="1">IFERROR(__xludf.DUMMYFUNCTION("FILTER(Spanish!D:D,Spanish!B:B=L1)"),"Levels")</f>
        <v>Levels</v>
      </c>
      <c r="N3" s="211" t="str">
        <f ca="1">IFERROR(__xludf.DUMMYFUNCTION("FILTER(Spanish!E:E,Spanish!B:B=L1)"),"Courses")</f>
        <v>Courses</v>
      </c>
      <c r="O3" s="212" t="str">
        <f ca="1">IFERROR(__xludf.DUMMYFUNCTION("FILTER(Spanish!G:G,Spanish!B:B=L1)"),"Learning Paths")</f>
        <v>Learning Paths</v>
      </c>
      <c r="P3" s="210"/>
      <c r="Q3" s="211" t="str">
        <f ca="1">IFERROR(__xludf.DUMMYFUNCTION("FILTER(German!C:C,German!B:B=Q1)"),"Course IDs")</f>
        <v>Course IDs</v>
      </c>
      <c r="R3" s="211" t="str">
        <f ca="1">IFERROR(__xludf.DUMMYFUNCTION("FILTER(German!D:D,German!B:B=Q1)"),"Levels")</f>
        <v>Levels</v>
      </c>
      <c r="S3" s="211" t="str">
        <f ca="1">IFERROR(__xludf.DUMMYFUNCTION("FILTER(German!E:E,German!B:B=Q1)"),"Courses")</f>
        <v>Courses</v>
      </c>
      <c r="T3" s="212" t="str">
        <f ca="1">IFERROR(__xludf.DUMMYFUNCTION("FILTER(German!G:G,German!B:B=Q1)"),"Learning Paths")</f>
        <v>Learning Paths</v>
      </c>
      <c r="U3" s="210"/>
      <c r="V3" s="211" t="str">
        <f ca="1">IFERROR(__xludf.DUMMYFUNCTION("FILTER(Japanese!C:C,Japanese!B:B=V1)"),"Course IDs")</f>
        <v>Course IDs</v>
      </c>
      <c r="W3" s="211" t="str">
        <f ca="1">IFERROR(__xludf.DUMMYFUNCTION("FILTER(Japanese!D:D,Japanese!B:B=V1)"),"Levels")</f>
        <v>Levels</v>
      </c>
      <c r="X3" s="211" t="str">
        <f ca="1">IFERROR(__xludf.DUMMYFUNCTION("FILTER(Japanese!E:E,Japanese!B:B=V1)"),"Courses")</f>
        <v>Courses</v>
      </c>
      <c r="Y3" s="212" t="str">
        <f ca="1">IFERROR(__xludf.DUMMYFUNCTION("FILTER(Japanese!G:G,Japanese!B:B=V1)"),"Learning Paths")</f>
        <v>Learning Paths</v>
      </c>
      <c r="Z3" s="210"/>
      <c r="AA3" s="211" t="str">
        <f ca="1">IFERROR(__xludf.DUMMYFUNCTION("FILTER(Portuguese!C:C,Portuguese!B:B=AA1)"),"Course IDs")</f>
        <v>Course IDs</v>
      </c>
      <c r="AB3" s="211" t="str">
        <f ca="1">IFERROR(__xludf.DUMMYFUNCTION("FILTER(Portuguese!D:D,Portuguese!B:B=AA1)"),"Levels")</f>
        <v>Levels</v>
      </c>
      <c r="AC3" s="211" t="str">
        <f ca="1">IFERROR(__xludf.DUMMYFUNCTION("FILTER(Portuguese!E:E,Portuguese!B:B=AA1)"),"Courses")</f>
        <v>Courses</v>
      </c>
      <c r="AD3" s="212" t="str">
        <f ca="1">IFERROR(__xludf.DUMMYFUNCTION("FILTER(Portuguese!G:G,Portuguese!B:B=AA1)"),"Learning Paths")</f>
        <v>Learning Paths</v>
      </c>
      <c r="AE3" s="210"/>
      <c r="AF3" s="211" t="str">
        <f ca="1">IFERROR(__xludf.DUMMYFUNCTION("FILTER(Mandarin!C:C,Mandarin!B:B=AF1)"),"Course IDs")</f>
        <v>Course IDs</v>
      </c>
      <c r="AG3" s="211" t="str">
        <f ca="1">IFERROR(__xludf.DUMMYFUNCTION("FILTER(Mandarin!D:D,Mandarin!B:B=AF1)"),"Levels")</f>
        <v>Levels</v>
      </c>
      <c r="AH3" s="211" t="str">
        <f ca="1">IFERROR(__xludf.DUMMYFUNCTION("FILTER(Mandarin!E:E,Mandarin!B:B=AF1)"),"Courses")</f>
        <v>Courses</v>
      </c>
      <c r="AI3" s="212" t="str">
        <f ca="1">IFERROR(__xludf.DUMMYFUNCTION("FILTER(Mandarin!G:G,Mandarin!B:B=AF1)"),"Learning Paths")</f>
        <v>Learning Paths</v>
      </c>
      <c r="AJ3" s="210"/>
    </row>
    <row r="4" spans="1:36" ht="33.75" customHeight="1">
      <c r="A4" s="213"/>
      <c r="B4" s="214">
        <f ca="1">IFERROR(__xludf.DUMMYFUNCTION("""COMPUTED_VALUE"""),689761)</f>
        <v>689761</v>
      </c>
      <c r="C4" s="215" t="str">
        <f ca="1">IFERROR(__xludf.DUMMYFUNCTION("""COMPUTED_VALUE"""),"Advanced")</f>
        <v>Advanced</v>
      </c>
      <c r="D4" s="216" t="str">
        <f ca="1">IFERROR(__xludf.DUMMYFUNCTION("""COMPUTED_VALUE"""),"Creating a Culture of Change")</f>
        <v>Creating a Culture of Change</v>
      </c>
      <c r="E4" s="217" t="str">
        <f ca="1">IFERROR(__xludf.DUMMYFUNCTION("""COMPUTED_VALUE"""),"Developing Resilience and Grit")</f>
        <v>Developing Resilience and Grit</v>
      </c>
      <c r="F4" s="213"/>
      <c r="G4" s="214">
        <f ca="1">IFERROR(__xludf.DUMMYFUNCTION("""COMPUTED_VALUE"""),2391289)</f>
        <v>2391289</v>
      </c>
      <c r="H4" s="215" t="str">
        <f ca="1">IFERROR(__xludf.DUMMYFUNCTION("""COMPUTED_VALUE"""),"All levels")</f>
        <v>All levels</v>
      </c>
      <c r="I4" s="217" t="str">
        <f ca="1">IFERROR(__xludf.DUMMYFUNCTION("""COMPUTED_VALUE"""),"10 minutes, un livre : Comment apprendre vite ?")</f>
        <v>10 minutes, un livre : Comment apprendre vite ?</v>
      </c>
      <c r="J4" s="217" t="str">
        <f ca="1">IFERROR(__xludf.DUMMYFUNCTION("""COMPUTED_VALUE"""),"Accueillir le changement")</f>
        <v>Accueillir le changement</v>
      </c>
      <c r="K4" s="213"/>
      <c r="L4" s="215">
        <f ca="1">IFERROR(__xludf.DUMMYFUNCTION("""COMPUTED_VALUE"""),546963)</f>
        <v>546963</v>
      </c>
      <c r="M4" s="215" t="str">
        <f ca="1">IFERROR(__xludf.DUMMYFUNCTION("""COMPUTED_VALUE"""),"All levels")</f>
        <v>All levels</v>
      </c>
      <c r="N4" s="217" t="str">
        <f ca="1">IFERROR(__xludf.DUMMYFUNCTION("""COMPUTED_VALUE"""),"Aprende las claves de la asertividad")</f>
        <v>Aprende las claves de la asertividad</v>
      </c>
      <c r="O4" s="217" t="str">
        <f ca="1">IFERROR(__xludf.DUMMYFUNCTION("""COMPUTED_VALUE"""),"Domina las habilidades de vida personales")</f>
        <v>Domina las habilidades de vida personales</v>
      </c>
      <c r="P4" s="213"/>
      <c r="Q4" s="215">
        <f ca="1">IFERROR(__xludf.DUMMYFUNCTION("""COMPUTED_VALUE"""),2803013)</f>
        <v>2803013</v>
      </c>
      <c r="R4" s="215" t="str">
        <f ca="1">IFERROR(__xludf.DUMMYFUNCTION("""COMPUTED_VALUE"""),"All levels")</f>
        <v>All levels</v>
      </c>
      <c r="S4" s="217" t="str">
        <f ca="1">IFERROR(__xludf.DUMMYFUNCTION("""COMPUTED_VALUE"""),"Achtsamkeit kennenlernen und entwickeln")</f>
        <v>Achtsamkeit kennenlernen und entwickeln</v>
      </c>
      <c r="T4" s="217" t="str">
        <f ca="1">IFERROR(__xludf.DUMMYFUNCTION("""COMPUTED_VALUE"""),"Durch Veränderungsprozesse führen")</f>
        <v>Durch Veränderungsprozesse führen</v>
      </c>
      <c r="U4" s="213"/>
      <c r="V4" s="215">
        <f ca="1">IFERROR(__xludf.DUMMYFUNCTION("""COMPUTED_VALUE"""),709794)</f>
        <v>709794</v>
      </c>
      <c r="W4" s="215" t="str">
        <f ca="1">IFERROR(__xludf.DUMMYFUNCTION("""COMPUTED_VALUE"""),"All levels")</f>
        <v>All levels</v>
      </c>
      <c r="X4" s="217" t="str">
        <f ca="1">IFERROR(__xludf.DUMMYFUNCTION("""COMPUTED_VALUE"""),"クリティカルシンキング")</f>
        <v>クリティカルシンキング</v>
      </c>
      <c r="Y4" s="217"/>
      <c r="Z4" s="213"/>
      <c r="AA4" s="215">
        <f ca="1">IFERROR(__xludf.DUMMYFUNCTION("""COMPUTED_VALUE"""),2928588)</f>
        <v>2928588</v>
      </c>
      <c r="AB4" s="215" t="str">
        <f ca="1">IFERROR(__xludf.DUMMYFUNCTION("""COMPUTED_VALUE"""),"Intermediate")</f>
        <v>Intermediate</v>
      </c>
      <c r="AC4" s="217" t="str">
        <f ca="1">IFERROR(__xludf.DUMMYFUNCTION("""COMPUTED_VALUE"""),"Agilidade Empresarial: Como Expandir o Scrum")</f>
        <v>Agilidade Empresarial: Como Expandir o Scrum</v>
      </c>
      <c r="AD4" s="217" t="str">
        <f ca="1">IFERROR(__xludf.DUMMYFUNCTION("""COMPUTED_VALUE"""),"Como Desenvolver uma Mentalidade de Crescimento")</f>
        <v>Como Desenvolver uma Mentalidade de Crescimento</v>
      </c>
      <c r="AE4" s="213"/>
      <c r="AF4" s="215">
        <f ca="1">IFERROR(__xludf.DUMMYFUNCTION("""COMPUTED_VALUE"""),780076)</f>
        <v>780076</v>
      </c>
      <c r="AG4" s="215" t="str">
        <f ca="1">IFERROR(__xludf.DUMMYFUNCTION("""COMPUTED_VALUE"""),"All levels")</f>
        <v>All levels</v>
      </c>
      <c r="AH4" s="217" t="str">
        <f ca="1">IFERROR(__xludf.DUMMYFUNCTION("""COMPUTED_VALUE"""),"业务创新基础知识")</f>
        <v>业务创新基础知识</v>
      </c>
      <c r="AI4" s="217" t="str">
        <f ca="1">IFERROR(__xludf.DUMMYFUNCTION("""COMPUTED_VALUE"""),"远程工作：团队合作与效率")</f>
        <v>远程工作：团队合作与效率</v>
      </c>
      <c r="AJ4" s="213"/>
    </row>
    <row r="5" spans="1:36" ht="30">
      <c r="A5" s="213"/>
      <c r="B5" s="214">
        <f ca="1">IFERROR(__xludf.DUMMYFUNCTION("""COMPUTED_VALUE"""),580628)</f>
        <v>580628</v>
      </c>
      <c r="C5" s="215" t="str">
        <f ca="1">IFERROR(__xludf.DUMMYFUNCTION("""COMPUTED_VALUE"""),"Beginner")</f>
        <v>Beginner</v>
      </c>
      <c r="D5" s="216" t="str">
        <f ca="1">IFERROR(__xludf.DUMMYFUNCTION("""COMPUTED_VALUE"""),"The New Rules of Work")</f>
        <v>The New Rules of Work</v>
      </c>
      <c r="E5" s="217" t="str">
        <f ca="1">IFERROR(__xludf.DUMMYFUNCTION("""COMPUTED_VALUE"""),"Leading during Times of Change")</f>
        <v>Leading during Times of Change</v>
      </c>
      <c r="F5" s="213"/>
      <c r="G5" s="214">
        <f ca="1">IFERROR(__xludf.DUMMYFUNCTION("""COMPUTED_VALUE"""),193475)</f>
        <v>193475</v>
      </c>
      <c r="H5" s="215" t="str">
        <f ca="1">IFERROR(__xludf.DUMMYFUNCTION("""COMPUTED_VALUE"""),"All levels")</f>
        <v>All levels</v>
      </c>
      <c r="I5" s="217" t="str">
        <f ca="1">IFERROR(__xludf.DUMMYFUNCTION("""COMPUTED_VALUE"""),"Accueillir le changement")</f>
        <v>Accueillir le changement</v>
      </c>
      <c r="J5" s="217" t="str">
        <f ca="1">IFERROR(__xludf.DUMMYFUNCTION("""COMPUTED_VALUE"""),"Gérer le changement")</f>
        <v>Gérer le changement</v>
      </c>
      <c r="K5" s="213"/>
      <c r="L5" s="215">
        <f ca="1">IFERROR(__xludf.DUMMYFUNCTION("""COMPUTED_VALUE"""),5024269)</f>
        <v>5024269</v>
      </c>
      <c r="M5" s="215" t="str">
        <f ca="1">IFERROR(__xludf.DUMMYFUNCTION("""COMPUTED_VALUE"""),"All levels")</f>
        <v>All levels</v>
      </c>
      <c r="N5" s="217" t="str">
        <f ca="1">IFERROR(__xludf.DUMMYFUNCTION("""COMPUTED_VALUE"""),"Bienestar, coordinación y flexibilidad en casa y en el trabajo")</f>
        <v>Bienestar, coordinación y flexibilidad en casa y en el trabajo</v>
      </c>
      <c r="O5" s="217" t="str">
        <f ca="1">IFERROR(__xludf.DUMMYFUNCTION("""COMPUTED_VALUE"""),"Liderazgo en tiempos de transformación digital")</f>
        <v>Liderazgo en tiempos de transformación digital</v>
      </c>
      <c r="P5" s="213"/>
      <c r="Q5" s="215">
        <f ca="1">IFERROR(__xludf.DUMMYFUNCTION("""COMPUTED_VALUE"""),5025608)</f>
        <v>5025608</v>
      </c>
      <c r="R5" s="215" t="str">
        <f ca="1">IFERROR(__xludf.DUMMYFUNCTION("""COMPUTED_VALUE"""),"Intermediate")</f>
        <v>Intermediate</v>
      </c>
      <c r="S5" s="217" t="str">
        <f ca="1">IFERROR(__xludf.DUMMYFUNCTION("""COMPUTED_VALUE"""),"Agile und digitale Transformation")</f>
        <v>Agile und digitale Transformation</v>
      </c>
      <c r="T5" s="217" t="str">
        <f ca="1">IFERROR(__xludf.DUMMYFUNCTION("""COMPUTED_VALUE"""),"Die interkulturelle Kompetenz erweitern")</f>
        <v>Die interkulturelle Kompetenz erweitern</v>
      </c>
      <c r="U5" s="213"/>
      <c r="V5" s="215">
        <f ca="1">IFERROR(__xludf.DUMMYFUNCTION("""COMPUTED_VALUE"""),5042605)</f>
        <v>5042605</v>
      </c>
      <c r="W5" s="215" t="str">
        <f ca="1">IFERROR(__xludf.DUMMYFUNCTION("""COMPUTED_VALUE"""),"All levels")</f>
        <v>All levels</v>
      </c>
      <c r="X5" s="217" t="str">
        <f ca="1">IFERROR(__xludf.DUMMYFUNCTION("""COMPUTED_VALUE"""),"ビジネスにおけるイノベーションの理論と実践")</f>
        <v>ビジネスにおけるイノベーションの理論と実践</v>
      </c>
      <c r="Y5" s="217" t="str">
        <f ca="1">IFERROR(__xludf.DUMMYFUNCTION("""COMPUTED_VALUE"""),"困難な時期に自身を高めて問題を乗り切るには")</f>
        <v>困難な時期に自身を高めて問題を乗り切るには</v>
      </c>
      <c r="Z5" s="213"/>
      <c r="AA5" s="215">
        <f ca="1">IFERROR(__xludf.DUMMYFUNCTION("""COMPUTED_VALUE"""),800898)</f>
        <v>800898</v>
      </c>
      <c r="AB5" s="215" t="str">
        <f ca="1">IFERROR(__xludf.DUMMYFUNCTION("""COMPUTED_VALUE"""),"All levels")</f>
        <v>All levels</v>
      </c>
      <c r="AC5" s="217" t="str">
        <f ca="1">IFERROR(__xludf.DUMMYFUNCTION("""COMPUTED_VALUE"""),"Como Aprender com o Fracasso")</f>
        <v>Como Aprender com o Fracasso</v>
      </c>
      <c r="AD5" s="217" t="str">
        <f ca="1">IFERROR(__xludf.DUMMYFUNCTION("""COMPUTED_VALUE"""),"Trabalho Remoto: Colaboração, Foco e Produtividade")</f>
        <v>Trabalho Remoto: Colaboração, Foco e Produtividade</v>
      </c>
      <c r="AE5" s="213"/>
      <c r="AF5" s="215">
        <f ca="1">IFERROR(__xludf.DUMMYFUNCTION("""COMPUTED_VALUE"""),5041722)</f>
        <v>5041722</v>
      </c>
      <c r="AG5" s="215" t="str">
        <f ca="1">IFERROR(__xludf.DUMMYFUNCTION("""COMPUTED_VALUE"""),"All levels")</f>
        <v>All levels</v>
      </c>
      <c r="AH5" s="217" t="str">
        <f ca="1">IFERROR(__xludf.DUMMYFUNCTION("""COMPUTED_VALUE"""),"从失败中学习")</f>
        <v>从失败中学习</v>
      </c>
      <c r="AI5" s="217" t="str">
        <f ca="1">IFERROR(__xludf.DUMMYFUNCTION("""COMPUTED_VALUE"""),"培养团队合作")</f>
        <v>培养团队合作</v>
      </c>
      <c r="AJ5" s="213"/>
    </row>
    <row r="6" spans="1:36" ht="30">
      <c r="A6" s="213"/>
      <c r="B6" s="214">
        <f ca="1">IFERROR(__xludf.DUMMYFUNCTION("""COMPUTED_VALUE"""),2815157)</f>
        <v>2815157</v>
      </c>
      <c r="C6" s="215" t="str">
        <f ca="1">IFERROR(__xludf.DUMMYFUNCTION("""COMPUTED_VALUE"""),"Beginner")</f>
        <v>Beginner</v>
      </c>
      <c r="D6" s="216" t="str">
        <f ca="1">IFERROR(__xludf.DUMMYFUNCTION("""COMPUTED_VALUE"""),"Agile Software Development: Creating an Agile Culture")</f>
        <v>Agile Software Development: Creating an Agile Culture</v>
      </c>
      <c r="E6" s="217" t="str">
        <f ca="1">IFERROR(__xludf.DUMMYFUNCTION("""COMPUTED_VALUE"""),"Manage Change and Develop Your Adaptability Skills")</f>
        <v>Manage Change and Develop Your Adaptability Skills</v>
      </c>
      <c r="F6" s="213"/>
      <c r="G6" s="214">
        <f ca="1">IFERROR(__xludf.DUMMYFUNCTION("""COMPUTED_VALUE"""),2922387)</f>
        <v>2922387</v>
      </c>
      <c r="H6" s="215" t="str">
        <f ca="1">IFERROR(__xludf.DUMMYFUNCTION("""COMPUTED_VALUE"""),"Intermediate")</f>
        <v>Intermediate</v>
      </c>
      <c r="I6" s="217" t="str">
        <f ca="1">IFERROR(__xludf.DUMMYFUNCTION("""COMPUTED_VALUE"""),"Apprendre à être accessible")</f>
        <v>Apprendre à être accessible</v>
      </c>
      <c r="J6" s="217" t="str">
        <f ca="1">IFERROR(__xludf.DUMMYFUNCTION("""COMPUTED_VALUE"""),"Promouvoir le bien-être en période de changement et d'incertitude")</f>
        <v>Promouvoir le bien-être en période de changement et d'incertitude</v>
      </c>
      <c r="K6" s="213"/>
      <c r="L6" s="215">
        <f ca="1">IFERROR(__xludf.DUMMYFUNCTION("""COMPUTED_VALUE"""),3146379)</f>
        <v>3146379</v>
      </c>
      <c r="M6" s="215" t="str">
        <f ca="1">IFERROR(__xludf.DUMMYFUNCTION("""COMPUTED_VALUE"""),"All levels")</f>
        <v>All levels</v>
      </c>
      <c r="N6" s="217" t="str">
        <f ca="1">IFERROR(__xludf.DUMMYFUNCTION("""COMPUTED_VALUE"""),"Búsqueda de empleo con redes sociales")</f>
        <v>Búsqueda de empleo con redes sociales</v>
      </c>
      <c r="O6" s="217" t="str">
        <f ca="1">IFERROR(__xludf.DUMMYFUNCTION("""COMPUTED_VALUE"""),"Profundiza tu capacidad para superar el desempleo")</f>
        <v>Profundiza tu capacidad para superar el desempleo</v>
      </c>
      <c r="P6" s="213"/>
      <c r="Q6" s="215">
        <f ca="1">IFERROR(__xludf.DUMMYFUNCTION("""COMPUTED_VALUE"""),3107601)</f>
        <v>3107601</v>
      </c>
      <c r="R6" s="215" t="str">
        <f ca="1">IFERROR(__xludf.DUMMYFUNCTION("""COMPUTED_VALUE"""),"Intermediate")</f>
        <v>Intermediate</v>
      </c>
      <c r="S6" s="217" t="str">
        <f ca="1">IFERROR(__xludf.DUMMYFUNCTION("""COMPUTED_VALUE"""),"Agiles Lernen in Organisationen")</f>
        <v>Agiles Lernen in Organisationen</v>
      </c>
      <c r="T6" s="217" t="str">
        <f ca="1">IFERROR(__xludf.DUMMYFUNCTION("""COMPUTED_VALUE"""),"Innovation fördern")</f>
        <v>Innovation fördern</v>
      </c>
      <c r="U6" s="213"/>
      <c r="V6" s="215">
        <f ca="1">IFERROR(__xludf.DUMMYFUNCTION("""COMPUTED_VALUE"""),2915381)</f>
        <v>2915381</v>
      </c>
      <c r="W6" s="215" t="str">
        <f ca="1">IFERROR(__xludf.DUMMYFUNCTION("""COMPUTED_VALUE"""),"All levels")</f>
        <v>All levels</v>
      </c>
      <c r="X6" s="217" t="str">
        <f ca="1">IFERROR(__xludf.DUMMYFUNCTION("""COMPUTED_VALUE"""),"マインドフルネス入門")</f>
        <v>マインドフルネス入門</v>
      </c>
      <c r="Y6" s="217"/>
      <c r="Z6" s="213"/>
      <c r="AA6" s="215">
        <f ca="1">IFERROR(__xludf.DUMMYFUNCTION("""COMPUTED_VALUE"""),2873259)</f>
        <v>2873259</v>
      </c>
      <c r="AB6" s="215" t="str">
        <f ca="1">IFERROR(__xludf.DUMMYFUNCTION("""COMPUTED_VALUE"""),"Intermediate")</f>
        <v>Intermediate</v>
      </c>
      <c r="AC6" s="217" t="str">
        <f ca="1">IFERROR(__xludf.DUMMYFUNCTION("""COMPUTED_VALUE"""),"Como Comunicar Mudanças em uma Organização em Transformação")</f>
        <v>Como Comunicar Mudanças em uma Organização em Transformação</v>
      </c>
      <c r="AD6" s="217" t="str">
        <f ca="1">IFERROR(__xludf.DUMMYFUNCTION("""COMPUTED_VALUE"""),"Como Implementar a Gestão de Mudanças?trk=ondemandfile")</f>
        <v>Como Implementar a Gestão de Mudanças?trk=ondemandfile</v>
      </c>
      <c r="AE6" s="213"/>
      <c r="AF6" s="215">
        <f ca="1">IFERROR(__xludf.DUMMYFUNCTION("""COMPUTED_VALUE"""),5010409)</f>
        <v>5010409</v>
      </c>
      <c r="AG6" s="215" t="str">
        <f ca="1">IFERROR(__xludf.DUMMYFUNCTION("""COMPUTED_VALUE"""),"Advanced")</f>
        <v>Advanced</v>
      </c>
      <c r="AH6" s="217" t="str">
        <f ca="1">IFERROR(__xludf.DUMMYFUNCTION("""COMPUTED_VALUE"""),"全球性企业的多元化与包容性")</f>
        <v>全球性企业的多元化与包容性</v>
      </c>
      <c r="AI6" s="217" t="str">
        <f ca="1">IFERROR(__xludf.DUMMYFUNCTION("""COMPUTED_VALUE"""),"掌握职场中的人际关系软技能")</f>
        <v>掌握职场中的人际关系软技能</v>
      </c>
      <c r="AJ6" s="213"/>
    </row>
    <row r="7" spans="1:36" ht="33.75" customHeight="1">
      <c r="A7" s="213"/>
      <c r="B7" s="214">
        <f ca="1">IFERROR(__xludf.DUMMYFUNCTION("""COMPUTED_VALUE"""),2811712)</f>
        <v>2811712</v>
      </c>
      <c r="C7" s="215" t="str">
        <f ca="1">IFERROR(__xludf.DUMMYFUNCTION("""COMPUTED_VALUE"""),"General")</f>
        <v>General</v>
      </c>
      <c r="D7" s="216" t="str">
        <f ca="1">IFERROR(__xludf.DUMMYFUNCTION("""COMPUTED_VALUE"""),"Aaron Dignan on Transformational Change")</f>
        <v>Aaron Dignan on Transformational Change</v>
      </c>
      <c r="E7" s="217" t="str">
        <f ca="1">IFERROR(__xludf.DUMMYFUNCTION("""COMPUTED_VALUE"""),"Master In-Demand Professional Soft Skills")</f>
        <v>Master In-Demand Professional Soft Skills</v>
      </c>
      <c r="F7" s="213"/>
      <c r="G7" s="214">
        <f ca="1">IFERROR(__xludf.DUMMYFUNCTION("""COMPUTED_VALUE"""),560464)</f>
        <v>560464</v>
      </c>
      <c r="H7" s="215" t="str">
        <f ca="1">IFERROR(__xludf.DUMMYFUNCTION("""COMPUTED_VALUE"""),"All levels")</f>
        <v>All levels</v>
      </c>
      <c r="I7" s="217" t="str">
        <f ca="1">IFERROR(__xludf.DUMMYFUNCTION("""COMPUTED_VALUE"""),"Apprendre de ses échecs")</f>
        <v>Apprendre de ses échecs</v>
      </c>
      <c r="J7" s="217" t="str">
        <f ca="1">IFERROR(__xludf.DUMMYFUNCTION("""COMPUTED_VALUE"""),"Surmonter les épreuves du monde du travail")</f>
        <v>Surmonter les épreuves du monde du travail</v>
      </c>
      <c r="K7" s="213"/>
      <c r="L7" s="215">
        <f ca="1">IFERROR(__xludf.DUMMYFUNCTION("""COMPUTED_VALUE"""),5041935)</f>
        <v>5041935</v>
      </c>
      <c r="M7" s="215" t="str">
        <f ca="1">IFERROR(__xludf.DUMMYFUNCTION("""COMPUTED_VALUE"""),"All levels")</f>
        <v>All levels</v>
      </c>
      <c r="N7" s="217" t="str">
        <f ca="1">IFERROR(__xludf.DUMMYFUNCTION("""COMPUTED_VALUE"""),"Cómo alcanzar la felicidad permanente creando con propósito")</f>
        <v>Cómo alcanzar la felicidad permanente creando con propósito</v>
      </c>
      <c r="O7" s="217" t="str">
        <f ca="1">IFERROR(__xludf.DUMMYFUNCTION("""COMPUTED_VALUE"""),"Gestiona los cambios")</f>
        <v>Gestiona los cambios</v>
      </c>
      <c r="P7" s="213"/>
      <c r="Q7" s="215">
        <f ca="1">IFERROR(__xludf.DUMMYFUNCTION("""COMPUTED_VALUE"""),5018537)</f>
        <v>5018537</v>
      </c>
      <c r="R7" s="215" t="str">
        <f ca="1">IFERROR(__xludf.DUMMYFUNCTION("""COMPUTED_VALUE"""),"Advanced")</f>
        <v>Advanced</v>
      </c>
      <c r="S7" s="217" t="str">
        <f ca="1">IFERROR(__xludf.DUMMYFUNCTION("""COMPUTED_VALUE"""),"Agilität mit Strategie")</f>
        <v>Agilität mit Strategie</v>
      </c>
      <c r="T7" s="217" t="str">
        <f ca="1">IFERROR(__xludf.DUMMYFUNCTION("""COMPUTED_VALUE"""),"Stärken Sie Ihre Schlüsselkompetenzen")</f>
        <v>Stärken Sie Ihre Schlüsselkompetenzen</v>
      </c>
      <c r="U7" s="213"/>
      <c r="V7" s="215">
        <f ca="1">IFERROR(__xludf.DUMMYFUNCTION("""COMPUTED_VALUE"""),2888079)</f>
        <v>2888079</v>
      </c>
      <c r="W7" s="215" t="str">
        <f ca="1">IFERROR(__xludf.DUMMYFUNCTION("""COMPUTED_VALUE"""),"All levels")</f>
        <v>All levels</v>
      </c>
      <c r="X7" s="217" t="str">
        <f ca="1">IFERROR(__xludf.DUMMYFUNCTION("""COMPUTED_VALUE"""),"予期せぬ変化を受け入れるには")</f>
        <v>予期せぬ変化を受け入れるには</v>
      </c>
      <c r="Y7" s="217"/>
      <c r="Z7" s="213"/>
      <c r="AA7" s="215">
        <f ca="1">IFERROR(__xludf.DUMMYFUNCTION("""COMPUTED_VALUE"""),2386413)</f>
        <v>2386413</v>
      </c>
      <c r="AB7" s="215" t="str">
        <f ca="1">IFERROR(__xludf.DUMMYFUNCTION("""COMPUTED_VALUE"""),"All levels")</f>
        <v>All levels</v>
      </c>
      <c r="AC7" s="217" t="str">
        <f ca="1">IFERROR(__xludf.DUMMYFUNCTION("""COMPUTED_VALUE"""),"Como Conciliar o Trabalho Remoto com a Vida Familiar em Tempos de Crise")</f>
        <v>Como Conciliar o Trabalho Remoto com a Vida Familiar em Tempos de Crise</v>
      </c>
      <c r="AD7" s="217" t="str">
        <f ca="1">IFERROR(__xludf.DUMMYFUNCTION("""COMPUTED_VALUE"""),"Como superar os desafios e se reinventar em tempos difíceis")</f>
        <v>Como superar os desafios e se reinventar em tempos difíceis</v>
      </c>
      <c r="AE7" s="213"/>
      <c r="AF7" s="215">
        <f ca="1">IFERROR(__xludf.DUMMYFUNCTION("""COMPUTED_VALUE"""),3102030)</f>
        <v>3102030</v>
      </c>
      <c r="AG7" s="215" t="str">
        <f ca="1">IFERROR(__xludf.DUMMYFUNCTION("""COMPUTED_VALUE"""),"Beginner")</f>
        <v>Beginner</v>
      </c>
      <c r="AH7" s="217" t="str">
        <f ca="1">IFERROR(__xludf.DUMMYFUNCTION("""COMPUTED_VALUE"""),"压力下的表现力")</f>
        <v>压力下的表现力</v>
      </c>
      <c r="AI7" s="217" t="str">
        <f ca="1">IFERROR(__xludf.DUMMYFUNCTION("""COMPUTED_VALUE"""),"变革时期的领导力")</f>
        <v>变革时期的领导力</v>
      </c>
      <c r="AJ7" s="213"/>
    </row>
    <row r="8" spans="1:36" ht="33.75" customHeight="1">
      <c r="A8" s="213"/>
      <c r="B8" s="214">
        <f ca="1">IFERROR(__xludf.DUMMYFUNCTION("""COMPUTED_VALUE"""),664805)</f>
        <v>664805</v>
      </c>
      <c r="C8" s="215" t="str">
        <f ca="1">IFERROR(__xludf.DUMMYFUNCTION("""COMPUTED_VALUE"""),"Intermediate")</f>
        <v>Intermediate</v>
      </c>
      <c r="D8" s="216" t="str">
        <f ca="1">IFERROR(__xludf.DUMMYFUNCTION("""COMPUTED_VALUE"""),"Managing Globally")</f>
        <v>Managing Globally</v>
      </c>
      <c r="E8" s="217"/>
      <c r="F8" s="213"/>
      <c r="G8" s="214">
        <f ca="1">IFERROR(__xludf.DUMMYFUNCTION("""COMPUTED_VALUE"""),708567)</f>
        <v>708567</v>
      </c>
      <c r="H8" s="215" t="str">
        <f ca="1">IFERROR(__xludf.DUMMYFUNCTION("""COMPUTED_VALUE"""),"Intermediate")</f>
        <v>Intermediate</v>
      </c>
      <c r="I8" s="217" t="str">
        <f ca="1">IFERROR(__xludf.DUMMYFUNCTION("""COMPUTED_VALUE"""),"Changement et communication")</f>
        <v>Changement et communication</v>
      </c>
      <c r="J8" s="217"/>
      <c r="K8" s="213"/>
      <c r="L8" s="215">
        <f ca="1">IFERROR(__xludf.DUMMYFUNCTION("""COMPUTED_VALUE"""),588022)</f>
        <v>588022</v>
      </c>
      <c r="M8" s="215" t="str">
        <f ca="1">IFERROR(__xludf.DUMMYFUNCTION("""COMPUTED_VALUE"""),"Beginner")</f>
        <v>Beginner</v>
      </c>
      <c r="N8" s="217" t="str">
        <f ca="1">IFERROR(__xludf.DUMMYFUNCTION("""COMPUTED_VALUE"""),"Cómo aprender del fracaso")</f>
        <v>Cómo aprender del fracaso</v>
      </c>
      <c r="O8" s="217" t="str">
        <f ca="1">IFERROR(__xludf.DUMMYFUNCTION("""COMPUTED_VALUE"""),"Fomenta el cambio cultural en tu empresa")</f>
        <v>Fomenta el cambio cultural en tu empresa</v>
      </c>
      <c r="P8" s="213"/>
      <c r="Q8" s="215">
        <f ca="1">IFERROR(__xludf.DUMMYFUNCTION("""COMPUTED_VALUE"""),2809733)</f>
        <v>2809733</v>
      </c>
      <c r="R8" s="215" t="str">
        <f ca="1">IFERROR(__xludf.DUMMYFUNCTION("""COMPUTED_VALUE"""),"All levels")</f>
        <v>All levels</v>
      </c>
      <c r="S8" s="217" t="str">
        <f ca="1">IFERROR(__xludf.DUMMYFUNCTION("""COMPUTED_VALUE"""),"Als Führungskraft das agile Lernen im Team unterstützen")</f>
        <v>Als Führungskraft das agile Lernen im Team unterstützen</v>
      </c>
      <c r="T8" s="217"/>
      <c r="U8" s="213"/>
      <c r="V8" s="215">
        <f ca="1">IFERROR(__xludf.DUMMYFUNCTION("""COMPUTED_VALUE"""),780519)</f>
        <v>780519</v>
      </c>
      <c r="W8" s="215" t="str">
        <f ca="1">IFERROR(__xludf.DUMMYFUNCTION("""COMPUTED_VALUE"""),"All levels")</f>
        <v>All levels</v>
      </c>
      <c r="X8" s="217" t="str">
        <f ca="1">IFERROR(__xludf.DUMMYFUNCTION("""COMPUTED_VALUE"""),"困難から立ち直るには")</f>
        <v>困難から立ち直るには</v>
      </c>
      <c r="Y8" s="217"/>
      <c r="Z8" s="213"/>
      <c r="AA8" s="215">
        <f ca="1">IFERROR(__xludf.DUMMYFUNCTION("""COMPUTED_VALUE"""),801474)</f>
        <v>801474</v>
      </c>
      <c r="AB8" s="215" t="str">
        <f ca="1">IFERROR(__xludf.DUMMYFUNCTION("""COMPUTED_VALUE"""),"Advanced")</f>
        <v>Advanced</v>
      </c>
      <c r="AC8" s="217" t="str">
        <f ca="1">IFERROR(__xludf.DUMMYFUNCTION("""COMPUTED_VALUE"""),"Como Criar Estratégias de Crescimento")</f>
        <v>Como Criar Estratégias de Crescimento</v>
      </c>
      <c r="AD8" s="217"/>
      <c r="AE8" s="213"/>
      <c r="AF8" s="215">
        <f ca="1">IFERROR(__xludf.DUMMYFUNCTION("""COMPUTED_VALUE"""),3104033)</f>
        <v>3104033</v>
      </c>
      <c r="AG8" s="215" t="str">
        <f ca="1">IFERROR(__xludf.DUMMYFUNCTION("""COMPUTED_VALUE"""),"All levels")</f>
        <v>All levels</v>
      </c>
      <c r="AH8" s="217" t="str">
        <f ca="1">IFERROR(__xludf.DUMMYFUNCTION("""COMPUTED_VALUE"""),"压力管理驱动正向改变")</f>
        <v>压力管理驱动正向改变</v>
      </c>
      <c r="AI8" s="217" t="str">
        <f ca="1">IFERROR(__xludf.DUMMYFUNCTION("""COMPUTED_VALUE"""),"提升自我：度过艰难时期")</f>
        <v>提升自我：度过艰难时期</v>
      </c>
      <c r="AJ8" s="213"/>
    </row>
    <row r="9" spans="1:36" ht="33.75" customHeight="1">
      <c r="A9" s="213"/>
      <c r="B9" s="214">
        <f ca="1">IFERROR(__xludf.DUMMYFUNCTION("""COMPUTED_VALUE"""),5015882)</f>
        <v>5015882</v>
      </c>
      <c r="C9" s="215" t="str">
        <f ca="1">IFERROR(__xludf.DUMMYFUNCTION("""COMPUTED_VALUE"""),"Intermediate")</f>
        <v>Intermediate</v>
      </c>
      <c r="D9" s="216" t="str">
        <f ca="1">IFERROR(__xludf.DUMMYFUNCTION("""COMPUTED_VALUE"""),"The Hard Thing About Hard Things: Building a Business When There Are No Easy Answers (Blinkist Summary)")</f>
        <v>The Hard Thing About Hard Things: Building a Business When There Are No Easy Answers (Blinkist Summary)</v>
      </c>
      <c r="E9" s="217"/>
      <c r="F9" s="213"/>
      <c r="G9" s="214">
        <f ca="1">IFERROR(__xludf.DUMMYFUNCTION("""COMPUTED_VALUE"""),648463)</f>
        <v>648463</v>
      </c>
      <c r="H9" s="215" t="str">
        <f ca="1">IFERROR(__xludf.DUMMYFUNCTION("""COMPUTED_VALUE"""),"Beginner")</f>
        <v>Beginner</v>
      </c>
      <c r="I9" s="217" t="str">
        <f ca="1">IFERROR(__xludf.DUMMYFUNCTION("""COMPUTED_VALUE"""),"Communiquer en environnement multiculturel")</f>
        <v>Communiquer en environnement multiculturel</v>
      </c>
      <c r="J9" s="217"/>
      <c r="K9" s="213"/>
      <c r="L9" s="215">
        <f ca="1">IFERROR(__xludf.DUMMYFUNCTION("""COMPUTED_VALUE"""),530961)</f>
        <v>530961</v>
      </c>
      <c r="M9" s="215" t="str">
        <f ca="1">IFERROR(__xludf.DUMMYFUNCTION("""COMPUTED_VALUE"""),"Beginner")</f>
        <v>Beginner</v>
      </c>
      <c r="N9" s="217" t="str">
        <f ca="1">IFERROR(__xludf.DUMMYFUNCTION("""COMPUTED_VALUE"""),"Cómo aumentar la resiliencia")</f>
        <v>Cómo aumentar la resiliencia</v>
      </c>
      <c r="O9" s="217"/>
      <c r="P9" s="213"/>
      <c r="Q9" s="215">
        <f ca="1">IFERROR(__xludf.DUMMYFUNCTION("""COMPUTED_VALUE"""),520929)</f>
        <v>520929</v>
      </c>
      <c r="R9" s="215" t="str">
        <f ca="1">IFERROR(__xludf.DUMMYFUNCTION("""COMPUTED_VALUE"""),"All levels")</f>
        <v>All levels</v>
      </c>
      <c r="S9" s="217" t="str">
        <f ca="1">IFERROR(__xludf.DUMMYFUNCTION("""COMPUTED_VALUE"""),"Aus Misserfolgen lernen")</f>
        <v>Aus Misserfolgen lernen</v>
      </c>
      <c r="T9" s="217"/>
      <c r="U9" s="213"/>
      <c r="V9" s="215">
        <f ca="1">IFERROR(__xludf.DUMMYFUNCTION("""COMPUTED_VALUE"""),3146326)</f>
        <v>3146326</v>
      </c>
      <c r="W9" s="215" t="str">
        <f ca="1">IFERROR(__xludf.DUMMYFUNCTION("""COMPUTED_VALUE"""),"Intermediate")</f>
        <v>Intermediate</v>
      </c>
      <c r="X9" s="217" t="str">
        <f ca="1">IFERROR(__xludf.DUMMYFUNCTION("""COMPUTED_VALUE"""),"変化のときのコミュニケーション術")</f>
        <v>変化のときのコミュニケーション術</v>
      </c>
      <c r="Y9" s="217"/>
      <c r="Z9" s="213"/>
      <c r="AA9" s="215">
        <f ca="1">IFERROR(__xludf.DUMMYFUNCTION("""COMPUTED_VALUE"""),2928590)</f>
        <v>2928590</v>
      </c>
      <c r="AB9" s="215" t="str">
        <f ca="1">IFERROR(__xludf.DUMMYFUNCTION("""COMPUTED_VALUE"""),"Advanced")</f>
        <v>Advanced</v>
      </c>
      <c r="AC9" s="217" t="str">
        <f ca="1">IFERROR(__xludf.DUMMYFUNCTION("""COMPUTED_VALUE"""),"Como Criar uma Cultura de Mudança")</f>
        <v>Como Criar uma Cultura de Mudança</v>
      </c>
      <c r="AD9" s="217"/>
      <c r="AE9" s="213"/>
      <c r="AF9" s="215">
        <f ca="1">IFERROR(__xludf.DUMMYFUNCTION("""COMPUTED_VALUE"""),2825734)</f>
        <v>2825734</v>
      </c>
      <c r="AG9" s="215" t="str">
        <f ca="1">IFERROR(__xludf.DUMMYFUNCTION("""COMPUTED_VALUE"""),"Intermediate")</f>
        <v>Intermediate</v>
      </c>
      <c r="AH9" s="217" t="str">
        <f ca="1">IFERROR(__xludf.DUMMYFUNCTION("""COMPUTED_VALUE"""),"变革时期的沟通策略")</f>
        <v>变革时期的沟通策略</v>
      </c>
      <c r="AI9" s="217"/>
      <c r="AJ9" s="213"/>
    </row>
    <row r="10" spans="1:36" ht="33.75" customHeight="1">
      <c r="A10" s="213"/>
      <c r="B10" s="214">
        <f ca="1">IFERROR(__xludf.DUMMYFUNCTION("""COMPUTED_VALUE"""),2881200)</f>
        <v>2881200</v>
      </c>
      <c r="C10" s="215" t="str">
        <f ca="1">IFERROR(__xludf.DUMMYFUNCTION("""COMPUTED_VALUE"""),"Advanced")</f>
        <v>Advanced</v>
      </c>
      <c r="D10" s="216" t="str">
        <f ca="1">IFERROR(__xludf.DUMMYFUNCTION("""COMPUTED_VALUE"""),"Coaching Yourself and Your Team from Uncertainty to Action")</f>
        <v>Coaching Yourself and Your Team from Uncertainty to Action</v>
      </c>
      <c r="E10" s="217"/>
      <c r="F10" s="213"/>
      <c r="G10" s="214">
        <f ca="1">IFERROR(__xludf.DUMMYFUNCTION("""COMPUTED_VALUE"""),2982070)</f>
        <v>2982070</v>
      </c>
      <c r="H10" s="215" t="str">
        <f ca="1">IFERROR(__xludf.DUMMYFUNCTION("""COMPUTED_VALUE"""),"Intermediate")</f>
        <v>Intermediate</v>
      </c>
      <c r="I10" s="217" t="str">
        <f ca="1">IFERROR(__xludf.DUMMYFUNCTION("""COMPUTED_VALUE"""),"Communiquer en situation de crise")</f>
        <v>Communiquer en situation de crise</v>
      </c>
      <c r="J10" s="217"/>
      <c r="K10" s="213"/>
      <c r="L10" s="215">
        <f ca="1">IFERROR(__xludf.DUMMYFUNCTION("""COMPUTED_VALUE"""),5025578)</f>
        <v>5025578</v>
      </c>
      <c r="M10" s="215" t="str">
        <f ca="1">IFERROR(__xludf.DUMMYFUNCTION("""COMPUTED_VALUE"""),"All levels")</f>
        <v>All levels</v>
      </c>
      <c r="N10" s="217" t="str">
        <f ca="1">IFERROR(__xludf.DUMMYFUNCTION("""COMPUTED_VALUE"""),"Cómo conciliar e integrar tu vida laboral y personal")</f>
        <v>Cómo conciliar e integrar tu vida laboral y personal</v>
      </c>
      <c r="O10" s="217"/>
      <c r="P10" s="213"/>
      <c r="Q10" s="215">
        <f ca="1">IFERROR(__xludf.DUMMYFUNCTION("""COMPUTED_VALUE"""),514910)</f>
        <v>514910</v>
      </c>
      <c r="R10" s="215" t="str">
        <f ca="1">IFERROR(__xludf.DUMMYFUNCTION("""COMPUTED_VALUE"""),"All levels")</f>
        <v>All levels</v>
      </c>
      <c r="S10" s="217" t="str">
        <f ca="1">IFERROR(__xludf.DUMMYFUNCTION("""COMPUTED_VALUE"""),"Businessprobleme lösen")</f>
        <v>Businessprobleme lösen</v>
      </c>
      <c r="T10" s="217"/>
      <c r="U10" s="213"/>
      <c r="V10" s="215">
        <f ca="1">IFERROR(__xludf.DUMMYFUNCTION("""COMPUTED_VALUE"""),2849241)</f>
        <v>2849241</v>
      </c>
      <c r="W10" s="215" t="str">
        <f ca="1">IFERROR(__xludf.DUMMYFUNCTION("""COMPUTED_VALUE"""),"Beginner")</f>
        <v>Beginner</v>
      </c>
      <c r="X10" s="217" t="str">
        <f ca="1">IFERROR(__xludf.DUMMYFUNCTION("""COMPUTED_VALUE"""),"燃え尽き症候群を防ぐには")</f>
        <v>燃え尽き症候群を防ぐには</v>
      </c>
      <c r="Y10" s="217"/>
      <c r="Z10" s="213"/>
      <c r="AA10" s="215">
        <f ca="1">IFERROR(__xludf.DUMMYFUNCTION("""COMPUTED_VALUE"""),753101)</f>
        <v>753101</v>
      </c>
      <c r="AB10" s="215" t="str">
        <f ca="1">IFERROR(__xludf.DUMMYFUNCTION("""COMPUTED_VALUE"""),"All levels")</f>
        <v>All levels</v>
      </c>
      <c r="AC10" s="217" t="str">
        <f ca="1">IFERROR(__xludf.DUMMYFUNCTION("""COMPUTED_VALUE"""),"Como Desenvolver a Resiliência")</f>
        <v>Como Desenvolver a Resiliência</v>
      </c>
      <c r="AD10" s="217"/>
      <c r="AE10" s="213"/>
      <c r="AF10" s="215">
        <f ca="1">IFERROR(__xludf.DUMMYFUNCTION("""COMPUTED_VALUE"""),767950)</f>
        <v>767950</v>
      </c>
      <c r="AG10" s="215" t="str">
        <f ca="1">IFERROR(__xludf.DUMMYFUNCTION("""COMPUTED_VALUE"""),"Intermediate")</f>
        <v>Intermediate</v>
      </c>
      <c r="AH10" s="217" t="str">
        <f ca="1">IFERROR(__xludf.DUMMYFUNCTION("""COMPUTED_VALUE"""),"变革管理基础知识")</f>
        <v>变革管理基础知识</v>
      </c>
      <c r="AI10" s="217"/>
      <c r="AJ10" s="213"/>
    </row>
    <row r="11" spans="1:36" ht="33.75" customHeight="1">
      <c r="A11" s="213"/>
      <c r="B11" s="214">
        <f ca="1">IFERROR(__xludf.DUMMYFUNCTION("""COMPUTED_VALUE"""),661749)</f>
        <v>661749</v>
      </c>
      <c r="C11" s="215" t="str">
        <f ca="1">IFERROR(__xludf.DUMMYFUNCTION("""COMPUTED_VALUE"""),"General")</f>
        <v>General</v>
      </c>
      <c r="D11" s="216" t="str">
        <f ca="1">IFERROR(__xludf.DUMMYFUNCTION("""COMPUTED_VALUE"""),"Learning Agility")</f>
        <v>Learning Agility</v>
      </c>
      <c r="E11" s="217"/>
      <c r="F11" s="213"/>
      <c r="G11" s="214">
        <f ca="1">IFERROR(__xludf.DUMMYFUNCTION("""COMPUTED_VALUE"""),616401)</f>
        <v>616401</v>
      </c>
      <c r="H11" s="215" t="str">
        <f ca="1">IFERROR(__xludf.DUMMYFUNCTION("""COMPUTED_VALUE"""),"Intermediate")</f>
        <v>Intermediate</v>
      </c>
      <c r="I11" s="217" t="str">
        <f ca="1">IFERROR(__xludf.DUMMYFUNCTION("""COMPUTED_VALUE"""),"Conduire le changement")</f>
        <v>Conduire le changement</v>
      </c>
      <c r="J11" s="217"/>
      <c r="K11" s="213"/>
      <c r="L11" s="215">
        <f ca="1">IFERROR(__xludf.DUMMYFUNCTION("""COMPUTED_VALUE"""),2926138)</f>
        <v>2926138</v>
      </c>
      <c r="M11" s="215" t="str">
        <f ca="1">IFERROR(__xludf.DUMMYFUNCTION("""COMPUTED_VALUE"""),"All levels")</f>
        <v>All levels</v>
      </c>
      <c r="N11" s="217" t="str">
        <f ca="1">IFERROR(__xludf.DUMMYFUNCTION("""COMPUTED_VALUE"""),"Cómo cultivar una mentalidad de crecimiento")</f>
        <v>Cómo cultivar una mentalidad de crecimiento</v>
      </c>
      <c r="O11" s="217"/>
      <c r="P11" s="213"/>
      <c r="Q11" s="215">
        <f ca="1">IFERROR(__xludf.DUMMYFUNCTION("""COMPUTED_VALUE"""),694290)</f>
        <v>694290</v>
      </c>
      <c r="R11" s="215" t="str">
        <f ca="1">IFERROR(__xludf.DUMMYFUNCTION("""COMPUTED_VALUE"""),"Intermediate")</f>
        <v>Intermediate</v>
      </c>
      <c r="S11" s="217" t="str">
        <f ca="1">IFERROR(__xludf.DUMMYFUNCTION("""COMPUTED_VALUE"""),"Change Management – Grundlagen")</f>
        <v>Change Management – Grundlagen</v>
      </c>
      <c r="T11" s="217"/>
      <c r="U11" s="213"/>
      <c r="V11" s="215"/>
      <c r="W11" s="215"/>
      <c r="X11" s="217"/>
      <c r="Y11" s="217"/>
      <c r="Z11" s="213"/>
      <c r="AA11" s="215">
        <f ca="1">IFERROR(__xludf.DUMMYFUNCTION("""COMPUTED_VALUE"""),2874192)</f>
        <v>2874192</v>
      </c>
      <c r="AB11" s="215" t="str">
        <f ca="1">IFERROR(__xludf.DUMMYFUNCTION("""COMPUTED_VALUE"""),"Advanced")</f>
        <v>Advanced</v>
      </c>
      <c r="AC11" s="217" t="str">
        <f ca="1">IFERROR(__xludf.DUMMYFUNCTION("""COMPUTED_VALUE"""),"Como Desenvolver sua Estratégia Digital")</f>
        <v>Como Desenvolver sua Estratégia Digital</v>
      </c>
      <c r="AD11" s="217"/>
      <c r="AE11" s="213"/>
      <c r="AF11" s="215">
        <f ca="1">IFERROR(__xludf.DUMMYFUNCTION("""COMPUTED_VALUE"""),797752)</f>
        <v>797752</v>
      </c>
      <c r="AG11" s="215" t="str">
        <f ca="1">IFERROR(__xludf.DUMMYFUNCTION("""COMPUTED_VALUE"""),"All levels")</f>
        <v>All levels</v>
      </c>
      <c r="AH11" s="217" t="str">
        <f ca="1">IFERROR(__xludf.DUMMYFUNCTION("""COMPUTED_VALUE"""),"向上管理")</f>
        <v>向上管理</v>
      </c>
      <c r="AI11" s="217"/>
      <c r="AJ11" s="213"/>
    </row>
    <row r="12" spans="1:36" ht="33.75" customHeight="1">
      <c r="A12" s="213"/>
      <c r="B12" s="214">
        <f ca="1">IFERROR(__xludf.DUMMYFUNCTION("""COMPUTED_VALUE"""),520220)</f>
        <v>520220</v>
      </c>
      <c r="C12" s="215" t="str">
        <f ca="1">IFERROR(__xludf.DUMMYFUNCTION("""COMPUTED_VALUE"""),"Intermediate")</f>
        <v>Intermediate</v>
      </c>
      <c r="D12" s="216" t="str">
        <f ca="1">IFERROR(__xludf.DUMMYFUNCTION("""COMPUTED_VALUE"""),"Organizational Learning and Development")</f>
        <v>Organizational Learning and Development</v>
      </c>
      <c r="E12" s="217"/>
      <c r="F12" s="213"/>
      <c r="G12" s="214">
        <f ca="1">IFERROR(__xludf.DUMMYFUNCTION("""COMPUTED_VALUE"""),3107658)</f>
        <v>3107658</v>
      </c>
      <c r="H12" s="215" t="str">
        <f ca="1">IFERROR(__xludf.DUMMYFUNCTION("""COMPUTED_VALUE"""),"Intermediate")</f>
        <v>Intermediate</v>
      </c>
      <c r="I12" s="217" t="str">
        <f ca="1">IFERROR(__xludf.DUMMYFUNCTION("""COMPUTED_VALUE"""),"Construire la résilience en tant que leader")</f>
        <v>Construire la résilience en tant que leader</v>
      </c>
      <c r="J12" s="217"/>
      <c r="K12" s="213"/>
      <c r="L12" s="215">
        <f ca="1">IFERROR(__xludf.DUMMYFUNCTION("""COMPUTED_VALUE"""),778411)</f>
        <v>778411</v>
      </c>
      <c r="M12" s="215" t="str">
        <f ca="1">IFERROR(__xludf.DUMMYFUNCTION("""COMPUTED_VALUE"""),"Beginner, Intermediate")</f>
        <v>Beginner, Intermediate</v>
      </c>
      <c r="N12" s="217" t="str">
        <f ca="1">IFERROR(__xludf.DUMMYFUNCTION("""COMPUTED_VALUE"""),"Cómo dar y recibir feedback o retroalimentación")</f>
        <v>Cómo dar y recibir feedback o retroalimentación</v>
      </c>
      <c r="O12" s="217"/>
      <c r="P12" s="213"/>
      <c r="Q12" s="215">
        <f ca="1">IFERROR(__xludf.DUMMYFUNCTION("""COMPUTED_VALUE"""),678927)</f>
        <v>678927</v>
      </c>
      <c r="R12" s="215" t="str">
        <f ca="1">IFERROR(__xludf.DUMMYFUNCTION("""COMPUTED_VALUE"""),"All levels")</f>
        <v>All levels</v>
      </c>
      <c r="S12" s="217" t="str">
        <f ca="1">IFERROR(__xludf.DUMMYFUNCTION("""COMPUTED_VALUE"""),"Disrupt yourself – Erfinden Sie sich neu")</f>
        <v>Disrupt yourself – Erfinden Sie sich neu</v>
      </c>
      <c r="T12" s="217"/>
      <c r="U12" s="213"/>
      <c r="V12" s="215"/>
      <c r="W12" s="215"/>
      <c r="X12" s="217"/>
      <c r="Y12" s="217"/>
      <c r="Z12" s="213"/>
      <c r="AA12" s="215">
        <f ca="1">IFERROR(__xludf.DUMMYFUNCTION("""COMPUTED_VALUE"""),2929566)</f>
        <v>2929566</v>
      </c>
      <c r="AB12" s="215" t="str">
        <f ca="1">IFERROR(__xludf.DUMMYFUNCTION("""COMPUTED_VALUE"""),"Beginner")</f>
        <v>Beginner</v>
      </c>
      <c r="AC12" s="217" t="str">
        <f ca="1">IFERROR(__xludf.DUMMYFUNCTION("""COMPUTED_VALUE"""),"Como Desenvolver uma Mentalidade de Aprendizagem")</f>
        <v>Como Desenvolver uma Mentalidade de Aprendizagem</v>
      </c>
      <c r="AD12" s="217"/>
      <c r="AE12" s="213"/>
      <c r="AF12" s="215">
        <f ca="1">IFERROR(__xludf.DUMMYFUNCTION("""COMPUTED_VALUE"""),773688)</f>
        <v>773688</v>
      </c>
      <c r="AG12" s="215" t="str">
        <f ca="1">IFERROR(__xludf.DUMMYFUNCTION("""COMPUTED_VALUE"""),"All levels")</f>
        <v>All levels</v>
      </c>
      <c r="AH12" s="217" t="str">
        <f ca="1">IFERROR(__xludf.DUMMYFUNCTION("""COMPUTED_VALUE"""),"培养复原力")</f>
        <v>培养复原力</v>
      </c>
      <c r="AI12" s="217"/>
      <c r="AJ12" s="213"/>
    </row>
    <row r="13" spans="1:36" ht="33.75" customHeight="1">
      <c r="A13" s="213"/>
      <c r="B13" s="214">
        <f ca="1">IFERROR(__xludf.DUMMYFUNCTION("""COMPUTED_VALUE"""),580624)</f>
        <v>580624</v>
      </c>
      <c r="C13" s="215" t="str">
        <f ca="1">IFERROR(__xludf.DUMMYFUNCTION("""COMPUTED_VALUE"""),"Intermediate")</f>
        <v>Intermediate</v>
      </c>
      <c r="D13" s="216" t="str">
        <f ca="1">IFERROR(__xludf.DUMMYFUNCTION("""COMPUTED_VALUE"""),"Communicating in Times of Change")</f>
        <v>Communicating in Times of Change</v>
      </c>
      <c r="E13" s="217"/>
      <c r="F13" s="213"/>
      <c r="G13" s="214">
        <f ca="1">IFERROR(__xludf.DUMMYFUNCTION("""COMPUTED_VALUE"""),2250561)</f>
        <v>2250561</v>
      </c>
      <c r="H13" s="215" t="str">
        <f ca="1">IFERROR(__xludf.DUMMYFUNCTION("""COMPUTED_VALUE"""),"Intermediate")</f>
        <v>Intermediate</v>
      </c>
      <c r="I13" s="217" t="str">
        <f ca="1">IFERROR(__xludf.DUMMYFUNCTION("""COMPUTED_VALUE"""),"Créer des conversations constructives avec des clients exigeants / clientes exigeantes")</f>
        <v>Créer des conversations constructives avec des clients exigeants / clientes exigeantes</v>
      </c>
      <c r="J13" s="217"/>
      <c r="K13" s="213"/>
      <c r="L13" s="215">
        <f ca="1">IFERROR(__xludf.DUMMYFUNCTION("""COMPUTED_VALUE"""),2929354)</f>
        <v>2929354</v>
      </c>
      <c r="M13" s="215" t="str">
        <f ca="1">IFERROR(__xludf.DUMMYFUNCTION("""COMPUTED_VALUE"""),"All levels")</f>
        <v>All levels</v>
      </c>
      <c r="N13" s="217" t="str">
        <f ca="1">IFERROR(__xludf.DUMMYFUNCTION("""COMPUTED_VALUE"""),"Cómo desarrollar tu propia capacidad de adaptación")</f>
        <v>Cómo desarrollar tu propia capacidad de adaptación</v>
      </c>
      <c r="O13" s="217"/>
      <c r="P13" s="213"/>
      <c r="Q13" s="215">
        <f ca="1">IFERROR(__xludf.DUMMYFUNCTION("""COMPUTED_VALUE"""),2929657)</f>
        <v>2929657</v>
      </c>
      <c r="R13" s="215" t="str">
        <f ca="1">IFERROR(__xludf.DUMMYFUNCTION("""COMPUTED_VALUE"""),"All levels")</f>
        <v>All levels</v>
      </c>
      <c r="S13" s="217" t="str">
        <f ca="1">IFERROR(__xludf.DUMMYFUNCTION("""COMPUTED_VALUE"""),"Ein agiles Mindset entwickeln")</f>
        <v>Ein agiles Mindset entwickeln</v>
      </c>
      <c r="T13" s="217"/>
      <c r="U13" s="213"/>
      <c r="V13" s="215"/>
      <c r="W13" s="215"/>
      <c r="X13" s="217"/>
      <c r="Y13" s="217"/>
      <c r="Z13" s="213"/>
      <c r="AA13" s="215">
        <f ca="1">IFERROR(__xludf.DUMMYFUNCTION("""COMPUTED_VALUE"""),2841360)</f>
        <v>2841360</v>
      </c>
      <c r="AB13" s="215" t="str">
        <f ca="1">IFERROR(__xludf.DUMMYFUNCTION("""COMPUTED_VALUE"""),"Beginner, Intermediate")</f>
        <v>Beginner, Intermediate</v>
      </c>
      <c r="AC13" s="217" t="str">
        <f ca="1">IFERROR(__xludf.DUMMYFUNCTION("""COMPUTED_VALUE"""),"Como Gerenciar o Estresse para Promover Mudanças Positivas")</f>
        <v>Como Gerenciar o Estresse para Promover Mudanças Positivas</v>
      </c>
      <c r="AD13" s="217"/>
      <c r="AE13" s="213"/>
      <c r="AF13" s="215">
        <f ca="1">IFERROR(__xludf.DUMMYFUNCTION("""COMPUTED_VALUE"""),2825717)</f>
        <v>2825717</v>
      </c>
      <c r="AG13" s="215" t="str">
        <f ca="1">IFERROR(__xludf.DUMMYFUNCTION("""COMPUTED_VALUE"""),"All levels")</f>
        <v>All levels</v>
      </c>
      <c r="AH13" s="217" t="str">
        <f ca="1">IFERROR(__xludf.DUMMYFUNCTION("""COMPUTED_VALUE"""),"培养成长型思维")</f>
        <v>培养成长型思维</v>
      </c>
      <c r="AI13" s="217"/>
      <c r="AJ13" s="213"/>
    </row>
    <row r="14" spans="1:36" ht="33.75" customHeight="1">
      <c r="A14" s="213"/>
      <c r="B14" s="214">
        <f ca="1">IFERROR(__xludf.DUMMYFUNCTION("""COMPUTED_VALUE"""),622051)</f>
        <v>622051</v>
      </c>
      <c r="C14" s="215" t="str">
        <f ca="1">IFERROR(__xludf.DUMMYFUNCTION("""COMPUTED_VALUE"""),"Intermediate")</f>
        <v>Intermediate</v>
      </c>
      <c r="D14" s="216" t="str">
        <f ca="1">IFERROR(__xludf.DUMMYFUNCTION("""COMPUTED_VALUE"""),"Developing Adaptable Managers")</f>
        <v>Developing Adaptable Managers</v>
      </c>
      <c r="E14" s="217"/>
      <c r="F14" s="213"/>
      <c r="G14" s="214">
        <f ca="1">IFERROR(__xludf.DUMMYFUNCTION("""COMPUTED_VALUE"""),2823372)</f>
        <v>2823372</v>
      </c>
      <c r="H14" s="215" t="str">
        <f ca="1">IFERROR(__xludf.DUMMYFUNCTION("""COMPUTED_VALUE"""),"Advanced")</f>
        <v>Advanced</v>
      </c>
      <c r="I14" s="217" t="str">
        <f ca="1">IFERROR(__xludf.DUMMYFUNCTION("""COMPUTED_VALUE"""),"Créer une culture du changement")</f>
        <v>Créer une culture du changement</v>
      </c>
      <c r="J14" s="217"/>
      <c r="K14" s="213"/>
      <c r="L14" s="215">
        <f ca="1">IFERROR(__xludf.DUMMYFUNCTION("""COMPUTED_VALUE"""),190365)</f>
        <v>190365</v>
      </c>
      <c r="M14" s="215" t="str">
        <f ca="1">IFERROR(__xludf.DUMMYFUNCTION("""COMPUTED_VALUE"""),"Intermediate")</f>
        <v>Intermediate</v>
      </c>
      <c r="N14" s="217" t="str">
        <f ca="1">IFERROR(__xludf.DUMMYFUNCTION("""COMPUTED_VALUE"""),"Cómo enfrentarse a los cambios")</f>
        <v>Cómo enfrentarse a los cambios</v>
      </c>
      <c r="O14" s="217"/>
      <c r="P14" s="213"/>
      <c r="Q14" s="215">
        <f ca="1">IFERROR(__xludf.DUMMYFUNCTION("""COMPUTED_VALUE"""),778406)</f>
        <v>778406</v>
      </c>
      <c r="R14" s="215" t="str">
        <f ca="1">IFERROR(__xludf.DUMMYFUNCTION("""COMPUTED_VALUE"""),"All levels")</f>
        <v>All levels</v>
      </c>
      <c r="S14" s="217" t="str">
        <f ca="1">IFERROR(__xludf.DUMMYFUNCTION("""COMPUTED_VALUE"""),"Eine nachhaltige Work-Life-Balance etablieren")</f>
        <v>Eine nachhaltige Work-Life-Balance etablieren</v>
      </c>
      <c r="T14" s="217"/>
      <c r="U14" s="213"/>
      <c r="V14" s="215"/>
      <c r="W14" s="215"/>
      <c r="X14" s="217"/>
      <c r="Y14" s="217"/>
      <c r="Z14" s="213"/>
      <c r="AA14" s="215">
        <f ca="1">IFERROR(__xludf.DUMMYFUNCTION("""COMPUTED_VALUE"""),2876178)</f>
        <v>2876178</v>
      </c>
      <c r="AB14" s="215" t="str">
        <f ca="1">IFERROR(__xludf.DUMMYFUNCTION("""COMPUTED_VALUE"""),"All levels")</f>
        <v>All levels</v>
      </c>
      <c r="AC14" s="217" t="str">
        <f ca="1">IFERROR(__xludf.DUMMYFUNCTION("""COMPUTED_VALUE"""),"Como Lidar com Mudanças Inesperadas")</f>
        <v>Como Lidar com Mudanças Inesperadas</v>
      </c>
      <c r="AD14" s="217"/>
      <c r="AE14" s="213"/>
      <c r="AF14" s="215">
        <f ca="1">IFERROR(__xludf.DUMMYFUNCTION("""COMPUTED_VALUE"""),3105032)</f>
        <v>3105032</v>
      </c>
      <c r="AG14" s="215" t="str">
        <f ca="1">IFERROR(__xludf.DUMMYFUNCTION("""COMPUTED_VALUE"""),"Intermediate")</f>
        <v>Intermediate</v>
      </c>
      <c r="AH14" s="217" t="str">
        <f ca="1">IFERROR(__xludf.DUMMYFUNCTION("""COMPUTED_VALUE"""),"培养批判性思维与好奇心：学会提问")</f>
        <v>培养批判性思维与好奇心：学会提问</v>
      </c>
      <c r="AI14" s="217"/>
      <c r="AJ14" s="213"/>
    </row>
    <row r="15" spans="1:36" ht="33.75" customHeight="1">
      <c r="A15" s="213"/>
      <c r="B15" s="214">
        <f ca="1">IFERROR(__xludf.DUMMYFUNCTION("""COMPUTED_VALUE"""),622050)</f>
        <v>622050</v>
      </c>
      <c r="C15" s="215" t="str">
        <f ca="1">IFERROR(__xludf.DUMMYFUNCTION("""COMPUTED_VALUE"""),"Beginner + Intermediate")</f>
        <v>Beginner + Intermediate</v>
      </c>
      <c r="D15" s="216" t="str">
        <f ca="1">IFERROR(__xludf.DUMMYFUNCTION("""COMPUTED_VALUE"""),"Developing Adaptable Employees")</f>
        <v>Developing Adaptable Employees</v>
      </c>
      <c r="E15" s="217"/>
      <c r="F15" s="213"/>
      <c r="G15" s="214">
        <f ca="1">IFERROR(__xludf.DUMMYFUNCTION("""COMPUTED_VALUE"""),2942173)</f>
        <v>2942173</v>
      </c>
      <c r="H15" s="215" t="str">
        <f ca="1">IFERROR(__xludf.DUMMYFUNCTION("""COMPUTED_VALUE"""),"Intermediate")</f>
        <v>Intermediate</v>
      </c>
      <c r="I15" s="217" t="str">
        <f ca="1">IFERROR(__xludf.DUMMYFUNCTION("""COMPUTED_VALUE"""),"Cultiver la pensée critique et la créativité avec des questions")</f>
        <v>Cultiver la pensée critique et la créativité avec des questions</v>
      </c>
      <c r="J15" s="217"/>
      <c r="K15" s="213"/>
      <c r="L15" s="215">
        <f ca="1">IFERROR(__xludf.DUMMYFUNCTION("""COMPUTED_VALUE"""),429636)</f>
        <v>429636</v>
      </c>
      <c r="M15" s="215" t="str">
        <f ca="1">IFERROR(__xludf.DUMMYFUNCTION("""COMPUTED_VALUE"""),"All levels")</f>
        <v>All levels</v>
      </c>
      <c r="N15" s="217" t="str">
        <f ca="1">IFERROR(__xludf.DUMMYFUNCTION("""COMPUTED_VALUE"""),"Cómo generar ideas")</f>
        <v>Cómo generar ideas</v>
      </c>
      <c r="O15" s="217"/>
      <c r="P15" s="213"/>
      <c r="Q15" s="215">
        <f ca="1">IFERROR(__xludf.DUMMYFUNCTION("""COMPUTED_VALUE"""),5020331)</f>
        <v>5020331</v>
      </c>
      <c r="R15" s="215" t="str">
        <f ca="1">IFERROR(__xludf.DUMMYFUNCTION("""COMPUTED_VALUE"""),"All levels")</f>
        <v>All levels</v>
      </c>
      <c r="S15" s="217" t="str">
        <f ca="1">IFERROR(__xludf.DUMMYFUNCTION("""COMPUTED_VALUE"""),"Emotionale Intelligenz entwickeln")</f>
        <v>Emotionale Intelligenz entwickeln</v>
      </c>
      <c r="T15" s="217"/>
      <c r="U15" s="213"/>
      <c r="V15" s="215"/>
      <c r="W15" s="215"/>
      <c r="X15" s="217"/>
      <c r="Y15" s="217"/>
      <c r="Z15" s="213"/>
      <c r="AA15" s="215">
        <f ca="1">IFERROR(__xludf.DUMMYFUNCTION("""COMPUTED_VALUE"""),2908964)</f>
        <v>2908964</v>
      </c>
      <c r="AB15" s="215" t="str">
        <f ca="1">IFERROR(__xludf.DUMMYFUNCTION("""COMPUTED_VALUE"""),"Intermediate")</f>
        <v>Intermediate</v>
      </c>
      <c r="AC15" s="217" t="str">
        <f ca="1">IFERROR(__xludf.DUMMYFUNCTION("""COMPUTED_VALUE"""),"Como Planejar a Comunicação em Tempos de Mudança")</f>
        <v>Como Planejar a Comunicação em Tempos de Mudança</v>
      </c>
      <c r="AD15" s="217"/>
      <c r="AE15" s="213"/>
      <c r="AF15" s="215">
        <f ca="1">IFERROR(__xludf.DUMMYFUNCTION("""COMPUTED_VALUE"""),802086)</f>
        <v>802086</v>
      </c>
      <c r="AG15" s="215" t="str">
        <f ca="1">IFERROR(__xludf.DUMMYFUNCTION("""COMPUTED_VALUE"""),"All levels")</f>
        <v>All levels</v>
      </c>
      <c r="AH15" s="217" t="str">
        <f ca="1">IFERROR(__xludf.DUMMYFUNCTION("""COMPUTED_VALUE"""),"培养智谋力")</f>
        <v>培养智谋力</v>
      </c>
      <c r="AI15" s="217"/>
      <c r="AJ15" s="213"/>
    </row>
    <row r="16" spans="1:36" ht="33.75" customHeight="1">
      <c r="A16" s="213"/>
      <c r="B16" s="214">
        <f ca="1">IFERROR(__xludf.DUMMYFUNCTION("""COMPUTED_VALUE"""),2807856)</f>
        <v>2807856</v>
      </c>
      <c r="C16" s="215" t="str">
        <f ca="1">IFERROR(__xludf.DUMMYFUNCTION("""COMPUTED_VALUE"""),"General")</f>
        <v>General</v>
      </c>
      <c r="D16" s="216" t="str">
        <f ca="1">IFERROR(__xludf.DUMMYFUNCTION("""COMPUTED_VALUE"""),"Unlock Your Team's Creativity")</f>
        <v>Unlock Your Team's Creativity</v>
      </c>
      <c r="E16" s="217"/>
      <c r="F16" s="213"/>
      <c r="G16" s="214">
        <f ca="1">IFERROR(__xludf.DUMMYFUNCTION("""COMPUTED_VALUE"""),2834036)</f>
        <v>2834036</v>
      </c>
      <c r="H16" s="215" t="str">
        <f ca="1">IFERROR(__xludf.DUMMYFUNCTION("""COMPUTED_VALUE"""),"All levels")</f>
        <v>All levels</v>
      </c>
      <c r="I16" s="217" t="str">
        <f ca="1">IFERROR(__xludf.DUMMYFUNCTION("""COMPUTED_VALUE"""),"Cultiver une perspective de développement")</f>
        <v>Cultiver une perspective de développement</v>
      </c>
      <c r="J16" s="217"/>
      <c r="K16" s="213"/>
      <c r="L16" s="215">
        <f ca="1">IFERROR(__xludf.DUMMYFUNCTION("""COMPUTED_VALUE"""),5041894)</f>
        <v>5041894</v>
      </c>
      <c r="M16" s="215" t="str">
        <f ca="1">IFERROR(__xludf.DUMMYFUNCTION("""COMPUTED_VALUE"""),"All levels")</f>
        <v>All levels</v>
      </c>
      <c r="N16" s="217" t="str">
        <f ca="1">IFERROR(__xludf.DUMMYFUNCTION("""COMPUTED_VALUE"""),"Cómo hackear tu mente y recuperar el control sobre el estrés")</f>
        <v>Cómo hackear tu mente y recuperar el control sobre el estrés</v>
      </c>
      <c r="O16" s="217"/>
      <c r="P16" s="213"/>
      <c r="Q16" s="215">
        <f ca="1">IFERROR(__xludf.DUMMYFUNCTION("""COMPUTED_VALUE"""),2815032)</f>
        <v>2815032</v>
      </c>
      <c r="R16" s="215" t="str">
        <f ca="1">IFERROR(__xludf.DUMMYFUNCTION("""COMPUTED_VALUE"""),"All levels")</f>
        <v>All levels</v>
      </c>
      <c r="S16" s="217" t="str">
        <f ca="1">IFERROR(__xludf.DUMMYFUNCTION("""COMPUTED_VALUE"""),"Empathie und Kreativität als neue Schlüsselkompetenzen")</f>
        <v>Empathie und Kreativität als neue Schlüsselkompetenzen</v>
      </c>
      <c r="T16" s="217"/>
      <c r="U16" s="213"/>
      <c r="V16" s="215"/>
      <c r="W16" s="215"/>
      <c r="X16" s="217"/>
      <c r="Y16" s="217"/>
      <c r="Z16" s="213"/>
      <c r="AA16" s="215">
        <f ca="1">IFERROR(__xludf.DUMMYFUNCTION("""COMPUTED_VALUE"""),3161741)</f>
        <v>3161741</v>
      </c>
      <c r="AB16" s="215" t="str">
        <f ca="1">IFERROR(__xludf.DUMMYFUNCTION("""COMPUTED_VALUE"""),"All levels")</f>
        <v>All levels</v>
      </c>
      <c r="AC16" s="217" t="str">
        <f ca="1">IFERROR(__xludf.DUMMYFUNCTION("""COMPUTED_VALUE"""),"Como Superar o Luto e Gerenciar o Impacto da Perda e da Mudança no Trabalho")</f>
        <v>Como Superar o Luto e Gerenciar o Impacto da Perda e da Mudança no Trabalho</v>
      </c>
      <c r="AD16" s="217"/>
      <c r="AE16" s="213"/>
      <c r="AF16" s="215">
        <f ca="1">IFERROR(__xludf.DUMMYFUNCTION("""COMPUTED_VALUE"""),5018436)</f>
        <v>5018436</v>
      </c>
      <c r="AG16" s="215" t="str">
        <f ca="1">IFERROR(__xludf.DUMMYFUNCTION("""COMPUTED_VALUE"""),"All levels")</f>
        <v>All levels</v>
      </c>
      <c r="AH16" s="217" t="str">
        <f ca="1">IFERROR(__xludf.DUMMYFUNCTION("""COMPUTED_VALUE"""),"学习的敏锐度")</f>
        <v>学习的敏锐度</v>
      </c>
      <c r="AI16" s="217"/>
      <c r="AJ16" s="213"/>
    </row>
    <row r="17" spans="1:36" ht="33.75" customHeight="1">
      <c r="A17" s="213"/>
      <c r="B17" s="214">
        <f ca="1">IFERROR(__xludf.DUMMYFUNCTION("""COMPUTED_VALUE"""),711796)</f>
        <v>711796</v>
      </c>
      <c r="C17" s="215" t="str">
        <f ca="1">IFERROR(__xludf.DUMMYFUNCTION("""COMPUTED_VALUE"""),"Intermediate")</f>
        <v>Intermediate</v>
      </c>
      <c r="D17" s="216" t="str">
        <f ca="1">IFERROR(__xludf.DUMMYFUNCTION("""COMPUTED_VALUE"""),"Managing Organizational Change for Managers")</f>
        <v>Managing Organizational Change for Managers</v>
      </c>
      <c r="E17" s="217"/>
      <c r="F17" s="213"/>
      <c r="G17" s="214">
        <f ca="1">IFERROR(__xludf.DUMMYFUNCTION("""COMPUTED_VALUE"""),714748)</f>
        <v>714748</v>
      </c>
      <c r="H17" s="215" t="str">
        <f ca="1">IFERROR(__xludf.DUMMYFUNCTION("""COMPUTED_VALUE"""),"All levels")</f>
        <v>All levels</v>
      </c>
      <c r="I17" s="217" t="str">
        <f ca="1">IFERROR(__xludf.DUMMYFUNCTION("""COMPUTED_VALUE"""),"De l’impuissance au pouvoir : La prise de contrôle")</f>
        <v>De l’impuissance au pouvoir : La prise de contrôle</v>
      </c>
      <c r="J17" s="217"/>
      <c r="K17" s="213"/>
      <c r="L17" s="215">
        <f ca="1">IFERROR(__xludf.DUMMYFUNCTION("""COMPUTED_VALUE"""),454096)</f>
        <v>454096</v>
      </c>
      <c r="M17" s="215" t="str">
        <f ca="1">IFERROR(__xludf.DUMMYFUNCTION("""COMPUTED_VALUE"""),"All levels")</f>
        <v>All levels</v>
      </c>
      <c r="N17" s="217" t="str">
        <f ca="1">IFERROR(__xludf.DUMMYFUNCTION("""COMPUTED_VALUE"""),"Cómo liderar el cambio en tu empresa")</f>
        <v>Cómo liderar el cambio en tu empresa</v>
      </c>
      <c r="O17" s="217"/>
      <c r="P17" s="213"/>
      <c r="Q17" s="215">
        <f ca="1">IFERROR(__xludf.DUMMYFUNCTION("""COMPUTED_VALUE"""),2294199)</f>
        <v>2294199</v>
      </c>
      <c r="R17" s="215" t="str">
        <f ca="1">IFERROR(__xludf.DUMMYFUNCTION("""COMPUTED_VALUE"""),"All levels")</f>
        <v>All levels</v>
      </c>
      <c r="S17" s="217" t="str">
        <f ca="1">IFERROR(__xludf.DUMMYFUNCTION("""COMPUTED_VALUE"""),"Freude am Lernen entwickeln")</f>
        <v>Freude am Lernen entwickeln</v>
      </c>
      <c r="T17" s="217"/>
      <c r="U17" s="213"/>
      <c r="V17" s="215"/>
      <c r="W17" s="215"/>
      <c r="X17" s="217"/>
      <c r="Y17" s="217"/>
      <c r="Z17" s="213"/>
      <c r="AA17" s="215">
        <f ca="1">IFERROR(__xludf.DUMMYFUNCTION("""COMPUTED_VALUE"""),753215)</f>
        <v>753215</v>
      </c>
      <c r="AB17" s="215" t="str">
        <f ca="1">IFERROR(__xludf.DUMMYFUNCTION("""COMPUTED_VALUE"""),"All levels")</f>
        <v>All levels</v>
      </c>
      <c r="AC17" s="217" t="str">
        <f ca="1">IFERROR(__xludf.DUMMYFUNCTION("""COMPUTED_VALUE"""),"Desenvolvimento da Inventividade")</f>
        <v>Desenvolvimento da Inventividade</v>
      </c>
      <c r="AD17" s="217"/>
      <c r="AE17" s="213"/>
      <c r="AF17" s="215">
        <f ca="1">IFERROR(__xludf.DUMMYFUNCTION("""COMPUTED_VALUE"""),2808425)</f>
        <v>2808425</v>
      </c>
      <c r="AG17" s="215" t="str">
        <f ca="1">IFERROR(__xludf.DUMMYFUNCTION("""COMPUTED_VALUE"""),"All levels")</f>
        <v>All levels</v>
      </c>
      <c r="AH17" s="217" t="str">
        <f ca="1">IFERROR(__xludf.DUMMYFUNCTION("""COMPUTED_VALUE"""),"学会自信力")</f>
        <v>学会自信力</v>
      </c>
      <c r="AI17" s="217"/>
      <c r="AJ17" s="213"/>
    </row>
    <row r="18" spans="1:36" ht="33.75" customHeight="1">
      <c r="A18" s="213"/>
      <c r="B18" s="214">
        <f ca="1">IFERROR(__xludf.DUMMYFUNCTION("""COMPUTED_VALUE"""),753899)</f>
        <v>753899</v>
      </c>
      <c r="C18" s="215" t="str">
        <f ca="1">IFERROR(__xludf.DUMMYFUNCTION("""COMPUTED_VALUE"""),"Intermediate")</f>
        <v>Intermediate</v>
      </c>
      <c r="D18" s="216" t="str">
        <f ca="1">IFERROR(__xludf.DUMMYFUNCTION("""COMPUTED_VALUE"""),"Developing Adaptability as a Manager")</f>
        <v>Developing Adaptability as a Manager</v>
      </c>
      <c r="E18" s="217"/>
      <c r="F18" s="213"/>
      <c r="G18" s="214">
        <f ca="1">IFERROR(__xludf.DUMMYFUNCTION("""COMPUTED_VALUE"""),511184)</f>
        <v>511184</v>
      </c>
      <c r="H18" s="215" t="str">
        <f ca="1">IFERROR(__xludf.DUMMYFUNCTION("""COMPUTED_VALUE"""),"All levels")</f>
        <v>All levels</v>
      </c>
      <c r="I18" s="217" t="str">
        <f ca="1">IFERROR(__xludf.DUMMYFUNCTION("""COMPUTED_VALUE"""),"Développer la résilience")</f>
        <v>Développer la résilience</v>
      </c>
      <c r="J18" s="217"/>
      <c r="K18" s="213"/>
      <c r="L18" s="215">
        <f ca="1">IFERROR(__xludf.DUMMYFUNCTION("""COMPUTED_VALUE"""),403839)</f>
        <v>403839</v>
      </c>
      <c r="M18" s="215" t="str">
        <f ca="1">IFERROR(__xludf.DUMMYFUNCTION("""COMPUTED_VALUE"""),"Beginner, Intermediate")</f>
        <v>Beginner, Intermediate</v>
      </c>
      <c r="N18" s="217" t="str">
        <f ca="1">IFERROR(__xludf.DUMMYFUNCTION("""COMPUTED_VALUE"""),"Cómo manejar el estrés")</f>
        <v>Cómo manejar el estrés</v>
      </c>
      <c r="O18" s="217"/>
      <c r="P18" s="213"/>
      <c r="Q18" s="215">
        <f ca="1">IFERROR(__xludf.DUMMYFUNCTION("""COMPUTED_VALUE"""),5025620)</f>
        <v>5025620</v>
      </c>
      <c r="R18" s="215" t="str">
        <f ca="1">IFERROR(__xludf.DUMMYFUNCTION("""COMPUTED_VALUE"""),"Beginner, Intermediate")</f>
        <v>Beginner, Intermediate</v>
      </c>
      <c r="S18" s="217" t="str">
        <f ca="1">IFERROR(__xludf.DUMMYFUNCTION("""COMPUTED_VALUE"""),"Führen mit Innovation")</f>
        <v>Führen mit Innovation</v>
      </c>
      <c r="T18" s="217"/>
      <c r="U18" s="213"/>
      <c r="V18" s="215"/>
      <c r="W18" s="215"/>
      <c r="X18" s="217"/>
      <c r="Y18" s="217"/>
      <c r="Z18" s="213"/>
      <c r="AA18" s="215">
        <f ca="1">IFERROR(__xludf.DUMMYFUNCTION("""COMPUTED_VALUE"""),779493)</f>
        <v>779493</v>
      </c>
      <c r="AB18" s="215" t="str">
        <f ca="1">IFERROR(__xludf.DUMMYFUNCTION("""COMPUTED_VALUE"""),"Advanced")</f>
        <v>Advanced</v>
      </c>
      <c r="AC18" s="217" t="str">
        <f ca="1">IFERROR(__xludf.DUMMYFUNCTION("""COMPUTED_VALUE"""),"Diversidade e Inclusão em uma Empresa Global")</f>
        <v>Diversidade e Inclusão em uma Empresa Global</v>
      </c>
      <c r="AD18" s="217"/>
      <c r="AE18" s="213"/>
      <c r="AF18" s="215">
        <f ca="1">IFERROR(__xludf.DUMMYFUNCTION("""COMPUTED_VALUE"""),762260)</f>
        <v>762260</v>
      </c>
      <c r="AG18" s="215" t="str">
        <f ca="1">IFERROR(__xludf.DUMMYFUNCTION("""COMPUTED_VALUE"""),"Intermediate")</f>
        <v>Intermediate</v>
      </c>
      <c r="AH18" s="217" t="str">
        <f ca="1">IFERROR(__xludf.DUMMYFUNCTION("""COMPUTED_VALUE"""),"引领变革")</f>
        <v>引领变革</v>
      </c>
      <c r="AI18" s="217"/>
      <c r="AJ18" s="213"/>
    </row>
    <row r="19" spans="1:36" ht="33.75" customHeight="1">
      <c r="A19" s="213"/>
      <c r="B19" s="214">
        <f ca="1">IFERROR(__xludf.DUMMYFUNCTION("""COMPUTED_VALUE"""),5022327)</f>
        <v>5022327</v>
      </c>
      <c r="C19" s="215" t="str">
        <f ca="1">IFERROR(__xludf.DUMMYFUNCTION("""COMPUTED_VALUE"""),"Intermediate")</f>
        <v>Intermediate</v>
      </c>
      <c r="D19" s="216" t="str">
        <f ca="1">IFERROR(__xludf.DUMMYFUNCTION("""COMPUTED_VALUE"""),"Leading Your Team Through Change")</f>
        <v>Leading Your Team Through Change</v>
      </c>
      <c r="E19" s="217"/>
      <c r="F19" s="213"/>
      <c r="G19" s="214">
        <f ca="1">IFERROR(__xludf.DUMMYFUNCTION("""COMPUTED_VALUE"""),561069)</f>
        <v>561069</v>
      </c>
      <c r="H19" s="215" t="str">
        <f ca="1">IFERROR(__xludf.DUMMYFUNCTION("""COMPUTED_VALUE"""),"All levels")</f>
        <v>All levels</v>
      </c>
      <c r="I19" s="217" t="str">
        <f ca="1">IFERROR(__xludf.DUMMYFUNCTION("""COMPUTED_VALUE"""),"Développer son assertivité")</f>
        <v>Développer son assertivité</v>
      </c>
      <c r="J19" s="217"/>
      <c r="K19" s="213"/>
      <c r="L19" s="215">
        <f ca="1">IFERROR(__xludf.DUMMYFUNCTION("""COMPUTED_VALUE"""),5025675)</f>
        <v>5025675</v>
      </c>
      <c r="M19" s="215" t="str">
        <f ca="1">IFERROR(__xludf.DUMMYFUNCTION("""COMPUTED_VALUE"""),"Beginner")</f>
        <v>Beginner</v>
      </c>
      <c r="N19" s="217" t="str">
        <f ca="1">IFERROR(__xludf.DUMMYFUNCTION("""COMPUTED_VALUE"""),"Cómo superar los sesgos cognitivos")</f>
        <v>Cómo superar los sesgos cognitivos</v>
      </c>
      <c r="O19" s="217"/>
      <c r="P19" s="213"/>
      <c r="Q19" s="215">
        <f ca="1">IFERROR(__xludf.DUMMYFUNCTION("""COMPUTED_VALUE"""),423539)</f>
        <v>423539</v>
      </c>
      <c r="R19" s="215" t="str">
        <f ca="1">IFERROR(__xludf.DUMMYFUNCTION("""COMPUTED_VALUE"""),"All levels")</f>
        <v>All levels</v>
      </c>
      <c r="S19" s="217" t="str">
        <f ca="1">IFERROR(__xludf.DUMMYFUNCTION("""COMPUTED_VALUE"""),"Gehirngerechtes Lernen")</f>
        <v>Gehirngerechtes Lernen</v>
      </c>
      <c r="T19" s="217"/>
      <c r="U19" s="213"/>
      <c r="V19" s="215"/>
      <c r="W19" s="215"/>
      <c r="X19" s="217"/>
      <c r="Y19" s="217"/>
      <c r="Z19" s="213"/>
      <c r="AA19" s="215">
        <f ca="1">IFERROR(__xludf.DUMMYFUNCTION("""COMPUTED_VALUE"""),2900316)</f>
        <v>2900316</v>
      </c>
      <c r="AB19" s="215" t="str">
        <f ca="1">IFERROR(__xludf.DUMMYFUNCTION("""COMPUTED_VALUE"""),"Advanced")</f>
        <v>Advanced</v>
      </c>
      <c r="AC19" s="217" t="str">
        <f ca="1">IFERROR(__xludf.DUMMYFUNCTION("""COMPUTED_VALUE"""),"Fundamentos da Transformação Digital")</f>
        <v>Fundamentos da Transformação Digital</v>
      </c>
      <c r="AD19" s="217"/>
      <c r="AE19" s="213"/>
      <c r="AF19" s="215">
        <f ca="1">IFERROR(__xludf.DUMMYFUNCTION("""COMPUTED_VALUE"""),2824446)</f>
        <v>2824446</v>
      </c>
      <c r="AG19" s="215" t="str">
        <f ca="1">IFERROR(__xludf.DUMMYFUNCTION("""COMPUTED_VALUE"""),"Beginner")</f>
        <v>Beginner</v>
      </c>
      <c r="AH19" s="217" t="str">
        <f ca="1">IFERROR(__xludf.DUMMYFUNCTION("""COMPUTED_VALUE"""),"打破常规")</f>
        <v>打破常规</v>
      </c>
      <c r="AI19" s="217"/>
      <c r="AJ19" s="213"/>
    </row>
    <row r="20" spans="1:36" ht="33.75" customHeight="1">
      <c r="A20" s="213"/>
      <c r="B20" s="214">
        <f ca="1">IFERROR(__xludf.DUMMYFUNCTION("""COMPUTED_VALUE"""),2421749)</f>
        <v>2421749</v>
      </c>
      <c r="C20" s="215" t="str">
        <f ca="1">IFERROR(__xludf.DUMMYFUNCTION("""COMPUTED_VALUE"""),"Intermediate")</f>
        <v>Intermediate</v>
      </c>
      <c r="D20" s="216" t="str">
        <f ca="1">IFERROR(__xludf.DUMMYFUNCTION("""COMPUTED_VALUE"""),"Leading in the Moment")</f>
        <v>Leading in the Moment</v>
      </c>
      <c r="E20" s="217"/>
      <c r="F20" s="213"/>
      <c r="G20" s="214">
        <f ca="1">IFERROR(__xludf.DUMMYFUNCTION("""COMPUTED_VALUE"""),575896)</f>
        <v>575896</v>
      </c>
      <c r="H20" s="215" t="str">
        <f ca="1">IFERROR(__xludf.DUMMYFUNCTION("""COMPUTED_VALUE"""),"All levels")</f>
        <v>All levels</v>
      </c>
      <c r="I20" s="217" t="str">
        <f ca="1">IFERROR(__xludf.DUMMYFUNCTION("""COMPUTED_VALUE"""),"Développer son esprit critique")</f>
        <v>Développer son esprit critique</v>
      </c>
      <c r="J20" s="217"/>
      <c r="K20" s="213"/>
      <c r="L20" s="215">
        <f ca="1">IFERROR(__xludf.DUMMYFUNCTION("""COMPUTED_VALUE"""),435365)</f>
        <v>435365</v>
      </c>
      <c r="M20" s="215" t="str">
        <f ca="1">IFERROR(__xludf.DUMMYFUNCTION("""COMPUTED_VALUE"""),"All levels")</f>
        <v>All levels</v>
      </c>
      <c r="N20" s="217" t="str">
        <f ca="1">IFERROR(__xludf.DUMMYFUNCTION("""COMPUTED_VALUE"""),"Cómo trabajar con gerentes difíciles")</f>
        <v>Cómo trabajar con gerentes difíciles</v>
      </c>
      <c r="O20" s="217"/>
      <c r="P20" s="213"/>
      <c r="Q20" s="215">
        <f ca="1">IFERROR(__xludf.DUMMYFUNCTION("""COMPUTED_VALUE"""),2254032)</f>
        <v>2254032</v>
      </c>
      <c r="R20" s="215" t="str">
        <f ca="1">IFERROR(__xludf.DUMMYFUNCTION("""COMPUTED_VALUE"""),"All levels")</f>
        <v>All levels</v>
      </c>
      <c r="S20" s="217" t="str">
        <f ca="1">IFERROR(__xludf.DUMMYFUNCTION("""COMPUTED_VALUE"""),"Growth Mindset – Persönlicher Erfolg und Wachstum durch ein dynamisches Selbstbild")</f>
        <v>Growth Mindset – Persönlicher Erfolg und Wachstum durch ein dynamisches Selbstbild</v>
      </c>
      <c r="T20" s="217"/>
      <c r="U20" s="213"/>
      <c r="V20" s="215"/>
      <c r="W20" s="215"/>
      <c r="X20" s="217"/>
      <c r="Y20" s="217"/>
      <c r="Z20" s="213"/>
      <c r="AA20" s="215">
        <f ca="1">IFERROR(__xludf.DUMMYFUNCTION("""COMPUTED_VALUE"""),2929551)</f>
        <v>2929551</v>
      </c>
      <c r="AB20" s="215" t="str">
        <f ca="1">IFERROR(__xludf.DUMMYFUNCTION("""COMPUTED_VALUE"""),"All levels")</f>
        <v>All levels</v>
      </c>
      <c r="AC20" s="217" t="str">
        <f ca="1">IFERROR(__xludf.DUMMYFUNCTION("""COMPUTED_VALUE"""),"Fundamentos de Gestão Ágil")</f>
        <v>Fundamentos de Gestão Ágil</v>
      </c>
      <c r="AD20" s="217"/>
      <c r="AE20" s="213"/>
      <c r="AF20" s="215">
        <f ca="1">IFERROR(__xludf.DUMMYFUNCTION("""COMPUTED_VALUE"""),2824441)</f>
        <v>2824441</v>
      </c>
      <c r="AG20" s="215" t="str">
        <f ca="1">IFERROR(__xludf.DUMMYFUNCTION("""COMPUTED_VALUE"""),"Advanced")</f>
        <v>Advanced</v>
      </c>
      <c r="AH20" s="217" t="str">
        <f ca="1">IFERROR(__xludf.DUMMYFUNCTION("""COMPUTED_VALUE"""),"打造企业创造力")</f>
        <v>打造企业创造力</v>
      </c>
      <c r="AI20" s="217"/>
      <c r="AJ20" s="213"/>
    </row>
    <row r="21" spans="1:36" ht="33.75" customHeight="1">
      <c r="A21" s="213"/>
      <c r="B21" s="214">
        <f ca="1">IFERROR(__xludf.DUMMYFUNCTION("""COMPUTED_VALUE"""),2880191)</f>
        <v>2880191</v>
      </c>
      <c r="C21" s="215" t="str">
        <f ca="1">IFERROR(__xludf.DUMMYFUNCTION("""COMPUTED_VALUE"""),"Beginner")</f>
        <v>Beginner</v>
      </c>
      <c r="D21" s="216" t="str">
        <f ca="1">IFERROR(__xludf.DUMMYFUNCTION("""COMPUTED_VALUE"""),"Building the Resources for Resilience")</f>
        <v>Building the Resources for Resilience</v>
      </c>
      <c r="E21" s="217"/>
      <c r="F21" s="213"/>
      <c r="G21" s="214">
        <f ca="1">IFERROR(__xludf.DUMMYFUNCTION("""COMPUTED_VALUE"""),3107703)</f>
        <v>3107703</v>
      </c>
      <c r="H21" s="215" t="str">
        <f ca="1">IFERROR(__xludf.DUMMYFUNCTION("""COMPUTED_VALUE"""),"Intermediate")</f>
        <v>Intermediate</v>
      </c>
      <c r="I21" s="217" t="str">
        <f ca="1">IFERROR(__xludf.DUMMYFUNCTION("""COMPUTED_VALUE"""),"Développer son ingéniosité")</f>
        <v>Développer son ingéniosité</v>
      </c>
      <c r="J21" s="217"/>
      <c r="K21" s="213"/>
      <c r="L21" s="215">
        <f ca="1">IFERROR(__xludf.DUMMYFUNCTION("""COMPUTED_VALUE"""),714740)</f>
        <v>714740</v>
      </c>
      <c r="M21" s="215" t="str">
        <f ca="1">IFERROR(__xludf.DUMMYFUNCTION("""COMPUTED_VALUE"""),"Beginner")</f>
        <v>Beginner</v>
      </c>
      <c r="N21" s="217" t="str">
        <f ca="1">IFERROR(__xludf.DUMMYFUNCTION("""COMPUTED_VALUE"""),"Cómo y por qué desarrollar una mentalidad de aprendizaje continuo")</f>
        <v>Cómo y por qué desarrollar una mentalidad de aprendizaje continuo</v>
      </c>
      <c r="O21" s="217"/>
      <c r="P21" s="213"/>
      <c r="Q21" s="215">
        <f ca="1">IFERROR(__xludf.DUMMYFUNCTION("""COMPUTED_VALUE"""),735756)</f>
        <v>735756</v>
      </c>
      <c r="R21" s="215" t="str">
        <f ca="1">IFERROR(__xludf.DUMMYFUNCTION("""COMPUTED_VALUE"""),"Beginner")</f>
        <v>Beginner</v>
      </c>
      <c r="S21" s="217" t="str">
        <f ca="1">IFERROR(__xludf.DUMMYFUNCTION("""COMPUTED_VALUE"""),"Grundlagen der Prozessverbesserung")</f>
        <v>Grundlagen der Prozessverbesserung</v>
      </c>
      <c r="T21" s="217"/>
      <c r="U21" s="213"/>
      <c r="V21" s="215"/>
      <c r="W21" s="215"/>
      <c r="X21" s="217"/>
      <c r="Y21" s="217"/>
      <c r="Z21" s="213"/>
      <c r="AA21" s="215">
        <f ca="1">IFERROR(__xludf.DUMMYFUNCTION("""COMPUTED_VALUE"""),753078)</f>
        <v>753078</v>
      </c>
      <c r="AB21" s="215" t="str">
        <f ca="1">IFERROR(__xludf.DUMMYFUNCTION("""COMPUTED_VALUE"""),"All levels")</f>
        <v>All levels</v>
      </c>
      <c r="AC21" s="217" t="str">
        <f ca="1">IFERROR(__xludf.DUMMYFUNCTION("""COMPUTED_VALUE"""),"Fundamentos de Inovação Empresarial")</f>
        <v>Fundamentos de Inovação Empresarial</v>
      </c>
      <c r="AD21" s="217"/>
      <c r="AE21" s="213"/>
      <c r="AF21" s="215">
        <f ca="1">IFERROR(__xludf.DUMMYFUNCTION("""COMPUTED_VALUE"""),767912)</f>
        <v>767912</v>
      </c>
      <c r="AG21" s="215" t="str">
        <f ca="1">IFERROR(__xludf.DUMMYFUNCTION("""COMPUTED_VALUE"""),"All levels")</f>
        <v>All levels</v>
      </c>
      <c r="AH21" s="217" t="str">
        <f ca="1">IFERROR(__xludf.DUMMYFUNCTION("""COMPUTED_VALUE"""),"批判性思维")</f>
        <v>批判性思维</v>
      </c>
      <c r="AI21" s="217"/>
      <c r="AJ21" s="213"/>
    </row>
    <row r="22" spans="1:36" ht="33.75" customHeight="1">
      <c r="A22" s="213"/>
      <c r="B22" s="214">
        <f ca="1">IFERROR(__xludf.DUMMYFUNCTION("""COMPUTED_VALUE"""),515156)</f>
        <v>515156</v>
      </c>
      <c r="C22" s="215" t="str">
        <f ca="1">IFERROR(__xludf.DUMMYFUNCTION("""COMPUTED_VALUE"""),"Beginner + Intermediate")</f>
        <v>Beginner + Intermediate</v>
      </c>
      <c r="D22" s="216" t="str">
        <f ca="1">IFERROR(__xludf.DUMMYFUNCTION("""COMPUTED_VALUE"""),"Handling Workplace Change as an Employee")</f>
        <v>Handling Workplace Change as an Employee</v>
      </c>
      <c r="E22" s="217"/>
      <c r="F22" s="213"/>
      <c r="G22" s="214">
        <f ca="1">IFERROR(__xludf.DUMMYFUNCTION("""COMPUTED_VALUE"""),622394)</f>
        <v>622394</v>
      </c>
      <c r="H22" s="215" t="str">
        <f ca="1">IFERROR(__xludf.DUMMYFUNCTION("""COMPUTED_VALUE"""),"All levels")</f>
        <v>All levels</v>
      </c>
      <c r="I22" s="217" t="str">
        <f ca="1">IFERROR(__xludf.DUMMYFUNCTION("""COMPUTED_VALUE"""),"Développer son intelligence interculturelle")</f>
        <v>Développer son intelligence interculturelle</v>
      </c>
      <c r="J22" s="217"/>
      <c r="K22" s="213"/>
      <c r="L22" s="215">
        <f ca="1">IFERROR(__xludf.DUMMYFUNCTION("""COMPUTED_VALUE"""),714719)</f>
        <v>714719</v>
      </c>
      <c r="M22" s="215" t="str">
        <f ca="1">IFERROR(__xludf.DUMMYFUNCTION("""COMPUTED_VALUE"""),"Intermediate")</f>
        <v>Intermediate</v>
      </c>
      <c r="N22" s="217" t="str">
        <f ca="1">IFERROR(__xludf.DUMMYFUNCTION("""COMPUTED_VALUE"""),"Comunicación en momentos de cambio")</f>
        <v>Comunicación en momentos de cambio</v>
      </c>
      <c r="O22" s="217"/>
      <c r="P22" s="213"/>
      <c r="Q22" s="215">
        <f ca="1">IFERROR(__xludf.DUMMYFUNCTION("""COMPUTED_VALUE"""),565182)</f>
        <v>565182</v>
      </c>
      <c r="R22" s="215" t="str">
        <f ca="1">IFERROR(__xludf.DUMMYFUNCTION("""COMPUTED_VALUE"""),"All levels")</f>
        <v>All levels</v>
      </c>
      <c r="S22" s="217" t="str">
        <f ca="1">IFERROR(__xludf.DUMMYFUNCTION("""COMPUTED_VALUE"""),"Ihr Urteilsvermögen verbessern")</f>
        <v>Ihr Urteilsvermögen verbessern</v>
      </c>
      <c r="T22" s="217"/>
      <c r="U22" s="213"/>
      <c r="V22" s="215"/>
      <c r="W22" s="215"/>
      <c r="X22" s="217"/>
      <c r="Y22" s="217"/>
      <c r="Z22" s="213"/>
      <c r="AA22" s="215">
        <f ca="1">IFERROR(__xludf.DUMMYFUNCTION("""COMPUTED_VALUE"""),2908954)</f>
        <v>2908954</v>
      </c>
      <c r="AB22" s="215" t="str">
        <f ca="1">IFERROR(__xludf.DUMMYFUNCTION("""COMPUTED_VALUE"""),"Intermediate")</f>
        <v>Intermediate</v>
      </c>
      <c r="AC22" s="217" t="str">
        <f ca="1">IFERROR(__xludf.DUMMYFUNCTION("""COMPUTED_VALUE"""),"Gestão Ágil no Trabalho: Como Criar Equipes Ágeis")</f>
        <v>Gestão Ágil no Trabalho: Como Criar Equipes Ágeis</v>
      </c>
      <c r="AD22" s="217"/>
      <c r="AE22" s="213"/>
      <c r="AF22" s="215">
        <f ca="1">IFERROR(__xludf.DUMMYFUNCTION("""COMPUTED_VALUE"""),2880003)</f>
        <v>2880003</v>
      </c>
      <c r="AG22" s="215" t="str">
        <f ca="1">IFERROR(__xludf.DUMMYFUNCTION("""COMPUTED_VALUE"""),"All levels")</f>
        <v>All levels</v>
      </c>
      <c r="AH22" s="217" t="str">
        <f ca="1">IFERROR(__xludf.DUMMYFUNCTION("""COMPUTED_VALUE"""),"拥抱意外变化")</f>
        <v>拥抱意外变化</v>
      </c>
      <c r="AI22" s="217"/>
      <c r="AJ22" s="213"/>
    </row>
    <row r="23" spans="1:36" ht="33.75" customHeight="1">
      <c r="A23" s="213"/>
      <c r="B23" s="214">
        <f ca="1">IFERROR(__xludf.DUMMYFUNCTION("""COMPUTED_VALUE"""),2880016)</f>
        <v>2880016</v>
      </c>
      <c r="C23" s="215" t="str">
        <f ca="1">IFERROR(__xludf.DUMMYFUNCTION("""COMPUTED_VALUE"""),"General")</f>
        <v>General</v>
      </c>
      <c r="D23" s="216" t="str">
        <f ca="1">IFERROR(__xludf.DUMMYFUNCTION("""COMPUTED_VALUE"""),"Staying Positive in the Face of Negativity")</f>
        <v>Staying Positive in the Face of Negativity</v>
      </c>
      <c r="E23" s="217"/>
      <c r="F23" s="213"/>
      <c r="G23" s="214">
        <f ca="1">IFERROR(__xludf.DUMMYFUNCTION("""COMPUTED_VALUE"""),778444)</f>
        <v>778444</v>
      </c>
      <c r="H23" s="215" t="str">
        <f ca="1">IFERROR(__xludf.DUMMYFUNCTION("""COMPUTED_VALUE"""),"All levels")</f>
        <v>All levels</v>
      </c>
      <c r="I23" s="217" t="str">
        <f ca="1">IFERROR(__xludf.DUMMYFUNCTION("""COMPUTED_VALUE"""),"Développer un état d'esprit d'apprenant")</f>
        <v>Développer un état d'esprit d'apprenant</v>
      </c>
      <c r="J23" s="217"/>
      <c r="K23" s="213"/>
      <c r="L23" s="215">
        <f ca="1">IFERROR(__xludf.DUMMYFUNCTION("""COMPUTED_VALUE"""),508725)</f>
        <v>508725</v>
      </c>
      <c r="M23" s="215" t="str">
        <f ca="1">IFERROR(__xludf.DUMMYFUNCTION("""COMPUTED_VALUE"""),"Beginner, Intermediate")</f>
        <v>Beginner, Intermediate</v>
      </c>
      <c r="N23" s="217" t="str">
        <f ca="1">IFERROR(__xludf.DUMMYFUNCTION("""COMPUTED_VALUE"""),"Del victimismo a la acción: Asume el control")</f>
        <v>Del victimismo a la acción: Asume el control</v>
      </c>
      <c r="O23" s="217"/>
      <c r="P23" s="213"/>
      <c r="Q23" s="215">
        <f ca="1">IFERROR(__xludf.DUMMYFUNCTION("""COMPUTED_VALUE"""),713867)</f>
        <v>713867</v>
      </c>
      <c r="R23" s="215" t="str">
        <f ca="1">IFERROR(__xludf.DUMMYFUNCTION("""COMPUTED_VALUE"""),"All levels")</f>
        <v>All levels</v>
      </c>
      <c r="S23" s="217" t="str">
        <f ca="1">IFERROR(__xludf.DUMMYFUNCTION("""COMPUTED_VALUE"""),"Innovation in Unternehmen")</f>
        <v>Innovation in Unternehmen</v>
      </c>
      <c r="T23" s="217"/>
      <c r="U23" s="213"/>
      <c r="V23" s="215"/>
      <c r="W23" s="215"/>
      <c r="X23" s="217"/>
      <c r="Y23" s="217"/>
      <c r="Z23" s="213"/>
      <c r="AA23" s="215">
        <f ca="1">IFERROR(__xludf.DUMMYFUNCTION("""COMPUTED_VALUE"""),2911570)</f>
        <v>2911570</v>
      </c>
      <c r="AB23" s="215" t="str">
        <f ca="1">IFERROR(__xludf.DUMMYFUNCTION("""COMPUTED_VALUE"""),"Intermediate")</f>
        <v>Intermediate</v>
      </c>
      <c r="AC23" s="217" t="str">
        <f ca="1">IFERROR(__xludf.DUMMYFUNCTION("""COMPUTED_VALUE"""),"Gestão Ágil no Trabalho: Como Planejar com Histórias de Usuários Ágeis")</f>
        <v>Gestão Ágil no Trabalho: Como Planejar com Histórias de Usuários Ágeis</v>
      </c>
      <c r="AD23" s="217"/>
      <c r="AE23" s="213"/>
      <c r="AF23" s="215">
        <f ca="1">IFERROR(__xludf.DUMMYFUNCTION("""COMPUTED_VALUE"""),2887000)</f>
        <v>2887000</v>
      </c>
      <c r="AG23" s="215" t="str">
        <f ca="1">IFERROR(__xludf.DUMMYFUNCTION("""COMPUTED_VALUE"""),"Intermediate")</f>
        <v>Intermediate</v>
      </c>
      <c r="AH23" s="217" t="str">
        <f ca="1">IFERROR(__xludf.DUMMYFUNCTION("""COMPUTED_VALUE"""),"提高复原力：经理篇")</f>
        <v>提高复原力：经理篇</v>
      </c>
      <c r="AI23" s="217"/>
      <c r="AJ23" s="213"/>
    </row>
    <row r="24" spans="1:36" ht="33.75" customHeight="1">
      <c r="A24" s="213"/>
      <c r="B24" s="214">
        <f ca="1">IFERROR(__xludf.DUMMYFUNCTION("""COMPUTED_VALUE"""),2881151)</f>
        <v>2881151</v>
      </c>
      <c r="C24" s="215" t="str">
        <f ca="1">IFERROR(__xludf.DUMMYFUNCTION("""COMPUTED_VALUE"""),"General")</f>
        <v>General</v>
      </c>
      <c r="D24" s="216" t="str">
        <f ca="1">IFERROR(__xludf.DUMMYFUNCTION("""COMPUTED_VALUE"""),"Improve Cognitive Flexibility at Work")</f>
        <v>Improve Cognitive Flexibility at Work</v>
      </c>
      <c r="E24" s="217"/>
      <c r="F24" s="213"/>
      <c r="G24" s="214">
        <f ca="1">IFERROR(__xludf.DUMMYFUNCTION("""COMPUTED_VALUE"""),5025546)</f>
        <v>5025546</v>
      </c>
      <c r="H24" s="215" t="str">
        <f ca="1">IFERROR(__xludf.DUMMYFUNCTION("""COMPUTED_VALUE"""),"Intermediate")</f>
        <v>Intermediate</v>
      </c>
      <c r="I24" s="217" t="str">
        <f ca="1">IFERROR(__xludf.DUMMYFUNCTION("""COMPUTED_VALUE"""),"Être à la pointe de l'innovation")</f>
        <v>Être à la pointe de l'innovation</v>
      </c>
      <c r="J24" s="217"/>
      <c r="K24" s="213"/>
      <c r="L24" s="215">
        <f ca="1">IFERROR(__xludf.DUMMYFUNCTION("""COMPUTED_VALUE"""),748686)</f>
        <v>748686</v>
      </c>
      <c r="M24" s="215" t="str">
        <f ca="1">IFERROR(__xludf.DUMMYFUNCTION("""COMPUTED_VALUE"""),"Advanced")</f>
        <v>Advanced</v>
      </c>
      <c r="N24" s="217" t="str">
        <f ca="1">IFERROR(__xludf.DUMMYFUNCTION("""COMPUTED_VALUE"""),"Desarrolla la adaptabilidad de tu equipo")</f>
        <v>Desarrolla la adaptabilidad de tu equipo</v>
      </c>
      <c r="O24" s="217"/>
      <c r="P24" s="213"/>
      <c r="Q24" s="215">
        <f ca="1">IFERROR(__xludf.DUMMYFUNCTION("""COMPUTED_VALUE"""),397362)</f>
        <v>397362</v>
      </c>
      <c r="R24" s="215" t="str">
        <f ca="1">IFERROR(__xludf.DUMMYFUNCTION("""COMPUTED_VALUE"""),"All levels")</f>
        <v>All levels</v>
      </c>
      <c r="S24" s="217" t="str">
        <f ca="1">IFERROR(__xludf.DUMMYFUNCTION("""COMPUTED_VALUE"""),"Interkulturelle Kompetenz")</f>
        <v>Interkulturelle Kompetenz</v>
      </c>
      <c r="T24" s="217"/>
      <c r="U24" s="213"/>
      <c r="V24" s="215"/>
      <c r="W24" s="215"/>
      <c r="X24" s="217"/>
      <c r="Y24" s="217"/>
      <c r="Z24" s="213"/>
      <c r="AA24" s="215">
        <f ca="1">IFERROR(__xludf.DUMMYFUNCTION("""COMPUTED_VALUE"""),2910529)</f>
        <v>2910529</v>
      </c>
      <c r="AB24" s="215" t="str">
        <f ca="1">IFERROR(__xludf.DUMMYFUNCTION("""COMPUTED_VALUE"""),"Intermediate")</f>
        <v>Intermediate</v>
      </c>
      <c r="AC24" s="217" t="str">
        <f ca="1">IFERROR(__xludf.DUMMYFUNCTION("""COMPUTED_VALUE"""),"Gestão Ágil no Trabalho: Retrospectivas Ágeis para a Melhoria de Processos")</f>
        <v>Gestão Ágil no Trabalho: Retrospectivas Ágeis para a Melhoria de Processos</v>
      </c>
      <c r="AD24" s="217"/>
      <c r="AE24" s="213"/>
      <c r="AF24" s="215">
        <f ca="1">IFERROR(__xludf.DUMMYFUNCTION("""COMPUTED_VALUE"""),2824160)</f>
        <v>2824160</v>
      </c>
      <c r="AG24" s="215" t="str">
        <f ca="1">IFERROR(__xludf.DUMMYFUNCTION("""COMPUTED_VALUE"""),"Intermediate")</f>
        <v>Intermediate</v>
      </c>
      <c r="AH24" s="217" t="str">
        <f ca="1">IFERROR(__xludf.DUMMYFUNCTION("""COMPUTED_VALUE"""),"敏捷式工作：提升敏捷回顾技能")</f>
        <v>敏捷式工作：提升敏捷回顾技能</v>
      </c>
      <c r="AI24" s="217"/>
      <c r="AJ24" s="213"/>
    </row>
    <row r="25" spans="1:36" ht="33.75" customHeight="1">
      <c r="A25" s="213"/>
      <c r="B25" s="214">
        <f ca="1">IFERROR(__xludf.DUMMYFUNCTION("""COMPUTED_VALUE"""),2823579)</f>
        <v>2823579</v>
      </c>
      <c r="C25" s="215" t="str">
        <f ca="1">IFERROR(__xludf.DUMMYFUNCTION("""COMPUTED_VALUE"""),"Advanced")</f>
        <v>Advanced</v>
      </c>
      <c r="D25" s="216" t="str">
        <f ca="1">IFERROR(__xludf.DUMMYFUNCTION("""COMPUTED_VALUE"""),"Adaptive Leadership for VUCA Challenges")</f>
        <v>Adaptive Leadership for VUCA Challenges</v>
      </c>
      <c r="E25" s="217"/>
      <c r="F25" s="213"/>
      <c r="G25" s="214">
        <f ca="1">IFERROR(__xludf.DUMMYFUNCTION("""COMPUTED_VALUE"""),575062)</f>
        <v>575062</v>
      </c>
      <c r="H25" s="215" t="str">
        <f ca="1">IFERROR(__xludf.DUMMYFUNCTION("""COMPUTED_VALUE"""),"Intermediate")</f>
        <v>Intermediate</v>
      </c>
      <c r="I25" s="217" t="str">
        <f ca="1">IFERROR(__xludf.DUMMYFUNCTION("""COMPUTED_VALUE"""),"Gérer le changement")</f>
        <v>Gérer le changement</v>
      </c>
      <c r="J25" s="217"/>
      <c r="K25" s="213"/>
      <c r="L25" s="215">
        <f ca="1">IFERROR(__xludf.DUMMYFUNCTION("""COMPUTED_VALUE"""),2838143)</f>
        <v>2838143</v>
      </c>
      <c r="M25" s="215" t="str">
        <f ca="1">IFERROR(__xludf.DUMMYFUNCTION("""COMPUTED_VALUE"""),"Intermediate")</f>
        <v>Intermediate</v>
      </c>
      <c r="N25" s="217" t="str">
        <f ca="1">IFERROR(__xludf.DUMMYFUNCTION("""COMPUTED_VALUE"""),"Design Thinking: Facilitación de procesos de trabajo")</f>
        <v>Design Thinking: Facilitación de procesos de trabajo</v>
      </c>
      <c r="O25" s="217"/>
      <c r="P25" s="213"/>
      <c r="Q25" s="215">
        <f ca="1">IFERROR(__xludf.DUMMYFUNCTION("""COMPUTED_VALUE"""),2215003)</f>
        <v>2215003</v>
      </c>
      <c r="R25" s="215" t="str">
        <f ca="1">IFERROR(__xludf.DUMMYFUNCTION("""COMPUTED_VALUE"""),"Intermediate")</f>
        <v>Intermediate</v>
      </c>
      <c r="S25" s="217" t="str">
        <f ca="1">IFERROR(__xludf.DUMMYFUNCTION("""COMPUTED_VALUE"""),"Kommunikation in Zeiten der Veränderung")</f>
        <v>Kommunikation in Zeiten der Veränderung</v>
      </c>
      <c r="T25" s="217"/>
      <c r="U25" s="213"/>
      <c r="V25" s="215"/>
      <c r="W25" s="215"/>
      <c r="X25" s="217"/>
      <c r="Y25" s="217"/>
      <c r="Z25" s="213"/>
      <c r="AA25" s="215">
        <f ca="1">IFERROR(__xludf.DUMMYFUNCTION("""COMPUTED_VALUE"""),2391483)</f>
        <v>2391483</v>
      </c>
      <c r="AB25" s="215" t="str">
        <f ca="1">IFERROR(__xludf.DUMMYFUNCTION("""COMPUTED_VALUE"""),"All levels")</f>
        <v>All levels</v>
      </c>
      <c r="AC25" s="217" t="str">
        <f ca="1">IFERROR(__xludf.DUMMYFUNCTION("""COMPUTED_VALUE"""),"Gestão da Comunicação em Tempos de Crise")</f>
        <v>Gestão da Comunicação em Tempos de Crise</v>
      </c>
      <c r="AD25" s="217"/>
      <c r="AE25" s="213"/>
      <c r="AF25" s="215">
        <f ca="1">IFERROR(__xludf.DUMMYFUNCTION("""COMPUTED_VALUE"""),2221986)</f>
        <v>2221986</v>
      </c>
      <c r="AG25" s="215" t="str">
        <f ca="1">IFERROR(__xludf.DUMMYFUNCTION("""COMPUTED_VALUE"""),"Advanced")</f>
        <v>Advanced</v>
      </c>
      <c r="AH25" s="217" t="str">
        <f ca="1">IFERROR(__xludf.DUMMYFUNCTION("""COMPUTED_VALUE"""),"数字化转型")</f>
        <v>数字化转型</v>
      </c>
      <c r="AI25" s="217"/>
      <c r="AJ25" s="213"/>
    </row>
    <row r="26" spans="1:36" ht="33.75" customHeight="1">
      <c r="A26" s="213"/>
      <c r="B26" s="214">
        <f ca="1">IFERROR(__xludf.DUMMYFUNCTION("""COMPUTED_VALUE"""),2874005)</f>
        <v>2874005</v>
      </c>
      <c r="C26" s="215" t="str">
        <f ca="1">IFERROR(__xludf.DUMMYFUNCTION("""COMPUTED_VALUE"""),"Beginner")</f>
        <v>Beginner</v>
      </c>
      <c r="D26" s="216" t="str">
        <f ca="1">IFERROR(__xludf.DUMMYFUNCTION("""COMPUTED_VALUE"""),"Insights on Working from Home’s Largest-Ever Experiment")</f>
        <v>Insights on Working from Home’s Largest-Ever Experiment</v>
      </c>
      <c r="E26" s="217"/>
      <c r="F26" s="213"/>
      <c r="G26" s="214">
        <f ca="1">IFERROR(__xludf.DUMMYFUNCTION("""COMPUTED_VALUE"""),2822438)</f>
        <v>2822438</v>
      </c>
      <c r="H26" s="215" t="str">
        <f ca="1">IFERROR(__xludf.DUMMYFUNCTION("""COMPUTED_VALUE"""),"Beginner, Intermediate")</f>
        <v>Beginner, Intermediate</v>
      </c>
      <c r="I26" s="217" t="str">
        <f ca="1">IFERROR(__xludf.DUMMYFUNCTION("""COMPUTED_VALUE"""),"Gérer le stress pour un changement positif")</f>
        <v>Gérer le stress pour un changement positif</v>
      </c>
      <c r="J26" s="217"/>
      <c r="K26" s="213"/>
      <c r="L26" s="215">
        <f ca="1">IFERROR(__xludf.DUMMYFUNCTION("""COMPUTED_VALUE"""),2838142)</f>
        <v>2838142</v>
      </c>
      <c r="M26" s="215" t="str">
        <f ca="1">IFERROR(__xludf.DUMMYFUNCTION("""COMPUTED_VALUE"""),"All levels")</f>
        <v>All levels</v>
      </c>
      <c r="N26" s="217" t="str">
        <f ca="1">IFERROR(__xludf.DUMMYFUNCTION("""COMPUTED_VALUE"""),"Design Thinking: Herramientas y técnicas (presenciales y en teletrabajo)")</f>
        <v>Design Thinking: Herramientas y técnicas (presenciales y en teletrabajo)</v>
      </c>
      <c r="O26" s="217"/>
      <c r="P26" s="213"/>
      <c r="Q26" s="215">
        <f ca="1">IFERROR(__xludf.DUMMYFUNCTION("""COMPUTED_VALUE"""),649166)</f>
        <v>649166</v>
      </c>
      <c r="R26" s="215" t="str">
        <f ca="1">IFERROR(__xludf.DUMMYFUNCTION("""COMPUTED_VALUE"""),"All levels")</f>
        <v>All levels</v>
      </c>
      <c r="S26" s="217" t="str">
        <f ca="1">IFERROR(__xludf.DUMMYFUNCTION("""COMPUTED_VALUE"""),"Kritisches Denken")</f>
        <v>Kritisches Denken</v>
      </c>
      <c r="T26" s="217"/>
      <c r="U26" s="213"/>
      <c r="V26" s="215"/>
      <c r="W26" s="215"/>
      <c r="X26" s="217"/>
      <c r="Y26" s="217"/>
      <c r="Z26" s="213"/>
      <c r="AA26" s="215">
        <f ca="1">IFERROR(__xludf.DUMMYFUNCTION("""COMPUTED_VALUE"""),2928599)</f>
        <v>2928599</v>
      </c>
      <c r="AB26" s="215" t="str">
        <f ca="1">IFERROR(__xludf.DUMMYFUNCTION("""COMPUTED_VALUE"""),"All levels")</f>
        <v>All levels</v>
      </c>
      <c r="AC26" s="217" t="str">
        <f ca="1">IFERROR(__xludf.DUMMYFUNCTION("""COMPUTED_VALUE"""),"Hábitos de Sucesso")</f>
        <v>Hábitos de Sucesso</v>
      </c>
      <c r="AD26" s="217"/>
      <c r="AE26" s="213"/>
      <c r="AF26" s="215">
        <f ca="1">IFERROR(__xludf.DUMMYFUNCTION("""COMPUTED_VALUE"""),3105031)</f>
        <v>3105031</v>
      </c>
      <c r="AG26" s="215" t="str">
        <f ca="1">IFERROR(__xludf.DUMMYFUNCTION("""COMPUTED_VALUE"""),"All levels")</f>
        <v>All levels</v>
      </c>
      <c r="AH26" s="217" t="str">
        <f ca="1">IFERROR(__xludf.DUMMYFUNCTION("""COMPUTED_VALUE"""),"激发团队创造力")</f>
        <v>激发团队创造力</v>
      </c>
      <c r="AI26" s="217"/>
      <c r="AJ26" s="213"/>
    </row>
    <row r="27" spans="1:36" ht="33.75" customHeight="1">
      <c r="A27" s="213"/>
      <c r="B27" s="214">
        <f ca="1">IFERROR(__xludf.DUMMYFUNCTION("""COMPUTED_VALUE"""),2876024)</f>
        <v>2876024</v>
      </c>
      <c r="C27" s="215" t="str">
        <f ca="1">IFERROR(__xludf.DUMMYFUNCTION("""COMPUTED_VALUE"""),"Beginner")</f>
        <v>Beginner</v>
      </c>
      <c r="D27" s="216" t="str">
        <f ca="1">IFERROR(__xludf.DUMMYFUNCTION("""COMPUTED_VALUE"""),"How to Slash Anxiety and Keep Positivity Flowing")</f>
        <v>How to Slash Anxiety and Keep Positivity Flowing</v>
      </c>
      <c r="E27" s="217"/>
      <c r="F27" s="213"/>
      <c r="G27" s="214">
        <f ca="1">IFERROR(__xludf.DUMMYFUNCTION("""COMPUTED_VALUE"""),796912)</f>
        <v>796912</v>
      </c>
      <c r="H27" s="215" t="str">
        <f ca="1">IFERROR(__xludf.DUMMYFUNCTION("""COMPUTED_VALUE"""),"Intermediate")</f>
        <v>Intermediate</v>
      </c>
      <c r="I27" s="217" t="str">
        <f ca="1">IFERROR(__xludf.DUMMYFUNCTION("""COMPUTED_VALUE"""),"Gérer ses relations avec son chef / sa cheffe, ses collègues et ses employés / employées")</f>
        <v>Gérer ses relations avec son chef / sa cheffe, ses collègues et ses employés / employées</v>
      </c>
      <c r="J27" s="217"/>
      <c r="K27" s="213"/>
      <c r="L27" s="215">
        <f ca="1">IFERROR(__xludf.DUMMYFUNCTION("""COMPUTED_VALUE"""),2983328)</f>
        <v>2983328</v>
      </c>
      <c r="M27" s="215" t="str">
        <f ca="1">IFERROR(__xludf.DUMMYFUNCTION("""COMPUTED_VALUE"""),"All levels")</f>
        <v>All levels</v>
      </c>
      <c r="N27" s="217" t="str">
        <f ca="1">IFERROR(__xludf.DUMMYFUNCTION("""COMPUTED_VALUE"""),"Dominar la automotivación en tiempos de crisis")</f>
        <v>Dominar la automotivación en tiempos de crisis</v>
      </c>
      <c r="O27" s="217"/>
      <c r="P27" s="213"/>
      <c r="Q27" s="215">
        <f ca="1">IFERROR(__xludf.DUMMYFUNCTION("""COMPUTED_VALUE"""),2925029)</f>
        <v>2925029</v>
      </c>
      <c r="R27" s="215" t="str">
        <f ca="1">IFERROR(__xludf.DUMMYFUNCTION("""COMPUTED_VALUE"""),"Beginner")</f>
        <v>Beginner</v>
      </c>
      <c r="S27" s="217" t="str">
        <f ca="1">IFERROR(__xludf.DUMMYFUNCTION("""COMPUTED_VALUE"""),"Künstliche Intelligenz und Psychologie – Ängste und Hürden überwinden")</f>
        <v>Künstliche Intelligenz und Psychologie – Ängste und Hürden überwinden</v>
      </c>
      <c r="T27" s="217"/>
      <c r="U27" s="213"/>
      <c r="V27" s="215"/>
      <c r="W27" s="215"/>
      <c r="X27" s="217"/>
      <c r="Y27" s="217"/>
      <c r="Z27" s="213"/>
      <c r="AA27" s="215">
        <f ca="1">IFERROR(__xludf.DUMMYFUNCTION("""COMPUTED_VALUE"""),3103280)</f>
        <v>3103280</v>
      </c>
      <c r="AB27" s="215" t="str">
        <f ca="1">IFERROR(__xludf.DUMMYFUNCTION("""COMPUTED_VALUE"""),"All levels")</f>
        <v>All levels</v>
      </c>
      <c r="AC27" s="217" t="str">
        <f ca="1">IFERROR(__xludf.DUMMYFUNCTION("""COMPUTED_VALUE"""),"Janaína Manfredini responde sobre a superação de desafios em tempos incertos")</f>
        <v>Janaína Manfredini responde sobre a superação de desafios em tempos incertos</v>
      </c>
      <c r="AD27" s="217"/>
      <c r="AE27" s="213"/>
      <c r="AF27" s="215">
        <f ca="1">IFERROR(__xludf.DUMMYFUNCTION("""COMPUTED_VALUE"""),2825759)</f>
        <v>2825759</v>
      </c>
      <c r="AG27" s="215" t="str">
        <f ca="1">IFERROR(__xludf.DUMMYFUNCTION("""COMPUTED_VALUE"""),"Intermediate")</f>
        <v>Intermediate</v>
      </c>
      <c r="AH27" s="217" t="str">
        <f ca="1">IFERROR(__xludf.DUMMYFUNCTION("""COMPUTED_VALUE"""),"管理职场抑郁")</f>
        <v>管理职场抑郁</v>
      </c>
      <c r="AI27" s="217"/>
      <c r="AJ27" s="213"/>
    </row>
    <row r="28" spans="1:36" ht="33.75" customHeight="1">
      <c r="A28" s="213"/>
      <c r="B28" s="214">
        <f ca="1">IFERROR(__xludf.DUMMYFUNCTION("""COMPUTED_VALUE"""),2282149)</f>
        <v>2282149</v>
      </c>
      <c r="C28" s="215" t="str">
        <f ca="1">IFERROR(__xludf.DUMMYFUNCTION("""COMPUTED_VALUE"""),"Beginner")</f>
        <v>Beginner</v>
      </c>
      <c r="D28" s="216" t="str">
        <f ca="1">IFERROR(__xludf.DUMMYFUNCTION("""COMPUTED_VALUE"""),"Negotiating Work Flexibility")</f>
        <v>Negotiating Work Flexibility</v>
      </c>
      <c r="E28" s="217"/>
      <c r="F28" s="213"/>
      <c r="G28" s="214">
        <f ca="1">IFERROR(__xludf.DUMMYFUNCTION("""COMPUTED_VALUE"""),679792)</f>
        <v>679792</v>
      </c>
      <c r="H28" s="215" t="str">
        <f ca="1">IFERROR(__xludf.DUMMYFUNCTION("""COMPUTED_VALUE"""),"Beginner, Intermediate")</f>
        <v>Beginner, Intermediate</v>
      </c>
      <c r="I28" s="217" t="str">
        <f ca="1">IFERROR(__xludf.DUMMYFUNCTION("""COMPUTED_VALUE"""),"La transformation digitale pour les décideurs / décideuses")</f>
        <v>La transformation digitale pour les décideurs / décideuses</v>
      </c>
      <c r="J28" s="217"/>
      <c r="K28" s="213"/>
      <c r="L28" s="215">
        <f ca="1">IFERROR(__xludf.DUMMYFUNCTION("""COMPUTED_VALUE"""),2841040)</f>
        <v>2841040</v>
      </c>
      <c r="M28" s="215" t="str">
        <f ca="1">IFERROR(__xludf.DUMMYFUNCTION("""COMPUTED_VALUE"""),"Beginner, Intermediate")</f>
        <v>Beginner, Intermediate</v>
      </c>
      <c r="N28" s="217" t="str">
        <f ca="1">IFERROR(__xludf.DUMMYFUNCTION("""COMPUTED_VALUE"""),"Estrategias para salir de una crisis empresarial")</f>
        <v>Estrategias para salir de una crisis empresarial</v>
      </c>
      <c r="O28" s="217"/>
      <c r="P28" s="213"/>
      <c r="Q28" s="215">
        <f ca="1">IFERROR(__xludf.DUMMYFUNCTION("""COMPUTED_VALUE"""),714714)</f>
        <v>714714</v>
      </c>
      <c r="R28" s="215" t="str">
        <f ca="1">IFERROR(__xludf.DUMMYFUNCTION("""COMPUTED_VALUE"""),"All levels")</f>
        <v>All levels</v>
      </c>
      <c r="S28" s="217" t="str">
        <f ca="1">IFERROR(__xludf.DUMMYFUNCTION("""COMPUTED_VALUE"""),"Lerntipps")</f>
        <v>Lerntipps</v>
      </c>
      <c r="T28" s="217"/>
      <c r="U28" s="213"/>
      <c r="V28" s="215"/>
      <c r="W28" s="215"/>
      <c r="X28" s="217"/>
      <c r="Y28" s="217"/>
      <c r="Z28" s="213"/>
      <c r="AA28" s="215">
        <f ca="1">IFERROR(__xludf.DUMMYFUNCTION("""COMPUTED_VALUE"""),2388472)</f>
        <v>2388472</v>
      </c>
      <c r="AB28" s="215" t="str">
        <f ca="1">IFERROR(__xludf.DUMMYFUNCTION("""COMPUTED_VALUE"""),"Advanced")</f>
        <v>Advanced</v>
      </c>
      <c r="AC28" s="217" t="str">
        <f ca="1">IFERROR(__xludf.DUMMYFUNCTION("""COMPUTED_VALUE"""),"Liderança Criativa: Como Estimular o Pensamento Inovador em sua Equipe")</f>
        <v>Liderança Criativa: Como Estimular o Pensamento Inovador em sua Equipe</v>
      </c>
      <c r="AD28" s="217"/>
      <c r="AE28" s="213"/>
      <c r="AF28" s="215">
        <f ca="1">IFERROR(__xludf.DUMMYFUNCTION("""COMPUTED_VALUE"""),2822718)</f>
        <v>2822718</v>
      </c>
      <c r="AG28" s="215" t="str">
        <f ca="1">IFERROR(__xludf.DUMMYFUNCTION("""COMPUTED_VALUE"""),"Beginner")</f>
        <v>Beginner</v>
      </c>
      <c r="AH28" s="217" t="str">
        <f ca="1">IFERROR(__xludf.DUMMYFUNCTION("""COMPUTED_VALUE"""),"自我领导")</f>
        <v>自我领导</v>
      </c>
      <c r="AI28" s="217"/>
      <c r="AJ28" s="213"/>
    </row>
    <row r="29" spans="1:36" ht="33.75" customHeight="1">
      <c r="A29" s="213"/>
      <c r="B29" s="214">
        <f ca="1">IFERROR(__xludf.DUMMYFUNCTION("""COMPUTED_VALUE"""),599597)</f>
        <v>599597</v>
      </c>
      <c r="C29" s="215" t="str">
        <f ca="1">IFERROR(__xludf.DUMMYFUNCTION("""COMPUTED_VALUE"""),"Beginner")</f>
        <v>Beginner</v>
      </c>
      <c r="D29" s="216" t="str">
        <f ca="1">IFERROR(__xludf.DUMMYFUNCTION("""COMPUTED_VALUE"""),"Performing under Pressure")</f>
        <v>Performing under Pressure</v>
      </c>
      <c r="E29" s="217"/>
      <c r="F29" s="213"/>
      <c r="G29" s="214">
        <f ca="1">IFERROR(__xludf.DUMMYFUNCTION("""COMPUTED_VALUE"""),2823330)</f>
        <v>2823330</v>
      </c>
      <c r="H29" s="215" t="str">
        <f ca="1">IFERROR(__xludf.DUMMYFUNCTION("""COMPUTED_VALUE"""),"Intermediate")</f>
        <v>Intermediate</v>
      </c>
      <c r="I29" s="217" t="str">
        <f ca="1">IFERROR(__xludf.DUMMYFUNCTION("""COMPUTED_VALUE"""),"Le leadership transformationnel")</f>
        <v>Le leadership transformationnel</v>
      </c>
      <c r="J29" s="217"/>
      <c r="K29" s="213"/>
      <c r="L29" s="215">
        <f ca="1">IFERROR(__xludf.DUMMYFUNCTION("""COMPUTED_VALUE"""),703866)</f>
        <v>703866</v>
      </c>
      <c r="M29" s="215" t="str">
        <f ca="1">IFERROR(__xludf.DUMMYFUNCTION("""COMPUTED_VALUE"""),"Beginner")</f>
        <v>Beginner</v>
      </c>
      <c r="N29" s="217" t="str">
        <f ca="1">IFERROR(__xludf.DUMMYFUNCTION("""COMPUTED_VALUE"""),"Fundamentos de la gestión de proyectos: Cambios")</f>
        <v>Fundamentos de la gestión de proyectos: Cambios</v>
      </c>
      <c r="O29" s="217"/>
      <c r="P29" s="213"/>
      <c r="Q29" s="215">
        <f ca="1">IFERROR(__xludf.DUMMYFUNCTION("""COMPUTED_VALUE"""),3103623)</f>
        <v>3103623</v>
      </c>
      <c r="R29" s="215" t="str">
        <f ca="1">IFERROR(__xludf.DUMMYFUNCTION("""COMPUTED_VALUE"""),"All levels")</f>
        <v>All levels</v>
      </c>
      <c r="S29" s="217" t="str">
        <f ca="1">IFERROR(__xludf.DUMMYFUNCTION("""COMPUTED_VALUE"""),"Mentale Stärke für mehr Erfolg im Beruf")</f>
        <v>Mentale Stärke für mehr Erfolg im Beruf</v>
      </c>
      <c r="T29" s="217"/>
      <c r="U29" s="213"/>
      <c r="V29" s="215"/>
      <c r="W29" s="215"/>
      <c r="X29" s="217"/>
      <c r="Y29" s="217"/>
      <c r="Z29" s="213"/>
      <c r="AA29" s="215">
        <f ca="1">IFERROR(__xludf.DUMMYFUNCTION("""COMPUTED_VALUE"""),752461)</f>
        <v>752461</v>
      </c>
      <c r="AB29" s="215" t="str">
        <f ca="1">IFERROR(__xludf.DUMMYFUNCTION("""COMPUTED_VALUE"""),"Intermediate")</f>
        <v>Intermediate</v>
      </c>
      <c r="AC29" s="217" t="str">
        <f ca="1">IFERROR(__xludf.DUMMYFUNCTION("""COMPUTED_VALUE"""),"Liderando Mudanças")</f>
        <v>Liderando Mudanças</v>
      </c>
      <c r="AD29" s="217"/>
      <c r="AE29" s="213"/>
      <c r="AF29" s="215">
        <f ca="1">IFERROR(__xludf.DUMMYFUNCTION("""COMPUTED_VALUE"""),2700211)</f>
        <v>2700211</v>
      </c>
      <c r="AG29" s="215" t="str">
        <f ca="1">IFERROR(__xludf.DUMMYFUNCTION("""COMPUTED_VALUE"""),"Advanced")</f>
        <v>Advanced</v>
      </c>
      <c r="AH29" s="217" t="str">
        <f ca="1">IFERROR(__xludf.DUMMYFUNCTION("""COMPUTED_VALUE"""),"设计成长策略")</f>
        <v>设计成长策略</v>
      </c>
      <c r="AI29" s="217"/>
      <c r="AJ29" s="213"/>
    </row>
    <row r="30" spans="1:36" ht="33.75" customHeight="1">
      <c r="A30" s="213"/>
      <c r="B30" s="214">
        <f ca="1">IFERROR(__xludf.DUMMYFUNCTION("""COMPUTED_VALUE"""),661751)</f>
        <v>661751</v>
      </c>
      <c r="C30" s="215" t="str">
        <f ca="1">IFERROR(__xludf.DUMMYFUNCTION("""COMPUTED_VALUE"""),"Beginner")</f>
        <v>Beginner</v>
      </c>
      <c r="D30" s="216" t="str">
        <f ca="1">IFERROR(__xludf.DUMMYFUNCTION("""COMPUTED_VALUE"""),"Developing a Learning Mindset")</f>
        <v>Developing a Learning Mindset</v>
      </c>
      <c r="E30" s="217"/>
      <c r="F30" s="213"/>
      <c r="G30" s="214">
        <f ca="1">IFERROR(__xludf.DUMMYFUNCTION("""COMPUTED_VALUE"""),2841343)</f>
        <v>2841343</v>
      </c>
      <c r="H30" s="215" t="str">
        <f ca="1">IFERROR(__xludf.DUMMYFUNCTION("""COMPUTED_VALUE"""),"Intermediate")</f>
        <v>Intermediate</v>
      </c>
      <c r="I30" s="217" t="str">
        <f ca="1">IFERROR(__xludf.DUMMYFUNCTION("""COMPUTED_VALUE"""),"Le service client en période de crise")</f>
        <v>Le service client en période de crise</v>
      </c>
      <c r="J30" s="217"/>
      <c r="K30" s="213"/>
      <c r="L30" s="215">
        <f ca="1">IFERROR(__xludf.DUMMYFUNCTION("""COMPUTED_VALUE"""),608974)</f>
        <v>608974</v>
      </c>
      <c r="M30" s="215" t="str">
        <f ca="1">IFERROR(__xludf.DUMMYFUNCTION("""COMPUTED_VALUE"""),"Intermediate")</f>
        <v>Intermediate</v>
      </c>
      <c r="N30" s="217" t="str">
        <f ca="1">IFERROR(__xludf.DUMMYFUNCTION("""COMPUTED_VALUE"""),"Gestión del cambio")</f>
        <v>Gestión del cambio</v>
      </c>
      <c r="O30" s="217"/>
      <c r="P30" s="213"/>
      <c r="Q30" s="215">
        <f ca="1">IFERROR(__xludf.DUMMYFUNCTION("""COMPUTED_VALUE"""),521235)</f>
        <v>521235</v>
      </c>
      <c r="R30" s="215" t="str">
        <f ca="1">IFERROR(__xludf.DUMMYFUNCTION("""COMPUTED_VALUE"""),"All levels")</f>
        <v>All levels</v>
      </c>
      <c r="S30" s="217" t="str">
        <f ca="1">IFERROR(__xludf.DUMMYFUNCTION("""COMPUTED_VALUE"""),"Mit einem schwierigen Chef zurechtkommen")</f>
        <v>Mit einem schwierigen Chef zurechtkommen</v>
      </c>
      <c r="T30" s="217"/>
      <c r="U30" s="213"/>
      <c r="V30" s="215"/>
      <c r="W30" s="215"/>
      <c r="X30" s="217"/>
      <c r="Y30" s="217"/>
      <c r="Z30" s="213"/>
      <c r="AA30" s="215">
        <f ca="1">IFERROR(__xludf.DUMMYFUNCTION("""COMPUTED_VALUE"""),753070)</f>
        <v>753070</v>
      </c>
      <c r="AB30" s="215" t="str">
        <f ca="1">IFERROR(__xludf.DUMMYFUNCTION("""COMPUTED_VALUE"""),"All levels")</f>
        <v>All levels</v>
      </c>
      <c r="AC30" s="217" t="str">
        <f ca="1">IFERROR(__xludf.DUMMYFUNCTION("""COMPUTED_VALUE"""),"Pensamento Crítico")</f>
        <v>Pensamento Crítico</v>
      </c>
      <c r="AD30" s="217"/>
      <c r="AE30" s="213"/>
      <c r="AF30" s="215">
        <f ca="1">IFERROR(__xludf.DUMMYFUNCTION("""COMPUTED_VALUE"""),802087)</f>
        <v>802087</v>
      </c>
      <c r="AG30" s="215" t="str">
        <f ca="1">IFERROR(__xludf.DUMMYFUNCTION("""COMPUTED_VALUE"""),"All levels")</f>
        <v>All levels</v>
      </c>
      <c r="AH30" s="217" t="str">
        <f ca="1">IFERROR(__xludf.DUMMYFUNCTION("""COMPUTED_VALUE"""),"颠覆自我")</f>
        <v>颠覆自我</v>
      </c>
      <c r="AI30" s="217"/>
      <c r="AJ30" s="213"/>
    </row>
    <row r="31" spans="1:36" ht="33.75" customHeight="1">
      <c r="A31" s="213"/>
      <c r="B31" s="214">
        <f ca="1">IFERROR(__xludf.DUMMYFUNCTION("""COMPUTED_VALUE"""),2810626)</f>
        <v>2810626</v>
      </c>
      <c r="C31" s="215" t="str">
        <f ca="1">IFERROR(__xludf.DUMMYFUNCTION("""COMPUTED_VALUE"""),"Beginner")</f>
        <v>Beginner</v>
      </c>
      <c r="D31" s="216" t="str">
        <f ca="1">IFERROR(__xludf.DUMMYFUNCTION("""COMPUTED_VALUE"""),"Managing Stress")</f>
        <v>Managing Stress</v>
      </c>
      <c r="E31" s="217"/>
      <c r="F31" s="213"/>
      <c r="G31" s="214">
        <f ca="1">IFERROR(__xludf.DUMMYFUNCTION("""COMPUTED_VALUE"""),605125)</f>
        <v>605125</v>
      </c>
      <c r="H31" s="215" t="str">
        <f ca="1">IFERROR(__xludf.DUMMYFUNCTION("""COMPUTED_VALUE"""),"All levels")</f>
        <v>All levels</v>
      </c>
      <c r="I31" s="217" t="str">
        <f ca="1">IFERROR(__xludf.DUMMYFUNCTION("""COMPUTED_VALUE"""),"Les fondements de l'innovation commerciale")</f>
        <v>Les fondements de l'innovation commerciale</v>
      </c>
      <c r="J31" s="217"/>
      <c r="K31" s="213"/>
      <c r="L31" s="215">
        <f ca="1">IFERROR(__xludf.DUMMYFUNCTION("""COMPUTED_VALUE"""),3115669)</f>
        <v>3115669</v>
      </c>
      <c r="M31" s="215" t="str">
        <f ca="1">IFERROR(__xludf.DUMMYFUNCTION("""COMPUTED_VALUE"""),"Beginner, Intermediate")</f>
        <v>Beginner, Intermediate</v>
      </c>
      <c r="N31" s="217" t="str">
        <f ca="1">IFERROR(__xludf.DUMMYFUNCTION("""COMPUTED_VALUE"""),"Gestión del estrés en tiempos de incertidumbre: Vivir o sobrevivir")</f>
        <v>Gestión del estrés en tiempos de incertidumbre: Vivir o sobrevivir</v>
      </c>
      <c r="O31" s="217"/>
      <c r="P31" s="213"/>
      <c r="Q31" s="215">
        <f ca="1">IFERROR(__xludf.DUMMYFUNCTION("""COMPUTED_VALUE"""),423478)</f>
        <v>423478</v>
      </c>
      <c r="R31" s="215" t="str">
        <f ca="1">IFERROR(__xludf.DUMMYFUNCTION("""COMPUTED_VALUE"""),"Intermediate")</f>
        <v>Intermediate</v>
      </c>
      <c r="S31" s="217" t="str">
        <f ca="1">IFERROR(__xludf.DUMMYFUNCTION("""COMPUTED_VALUE"""),"Multikulturelle Teams führen")</f>
        <v>Multikulturelle Teams führen</v>
      </c>
      <c r="T31" s="217"/>
      <c r="U31" s="213"/>
      <c r="V31" s="215"/>
      <c r="W31" s="215"/>
      <c r="X31" s="217"/>
      <c r="Y31" s="217"/>
      <c r="Z31" s="213"/>
      <c r="AA31" s="215">
        <f ca="1">IFERROR(__xludf.DUMMYFUNCTION("""COMPUTED_VALUE"""),2902080)</f>
        <v>2902080</v>
      </c>
      <c r="AB31" s="215" t="str">
        <f ca="1">IFERROR(__xludf.DUMMYFUNCTION("""COMPUTED_VALUE"""),"All levels")</f>
        <v>All levels</v>
      </c>
      <c r="AC31" s="217" t="str">
        <f ca="1">IFERROR(__xludf.DUMMYFUNCTION("""COMPUTED_VALUE"""),"Técnicas para Desbloquear a Criatividade e Estimular a Inovação")</f>
        <v>Técnicas para Desbloquear a Criatividade e Estimular a Inovação</v>
      </c>
      <c r="AD31" s="217"/>
      <c r="AE31" s="213"/>
      <c r="AF31" s="215"/>
      <c r="AG31" s="215"/>
      <c r="AH31" s="217"/>
      <c r="AI31" s="217"/>
      <c r="AJ31" s="213"/>
    </row>
    <row r="32" spans="1:36" ht="16">
      <c r="A32" s="213"/>
      <c r="B32" s="214">
        <f ca="1">IFERROR(__xludf.DUMMYFUNCTION("""COMPUTED_VALUE"""),2811713)</f>
        <v>2811713</v>
      </c>
      <c r="C32" s="215" t="str">
        <f ca="1">IFERROR(__xludf.DUMMYFUNCTION("""COMPUTED_VALUE"""),"Beginner")</f>
        <v>Beginner</v>
      </c>
      <c r="D32" s="216" t="str">
        <f ca="1">IFERROR(__xludf.DUMMYFUNCTION("""COMPUTED_VALUE"""),"Avoiding Burnout")</f>
        <v>Avoiding Burnout</v>
      </c>
      <c r="E32" s="217"/>
      <c r="F32" s="213"/>
      <c r="G32" s="214">
        <f ca="1">IFERROR(__xludf.DUMMYFUNCTION("""COMPUTED_VALUE"""),2873194)</f>
        <v>2873194</v>
      </c>
      <c r="H32" s="215" t="str">
        <f ca="1">IFERROR(__xludf.DUMMYFUNCTION("""COMPUTED_VALUE"""),"Intermediate")</f>
        <v>Intermediate</v>
      </c>
      <c r="I32" s="217" t="str">
        <f ca="1">IFERROR(__xludf.DUMMYFUNCTION("""COMPUTED_VALUE"""),"Manager à distance")</f>
        <v>Manager à distance</v>
      </c>
      <c r="J32" s="217"/>
      <c r="K32" s="213"/>
      <c r="L32" s="215">
        <f ca="1">IFERROR(__xludf.DUMMYFUNCTION("""COMPUTED_VALUE"""),608979)</f>
        <v>608979</v>
      </c>
      <c r="M32" s="215" t="str">
        <f ca="1">IFERROR(__xludf.DUMMYFUNCTION("""COMPUTED_VALUE"""),"Beginner")</f>
        <v>Beginner</v>
      </c>
      <c r="N32" s="217" t="str">
        <f ca="1">IFERROR(__xludf.DUMMYFUNCTION("""COMPUTED_VALUE"""),"Innovación en la empresa")</f>
        <v>Innovación en la empresa</v>
      </c>
      <c r="O32" s="217"/>
      <c r="P32" s="213"/>
      <c r="Q32" s="215">
        <f ca="1">IFERROR(__xludf.DUMMYFUNCTION("""COMPUTED_VALUE"""),2928474)</f>
        <v>2928474</v>
      </c>
      <c r="R32" s="215" t="str">
        <f ca="1">IFERROR(__xludf.DUMMYFUNCTION("""COMPUTED_VALUE"""),"Beginner")</f>
        <v>Beginner</v>
      </c>
      <c r="S32" s="217" t="str">
        <f ca="1">IFERROR(__xludf.DUMMYFUNCTION("""COMPUTED_VALUE"""),"Optimistisch bleiben im Job")</f>
        <v>Optimistisch bleiben im Job</v>
      </c>
      <c r="T32" s="217"/>
      <c r="U32" s="213"/>
      <c r="V32" s="215"/>
      <c r="W32" s="215"/>
      <c r="X32" s="217"/>
      <c r="Y32" s="217"/>
      <c r="Z32" s="213"/>
      <c r="AA32" s="215">
        <f ca="1">IFERROR(__xludf.DUMMYFUNCTION("""COMPUTED_VALUE"""),753217)</f>
        <v>753217</v>
      </c>
      <c r="AB32" s="215" t="str">
        <f ca="1">IFERROR(__xludf.DUMMYFUNCTION("""COMPUTED_VALUE"""),"All levels")</f>
        <v>All levels</v>
      </c>
      <c r="AC32" s="217" t="str">
        <f ca="1">IFERROR(__xludf.DUMMYFUNCTION("""COMPUTED_VALUE"""),"Transforme-se com a Inovação Disruptiva")</f>
        <v>Transforme-se com a Inovação Disruptiva</v>
      </c>
      <c r="AD32" s="217"/>
      <c r="AE32" s="213"/>
      <c r="AF32" s="215"/>
      <c r="AG32" s="215"/>
      <c r="AH32" s="217"/>
      <c r="AI32" s="217"/>
      <c r="AJ32" s="213"/>
    </row>
    <row r="33" spans="1:36" ht="33.75" customHeight="1">
      <c r="A33" s="213"/>
      <c r="B33" s="214">
        <f ca="1">IFERROR(__xludf.DUMMYFUNCTION("""COMPUTED_VALUE"""),2812532)</f>
        <v>2812532</v>
      </c>
      <c r="C33" s="215" t="str">
        <f ca="1">IFERROR(__xludf.DUMMYFUNCTION("""COMPUTED_VALUE"""),"Beginner")</f>
        <v>Beginner</v>
      </c>
      <c r="D33" s="216" t="str">
        <f ca="1">IFERROR(__xludf.DUMMYFUNCTION("""COMPUTED_VALUE"""),"Get Unstuck from a Career Rut")</f>
        <v>Get Unstuck from a Career Rut</v>
      </c>
      <c r="E33" s="217"/>
      <c r="F33" s="213"/>
      <c r="G33" s="214">
        <f ca="1">IFERROR(__xludf.DUMMYFUNCTION("""COMPUTED_VALUE"""),789571)</f>
        <v>789571</v>
      </c>
      <c r="H33" s="215" t="str">
        <f ca="1">IFERROR(__xludf.DUMMYFUNCTION("""COMPUTED_VALUE"""),"Intermediate")</f>
        <v>Intermediate</v>
      </c>
      <c r="I33" s="217" t="str">
        <f ca="1">IFERROR(__xludf.DUMMYFUNCTION("""COMPUTED_VALUE"""),"Manager en environnement multiculturel")</f>
        <v>Manager en environnement multiculturel</v>
      </c>
      <c r="J33" s="217"/>
      <c r="K33" s="213"/>
      <c r="L33" s="215">
        <f ca="1">IFERROR(__xludf.DUMMYFUNCTION("""COMPUTED_VALUE"""),766240)</f>
        <v>766240</v>
      </c>
      <c r="M33" s="215" t="str">
        <f ca="1">IFERROR(__xludf.DUMMYFUNCTION("""COMPUTED_VALUE"""),"Beginner")</f>
        <v>Beginner</v>
      </c>
      <c r="N33" s="217" t="str">
        <f ca="1">IFERROR(__xludf.DUMMYFUNCTION("""COMPUTED_VALUE"""),"Intrapreneurship y mentalidad de crecimiento")</f>
        <v>Intrapreneurship y mentalidad de crecimiento</v>
      </c>
      <c r="O33" s="217"/>
      <c r="P33" s="213"/>
      <c r="Q33" s="215">
        <f ca="1">IFERROR(__xludf.DUMMYFUNCTION("""COMPUTED_VALUE"""),428606)</f>
        <v>428606</v>
      </c>
      <c r="R33" s="215" t="str">
        <f ca="1">IFERROR(__xludf.DUMMYFUNCTION("""COMPUTED_VALUE"""),"All levels")</f>
        <v>All levels</v>
      </c>
      <c r="S33" s="217" t="str">
        <f ca="1">IFERROR(__xludf.DUMMYFUNCTION("""COMPUTED_VALUE"""),"Resilienz entwickeln")</f>
        <v>Resilienz entwickeln</v>
      </c>
      <c r="T33" s="217"/>
      <c r="U33" s="213"/>
      <c r="V33" s="215"/>
      <c r="W33" s="215"/>
      <c r="X33" s="217"/>
      <c r="Y33" s="217"/>
      <c r="Z33" s="213"/>
      <c r="AA33" s="215">
        <f ca="1">IFERROR(__xludf.DUMMYFUNCTION("""COMPUTED_VALUE"""),2930668)</f>
        <v>2930668</v>
      </c>
      <c r="AB33" s="215" t="str">
        <f ca="1">IFERROR(__xludf.DUMMYFUNCTION("""COMPUTED_VALUE"""),"All levels")</f>
        <v>All levels</v>
      </c>
      <c r="AC33" s="217" t="str">
        <f ca="1">IFERROR(__xludf.DUMMYFUNCTION("""COMPUTED_VALUE"""),"Truques para mudar ou criar novos hábitos")</f>
        <v>Truques para mudar ou criar novos hábitos</v>
      </c>
      <c r="AD33" s="217"/>
      <c r="AE33" s="213"/>
      <c r="AF33" s="215"/>
      <c r="AG33" s="215"/>
      <c r="AH33" s="217"/>
      <c r="AI33" s="217"/>
      <c r="AJ33" s="213"/>
    </row>
    <row r="34" spans="1:36" ht="33.75" customHeight="1">
      <c r="A34" s="213"/>
      <c r="B34" s="214">
        <f ca="1">IFERROR(__xludf.DUMMYFUNCTION("""COMPUTED_VALUE"""),2822310)</f>
        <v>2822310</v>
      </c>
      <c r="C34" s="215" t="str">
        <f ca="1">IFERROR(__xludf.DUMMYFUNCTION("""COMPUTED_VALUE"""),"Beginner")</f>
        <v>Beginner</v>
      </c>
      <c r="D34" s="216" t="str">
        <f ca="1">IFERROR(__xludf.DUMMYFUNCTION("""COMPUTED_VALUE"""),"Subtle Shifts in Thinking for Tremendous Resilience")</f>
        <v>Subtle Shifts in Thinking for Tremendous Resilience</v>
      </c>
      <c r="E34" s="217"/>
      <c r="F34" s="213"/>
      <c r="G34" s="214">
        <f ca="1">IFERROR(__xludf.DUMMYFUNCTION("""COMPUTED_VALUE"""),575060)</f>
        <v>575060</v>
      </c>
      <c r="H34" s="215" t="str">
        <f ca="1">IFERROR(__xludf.DUMMYFUNCTION("""COMPUTED_VALUE"""),"Intermediate")</f>
        <v>Intermediate</v>
      </c>
      <c r="I34" s="217" t="str">
        <f ca="1">IFERROR(__xludf.DUMMYFUNCTION("""COMPUTED_VALUE"""),"Manager les nouvelles générations")</f>
        <v>Manager les nouvelles générations</v>
      </c>
      <c r="J34" s="217"/>
      <c r="K34" s="213"/>
      <c r="L34" s="215">
        <f ca="1">IFERROR(__xludf.DUMMYFUNCTION("""COMPUTED_VALUE"""),714716)</f>
        <v>714716</v>
      </c>
      <c r="M34" s="215" t="str">
        <f ca="1">IFERROR(__xludf.DUMMYFUNCTION("""COMPUTED_VALUE"""),"Beginner")</f>
        <v>Beginner</v>
      </c>
      <c r="N34" s="217" t="str">
        <f ca="1">IFERROR(__xludf.DUMMYFUNCTION("""COMPUTED_VALUE"""),"La importancia de las habilidades de vida o soft skills")</f>
        <v>La importancia de las habilidades de vida o soft skills</v>
      </c>
      <c r="O34" s="217"/>
      <c r="P34" s="213"/>
      <c r="Q34" s="215">
        <f ca="1">IFERROR(__xludf.DUMMYFUNCTION("""COMPUTED_VALUE"""),3103622)</f>
        <v>3103622</v>
      </c>
      <c r="R34" s="215" t="str">
        <f ca="1">IFERROR(__xludf.DUMMYFUNCTION("""COMPUTED_VALUE"""),"All levels")</f>
        <v>All levels</v>
      </c>
      <c r="S34" s="217" t="str">
        <f ca="1">IFERROR(__xludf.DUMMYFUNCTION("""COMPUTED_VALUE"""),"Stress bewältigen 1: Ursachen verstehen und Druck senken")</f>
        <v>Stress bewältigen 1: Ursachen verstehen und Druck senken</v>
      </c>
      <c r="T34" s="217"/>
      <c r="U34" s="213"/>
      <c r="V34" s="215"/>
      <c r="W34" s="215"/>
      <c r="X34" s="217"/>
      <c r="Y34" s="217"/>
      <c r="Z34" s="213"/>
      <c r="AA34" s="215"/>
      <c r="AB34" s="215"/>
      <c r="AC34" s="217"/>
      <c r="AD34" s="217"/>
      <c r="AE34" s="213"/>
      <c r="AF34" s="215"/>
      <c r="AG34" s="215"/>
      <c r="AH34" s="217"/>
      <c r="AI34" s="217"/>
      <c r="AJ34" s="213"/>
    </row>
    <row r="35" spans="1:36" ht="33.75" customHeight="1">
      <c r="A35" s="213"/>
      <c r="B35" s="214">
        <f ca="1">IFERROR(__xludf.DUMMYFUNCTION("""COMPUTED_VALUE"""),2823252)</f>
        <v>2823252</v>
      </c>
      <c r="C35" s="215" t="str">
        <f ca="1">IFERROR(__xludf.DUMMYFUNCTION("""COMPUTED_VALUE"""),"Beginner")</f>
        <v>Beginner</v>
      </c>
      <c r="D35" s="216" t="str">
        <f ca="1">IFERROR(__xludf.DUMMYFUNCTION("""COMPUTED_VALUE"""),"Managing Self-Doubt to Tackle Bigger Challenges")</f>
        <v>Managing Self-Doubt to Tackle Bigger Challenges</v>
      </c>
      <c r="E35" s="217"/>
      <c r="F35" s="213"/>
      <c r="G35" s="214">
        <f ca="1">IFERROR(__xludf.DUMMYFUNCTION("""COMPUTED_VALUE"""),697575)</f>
        <v>697575</v>
      </c>
      <c r="H35" s="215" t="str">
        <f ca="1">IFERROR(__xludf.DUMMYFUNCTION("""COMPUTED_VALUE"""),"Intermediate")</f>
        <v>Intermediate</v>
      </c>
      <c r="I35" s="217" t="str">
        <f ca="1">IFERROR(__xludf.DUMMYFUNCTION("""COMPUTED_VALUE"""),"Penser et intégrer la diversité en entreprise")</f>
        <v>Penser et intégrer la diversité en entreprise</v>
      </c>
      <c r="J35" s="217"/>
      <c r="K35" s="213"/>
      <c r="L35" s="215">
        <f ca="1">IFERROR(__xludf.DUMMYFUNCTION("""COMPUTED_VALUE"""),438738)</f>
        <v>438738</v>
      </c>
      <c r="M35" s="215" t="str">
        <f ca="1">IFERROR(__xludf.DUMMYFUNCTION("""COMPUTED_VALUE"""),"All levels")</f>
        <v>All levels</v>
      </c>
      <c r="N35" s="217" t="str">
        <f ca="1">IFERROR(__xludf.DUMMYFUNCTION("""COMPUTED_VALUE"""),"Liderazgo con inteligencia emocional")</f>
        <v>Liderazgo con inteligencia emocional</v>
      </c>
      <c r="O35" s="217"/>
      <c r="P35" s="213"/>
      <c r="Q35" s="215">
        <f ca="1">IFERROR(__xludf.DUMMYFUNCTION("""COMPUTED_VALUE"""),2419440)</f>
        <v>2419440</v>
      </c>
      <c r="R35" s="215" t="str">
        <f ca="1">IFERROR(__xludf.DUMMYFUNCTION("""COMPUTED_VALUE"""),"All levels")</f>
        <v>All levels</v>
      </c>
      <c r="S35" s="217" t="str">
        <f ca="1">IFERROR(__xludf.DUMMYFUNCTION("""COMPUTED_VALUE"""),"Stress bewältigen 2: Für mehr Balance und Gesundheit")</f>
        <v>Stress bewältigen 2: Für mehr Balance und Gesundheit</v>
      </c>
      <c r="T35" s="217"/>
      <c r="U35" s="213"/>
      <c r="V35" s="215"/>
      <c r="W35" s="215"/>
      <c r="X35" s="217"/>
      <c r="Y35" s="217"/>
      <c r="Z35" s="213"/>
      <c r="AA35" s="215"/>
      <c r="AB35" s="215"/>
      <c r="AC35" s="217"/>
      <c r="AD35" s="217"/>
      <c r="AE35" s="213"/>
      <c r="AF35" s="215"/>
      <c r="AG35" s="215"/>
      <c r="AH35" s="217"/>
      <c r="AI35" s="217"/>
      <c r="AJ35" s="213"/>
    </row>
    <row r="36" spans="1:36" ht="33.75" customHeight="1">
      <c r="A36" s="213"/>
      <c r="B36" s="214">
        <f ca="1">IFERROR(__xludf.DUMMYFUNCTION("""COMPUTED_VALUE"""),2885014)</f>
        <v>2885014</v>
      </c>
      <c r="C36" s="215" t="str">
        <f ca="1">IFERROR(__xludf.DUMMYFUNCTION("""COMPUTED_VALUE"""),"Beginner")</f>
        <v>Beginner</v>
      </c>
      <c r="D36" s="216" t="str">
        <f ca="1">IFERROR(__xludf.DUMMYFUNCTION("""COMPUTED_VALUE"""),"Creating Flow")</f>
        <v>Creating Flow</v>
      </c>
      <c r="E36" s="217"/>
      <c r="F36" s="213"/>
      <c r="G36" s="214">
        <f ca="1">IFERROR(__xludf.DUMMYFUNCTION("""COMPUTED_VALUE"""),796902)</f>
        <v>796902</v>
      </c>
      <c r="H36" s="215" t="str">
        <f ca="1">IFERROR(__xludf.DUMMYFUNCTION("""COMPUTED_VALUE"""),"Intermediate")</f>
        <v>Intermediate</v>
      </c>
      <c r="I36" s="217" t="str">
        <f ca="1">IFERROR(__xludf.DUMMYFUNCTION("""COMPUTED_VALUE"""),"Repenser la gestion de la performance")</f>
        <v>Repenser la gestion de la performance</v>
      </c>
      <c r="J36" s="217"/>
      <c r="K36" s="213"/>
      <c r="L36" s="215">
        <f ca="1">IFERROR(__xludf.DUMMYFUNCTION("""COMPUTED_VALUE"""),2924305)</f>
        <v>2924305</v>
      </c>
      <c r="M36" s="215" t="str">
        <f ca="1">IFERROR(__xludf.DUMMYFUNCTION("""COMPUTED_VALUE"""),"Beginner, Intermediate")</f>
        <v>Beginner, Intermediate</v>
      </c>
      <c r="N36" s="217" t="str">
        <f ca="1">IFERROR(__xludf.DUMMYFUNCTION("""COMPUTED_VALUE"""),"Liderazgo transformador")</f>
        <v>Liderazgo transformador</v>
      </c>
      <c r="O36" s="217"/>
      <c r="P36" s="213"/>
      <c r="Q36" s="215">
        <f ca="1">IFERROR(__xludf.DUMMYFUNCTION("""COMPUTED_VALUE"""),3151140)</f>
        <v>3151140</v>
      </c>
      <c r="R36" s="215" t="str">
        <f ca="1">IFERROR(__xludf.DUMMYFUNCTION("""COMPUTED_VALUE"""),"All levels")</f>
        <v>All levels</v>
      </c>
      <c r="S36" s="217" t="str">
        <f ca="1">IFERROR(__xludf.DUMMYFUNCTION("""COMPUTED_VALUE"""),"Unerwartete Veränderungen annehmen")</f>
        <v>Unerwartete Veränderungen annehmen</v>
      </c>
      <c r="T36" s="217"/>
      <c r="U36" s="213"/>
      <c r="V36" s="215"/>
      <c r="W36" s="215"/>
      <c r="X36" s="217"/>
      <c r="Y36" s="217"/>
      <c r="Z36" s="213"/>
      <c r="AA36" s="215"/>
      <c r="AB36" s="215"/>
      <c r="AC36" s="217"/>
      <c r="AD36" s="217"/>
      <c r="AE36" s="213"/>
      <c r="AF36" s="215"/>
      <c r="AG36" s="215"/>
      <c r="AH36" s="217"/>
      <c r="AI36" s="217"/>
      <c r="AJ36" s="213"/>
    </row>
    <row r="37" spans="1:36" ht="33.75" customHeight="1">
      <c r="A37" s="213"/>
      <c r="B37" s="214">
        <f ca="1">IFERROR(__xludf.DUMMYFUNCTION("""COMPUTED_VALUE"""),2886013)</f>
        <v>2886013</v>
      </c>
      <c r="C37" s="215" t="str">
        <f ca="1">IFERROR(__xludf.DUMMYFUNCTION("""COMPUTED_VALUE"""),"Beginner")</f>
        <v>Beginner</v>
      </c>
      <c r="D37" s="216" t="str">
        <f ca="1">IFERROR(__xludf.DUMMYFUNCTION("""COMPUTED_VALUE"""),"Staying Organized While Working Remotely or On-Site")</f>
        <v>Staying Organized While Working Remotely or On-Site</v>
      </c>
      <c r="E37" s="217"/>
      <c r="F37" s="213"/>
      <c r="G37" s="214">
        <f ca="1">IFERROR(__xludf.DUMMYFUNCTION("""COMPUTED_VALUE"""),707937)</f>
        <v>707937</v>
      </c>
      <c r="H37" s="215" t="str">
        <f ca="1">IFERROR(__xludf.DUMMYFUNCTION("""COMPUTED_VALUE"""),"Intermediate")</f>
        <v>Intermediate</v>
      </c>
      <c r="I37" s="217" t="str">
        <f ca="1">IFERROR(__xludf.DUMMYFUNCTION("""COMPUTED_VALUE"""),"Sortir de la routine")</f>
        <v>Sortir de la routine</v>
      </c>
      <c r="J37" s="217"/>
      <c r="K37" s="213"/>
      <c r="L37" s="215">
        <f ca="1">IFERROR(__xludf.DUMMYFUNCTION("""COMPUTED_VALUE"""),5025653)</f>
        <v>5025653</v>
      </c>
      <c r="M37" s="215" t="str">
        <f ca="1">IFERROR(__xludf.DUMMYFUNCTION("""COMPUTED_VALUE"""),"All levels")</f>
        <v>All levels</v>
      </c>
      <c r="N37" s="217" t="str">
        <f ca="1">IFERROR(__xludf.DUMMYFUNCTION("""COMPUTED_VALUE"""),"Mindfulness: Cómo conseguir una atención plena")</f>
        <v>Mindfulness: Cómo conseguir una atención plena</v>
      </c>
      <c r="O37" s="217"/>
      <c r="P37" s="213"/>
      <c r="Q37" s="215">
        <f ca="1">IFERROR(__xludf.DUMMYFUNCTION("""COMPUTED_VALUE"""),584361)</f>
        <v>584361</v>
      </c>
      <c r="R37" s="215" t="str">
        <f ca="1">IFERROR(__xludf.DUMMYFUNCTION("""COMPUTED_VALUE"""),"Intermediate")</f>
        <v>Intermediate</v>
      </c>
      <c r="S37" s="217" t="str">
        <f ca="1">IFERROR(__xludf.DUMMYFUNCTION("""COMPUTED_VALUE"""),"Veränderung vorantreiben")</f>
        <v>Veränderung vorantreiben</v>
      </c>
      <c r="T37" s="217"/>
      <c r="U37" s="213"/>
      <c r="V37" s="215"/>
      <c r="W37" s="215"/>
      <c r="X37" s="217"/>
      <c r="Y37" s="217"/>
      <c r="Z37" s="213"/>
      <c r="AA37" s="215"/>
      <c r="AB37" s="215"/>
      <c r="AC37" s="217"/>
      <c r="AD37" s="217"/>
      <c r="AE37" s="213"/>
      <c r="AF37" s="215"/>
      <c r="AG37" s="215"/>
      <c r="AH37" s="217"/>
      <c r="AI37" s="217"/>
      <c r="AJ37" s="213"/>
    </row>
    <row r="38" spans="1:36" ht="33.75" customHeight="1">
      <c r="A38" s="213"/>
      <c r="B38" s="214">
        <f ca="1">IFERROR(__xludf.DUMMYFUNCTION("""COMPUTED_VALUE"""),2883047)</f>
        <v>2883047</v>
      </c>
      <c r="C38" s="215" t="str">
        <f ca="1">IFERROR(__xludf.DUMMYFUNCTION("""COMPUTED_VALUE"""),"Beginner")</f>
        <v>Beginner</v>
      </c>
      <c r="D38" s="216" t="str">
        <f ca="1">IFERROR(__xludf.DUMMYFUNCTION("""COMPUTED_VALUE"""),"Creating Success from Failures")</f>
        <v>Creating Success from Failures</v>
      </c>
      <c r="E38" s="217"/>
      <c r="F38" s="213"/>
      <c r="G38" s="214">
        <f ca="1">IFERROR(__xludf.DUMMYFUNCTION("""COMPUTED_VALUE"""),610659)</f>
        <v>610659</v>
      </c>
      <c r="H38" s="215" t="str">
        <f ca="1">IFERROR(__xludf.DUMMYFUNCTION("""COMPUTED_VALUE"""),"Intermediate")</f>
        <v>Intermediate</v>
      </c>
      <c r="I38" s="217" t="str">
        <f ca="1">IFERROR(__xludf.DUMMYFUNCTION("""COMPUTED_VALUE"""),"Sortir du cadre")</f>
        <v>Sortir du cadre</v>
      </c>
      <c r="J38" s="217"/>
      <c r="K38" s="213"/>
      <c r="L38" s="215">
        <f ca="1">IFERROR(__xludf.DUMMYFUNCTION("""COMPUTED_VALUE"""),2837216)</f>
        <v>2837216</v>
      </c>
      <c r="M38" s="215" t="str">
        <f ca="1">IFERROR(__xludf.DUMMYFUNCTION("""COMPUTED_VALUE"""),"All levels")</f>
        <v>All levels</v>
      </c>
      <c r="N38" s="217" t="str">
        <f ca="1">IFERROR(__xludf.DUMMYFUNCTION("""COMPUTED_VALUE"""),"Navegar el cambio en tiempos difíciles")</f>
        <v>Navegar el cambio en tiempos difíciles</v>
      </c>
      <c r="O38" s="217"/>
      <c r="P38" s="213"/>
      <c r="Q38" s="215">
        <f ca="1">IFERROR(__xludf.DUMMYFUNCTION("""COMPUTED_VALUE"""),2925266)</f>
        <v>2925266</v>
      </c>
      <c r="R38" s="215" t="str">
        <f ca="1">IFERROR(__xludf.DUMMYFUNCTION("""COMPUTED_VALUE"""),"All levels")</f>
        <v>All levels</v>
      </c>
      <c r="S38" s="217" t="str">
        <f ca="1">IFERROR(__xludf.DUMMYFUNCTION("""COMPUTED_VALUE"""),"Veränderungen im Beruf erfolgreich bewältigen")</f>
        <v>Veränderungen im Beruf erfolgreich bewältigen</v>
      </c>
      <c r="T38" s="217"/>
      <c r="U38" s="213"/>
      <c r="V38" s="215"/>
      <c r="W38" s="215"/>
      <c r="X38" s="217"/>
      <c r="Y38" s="217"/>
      <c r="Z38" s="213"/>
      <c r="AA38" s="215"/>
      <c r="AB38" s="215"/>
      <c r="AC38" s="217"/>
      <c r="AD38" s="217"/>
      <c r="AE38" s="213"/>
      <c r="AF38" s="215"/>
      <c r="AG38" s="215"/>
      <c r="AH38" s="217"/>
      <c r="AI38" s="217"/>
      <c r="AJ38" s="213"/>
    </row>
    <row r="39" spans="1:36" ht="33.75" customHeight="1">
      <c r="A39" s="213"/>
      <c r="B39" s="214">
        <f ca="1">IFERROR(__xludf.DUMMYFUNCTION("""COMPUTED_VALUE"""),2880190)</f>
        <v>2880190</v>
      </c>
      <c r="C39" s="215" t="str">
        <f ca="1">IFERROR(__xludf.DUMMYFUNCTION("""COMPUTED_VALUE"""),"Beginner")</f>
        <v>Beginner</v>
      </c>
      <c r="D39" s="216" t="str">
        <f ca="1">IFERROR(__xludf.DUMMYFUNCTION("""COMPUTED_VALUE"""),"Adopting the Habits of Elite Performers")</f>
        <v>Adopting the Habits of Elite Performers</v>
      </c>
      <c r="E39" s="217"/>
      <c r="F39" s="213"/>
      <c r="G39" s="214">
        <f ca="1">IFERROR(__xludf.DUMMYFUNCTION("""COMPUTED_VALUE"""),2841047)</f>
        <v>2841047</v>
      </c>
      <c r="H39" s="215" t="str">
        <f ca="1">IFERROR(__xludf.DUMMYFUNCTION("""COMPUTED_VALUE"""),"Intermediate")</f>
        <v>Intermediate</v>
      </c>
      <c r="I39" s="217" t="str">
        <f ca="1">IFERROR(__xludf.DUMMYFUNCTION("""COMPUTED_VALUE"""),"Vendre en période de crise")</f>
        <v>Vendre en période de crise</v>
      </c>
      <c r="J39" s="217"/>
      <c r="K39" s="213"/>
      <c r="L39" s="215">
        <f ca="1">IFERROR(__xludf.DUMMYFUNCTION("""COMPUTED_VALUE"""),2401127)</f>
        <v>2401127</v>
      </c>
      <c r="M39" s="215" t="str">
        <f ca="1">IFERROR(__xludf.DUMMYFUNCTION("""COMPUTED_VALUE"""),"All levels")</f>
        <v>All levels</v>
      </c>
      <c r="N39" s="217" t="str">
        <f ca="1">IFERROR(__xludf.DUMMYFUNCTION("""COMPUTED_VALUE"""),"Prepara tu curriculum vitae")</f>
        <v>Prepara tu curriculum vitae</v>
      </c>
      <c r="O39" s="217"/>
      <c r="P39" s="213"/>
      <c r="Q39" s="215">
        <f ca="1">IFERROR(__xludf.DUMMYFUNCTION("""COMPUTED_VALUE"""),565181)</f>
        <v>565181</v>
      </c>
      <c r="R39" s="215" t="str">
        <f ca="1">IFERROR(__xludf.DUMMYFUNCTION("""COMPUTED_VALUE"""),"Beginner, Intermediate")</f>
        <v>Beginner, Intermediate</v>
      </c>
      <c r="S39" s="217" t="str">
        <f ca="1">IFERROR(__xludf.DUMMYFUNCTION("""COMPUTED_VALUE"""),"Von Ohnmacht zu Macht: Kontrolle übernehmen")</f>
        <v>Von Ohnmacht zu Macht: Kontrolle übernehmen</v>
      </c>
      <c r="T39" s="217"/>
      <c r="U39" s="213"/>
      <c r="V39" s="215"/>
      <c r="W39" s="215"/>
      <c r="X39" s="217"/>
      <c r="Y39" s="217"/>
      <c r="Z39" s="213"/>
      <c r="AA39" s="215"/>
      <c r="AB39" s="215"/>
      <c r="AC39" s="217"/>
      <c r="AD39" s="217"/>
      <c r="AE39" s="213"/>
      <c r="AF39" s="215"/>
      <c r="AG39" s="215"/>
      <c r="AH39" s="217"/>
      <c r="AI39" s="217"/>
      <c r="AJ39" s="213"/>
    </row>
    <row r="40" spans="1:36" ht="33.75" customHeight="1">
      <c r="A40" s="213"/>
      <c r="B40" s="214">
        <f ca="1">IFERROR(__xludf.DUMMYFUNCTION("""COMPUTED_VALUE"""),2424324)</f>
        <v>2424324</v>
      </c>
      <c r="C40" s="215" t="str">
        <f ca="1">IFERROR(__xludf.DUMMYFUNCTION("""COMPUTED_VALUE"""),"Beginner")</f>
        <v>Beginner</v>
      </c>
      <c r="D40" s="216" t="str">
        <f ca="1">IFERROR(__xludf.DUMMYFUNCTION("""COMPUTED_VALUE"""),"How to Use Rejection to Your Advantage")</f>
        <v>How to Use Rejection to Your Advantage</v>
      </c>
      <c r="E40" s="217"/>
      <c r="F40" s="213"/>
      <c r="G40" s="214"/>
      <c r="H40" s="215"/>
      <c r="I40" s="217"/>
      <c r="J40" s="217"/>
      <c r="K40" s="213"/>
      <c r="L40" s="215"/>
      <c r="M40" s="215"/>
      <c r="N40" s="217"/>
      <c r="O40" s="217"/>
      <c r="P40" s="213"/>
      <c r="Q40" s="215"/>
      <c r="R40" s="215"/>
      <c r="S40" s="217"/>
      <c r="T40" s="217"/>
      <c r="U40" s="213"/>
      <c r="V40" s="215"/>
      <c r="W40" s="215"/>
      <c r="X40" s="217"/>
      <c r="Y40" s="217"/>
      <c r="Z40" s="213"/>
      <c r="AA40" s="215"/>
      <c r="AB40" s="215"/>
      <c r="AC40" s="217"/>
      <c r="AD40" s="217"/>
      <c r="AE40" s="213"/>
      <c r="AF40" s="215"/>
      <c r="AG40" s="215"/>
      <c r="AH40" s="217"/>
      <c r="AI40" s="217"/>
      <c r="AJ40" s="213"/>
    </row>
    <row r="41" spans="1:36" ht="33.75" customHeight="1">
      <c r="A41" s="213"/>
      <c r="B41" s="214">
        <f ca="1">IFERROR(__xludf.DUMMYFUNCTION("""COMPUTED_VALUE"""),2423652)</f>
        <v>2423652</v>
      </c>
      <c r="C41" s="215" t="str">
        <f ca="1">IFERROR(__xludf.DUMMYFUNCTION("""COMPUTED_VALUE"""),"Beginner")</f>
        <v>Beginner</v>
      </c>
      <c r="D41" s="216" t="str">
        <f ca="1">IFERROR(__xludf.DUMMYFUNCTION("""COMPUTED_VALUE"""),"Simple Habits for Complex Times (getAbstract Summary)")</f>
        <v>Simple Habits for Complex Times (getAbstract Summary)</v>
      </c>
      <c r="E41" s="217"/>
      <c r="F41" s="213"/>
      <c r="G41" s="214"/>
      <c r="H41" s="215"/>
      <c r="I41" s="217"/>
      <c r="J41" s="217"/>
      <c r="K41" s="213"/>
      <c r="L41" s="215"/>
      <c r="M41" s="215"/>
      <c r="N41" s="217"/>
      <c r="O41" s="217"/>
      <c r="P41" s="213"/>
      <c r="Q41" s="215"/>
      <c r="R41" s="215"/>
      <c r="S41" s="217"/>
      <c r="T41" s="217"/>
      <c r="U41" s="213"/>
      <c r="V41" s="215"/>
      <c r="W41" s="215"/>
      <c r="X41" s="217"/>
      <c r="Y41" s="217"/>
      <c r="Z41" s="213"/>
      <c r="AA41" s="215"/>
      <c r="AB41" s="215"/>
      <c r="AC41" s="217"/>
      <c r="AD41" s="217"/>
      <c r="AE41" s="213"/>
      <c r="AF41" s="215"/>
      <c r="AG41" s="215"/>
      <c r="AH41" s="217"/>
      <c r="AI41" s="217"/>
      <c r="AJ41" s="213"/>
    </row>
    <row r="42" spans="1:36" ht="33.75" customHeight="1">
      <c r="A42" s="213"/>
      <c r="B42" s="214">
        <f ca="1">IFERROR(__xludf.DUMMYFUNCTION("""COMPUTED_VALUE"""),3007571)</f>
        <v>3007571</v>
      </c>
      <c r="C42" s="215" t="str">
        <f ca="1">IFERROR(__xludf.DUMMYFUNCTION("""COMPUTED_VALUE"""),"Beginner")</f>
        <v>Beginner</v>
      </c>
      <c r="D42" s="216" t="str">
        <f ca="1">IFERROR(__xludf.DUMMYFUNCTION("""COMPUTED_VALUE"""),"Using Resilience to Overcome the (Seemingly) Impossible")</f>
        <v>Using Resilience to Overcome the (Seemingly) Impossible</v>
      </c>
      <c r="E42" s="217"/>
      <c r="F42" s="213"/>
      <c r="G42" s="214"/>
      <c r="H42" s="215"/>
      <c r="I42" s="217"/>
      <c r="J42" s="217"/>
      <c r="K42" s="213"/>
      <c r="L42" s="215"/>
      <c r="M42" s="215"/>
      <c r="N42" s="217"/>
      <c r="O42" s="217"/>
      <c r="P42" s="213"/>
      <c r="Q42" s="215"/>
      <c r="R42" s="215"/>
      <c r="S42" s="217"/>
      <c r="T42" s="217"/>
      <c r="U42" s="213"/>
      <c r="V42" s="215"/>
      <c r="W42" s="215"/>
      <c r="X42" s="217"/>
      <c r="Y42" s="217"/>
      <c r="Z42" s="213"/>
      <c r="AA42" s="215"/>
      <c r="AB42" s="215"/>
      <c r="AC42" s="217"/>
      <c r="AD42" s="217"/>
      <c r="AE42" s="213"/>
      <c r="AF42" s="215"/>
      <c r="AG42" s="215"/>
      <c r="AH42" s="217"/>
      <c r="AI42" s="217"/>
      <c r="AJ42" s="213"/>
    </row>
    <row r="43" spans="1:36" ht="33.75" customHeight="1">
      <c r="A43" s="213"/>
      <c r="B43" s="214">
        <f ca="1">IFERROR(__xludf.DUMMYFUNCTION("""COMPUTED_VALUE"""),3010972)</f>
        <v>3010972</v>
      </c>
      <c r="C43" s="215" t="str">
        <f ca="1">IFERROR(__xludf.DUMMYFUNCTION("""COMPUTED_VALUE"""),"Beginner")</f>
        <v>Beginner</v>
      </c>
      <c r="D43" s="216" t="str">
        <f ca="1">IFERROR(__xludf.DUMMYFUNCTION("""COMPUTED_VALUE"""),"Conquering Freak-Outs and the Fear of Failure")</f>
        <v>Conquering Freak-Outs and the Fear of Failure</v>
      </c>
      <c r="E43" s="217"/>
      <c r="F43" s="213"/>
      <c r="G43" s="214"/>
      <c r="H43" s="215"/>
      <c r="I43" s="217"/>
      <c r="J43" s="217"/>
      <c r="K43" s="213"/>
      <c r="L43" s="215"/>
      <c r="M43" s="215"/>
      <c r="N43" s="217"/>
      <c r="O43" s="217"/>
      <c r="P43" s="213"/>
      <c r="Q43" s="215"/>
      <c r="R43" s="215"/>
      <c r="S43" s="217"/>
      <c r="T43" s="217"/>
      <c r="U43" s="213"/>
      <c r="V43" s="215"/>
      <c r="W43" s="215"/>
      <c r="X43" s="217"/>
      <c r="Y43" s="217"/>
      <c r="Z43" s="213"/>
      <c r="AA43" s="215"/>
      <c r="AB43" s="215"/>
      <c r="AC43" s="217"/>
      <c r="AD43" s="217"/>
      <c r="AE43" s="213"/>
      <c r="AF43" s="215"/>
      <c r="AG43" s="215"/>
      <c r="AH43" s="217"/>
      <c r="AI43" s="217"/>
      <c r="AJ43" s="213"/>
    </row>
    <row r="44" spans="1:36" ht="33.75" customHeight="1">
      <c r="A44" s="213"/>
      <c r="B44" s="214">
        <f ca="1">IFERROR(__xludf.DUMMYFUNCTION("""COMPUTED_VALUE"""),2835068)</f>
        <v>2835068</v>
      </c>
      <c r="C44" s="215" t="str">
        <f ca="1">IFERROR(__xludf.DUMMYFUNCTION("""COMPUTED_VALUE"""),"Beginner + Intermediate")</f>
        <v>Beginner + Intermediate</v>
      </c>
      <c r="D44" s="216" t="str">
        <f ca="1">IFERROR(__xludf.DUMMYFUNCTION("""COMPUTED_VALUE"""),"Preparing to Lead: Developing Mental Toughness in Yourself")</f>
        <v>Preparing to Lead: Developing Mental Toughness in Yourself</v>
      </c>
      <c r="E44" s="217"/>
      <c r="F44" s="213"/>
      <c r="G44" s="214"/>
      <c r="H44" s="215"/>
      <c r="I44" s="217"/>
      <c r="J44" s="217"/>
      <c r="K44" s="213"/>
      <c r="L44" s="215"/>
      <c r="M44" s="215"/>
      <c r="N44" s="217"/>
      <c r="O44" s="217"/>
      <c r="P44" s="213"/>
      <c r="Q44" s="215"/>
      <c r="R44" s="215"/>
      <c r="S44" s="217"/>
      <c r="T44" s="217"/>
      <c r="U44" s="213"/>
      <c r="V44" s="215"/>
      <c r="W44" s="215"/>
      <c r="X44" s="217"/>
      <c r="Y44" s="217"/>
      <c r="Z44" s="213"/>
      <c r="AA44" s="215"/>
      <c r="AB44" s="215"/>
      <c r="AC44" s="217"/>
      <c r="AD44" s="217"/>
      <c r="AE44" s="213"/>
      <c r="AF44" s="215"/>
      <c r="AG44" s="215"/>
      <c r="AH44" s="217"/>
      <c r="AI44" s="217"/>
      <c r="AJ44" s="213"/>
    </row>
    <row r="45" spans="1:36" ht="33.75" customHeight="1">
      <c r="A45" s="213"/>
      <c r="B45" s="214">
        <f ca="1">IFERROR(__xludf.DUMMYFUNCTION("""COMPUTED_VALUE"""),2871163)</f>
        <v>2871163</v>
      </c>
      <c r="C45" s="215" t="str">
        <f ca="1">IFERROR(__xludf.DUMMYFUNCTION("""COMPUTED_VALUE"""),"Beginner + Intermediate")</f>
        <v>Beginner + Intermediate</v>
      </c>
      <c r="D45" s="216" t="str">
        <f ca="1">IFERROR(__xludf.DUMMYFUNCTION("""COMPUTED_VALUE"""),"Real Estate: Developing a Growth Mindset")</f>
        <v>Real Estate: Developing a Growth Mindset</v>
      </c>
      <c r="E45" s="217"/>
      <c r="F45" s="213"/>
      <c r="G45" s="214"/>
      <c r="H45" s="215"/>
      <c r="I45" s="217"/>
      <c r="J45" s="217"/>
      <c r="K45" s="213"/>
      <c r="L45" s="215"/>
      <c r="M45" s="215"/>
      <c r="N45" s="217"/>
      <c r="O45" s="217"/>
      <c r="P45" s="213"/>
      <c r="Q45" s="215"/>
      <c r="R45" s="215"/>
      <c r="S45" s="217"/>
      <c r="T45" s="217"/>
      <c r="U45" s="213"/>
      <c r="V45" s="215"/>
      <c r="W45" s="215"/>
      <c r="X45" s="217"/>
      <c r="Y45" s="217"/>
      <c r="Z45" s="213"/>
      <c r="AA45" s="215"/>
      <c r="AB45" s="215"/>
      <c r="AC45" s="217"/>
      <c r="AD45" s="217"/>
      <c r="AE45" s="213"/>
      <c r="AF45" s="215"/>
      <c r="AG45" s="215"/>
      <c r="AH45" s="217"/>
      <c r="AI45" s="217"/>
      <c r="AJ45" s="213"/>
    </row>
    <row r="46" spans="1:36" ht="33.75" customHeight="1">
      <c r="A46" s="213"/>
      <c r="B46" s="214">
        <f ca="1">IFERROR(__xludf.DUMMYFUNCTION("""COMPUTED_VALUE"""),2815033)</f>
        <v>2815033</v>
      </c>
      <c r="C46" s="215" t="str">
        <f ca="1">IFERROR(__xludf.DUMMYFUNCTION("""COMPUTED_VALUE"""),"Beginner + Intermediate")</f>
        <v>Beginner + Intermediate</v>
      </c>
      <c r="D46" s="216" t="str">
        <f ca="1">IFERROR(__xludf.DUMMYFUNCTION("""COMPUTED_VALUE"""),"Mixtape: Highlights from LinkedIn Learning Courses")</f>
        <v>Mixtape: Highlights from LinkedIn Learning Courses</v>
      </c>
      <c r="E46" s="217"/>
      <c r="F46" s="213"/>
      <c r="G46" s="214"/>
      <c r="H46" s="215"/>
      <c r="I46" s="217"/>
      <c r="J46" s="217"/>
      <c r="K46" s="213"/>
      <c r="L46" s="215"/>
      <c r="M46" s="215"/>
      <c r="N46" s="217"/>
      <c r="O46" s="217"/>
      <c r="P46" s="213"/>
      <c r="Q46" s="215"/>
      <c r="R46" s="215"/>
      <c r="S46" s="217"/>
      <c r="T46" s="217"/>
      <c r="U46" s="213"/>
      <c r="V46" s="215"/>
      <c r="W46" s="215"/>
      <c r="X46" s="217"/>
      <c r="Y46" s="217"/>
      <c r="Z46" s="213"/>
      <c r="AA46" s="215"/>
      <c r="AB46" s="215"/>
      <c r="AC46" s="217"/>
      <c r="AD46" s="217"/>
      <c r="AE46" s="213"/>
      <c r="AF46" s="215"/>
      <c r="AG46" s="215"/>
      <c r="AH46" s="217"/>
      <c r="AI46" s="217"/>
      <c r="AJ46" s="213"/>
    </row>
    <row r="47" spans="1:36" ht="33.75" customHeight="1">
      <c r="A47" s="213"/>
      <c r="B47" s="214">
        <f ca="1">IFERROR(__xludf.DUMMYFUNCTION("""COMPUTED_VALUE"""),659269)</f>
        <v>659269</v>
      </c>
      <c r="C47" s="215" t="str">
        <f ca="1">IFERROR(__xludf.DUMMYFUNCTION("""COMPUTED_VALUE"""),"Beginner + Intermediate")</f>
        <v>Beginner + Intermediate</v>
      </c>
      <c r="D47" s="216" t="str">
        <f ca="1">IFERROR(__xludf.DUMMYFUNCTION("""COMPUTED_VALUE"""),"Managing Stress for Positive Change")</f>
        <v>Managing Stress for Positive Change</v>
      </c>
      <c r="E47" s="217"/>
      <c r="F47" s="213"/>
      <c r="G47" s="214"/>
      <c r="H47" s="215"/>
      <c r="I47" s="217"/>
      <c r="J47" s="217"/>
      <c r="K47" s="213"/>
      <c r="L47" s="215"/>
      <c r="M47" s="215"/>
      <c r="N47" s="217"/>
      <c r="O47" s="217"/>
      <c r="P47" s="213"/>
      <c r="Q47" s="215"/>
      <c r="R47" s="215"/>
      <c r="S47" s="217"/>
      <c r="T47" s="217"/>
      <c r="U47" s="213"/>
      <c r="V47" s="215"/>
      <c r="W47" s="215"/>
      <c r="X47" s="217"/>
      <c r="Y47" s="217"/>
      <c r="Z47" s="213"/>
      <c r="AA47" s="215"/>
      <c r="AB47" s="215"/>
      <c r="AC47" s="217"/>
      <c r="AD47" s="217"/>
      <c r="AE47" s="213"/>
      <c r="AF47" s="215"/>
      <c r="AG47" s="215"/>
      <c r="AH47" s="217"/>
      <c r="AI47" s="217"/>
      <c r="AJ47" s="213"/>
    </row>
    <row r="48" spans="1:36" ht="33.75" customHeight="1">
      <c r="A48" s="213"/>
      <c r="B48" s="214">
        <f ca="1">IFERROR(__xludf.DUMMYFUNCTION("""COMPUTED_VALUE"""),170777)</f>
        <v>170777</v>
      </c>
      <c r="C48" s="215" t="str">
        <f ca="1">IFERROR(__xludf.DUMMYFUNCTION("""COMPUTED_VALUE"""),"General")</f>
        <v>General</v>
      </c>
      <c r="D48" s="216" t="str">
        <f ca="1">IFERROR(__xludf.DUMMYFUNCTION("""COMPUTED_VALUE"""),"Building Resilience")</f>
        <v>Building Resilience</v>
      </c>
      <c r="E48" s="217"/>
      <c r="F48" s="213"/>
      <c r="G48" s="214"/>
      <c r="H48" s="215"/>
      <c r="I48" s="217"/>
      <c r="J48" s="217"/>
      <c r="K48" s="213"/>
      <c r="L48" s="215"/>
      <c r="M48" s="215"/>
      <c r="N48" s="217"/>
      <c r="O48" s="217"/>
      <c r="P48" s="213"/>
      <c r="Q48" s="215"/>
      <c r="R48" s="215"/>
      <c r="S48" s="217"/>
      <c r="T48" s="217"/>
      <c r="U48" s="213"/>
      <c r="V48" s="215"/>
      <c r="W48" s="215"/>
      <c r="X48" s="217"/>
      <c r="Y48" s="217"/>
      <c r="Z48" s="213"/>
      <c r="AA48" s="215"/>
      <c r="AB48" s="215"/>
      <c r="AC48" s="217"/>
      <c r="AD48" s="217"/>
      <c r="AE48" s="213"/>
      <c r="AF48" s="215"/>
      <c r="AG48" s="215"/>
      <c r="AH48" s="217"/>
      <c r="AI48" s="217"/>
      <c r="AJ48" s="213"/>
    </row>
    <row r="49" spans="1:36" ht="33.75" customHeight="1">
      <c r="A49" s="213"/>
      <c r="B49" s="214">
        <f ca="1">IFERROR(__xludf.DUMMYFUNCTION("""COMPUTED_VALUE"""),363225)</f>
        <v>363225</v>
      </c>
      <c r="C49" s="215" t="str">
        <f ca="1">IFERROR(__xludf.DUMMYFUNCTION("""COMPUTED_VALUE"""),"General")</f>
        <v>General</v>
      </c>
      <c r="D49" s="216" t="str">
        <f ca="1">IFERROR(__xludf.DUMMYFUNCTION("""COMPUTED_VALUE"""),"Learning from Failure")</f>
        <v>Learning from Failure</v>
      </c>
      <c r="E49" s="217"/>
      <c r="F49" s="213"/>
      <c r="G49" s="214"/>
      <c r="H49" s="215"/>
      <c r="I49" s="217"/>
      <c r="J49" s="217"/>
      <c r="K49" s="213"/>
      <c r="L49" s="215"/>
      <c r="M49" s="215"/>
      <c r="N49" s="217"/>
      <c r="O49" s="217"/>
      <c r="P49" s="213"/>
      <c r="Q49" s="215"/>
      <c r="R49" s="215"/>
      <c r="S49" s="217"/>
      <c r="T49" s="217"/>
      <c r="U49" s="213"/>
      <c r="V49" s="215"/>
      <c r="W49" s="215"/>
      <c r="X49" s="217"/>
      <c r="Y49" s="217"/>
      <c r="Z49" s="213"/>
      <c r="AA49" s="215"/>
      <c r="AB49" s="215"/>
      <c r="AC49" s="217"/>
      <c r="AD49" s="217"/>
      <c r="AE49" s="213"/>
      <c r="AF49" s="215"/>
      <c r="AG49" s="215"/>
      <c r="AH49" s="217"/>
      <c r="AI49" s="217"/>
      <c r="AJ49" s="213"/>
    </row>
    <row r="50" spans="1:36" ht="33.75" customHeight="1">
      <c r="A50" s="213"/>
      <c r="B50" s="214">
        <f ca="1">IFERROR(__xludf.DUMMYFUNCTION("""COMPUTED_VALUE"""),424116)</f>
        <v>424116</v>
      </c>
      <c r="C50" s="215" t="str">
        <f ca="1">IFERROR(__xludf.DUMMYFUNCTION("""COMPUTED_VALUE"""),"General")</f>
        <v>General</v>
      </c>
      <c r="D50" s="216" t="str">
        <f ca="1">IFERROR(__xludf.DUMMYFUNCTION("""COMPUTED_VALUE"""),"Critical Thinking")</f>
        <v>Critical Thinking</v>
      </c>
      <c r="E50" s="217"/>
      <c r="F50" s="213"/>
      <c r="G50" s="214"/>
      <c r="H50" s="215"/>
      <c r="I50" s="217"/>
      <c r="J50" s="217"/>
      <c r="K50" s="213"/>
      <c r="L50" s="215"/>
      <c r="M50" s="215"/>
      <c r="N50" s="217"/>
      <c r="O50" s="217"/>
      <c r="P50" s="213"/>
      <c r="Q50" s="215"/>
      <c r="R50" s="215"/>
      <c r="S50" s="217"/>
      <c r="T50" s="217"/>
      <c r="U50" s="213"/>
      <c r="V50" s="215"/>
      <c r="W50" s="215"/>
      <c r="X50" s="217"/>
      <c r="Y50" s="217"/>
      <c r="Z50" s="213"/>
      <c r="AA50" s="215"/>
      <c r="AB50" s="215"/>
      <c r="AC50" s="217"/>
      <c r="AD50" s="217"/>
      <c r="AE50" s="213"/>
      <c r="AF50" s="215"/>
      <c r="AG50" s="215"/>
      <c r="AH50" s="217"/>
      <c r="AI50" s="217"/>
      <c r="AJ50" s="213"/>
    </row>
    <row r="51" spans="1:36" ht="33.75" customHeight="1">
      <c r="A51" s="213"/>
      <c r="B51" s="214">
        <f ca="1">IFERROR(__xludf.DUMMYFUNCTION("""COMPUTED_VALUE"""),669533)</f>
        <v>669533</v>
      </c>
      <c r="C51" s="215" t="str">
        <f ca="1">IFERROR(__xludf.DUMMYFUNCTION("""COMPUTED_VALUE"""),"General")</f>
        <v>General</v>
      </c>
      <c r="D51" s="216" t="str">
        <f ca="1">IFERROR(__xludf.DUMMYFUNCTION("""COMPUTED_VALUE"""),"Sheryl Sandberg and Adam Grant on Option B: Building Resilience")</f>
        <v>Sheryl Sandberg and Adam Grant on Option B: Building Resilience</v>
      </c>
      <c r="E51" s="217"/>
      <c r="F51" s="213"/>
      <c r="G51" s="214"/>
      <c r="H51" s="215"/>
      <c r="I51" s="217"/>
      <c r="J51" s="217"/>
      <c r="K51" s="213"/>
      <c r="L51" s="215"/>
      <c r="M51" s="215"/>
      <c r="N51" s="217"/>
      <c r="O51" s="217"/>
      <c r="P51" s="213"/>
      <c r="Q51" s="215"/>
      <c r="R51" s="215"/>
      <c r="S51" s="217"/>
      <c r="T51" s="217"/>
      <c r="U51" s="213"/>
      <c r="V51" s="215"/>
      <c r="W51" s="215"/>
      <c r="X51" s="217"/>
      <c r="Y51" s="217"/>
      <c r="Z51" s="213"/>
      <c r="AA51" s="215"/>
      <c r="AB51" s="215"/>
      <c r="AC51" s="217"/>
      <c r="AD51" s="217"/>
      <c r="AE51" s="213"/>
      <c r="AF51" s="215"/>
      <c r="AG51" s="215"/>
      <c r="AH51" s="217"/>
      <c r="AI51" s="217"/>
      <c r="AJ51" s="213"/>
    </row>
    <row r="52" spans="1:36" ht="33.75" customHeight="1">
      <c r="A52" s="213"/>
      <c r="B52" s="214">
        <f ca="1">IFERROR(__xludf.DUMMYFUNCTION("""COMPUTED_VALUE"""),718618)</f>
        <v>718618</v>
      </c>
      <c r="C52" s="215" t="str">
        <f ca="1">IFERROR(__xludf.DUMMYFUNCTION("""COMPUTED_VALUE"""),"General")</f>
        <v>General</v>
      </c>
      <c r="D52" s="216" t="str">
        <f ca="1">IFERROR(__xludf.DUMMYFUNCTION("""COMPUTED_VALUE"""),"Enhancing Resilience")</f>
        <v>Enhancing Resilience</v>
      </c>
      <c r="E52" s="217"/>
      <c r="F52" s="213"/>
      <c r="G52" s="214"/>
      <c r="H52" s="215"/>
      <c r="I52" s="217"/>
      <c r="J52" s="217"/>
      <c r="K52" s="213"/>
      <c r="L52" s="215"/>
      <c r="M52" s="215"/>
      <c r="N52" s="217"/>
      <c r="O52" s="217"/>
      <c r="P52" s="213"/>
      <c r="Q52" s="215"/>
      <c r="R52" s="215"/>
      <c r="S52" s="217"/>
      <c r="T52" s="217"/>
      <c r="U52" s="213"/>
      <c r="V52" s="215"/>
      <c r="W52" s="215"/>
      <c r="X52" s="217"/>
      <c r="Y52" s="217"/>
      <c r="Z52" s="213"/>
      <c r="AA52" s="215"/>
      <c r="AB52" s="215"/>
      <c r="AC52" s="217"/>
      <c r="AD52" s="217"/>
      <c r="AE52" s="213"/>
      <c r="AF52" s="215"/>
      <c r="AG52" s="215"/>
      <c r="AH52" s="217"/>
      <c r="AI52" s="217"/>
      <c r="AJ52" s="213"/>
    </row>
    <row r="53" spans="1:36" ht="33.75" customHeight="1">
      <c r="A53" s="213"/>
      <c r="B53" s="214">
        <f ca="1">IFERROR(__xludf.DUMMYFUNCTION("""COMPUTED_VALUE"""),718628)</f>
        <v>718628</v>
      </c>
      <c r="C53" s="215" t="str">
        <f ca="1">IFERROR(__xludf.DUMMYFUNCTION("""COMPUTED_VALUE"""),"General")</f>
        <v>General</v>
      </c>
      <c r="D53" s="216" t="str">
        <f ca="1">IFERROR(__xludf.DUMMYFUNCTION("""COMPUTED_VALUE"""),"Cultivating a Growth Mindset")</f>
        <v>Cultivating a Growth Mindset</v>
      </c>
      <c r="E53" s="217"/>
      <c r="F53" s="213"/>
      <c r="G53" s="214"/>
      <c r="H53" s="215"/>
      <c r="I53" s="217"/>
      <c r="J53" s="217"/>
      <c r="K53" s="213"/>
      <c r="L53" s="215"/>
      <c r="M53" s="215"/>
      <c r="N53" s="217"/>
      <c r="O53" s="217"/>
      <c r="P53" s="213"/>
      <c r="Q53" s="215"/>
      <c r="R53" s="215"/>
      <c r="S53" s="217"/>
      <c r="T53" s="217"/>
      <c r="U53" s="213"/>
      <c r="V53" s="215"/>
      <c r="W53" s="215"/>
      <c r="X53" s="217"/>
      <c r="Y53" s="217"/>
      <c r="Z53" s="213"/>
      <c r="AA53" s="215"/>
      <c r="AB53" s="215"/>
      <c r="AC53" s="217"/>
      <c r="AD53" s="217"/>
      <c r="AE53" s="213"/>
      <c r="AF53" s="215"/>
      <c r="AG53" s="215"/>
      <c r="AH53" s="217"/>
      <c r="AI53" s="217"/>
      <c r="AJ53" s="213"/>
    </row>
    <row r="54" spans="1:36" ht="33.75" customHeight="1">
      <c r="A54" s="213"/>
      <c r="B54" s="214">
        <f ca="1">IFERROR(__xludf.DUMMYFUNCTION("""COMPUTED_VALUE"""),777381)</f>
        <v>777381</v>
      </c>
      <c r="C54" s="215" t="str">
        <f ca="1">IFERROR(__xludf.DUMMYFUNCTION("""COMPUTED_VALUE"""),"General")</f>
        <v>General</v>
      </c>
      <c r="D54" s="216" t="str">
        <f ca="1">IFERROR(__xludf.DUMMYFUNCTION("""COMPUTED_VALUE"""),"Delivering Results Effectively")</f>
        <v>Delivering Results Effectively</v>
      </c>
      <c r="E54" s="217"/>
      <c r="F54" s="213"/>
      <c r="G54" s="214"/>
      <c r="H54" s="215"/>
      <c r="I54" s="217"/>
      <c r="J54" s="217"/>
      <c r="K54" s="213"/>
      <c r="L54" s="215"/>
      <c r="M54" s="215"/>
      <c r="N54" s="217"/>
      <c r="O54" s="217"/>
      <c r="P54" s="213"/>
      <c r="Q54" s="215"/>
      <c r="R54" s="215"/>
      <c r="S54" s="217"/>
      <c r="T54" s="217"/>
      <c r="U54" s="213"/>
      <c r="V54" s="215"/>
      <c r="W54" s="215"/>
      <c r="X54" s="217"/>
      <c r="Y54" s="217"/>
      <c r="Z54" s="213"/>
      <c r="AA54" s="215"/>
      <c r="AB54" s="215"/>
      <c r="AC54" s="217"/>
      <c r="AD54" s="217"/>
      <c r="AE54" s="213"/>
      <c r="AF54" s="215"/>
      <c r="AG54" s="215"/>
      <c r="AH54" s="217"/>
      <c r="AI54" s="217"/>
      <c r="AJ54" s="213"/>
    </row>
    <row r="55" spans="1:36" ht="33.75" customHeight="1">
      <c r="A55" s="213"/>
      <c r="B55" s="214">
        <f ca="1">IFERROR(__xludf.DUMMYFUNCTION("""COMPUTED_VALUE"""),5015862)</f>
        <v>5015862</v>
      </c>
      <c r="C55" s="215" t="str">
        <f ca="1">IFERROR(__xludf.DUMMYFUNCTION("""COMPUTED_VALUE"""),"General")</f>
        <v>General</v>
      </c>
      <c r="D55" s="216" t="str">
        <f ca="1">IFERROR(__xludf.DUMMYFUNCTION("""COMPUTED_VALUE"""),"Embracing Unexpected Change")</f>
        <v>Embracing Unexpected Change</v>
      </c>
      <c r="E55" s="217"/>
      <c r="F55" s="213"/>
      <c r="G55" s="214"/>
      <c r="H55" s="215"/>
      <c r="I55" s="217"/>
      <c r="J55" s="217"/>
      <c r="K55" s="213"/>
      <c r="L55" s="215"/>
      <c r="M55" s="215"/>
      <c r="N55" s="217"/>
      <c r="O55" s="217"/>
      <c r="P55" s="213"/>
      <c r="Q55" s="215"/>
      <c r="R55" s="215"/>
      <c r="S55" s="217"/>
      <c r="T55" s="217"/>
      <c r="U55" s="213"/>
      <c r="V55" s="215"/>
      <c r="W55" s="215"/>
      <c r="X55" s="217"/>
      <c r="Y55" s="217"/>
      <c r="Z55" s="213"/>
      <c r="AA55" s="215"/>
      <c r="AB55" s="215"/>
      <c r="AC55" s="217"/>
      <c r="AD55" s="217"/>
      <c r="AE55" s="213"/>
      <c r="AF55" s="215"/>
      <c r="AG55" s="215"/>
      <c r="AH55" s="217"/>
      <c r="AI55" s="217"/>
      <c r="AJ55" s="213"/>
    </row>
    <row r="56" spans="1:36" ht="33.75" customHeight="1">
      <c r="A56" s="213"/>
      <c r="B56" s="214">
        <f ca="1">IFERROR(__xludf.DUMMYFUNCTION("""COMPUTED_VALUE"""),387349)</f>
        <v>387349</v>
      </c>
      <c r="C56" s="215" t="str">
        <f ca="1">IFERROR(__xludf.DUMMYFUNCTION("""COMPUTED_VALUE"""),"General")</f>
        <v>General</v>
      </c>
      <c r="D56" s="216" t="str">
        <f ca="1">IFERROR(__xludf.DUMMYFUNCTION("""COMPUTED_VALUE"""),"Powerless to Powerful: Taking Control")</f>
        <v>Powerless to Powerful: Taking Control</v>
      </c>
      <c r="E56" s="217"/>
      <c r="F56" s="213"/>
      <c r="G56" s="214"/>
      <c r="H56" s="215"/>
      <c r="I56" s="217"/>
      <c r="J56" s="217"/>
      <c r="K56" s="213"/>
      <c r="L56" s="215"/>
      <c r="M56" s="215"/>
      <c r="N56" s="217"/>
      <c r="O56" s="217"/>
      <c r="P56" s="213"/>
      <c r="Q56" s="215"/>
      <c r="R56" s="215"/>
      <c r="S56" s="217"/>
      <c r="T56" s="217"/>
      <c r="U56" s="213"/>
      <c r="V56" s="215"/>
      <c r="W56" s="215"/>
      <c r="X56" s="217"/>
      <c r="Y56" s="217"/>
      <c r="Z56" s="213"/>
      <c r="AA56" s="215"/>
      <c r="AB56" s="215"/>
      <c r="AC56" s="217"/>
      <c r="AD56" s="217"/>
      <c r="AE56" s="213"/>
      <c r="AF56" s="215"/>
      <c r="AG56" s="215"/>
      <c r="AH56" s="217"/>
      <c r="AI56" s="217"/>
      <c r="AJ56" s="213"/>
    </row>
    <row r="57" spans="1:36" ht="33.75" customHeight="1">
      <c r="A57" s="213"/>
      <c r="B57" s="214">
        <f ca="1">IFERROR(__xludf.DUMMYFUNCTION("""COMPUTED_VALUE"""),2834040)</f>
        <v>2834040</v>
      </c>
      <c r="C57" s="215" t="str">
        <f ca="1">IFERROR(__xludf.DUMMYFUNCTION("""COMPUTED_VALUE"""),"General")</f>
        <v>General</v>
      </c>
      <c r="D57" s="216" t="str">
        <f ca="1">IFERROR(__xludf.DUMMYFUNCTION("""COMPUTED_VALUE"""),"How to be an Adaptable Employee During Change and Uncertainty")</f>
        <v>How to be an Adaptable Employee During Change and Uncertainty</v>
      </c>
      <c r="E57" s="217"/>
      <c r="F57" s="213"/>
      <c r="G57" s="214"/>
      <c r="H57" s="215"/>
      <c r="I57" s="217"/>
      <c r="J57" s="217"/>
      <c r="K57" s="213"/>
      <c r="L57" s="215"/>
      <c r="M57" s="215"/>
      <c r="N57" s="217"/>
      <c r="O57" s="217"/>
      <c r="P57" s="213"/>
      <c r="Q57" s="215"/>
      <c r="R57" s="215"/>
      <c r="S57" s="217"/>
      <c r="T57" s="217"/>
      <c r="U57" s="213"/>
      <c r="V57" s="215"/>
      <c r="W57" s="215"/>
      <c r="X57" s="217"/>
      <c r="Y57" s="217"/>
      <c r="Z57" s="213"/>
      <c r="AA57" s="215"/>
      <c r="AB57" s="215"/>
      <c r="AC57" s="217"/>
      <c r="AD57" s="217"/>
      <c r="AE57" s="213"/>
      <c r="AF57" s="215"/>
      <c r="AG57" s="215"/>
      <c r="AH57" s="217"/>
      <c r="AI57" s="217"/>
      <c r="AJ57" s="213"/>
    </row>
    <row r="58" spans="1:36" ht="33.75" customHeight="1">
      <c r="A58" s="213"/>
      <c r="B58" s="214">
        <f ca="1">IFERROR(__xludf.DUMMYFUNCTION("""COMPUTED_VALUE"""),2824219)</f>
        <v>2824219</v>
      </c>
      <c r="C58" s="215" t="str">
        <f ca="1">IFERROR(__xludf.DUMMYFUNCTION("""COMPUTED_VALUE"""),"General")</f>
        <v>General</v>
      </c>
      <c r="D58" s="216" t="str">
        <f ca="1">IFERROR(__xludf.DUMMYFUNCTION("""COMPUTED_VALUE"""),"What Is Scrum?")</f>
        <v>What Is Scrum?</v>
      </c>
      <c r="E58" s="217"/>
      <c r="F58" s="213"/>
      <c r="G58" s="214"/>
      <c r="H58" s="215"/>
      <c r="I58" s="217"/>
      <c r="J58" s="217"/>
      <c r="K58" s="213"/>
      <c r="L58" s="215"/>
      <c r="M58" s="215"/>
      <c r="N58" s="217"/>
      <c r="O58" s="217"/>
      <c r="P58" s="213"/>
      <c r="Q58" s="215"/>
      <c r="R58" s="215"/>
      <c r="S58" s="217"/>
      <c r="T58" s="217"/>
      <c r="U58" s="213"/>
      <c r="V58" s="215"/>
      <c r="W58" s="215"/>
      <c r="X58" s="217"/>
      <c r="Y58" s="217"/>
      <c r="Z58" s="213"/>
      <c r="AA58" s="215"/>
      <c r="AB58" s="215"/>
      <c r="AC58" s="217"/>
      <c r="AD58" s="217"/>
      <c r="AE58" s="213"/>
      <c r="AF58" s="215"/>
      <c r="AG58" s="215"/>
      <c r="AH58" s="217"/>
      <c r="AI58" s="217"/>
      <c r="AJ58" s="213"/>
    </row>
    <row r="59" spans="1:36" ht="33.75" customHeight="1">
      <c r="A59" s="213"/>
      <c r="B59" s="214">
        <f ca="1">IFERROR(__xludf.DUMMYFUNCTION("""COMPUTED_VALUE"""),2841516)</f>
        <v>2841516</v>
      </c>
      <c r="C59" s="215" t="str">
        <f ca="1">IFERROR(__xludf.DUMMYFUNCTION("""COMPUTED_VALUE"""),"General")</f>
        <v>General</v>
      </c>
      <c r="D59" s="216" t="str">
        <f ca="1">IFERROR(__xludf.DUMMYFUNCTION("""COMPUTED_VALUE"""),"Balancing Work and Life as a Work-from-Home Parent")</f>
        <v>Balancing Work and Life as a Work-from-Home Parent</v>
      </c>
      <c r="E59" s="217"/>
      <c r="F59" s="213"/>
      <c r="G59" s="214"/>
      <c r="H59" s="215"/>
      <c r="I59" s="217"/>
      <c r="J59" s="217"/>
      <c r="K59" s="213"/>
      <c r="L59" s="215"/>
      <c r="M59" s="215"/>
      <c r="N59" s="217"/>
      <c r="O59" s="217"/>
      <c r="P59" s="213"/>
      <c r="Q59" s="215"/>
      <c r="R59" s="215"/>
      <c r="S59" s="217"/>
      <c r="T59" s="217"/>
      <c r="U59" s="213"/>
      <c r="V59" s="215"/>
      <c r="W59" s="215"/>
      <c r="X59" s="217"/>
      <c r="Y59" s="217"/>
      <c r="Z59" s="213"/>
      <c r="AA59" s="215"/>
      <c r="AB59" s="215"/>
      <c r="AC59" s="217"/>
      <c r="AD59" s="217"/>
      <c r="AE59" s="213"/>
      <c r="AF59" s="215"/>
      <c r="AG59" s="215"/>
      <c r="AH59" s="217"/>
      <c r="AI59" s="217"/>
      <c r="AJ59" s="213"/>
    </row>
    <row r="60" spans="1:36" ht="33.75" customHeight="1">
      <c r="A60" s="213"/>
      <c r="B60" s="214">
        <f ca="1">IFERROR(__xludf.DUMMYFUNCTION("""COMPUTED_VALUE"""),2805117)</f>
        <v>2805117</v>
      </c>
      <c r="C60" s="215" t="str">
        <f ca="1">IFERROR(__xludf.DUMMYFUNCTION("""COMPUTED_VALUE"""),"General")</f>
        <v>General</v>
      </c>
      <c r="D60" s="216" t="str">
        <f ca="1">IFERROR(__xludf.DUMMYFUNCTION("""COMPUTED_VALUE"""),"Managing Career Burnout")</f>
        <v>Managing Career Burnout</v>
      </c>
      <c r="E60" s="217"/>
      <c r="F60" s="213"/>
      <c r="G60" s="214"/>
      <c r="H60" s="215"/>
      <c r="I60" s="217"/>
      <c r="J60" s="217"/>
      <c r="K60" s="213"/>
      <c r="L60" s="215"/>
      <c r="M60" s="215"/>
      <c r="N60" s="217"/>
      <c r="O60" s="217"/>
      <c r="P60" s="213"/>
      <c r="Q60" s="215"/>
      <c r="R60" s="215"/>
      <c r="S60" s="217"/>
      <c r="T60" s="217"/>
      <c r="U60" s="213"/>
      <c r="V60" s="215"/>
      <c r="W60" s="215"/>
      <c r="X60" s="217"/>
      <c r="Y60" s="217"/>
      <c r="Z60" s="213"/>
      <c r="AA60" s="215"/>
      <c r="AB60" s="215"/>
      <c r="AC60" s="217"/>
      <c r="AD60" s="217"/>
      <c r="AE60" s="213"/>
      <c r="AF60" s="215"/>
      <c r="AG60" s="215"/>
      <c r="AH60" s="217"/>
      <c r="AI60" s="217"/>
      <c r="AJ60" s="213"/>
    </row>
    <row r="61" spans="1:36" ht="33.75" customHeight="1">
      <c r="A61" s="213"/>
      <c r="B61" s="214">
        <f ca="1">IFERROR(__xludf.DUMMYFUNCTION("""COMPUTED_VALUE"""),2849188)</f>
        <v>2849188</v>
      </c>
      <c r="C61" s="215" t="str">
        <f ca="1">IFERROR(__xludf.DUMMYFUNCTION("""COMPUTED_VALUE"""),"General")</f>
        <v>General</v>
      </c>
      <c r="D61" s="216" t="str">
        <f ca="1">IFERROR(__xludf.DUMMYFUNCTION("""COMPUTED_VALUE"""),"Working from Home: Strategies for Success")</f>
        <v>Working from Home: Strategies for Success</v>
      </c>
      <c r="E61" s="217"/>
      <c r="F61" s="213"/>
      <c r="G61" s="214"/>
      <c r="H61" s="215"/>
      <c r="I61" s="217"/>
      <c r="J61" s="217"/>
      <c r="K61" s="213"/>
      <c r="L61" s="215"/>
      <c r="M61" s="215"/>
      <c r="N61" s="217"/>
      <c r="O61" s="217"/>
      <c r="P61" s="213"/>
      <c r="Q61" s="215"/>
      <c r="R61" s="215"/>
      <c r="S61" s="217"/>
      <c r="T61" s="217"/>
      <c r="U61" s="213"/>
      <c r="V61" s="215"/>
      <c r="W61" s="215"/>
      <c r="X61" s="217"/>
      <c r="Y61" s="217"/>
      <c r="Z61" s="213"/>
      <c r="AA61" s="215"/>
      <c r="AB61" s="215"/>
      <c r="AC61" s="217"/>
      <c r="AD61" s="217"/>
      <c r="AE61" s="213"/>
      <c r="AF61" s="215"/>
      <c r="AG61" s="215"/>
      <c r="AH61" s="217"/>
      <c r="AI61" s="217"/>
      <c r="AJ61" s="213"/>
    </row>
    <row r="62" spans="1:36" ht="33.75" customHeight="1">
      <c r="A62" s="213"/>
      <c r="B62" s="214">
        <f ca="1">IFERROR(__xludf.DUMMYFUNCTION("""COMPUTED_VALUE"""),2883208)</f>
        <v>2883208</v>
      </c>
      <c r="C62" s="215" t="str">
        <f ca="1">IFERROR(__xludf.DUMMYFUNCTION("""COMPUTED_VALUE"""),"General")</f>
        <v>General</v>
      </c>
      <c r="D62" s="216" t="str">
        <f ca="1">IFERROR(__xludf.DUMMYFUNCTION("""COMPUTED_VALUE"""),"Enhance Productivity in a Hybrid Work Environment")</f>
        <v>Enhance Productivity in a Hybrid Work Environment</v>
      </c>
      <c r="E62" s="217"/>
      <c r="F62" s="213"/>
      <c r="G62" s="214"/>
      <c r="H62" s="215"/>
      <c r="I62" s="217"/>
      <c r="J62" s="217"/>
      <c r="K62" s="213"/>
      <c r="L62" s="215"/>
      <c r="M62" s="215"/>
      <c r="N62" s="217"/>
      <c r="O62" s="217"/>
      <c r="P62" s="213"/>
      <c r="Q62" s="215"/>
      <c r="R62" s="215"/>
      <c r="S62" s="217"/>
      <c r="T62" s="217"/>
      <c r="U62" s="213"/>
      <c r="V62" s="215"/>
      <c r="W62" s="215"/>
      <c r="X62" s="217"/>
      <c r="Y62" s="217"/>
      <c r="Z62" s="213"/>
      <c r="AA62" s="215"/>
      <c r="AB62" s="215"/>
      <c r="AC62" s="217"/>
      <c r="AD62" s="217"/>
      <c r="AE62" s="213"/>
      <c r="AF62" s="215"/>
      <c r="AG62" s="215"/>
      <c r="AH62" s="217"/>
      <c r="AI62" s="217"/>
      <c r="AJ62" s="213"/>
    </row>
    <row r="63" spans="1:36" ht="33.75" customHeight="1">
      <c r="A63" s="213"/>
      <c r="B63" s="214">
        <f ca="1">IFERROR(__xludf.DUMMYFUNCTION("""COMPUTED_VALUE"""),2887258)</f>
        <v>2887258</v>
      </c>
      <c r="C63" s="215" t="str">
        <f ca="1">IFERROR(__xludf.DUMMYFUNCTION("""COMPUTED_VALUE"""),"General")</f>
        <v>General</v>
      </c>
      <c r="D63" s="216" t="str">
        <f ca="1">IFERROR(__xludf.DUMMYFUNCTION("""COMPUTED_VALUE"""),"Reframing: The Power of Changing Your Perspective")</f>
        <v>Reframing: The Power of Changing Your Perspective</v>
      </c>
      <c r="E63" s="217"/>
      <c r="F63" s="213"/>
      <c r="G63" s="214"/>
      <c r="H63" s="215"/>
      <c r="I63" s="217"/>
      <c r="J63" s="217"/>
      <c r="K63" s="213"/>
      <c r="L63" s="215"/>
      <c r="M63" s="215"/>
      <c r="N63" s="217"/>
      <c r="O63" s="217"/>
      <c r="P63" s="213"/>
      <c r="Q63" s="215"/>
      <c r="R63" s="215"/>
      <c r="S63" s="217"/>
      <c r="T63" s="217"/>
      <c r="U63" s="213"/>
      <c r="V63" s="215"/>
      <c r="W63" s="215"/>
      <c r="X63" s="217"/>
      <c r="Y63" s="217"/>
      <c r="Z63" s="213"/>
      <c r="AA63" s="215"/>
      <c r="AB63" s="215"/>
      <c r="AC63" s="217"/>
      <c r="AD63" s="217"/>
      <c r="AE63" s="213"/>
      <c r="AF63" s="215"/>
      <c r="AG63" s="215"/>
      <c r="AH63" s="217"/>
      <c r="AI63" s="217"/>
      <c r="AJ63" s="213"/>
    </row>
    <row r="64" spans="1:36" ht="33.75" customHeight="1">
      <c r="A64" s="213"/>
      <c r="B64" s="214">
        <f ca="1">IFERROR(__xludf.DUMMYFUNCTION("""COMPUTED_VALUE"""),2896887)</f>
        <v>2896887</v>
      </c>
      <c r="C64" s="215" t="str">
        <f ca="1">IFERROR(__xludf.DUMMYFUNCTION("""COMPUTED_VALUE"""),"General")</f>
        <v>General</v>
      </c>
      <c r="D64" s="216" t="str">
        <f ca="1">IFERROR(__xludf.DUMMYFUNCTION("""COMPUTED_VALUE"""),"Reshuffle: A Special Series on the New World of Work")</f>
        <v>Reshuffle: A Special Series on the New World of Work</v>
      </c>
      <c r="E64" s="217"/>
      <c r="F64" s="213"/>
      <c r="G64" s="214"/>
      <c r="H64" s="215"/>
      <c r="I64" s="217"/>
      <c r="J64" s="217"/>
      <c r="K64" s="213"/>
      <c r="L64" s="215"/>
      <c r="M64" s="215"/>
      <c r="N64" s="217"/>
      <c r="O64" s="217"/>
      <c r="P64" s="213"/>
      <c r="Q64" s="215"/>
      <c r="R64" s="215"/>
      <c r="S64" s="217"/>
      <c r="T64" s="217"/>
      <c r="U64" s="213"/>
      <c r="V64" s="215"/>
      <c r="W64" s="215"/>
      <c r="X64" s="217"/>
      <c r="Y64" s="217"/>
      <c r="Z64" s="213"/>
      <c r="AA64" s="215"/>
      <c r="AB64" s="215"/>
      <c r="AC64" s="217"/>
      <c r="AD64" s="217"/>
      <c r="AE64" s="213"/>
      <c r="AF64" s="215"/>
      <c r="AG64" s="215"/>
      <c r="AH64" s="217"/>
      <c r="AI64" s="217"/>
      <c r="AJ64" s="213"/>
    </row>
    <row r="65" spans="1:36" ht="33.75" customHeight="1">
      <c r="A65" s="213"/>
      <c r="B65" s="214">
        <f ca="1">IFERROR(__xludf.DUMMYFUNCTION("""COMPUTED_VALUE"""),636110)</f>
        <v>636110</v>
      </c>
      <c r="C65" s="215" t="str">
        <f ca="1">IFERROR(__xludf.DUMMYFUNCTION("""COMPUTED_VALUE"""),"Intermediate")</f>
        <v>Intermediate</v>
      </c>
      <c r="D65" s="216" t="str">
        <f ca="1">IFERROR(__xludf.DUMMYFUNCTION("""COMPUTED_VALUE"""),"Taking Charge of Technology for Maximum Productivity")</f>
        <v>Taking Charge of Technology for Maximum Productivity</v>
      </c>
      <c r="E65" s="217"/>
      <c r="F65" s="213"/>
      <c r="G65" s="214"/>
      <c r="H65" s="215"/>
      <c r="I65" s="217"/>
      <c r="J65" s="217"/>
      <c r="K65" s="213"/>
      <c r="L65" s="215"/>
      <c r="M65" s="215"/>
      <c r="N65" s="217"/>
      <c r="O65" s="217"/>
      <c r="P65" s="213"/>
      <c r="Q65" s="215"/>
      <c r="R65" s="215"/>
      <c r="S65" s="217"/>
      <c r="T65" s="217"/>
      <c r="U65" s="213"/>
      <c r="V65" s="215"/>
      <c r="W65" s="215"/>
      <c r="X65" s="217"/>
      <c r="Y65" s="217"/>
      <c r="Z65" s="213"/>
      <c r="AA65" s="215"/>
      <c r="AB65" s="215"/>
      <c r="AC65" s="217"/>
      <c r="AD65" s="217"/>
      <c r="AE65" s="213"/>
      <c r="AF65" s="215"/>
      <c r="AG65" s="215"/>
      <c r="AH65" s="217"/>
      <c r="AI65" s="217"/>
      <c r="AJ65" s="213"/>
    </row>
    <row r="66" spans="1:36" ht="33.75" customHeight="1">
      <c r="A66" s="213"/>
      <c r="B66" s="214">
        <f ca="1">IFERROR(__xludf.DUMMYFUNCTION("""COMPUTED_VALUE"""),699331)</f>
        <v>699331</v>
      </c>
      <c r="C66" s="215" t="str">
        <f ca="1">IFERROR(__xludf.DUMMYFUNCTION("""COMPUTED_VALUE"""),"Intermediate")</f>
        <v>Intermediate</v>
      </c>
      <c r="D66" s="216" t="str">
        <f ca="1">IFERROR(__xludf.DUMMYFUNCTION("""COMPUTED_VALUE"""),"Adaptive Project Leadership")</f>
        <v>Adaptive Project Leadership</v>
      </c>
      <c r="E66" s="217"/>
      <c r="F66" s="213"/>
      <c r="G66" s="214"/>
      <c r="H66" s="215"/>
      <c r="I66" s="217"/>
      <c r="J66" s="217"/>
      <c r="K66" s="213"/>
      <c r="L66" s="215"/>
      <c r="M66" s="215"/>
      <c r="N66" s="217"/>
      <c r="O66" s="217"/>
      <c r="P66" s="213"/>
      <c r="Q66" s="215"/>
      <c r="R66" s="215"/>
      <c r="S66" s="217"/>
      <c r="T66" s="217"/>
      <c r="U66" s="213"/>
      <c r="V66" s="215"/>
      <c r="W66" s="215"/>
      <c r="X66" s="217"/>
      <c r="Y66" s="217"/>
      <c r="Z66" s="213"/>
      <c r="AA66" s="215"/>
      <c r="AB66" s="215"/>
      <c r="AC66" s="217"/>
      <c r="AD66" s="217"/>
      <c r="AE66" s="213"/>
      <c r="AF66" s="215"/>
      <c r="AG66" s="215"/>
      <c r="AH66" s="217"/>
      <c r="AI66" s="217"/>
      <c r="AJ66" s="213"/>
    </row>
    <row r="67" spans="1:36" ht="33.75" customHeight="1">
      <c r="A67" s="213"/>
      <c r="B67" s="214">
        <f ca="1">IFERROR(__xludf.DUMMYFUNCTION("""COMPUTED_VALUE"""),753898)</f>
        <v>753898</v>
      </c>
      <c r="C67" s="215" t="str">
        <f ca="1">IFERROR(__xludf.DUMMYFUNCTION("""COMPUTED_VALUE"""),"Intermediate")</f>
        <v>Intermediate</v>
      </c>
      <c r="D67" s="216" t="str">
        <f ca="1">IFERROR(__xludf.DUMMYFUNCTION("""COMPUTED_VALUE"""),"Cultivating Mental Agility")</f>
        <v>Cultivating Mental Agility</v>
      </c>
      <c r="E67" s="217"/>
      <c r="F67" s="213"/>
      <c r="G67" s="214"/>
      <c r="H67" s="215"/>
      <c r="I67" s="217"/>
      <c r="J67" s="217"/>
      <c r="K67" s="213"/>
      <c r="L67" s="215"/>
      <c r="M67" s="215"/>
      <c r="N67" s="217"/>
      <c r="O67" s="217"/>
      <c r="P67" s="213"/>
      <c r="Q67" s="215"/>
      <c r="R67" s="215"/>
      <c r="S67" s="217"/>
      <c r="T67" s="217"/>
      <c r="U67" s="213"/>
      <c r="V67" s="215"/>
      <c r="W67" s="215"/>
      <c r="X67" s="217"/>
      <c r="Y67" s="217"/>
      <c r="Z67" s="213"/>
      <c r="AA67" s="215"/>
      <c r="AB67" s="215"/>
      <c r="AC67" s="217"/>
      <c r="AD67" s="217"/>
      <c r="AE67" s="213"/>
      <c r="AF67" s="215"/>
      <c r="AG67" s="215"/>
      <c r="AH67" s="217"/>
      <c r="AI67" s="217"/>
      <c r="AJ67" s="213"/>
    </row>
    <row r="68" spans="1:36" ht="33.75" customHeight="1">
      <c r="A68" s="213"/>
      <c r="B68" s="214">
        <f ca="1">IFERROR(__xludf.DUMMYFUNCTION("""COMPUTED_VALUE"""),794117)</f>
        <v>794117</v>
      </c>
      <c r="C68" s="215" t="str">
        <f ca="1">IFERROR(__xludf.DUMMYFUNCTION("""COMPUTED_VALUE"""),"Intermediate")</f>
        <v>Intermediate</v>
      </c>
      <c r="D68" s="216" t="str">
        <f ca="1">IFERROR(__xludf.DUMMYFUNCTION("""COMPUTED_VALUE"""),"Your L&amp;D Organization as a Competitive Advantage")</f>
        <v>Your L&amp;D Organization as a Competitive Advantage</v>
      </c>
      <c r="E68" s="217"/>
      <c r="F68" s="213"/>
      <c r="G68" s="214"/>
      <c r="H68" s="215"/>
      <c r="I68" s="217"/>
      <c r="J68" s="217"/>
      <c r="K68" s="213"/>
      <c r="L68" s="215"/>
      <c r="M68" s="215"/>
      <c r="N68" s="217"/>
      <c r="O68" s="217"/>
      <c r="P68" s="213"/>
      <c r="Q68" s="215"/>
      <c r="R68" s="215"/>
      <c r="S68" s="217"/>
      <c r="T68" s="217"/>
      <c r="U68" s="213"/>
      <c r="V68" s="215"/>
      <c r="W68" s="215"/>
      <c r="X68" s="217"/>
      <c r="Y68" s="217"/>
      <c r="Z68" s="213"/>
      <c r="AA68" s="215"/>
      <c r="AB68" s="215"/>
      <c r="AC68" s="217"/>
      <c r="AD68" s="217"/>
      <c r="AE68" s="213"/>
      <c r="AF68" s="215"/>
      <c r="AG68" s="215"/>
      <c r="AH68" s="217"/>
      <c r="AI68" s="217"/>
      <c r="AJ68" s="213"/>
    </row>
    <row r="69" spans="1:36" ht="33.75" customHeight="1">
      <c r="A69" s="213"/>
      <c r="B69" s="214"/>
      <c r="C69" s="215"/>
      <c r="D69" s="216"/>
      <c r="E69" s="217"/>
      <c r="F69" s="213"/>
      <c r="G69" s="214"/>
      <c r="H69" s="215"/>
      <c r="I69" s="217"/>
      <c r="J69" s="217"/>
      <c r="K69" s="213"/>
      <c r="L69" s="215"/>
      <c r="M69" s="215"/>
      <c r="N69" s="217"/>
      <c r="O69" s="217"/>
      <c r="P69" s="213"/>
      <c r="Q69" s="215"/>
      <c r="R69" s="215"/>
      <c r="S69" s="217"/>
      <c r="T69" s="217"/>
      <c r="U69" s="213"/>
      <c r="V69" s="215"/>
      <c r="W69" s="215"/>
      <c r="X69" s="217"/>
      <c r="Y69" s="217"/>
      <c r="Z69" s="213"/>
      <c r="AA69" s="215"/>
      <c r="AB69" s="215"/>
      <c r="AC69" s="217"/>
      <c r="AD69" s="217"/>
      <c r="AE69" s="213"/>
      <c r="AF69" s="215"/>
      <c r="AG69" s="215"/>
      <c r="AH69" s="217"/>
      <c r="AI69" s="217"/>
      <c r="AJ69" s="213"/>
    </row>
    <row r="70" spans="1:36" ht="33.75" customHeight="1">
      <c r="A70" s="213"/>
      <c r="B70" s="214"/>
      <c r="C70" s="215"/>
      <c r="D70" s="216"/>
      <c r="E70" s="217"/>
      <c r="F70" s="213"/>
      <c r="G70" s="214"/>
      <c r="H70" s="215"/>
      <c r="I70" s="217"/>
      <c r="J70" s="217"/>
      <c r="K70" s="213"/>
      <c r="L70" s="215"/>
      <c r="M70" s="215"/>
      <c r="N70" s="217"/>
      <c r="O70" s="217"/>
      <c r="P70" s="213"/>
      <c r="Q70" s="215"/>
      <c r="R70" s="215"/>
      <c r="S70" s="217"/>
      <c r="T70" s="217"/>
      <c r="U70" s="213"/>
      <c r="V70" s="215"/>
      <c r="W70" s="215"/>
      <c r="X70" s="217"/>
      <c r="Y70" s="217"/>
      <c r="Z70" s="213"/>
      <c r="AA70" s="215"/>
      <c r="AB70" s="215"/>
      <c r="AC70" s="217"/>
      <c r="AD70" s="217"/>
      <c r="AE70" s="213"/>
      <c r="AF70" s="215"/>
      <c r="AG70" s="215"/>
      <c r="AH70" s="217"/>
      <c r="AI70" s="217"/>
      <c r="AJ70" s="213"/>
    </row>
    <row r="71" spans="1:36" ht="33.75" customHeight="1">
      <c r="A71" s="213"/>
      <c r="B71" s="214"/>
      <c r="C71" s="215"/>
      <c r="D71" s="216"/>
      <c r="E71" s="217"/>
      <c r="F71" s="213"/>
      <c r="G71" s="214"/>
      <c r="H71" s="215"/>
      <c r="I71" s="217"/>
      <c r="J71" s="217"/>
      <c r="K71" s="213"/>
      <c r="L71" s="215"/>
      <c r="M71" s="215"/>
      <c r="N71" s="217"/>
      <c r="O71" s="217"/>
      <c r="P71" s="213"/>
      <c r="Q71" s="215"/>
      <c r="R71" s="215"/>
      <c r="S71" s="217"/>
      <c r="T71" s="217"/>
      <c r="U71" s="213"/>
      <c r="V71" s="215"/>
      <c r="W71" s="215"/>
      <c r="X71" s="217"/>
      <c r="Y71" s="217"/>
      <c r="Z71" s="213"/>
      <c r="AA71" s="215"/>
      <c r="AB71" s="215"/>
      <c r="AC71" s="217"/>
      <c r="AD71" s="217"/>
      <c r="AE71" s="213"/>
      <c r="AF71" s="215"/>
      <c r="AG71" s="215"/>
      <c r="AH71" s="217"/>
      <c r="AI71" s="217"/>
      <c r="AJ71" s="213"/>
    </row>
    <row r="72" spans="1:36" ht="33.75" customHeight="1">
      <c r="A72" s="213"/>
      <c r="B72" s="214"/>
      <c r="C72" s="215"/>
      <c r="D72" s="216"/>
      <c r="E72" s="217"/>
      <c r="F72" s="213"/>
      <c r="G72" s="214"/>
      <c r="H72" s="215"/>
      <c r="I72" s="217"/>
      <c r="J72" s="217"/>
      <c r="K72" s="213"/>
      <c r="L72" s="215"/>
      <c r="M72" s="215"/>
      <c r="N72" s="217"/>
      <c r="O72" s="217"/>
      <c r="P72" s="213"/>
      <c r="Q72" s="215"/>
      <c r="R72" s="215"/>
      <c r="S72" s="217"/>
      <c r="T72" s="217"/>
      <c r="U72" s="213"/>
      <c r="V72" s="215"/>
      <c r="W72" s="215"/>
      <c r="X72" s="217"/>
      <c r="Y72" s="217"/>
      <c r="Z72" s="213"/>
      <c r="AA72" s="215"/>
      <c r="AB72" s="215"/>
      <c r="AC72" s="217"/>
      <c r="AD72" s="217"/>
      <c r="AE72" s="213"/>
      <c r="AF72" s="215"/>
      <c r="AG72" s="215"/>
      <c r="AH72" s="217"/>
      <c r="AI72" s="217"/>
      <c r="AJ72" s="213"/>
    </row>
    <row r="73" spans="1:36" ht="33.75" customHeight="1">
      <c r="A73" s="213"/>
      <c r="B73" s="214"/>
      <c r="C73" s="215"/>
      <c r="D73" s="216"/>
      <c r="E73" s="217"/>
      <c r="F73" s="213"/>
      <c r="G73" s="214"/>
      <c r="H73" s="215"/>
      <c r="I73" s="217"/>
      <c r="J73" s="217"/>
      <c r="K73" s="213"/>
      <c r="L73" s="215"/>
      <c r="M73" s="215"/>
      <c r="N73" s="217"/>
      <c r="O73" s="217"/>
      <c r="P73" s="213"/>
      <c r="Q73" s="215"/>
      <c r="R73" s="215"/>
      <c r="S73" s="217"/>
      <c r="T73" s="217"/>
      <c r="U73" s="213"/>
      <c r="V73" s="215"/>
      <c r="W73" s="215"/>
      <c r="X73" s="217"/>
      <c r="Y73" s="217"/>
      <c r="Z73" s="213"/>
      <c r="AA73" s="215"/>
      <c r="AB73" s="215"/>
      <c r="AC73" s="217"/>
      <c r="AD73" s="217"/>
      <c r="AE73" s="213"/>
      <c r="AF73" s="215"/>
      <c r="AG73" s="215"/>
      <c r="AH73" s="217"/>
      <c r="AI73" s="217"/>
      <c r="AJ73" s="213"/>
    </row>
    <row r="74" spans="1:36" ht="33.75" customHeight="1">
      <c r="A74" s="213"/>
      <c r="B74" s="214"/>
      <c r="C74" s="215"/>
      <c r="D74" s="216"/>
      <c r="E74" s="217"/>
      <c r="F74" s="213"/>
      <c r="G74" s="214"/>
      <c r="H74" s="215"/>
      <c r="I74" s="217"/>
      <c r="J74" s="217"/>
      <c r="K74" s="213"/>
      <c r="L74" s="215"/>
      <c r="M74" s="215"/>
      <c r="N74" s="217"/>
      <c r="O74" s="217"/>
      <c r="P74" s="213"/>
      <c r="Q74" s="215"/>
      <c r="R74" s="215"/>
      <c r="S74" s="217"/>
      <c r="T74" s="217"/>
      <c r="U74" s="213"/>
      <c r="V74" s="215"/>
      <c r="W74" s="215"/>
      <c r="X74" s="217"/>
      <c r="Y74" s="217"/>
      <c r="Z74" s="213"/>
      <c r="AA74" s="215"/>
      <c r="AB74" s="215"/>
      <c r="AC74" s="217"/>
      <c r="AD74" s="217"/>
      <c r="AE74" s="213"/>
      <c r="AF74" s="215"/>
      <c r="AG74" s="215"/>
      <c r="AH74" s="217"/>
      <c r="AI74" s="217"/>
      <c r="AJ74" s="213"/>
    </row>
    <row r="75" spans="1:36" ht="33.75" customHeight="1">
      <c r="A75" s="213"/>
      <c r="B75" s="214"/>
      <c r="C75" s="215"/>
      <c r="D75" s="216"/>
      <c r="E75" s="217"/>
      <c r="F75" s="213"/>
      <c r="G75" s="214"/>
      <c r="H75" s="215"/>
      <c r="I75" s="217"/>
      <c r="J75" s="217"/>
      <c r="K75" s="213"/>
      <c r="L75" s="215"/>
      <c r="M75" s="215"/>
      <c r="N75" s="217"/>
      <c r="O75" s="217"/>
      <c r="P75" s="213"/>
      <c r="Q75" s="215"/>
      <c r="R75" s="215"/>
      <c r="S75" s="217"/>
      <c r="T75" s="217"/>
      <c r="U75" s="213"/>
      <c r="V75" s="215"/>
      <c r="W75" s="215"/>
      <c r="X75" s="217"/>
      <c r="Y75" s="217"/>
      <c r="Z75" s="213"/>
      <c r="AA75" s="215"/>
      <c r="AB75" s="215"/>
      <c r="AC75" s="217"/>
      <c r="AD75" s="217"/>
      <c r="AE75" s="213"/>
      <c r="AF75" s="215"/>
      <c r="AG75" s="215"/>
      <c r="AH75" s="217"/>
      <c r="AI75" s="217"/>
      <c r="AJ75" s="213"/>
    </row>
    <row r="76" spans="1:36" ht="33.75" customHeight="1">
      <c r="A76" s="213"/>
      <c r="B76" s="214"/>
      <c r="C76" s="215"/>
      <c r="D76" s="216"/>
      <c r="E76" s="217"/>
      <c r="F76" s="213"/>
      <c r="G76" s="214"/>
      <c r="H76" s="215"/>
      <c r="I76" s="217"/>
      <c r="J76" s="217"/>
      <c r="K76" s="213"/>
      <c r="L76" s="215"/>
      <c r="M76" s="215"/>
      <c r="N76" s="217"/>
      <c r="O76" s="217"/>
      <c r="P76" s="213"/>
      <c r="Q76" s="215"/>
      <c r="R76" s="215"/>
      <c r="S76" s="217"/>
      <c r="T76" s="217"/>
      <c r="U76" s="213"/>
      <c r="V76" s="215"/>
      <c r="W76" s="215"/>
      <c r="X76" s="217"/>
      <c r="Y76" s="217"/>
      <c r="Z76" s="213"/>
      <c r="AA76" s="215"/>
      <c r="AB76" s="215"/>
      <c r="AC76" s="217"/>
      <c r="AD76" s="217"/>
      <c r="AE76" s="213"/>
      <c r="AF76" s="215"/>
      <c r="AG76" s="215"/>
      <c r="AH76" s="217"/>
      <c r="AI76" s="217"/>
      <c r="AJ76" s="213"/>
    </row>
    <row r="77" spans="1:36" ht="33.75" customHeight="1">
      <c r="A77" s="213"/>
      <c r="B77" s="214"/>
      <c r="C77" s="215"/>
      <c r="D77" s="216"/>
      <c r="E77" s="217"/>
      <c r="F77" s="213"/>
      <c r="G77" s="214"/>
      <c r="H77" s="215"/>
      <c r="I77" s="217"/>
      <c r="J77" s="217"/>
      <c r="K77" s="213"/>
      <c r="L77" s="215"/>
      <c r="M77" s="215"/>
      <c r="N77" s="217"/>
      <c r="O77" s="217"/>
      <c r="P77" s="213"/>
      <c r="Q77" s="215"/>
      <c r="R77" s="215"/>
      <c r="S77" s="217"/>
      <c r="T77" s="217"/>
      <c r="U77" s="213"/>
      <c r="V77" s="215"/>
      <c r="W77" s="215"/>
      <c r="X77" s="217"/>
      <c r="Y77" s="217"/>
      <c r="Z77" s="213"/>
      <c r="AA77" s="215"/>
      <c r="AB77" s="215"/>
      <c r="AC77" s="217"/>
      <c r="AD77" s="217"/>
      <c r="AE77" s="213"/>
      <c r="AF77" s="215"/>
      <c r="AG77" s="215"/>
      <c r="AH77" s="217"/>
      <c r="AI77" s="217"/>
      <c r="AJ77" s="213"/>
    </row>
    <row r="78" spans="1:36" ht="33.75" customHeight="1">
      <c r="A78" s="213"/>
      <c r="B78" s="214"/>
      <c r="C78" s="215"/>
      <c r="D78" s="216"/>
      <c r="E78" s="217"/>
      <c r="F78" s="213"/>
      <c r="G78" s="214"/>
      <c r="H78" s="215"/>
      <c r="I78" s="217"/>
      <c r="J78" s="217"/>
      <c r="K78" s="213"/>
      <c r="L78" s="215"/>
      <c r="M78" s="215"/>
      <c r="N78" s="217"/>
      <c r="O78" s="217"/>
      <c r="P78" s="213"/>
      <c r="Q78" s="215"/>
      <c r="R78" s="215"/>
      <c r="S78" s="217"/>
      <c r="T78" s="217"/>
      <c r="U78" s="213"/>
      <c r="V78" s="215"/>
      <c r="W78" s="215"/>
      <c r="X78" s="217"/>
      <c r="Y78" s="217"/>
      <c r="Z78" s="213"/>
      <c r="AA78" s="215"/>
      <c r="AB78" s="215"/>
      <c r="AC78" s="217"/>
      <c r="AD78" s="217"/>
      <c r="AE78" s="213"/>
      <c r="AF78" s="215"/>
      <c r="AG78" s="215"/>
      <c r="AH78" s="217"/>
      <c r="AI78" s="217"/>
      <c r="AJ78" s="213"/>
    </row>
    <row r="79" spans="1:36" ht="33.75" customHeight="1">
      <c r="A79" s="213"/>
      <c r="B79" s="214"/>
      <c r="C79" s="215"/>
      <c r="D79" s="216"/>
      <c r="E79" s="217"/>
      <c r="F79" s="213"/>
      <c r="G79" s="214"/>
      <c r="H79" s="215"/>
      <c r="I79" s="217"/>
      <c r="J79" s="217"/>
      <c r="K79" s="213"/>
      <c r="L79" s="215"/>
      <c r="M79" s="215"/>
      <c r="N79" s="217"/>
      <c r="O79" s="217"/>
      <c r="P79" s="213"/>
      <c r="Q79" s="215"/>
      <c r="R79" s="215"/>
      <c r="S79" s="217"/>
      <c r="T79" s="217"/>
      <c r="U79" s="213"/>
      <c r="V79" s="215"/>
      <c r="W79" s="215"/>
      <c r="X79" s="217"/>
      <c r="Y79" s="217"/>
      <c r="Z79" s="213"/>
      <c r="AA79" s="215"/>
      <c r="AB79" s="215"/>
      <c r="AC79" s="217"/>
      <c r="AD79" s="217"/>
      <c r="AE79" s="213"/>
      <c r="AF79" s="215"/>
      <c r="AG79" s="215"/>
      <c r="AH79" s="217"/>
      <c r="AI79" s="217"/>
      <c r="AJ79" s="213"/>
    </row>
    <row r="80" spans="1:36" ht="33.75" customHeight="1">
      <c r="A80" s="213"/>
      <c r="B80" s="214"/>
      <c r="C80" s="215"/>
      <c r="D80" s="216"/>
      <c r="E80" s="217"/>
      <c r="F80" s="213"/>
      <c r="G80" s="214"/>
      <c r="H80" s="215"/>
      <c r="I80" s="217"/>
      <c r="J80" s="217"/>
      <c r="K80" s="213"/>
      <c r="L80" s="215"/>
      <c r="M80" s="215"/>
      <c r="N80" s="217"/>
      <c r="O80" s="217"/>
      <c r="P80" s="213"/>
      <c r="Q80" s="215"/>
      <c r="R80" s="215"/>
      <c r="S80" s="217"/>
      <c r="T80" s="217"/>
      <c r="U80" s="213"/>
      <c r="V80" s="215"/>
      <c r="W80" s="215"/>
      <c r="X80" s="217"/>
      <c r="Y80" s="217"/>
      <c r="Z80" s="213"/>
      <c r="AA80" s="215"/>
      <c r="AB80" s="215"/>
      <c r="AC80" s="217"/>
      <c r="AD80" s="217"/>
      <c r="AE80" s="213"/>
      <c r="AF80" s="215"/>
      <c r="AG80" s="215"/>
      <c r="AH80" s="217"/>
      <c r="AI80" s="217"/>
      <c r="AJ80" s="213"/>
    </row>
    <row r="81" spans="1:36" ht="33.75" customHeight="1">
      <c r="A81" s="213"/>
      <c r="B81" s="214"/>
      <c r="C81" s="215"/>
      <c r="D81" s="216"/>
      <c r="E81" s="217"/>
      <c r="F81" s="213"/>
      <c r="G81" s="214"/>
      <c r="H81" s="215"/>
      <c r="I81" s="217"/>
      <c r="J81" s="217"/>
      <c r="K81" s="213"/>
      <c r="L81" s="215"/>
      <c r="M81" s="215"/>
      <c r="N81" s="217"/>
      <c r="O81" s="217"/>
      <c r="P81" s="213"/>
      <c r="Q81" s="215"/>
      <c r="R81" s="215"/>
      <c r="S81" s="217"/>
      <c r="T81" s="217"/>
      <c r="U81" s="213"/>
      <c r="V81" s="215"/>
      <c r="W81" s="215"/>
      <c r="X81" s="217"/>
      <c r="Y81" s="217"/>
      <c r="Z81" s="213"/>
      <c r="AA81" s="215"/>
      <c r="AB81" s="215"/>
      <c r="AC81" s="217"/>
      <c r="AD81" s="217"/>
      <c r="AE81" s="213"/>
      <c r="AF81" s="215"/>
      <c r="AG81" s="215"/>
      <c r="AH81" s="217"/>
      <c r="AI81" s="217"/>
      <c r="AJ81" s="213"/>
    </row>
    <row r="82" spans="1:36" ht="33.75" customHeight="1">
      <c r="A82" s="213"/>
      <c r="B82" s="214"/>
      <c r="C82" s="215"/>
      <c r="D82" s="216"/>
      <c r="E82" s="217"/>
      <c r="F82" s="213"/>
      <c r="G82" s="214"/>
      <c r="H82" s="215"/>
      <c r="I82" s="217"/>
      <c r="J82" s="217"/>
      <c r="K82" s="213"/>
      <c r="L82" s="215"/>
      <c r="M82" s="215"/>
      <c r="N82" s="217"/>
      <c r="O82" s="217"/>
      <c r="P82" s="213"/>
      <c r="Q82" s="215"/>
      <c r="R82" s="215"/>
      <c r="S82" s="217"/>
      <c r="T82" s="217"/>
      <c r="U82" s="213"/>
      <c r="V82" s="215"/>
      <c r="W82" s="215"/>
      <c r="X82" s="217"/>
      <c r="Y82" s="217"/>
      <c r="Z82" s="213"/>
      <c r="AA82" s="215"/>
      <c r="AB82" s="215"/>
      <c r="AC82" s="217"/>
      <c r="AD82" s="217"/>
      <c r="AE82" s="213"/>
      <c r="AF82" s="215"/>
      <c r="AG82" s="215"/>
      <c r="AH82" s="217"/>
      <c r="AI82" s="217"/>
      <c r="AJ82" s="213"/>
    </row>
    <row r="83" spans="1:36" ht="33.75" customHeight="1">
      <c r="A83" s="213"/>
      <c r="B83" s="214"/>
      <c r="C83" s="215"/>
      <c r="D83" s="216"/>
      <c r="E83" s="217"/>
      <c r="F83" s="213"/>
      <c r="G83" s="214"/>
      <c r="H83" s="215"/>
      <c r="I83" s="217"/>
      <c r="J83" s="217"/>
      <c r="K83" s="213"/>
      <c r="L83" s="215"/>
      <c r="M83" s="215"/>
      <c r="N83" s="217"/>
      <c r="O83" s="217"/>
      <c r="P83" s="213"/>
      <c r="Q83" s="215"/>
      <c r="R83" s="215"/>
      <c r="S83" s="217"/>
      <c r="T83" s="217"/>
      <c r="U83" s="213"/>
      <c r="V83" s="215"/>
      <c r="W83" s="215"/>
      <c r="X83" s="217"/>
      <c r="Y83" s="217"/>
      <c r="Z83" s="213"/>
      <c r="AA83" s="215"/>
      <c r="AB83" s="215"/>
      <c r="AC83" s="217"/>
      <c r="AD83" s="217"/>
      <c r="AE83" s="213"/>
      <c r="AF83" s="215"/>
      <c r="AG83" s="215"/>
      <c r="AH83" s="217"/>
      <c r="AI83" s="217"/>
      <c r="AJ83" s="213"/>
    </row>
    <row r="84" spans="1:36" ht="33.75" customHeight="1">
      <c r="A84" s="213"/>
      <c r="B84" s="214"/>
      <c r="C84" s="215"/>
      <c r="D84" s="216"/>
      <c r="E84" s="217"/>
      <c r="F84" s="213"/>
      <c r="G84" s="214"/>
      <c r="H84" s="215"/>
      <c r="I84" s="217"/>
      <c r="J84" s="217"/>
      <c r="K84" s="213"/>
      <c r="L84" s="215"/>
      <c r="M84" s="215"/>
      <c r="N84" s="217"/>
      <c r="O84" s="217"/>
      <c r="P84" s="213"/>
      <c r="Q84" s="215"/>
      <c r="R84" s="215"/>
      <c r="S84" s="217"/>
      <c r="T84" s="217"/>
      <c r="U84" s="213"/>
      <c r="V84" s="215"/>
      <c r="W84" s="215"/>
      <c r="X84" s="217"/>
      <c r="Y84" s="217"/>
      <c r="Z84" s="213"/>
      <c r="AA84" s="215"/>
      <c r="AB84" s="215"/>
      <c r="AC84" s="217"/>
      <c r="AD84" s="217"/>
      <c r="AE84" s="213"/>
      <c r="AF84" s="215"/>
      <c r="AG84" s="215"/>
      <c r="AH84" s="217"/>
      <c r="AI84" s="217"/>
      <c r="AJ84" s="213"/>
    </row>
    <row r="85" spans="1:36" ht="33.75" customHeight="1">
      <c r="A85" s="213"/>
      <c r="B85" s="214"/>
      <c r="C85" s="215"/>
      <c r="D85" s="216"/>
      <c r="E85" s="217"/>
      <c r="F85" s="213"/>
      <c r="G85" s="214"/>
      <c r="H85" s="215"/>
      <c r="I85" s="217"/>
      <c r="J85" s="217"/>
      <c r="K85" s="213"/>
      <c r="L85" s="215"/>
      <c r="M85" s="215"/>
      <c r="N85" s="217"/>
      <c r="O85" s="217"/>
      <c r="P85" s="213"/>
      <c r="Q85" s="215"/>
      <c r="R85" s="215"/>
      <c r="S85" s="217"/>
      <c r="T85" s="217"/>
      <c r="U85" s="213"/>
      <c r="V85" s="215"/>
      <c r="W85" s="215"/>
      <c r="X85" s="217"/>
      <c r="Y85" s="217"/>
      <c r="Z85" s="213"/>
      <c r="AA85" s="215"/>
      <c r="AB85" s="215"/>
      <c r="AC85" s="217"/>
      <c r="AD85" s="217"/>
      <c r="AE85" s="213"/>
      <c r="AF85" s="215"/>
      <c r="AG85" s="215"/>
      <c r="AH85" s="217"/>
      <c r="AI85" s="217"/>
      <c r="AJ85" s="213"/>
    </row>
    <row r="86" spans="1:36" ht="33.75" customHeight="1">
      <c r="A86" s="213"/>
      <c r="B86" s="214"/>
      <c r="C86" s="215"/>
      <c r="D86" s="216"/>
      <c r="E86" s="217"/>
      <c r="F86" s="213"/>
      <c r="G86" s="214"/>
      <c r="H86" s="215"/>
      <c r="I86" s="217"/>
      <c r="J86" s="217"/>
      <c r="K86" s="213"/>
      <c r="L86" s="215"/>
      <c r="M86" s="215"/>
      <c r="N86" s="217"/>
      <c r="O86" s="217"/>
      <c r="P86" s="213"/>
      <c r="Q86" s="215"/>
      <c r="R86" s="215"/>
      <c r="S86" s="217"/>
      <c r="T86" s="217"/>
      <c r="U86" s="213"/>
      <c r="V86" s="215"/>
      <c r="W86" s="215"/>
      <c r="X86" s="217"/>
      <c r="Y86" s="217"/>
      <c r="Z86" s="213"/>
      <c r="AA86" s="215"/>
      <c r="AB86" s="215"/>
      <c r="AC86" s="217"/>
      <c r="AD86" s="217"/>
      <c r="AE86" s="213"/>
      <c r="AF86" s="215"/>
      <c r="AG86" s="215"/>
      <c r="AH86" s="217"/>
      <c r="AI86" s="217"/>
      <c r="AJ86" s="213"/>
    </row>
    <row r="87" spans="1:36" ht="33.75" customHeight="1">
      <c r="A87" s="213"/>
      <c r="B87" s="214"/>
      <c r="C87" s="215"/>
      <c r="D87" s="216"/>
      <c r="E87" s="217"/>
      <c r="F87" s="213"/>
      <c r="G87" s="214"/>
      <c r="H87" s="215"/>
      <c r="I87" s="217"/>
      <c r="J87" s="217"/>
      <c r="K87" s="213"/>
      <c r="L87" s="215"/>
      <c r="M87" s="215"/>
      <c r="N87" s="217"/>
      <c r="O87" s="217"/>
      <c r="P87" s="213"/>
      <c r="Q87" s="215"/>
      <c r="R87" s="215"/>
      <c r="S87" s="217"/>
      <c r="T87" s="217"/>
      <c r="U87" s="213"/>
      <c r="V87" s="215"/>
      <c r="W87" s="215"/>
      <c r="X87" s="217"/>
      <c r="Y87" s="217"/>
      <c r="Z87" s="213"/>
      <c r="AA87" s="215"/>
      <c r="AB87" s="215"/>
      <c r="AC87" s="217"/>
      <c r="AD87" s="217"/>
      <c r="AE87" s="213"/>
      <c r="AF87" s="215"/>
      <c r="AG87" s="215"/>
      <c r="AH87" s="217"/>
      <c r="AI87" s="217"/>
      <c r="AJ87" s="213"/>
    </row>
    <row r="88" spans="1:36" ht="33.75" customHeight="1">
      <c r="A88" s="213"/>
      <c r="B88" s="214"/>
      <c r="C88" s="215"/>
      <c r="D88" s="217"/>
      <c r="E88" s="217"/>
      <c r="F88" s="213"/>
      <c r="G88" s="214"/>
      <c r="H88" s="215"/>
      <c r="I88" s="217"/>
      <c r="J88" s="217"/>
      <c r="K88" s="213"/>
      <c r="L88" s="215"/>
      <c r="M88" s="215"/>
      <c r="N88" s="217"/>
      <c r="O88" s="217"/>
      <c r="P88" s="213"/>
      <c r="Q88" s="215"/>
      <c r="R88" s="215"/>
      <c r="S88" s="217"/>
      <c r="T88" s="217"/>
      <c r="U88" s="213"/>
      <c r="V88" s="215"/>
      <c r="W88" s="215"/>
      <c r="X88" s="217"/>
      <c r="Y88" s="217"/>
      <c r="Z88" s="213"/>
      <c r="AA88" s="215"/>
      <c r="AB88" s="215"/>
      <c r="AC88" s="217"/>
      <c r="AD88" s="217"/>
      <c r="AE88" s="213"/>
      <c r="AF88" s="215"/>
      <c r="AG88" s="215"/>
      <c r="AH88" s="217"/>
      <c r="AI88" s="217"/>
      <c r="AJ88" s="213"/>
    </row>
    <row r="89" spans="1:36" ht="16">
      <c r="A89" s="213"/>
      <c r="B89" s="214"/>
      <c r="C89" s="215"/>
      <c r="D89" s="216"/>
      <c r="E89" s="217"/>
      <c r="F89" s="213"/>
      <c r="G89" s="214"/>
      <c r="H89" s="215"/>
      <c r="I89" s="217"/>
      <c r="J89" s="217"/>
      <c r="K89" s="213"/>
      <c r="L89" s="215"/>
      <c r="M89" s="215"/>
      <c r="N89" s="217"/>
      <c r="O89" s="217"/>
      <c r="P89" s="213"/>
      <c r="Q89" s="215"/>
      <c r="R89" s="215"/>
      <c r="S89" s="217"/>
      <c r="T89" s="217"/>
      <c r="U89" s="213"/>
      <c r="V89" s="215"/>
      <c r="W89" s="215"/>
      <c r="X89" s="217"/>
      <c r="Y89" s="217"/>
      <c r="Z89" s="213"/>
      <c r="AA89" s="215"/>
      <c r="AB89" s="215"/>
      <c r="AC89" s="217"/>
      <c r="AD89" s="217"/>
      <c r="AE89" s="213"/>
      <c r="AF89" s="215"/>
      <c r="AG89" s="215"/>
      <c r="AH89" s="217"/>
      <c r="AI89" s="217"/>
      <c r="AJ89" s="213"/>
    </row>
    <row r="90" spans="1:36" ht="16">
      <c r="A90" s="213"/>
      <c r="B90" s="214"/>
      <c r="C90" s="215"/>
      <c r="D90" s="216"/>
      <c r="E90" s="217"/>
      <c r="F90" s="213"/>
      <c r="G90" s="214"/>
      <c r="H90" s="215"/>
      <c r="I90" s="217"/>
      <c r="J90" s="217"/>
      <c r="K90" s="213"/>
      <c r="L90" s="215"/>
      <c r="M90" s="215"/>
      <c r="N90" s="217"/>
      <c r="O90" s="217"/>
      <c r="P90" s="213"/>
      <c r="Q90" s="215"/>
      <c r="R90" s="215"/>
      <c r="S90" s="217"/>
      <c r="T90" s="217"/>
      <c r="U90" s="213"/>
      <c r="V90" s="215"/>
      <c r="W90" s="215"/>
      <c r="X90" s="217"/>
      <c r="Y90" s="217"/>
      <c r="Z90" s="213"/>
      <c r="AA90" s="215"/>
      <c r="AB90" s="215"/>
      <c r="AC90" s="217"/>
      <c r="AD90" s="217"/>
      <c r="AE90" s="213"/>
      <c r="AF90" s="215"/>
      <c r="AG90" s="215"/>
      <c r="AH90" s="217"/>
      <c r="AI90" s="217"/>
      <c r="AJ90" s="213"/>
    </row>
    <row r="91" spans="1:36" ht="16">
      <c r="A91" s="213"/>
      <c r="B91" s="214"/>
      <c r="C91" s="215"/>
      <c r="D91" s="216"/>
      <c r="E91" s="217"/>
      <c r="F91" s="213"/>
      <c r="G91" s="214"/>
      <c r="H91" s="215"/>
      <c r="I91" s="217"/>
      <c r="J91" s="217"/>
      <c r="K91" s="213"/>
      <c r="L91" s="215"/>
      <c r="M91" s="215"/>
      <c r="N91" s="217"/>
      <c r="O91" s="217"/>
      <c r="P91" s="213"/>
      <c r="Q91" s="215"/>
      <c r="R91" s="215"/>
      <c r="S91" s="217"/>
      <c r="T91" s="217"/>
      <c r="U91" s="213"/>
      <c r="V91" s="215"/>
      <c r="W91" s="215"/>
      <c r="X91" s="217"/>
      <c r="Y91" s="217"/>
      <c r="Z91" s="213"/>
      <c r="AA91" s="215"/>
      <c r="AB91" s="215"/>
      <c r="AC91" s="217"/>
      <c r="AD91" s="217"/>
      <c r="AE91" s="213"/>
      <c r="AF91" s="215"/>
      <c r="AG91" s="215"/>
      <c r="AH91" s="217"/>
      <c r="AI91" s="217"/>
      <c r="AJ91" s="213"/>
    </row>
    <row r="92" spans="1:36" ht="16">
      <c r="A92" s="213"/>
      <c r="B92" s="214"/>
      <c r="C92" s="215"/>
      <c r="D92" s="216"/>
      <c r="E92" s="217"/>
      <c r="F92" s="213"/>
      <c r="G92" s="214"/>
      <c r="H92" s="215"/>
      <c r="I92" s="217"/>
      <c r="J92" s="217"/>
      <c r="K92" s="213"/>
      <c r="L92" s="215"/>
      <c r="M92" s="215"/>
      <c r="N92" s="217"/>
      <c r="O92" s="217"/>
      <c r="P92" s="213"/>
      <c r="Q92" s="215"/>
      <c r="R92" s="215"/>
      <c r="S92" s="217"/>
      <c r="T92" s="217"/>
      <c r="U92" s="213"/>
      <c r="V92" s="215"/>
      <c r="W92" s="215"/>
      <c r="X92" s="217"/>
      <c r="Y92" s="217"/>
      <c r="Z92" s="213"/>
      <c r="AA92" s="215"/>
      <c r="AB92" s="215"/>
      <c r="AC92" s="217"/>
      <c r="AD92" s="217"/>
      <c r="AE92" s="213"/>
      <c r="AF92" s="215"/>
      <c r="AG92" s="215"/>
      <c r="AH92" s="217"/>
      <c r="AI92" s="217"/>
      <c r="AJ92" s="213"/>
    </row>
    <row r="93" spans="1:36" ht="16">
      <c r="A93" s="213"/>
      <c r="B93" s="214"/>
      <c r="C93" s="215"/>
      <c r="D93" s="216"/>
      <c r="E93" s="217"/>
      <c r="F93" s="213"/>
      <c r="G93" s="214"/>
      <c r="H93" s="215"/>
      <c r="I93" s="217"/>
      <c r="J93" s="217"/>
      <c r="K93" s="213"/>
      <c r="L93" s="215"/>
      <c r="M93" s="215"/>
      <c r="N93" s="217"/>
      <c r="O93" s="217"/>
      <c r="P93" s="213"/>
      <c r="Q93" s="215"/>
      <c r="R93" s="215"/>
      <c r="S93" s="217"/>
      <c r="T93" s="217"/>
      <c r="U93" s="213"/>
      <c r="V93" s="215"/>
      <c r="W93" s="215"/>
      <c r="X93" s="217"/>
      <c r="Y93" s="217"/>
      <c r="Z93" s="213"/>
      <c r="AA93" s="215"/>
      <c r="AB93" s="215"/>
      <c r="AC93" s="217"/>
      <c r="AD93" s="217"/>
      <c r="AE93" s="213"/>
      <c r="AF93" s="215"/>
      <c r="AG93" s="215"/>
      <c r="AH93" s="217"/>
      <c r="AI93" s="217"/>
      <c r="AJ93" s="213"/>
    </row>
    <row r="94" spans="1:36" ht="16">
      <c r="A94" s="213"/>
      <c r="B94" s="214"/>
      <c r="C94" s="215"/>
      <c r="D94" s="216"/>
      <c r="E94" s="217"/>
      <c r="F94" s="213"/>
      <c r="G94" s="214"/>
      <c r="H94" s="215"/>
      <c r="I94" s="217"/>
      <c r="J94" s="217"/>
      <c r="K94" s="213"/>
      <c r="L94" s="215"/>
      <c r="M94" s="215"/>
      <c r="N94" s="217"/>
      <c r="O94" s="217"/>
      <c r="P94" s="213"/>
      <c r="Q94" s="215"/>
      <c r="R94" s="215"/>
      <c r="S94" s="217"/>
      <c r="T94" s="217"/>
      <c r="U94" s="213"/>
      <c r="V94" s="215"/>
      <c r="W94" s="215"/>
      <c r="X94" s="217"/>
      <c r="Y94" s="217"/>
      <c r="Z94" s="213"/>
      <c r="AA94" s="215"/>
      <c r="AB94" s="215"/>
      <c r="AC94" s="217"/>
      <c r="AD94" s="217"/>
      <c r="AE94" s="213"/>
      <c r="AF94" s="215"/>
      <c r="AG94" s="215"/>
      <c r="AH94" s="217"/>
      <c r="AI94" s="217"/>
      <c r="AJ94" s="213"/>
    </row>
    <row r="95" spans="1:36" ht="16">
      <c r="A95" s="213"/>
      <c r="B95" s="214"/>
      <c r="C95" s="215"/>
      <c r="D95" s="216"/>
      <c r="E95" s="217"/>
      <c r="F95" s="213"/>
      <c r="G95" s="214"/>
      <c r="H95" s="215"/>
      <c r="I95" s="217"/>
      <c r="J95" s="217"/>
      <c r="K95" s="213"/>
      <c r="L95" s="215"/>
      <c r="M95" s="215"/>
      <c r="N95" s="217"/>
      <c r="O95" s="217"/>
      <c r="P95" s="213"/>
      <c r="Q95" s="215"/>
      <c r="R95" s="215"/>
      <c r="S95" s="217"/>
      <c r="T95" s="217"/>
      <c r="U95" s="213"/>
      <c r="V95" s="215"/>
      <c r="W95" s="215"/>
      <c r="X95" s="217"/>
      <c r="Y95" s="217"/>
      <c r="Z95" s="213"/>
      <c r="AA95" s="215"/>
      <c r="AB95" s="215"/>
      <c r="AC95" s="217"/>
      <c r="AD95" s="217"/>
      <c r="AE95" s="213"/>
      <c r="AF95" s="215"/>
      <c r="AG95" s="215"/>
      <c r="AH95" s="217"/>
      <c r="AI95" s="217"/>
      <c r="AJ95" s="213"/>
    </row>
    <row r="96" spans="1:36" ht="16">
      <c r="A96" s="213"/>
      <c r="B96" s="214"/>
      <c r="C96" s="215"/>
      <c r="D96" s="217"/>
      <c r="E96" s="217"/>
      <c r="F96" s="213"/>
      <c r="G96" s="214"/>
      <c r="H96" s="215"/>
      <c r="I96" s="217"/>
      <c r="J96" s="217"/>
      <c r="K96" s="213"/>
      <c r="L96" s="215"/>
      <c r="M96" s="215"/>
      <c r="N96" s="217"/>
      <c r="O96" s="217"/>
      <c r="P96" s="213"/>
      <c r="Q96" s="215"/>
      <c r="R96" s="215"/>
      <c r="S96" s="217"/>
      <c r="T96" s="217"/>
      <c r="U96" s="213"/>
      <c r="V96" s="215"/>
      <c r="W96" s="215"/>
      <c r="X96" s="217"/>
      <c r="Y96" s="217"/>
      <c r="Z96" s="213"/>
      <c r="AA96" s="215"/>
      <c r="AB96" s="215"/>
      <c r="AC96" s="217"/>
      <c r="AD96" s="217"/>
      <c r="AE96" s="213"/>
      <c r="AF96" s="215"/>
      <c r="AG96" s="215"/>
      <c r="AH96" s="217"/>
      <c r="AI96" s="217"/>
      <c r="AJ96" s="213"/>
    </row>
    <row r="97" spans="1:36" ht="16">
      <c r="A97" s="213"/>
      <c r="B97" s="214"/>
      <c r="C97" s="215"/>
      <c r="D97" s="217"/>
      <c r="E97" s="217"/>
      <c r="F97" s="213"/>
      <c r="G97" s="214"/>
      <c r="H97" s="215"/>
      <c r="I97" s="217"/>
      <c r="J97" s="217"/>
      <c r="K97" s="213"/>
      <c r="L97" s="215"/>
      <c r="M97" s="215"/>
      <c r="N97" s="217"/>
      <c r="O97" s="217"/>
      <c r="P97" s="213"/>
      <c r="Q97" s="215"/>
      <c r="R97" s="215"/>
      <c r="S97" s="217"/>
      <c r="T97" s="217"/>
      <c r="U97" s="213"/>
      <c r="V97" s="215"/>
      <c r="W97" s="215"/>
      <c r="X97" s="217"/>
      <c r="Y97" s="217"/>
      <c r="Z97" s="213"/>
      <c r="AA97" s="215"/>
      <c r="AB97" s="215"/>
      <c r="AC97" s="217"/>
      <c r="AD97" s="217"/>
      <c r="AE97" s="213"/>
      <c r="AF97" s="215"/>
      <c r="AG97" s="215"/>
      <c r="AH97" s="217"/>
      <c r="AI97" s="217"/>
      <c r="AJ97" s="213"/>
    </row>
    <row r="98" spans="1:36" ht="16">
      <c r="A98" s="213"/>
      <c r="B98" s="214"/>
      <c r="C98" s="215"/>
      <c r="D98" s="217"/>
      <c r="E98" s="217"/>
      <c r="F98" s="213"/>
      <c r="G98" s="214"/>
      <c r="H98" s="215"/>
      <c r="I98" s="217"/>
      <c r="J98" s="217"/>
      <c r="K98" s="213"/>
      <c r="L98" s="215"/>
      <c r="M98" s="215"/>
      <c r="N98" s="217"/>
      <c r="O98" s="217"/>
      <c r="P98" s="213"/>
      <c r="Q98" s="215"/>
      <c r="R98" s="215"/>
      <c r="S98" s="217"/>
      <c r="T98" s="217"/>
      <c r="U98" s="213"/>
      <c r="V98" s="215"/>
      <c r="W98" s="215"/>
      <c r="X98" s="217"/>
      <c r="Y98" s="217"/>
      <c r="Z98" s="213"/>
      <c r="AA98" s="215"/>
      <c r="AB98" s="215"/>
      <c r="AC98" s="217"/>
      <c r="AD98" s="217"/>
      <c r="AE98" s="213"/>
      <c r="AF98" s="215"/>
      <c r="AG98" s="215"/>
      <c r="AH98" s="217"/>
      <c r="AI98" s="217"/>
      <c r="AJ98" s="213"/>
    </row>
    <row r="99" spans="1:36" ht="16">
      <c r="A99" s="213"/>
      <c r="B99" s="214"/>
      <c r="C99" s="215"/>
      <c r="D99" s="217"/>
      <c r="E99" s="217"/>
      <c r="F99" s="213"/>
      <c r="G99" s="214"/>
      <c r="H99" s="215"/>
      <c r="I99" s="218"/>
      <c r="J99" s="219"/>
      <c r="K99" s="213"/>
      <c r="L99" s="215"/>
      <c r="M99" s="215"/>
      <c r="N99" s="220"/>
      <c r="O99" s="220"/>
      <c r="P99" s="213"/>
      <c r="Q99" s="215"/>
      <c r="R99" s="215"/>
      <c r="S99" s="220"/>
      <c r="T99" s="220"/>
      <c r="U99" s="213"/>
      <c r="V99" s="215"/>
      <c r="W99" s="215"/>
      <c r="X99" s="220"/>
      <c r="Y99" s="220"/>
      <c r="Z99" s="213"/>
      <c r="AA99" s="215"/>
      <c r="AB99" s="215"/>
      <c r="AC99" s="221"/>
      <c r="AD99" s="221"/>
      <c r="AE99" s="213"/>
      <c r="AF99" s="215"/>
      <c r="AG99" s="215"/>
      <c r="AH99" s="220"/>
      <c r="AI99" s="220"/>
      <c r="AJ99" s="213"/>
    </row>
  </sheetData>
  <mergeCells count="14">
    <mergeCell ref="B1:E1"/>
    <mergeCell ref="L1:O1"/>
    <mergeCell ref="V1:Y1"/>
    <mergeCell ref="AF1:AI1"/>
    <mergeCell ref="B2:E2"/>
    <mergeCell ref="L2:O2"/>
    <mergeCell ref="V2:Y2"/>
    <mergeCell ref="AF2:AI2"/>
    <mergeCell ref="G1:J1"/>
    <mergeCell ref="G2:J2"/>
    <mergeCell ref="Q1:T1"/>
    <mergeCell ref="Q2:T2"/>
    <mergeCell ref="AA1:AD1"/>
    <mergeCell ref="AA2:AD2"/>
  </mergeCells>
  <hyperlinks>
    <hyperlink ref="D4" r:id="rId1" display="https://www.linkedin.com/learning/creating-a-culture-of-change?trk=ondemandfile" xr:uid="{00000000-0004-0000-0B00-000000000000}"/>
    <hyperlink ref="E4" r:id="rId2" display="https://www.linkedin.com/learning/paths/developing-resilience-and-grit?trk=ondemandfile" xr:uid="{00000000-0004-0000-0B00-000001000000}"/>
    <hyperlink ref="N4" r:id="rId3" display="https://www.linkedin.com/learning/aprende-las-claves-de-la-asertividad?trk=contentmappingfile" xr:uid="{00000000-0004-0000-0B00-000002000000}"/>
    <hyperlink ref="O4" r:id="rId4" display="https://www.linkedin.com/learning/paths/domina-las-habilidades-de-vida-personales?trk=ondemandfile" xr:uid="{00000000-0004-0000-0B00-000003000000}"/>
    <hyperlink ref="S4" r:id="rId5" display="https://www.linkedin.com/learning/achtsamkeit?trk=ondemandfile" xr:uid="{00000000-0004-0000-0B00-000004000000}"/>
    <hyperlink ref="T4" r:id="rId6" display="https://www.linkedin.com/learning/paths/durch-veranderungsprozesse-fuhren?trk=ondemandfile" xr:uid="{00000000-0004-0000-0B00-000005000000}"/>
    <hyperlink ref="X4" r:id="rId7" display="https://www.linkedin.com/learning/critical-thinking-2?trk=ondemandfile" xr:uid="{00000000-0004-0000-0B00-000006000000}"/>
    <hyperlink ref="AD4" r:id="rId8" display="https://www.linkedin.com/learning/paths/como-desenvolver-uma-mentalidade-de-crescimento?trk=ondemandfile" xr:uid="{00000000-0004-0000-0B00-000007000000}"/>
    <hyperlink ref="AH4" r:id="rId9" display="https://www.linkedin.com/learning/business-innovation-foundations-3?trk=ondemandfile" xr:uid="{00000000-0004-0000-0B00-000008000000}"/>
    <hyperlink ref="AI4" r:id="rId10" display="https://www.linkedin.com/learning/paths/07304244-eccf-3d14-923a-8ca64b7fb518?trk=ondemandfile" xr:uid="{00000000-0004-0000-0B00-000009000000}"/>
    <hyperlink ref="D5" r:id="rId11" display="https://www.linkedin.com/learning/the-new-rules-of-work?trk=ondemandfile" xr:uid="{00000000-0004-0000-0B00-00000A000000}"/>
    <hyperlink ref="E5" r:id="rId12" display="https://www.linkedin.com/learning/paths/managing-change?trk=ondemandfile" xr:uid="{00000000-0004-0000-0B00-00000B000000}"/>
    <hyperlink ref="N5" r:id="rId13" display="https://www.linkedin.com/learning/bienestar-coordinacion-y-flexibilidad-a-casa-y-en-el-trabajo?trk=ondemandfile" xr:uid="{00000000-0004-0000-0B00-00000C000000}"/>
    <hyperlink ref="O5" r:id="rId14" display="https://www.linkedin.com/learning/paths/liderazgo-en-tiempos-de-transformacion-digital?trk=ondemandfile" xr:uid="{00000000-0004-0000-0B00-00000D000000}"/>
    <hyperlink ref="S5" r:id="rId15" display="https://www.linkedin.com/learning/agile-und-digitale-transformation?trk=ondemandfile" xr:uid="{00000000-0004-0000-0B00-00000E000000}"/>
    <hyperlink ref="T5" r:id="rId16" display="https://www.linkedin.com/learning/paths/die-interkulturelle-kompetenz-erweitern?trk=ondemandfile" xr:uid="{00000000-0004-0000-0B00-00000F000000}"/>
    <hyperlink ref="X5" r:id="rId17" display="https://www.linkedin.com/learning/5fc8e748-923d-3c9f-86c2-46dea2131cf2?trk=ondemandfile" xr:uid="{00000000-0004-0000-0B00-000010000000}"/>
    <hyperlink ref="Y5" r:id="rId18" display="https://www.linkedin.com/learning/paths/31070ed0-b901-3bf1-af9c-de2667146e4d?trk=ondemandfile" xr:uid="{00000000-0004-0000-0B00-000011000000}"/>
    <hyperlink ref="AD5" r:id="rId19" display="https://www.linkedin.com/learning/paths/trabalho-remoto-colaboracao-foco-e-produtividade?trk=ondemandfile" xr:uid="{00000000-0004-0000-0B00-000012000000}"/>
    <hyperlink ref="AH5" r:id="rId20" display="https://www.linkedin.com/learning/learning-from-failure-2?trk=ondemandfile" xr:uid="{00000000-0004-0000-0B00-000013000000}"/>
    <hyperlink ref="AI5" r:id="rId21" display="https://www.linkedin.com/learning/paths/6844219d-129d-3432-be7a-4c32e6eaf336?trk=ondemandfile" xr:uid="{00000000-0004-0000-0B00-000014000000}"/>
    <hyperlink ref="D6" r:id="rId22" display="https://www.linkedin.com/learning/agile-software-development-creating-an-agile-culture?trk=ondemandfile" xr:uid="{00000000-0004-0000-0B00-000015000000}"/>
    <hyperlink ref="E6" r:id="rId23" display="https://www.linkedin.com/learning/paths/manage-change-and-develop-your-adaptability-skills?trk=ondemandfile" xr:uid="{00000000-0004-0000-0B00-000016000000}"/>
    <hyperlink ref="N6" r:id="rId24" display="https://www.linkedin.com/learning/busqueda-de-empleo-con-redes-sociales?trk=ondemandfile" xr:uid="{00000000-0004-0000-0B00-000017000000}"/>
    <hyperlink ref="O6" r:id="rId25" display="https://www.linkedin.com/learning/paths/profundiza-tu-capacidad-para-superar-el-desempleo?trk=ondemandfile" xr:uid="{00000000-0004-0000-0B00-000018000000}"/>
    <hyperlink ref="S6" r:id="rId26" display="https://www.linkedin.com/learning/agiles-lernen-in-organisationen?trk=ondemandfile" xr:uid="{00000000-0004-0000-0B00-000019000000}"/>
    <hyperlink ref="T6" r:id="rId27" display="https://www.linkedin.com/learning/paths/innovation-fordern?trk=ondemandfile" xr:uid="{00000000-0004-0000-0B00-00001A000000}"/>
    <hyperlink ref="X6" r:id="rId28" display="https://www.linkedin.com/learning/mindfulness-4?trk=ondemandfile" xr:uid="{00000000-0004-0000-0B00-00001B000000}"/>
    <hyperlink ref="AC6" r:id="rId29" display="https://www.linkedin.com/learning/como-comunicar-mudancas-em-uma-organizacao-em-transformacao?trk=contentmappingfile" xr:uid="{00000000-0004-0000-0B00-00001C000000}"/>
    <hyperlink ref="AD6" r:id="rId30" display="https://www.linkedin.com/learning/paths/como-implementar-a-gestao-de-mudancas" xr:uid="{00000000-0004-0000-0B00-00001D000000}"/>
    <hyperlink ref="AH6" r:id="rId31" display="https://www.linkedin.com/learning/diversity-and-inclusion-in-a-global-enterprise-2?trk=ondemandfile" xr:uid="{00000000-0004-0000-0B00-00001E000000}"/>
    <hyperlink ref="AI6" r:id="rId32" display="https://www.linkedin.com/learning/paths/87c473ed-01ce-32f8-90ac-61be15e449c9?trk=ondemandfile" xr:uid="{00000000-0004-0000-0B00-00001F000000}"/>
    <hyperlink ref="D7" r:id="rId33" display="https://www.linkedin.com/learning/aaron-dignan-on-transformational-change?trk=ondemandfile" xr:uid="{00000000-0004-0000-0B00-000020000000}"/>
    <hyperlink ref="E7" r:id="rId34" display="https://www.linkedin.com/learning/paths/master-in-demand-professional-soft-skills?trk=ondemandfile" xr:uid="{00000000-0004-0000-0B00-000021000000}"/>
    <hyperlink ref="N7" r:id="rId35" display="https://www.linkedin.com/learning/alcanzar-la-felicidad-permanente-creando-con-proposito?trk=ondemandfile" xr:uid="{00000000-0004-0000-0B00-000022000000}"/>
    <hyperlink ref="O7" r:id="rId36" display="https://www.linkedin.com/learning/paths/gestiona-los-cambios?trk=ondemandfile" xr:uid="{00000000-0004-0000-0B00-000023000000}"/>
    <hyperlink ref="S7" r:id="rId37" display="https://www.linkedin.com/learning/agilitat-mit-strategie?trk=ondemandfile" xr:uid="{00000000-0004-0000-0B00-000024000000}"/>
    <hyperlink ref="T7" r:id="rId38" display="https://de.linkedin.com/learning/paths/starken-sie-ihre-schlusselkompetenzen?trk=ondemandfile" xr:uid="{00000000-0004-0000-0B00-000025000000}"/>
    <hyperlink ref="X7" r:id="rId39" display="https://www.linkedin.com/learning/embracing-unexpected-change-14683580?trk=contentmappingfile" xr:uid="{00000000-0004-0000-0B00-000026000000}"/>
    <hyperlink ref="AD7" r:id="rId40" display="https://www.linkedin.com/learning/paths/como-superar-os-desafios-e-se-reinventar-em-tempos-dificeis?trk=ondemandfile" xr:uid="{00000000-0004-0000-0B00-000027000000}"/>
    <hyperlink ref="AH7" r:id="rId41" display="https://www.linkedin.com/learning/performing-under-pressure-3?trk=ondemandfile" xr:uid="{00000000-0004-0000-0B00-000028000000}"/>
    <hyperlink ref="AI7" r:id="rId42" display="https://www.linkedin.com/learning/paths/34149b5d-1fd7-337a-8fd6-c725fdd05bf9?trk=ondemandfile" xr:uid="{00000000-0004-0000-0B00-000029000000}"/>
    <hyperlink ref="D8" r:id="rId43" display="https://www.linkedin.com/learning/managing-globally?trk=ondemandfile" xr:uid="{00000000-0004-0000-0B00-00002A000000}"/>
    <hyperlink ref="N8" r:id="rId44" display="https://www.linkedin.com/learning/00-learning-from-failure?trk=ondemandfile" xr:uid="{00000000-0004-0000-0B00-00002B000000}"/>
    <hyperlink ref="O8" r:id="rId45" display="https://www.linkedin.com/learning/paths/fomenta-el-cambio-cultural-en-tu-empresa?trk=ondemandfile" xr:uid="{00000000-0004-0000-0B00-00002C000000}"/>
    <hyperlink ref="S8" r:id="rId46" display="https://www.linkedin.com/learning/als-fuhrungskraft-das-agile-lernen-im-team-unterstutzen?trk=ondemandfile" xr:uid="{00000000-0004-0000-0B00-00002D000000}"/>
    <hyperlink ref="X8" r:id="rId47" display="https://www.linkedin.com/learning/building-resilience-4?trk=ondemandfile" xr:uid="{00000000-0004-0000-0B00-00002E000000}"/>
    <hyperlink ref="AH8" r:id="rId48" display="https://www.linkedin.com/learning/managing-stress-for-positive-change-3?trk=ondemandfile" xr:uid="{00000000-0004-0000-0B00-00002F000000}"/>
    <hyperlink ref="AI8" r:id="rId49" display="https://www.linkedin.com/learning/paths/5e7d3101-368f-3335-9206-178f9e406630?trk=ondemandfile" xr:uid="{00000000-0004-0000-0B00-000030000000}"/>
    <hyperlink ref="D9" r:id="rId50" display="https://www.linkedin.com/learning/the-hard-thing-about-hard-things?trk=ondemandfile" xr:uid="{00000000-0004-0000-0B00-000031000000}"/>
    <hyperlink ref="N9" r:id="rId51" display="https://www.linkedin.com/learning/c-mo-aumentar-la-resiliencia?trk=ondemandfile" xr:uid="{00000000-0004-0000-0B00-000032000000}"/>
    <hyperlink ref="S9" r:id="rId52" display="https://www.linkedin.com/learning/aus-misserfolgen-lernen?trk=ondemandfile" xr:uid="{00000000-0004-0000-0B00-000033000000}"/>
    <hyperlink ref="X9" r:id="rId53" display="https://www.linkedin.com/learning/communicating-in-times-of-change-14271427?trk=contentmappingfile" xr:uid="{00000000-0004-0000-0B00-000034000000}"/>
    <hyperlink ref="AH9" r:id="rId54" display="https://www.linkedin.com/learning/communicating-in-times-of-change-3?trk=ondemandfile" xr:uid="{00000000-0004-0000-0B00-000035000000}"/>
    <hyperlink ref="D10" r:id="rId55" display="https://www.linkedin.com/learning/coaching-your-team-from-uncertainty-to-action?trk=ondemandfile" xr:uid="{00000000-0004-0000-0B00-000036000000}"/>
    <hyperlink ref="N10" r:id="rId56" display="https://www.linkedin.com/learning/como-balancear-e-integrar-tu-vida-laboral-y-personal?trk=ondemandfile" xr:uid="{00000000-0004-0000-0B00-000037000000}"/>
    <hyperlink ref="S10" r:id="rId57" display="https://www.linkedin.com/learning/businessprobleme-l-sen?trk=ondemandfile" xr:uid="{00000000-0004-0000-0B00-000038000000}"/>
    <hyperlink ref="X10" r:id="rId58" display="https://www.linkedin.com/learning/avoiding-burnout?trk=ondemandfile" xr:uid="{00000000-0004-0000-0B00-000039000000}"/>
    <hyperlink ref="AH10" r:id="rId59" display="https://www.linkedin.com/learning/change-management-foundations-2?trk=ondemandfile" xr:uid="{00000000-0004-0000-0B00-00003A000000}"/>
    <hyperlink ref="D11" r:id="rId60" display="https://www.linkedin.com/learning/learning-agility?trk=ondemandfile" xr:uid="{00000000-0004-0000-0B00-00003B000000}"/>
    <hyperlink ref="N11" r:id="rId61" display="https://www.linkedin.com/learning/como-cultivar-una-mentalidad-de-crecimiento?trk=ondemandfile" xr:uid="{00000000-0004-0000-0B00-00003C000000}"/>
    <hyperlink ref="S11" r:id="rId62" display="https://www.linkedin.com/learning/change-management-grundlagen?trk=ondemandfile" xr:uid="{00000000-0004-0000-0B00-00003D000000}"/>
    <hyperlink ref="AH11" r:id="rId63" display="https://www.linkedin.com/learning/98373539-7768-37d9-bfa1-0425382fc5b8?trk=ondemandfile" xr:uid="{00000000-0004-0000-0B00-00003E000000}"/>
    <hyperlink ref="D12" r:id="rId64" display="https://www.linkedin.com/learning/organizational-learning-and-development?trk=ondemandfile" xr:uid="{00000000-0004-0000-0B00-00003F000000}"/>
    <hyperlink ref="N12" r:id="rId65" display="https://www.linkedin.com/learning/como-dar-y-recibir-feedback-o-retroalimentacion?trk=contentmappingfile" xr:uid="{00000000-0004-0000-0B00-000040000000}"/>
    <hyperlink ref="S12" r:id="rId66" display="https://www.linkedin.com/learning/disrupt-yourself-erfinden-sie-sich-neu?trk=ondemandfile" xr:uid="{00000000-0004-0000-0B00-000041000000}"/>
    <hyperlink ref="AH12" r:id="rId67" display="https://www.linkedin.com/learning/9b4bd443-b907-3050-9476-0ec0b08dfda8?trk=ondemandfile" xr:uid="{00000000-0004-0000-0B00-000042000000}"/>
    <hyperlink ref="D13" r:id="rId68" display="https://www.linkedin.com/learning/communicating-in-times-of-change?trk=ondemandfile" xr:uid="{00000000-0004-0000-0B00-000043000000}"/>
    <hyperlink ref="I13" r:id="rId69" display="https://www.linkedin.com/learning/creer-des-conversations-constructives-avec-des-clients-exigeants-clientes-exigeantes?trk=contentmappingfile" xr:uid="{00000000-0004-0000-0B00-000044000000}"/>
    <hyperlink ref="N13" r:id="rId70" display="https://www.linkedin.com/learning/como-desarrollar-tu-propia-capacidad-de-adaptacion?trk=ondemandfile" xr:uid="{00000000-0004-0000-0B00-000045000000}"/>
    <hyperlink ref="S13" r:id="rId71" display="https://www.linkedin.com/learning/ein-agiles-mindset-entwickeln?trk=ondemandfile" xr:uid="{00000000-0004-0000-0B00-000046000000}"/>
    <hyperlink ref="AH13" r:id="rId72" display="https://www.linkedin.com/learning/cultivating-a-growth-mindset-3?trk=ondemandfile" xr:uid="{00000000-0004-0000-0B00-000047000000}"/>
    <hyperlink ref="D14" r:id="rId73" display="https://www.linkedin.com/learning/developing-adaptable-managers?trk=ondemandfile" xr:uid="{00000000-0004-0000-0B00-000048000000}"/>
    <hyperlink ref="I14" r:id="rId74" display="https://www.linkedin.com/learning/creer-une-culture-du-changement?trk=contentmappingfile" xr:uid="{00000000-0004-0000-0B00-000049000000}"/>
    <hyperlink ref="N14" r:id="rId75" display="https://www.linkedin.com/learning/c-mo-enfrentarse-a-los-cambios?trk=ondemandfile" xr:uid="{00000000-0004-0000-0B00-00004A000000}"/>
    <hyperlink ref="S14" r:id="rId76" display="https://www.linkedin.com/learning/eine-nachhaltige-work-life-balance-etablieren?trk=ondemandfile" xr:uid="{00000000-0004-0000-0B00-00004B000000}"/>
    <hyperlink ref="AH14" r:id="rId77" display="https://www.linkedin.com/learning/using-questions-to-foster-critical-thinking-and-curiosity-2?trk=ondemandfile" xr:uid="{00000000-0004-0000-0B00-00004C000000}"/>
    <hyperlink ref="D15" r:id="rId78" display="https://www.linkedin.com/learning/developing-adaptable-employees?trk=ondemandfile" xr:uid="{00000000-0004-0000-0B00-00004D000000}"/>
    <hyperlink ref="N15" r:id="rId79" display="https://www.linkedin.com/learning/como-generar-ideas?trk=ondemandfile" xr:uid="{00000000-0004-0000-0B00-00004E000000}"/>
    <hyperlink ref="S15" r:id="rId80" display="https://www.linkedin.com/learning/emotionale-intelligenz-entwickeln?trk=ondemandfile" xr:uid="{00000000-0004-0000-0B00-00004F000000}"/>
    <hyperlink ref="AH15" r:id="rId81" display="https://www.linkedin.com/learning/developing-resourcefulness-2?trk=ondemandfile" xr:uid="{00000000-0004-0000-0B00-000050000000}"/>
    <hyperlink ref="D16" r:id="rId82" display="https://www.linkedin.com/learning/unleash-your-team-s-creativity?trk=ondemandfile" xr:uid="{00000000-0004-0000-0B00-000051000000}"/>
    <hyperlink ref="N16" r:id="rId83" display="https://www.linkedin.com/learning/como-hackear-tu-mente-y-recuperar-el-control-sobre-el-estres?trk=ondemandfile" xr:uid="{00000000-0004-0000-0B00-000052000000}"/>
    <hyperlink ref="S16" r:id="rId84" display="https://www.linkedin.com/learning/empathie-und-kreativitat-als-neue-schlusselkompetenzen?trk=ondemandfile" xr:uid="{00000000-0004-0000-0B00-000053000000}"/>
    <hyperlink ref="AC16" r:id="rId85" display="https://www.linkedin.com/learning/como-superar-o-luto-e-gerenciar-o-impacto-da-perda-e-da-mudanca-no-trabalho?trk=contentmappingfile" xr:uid="{00000000-0004-0000-0B00-000054000000}"/>
    <hyperlink ref="AH16" r:id="rId86" display="https://www.linkedin.com/learning/learning-agility-2?trk=ondemandfile" xr:uid="{00000000-0004-0000-0B00-000055000000}"/>
    <hyperlink ref="D17" r:id="rId87" display="https://www.linkedin.com/learning/managing-organizational-change-for-managers?trk=ondemandfile" xr:uid="{00000000-0004-0000-0B00-000056000000}"/>
    <hyperlink ref="I17" r:id="rId88" display="https://www.linkedin.com/learning/de-l-impuissance-au-pouvoir-la-prise-de-controle?trk=contentmappingfile" xr:uid="{00000000-0004-0000-0B00-000057000000}"/>
    <hyperlink ref="N17" r:id="rId89" display="https://www.linkedin.com/learning/como-liderar-el-cambio-en-tu-empresa?trk=ondemandfile" xr:uid="{00000000-0004-0000-0B00-000058000000}"/>
    <hyperlink ref="S17" r:id="rId90" display="https://www.linkedin.com/learning/freude-am-lernen-entwickeln?trk=ondemandfile" xr:uid="{00000000-0004-0000-0B00-000059000000}"/>
    <hyperlink ref="AH17" r:id="rId91" display="https://www.linkedin.com/learning/learning-to-be-assertive-3?trk=ondemandfile" xr:uid="{00000000-0004-0000-0B00-00005A000000}"/>
    <hyperlink ref="D18" r:id="rId92" display="https://www.linkedin.com/learning/developing-adaptability-as-a-manager?trk=ondemandfile" xr:uid="{00000000-0004-0000-0B00-00005B000000}"/>
    <hyperlink ref="N18" r:id="rId93" display="https://www.linkedin.com/learning/c-mo-manejar-el-estr-s?trk=ondemandfile" xr:uid="{00000000-0004-0000-0B00-00005C000000}"/>
    <hyperlink ref="S18" r:id="rId94" display="https://www.linkedin.com/learning/fuhren-mit-innovation?trk=ondemandfile" xr:uid="{00000000-0004-0000-0B00-00005D000000}"/>
    <hyperlink ref="AH18" r:id="rId95" display="https://www.linkedin.com/learning/leading-change-2?trk=ondemandfile" xr:uid="{00000000-0004-0000-0B00-00005E000000}"/>
    <hyperlink ref="D19" r:id="rId96" display="https://www.linkedin.com/learning/leading-your-team-through-actionable-change?trk=ondemandfile" xr:uid="{00000000-0004-0000-0B00-00005F000000}"/>
    <hyperlink ref="N19" r:id="rId97" display="https://www.linkedin.com/learning/como-superar-los-sesgos-cognitivos?trk=ondemandfile" xr:uid="{00000000-0004-0000-0B00-000060000000}"/>
    <hyperlink ref="S19" r:id="rId98" display="https://www.linkedin.com/learning/gehirngerechtes-lernen?trk=ondemandfile" xr:uid="{00000000-0004-0000-0B00-000061000000}"/>
    <hyperlink ref="AH19" r:id="rId99" display="https://www.linkedin.com/learning/breaking-out-of-a-rut-2?trk=ondemandfile" xr:uid="{00000000-0004-0000-0B00-000062000000}"/>
    <hyperlink ref="D20" r:id="rId100" display="https://www.linkedin.com/learning/leading-in-the-moment?trk=ondemandfile" xr:uid="{00000000-0004-0000-0B00-000063000000}"/>
    <hyperlink ref="N20" r:id="rId101" display="https://www.linkedin.com/learning/como-trabajar-con-gerentes-dificiles?trk=contentmappingfile" xr:uid="{00000000-0004-0000-0B00-000064000000}"/>
    <hyperlink ref="S20" r:id="rId102" display="https://www.linkedin.com/learning/growth-mindset-personlicher-erfolg-und-wachstum-durch-ein-dynamisches-selbstbild?trk=ondemandfile" xr:uid="{00000000-0004-0000-0B00-000065000000}"/>
    <hyperlink ref="AH20" r:id="rId103" display="https://www.linkedin.com/learning/building-creative-organizations-3?trk=ondemandfile" xr:uid="{00000000-0004-0000-0B00-000066000000}"/>
    <hyperlink ref="D21" r:id="rId104" display="https://www.linkedin.com/learning/building-the-resources-for-resilience?trk=ondemandfile" xr:uid="{00000000-0004-0000-0B00-000067000000}"/>
    <hyperlink ref="N21" r:id="rId105" display="https://www.linkedin.com/learning/00-por-que-aprender?trk=ondemandfile" xr:uid="{00000000-0004-0000-0B00-000068000000}"/>
    <hyperlink ref="S21" r:id="rId106" display="https://www.linkedin.com/learning/grundlagen-der-prozessverbesserung?trk=ondemandfile" xr:uid="{00000000-0004-0000-0B00-000069000000}"/>
    <hyperlink ref="AC21" r:id="rId107" display="https://www.linkedin.com/learning/fundamentos-de-inovacao-empresarial?trk=contentmappingfile" xr:uid="{00000000-0004-0000-0B00-00006A000000}"/>
    <hyperlink ref="AH21" r:id="rId108" display="https://www.linkedin.com/learning/critical-thinking-3?trk=ondemandfile" xr:uid="{00000000-0004-0000-0B00-00006B000000}"/>
    <hyperlink ref="D22" r:id="rId109" display="https://www.linkedin.com/learning/handling-workplace-change-as-an-employee?trk=ondemandfile" xr:uid="{00000000-0004-0000-0B00-00006C000000}"/>
    <hyperlink ref="N22" r:id="rId110" display="https://www.linkedin.com/learning/00-comunicacion-de-la-gestion-del-cambio?trk=ondemandfile" xr:uid="{00000000-0004-0000-0B00-00006D000000}"/>
    <hyperlink ref="S22" r:id="rId111" display="https://www.linkedin.com/learning/00-urteilsvermogen?trk=ondemandfile" xr:uid="{00000000-0004-0000-0B00-00006E000000}"/>
    <hyperlink ref="AH22" r:id="rId112" display="https://www.linkedin.com/learning/embracing-unexpected-change-2?trk=contentmappingfile" xr:uid="{00000000-0004-0000-0B00-00006F000000}"/>
    <hyperlink ref="D23" r:id="rId113" display="https://www.linkedin.com/learning/staying-positive-in-the-face-of-negativity?trk=ondemandfile" xr:uid="{00000000-0004-0000-0B00-000070000000}"/>
    <hyperlink ref="N23" r:id="rId114" display="https://www.linkedin.com/learning/del-victimismo-a-la-acci-n-asume-el-control?trk=ondemandfile" xr:uid="{00000000-0004-0000-0B00-000071000000}"/>
    <hyperlink ref="S23" r:id="rId115" display="https://www.linkedin.com/learning/innovation-in-unternehmen?trk=ondemandfile" xr:uid="{00000000-0004-0000-0B00-000072000000}"/>
    <hyperlink ref="AH23" r:id="rId116" display="https://www.linkedin.com/learning/building-resilience-as-a-leader-2?trk=ondemandfile" xr:uid="{00000000-0004-0000-0B00-000073000000}"/>
    <hyperlink ref="D24" r:id="rId117" display="https://www.linkedin.com/learning/improve-cognitive-flexibility-at-work?trk=ondemandfile" xr:uid="{00000000-0004-0000-0B00-000074000000}"/>
    <hyperlink ref="N24" r:id="rId118" display="https://www.linkedin.com/learning/00-desarrolla-la-adaptabilidad-de-tus-empleados?trk=ondemandfile" xr:uid="{00000000-0004-0000-0B00-000075000000}"/>
    <hyperlink ref="S24" r:id="rId119" display="https://www.linkedin.com/learning/interkulturelle-kompetenz?trk=ondemandfile" xr:uid="{00000000-0004-0000-0B00-000076000000}"/>
    <hyperlink ref="AH24" r:id="rId120" display="https://www.linkedin.com/learning/agile-at-work-getting-better-with-agile-retrospectives-3?trk=ondemandfile" xr:uid="{00000000-0004-0000-0B00-000077000000}"/>
    <hyperlink ref="D25" r:id="rId121" display="https://www.linkedin.com/learning/adaptive-leadership-for-vuca-challenges?trk=ondemandfile" xr:uid="{00000000-0004-0000-0B00-000078000000}"/>
    <hyperlink ref="N25" r:id="rId122" display="https://www.linkedin.com/learning/design-thinking-facilitacion-de-procesos-de-trabajo?trk=ondemandfile" xr:uid="{00000000-0004-0000-0B00-000079000000}"/>
    <hyperlink ref="S25" r:id="rId123" display="https://www.linkedin.com/learning/kommunikation-in-zeiten-der-veranderung?trk=ondemandfile" xr:uid="{00000000-0004-0000-0B00-00007A000000}"/>
    <hyperlink ref="AH25" r:id="rId124" display="https://www.linkedin.com/learning/digital-transformation-4?trk=ondemandfile" xr:uid="{00000000-0004-0000-0B00-00007B000000}"/>
    <hyperlink ref="D26" r:id="rId125" display="https://www.linkedin.com/learning/insights-on-working-from-home-s-largest-ever-experiment?trk=ondemandfile" xr:uid="{00000000-0004-0000-0B00-00007C000000}"/>
    <hyperlink ref="N26" r:id="rId126" display="https://www.linkedin.com/learning/design-thinking-herramientas-y-tecnicas-presenciales-y-en-teletrabajo?trk=ondemandfile" xr:uid="{00000000-0004-0000-0B00-00007D000000}"/>
    <hyperlink ref="S26" r:id="rId127" display="https://www.linkedin.com/learning/kritisches-denken?trk=ondemandfile" xr:uid="{00000000-0004-0000-0B00-00007E000000}"/>
    <hyperlink ref="AH26" r:id="rId128" display="https://www.linkedin.com/learning/unlock-your-team-s-creativity-2?trk=ondemandfile" xr:uid="{00000000-0004-0000-0B00-00007F000000}"/>
    <hyperlink ref="D27" r:id="rId129" display="https://www.linkedin.com/learning/how-to-slash-anxiety-and-keep-positivity-flowing?trk=ondemandfile" xr:uid="{00000000-0004-0000-0B00-000080000000}"/>
    <hyperlink ref="I27" r:id="rId130" display="https://www.linkedin.com/learning/gerer-ses-relations-avec-son-chef-sa-cheffe-ses-collegues-et-ses-employes-employees?trk=contentmappingfile" xr:uid="{00000000-0004-0000-0B00-000081000000}"/>
    <hyperlink ref="N27" r:id="rId131" display="https://www.linkedin.com/learning/dominar-la-auto-motivacion-en-tiempos-de-crisis?trk=ondemandfile" xr:uid="{00000000-0004-0000-0B00-000082000000}"/>
    <hyperlink ref="S27" r:id="rId132" display="https://www.linkedin.com/learning/ai-und-psychologie-angste-und-hurden-uberwinden?trk=ondemandfile" xr:uid="{00000000-0004-0000-0B00-000083000000}"/>
    <hyperlink ref="AH27" r:id="rId133" display="https://www.linkedin.com/learning/managing-depression-in-the-workplace-2?trk=ondemandfile" xr:uid="{00000000-0004-0000-0B00-000084000000}"/>
    <hyperlink ref="D28" r:id="rId134" display="https://www.linkedin.com/learning/negotiating-work-flexibility?trk=ondemandfile" xr:uid="{00000000-0004-0000-0B00-000085000000}"/>
    <hyperlink ref="I28" r:id="rId135" display="https://www.linkedin.com/learning/la-transformation-digitale-pour-les-decideurs-decideuses?trk=contentmappingfile" xr:uid="{00000000-0004-0000-0B00-000086000000}"/>
    <hyperlink ref="N28" r:id="rId136" display="https://www.linkedin.com/learning/estrategias-para-salir-de-una-crisis-empresarial?trk=ondemandfile" xr:uid="{00000000-0004-0000-0B00-000087000000}"/>
    <hyperlink ref="S28" r:id="rId137" display="https://www.linkedin.com/learning/lerntipps?trk=ondemandfile" xr:uid="{00000000-0004-0000-0B00-000088000000}"/>
    <hyperlink ref="AH28" r:id="rId138" display="https://www.linkedin.com/learning/leading-yourself-4?trk=ondemandfile" xr:uid="{00000000-0004-0000-0B00-000089000000}"/>
    <hyperlink ref="D29" r:id="rId139" display="https://www.linkedin.com/learning/performing-under-pressure?trk=ondemandfile" xr:uid="{00000000-0004-0000-0B00-00008A000000}"/>
    <hyperlink ref="N29" r:id="rId140" display="https://www.linkedin.com/learning/00-fundamentos-de-la-gestion-de-proyectos-cambios?trk=ondemandfile" xr:uid="{00000000-0004-0000-0B00-00008B000000}"/>
    <hyperlink ref="S29" r:id="rId141" display="https://www.linkedin.com/learning/mentale-starke-fur-mehr-erfolg-im-beruf?trk=ondemandfile" xr:uid="{00000000-0004-0000-0B00-00008C000000}"/>
    <hyperlink ref="AH29" r:id="rId142" display="https://www.linkedin.com/learning/designing-growth-strategies-2?trk=ondemandfile" xr:uid="{00000000-0004-0000-0B00-00008D000000}"/>
    <hyperlink ref="D30" r:id="rId143" display="https://www.linkedin.com/learning/developing-a-learning-mindset?trk=ondemandfile" xr:uid="{00000000-0004-0000-0B00-00008E000000}"/>
    <hyperlink ref="N30" r:id="rId144" display="https://www.linkedin.com/learning/00-change-management?trk=ondemandfile" xr:uid="{00000000-0004-0000-0B00-00008F000000}"/>
    <hyperlink ref="S30" r:id="rId145" display="https://www.linkedin.com/learning/mit-einem-schwierigen-chef-zurechtkommen?trk=ondemandfile" xr:uid="{00000000-0004-0000-0B00-000090000000}"/>
    <hyperlink ref="AH30" r:id="rId146" display="https://www.linkedin.com/learning/disrupting-yourself-2?trk=ondemandfile" xr:uid="{00000000-0004-0000-0B00-000091000000}"/>
    <hyperlink ref="D31" r:id="rId147" display="https://www.linkedin.com/learning/managing-stress-2019?trk=ondemandfile" xr:uid="{00000000-0004-0000-0B00-000092000000}"/>
    <hyperlink ref="N31" r:id="rId148" display="https://www.linkedin.com/learning/gestion-del-estres-en-tiempos-de-incertidumbre-vivir-o-sobrevivir?trk=ondemandfile" xr:uid="{00000000-0004-0000-0B00-000093000000}"/>
    <hyperlink ref="S31" r:id="rId149" display="https://www.linkedin.com/learning/multikulturelle-teams-f-hren?trk=ondemandfile" xr:uid="{00000000-0004-0000-0B00-000094000000}"/>
    <hyperlink ref="D32" r:id="rId150" display="https://www.linkedin.com/learning/avoiding-burnout-2019?trk=ondemandfile" xr:uid="{00000000-0004-0000-0B00-000095000000}"/>
    <hyperlink ref="N32" r:id="rId151" display="https://www.linkedin.com/learning/00-business-innovation?trk=ondemandfile" xr:uid="{00000000-0004-0000-0B00-000096000000}"/>
    <hyperlink ref="S32" r:id="rId152" display="https://www.linkedin.com/learning/optimistisch-bleiben-im-job?trk=ondemandfile" xr:uid="{00000000-0004-0000-0B00-000097000000}"/>
    <hyperlink ref="D33" r:id="rId153" display="https://www.linkedin.com/learning/get-un-stuck-from-a-career-rut?trk=ondemandfile" xr:uid="{00000000-0004-0000-0B00-000098000000}"/>
    <hyperlink ref="N33" r:id="rId154" display="https://www.linkedin.com/learning/00-intrapreneurship-y-mentalidad-de-crecimiento?trk=ondemandfile" xr:uid="{00000000-0004-0000-0B00-000099000000}"/>
    <hyperlink ref="S33" r:id="rId155" display="https://www.linkedin.com/learning/resilienz-entwickeln?trk=ondemandfile" xr:uid="{00000000-0004-0000-0B00-00009A000000}"/>
    <hyperlink ref="D34" r:id="rId156" display="https://www.linkedin.com/learning/subtle-shifts-in-thinking-for-tremendous-resilience?trk=ondemandfile" xr:uid="{00000000-0004-0000-0B00-00009B000000}"/>
    <hyperlink ref="N34" r:id="rId157" display="https://www.linkedin.com/learning/00-la-importancia-de-las-habilidades-de-vida-o-soft-skills-fronesis?trk=ondemandfile" xr:uid="{00000000-0004-0000-0B00-00009C000000}"/>
    <hyperlink ref="S34" r:id="rId158" display="https://www.linkedin.com/learning/produktiv-mit-stress-umgehen?trk=ondemandfile" xr:uid="{00000000-0004-0000-0B00-00009D000000}"/>
    <hyperlink ref="D35" r:id="rId159" display="https://www.linkedin.com/learning/managing-self-doubt-to-tackle-bigger-challenges?trk=ondemandfile" xr:uid="{00000000-0004-0000-0B00-00009E000000}"/>
    <hyperlink ref="N35" r:id="rId160" display="https://www.linkedin.com/learning/liderazgo-con-inteligencia-emocional?trk=ondemandfile" xr:uid="{00000000-0004-0000-0B00-00009F000000}"/>
    <hyperlink ref="S35" r:id="rId161" display="https://www.linkedin.com/learning/stress-bewaltigen-2-fur-mehr-balance-und-gesundheit?trk=ondemandfile" xr:uid="{00000000-0004-0000-0B00-0000A0000000}"/>
    <hyperlink ref="D36" r:id="rId162" display="https://www.linkedin.com/learning/creating-flow?trk=ondemandfile" xr:uid="{00000000-0004-0000-0B00-0000A1000000}"/>
    <hyperlink ref="N36" r:id="rId163" display="https://www.linkedin.com/learning/liderazgo-transformador?trk=ondemandfile" xr:uid="{00000000-0004-0000-0B00-0000A2000000}"/>
    <hyperlink ref="S36" r:id="rId164" display="https://www.linkedin.com/learning/unerwartete-veranderungen-annehmen?trk=ondemandfile" xr:uid="{00000000-0004-0000-0B00-0000A3000000}"/>
    <hyperlink ref="D37" r:id="rId165" display="https://www.linkedin.com/learning/staying-organized-at-work-and-while-working-remotely?trk=ondemandfile" xr:uid="{00000000-0004-0000-0B00-0000A4000000}"/>
    <hyperlink ref="N37" r:id="rId166" display="https://www.linkedin.com/learning/mindfulness-3?trk=ondemandfile" xr:uid="{00000000-0004-0000-0B00-0000A5000000}"/>
    <hyperlink ref="S37" r:id="rId167" display="https://www.linkedin.com/learning/00-leading-change?trk=ondemandfile" xr:uid="{00000000-0004-0000-0B00-0000A6000000}"/>
    <hyperlink ref="D38" r:id="rId168" display="https://www.linkedin.com/learning/creating-success-from-failures?trk=ondemandfile" xr:uid="{00000000-0004-0000-0B00-0000A7000000}"/>
    <hyperlink ref="N38" r:id="rId169" display="https://www.linkedin.com/learning/navegar-el-cambio-en-tiempos-dificiles?trk=ondemandfile" xr:uid="{00000000-0004-0000-0B00-0000A8000000}"/>
    <hyperlink ref="S38" r:id="rId170" display="https://www.linkedin.com/learning/veranderungen-im-beruf-erfolgreich-bewaltigen?trk=ondemandfile" xr:uid="{00000000-0004-0000-0B00-0000A9000000}"/>
    <hyperlink ref="D39" r:id="rId171" display="https://www.linkedin.com/learning/adopting-the-habits-of-elite-performers?trk=ondemandfile" xr:uid="{00000000-0004-0000-0B00-0000AA000000}"/>
    <hyperlink ref="N39" r:id="rId172" display="https://www.linkedin.com/learning/prepara-tu-curriculum-vitae-2?trk=ondemandfile" xr:uid="{00000000-0004-0000-0B00-0000AB000000}"/>
    <hyperlink ref="S39" r:id="rId173" display="https://www.linkedin.com/learning/00-ohnmaechtig?trk=ondemandfile" xr:uid="{00000000-0004-0000-0B00-0000AC000000}"/>
    <hyperlink ref="D40" r:id="rId174" display="https://www.linkedin.com/learning/how-to-use-rejection-to-your-advantage?trk=ondemandfile" xr:uid="{00000000-0004-0000-0B00-0000AD000000}"/>
    <hyperlink ref="D41" r:id="rId175" display="https://www.linkedin.com/learning/simple-habits-for-complex-times-getabstract-summary?trk=ondemandfile" xr:uid="{00000000-0004-0000-0B00-0000AE000000}"/>
    <hyperlink ref="D42" r:id="rId176" display="https://www.linkedin.com/learning/using-resilience-to-overcome-the-seemingly-impossible?trk=ondemandfile" xr:uid="{00000000-0004-0000-0B00-0000AF000000}"/>
    <hyperlink ref="D43" r:id="rId177" display="https://www.linkedin.com/learning/conquering-freak-outs-and-the-fear-of-failure?trk=ondemandfile" xr:uid="{00000000-0004-0000-0B00-0000B0000000}"/>
    <hyperlink ref="D44" r:id="rId178" display="https://www.linkedin.com/learning/preparing-to-lead-developing-mental-toughness-in-yourself?trk=ondemandfile" xr:uid="{00000000-0004-0000-0B00-0000B1000000}"/>
    <hyperlink ref="D45" r:id="rId179" display="https://www.linkedin.com/learning/real-estate-developing-a-growth-mindset?trk=ondemandfile" xr:uid="{00000000-0004-0000-0B00-0000B2000000}"/>
    <hyperlink ref="D46" r:id="rId180" display="https://www.linkedin.com/learning/mixtape-highlights-from-linkedin-learning-courses?trk=ondemandfile" xr:uid="{00000000-0004-0000-0B00-0000B3000000}"/>
    <hyperlink ref="D47" r:id="rId181" display="https://www.linkedin.com/learning/managing-employee-stress-for-positive-change?trk=ondemandfile" xr:uid="{00000000-0004-0000-0B00-0000B4000000}"/>
    <hyperlink ref="D48" r:id="rId182" display="https://www.linkedin.com/learning/building-resilience?trk=ondemandfile" xr:uid="{00000000-0004-0000-0B00-0000B5000000}"/>
    <hyperlink ref="D49" r:id="rId183" display="https://www.linkedin.com/learning/learning-from-failure?trk=ondemandfile" xr:uid="{00000000-0004-0000-0B00-0000B6000000}"/>
    <hyperlink ref="D50" r:id="rId184" display="https://www.linkedin.com/learning/critical-thinking?trk=ondemandfile" xr:uid="{00000000-0004-0000-0B00-0000B7000000}"/>
    <hyperlink ref="D51" r:id="rId185" display="https://www.linkedin.com/learning/sheryl-sandberg-and-adam-grant-on-option-b?trk=ondemandfile" xr:uid="{00000000-0004-0000-0B00-0000B8000000}"/>
    <hyperlink ref="D52" r:id="rId186" display="https://www.linkedin.com/learning/enhancing-resilience?trk=ondemandfile" xr:uid="{00000000-0004-0000-0B00-0000B9000000}"/>
    <hyperlink ref="D53" r:id="rId187" display="https://www.linkedin.com/learning/cultivating-a-growth-mindset?trk=ondemandfile" xr:uid="{00000000-0004-0000-0B00-0000BA000000}"/>
    <hyperlink ref="D54" r:id="rId188" display="https://www.linkedin.com/learning/delivering-results-effectively?trk=ondemandfile" xr:uid="{00000000-0004-0000-0B00-0000BB000000}"/>
    <hyperlink ref="D55" r:id="rId189" display="https://www.linkedin.com/learning/embracing-change-2019?trk=ondemandfile" xr:uid="{00000000-0004-0000-0B00-0000BC000000}"/>
    <hyperlink ref="D56" r:id="rId190" display="https://www.linkedin.com/learning/powerless-to-powerful-taking-control?trk=ondemandfile" xr:uid="{00000000-0004-0000-0B00-0000BD000000}"/>
    <hyperlink ref="D57" r:id="rId191" display="https://www.linkedin.com/learning/how-to-be-adaptable-as-an-employee?trk=ondemandfile" xr:uid="{00000000-0004-0000-0B00-0000BE000000}"/>
    <hyperlink ref="D58" r:id="rId192" display="https://www.linkedin.com/learning/what-is-scrum?trk=ondemandfile" xr:uid="{00000000-0004-0000-0B00-0000BF000000}"/>
    <hyperlink ref="D59" r:id="rId193" display="https://www.linkedin.com/learning/balancing-work-and-life-as-a-work-from-home-parent?trk=ondemandfile" xr:uid="{00000000-0004-0000-0B00-0000C0000000}"/>
    <hyperlink ref="D60" r:id="rId194" display="https://www.linkedin.com/learning/avoid-career-burnout?trk=ondemandfile" xr:uid="{00000000-0004-0000-0B00-0000C1000000}"/>
    <hyperlink ref="D61" r:id="rId195" display="https://www.linkedin.com/learning/working-from-home-strategies-for-success?trk=ondemandfile" xr:uid="{00000000-0004-0000-0B00-0000C2000000}"/>
    <hyperlink ref="D62" r:id="rId196" display="https://www.linkedin.com/learning/enhance-productivity-in-a-hybrid-work-environment?trk=ondemandfile" xr:uid="{00000000-0004-0000-0B00-0000C3000000}"/>
    <hyperlink ref="D63" r:id="rId197" display="https://www.linkedin.com/learning/reframing-the-power-of-changing-your-perspective?trk=ondemandfile" xr:uid="{00000000-0004-0000-0B00-0000C4000000}"/>
    <hyperlink ref="D64" r:id="rId198" display="https://www.linkedin.com/learning/reshuffle-a-special-series-on-the-new-world-of-work?trk=ondemandfile" xr:uid="{00000000-0004-0000-0B00-0000C5000000}"/>
    <hyperlink ref="D65" r:id="rId199" display="https://www.linkedin.com/learning/taking-charge-of-technology-for-maximum-productivity?trk=ondemandfile" xr:uid="{00000000-0004-0000-0B00-0000C6000000}"/>
    <hyperlink ref="D66" r:id="rId200" display="https://www.linkedin.com/learning/adaptive-project-leadership?trk=ondemandfile" xr:uid="{00000000-0004-0000-0B00-0000C7000000}"/>
    <hyperlink ref="D67" r:id="rId201" display="https://www.linkedin.com/learning/cultivating-mental-agility?trk=ondemandfile" xr:uid="{00000000-0004-0000-0B00-0000C8000000}"/>
    <hyperlink ref="D68" r:id="rId202" display="https://www.linkedin.com/learning/your-l-d-organization-as-a-competitive-advantage?trk=ondemandfile" xr:uid="{00000000-0004-0000-0B00-0000C9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Click and enter a value from range 'Competency Titles'!A1:A27" xr:uid="{00000000-0002-0000-0B00-000000000000}">
          <x14:formula1>
            <xm:f>#REF!</xm:f>
          </x14:formula1>
          <xm:sqref>B1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3D85C6"/>
    <outlinePr summaryBelow="0" summaryRight="0"/>
  </sheetPr>
  <dimension ref="A1:AJ99"/>
  <sheetViews>
    <sheetView showGridLines="0" workbookViewId="0">
      <pane ySplit="3" topLeftCell="A4" activePane="bottomLeft" state="frozen"/>
      <selection pane="bottomLeft" sqref="A1:XFD1048576"/>
    </sheetView>
  </sheetViews>
  <sheetFormatPr baseColWidth="10" defaultColWidth="11.1640625" defaultRowHeight="15" customHeight="1"/>
  <cols>
    <col min="1" max="1" width="1.1640625" customWidth="1"/>
    <col min="2" max="2" width="11.1640625" customWidth="1"/>
    <col min="3" max="3" width="18.5" customWidth="1"/>
    <col min="4" max="5" width="44.5" customWidth="1"/>
    <col min="6" max="6" width="1.1640625" customWidth="1"/>
    <col min="7" max="7" width="11.1640625" customWidth="1"/>
    <col min="8" max="8" width="19.33203125" customWidth="1"/>
    <col min="9" max="10" width="44.5" customWidth="1"/>
    <col min="11" max="11" width="1.1640625" customWidth="1"/>
    <col min="12" max="12" width="11.1640625" customWidth="1"/>
    <col min="13" max="13" width="20.83203125" customWidth="1"/>
    <col min="14" max="15" width="44.5" customWidth="1"/>
    <col min="16" max="16" width="1.1640625" customWidth="1"/>
    <col min="17" max="17" width="11.1640625" customWidth="1"/>
    <col min="18" max="18" width="19.6640625" customWidth="1"/>
    <col min="19" max="20" width="44.5" customWidth="1"/>
    <col min="21" max="21" width="1.1640625" customWidth="1"/>
    <col min="23" max="23" width="18.6640625" customWidth="1"/>
    <col min="24" max="25" width="44.5" customWidth="1"/>
    <col min="26" max="26" width="1.1640625" customWidth="1"/>
    <col min="27" max="27" width="11.1640625" customWidth="1"/>
    <col min="28" max="28" width="26.6640625" customWidth="1"/>
    <col min="29" max="30" width="44.5" customWidth="1"/>
    <col min="31" max="31" width="1.1640625" customWidth="1"/>
    <col min="32" max="32" width="11.1640625" customWidth="1"/>
    <col min="33" max="33" width="21" customWidth="1"/>
    <col min="34" max="35" width="44.5" customWidth="1"/>
    <col min="36" max="36" width="1.1640625" customWidth="1"/>
  </cols>
  <sheetData>
    <row r="1" spans="1:36" ht="34.5" customHeight="1">
      <c r="A1" s="208"/>
      <c r="B1" s="230" t="s">
        <v>2</v>
      </c>
      <c r="C1" s="222"/>
      <c r="D1" s="222"/>
      <c r="E1" s="222"/>
      <c r="F1" s="208"/>
      <c r="G1" s="230" t="str">
        <f ca="1">IFERROR(__xludf.DUMMYFUNCTION("IFERROR(UNIQUE(FILTER(French!B:B,French!A:A=B1)))"),"Créer et gérer des équipes efficaces")</f>
        <v>Créer et gérer des équipes efficaces</v>
      </c>
      <c r="H1" s="222"/>
      <c r="I1" s="222"/>
      <c r="J1" s="222"/>
      <c r="K1" s="208"/>
      <c r="L1" s="230" t="str">
        <f ca="1">IFERROR(__xludf.DUMMYFUNCTION("IFERROR((UNIQUE(FILTER(Spanish!B:B,Spanish!A:A=B1))))"),"Construir y gestionar equipos eficaces")</f>
        <v>Construir y gestionar equipos eficaces</v>
      </c>
      <c r="M1" s="222"/>
      <c r="N1" s="222"/>
      <c r="O1" s="222"/>
      <c r="P1" s="208"/>
      <c r="Q1" s="230" t="str">
        <f ca="1">IFERROR(__xludf.DUMMYFUNCTION("IFERROR(UNIQUE(FILTER(German!B:B,German!A:A=B1)))"),"Teams aufbauen und wirksam managen")</f>
        <v>Teams aufbauen und wirksam managen</v>
      </c>
      <c r="R1" s="222"/>
      <c r="S1" s="222"/>
      <c r="T1" s="222"/>
      <c r="U1" s="208"/>
      <c r="V1" s="230" t="str">
        <f ca="1">IFERROR(__xludf.DUMMYFUNCTION("IFERROR(UNIQUE(FILTER(Japanese!B:B,Japanese!A:A=B1)))"),"有能なチームの構築とマネジメント")</f>
        <v>有能なチームの構築とマネジメント</v>
      </c>
      <c r="W1" s="222"/>
      <c r="X1" s="222"/>
      <c r="Y1" s="222"/>
      <c r="Z1" s="208"/>
      <c r="AA1" s="230" t="str">
        <f ca="1">IFERROR(__xludf.DUMMYFUNCTION("IFERROR(UNIQUE(FILTER(Portuguese!B:B,Portuguese!A:A=B1)))"),"Criação e gestão de equipes eficazes")</f>
        <v>Criação e gestão de equipes eficazes</v>
      </c>
      <c r="AB1" s="222"/>
      <c r="AC1" s="222"/>
      <c r="AD1" s="222"/>
      <c r="AE1" s="208"/>
      <c r="AF1" s="230" t="str">
        <f ca="1">IFERROR(__xludf.DUMMYFUNCTION("IFERROR(UNIQUE(FILTER(Mandarin!B:B,Mandarin!A:A=B1)))"),"建立并管理高效团队")</f>
        <v>建立并管理高效团队</v>
      </c>
      <c r="AG1" s="222"/>
      <c r="AH1" s="222"/>
      <c r="AI1" s="222"/>
      <c r="AJ1" s="208"/>
    </row>
    <row r="2" spans="1:36" ht="28" customHeight="1">
      <c r="A2" s="209"/>
      <c r="B2" s="234" t="s">
        <v>4713</v>
      </c>
      <c r="C2" s="222"/>
      <c r="D2" s="222"/>
      <c r="E2" s="222"/>
      <c r="F2" s="209"/>
      <c r="G2" s="231" t="s">
        <v>4714</v>
      </c>
      <c r="H2" s="222"/>
      <c r="I2" s="222"/>
      <c r="J2" s="222"/>
      <c r="K2" s="209"/>
      <c r="L2" s="235" t="s">
        <v>4715</v>
      </c>
      <c r="M2" s="222"/>
      <c r="N2" s="222"/>
      <c r="O2" s="222"/>
      <c r="P2" s="209"/>
      <c r="Q2" s="232" t="s">
        <v>4716</v>
      </c>
      <c r="R2" s="222"/>
      <c r="S2" s="222"/>
      <c r="T2" s="222"/>
      <c r="U2" s="209"/>
      <c r="V2" s="236" t="s">
        <v>4717</v>
      </c>
      <c r="W2" s="222"/>
      <c r="X2" s="222"/>
      <c r="Y2" s="222"/>
      <c r="Z2" s="209"/>
      <c r="AA2" s="233" t="s">
        <v>4718</v>
      </c>
      <c r="AB2" s="222"/>
      <c r="AC2" s="222"/>
      <c r="AD2" s="222"/>
      <c r="AE2" s="209"/>
      <c r="AF2" s="237" t="s">
        <v>4719</v>
      </c>
      <c r="AG2" s="222"/>
      <c r="AH2" s="222"/>
      <c r="AI2" s="222"/>
      <c r="AJ2" s="209"/>
    </row>
    <row r="3" spans="1:36" ht="26" customHeight="1">
      <c r="A3" s="210"/>
      <c r="B3" s="211" t="str">
        <f ca="1">IFERROR(__xludf.DUMMYFUNCTION("FILTER(English!B:B,English!A:A=B1)"),"Course IDs")</f>
        <v>Course IDs</v>
      </c>
      <c r="C3" s="211" t="str">
        <f ca="1">IFERROR(__xludf.DUMMYFUNCTION("FILTER(English!C:C,English!A:A=B1)"),"Levels")</f>
        <v>Levels</v>
      </c>
      <c r="D3" s="211" t="str">
        <f ca="1">IFERROR(__xludf.DUMMYFUNCTION("FILTER(English!D:D,English!A:A=B1)"),"Courses")</f>
        <v>Courses</v>
      </c>
      <c r="E3" s="212" t="str">
        <f ca="1">IFERROR(__xludf.DUMMYFUNCTION("FILTER(English!E:E,English!A:A=B1)"),"Learning Paths")</f>
        <v>Learning Paths</v>
      </c>
      <c r="F3" s="210"/>
      <c r="G3" s="211" t="str">
        <f ca="1">IFERROR(__xludf.DUMMYFUNCTION("FILTER(French!C:C,French!B:B=G1)"),"Course IDs")</f>
        <v>Course IDs</v>
      </c>
      <c r="H3" s="211" t="str">
        <f ca="1">IFERROR(__xludf.DUMMYFUNCTION("FILTER(French!D:D,French!B:B=G1)"),"Levels")</f>
        <v>Levels</v>
      </c>
      <c r="I3" s="211" t="str">
        <f ca="1">IFERROR(__xludf.DUMMYFUNCTION("FILTER(French!E:E,French!B:B=G1)"),"Courses")</f>
        <v>Courses</v>
      </c>
      <c r="J3" s="212" t="str">
        <f ca="1">IFERROR(__xludf.DUMMYFUNCTION("FILTER(French!G:G,French!B:B=G1)"),"Learning Paths")</f>
        <v>Learning Paths</v>
      </c>
      <c r="K3" s="210"/>
      <c r="L3" s="211" t="str">
        <f ca="1">IFERROR(__xludf.DUMMYFUNCTION("FILTER(Spanish!C:C,Spanish!B:B=L1)"),"Course IDs")</f>
        <v>Course IDs</v>
      </c>
      <c r="M3" s="211" t="str">
        <f ca="1">IFERROR(__xludf.DUMMYFUNCTION("FILTER(Spanish!D:D,Spanish!B:B=L1)"),"Levels")</f>
        <v>Levels</v>
      </c>
      <c r="N3" s="211" t="str">
        <f ca="1">IFERROR(__xludf.DUMMYFUNCTION("FILTER(Spanish!E:E,Spanish!B:B=L1)"),"Courses")</f>
        <v>Courses</v>
      </c>
      <c r="O3" s="212" t="str">
        <f ca="1">IFERROR(__xludf.DUMMYFUNCTION("FILTER(Spanish!G:G,Spanish!B:B=L1)"),"Learning Paths")</f>
        <v>Learning Paths</v>
      </c>
      <c r="P3" s="210"/>
      <c r="Q3" s="211" t="str">
        <f ca="1">IFERROR(__xludf.DUMMYFUNCTION("FILTER(German!C:C,German!B:B=Q1)"),"Course IDs")</f>
        <v>Course IDs</v>
      </c>
      <c r="R3" s="211" t="str">
        <f ca="1">IFERROR(__xludf.DUMMYFUNCTION("FILTER(German!D:D,German!B:B=Q1)"),"Levels")</f>
        <v>Levels</v>
      </c>
      <c r="S3" s="211" t="str">
        <f ca="1">IFERROR(__xludf.DUMMYFUNCTION("FILTER(German!E:E,German!B:B=Q1)"),"Courses")</f>
        <v>Courses</v>
      </c>
      <c r="T3" s="212" t="str">
        <f ca="1">IFERROR(__xludf.DUMMYFUNCTION("FILTER(German!G:G,German!B:B=Q1)"),"Learning Paths")</f>
        <v>Learning Paths</v>
      </c>
      <c r="U3" s="210"/>
      <c r="V3" s="211" t="str">
        <f ca="1">IFERROR(__xludf.DUMMYFUNCTION("FILTER(Japanese!C:C,Japanese!B:B=V1)"),"Course IDs")</f>
        <v>Course IDs</v>
      </c>
      <c r="W3" s="211" t="str">
        <f ca="1">IFERROR(__xludf.DUMMYFUNCTION("FILTER(Japanese!D:D,Japanese!B:B=V1)"),"Levels")</f>
        <v>Levels</v>
      </c>
      <c r="X3" s="211" t="str">
        <f ca="1">IFERROR(__xludf.DUMMYFUNCTION("FILTER(Japanese!E:E,Japanese!B:B=V1)"),"Courses")</f>
        <v>Courses</v>
      </c>
      <c r="Y3" s="212" t="str">
        <f ca="1">IFERROR(__xludf.DUMMYFUNCTION("FILTER(Japanese!G:G,Japanese!B:B=V1)"),"Learning Paths")</f>
        <v>Learning Paths</v>
      </c>
      <c r="Z3" s="210"/>
      <c r="AA3" s="211" t="str">
        <f ca="1">IFERROR(__xludf.DUMMYFUNCTION("FILTER(Portuguese!C:C,Portuguese!B:B=AA1)"),"Course IDs")</f>
        <v>Course IDs</v>
      </c>
      <c r="AB3" s="211" t="str">
        <f ca="1">IFERROR(__xludf.DUMMYFUNCTION("FILTER(Portuguese!D:D,Portuguese!B:B=AA1)"),"Levels")</f>
        <v>Levels</v>
      </c>
      <c r="AC3" s="211" t="str">
        <f ca="1">IFERROR(__xludf.DUMMYFUNCTION("FILTER(Portuguese!E:E,Portuguese!B:B=AA1)"),"Courses")</f>
        <v>Courses</v>
      </c>
      <c r="AD3" s="212" t="str">
        <f ca="1">IFERROR(__xludf.DUMMYFUNCTION("FILTER(Portuguese!G:G,Portuguese!B:B=AA1)"),"Learning Paths")</f>
        <v>Learning Paths</v>
      </c>
      <c r="AE3" s="210"/>
      <c r="AF3" s="211" t="str">
        <f ca="1">IFERROR(__xludf.DUMMYFUNCTION("FILTER(Mandarin!C:C,Mandarin!B:B=AF1)"),"Course IDs")</f>
        <v>Course IDs</v>
      </c>
      <c r="AG3" s="211" t="str">
        <f ca="1">IFERROR(__xludf.DUMMYFUNCTION("FILTER(Mandarin!D:D,Mandarin!B:B=AF1)"),"Levels")</f>
        <v>Levels</v>
      </c>
      <c r="AH3" s="211" t="str">
        <f ca="1">IFERROR(__xludf.DUMMYFUNCTION("FILTER(Mandarin!E:E,Mandarin!B:B=AF1)"),"Courses")</f>
        <v>Courses</v>
      </c>
      <c r="AI3" s="212" t="str">
        <f ca="1">IFERROR(__xludf.DUMMYFUNCTION("FILTER(Mandarin!G:G,Mandarin!B:B=AF1)"),"Learning Paths")</f>
        <v>Learning Paths</v>
      </c>
      <c r="AJ3" s="210"/>
    </row>
    <row r="4" spans="1:36" ht="33.75" customHeight="1">
      <c r="A4" s="213"/>
      <c r="B4" s="214">
        <f ca="1">IFERROR(__xludf.DUMMYFUNCTION("""COMPUTED_VALUE"""),693111)</f>
        <v>693111</v>
      </c>
      <c r="C4" s="215" t="str">
        <f ca="1">IFERROR(__xludf.DUMMYFUNCTION("""COMPUTED_VALUE"""),"Advanced")</f>
        <v>Advanced</v>
      </c>
      <c r="D4" s="216" t="str">
        <f ca="1">IFERROR(__xludf.DUMMYFUNCTION("""COMPUTED_VALUE"""),"CMO Foundations: Creating a Marketing Culture")</f>
        <v>CMO Foundations: Creating a Marketing Culture</v>
      </c>
      <c r="E4" s="217" t="str">
        <f ca="1">IFERROR(__xludf.DUMMYFUNCTION("""COMPUTED_VALUE"""),"Build a Company Learning and Development Program")</f>
        <v>Build a Company Learning and Development Program</v>
      </c>
      <c r="F4" s="213"/>
      <c r="G4" s="214">
        <f ca="1">IFERROR(__xludf.DUMMYFUNCTION("""COMPUTED_VALUE"""),3200214)</f>
        <v>3200214</v>
      </c>
      <c r="H4" s="215" t="str">
        <f ca="1">IFERROR(__xludf.DUMMYFUNCTION("""COMPUTED_VALUE"""),"All levels")</f>
        <v>All levels</v>
      </c>
      <c r="I4" s="217" t="str">
        <f ca="1">IFERROR(__xludf.DUMMYFUNCTION("""COMPUTED_VALUE"""),"10 minutes, un livre : Constituer son équipe pour atteindre le succès")</f>
        <v>10 minutes, un livre : Constituer son équipe pour atteindre le succès</v>
      </c>
      <c r="J4" s="217" t="str">
        <f ca="1">IFERROR(__xludf.DUMMYFUNCTION("""COMPUTED_VALUE"""),"Créer et gérer une équipe")</f>
        <v>Créer et gérer une équipe</v>
      </c>
      <c r="K4" s="213"/>
      <c r="L4" s="215">
        <f ca="1">IFERROR(__xludf.DUMMYFUNCTION("""COMPUTED_VALUE"""),5025693)</f>
        <v>5025693</v>
      </c>
      <c r="M4" s="215" t="str">
        <f ca="1">IFERROR(__xludf.DUMMYFUNCTION("""COMPUTED_VALUE"""),"Intermediate")</f>
        <v>Intermediate</v>
      </c>
      <c r="N4" s="217" t="str">
        <f ca="1">IFERROR(__xludf.DUMMYFUNCTION("""COMPUTED_VALUE"""),"Agile en acción: Construye tu equipo ágil")</f>
        <v>Agile en acción: Construye tu equipo ágil</v>
      </c>
      <c r="O4" s="217" t="str">
        <f ca="1">IFERROR(__xludf.DUMMYFUNCTION("""COMPUTED_VALUE"""),"Conviértete en jefe de equipo")</f>
        <v>Conviértete en jefe de equipo</v>
      </c>
      <c r="P4" s="213"/>
      <c r="Q4" s="215">
        <f ca="1">IFERROR(__xludf.DUMMYFUNCTION("""COMPUTED_VALUE"""),5025646)</f>
        <v>5025646</v>
      </c>
      <c r="R4" s="215" t="str">
        <f ca="1">IFERROR(__xludf.DUMMYFUNCTION("""COMPUTED_VALUE"""),"Intermediate")</f>
        <v>Intermediate</v>
      </c>
      <c r="S4" s="217" t="str">
        <f ca="1">IFERROR(__xludf.DUMMYFUNCTION("""COMPUTED_VALUE"""),"Agil arbeiten: Agile Meetings produktiv durchführen")</f>
        <v>Agil arbeiten: Agile Meetings produktiv durchführen</v>
      </c>
      <c r="T4" s="217" t="str">
        <f ca="1">IFERROR(__xludf.DUMMYFUNCTION("""COMPUTED_VALUE"""),"Die Zusammenarbeit fördern")</f>
        <v>Die Zusammenarbeit fördern</v>
      </c>
      <c r="U4" s="213"/>
      <c r="V4" s="215">
        <f ca="1">IFERROR(__xludf.DUMMYFUNCTION("""COMPUTED_VALUE"""),3163260)</f>
        <v>3163260</v>
      </c>
      <c r="W4" s="215" t="str">
        <f ca="1">IFERROR(__xludf.DUMMYFUNCTION("""COMPUTED_VALUE"""),"Beginner")</f>
        <v>Beginner</v>
      </c>
      <c r="X4" s="217" t="str">
        <f ca="1">IFERROR(__xludf.DUMMYFUNCTION("""COMPUTED_VALUE"""),"1on1ミーティングを実施する")</f>
        <v>1on1ミーティングを実施する</v>
      </c>
      <c r="Y4" s="217" t="str">
        <f ca="1">IFERROR(__xludf.DUMMYFUNCTION("""COMPUTED_VALUE"""),"テレワークをチームで効率よく行うには")</f>
        <v>テレワークをチームで効率よく行うには</v>
      </c>
      <c r="Z4" s="213"/>
      <c r="AA4" s="215">
        <f ca="1">IFERROR(__xludf.DUMMYFUNCTION("""COMPUTED_VALUE"""),2931603)</f>
        <v>2931603</v>
      </c>
      <c r="AB4" s="215" t="str">
        <f ca="1">IFERROR(__xludf.DUMMYFUNCTION("""COMPUTED_VALUE"""),"All levels")</f>
        <v>All levels</v>
      </c>
      <c r="AC4" s="217" t="str">
        <f ca="1">IFERROR(__xludf.DUMMYFUNCTION("""COMPUTED_VALUE"""),"A Comunicação entre Equipes Multiculturais")</f>
        <v>A Comunicação entre Equipes Multiculturais</v>
      </c>
      <c r="AD4" s="217" t="str">
        <f ca="1">IFERROR(__xludf.DUMMYFUNCTION("""COMPUTED_VALUE"""),"Torne-se um Líder")</f>
        <v>Torne-se um Líder</v>
      </c>
      <c r="AE4" s="213"/>
      <c r="AF4" s="215">
        <f ca="1">IFERROR(__xludf.DUMMYFUNCTION("""COMPUTED_VALUE"""),2873249)</f>
        <v>2873249</v>
      </c>
      <c r="AG4" s="215" t="str">
        <f ca="1">IFERROR(__xludf.DUMMYFUNCTION("""COMPUTED_VALUE"""),"All levels")</f>
        <v>All levels</v>
      </c>
      <c r="AH4" s="217" t="str">
        <f ca="1">IFERROR(__xludf.DUMMYFUNCTION("""COMPUTED_VALUE"""),"2 分钟视频小贴士：高管篇")</f>
        <v>2 分钟视频小贴士：高管篇</v>
      </c>
      <c r="AI4" s="217" t="str">
        <f ca="1">IFERROR(__xludf.DUMMYFUNCTION("""COMPUTED_VALUE"""),"成为领导者")</f>
        <v>成为领导者</v>
      </c>
      <c r="AJ4" s="213"/>
    </row>
    <row r="5" spans="1:36" ht="30">
      <c r="A5" s="213"/>
      <c r="B5" s="214">
        <f ca="1">IFERROR(__xludf.DUMMYFUNCTION("""COMPUTED_VALUE"""),580628)</f>
        <v>580628</v>
      </c>
      <c r="C5" s="215" t="str">
        <f ca="1">IFERROR(__xludf.DUMMYFUNCTION("""COMPUTED_VALUE"""),"Beginner")</f>
        <v>Beginner</v>
      </c>
      <c r="D5" s="216" t="str">
        <f ca="1">IFERROR(__xludf.DUMMYFUNCTION("""COMPUTED_VALUE"""),"The New Rules of Work")</f>
        <v>The New Rules of Work</v>
      </c>
      <c r="E5" s="217" t="str">
        <f ca="1">IFERROR(__xludf.DUMMYFUNCTION("""COMPUTED_VALUE"""),"Build and Manage Effective Teams ")</f>
        <v xml:space="preserve">Build and Manage Effective Teams </v>
      </c>
      <c r="F5" s="213"/>
      <c r="G5" s="214">
        <f ca="1">IFERROR(__xludf.DUMMYFUNCTION("""COMPUTED_VALUE"""),3169224)</f>
        <v>3169224</v>
      </c>
      <c r="H5" s="215" t="str">
        <f ca="1">IFERROR(__xludf.DUMMYFUNCTION("""COMPUTED_VALUE"""),"Beginner, Intermediate")</f>
        <v>Beginner, Intermediate</v>
      </c>
      <c r="I5" s="217" t="str">
        <f ca="1">IFERROR(__xludf.DUMMYFUNCTION("""COMPUTED_VALUE"""),"Accroître la sécurité psychologique de votre équipe")</f>
        <v>Accroître la sécurité psychologique de votre équipe</v>
      </c>
      <c r="J5" s="217" t="str">
        <f ca="1">IFERROR(__xludf.DUMMYFUNCTION("""COMPUTED_VALUE"""),"Promouvoir la collaboration")</f>
        <v>Promouvoir la collaboration</v>
      </c>
      <c r="K5" s="213"/>
      <c r="L5" s="215">
        <f ca="1">IFERROR(__xludf.DUMMYFUNCTION("""COMPUTED_VALUE"""),5025692)</f>
        <v>5025692</v>
      </c>
      <c r="M5" s="215" t="str">
        <f ca="1">IFERROR(__xludf.DUMMYFUNCTION("""COMPUTED_VALUE"""),"Beginner, Intermediate")</f>
        <v>Beginner, Intermediate</v>
      </c>
      <c r="N5" s="217" t="str">
        <f ca="1">IFERROR(__xludf.DUMMYFUNCTION("""COMPUTED_VALUE"""),"Agile en acción: Impulsar reuniones ágiles y productivas")</f>
        <v>Agile en acción: Impulsar reuniones ágiles y productivas</v>
      </c>
      <c r="O5" s="217" t="str">
        <f ca="1">IFERROR(__xludf.DUMMYFUNCTION("""COMPUTED_VALUE"""),"Mejora tus dotes de liderazgo y gestión de equipos de trabajo")</f>
        <v>Mejora tus dotes de liderazgo y gestión de equipos de trabajo</v>
      </c>
      <c r="P5" s="213"/>
      <c r="Q5" s="215">
        <f ca="1">IFERROR(__xludf.DUMMYFUNCTION("""COMPUTED_VALUE"""),5025644)</f>
        <v>5025644</v>
      </c>
      <c r="R5" s="215" t="str">
        <f ca="1">IFERROR(__xludf.DUMMYFUNCTION("""COMPUTED_VALUE"""),"Intermediate")</f>
        <v>Intermediate</v>
      </c>
      <c r="S5" s="217" t="str">
        <f ca="1">IFERROR(__xludf.DUMMYFUNCTION("""COMPUTED_VALUE"""),"Agil arbeiten: Ein agiles Team aufbauen")</f>
        <v>Agil arbeiten: Ein agiles Team aufbauen</v>
      </c>
      <c r="T5" s="217" t="str">
        <f ca="1">IFERROR(__xludf.DUMMYFUNCTION("""COMPUTED_VALUE"""),"Führungskompetenz weiterentwickeln")</f>
        <v>Führungskompetenz weiterentwickeln</v>
      </c>
      <c r="U5" s="213"/>
      <c r="V5" s="215">
        <f ca="1">IFERROR(__xludf.DUMMYFUNCTION("""COMPUTED_VALUE"""),679790)</f>
        <v>679790</v>
      </c>
      <c r="W5" s="215" t="str">
        <f ca="1">IFERROR(__xludf.DUMMYFUNCTION("""COMPUTED_VALUE"""),"Beginner, Intermediate")</f>
        <v>Beginner, Intermediate</v>
      </c>
      <c r="X5" s="217" t="str">
        <f ca="1">IFERROR(__xludf.DUMMYFUNCTION("""COMPUTED_VALUE"""),"Microsoft Planner 基本講座")</f>
        <v>Microsoft Planner 基本講座</v>
      </c>
      <c r="Y5" s="217"/>
      <c r="Z5" s="213"/>
      <c r="AA5" s="215">
        <f ca="1">IFERROR(__xludf.DUMMYFUNCTION("""COMPUTED_VALUE"""),2415000)</f>
        <v>2415000</v>
      </c>
      <c r="AB5" s="215" t="str">
        <f ca="1">IFERROR(__xludf.DUMMYFUNCTION("""COMPUTED_VALUE"""),"Intermediate")</f>
        <v>Intermediate</v>
      </c>
      <c r="AC5" s="217" t="str">
        <f ca="1">IFERROR(__xludf.DUMMYFUNCTION("""COMPUTED_VALUE"""),"Big Data no RH: O Impacto dos Dados no Bem-Estar dos Colaboradores")</f>
        <v>Big Data no RH: O Impacto dos Dados no Bem-Estar dos Colaboradores</v>
      </c>
      <c r="AD5" s="217" t="str">
        <f ca="1">IFERROR(__xludf.DUMMYFUNCTION("""COMPUTED_VALUE"""),"Como Desenvolver a Colaboração entre a Equipe")</f>
        <v>Como Desenvolver a Colaboração entre a Equipe</v>
      </c>
      <c r="AE5" s="213"/>
      <c r="AF5" s="215">
        <f ca="1">IFERROR(__xludf.DUMMYFUNCTION("""COMPUTED_VALUE"""),797746)</f>
        <v>797746</v>
      </c>
      <c r="AG5" s="215" t="str">
        <f ca="1">IFERROR(__xludf.DUMMYFUNCTION("""COMPUTED_VALUE"""),"Intermediate")</f>
        <v>Intermediate</v>
      </c>
      <c r="AH5" s="217" t="str">
        <f ca="1">IFERROR(__xludf.DUMMYFUNCTION("""COMPUTED_VALUE"""),"从个人贡献者转变为管理者")</f>
        <v>从个人贡献者转变为管理者</v>
      </c>
      <c r="AI5" s="217" t="str">
        <f ca="1">IFERROR(__xludf.DUMMYFUNCTION("""COMPUTED_VALUE"""),"培养团队合作")</f>
        <v>培养团队合作</v>
      </c>
      <c r="AJ5" s="213"/>
    </row>
    <row r="6" spans="1:36" ht="30">
      <c r="A6" s="213"/>
      <c r="B6" s="214">
        <f ca="1">IFERROR(__xludf.DUMMYFUNCTION("""COMPUTED_VALUE"""),479849)</f>
        <v>479849</v>
      </c>
      <c r="C6" s="215" t="str">
        <f ca="1">IFERROR(__xludf.DUMMYFUNCTION("""COMPUTED_VALUE"""),"General")</f>
        <v>General</v>
      </c>
      <c r="D6" s="216" t="str">
        <f ca="1">IFERROR(__xludf.DUMMYFUNCTION("""COMPUTED_VALUE"""),"Reid Hoffman and Chris Yeh on Creating an Alliance with Employees")</f>
        <v>Reid Hoffman and Chris Yeh on Creating an Alliance with Employees</v>
      </c>
      <c r="E6" s="217" t="str">
        <f ca="1">IFERROR(__xludf.DUMMYFUNCTION("""COMPUTED_VALUE"""),"Fostering Collaboration")</f>
        <v>Fostering Collaboration</v>
      </c>
      <c r="F6" s="213"/>
      <c r="G6" s="214">
        <f ca="1">IFERROR(__xludf.DUMMYFUNCTION("""COMPUTED_VALUE"""),5025557)</f>
        <v>5025557</v>
      </c>
      <c r="H6" s="215" t="str">
        <f ca="1">IFERROR(__xludf.DUMMYFUNCTION("""COMPUTED_VALUE"""),"Intermediate")</f>
        <v>Intermediate</v>
      </c>
      <c r="I6" s="217" t="str">
        <f ca="1">IFERROR(__xludf.DUMMYFUNCTION("""COMPUTED_VALUE"""),"Améliorer les performances des employés / employées")</f>
        <v>Améliorer les performances des employés / employées</v>
      </c>
      <c r="J6" s="217" t="str">
        <f ca="1">IFERROR(__xludf.DUMMYFUNCTION("""COMPUTED_VALUE"""),"Améliorer ses compétences en travail d'équipe")</f>
        <v>Améliorer ses compétences en travail d'équipe</v>
      </c>
      <c r="K6" s="213"/>
      <c r="L6" s="215">
        <f ca="1">IFERROR(__xludf.DUMMYFUNCTION("""COMPUTED_VALUE"""),2873071)</f>
        <v>2873071</v>
      </c>
      <c r="M6" s="215" t="str">
        <f ca="1">IFERROR(__xludf.DUMMYFUNCTION("""COMPUTED_VALUE"""),"Intermediate")</f>
        <v>Intermediate</v>
      </c>
      <c r="N6" s="217" t="str">
        <f ca="1">IFERROR(__xludf.DUMMYFUNCTION("""COMPUTED_VALUE"""),"Big data, recursos humanos y gestión del bienestar laboral")</f>
        <v>Big data, recursos humanos y gestión del bienestar laboral</v>
      </c>
      <c r="O6" s="217" t="str">
        <f ca="1">IFERROR(__xludf.DUMMYFUNCTION("""COMPUTED_VALUE"""),"Mejora tu gestión de tiempo y productividad")</f>
        <v>Mejora tu gestión de tiempo y productividad</v>
      </c>
      <c r="P6" s="213"/>
      <c r="Q6" s="215">
        <f ca="1">IFERROR(__xludf.DUMMYFUNCTION("""COMPUTED_VALUE"""),759348)</f>
        <v>759348</v>
      </c>
      <c r="R6" s="215" t="str">
        <f ca="1">IFERROR(__xludf.DUMMYFUNCTION("""COMPUTED_VALUE"""),"Beginner")</f>
        <v>Beginner</v>
      </c>
      <c r="S6" s="217" t="str">
        <f ca="1">IFERROR(__xludf.DUMMYFUNCTION("""COMPUTED_VALUE"""),"Agiler führen – eine Einführung")</f>
        <v>Agiler führen – eine Einführung</v>
      </c>
      <c r="T6" s="217" t="str">
        <f ca="1">IFERROR(__xludf.DUMMYFUNCTION("""COMPUTED_VALUE"""),"Führungskraft werden")</f>
        <v>Führungskraft werden</v>
      </c>
      <c r="U6" s="213"/>
      <c r="V6" s="215">
        <f ca="1">IFERROR(__xludf.DUMMYFUNCTION("""COMPUTED_VALUE"""),2312427)</f>
        <v>2312427</v>
      </c>
      <c r="W6" s="215" t="str">
        <f ca="1">IFERROR(__xludf.DUMMYFUNCTION("""COMPUTED_VALUE"""),"Intermediate")</f>
        <v>Intermediate</v>
      </c>
      <c r="X6" s="217" t="str">
        <f ca="1">IFERROR(__xludf.DUMMYFUNCTION("""COMPUTED_VALUE"""),"Microsoft Teams：ビデオ会議とライブイベント")</f>
        <v>Microsoft Teams：ビデオ会議とライブイベント</v>
      </c>
      <c r="Y6" s="217"/>
      <c r="Z6" s="213"/>
      <c r="AA6" s="215">
        <f ca="1">IFERROR(__xludf.DUMMYFUNCTION("""COMPUTED_VALUE"""),2929559)</f>
        <v>2929559</v>
      </c>
      <c r="AB6" s="215" t="str">
        <f ca="1">IFERROR(__xludf.DUMMYFUNCTION("""COMPUTED_VALUE"""),"All levels")</f>
        <v>All levels</v>
      </c>
      <c r="AC6" s="217" t="str">
        <f ca="1">IFERROR(__xludf.DUMMYFUNCTION("""COMPUTED_VALUE"""),"Boas Práticas para o Sucesso em Projetos Internacionais")</f>
        <v>Boas Práticas para o Sucesso em Projetos Internacionais</v>
      </c>
      <c r="AD6" s="217" t="str">
        <f ca="1">IFERROR(__xludf.DUMMYFUNCTION("""COMPUTED_VALUE"""),"Trabalho Remoto: Colaboração, Foco e Produtividade")</f>
        <v>Trabalho Remoto: Colaboração, Foco e Produtividade</v>
      </c>
      <c r="AE6" s="213"/>
      <c r="AF6" s="215">
        <f ca="1">IFERROR(__xludf.DUMMYFUNCTION("""COMPUTED_VALUE"""),762264)</f>
        <v>762264</v>
      </c>
      <c r="AG6" s="215" t="str">
        <f ca="1">IFERROR(__xludf.DUMMYFUNCTION("""COMPUTED_VALUE"""),"Intermediate")</f>
        <v>Intermediate</v>
      </c>
      <c r="AH6" s="217" t="str">
        <f ca="1">IFERROR(__xludf.DUMMYFUNCTION("""COMPUTED_VALUE"""),"以结果为导向的管理")</f>
        <v>以结果为导向的管理</v>
      </c>
      <c r="AI6" s="217" t="str">
        <f ca="1">IFERROR(__xludf.DUMMYFUNCTION("""COMPUTED_VALUE"""),"发掘并留住人才")</f>
        <v>发掘并留住人才</v>
      </c>
      <c r="AJ6" s="213"/>
    </row>
    <row r="7" spans="1:36" ht="33.75" customHeight="1">
      <c r="A7" s="213"/>
      <c r="B7" s="214">
        <f ca="1">IFERROR(__xludf.DUMMYFUNCTION("""COMPUTED_VALUE"""),797722)</f>
        <v>797722</v>
      </c>
      <c r="C7" s="215" t="str">
        <f ca="1">IFERROR(__xludf.DUMMYFUNCTION("""COMPUTED_VALUE"""),"Intermediate")</f>
        <v>Intermediate</v>
      </c>
      <c r="D7" s="216" t="str">
        <f ca="1">IFERROR(__xludf.DUMMYFUNCTION("""COMPUTED_VALUE"""),"Doing Good to Build a Profitable Business")</f>
        <v>Doing Good to Build a Profitable Business</v>
      </c>
      <c r="E7" s="217" t="str">
        <f ca="1">IFERROR(__xludf.DUMMYFUNCTION("""COMPUTED_VALUE"""),"Improve Your Coaching Skills as a Manager")</f>
        <v>Improve Your Coaching Skills as a Manager</v>
      </c>
      <c r="F7" s="213"/>
      <c r="G7" s="214">
        <f ca="1">IFERROR(__xludf.DUMMYFUNCTION("""COMPUTED_VALUE"""),2257269)</f>
        <v>2257269</v>
      </c>
      <c r="H7" s="215" t="str">
        <f ca="1">IFERROR(__xludf.DUMMYFUNCTION("""COMPUTED_VALUE"""),"Intermediate")</f>
        <v>Intermediate</v>
      </c>
      <c r="I7" s="217" t="str">
        <f ca="1">IFERROR(__xludf.DUMMYFUNCTION("""COMPUTED_VALUE"""),"Bien travailler en équipe")</f>
        <v>Bien travailler en équipe</v>
      </c>
      <c r="J7" s="217" t="str">
        <f ca="1">IFERROR(__xludf.DUMMYFUNCTION("""COMPUTED_VALUE"""),"Coacher, développer et motiver son équipe")</f>
        <v>Coacher, développer et motiver son équipe</v>
      </c>
      <c r="K7" s="213"/>
      <c r="L7" s="215">
        <f ca="1">IFERROR(__xludf.DUMMYFUNCTION("""COMPUTED_VALUE"""),778412)</f>
        <v>778412</v>
      </c>
      <c r="M7" s="215" t="str">
        <f ca="1">IFERROR(__xludf.DUMMYFUNCTION("""COMPUTED_VALUE"""),"All levels")</f>
        <v>All levels</v>
      </c>
      <c r="N7" s="217" t="str">
        <f ca="1">IFERROR(__xludf.DUMMYFUNCTION("""COMPUTED_VALUE"""),"Bill George sobre autoconocimiento, autenticidad, y liderazgo")</f>
        <v>Bill George sobre autoconocimiento, autenticidad, y liderazgo</v>
      </c>
      <c r="O7" s="217" t="str">
        <f ca="1">IFERROR(__xludf.DUMMYFUNCTION("""COMPUTED_VALUE"""),"Crea una atmósfera de trabajo productiva")</f>
        <v>Crea una atmósfera de trabajo productiva</v>
      </c>
      <c r="P7" s="213"/>
      <c r="Q7" s="215">
        <f ca="1">IFERROR(__xludf.DUMMYFUNCTION("""COMPUTED_VALUE"""),2809733)</f>
        <v>2809733</v>
      </c>
      <c r="R7" s="215" t="str">
        <f ca="1">IFERROR(__xludf.DUMMYFUNCTION("""COMPUTED_VALUE"""),"All levels")</f>
        <v>All levels</v>
      </c>
      <c r="S7" s="217" t="str">
        <f ca="1">IFERROR(__xludf.DUMMYFUNCTION("""COMPUTED_VALUE"""),"Als Führungskraft das agile Lernen im Team unterstützen")</f>
        <v>Als Führungskraft das agile Lernen im Team unterstützen</v>
      </c>
      <c r="T7" s="217" t="str">
        <f ca="1">IFERROR(__xludf.DUMMYFUNCTION("""COMPUTED_VALUE"""),"Leader:in werden")</f>
        <v>Leader:in werden</v>
      </c>
      <c r="U7" s="213"/>
      <c r="V7" s="215">
        <f ca="1">IFERROR(__xludf.DUMMYFUNCTION("""COMPUTED_VALUE"""),2430002)</f>
        <v>2430002</v>
      </c>
      <c r="W7" s="215" t="str">
        <f ca="1">IFERROR(__xludf.DUMMYFUNCTION("""COMPUTED_VALUE"""),"Beginner")</f>
        <v>Beginner</v>
      </c>
      <c r="X7" s="217" t="str">
        <f ca="1">IFERROR(__xludf.DUMMYFUNCTION("""COMPUTED_VALUE"""),"SMARTの法則でチームと部下の目標を定めるには")</f>
        <v>SMARTの法則でチームと部下の目標を定めるには</v>
      </c>
      <c r="Y7" s="217"/>
      <c r="Z7" s="213"/>
      <c r="AA7" s="215">
        <f ca="1">IFERROR(__xludf.DUMMYFUNCTION("""COMPUTED_VALUE"""),2400386)</f>
        <v>2400386</v>
      </c>
      <c r="AB7" s="215" t="str">
        <f ca="1">IFERROR(__xludf.DUMMYFUNCTION("""COMPUTED_VALUE"""),"Advanced")</f>
        <v>Advanced</v>
      </c>
      <c r="AC7" s="217" t="str">
        <f ca="1">IFERROR(__xludf.DUMMYFUNCTION("""COMPUTED_VALUE"""),"Coaching de Vendas para Motivar sua Equipe a Atingir Resultados")</f>
        <v>Coaching de Vendas para Motivar sua Equipe a Atingir Resultados</v>
      </c>
      <c r="AD7" s="217"/>
      <c r="AE7" s="213"/>
      <c r="AF7" s="215">
        <f ca="1">IFERROR(__xludf.DUMMYFUNCTION("""COMPUTED_VALUE"""),2823605)</f>
        <v>2823605</v>
      </c>
      <c r="AG7" s="215" t="str">
        <f ca="1">IFERROR(__xludf.DUMMYFUNCTION("""COMPUTED_VALUE"""),"Beginner")</f>
        <v>Beginner</v>
      </c>
      <c r="AH7" s="217" t="str">
        <f ca="1">IFERROR(__xludf.DUMMYFUNCTION("""COMPUTED_VALUE"""),"企业文化")</f>
        <v>企业文化</v>
      </c>
      <c r="AI7" s="217"/>
      <c r="AJ7" s="213"/>
    </row>
    <row r="8" spans="1:36" ht="33.75" customHeight="1">
      <c r="A8" s="213"/>
      <c r="B8" s="214">
        <f ca="1">IFERROR(__xludf.DUMMYFUNCTION("""COMPUTED_VALUE"""),574670)</f>
        <v>574670</v>
      </c>
      <c r="C8" s="215" t="str">
        <f ca="1">IFERROR(__xludf.DUMMYFUNCTION("""COMPUTED_VALUE"""),"Advanced")</f>
        <v>Advanced</v>
      </c>
      <c r="D8" s="216" t="str">
        <f ca="1">IFERROR(__xludf.DUMMYFUNCTION("""COMPUTED_VALUE"""),"Creating a High Performance Culture")</f>
        <v>Creating a High Performance Culture</v>
      </c>
      <c r="E8" s="217" t="str">
        <f ca="1">IFERROR(__xludf.DUMMYFUNCTION("""COMPUTED_VALUE"""),"Managing Performance")</f>
        <v>Managing Performance</v>
      </c>
      <c r="F8" s="213"/>
      <c r="G8" s="214">
        <f ca="1">IFERROR(__xludf.DUMMYFUNCTION("""COMPUTED_VALUE"""),3006768)</f>
        <v>3006768</v>
      </c>
      <c r="H8" s="215" t="str">
        <f ca="1">IFERROR(__xludf.DUMMYFUNCTION("""COMPUTED_VALUE"""),"Intermediate")</f>
        <v>Intermediate</v>
      </c>
      <c r="I8" s="217" t="str">
        <f ca="1">IFERROR(__xludf.DUMMYFUNCTION("""COMPUTED_VALUE"""),"Choisir d'être un bon manager")</f>
        <v>Choisir d'être un bon manager</v>
      </c>
      <c r="J8" s="217" t="str">
        <f ca="1">IFERROR(__xludf.DUMMYFUNCTION("""COMPUTED_VALUE"""),"Collaborer avec Microsoft 365")</f>
        <v>Collaborer avec Microsoft 365</v>
      </c>
      <c r="K8" s="213"/>
      <c r="L8" s="215">
        <f ca="1">IFERROR(__xludf.DUMMYFUNCTION("""COMPUTED_VALUE"""),5025690)</f>
        <v>5025690</v>
      </c>
      <c r="M8" s="215" t="str">
        <f ca="1">IFERROR(__xludf.DUMMYFUNCTION("""COMPUTED_VALUE"""),"Beginner")</f>
        <v>Beginner</v>
      </c>
      <c r="N8" s="217" t="str">
        <f ca="1">IFERROR(__xludf.DUMMYFUNCTION("""COMPUTED_VALUE"""),"Cómo comunicar dentro del equipo")</f>
        <v>Cómo comunicar dentro del equipo</v>
      </c>
      <c r="O8" s="217" t="str">
        <f ca="1">IFERROR(__xludf.DUMMYFUNCTION("""COMPUTED_VALUE"""),"Fomenta la colaboración en tu equipo")</f>
        <v>Fomenta la colaboración en tu equipo</v>
      </c>
      <c r="P8" s="213"/>
      <c r="Q8" s="215">
        <f ca="1">IFERROR(__xludf.DUMMYFUNCTION("""COMPUTED_VALUE"""),2922386)</f>
        <v>2922386</v>
      </c>
      <c r="R8" s="215" t="str">
        <f ca="1">IFERROR(__xludf.DUMMYFUNCTION("""COMPUTED_VALUE"""),"Beginner")</f>
        <v>Beginner</v>
      </c>
      <c r="S8" s="217" t="str">
        <f ca="1">IFERROR(__xludf.DUMMYFUNCTION("""COMPUTED_VALUE"""),"Als Ingenieur:in oder IT-Expert:in Mitarbeiter führen")</f>
        <v>Als Ingenieur:in oder IT-Expert:in Mitarbeiter führen</v>
      </c>
      <c r="T8" s="217" t="str">
        <f ca="1">IFERROR(__xludf.DUMMYFUNCTION("""COMPUTED_VALUE"""),"Leistungsorientiertes Management")</f>
        <v>Leistungsorientiertes Management</v>
      </c>
      <c r="U8" s="213"/>
      <c r="V8" s="215">
        <f ca="1">IFERROR(__xludf.DUMMYFUNCTION("""COMPUTED_VALUE"""),2885003)</f>
        <v>2885003</v>
      </c>
      <c r="W8" s="215" t="str">
        <f ca="1">IFERROR(__xludf.DUMMYFUNCTION("""COMPUTED_VALUE"""),"Intermediate")</f>
        <v>Intermediate</v>
      </c>
      <c r="X8" s="217" t="str">
        <f ca="1">IFERROR(__xludf.DUMMYFUNCTION("""COMPUTED_VALUE"""),"さまざまな世代の社員をマネジメントするには")</f>
        <v>さまざまな世代の社員をマネジメントするには</v>
      </c>
      <c r="Y8" s="217"/>
      <c r="Z8" s="213"/>
      <c r="AA8" s="215">
        <f ca="1">IFERROR(__xludf.DUMMYFUNCTION("""COMPUTED_VALUE"""),3201142)</f>
        <v>3201142</v>
      </c>
      <c r="AB8" s="215" t="str">
        <f ca="1">IFERROR(__xludf.DUMMYFUNCTION("""COMPUTED_VALUE"""),"All levels")</f>
        <v>All levels</v>
      </c>
      <c r="AC8" s="217" t="str">
        <f ca="1">IFERROR(__xludf.DUMMYFUNCTION("""COMPUTED_VALUE"""),"Como Apoiar sua Equipe na Gestão da Ansiedade")</f>
        <v>Como Apoiar sua Equipe na Gestão da Ansiedade</v>
      </c>
      <c r="AD8" s="217"/>
      <c r="AE8" s="213"/>
      <c r="AF8" s="215">
        <f ca="1">IFERROR(__xludf.DUMMYFUNCTION("""COMPUTED_VALUE"""),2884012)</f>
        <v>2884012</v>
      </c>
      <c r="AG8" s="215" t="str">
        <f ca="1">IFERROR(__xludf.DUMMYFUNCTION("""COMPUTED_VALUE"""),"Beginner, Intermediate")</f>
        <v>Beginner, Intermediate</v>
      </c>
      <c r="AH8" s="217" t="str">
        <f ca="1">IFERROR(__xludf.DUMMYFUNCTION("""COMPUTED_VALUE"""),"优秀敏捷教练的特质")</f>
        <v>优秀敏捷教练的特质</v>
      </c>
      <c r="AI8" s="217"/>
      <c r="AJ8" s="213"/>
    </row>
    <row r="9" spans="1:36" ht="33.75" customHeight="1">
      <c r="A9" s="213"/>
      <c r="B9" s="214">
        <f ca="1">IFERROR(__xludf.DUMMYFUNCTION("""COMPUTED_VALUE"""),2424658)</f>
        <v>2424658</v>
      </c>
      <c r="C9" s="215" t="str">
        <f ca="1">IFERROR(__xludf.DUMMYFUNCTION("""COMPUTED_VALUE"""),"Beginner")</f>
        <v>Beginner</v>
      </c>
      <c r="D9" s="216" t="str">
        <f ca="1">IFERROR(__xludf.DUMMYFUNCTION("""COMPUTED_VALUE"""),"The Long-Distance Leader (getAbstract Summary)")</f>
        <v>The Long-Distance Leader (getAbstract Summary)</v>
      </c>
      <c r="E9" s="217" t="str">
        <f ca="1">IFERROR(__xludf.DUMMYFUNCTION("""COMPUTED_VALUE"""),"Improve Your Teamwork Skills")</f>
        <v>Improve Your Teamwork Skills</v>
      </c>
      <c r="F9" s="213"/>
      <c r="G9" s="214">
        <f ca="1">IFERROR(__xludf.DUMMYFUNCTION("""COMPUTED_VALUE"""),568503)</f>
        <v>568503</v>
      </c>
      <c r="H9" s="215" t="str">
        <f ca="1">IFERROR(__xludf.DUMMYFUNCTION("""COMPUTED_VALUE"""),"Beginner")</f>
        <v>Beginner</v>
      </c>
      <c r="I9" s="217" t="str">
        <f ca="1">IFERROR(__xludf.DUMMYFUNCTION("""COMPUTED_VALUE"""),"Coacher et aider ses employés / employées à se développer")</f>
        <v>Coacher et aider ses employés / employées à se développer</v>
      </c>
      <c r="J9" s="217"/>
      <c r="K9" s="213"/>
      <c r="L9" s="215">
        <f ca="1">IFERROR(__xludf.DUMMYFUNCTION("""COMPUTED_VALUE"""),608982)</f>
        <v>608982</v>
      </c>
      <c r="M9" s="215" t="str">
        <f ca="1">IFERROR(__xludf.DUMMYFUNCTION("""COMPUTED_VALUE"""),"Beginner")</f>
        <v>Beginner</v>
      </c>
      <c r="N9" s="217" t="str">
        <f ca="1">IFERROR(__xludf.DUMMYFUNCTION("""COMPUTED_VALUE"""),"Cómo crear equipos de alto rendimiento")</f>
        <v>Cómo crear equipos de alto rendimiento</v>
      </c>
      <c r="O9" s="217" t="str">
        <f ca="1">IFERROR(__xludf.DUMMYFUNCTION("""COMPUTED_VALUE"""),"Liderazgo en tiempos de transformación digital")</f>
        <v>Liderazgo en tiempos de transformación digital</v>
      </c>
      <c r="P9" s="213"/>
      <c r="Q9" s="215">
        <f ca="1">IFERROR(__xludf.DUMMYFUNCTION("""COMPUTED_VALUE"""),702514)</f>
        <v>702514</v>
      </c>
      <c r="R9" s="215" t="str">
        <f ca="1">IFERROR(__xludf.DUMMYFUNCTION("""COMPUTED_VALUE"""),"Beginner")</f>
        <v>Beginner</v>
      </c>
      <c r="S9" s="217" t="str">
        <f ca="1">IFERROR(__xludf.DUMMYFUNCTION("""COMPUTED_VALUE"""),"Bereit zur Führung?")</f>
        <v>Bereit zur Führung?</v>
      </c>
      <c r="T9" s="217" t="str">
        <f ca="1">IFERROR(__xludf.DUMMYFUNCTION("""COMPUTED_VALUE"""),"Mitarbeiter finden und halten")</f>
        <v>Mitarbeiter finden und halten</v>
      </c>
      <c r="U9" s="213"/>
      <c r="V9" s="215">
        <f ca="1">IFERROR(__xludf.DUMMYFUNCTION("""COMPUTED_VALUE"""),2915393)</f>
        <v>2915393</v>
      </c>
      <c r="W9" s="215" t="str">
        <f ca="1">IFERROR(__xludf.DUMMYFUNCTION("""COMPUTED_VALUE"""),"All levels")</f>
        <v>All levels</v>
      </c>
      <c r="X9" s="217" t="str">
        <f ca="1">IFERROR(__xludf.DUMMYFUNCTION("""COMPUTED_VALUE"""),"チームワークの基礎")</f>
        <v>チームワークの基礎</v>
      </c>
      <c r="Y9" s="217"/>
      <c r="Z9" s="213"/>
      <c r="AA9" s="215">
        <f ca="1">IFERROR(__xludf.DUMMYFUNCTION("""COMPUTED_VALUE"""),801464)</f>
        <v>801464</v>
      </c>
      <c r="AB9" s="215" t="str">
        <f ca="1">IFERROR(__xludf.DUMMYFUNCTION("""COMPUTED_VALUE"""),"Intermediate")</f>
        <v>Intermediate</v>
      </c>
      <c r="AC9" s="217" t="str">
        <f ca="1">IFERROR(__xludf.DUMMYFUNCTION("""COMPUTED_VALUE"""),"Como Avaliar o Desempenho da Equipe")</f>
        <v>Como Avaliar o Desempenho da Equipe</v>
      </c>
      <c r="AD9" s="217"/>
      <c r="AE9" s="213"/>
      <c r="AF9" s="215">
        <f ca="1">IFERROR(__xludf.DUMMYFUNCTION("""COMPUTED_VALUE"""),2255864)</f>
        <v>2255864</v>
      </c>
      <c r="AG9" s="215" t="str">
        <f ca="1">IFERROR(__xludf.DUMMYFUNCTION("""COMPUTED_VALUE"""),"Intermediate")</f>
        <v>Intermediate</v>
      </c>
      <c r="AH9" s="217" t="str">
        <f ca="1">IFERROR(__xludf.DUMMYFUNCTION("""COMPUTED_VALUE"""),"创建高绩效文化")</f>
        <v>创建高绩效文化</v>
      </c>
      <c r="AI9" s="217"/>
      <c r="AJ9" s="213"/>
    </row>
    <row r="10" spans="1:36" ht="33.75" customHeight="1">
      <c r="A10" s="213"/>
      <c r="B10" s="214">
        <f ca="1">IFERROR(__xludf.DUMMYFUNCTION("""COMPUTED_VALUE"""),661748)</f>
        <v>661748</v>
      </c>
      <c r="C10" s="215" t="str">
        <f ca="1">IFERROR(__xludf.DUMMYFUNCTION("""COMPUTED_VALUE"""),"Beginner + Intermediate")</f>
        <v>Beginner + Intermediate</v>
      </c>
      <c r="D10" s="216" t="str">
        <f ca="1">IFERROR(__xludf.DUMMYFUNCTION("""COMPUTED_VALUE"""),"Rewarding Employee Performance")</f>
        <v>Rewarding Employee Performance</v>
      </c>
      <c r="E10" s="217"/>
      <c r="F10" s="213"/>
      <c r="G10" s="214">
        <f ca="1">IFERROR(__xludf.DUMMYFUNCTION("""COMPUTED_VALUE"""),2919355)</f>
        <v>2919355</v>
      </c>
      <c r="H10" s="215" t="str">
        <f ca="1">IFERROR(__xludf.DUMMYFUNCTION("""COMPUTED_VALUE"""),"Intermediate")</f>
        <v>Intermediate</v>
      </c>
      <c r="I10" s="217" t="str">
        <f ca="1">IFERROR(__xludf.DUMMYFUNCTION("""COMPUTED_VALUE"""),"Coacher pour générer des résultats")</f>
        <v>Coacher pour générer des résultats</v>
      </c>
      <c r="J10" s="217"/>
      <c r="K10" s="213"/>
      <c r="L10" s="215">
        <f ca="1">IFERROR(__xludf.DUMMYFUNCTION("""COMPUTED_VALUE"""),5025679)</f>
        <v>5025679</v>
      </c>
      <c r="M10" s="215" t="str">
        <f ca="1">IFERROR(__xludf.DUMMYFUNCTION("""COMPUTED_VALUE"""),"Advanced")</f>
        <v>Advanced</v>
      </c>
      <c r="N10" s="217" t="str">
        <f ca="1">IFERROR(__xludf.DUMMYFUNCTION("""COMPUTED_VALUE"""),"Cómo crear una cultura de alto rendimiento")</f>
        <v>Cómo crear una cultura de alto rendimiento</v>
      </c>
      <c r="O10" s="217" t="str">
        <f ca="1">IFERROR(__xludf.DUMMYFUNCTION("""COMPUTED_VALUE"""),"Amplía tus competencias de trabajo en equipo colaborativo y digital")</f>
        <v>Amplía tus competencias de trabajo en equipo colaborativo y digital</v>
      </c>
      <c r="P10" s="213"/>
      <c r="Q10" s="215">
        <f ca="1">IFERROR(__xludf.DUMMYFUNCTION("""COMPUTED_VALUE"""),195515)</f>
        <v>195515</v>
      </c>
      <c r="R10" s="215" t="str">
        <f ca="1">IFERROR(__xludf.DUMMYFUNCTION("""COMPUTED_VALUE"""),"All levels")</f>
        <v>All levels</v>
      </c>
      <c r="S10" s="217" t="str">
        <f ca="1">IFERROR(__xludf.DUMMYFUNCTION("""COMPUTED_VALUE"""),"Besprechungen moderieren")</f>
        <v>Besprechungen moderieren</v>
      </c>
      <c r="T10" s="217" t="str">
        <f ca="1">IFERROR(__xludf.DUMMYFUNCTION("""COMPUTED_VALUE"""),"Teams aufbauen und führen")</f>
        <v>Teams aufbauen und führen</v>
      </c>
      <c r="U10" s="213"/>
      <c r="V10" s="215">
        <f ca="1">IFERROR(__xludf.DUMMYFUNCTION("""COMPUTED_VALUE"""),805175)</f>
        <v>805175</v>
      </c>
      <c r="W10" s="215" t="str">
        <f ca="1">IFERROR(__xludf.DUMMYFUNCTION("""COMPUTED_VALUE"""),"All levels")</f>
        <v>All levels</v>
      </c>
      <c r="X10" s="217" t="str">
        <f ca="1">IFERROR(__xludf.DUMMYFUNCTION("""COMPUTED_VALUE"""),"チームを率いてまとめるには")</f>
        <v>チームを率いてまとめるには</v>
      </c>
      <c r="Y10" s="217"/>
      <c r="Z10" s="213"/>
      <c r="AA10" s="215">
        <f ca="1">IFERROR(__xludf.DUMMYFUNCTION("""COMPUTED_VALUE"""),2931602)</f>
        <v>2931602</v>
      </c>
      <c r="AB10" s="215" t="str">
        <f ca="1">IFERROR(__xludf.DUMMYFUNCTION("""COMPUTED_VALUE"""),"Beginner, Intermediate")</f>
        <v>Beginner, Intermediate</v>
      </c>
      <c r="AC10" s="217" t="str">
        <f ca="1">IFERROR(__xludf.DUMMYFUNCTION("""COMPUTED_VALUE"""),"Como Colaborar de Forma Eficaz com sua Equipe")</f>
        <v>Como Colaborar de Forma Eficaz com sua Equipe</v>
      </c>
      <c r="AD10" s="217"/>
      <c r="AE10" s="213"/>
      <c r="AF10" s="215">
        <f ca="1">IFERROR(__xludf.DUMMYFUNCTION("""COMPUTED_VALUE"""),794524)</f>
        <v>794524</v>
      </c>
      <c r="AG10" s="215" t="str">
        <f ca="1">IFERROR(__xludf.DUMMYFUNCTION("""COMPUTED_VALUE"""),"Intermediate")</f>
        <v>Intermediate</v>
      </c>
      <c r="AH10" s="217" t="str">
        <f ca="1">IFERROR(__xludf.DUMMYFUNCTION("""COMPUTED_VALUE"""),"发掘和留住高潜力人才")</f>
        <v>发掘和留住高潜力人才</v>
      </c>
      <c r="AI10" s="217"/>
      <c r="AJ10" s="213"/>
    </row>
    <row r="11" spans="1:36" ht="33.75" customHeight="1">
      <c r="A11" s="213"/>
      <c r="B11" s="214">
        <f ca="1">IFERROR(__xludf.DUMMYFUNCTION("""COMPUTED_VALUE"""),2819025)</f>
        <v>2819025</v>
      </c>
      <c r="C11" s="215" t="str">
        <f ca="1">IFERROR(__xludf.DUMMYFUNCTION("""COMPUTED_VALUE"""),"Beginner + Intermediate")</f>
        <v>Beginner + Intermediate</v>
      </c>
      <c r="D11" s="216" t="str">
        <f ca="1">IFERROR(__xludf.DUMMYFUNCTION("""COMPUTED_VALUE"""),"Communicating to Drive People to Take Action")</f>
        <v>Communicating to Drive People to Take Action</v>
      </c>
      <c r="E11" s="217"/>
      <c r="F11" s="213"/>
      <c r="G11" s="214">
        <f ca="1">IFERROR(__xludf.DUMMYFUNCTION("""COMPUTED_VALUE"""),2810524)</f>
        <v>2810524</v>
      </c>
      <c r="H11" s="215" t="str">
        <f ca="1">IFERROR(__xludf.DUMMYFUNCTION("""COMPUTED_VALUE"""),"Intermediate")</f>
        <v>Intermediate</v>
      </c>
      <c r="I11" s="217" t="str">
        <f ca="1">IFERROR(__xludf.DUMMYFUNCTION("""COMPUTED_VALUE"""),"Communiquer au sein d'une équipe")</f>
        <v>Communiquer au sein d'une équipe</v>
      </c>
      <c r="J11" s="217"/>
      <c r="K11" s="213"/>
      <c r="L11" s="215">
        <f ca="1">IFERROR(__xludf.DUMMYFUNCTION("""COMPUTED_VALUE"""),518295)</f>
        <v>518295</v>
      </c>
      <c r="M11" s="215" t="str">
        <f ca="1">IFERROR(__xludf.DUMMYFUNCTION("""COMPUTED_VALUE"""),"Beginner")</f>
        <v>Beginner</v>
      </c>
      <c r="N11" s="217" t="str">
        <f ca="1">IFERROR(__xludf.DUMMYFUNCTION("""COMPUTED_VALUE"""),"Cómo dar feedback a tu personal")</f>
        <v>Cómo dar feedback a tu personal</v>
      </c>
      <c r="O11" s="217" t="str">
        <f ca="1">IFERROR(__xludf.DUMMYFUNCTION("""COMPUTED_VALUE"""),"Profundiza en la búsqueda, selección y retención de talentos")</f>
        <v>Profundiza en la búsqueda, selección y retención de talentos</v>
      </c>
      <c r="P11" s="213"/>
      <c r="Q11" s="215">
        <f ca="1">IFERROR(__xludf.DUMMYFUNCTION("""COMPUTED_VALUE"""),759349)</f>
        <v>759349</v>
      </c>
      <c r="R11" s="215" t="str">
        <f ca="1">IFERROR(__xludf.DUMMYFUNCTION("""COMPUTED_VALUE"""),"Intermediate")</f>
        <v>Intermediate</v>
      </c>
      <c r="S11" s="217" t="str">
        <f ca="1">IFERROR(__xludf.DUMMYFUNCTION("""COMPUTED_VALUE"""),"Das Personal der Zukunft")</f>
        <v>Das Personal der Zukunft</v>
      </c>
      <c r="T11" s="217"/>
      <c r="U11" s="213"/>
      <c r="V11" s="215">
        <f ca="1">IFERROR(__xludf.DUMMYFUNCTION("""COMPUTED_VALUE"""),2917521)</f>
        <v>2917521</v>
      </c>
      <c r="W11" s="215" t="str">
        <f ca="1">IFERROR(__xludf.DUMMYFUNCTION("""COMPUTED_VALUE"""),"Intermediate")</f>
        <v>Intermediate</v>
      </c>
      <c r="X11" s="217" t="str">
        <f ca="1">IFERROR(__xludf.DUMMYFUNCTION("""COMPUTED_VALUE"""),"バーチャルチームのマネジメント")</f>
        <v>バーチャルチームのマネジメント</v>
      </c>
      <c r="Y11" s="217"/>
      <c r="Z11" s="213"/>
      <c r="AA11" s="215">
        <f ca="1">IFERROR(__xludf.DUMMYFUNCTION("""COMPUTED_VALUE"""),2877214)</f>
        <v>2877214</v>
      </c>
      <c r="AB11" s="215" t="str">
        <f ca="1">IFERROR(__xludf.DUMMYFUNCTION("""COMPUTED_VALUE"""),"Intermediate")</f>
        <v>Intermediate</v>
      </c>
      <c r="AC11" s="217" t="str">
        <f ca="1">IFERROR(__xludf.DUMMYFUNCTION("""COMPUTED_VALUE"""),"Como Criar Condições Para que as Pessoas Prosperem no Trabalho")</f>
        <v>Como Criar Condições Para que as Pessoas Prosperem no Trabalho</v>
      </c>
      <c r="AD11" s="217"/>
      <c r="AE11" s="213"/>
      <c r="AF11" s="215">
        <f ca="1">IFERROR(__xludf.DUMMYFUNCTION("""COMPUTED_VALUE"""),2862023)</f>
        <v>2862023</v>
      </c>
      <c r="AG11" s="215" t="str">
        <f ca="1">IFERROR(__xludf.DUMMYFUNCTION("""COMPUTED_VALUE"""),"Beginner")</f>
        <v>Beginner</v>
      </c>
      <c r="AH11" s="217" t="str">
        <f ca="1">IFERROR(__xludf.DUMMYFUNCTION("""COMPUTED_VALUE"""),"同理心沟通")</f>
        <v>同理心沟通</v>
      </c>
      <c r="AI11" s="217"/>
      <c r="AJ11" s="213"/>
    </row>
    <row r="12" spans="1:36" ht="33.75" customHeight="1">
      <c r="A12" s="213"/>
      <c r="B12" s="214">
        <f ca="1">IFERROR(__xludf.DUMMYFUNCTION("""COMPUTED_VALUE"""),585227)</f>
        <v>585227</v>
      </c>
      <c r="C12" s="215" t="str">
        <f ca="1">IFERROR(__xludf.DUMMYFUNCTION("""COMPUTED_VALUE"""),"Intermediate")</f>
        <v>Intermediate</v>
      </c>
      <c r="D12" s="216" t="str">
        <f ca="1">IFERROR(__xludf.DUMMYFUNCTION("""COMPUTED_VALUE"""),"Measuring Team Performance")</f>
        <v>Measuring Team Performance</v>
      </c>
      <c r="E12" s="217"/>
      <c r="F12" s="213"/>
      <c r="G12" s="214">
        <f ca="1">IFERROR(__xludf.DUMMYFUNCTION("""COMPUTED_VALUE"""),3175198)</f>
        <v>3175198</v>
      </c>
      <c r="H12" s="215" t="str">
        <f ca="1">IFERROR(__xludf.DUMMYFUNCTION("""COMPUTED_VALUE"""),"Intermediate")</f>
        <v>Intermediate</v>
      </c>
      <c r="I12" s="217" t="str">
        <f ca="1">IFERROR(__xludf.DUMMYFUNCTION("""COMPUTED_VALUE"""),"Conseils d’experte : Manager la Génération Z")</f>
        <v>Conseils d’experte : Manager la Génération Z</v>
      </c>
      <c r="J12" s="217"/>
      <c r="K12" s="213"/>
      <c r="L12" s="215">
        <f ca="1">IFERROR(__xludf.DUMMYFUNCTION("""COMPUTED_VALUE"""),778411)</f>
        <v>778411</v>
      </c>
      <c r="M12" s="215" t="str">
        <f ca="1">IFERROR(__xludf.DUMMYFUNCTION("""COMPUTED_VALUE"""),"All levels")</f>
        <v>All levels</v>
      </c>
      <c r="N12" s="217" t="str">
        <f ca="1">IFERROR(__xludf.DUMMYFUNCTION("""COMPUTED_VALUE"""),"Cómo dar y recibir feedback o retroalimentación")</f>
        <v>Cómo dar y recibir feedback o retroalimentación</v>
      </c>
      <c r="O12" s="217" t="str">
        <f ca="1">IFERROR(__xludf.DUMMYFUNCTION("""COMPUTED_VALUE"""),"Trabajo a distancia: Preparándote a ti mismo y a tus equipos para el éxito")</f>
        <v>Trabajo a distancia: Preparándote a ti mismo y a tus equipos para el éxito</v>
      </c>
      <c r="P12" s="213"/>
      <c r="Q12" s="215">
        <f ca="1">IFERROR(__xludf.DUMMYFUNCTION("""COMPUTED_VALUE"""),702513)</f>
        <v>702513</v>
      </c>
      <c r="R12" s="215" t="str">
        <f ca="1">IFERROR(__xludf.DUMMYFUNCTION("""COMPUTED_VALUE"""),"All levels")</f>
        <v>All levels</v>
      </c>
      <c r="S12" s="217" t="str">
        <f ca="1">IFERROR(__xludf.DUMMYFUNCTION("""COMPUTED_VALUE"""),"Den eigenen Führungsstil entwickeln")</f>
        <v>Den eigenen Führungsstil entwickeln</v>
      </c>
      <c r="T12" s="217"/>
      <c r="U12" s="213"/>
      <c r="V12" s="215">
        <f ca="1">IFERROR(__xludf.DUMMYFUNCTION("""COMPUTED_VALUE"""),808183)</f>
        <v>808183</v>
      </c>
      <c r="W12" s="215" t="str">
        <f ca="1">IFERROR(__xludf.DUMMYFUNCTION("""COMPUTED_VALUE"""),"Intermediate")</f>
        <v>Intermediate</v>
      </c>
      <c r="X12" s="217" t="str">
        <f ca="1">IFERROR(__xludf.DUMMYFUNCTION("""COMPUTED_VALUE"""),"パフォーマンスの高いチームを築くには")</f>
        <v>パフォーマンスの高いチームを築くには</v>
      </c>
      <c r="Y12" s="217"/>
      <c r="Z12" s="213"/>
      <c r="AA12" s="215">
        <f ca="1">IFERROR(__xludf.DUMMYFUNCTION("""COMPUTED_VALUE"""),753229)</f>
        <v>753229</v>
      </c>
      <c r="AB12" s="215" t="str">
        <f ca="1">IFERROR(__xludf.DUMMYFUNCTION("""COMPUTED_VALUE"""),"Intermediate")</f>
        <v>Intermediate</v>
      </c>
      <c r="AC12" s="217" t="str">
        <f ca="1">IFERROR(__xludf.DUMMYFUNCTION("""COMPUTED_VALUE"""),"Como Criar Equipes de Alto Desempenho")</f>
        <v>Como Criar Equipes de Alto Desempenho</v>
      </c>
      <c r="AD12" s="217"/>
      <c r="AE12" s="213"/>
      <c r="AF12" s="215">
        <f ca="1">IFERROR(__xludf.DUMMYFUNCTION("""COMPUTED_VALUE"""),767947)</f>
        <v>767947</v>
      </c>
      <c r="AG12" s="215" t="str">
        <f ca="1">IFERROR(__xludf.DUMMYFUNCTION("""COMPUTED_VALUE"""),"Beginner")</f>
        <v>Beginner</v>
      </c>
      <c r="AH12" s="217" t="str">
        <f ca="1">IFERROR(__xludf.DUMMYFUNCTION("""COMPUTED_VALUE"""),"向团队委派任务")</f>
        <v>向团队委派任务</v>
      </c>
      <c r="AI12" s="217"/>
      <c r="AJ12" s="213"/>
    </row>
    <row r="13" spans="1:36" ht="33.75" customHeight="1">
      <c r="A13" s="213"/>
      <c r="B13" s="214">
        <f ca="1">IFERROR(__xludf.DUMMYFUNCTION("""COMPUTED_VALUE"""),565364)</f>
        <v>565364</v>
      </c>
      <c r="C13" s="215" t="str">
        <f ca="1">IFERROR(__xludf.DUMMYFUNCTION("""COMPUTED_VALUE"""),"Intermediate")</f>
        <v>Intermediate</v>
      </c>
      <c r="D13" s="216" t="str">
        <f ca="1">IFERROR(__xludf.DUMMYFUNCTION("""COMPUTED_VALUE"""),"Managing New Managers")</f>
        <v>Managing New Managers</v>
      </c>
      <c r="E13" s="217"/>
      <c r="F13" s="213"/>
      <c r="G13" s="214">
        <f ca="1">IFERROR(__xludf.DUMMYFUNCTION("""COMPUTED_VALUE"""),622393)</f>
        <v>622393</v>
      </c>
      <c r="H13" s="215" t="str">
        <f ca="1">IFERROR(__xludf.DUMMYFUNCTION("""COMPUTED_VALUE"""),"Intermediate")</f>
        <v>Intermediate</v>
      </c>
      <c r="I13" s="217" t="str">
        <f ca="1">IFERROR(__xludf.DUMMYFUNCTION("""COMPUTED_VALUE"""),"Constituer des équipes ultraperformantes")</f>
        <v>Constituer des équipes ultraperformantes</v>
      </c>
      <c r="J13" s="217"/>
      <c r="K13" s="213"/>
      <c r="L13" s="215">
        <f ca="1">IFERROR(__xludf.DUMMYFUNCTION("""COMPUTED_VALUE"""),420457)</f>
        <v>420457</v>
      </c>
      <c r="M13" s="215" t="str">
        <f ca="1">IFERROR(__xludf.DUMMYFUNCTION("""COMPUTED_VALUE"""),"Beginner")</f>
        <v>Beginner</v>
      </c>
      <c r="N13" s="217" t="str">
        <f ca="1">IFERROR(__xludf.DUMMYFUNCTION("""COMPUTED_VALUE"""),"Cómo gestionar equipos de trabajo")</f>
        <v>Cómo gestionar equipos de trabajo</v>
      </c>
      <c r="O13" s="217"/>
      <c r="P13" s="213"/>
      <c r="Q13" s="215">
        <f ca="1">IFERROR(__xludf.DUMMYFUNCTION("""COMPUTED_VALUE"""),2805676)</f>
        <v>2805676</v>
      </c>
      <c r="R13" s="215" t="str">
        <f ca="1">IFERROR(__xludf.DUMMYFUNCTION("""COMPUTED_VALUE"""),"Beginner")</f>
        <v>Beginner</v>
      </c>
      <c r="S13" s="217" t="str">
        <f ca="1">IFERROR(__xludf.DUMMYFUNCTION("""COMPUTED_VALUE"""),"Die ersten 100 Tage als Führungskraft")</f>
        <v>Die ersten 100 Tage als Führungskraft</v>
      </c>
      <c r="T13" s="217"/>
      <c r="U13" s="213"/>
      <c r="V13" s="215">
        <f ca="1">IFERROR(__xludf.DUMMYFUNCTION("""COMPUTED_VALUE"""),3152582)</f>
        <v>3152582</v>
      </c>
      <c r="W13" s="215" t="str">
        <f ca="1">IFERROR(__xludf.DUMMYFUNCTION("""COMPUTED_VALUE"""),"Beginner")</f>
        <v>Beginner</v>
      </c>
      <c r="X13" s="217" t="str">
        <f ca="1">IFERROR(__xludf.DUMMYFUNCTION("""COMPUTED_VALUE"""),"ビジネス英語の基礎：会議を行う")</f>
        <v>ビジネス英語の基礎：会議を行う</v>
      </c>
      <c r="Y13" s="217"/>
      <c r="Z13" s="213"/>
      <c r="AA13" s="215">
        <f ca="1">IFERROR(__xludf.DUMMYFUNCTION("""COMPUTED_VALUE"""),800463)</f>
        <v>800463</v>
      </c>
      <c r="AB13" s="215" t="str">
        <f ca="1">IFERROR(__xludf.DUMMYFUNCTION("""COMPUTED_VALUE"""),"Beginner")</f>
        <v>Beginner</v>
      </c>
      <c r="AC13" s="217" t="str">
        <f ca="1">IFERROR(__xludf.DUMMYFUNCTION("""COMPUTED_VALUE"""),"Como Criar sua Equipe")</f>
        <v>Como Criar sua Equipe</v>
      </c>
      <c r="AD13" s="217"/>
      <c r="AE13" s="213"/>
      <c r="AF13" s="215">
        <f ca="1">IFERROR(__xludf.DUMMYFUNCTION("""COMPUTED_VALUE"""),2427746)</f>
        <v>2427746</v>
      </c>
      <c r="AG13" s="215" t="str">
        <f ca="1">IFERROR(__xludf.DUMMYFUNCTION("""COMPUTED_VALUE"""),"Intermediate")</f>
        <v>Intermediate</v>
      </c>
      <c r="AH13" s="217" t="str">
        <f ca="1">IFERROR(__xludf.DUMMYFUNCTION("""COMPUTED_VALUE"""),"员工成长：打造良好环境")</f>
        <v>员工成长：打造良好环境</v>
      </c>
      <c r="AI13" s="217"/>
      <c r="AJ13" s="213"/>
    </row>
    <row r="14" spans="1:36" ht="33.75" customHeight="1">
      <c r="A14" s="213"/>
      <c r="B14" s="214">
        <f ca="1">IFERROR(__xludf.DUMMYFUNCTION("""COMPUTED_VALUE"""),427474)</f>
        <v>427474</v>
      </c>
      <c r="C14" s="215" t="str">
        <f ca="1">IFERROR(__xludf.DUMMYFUNCTION("""COMPUTED_VALUE"""),"Beginner")</f>
        <v>Beginner</v>
      </c>
      <c r="D14" s="216" t="str">
        <f ca="1">IFERROR(__xludf.DUMMYFUNCTION("""COMPUTED_VALUE"""),"Building Your Team")</f>
        <v>Building Your Team</v>
      </c>
      <c r="E14" s="217"/>
      <c r="F14" s="213"/>
      <c r="G14" s="214">
        <f ca="1">IFERROR(__xludf.DUMMYFUNCTION("""COMPUTED_VALUE"""),789564)</f>
        <v>789564</v>
      </c>
      <c r="H14" s="215" t="str">
        <f ca="1">IFERROR(__xludf.DUMMYFUNCTION("""COMPUTED_VALUE"""),"Intermediate")</f>
        <v>Intermediate</v>
      </c>
      <c r="I14" s="217" t="str">
        <f ca="1">IFERROR(__xludf.DUMMYFUNCTION("""COMPUTED_VALUE"""),"Constituer son équipe")</f>
        <v>Constituer son équipe</v>
      </c>
      <c r="J14" s="217"/>
      <c r="K14" s="213"/>
      <c r="L14" s="215">
        <f ca="1">IFERROR(__xludf.DUMMYFUNCTION("""COMPUTED_VALUE"""),5025647)</f>
        <v>5025647</v>
      </c>
      <c r="M14" s="215" t="str">
        <f ca="1">IFERROR(__xludf.DUMMYFUNCTION("""COMPUTED_VALUE"""),"Intermediate")</f>
        <v>Intermediate</v>
      </c>
      <c r="N14" s="217" t="str">
        <f ca="1">IFERROR(__xludf.DUMMYFUNCTION("""COMPUTED_VALUE"""),"Cómo gestionar un equipo de atención al cliente")</f>
        <v>Cómo gestionar un equipo de atención al cliente</v>
      </c>
      <c r="O14" s="217"/>
      <c r="P14" s="213"/>
      <c r="Q14" s="215">
        <f ca="1">IFERROR(__xludf.DUMMYFUNCTION("""COMPUTED_VALUE"""),5025562)</f>
        <v>5025562</v>
      </c>
      <c r="R14" s="215" t="str">
        <f ca="1">IFERROR(__xludf.DUMMYFUNCTION("""COMPUTED_VALUE"""),"Intermediate")</f>
        <v>Intermediate</v>
      </c>
      <c r="S14" s="217" t="str">
        <f ca="1">IFERROR(__xludf.DUMMYFUNCTION("""COMPUTED_VALUE"""),"Die Leistung der Mitarbeiter:innen steigern")</f>
        <v>Die Leistung der Mitarbeiter:innen steigern</v>
      </c>
      <c r="T14" s="217"/>
      <c r="U14" s="213"/>
      <c r="V14" s="215">
        <f ca="1">IFERROR(__xludf.DUMMYFUNCTION("""COMPUTED_VALUE"""),3153208)</f>
        <v>3153208</v>
      </c>
      <c r="W14" s="215" t="str">
        <f ca="1">IFERROR(__xludf.DUMMYFUNCTION("""COMPUTED_VALUE"""),"Beginner")</f>
        <v>Beginner</v>
      </c>
      <c r="X14" s="217" t="str">
        <f ca="1">IFERROR(__xludf.DUMMYFUNCTION("""COMPUTED_VALUE"""),"実力がある人材のマネジメント")</f>
        <v>実力がある人材のマネジメント</v>
      </c>
      <c r="Y14" s="217"/>
      <c r="Z14" s="213"/>
      <c r="AA14" s="215">
        <f ca="1">IFERROR(__xludf.DUMMYFUNCTION("""COMPUTED_VALUE"""),2908959)</f>
        <v>2908959</v>
      </c>
      <c r="AB14" s="215" t="str">
        <f ca="1">IFERROR(__xludf.DUMMYFUNCTION("""COMPUTED_VALUE"""),"Advanced")</f>
        <v>Advanced</v>
      </c>
      <c r="AC14" s="217" t="str">
        <f ca="1">IFERROR(__xludf.DUMMYFUNCTION("""COMPUTED_VALUE"""),"Como Criar uma Cultura de Alto Desempenho")</f>
        <v>Como Criar uma Cultura de Alto Desempenho</v>
      </c>
      <c r="AD14" s="217"/>
      <c r="AE14" s="213"/>
      <c r="AF14" s="215">
        <f ca="1">IFERROR(__xludf.DUMMYFUNCTION("""COMPUTED_VALUE"""),2822705)</f>
        <v>2822705</v>
      </c>
      <c r="AG14" s="215" t="str">
        <f ca="1">IFERROR(__xludf.DUMMYFUNCTION("""COMPUTED_VALUE"""),"Advanced")</f>
        <v>Advanced</v>
      </c>
      <c r="AH14" s="217" t="str">
        <f ca="1">IFERROR(__xludf.DUMMYFUNCTION("""COMPUTED_VALUE"""),"员工敬业度")</f>
        <v>员工敬业度</v>
      </c>
      <c r="AI14" s="217"/>
      <c r="AJ14" s="213"/>
    </row>
    <row r="15" spans="1:36" ht="33.75" customHeight="1">
      <c r="A15" s="213"/>
      <c r="B15" s="214">
        <f ca="1">IFERROR(__xludf.DUMMYFUNCTION("""COMPUTED_VALUE"""),456353)</f>
        <v>456353</v>
      </c>
      <c r="C15" s="215" t="str">
        <f ca="1">IFERROR(__xludf.DUMMYFUNCTION("""COMPUTED_VALUE"""),"Beginner")</f>
        <v>Beginner</v>
      </c>
      <c r="D15" s="216" t="str">
        <f ca="1">IFERROR(__xludf.DUMMYFUNCTION("""COMPUTED_VALUE"""),"Setting Team and Employee Goals Using SMART Methodology")</f>
        <v>Setting Team and Employee Goals Using SMART Methodology</v>
      </c>
      <c r="E15" s="217"/>
      <c r="F15" s="213"/>
      <c r="G15" s="214">
        <f ca="1">IFERROR(__xludf.DUMMYFUNCTION("""COMPUTED_VALUE"""),2823373)</f>
        <v>2823373</v>
      </c>
      <c r="H15" s="215" t="str">
        <f ca="1">IFERROR(__xludf.DUMMYFUNCTION("""COMPUTED_VALUE"""),"Intermediate")</f>
        <v>Intermediate</v>
      </c>
      <c r="I15" s="217" t="str">
        <f ca="1">IFERROR(__xludf.DUMMYFUNCTION("""COMPUTED_VALUE"""),"Créer une culture de l'apprentissage")</f>
        <v>Créer une culture de l'apprentissage</v>
      </c>
      <c r="J15" s="217"/>
      <c r="K15" s="213"/>
      <c r="L15" s="215">
        <f ca="1">IFERROR(__xludf.DUMMYFUNCTION("""COMPUTED_VALUE"""),2880103)</f>
        <v>2880103</v>
      </c>
      <c r="M15" s="215" t="str">
        <f ca="1">IFERROR(__xludf.DUMMYFUNCTION("""COMPUTED_VALUE"""),"Intermediate")</f>
        <v>Intermediate</v>
      </c>
      <c r="N15" s="217" t="str">
        <f ca="1">IFERROR(__xludf.DUMMYFUNCTION("""COMPUTED_VALUE"""),"Cómo gestionar un equipo multigeneracional")</f>
        <v>Cómo gestionar un equipo multigeneracional</v>
      </c>
      <c r="O15" s="217"/>
      <c r="P15" s="213"/>
      <c r="Q15" s="215">
        <f ca="1">IFERROR(__xludf.DUMMYFUNCTION("""COMPUTED_VALUE"""),563969)</f>
        <v>563969</v>
      </c>
      <c r="R15" s="215" t="str">
        <f ca="1">IFERROR(__xludf.DUMMYFUNCTION("""COMPUTED_VALUE"""),"Intermediate")</f>
        <v>Intermediate</v>
      </c>
      <c r="S15" s="217" t="str">
        <f ca="1">IFERROR(__xludf.DUMMYFUNCTION("""COMPUTED_VALUE"""),"Die Teamkreativität steigern")</f>
        <v>Die Teamkreativität steigern</v>
      </c>
      <c r="T15" s="217"/>
      <c r="U15" s="213"/>
      <c r="V15" s="215">
        <f ca="1">IFERROR(__xludf.DUMMYFUNCTION("""COMPUTED_VALUE"""),3158188)</f>
        <v>3158188</v>
      </c>
      <c r="W15" s="215" t="str">
        <f ca="1">IFERROR(__xludf.DUMMYFUNCTION("""COMPUTED_VALUE"""),"Beginner")</f>
        <v>Beginner</v>
      </c>
      <c r="X15" s="217" t="str">
        <f ca="1">IFERROR(__xludf.DUMMYFUNCTION("""COMPUTED_VALUE"""),"将来有望な人材をマネジメントするには")</f>
        <v>将来有望な人材をマネジメントするには</v>
      </c>
      <c r="Y15" s="217"/>
      <c r="Z15" s="213"/>
      <c r="AA15" s="215">
        <f ca="1">IFERROR(__xludf.DUMMYFUNCTION("""COMPUTED_VALUE"""),753094)</f>
        <v>753094</v>
      </c>
      <c r="AB15" s="215" t="str">
        <f ca="1">IFERROR(__xludf.DUMMYFUNCTION("""COMPUTED_VALUE"""),"Intermediate")</f>
        <v>Intermediate</v>
      </c>
      <c r="AC15" s="217" t="str">
        <f ca="1">IFERROR(__xludf.DUMMYFUNCTION("""COMPUTED_VALUE"""),"Como Criar uma Cultura de Autorresponsabilidade")</f>
        <v>Como Criar uma Cultura de Autorresponsabilidade</v>
      </c>
      <c r="AD15" s="217"/>
      <c r="AE15" s="213"/>
      <c r="AF15" s="215">
        <f ca="1">IFERROR(__xludf.DUMMYFUNCTION("""COMPUTED_VALUE"""),780646)</f>
        <v>780646</v>
      </c>
      <c r="AG15" s="215" t="str">
        <f ca="1">IFERROR(__xludf.DUMMYFUNCTION("""COMPUTED_VALUE"""),"All levels")</f>
        <v>All levels</v>
      </c>
      <c r="AH15" s="217" t="str">
        <f ca="1">IFERROR(__xludf.DUMMYFUNCTION("""COMPUTED_VALUE"""),"团队合作基础知识")</f>
        <v>团队合作基础知识</v>
      </c>
      <c r="AI15" s="217"/>
      <c r="AJ15" s="213"/>
    </row>
    <row r="16" spans="1:36" ht="33.75" customHeight="1">
      <c r="A16" s="213"/>
      <c r="B16" s="214">
        <f ca="1">IFERROR(__xludf.DUMMYFUNCTION("""COMPUTED_VALUE"""),2823297)</f>
        <v>2823297</v>
      </c>
      <c r="C16" s="215" t="str">
        <f ca="1">IFERROR(__xludf.DUMMYFUNCTION("""COMPUTED_VALUE"""),"Beginner")</f>
        <v>Beginner</v>
      </c>
      <c r="D16" s="216" t="str">
        <f ca="1">IFERROR(__xludf.DUMMYFUNCTION("""COMPUTED_VALUE"""),"Culture of Kaizen")</f>
        <v>Culture of Kaizen</v>
      </c>
      <c r="E16" s="217"/>
      <c r="F16" s="213"/>
      <c r="G16" s="214">
        <f ca="1">IFERROR(__xludf.DUMMYFUNCTION("""COMPUTED_VALUE"""),3107705)</f>
        <v>3107705</v>
      </c>
      <c r="H16" s="215" t="str">
        <f ca="1">IFERROR(__xludf.DUMMYFUNCTION("""COMPUTED_VALUE"""),"All levels")</f>
        <v>All levels</v>
      </c>
      <c r="I16" s="217" t="str">
        <f ca="1">IFERROR(__xludf.DUMMYFUNCTION("""COMPUTED_VALUE"""),"Débloquer la créativité de son équipe")</f>
        <v>Débloquer la créativité de son équipe</v>
      </c>
      <c r="J16" s="217"/>
      <c r="K16" s="213"/>
      <c r="L16" s="215">
        <f ca="1">IFERROR(__xludf.DUMMYFUNCTION("""COMPUTED_VALUE"""),5025658)</f>
        <v>5025658</v>
      </c>
      <c r="M16" s="215" t="str">
        <f ca="1">IFERROR(__xludf.DUMMYFUNCTION("""COMPUTED_VALUE"""),"Intermediate")</f>
        <v>Intermediate</v>
      </c>
      <c r="N16" s="217" t="str">
        <f ca="1">IFERROR(__xludf.DUMMYFUNCTION("""COMPUTED_VALUE"""),"Cómo hacer coaching a tu personal para obtener resultados")</f>
        <v>Cómo hacer coaching a tu personal para obtener resultados</v>
      </c>
      <c r="O16" s="217"/>
      <c r="P16" s="213"/>
      <c r="Q16" s="215">
        <f ca="1">IFERROR(__xludf.DUMMYFUNCTION("""COMPUTED_VALUE"""),5034155)</f>
        <v>5034155</v>
      </c>
      <c r="R16" s="215" t="str">
        <f ca="1">IFERROR(__xludf.DUMMYFUNCTION("""COMPUTED_VALUE"""),"All levels")</f>
        <v>All levels</v>
      </c>
      <c r="S16" s="217" t="str">
        <f ca="1">IFERROR(__xludf.DUMMYFUNCTION("""COMPUTED_VALUE"""),"Durch 360-Grad-Führung aufsteigen")</f>
        <v>Durch 360-Grad-Führung aufsteigen</v>
      </c>
      <c r="T16" s="217"/>
      <c r="U16" s="213"/>
      <c r="V16" s="215">
        <f ca="1">IFERROR(__xludf.DUMMYFUNCTION("""COMPUTED_VALUE"""),2878115)</f>
        <v>2878115</v>
      </c>
      <c r="W16" s="215" t="str">
        <f ca="1">IFERROR(__xludf.DUMMYFUNCTION("""COMPUTED_VALUE"""),"Beginner, Intermediate")</f>
        <v>Beginner, Intermediate</v>
      </c>
      <c r="X16" s="217" t="str">
        <f ca="1">IFERROR(__xludf.DUMMYFUNCTION("""COMPUTED_VALUE"""),"有意義なミーティングを行うには")</f>
        <v>有意義なミーティングを行うには</v>
      </c>
      <c r="Y16" s="217"/>
      <c r="Z16" s="213"/>
      <c r="AA16" s="215">
        <f ca="1">IFERROR(__xludf.DUMMYFUNCTION("""COMPUTED_VALUE"""),801458)</f>
        <v>801458</v>
      </c>
      <c r="AB16" s="215" t="str">
        <f ca="1">IFERROR(__xludf.DUMMYFUNCTION("""COMPUTED_VALUE"""),"Beginner")</f>
        <v>Beginner</v>
      </c>
      <c r="AC16" s="217" t="str">
        <f ca="1">IFERROR(__xludf.DUMMYFUNCTION("""COMPUTED_VALUE"""),"Como Definir Metas para Equipes e Colaboradores")</f>
        <v>Como Definir Metas para Equipes e Colaboradores</v>
      </c>
      <c r="AD16" s="217"/>
      <c r="AE16" s="213"/>
      <c r="AF16" s="215">
        <f ca="1">IFERROR(__xludf.DUMMYFUNCTION("""COMPUTED_VALUE"""),2884007)</f>
        <v>2884007</v>
      </c>
      <c r="AG16" s="215" t="str">
        <f ca="1">IFERROR(__xludf.DUMMYFUNCTION("""COMPUTED_VALUE"""),"Intermediate")</f>
        <v>Intermediate</v>
      </c>
      <c r="AH16" s="217" t="str">
        <f ca="1">IFERROR(__xludf.DUMMYFUNCTION("""COMPUTED_VALUE"""),"团队意志力：坚持不懈达成目标")</f>
        <v>团队意志力：坚持不懈达成目标</v>
      </c>
      <c r="AI16" s="217"/>
      <c r="AJ16" s="213"/>
    </row>
    <row r="17" spans="1:36" ht="33.75" customHeight="1">
      <c r="A17" s="213"/>
      <c r="B17" s="214">
        <f ca="1">IFERROR(__xludf.DUMMYFUNCTION("""COMPUTED_VALUE"""),2825337)</f>
        <v>2825337</v>
      </c>
      <c r="C17" s="215" t="str">
        <f ca="1">IFERROR(__xludf.DUMMYFUNCTION("""COMPUTED_VALUE"""),"Beginner")</f>
        <v>Beginner</v>
      </c>
      <c r="D17" s="216" t="str">
        <f ca="1">IFERROR(__xludf.DUMMYFUNCTION("""COMPUTED_VALUE"""),"The Practices of High-Performing Employees")</f>
        <v>The Practices of High-Performing Employees</v>
      </c>
      <c r="E17" s="217"/>
      <c r="F17" s="213"/>
      <c r="G17" s="214">
        <f ca="1">IFERROR(__xludf.DUMMYFUNCTION("""COMPUTED_VALUE"""),193343)</f>
        <v>193343</v>
      </c>
      <c r="H17" s="215" t="str">
        <f ca="1">IFERROR(__xludf.DUMMYFUNCTION("""COMPUTED_VALUE"""),"Beginner")</f>
        <v>Beginner</v>
      </c>
      <c r="I17" s="217" t="str">
        <f ca="1">IFERROR(__xludf.DUMMYFUNCTION("""COMPUTED_VALUE"""),"Déléguer des tâches aux membres de son équipe")</f>
        <v>Déléguer des tâches aux membres de son équipe</v>
      </c>
      <c r="J17" s="217"/>
      <c r="K17" s="213"/>
      <c r="L17" s="215">
        <f ca="1">IFERROR(__xludf.DUMMYFUNCTION("""COMPUTED_VALUE"""),732317)</f>
        <v>732317</v>
      </c>
      <c r="M17" s="215" t="str">
        <f ca="1">IFERROR(__xludf.DUMMYFUNCTION("""COMPUTED_VALUE"""),"Intermediate")</f>
        <v>Intermediate</v>
      </c>
      <c r="N17" s="217" t="str">
        <f ca="1">IFERROR(__xludf.DUMMYFUNCTION("""COMPUTED_VALUE"""),"Cómo identificar y retener personal con alto potencial")</f>
        <v>Cómo identificar y retener personal con alto potencial</v>
      </c>
      <c r="O17" s="217"/>
      <c r="P17" s="213"/>
      <c r="Q17" s="215">
        <f ca="1">IFERROR(__xludf.DUMMYFUNCTION("""COMPUTED_VALUE"""),5020332)</f>
        <v>5020332</v>
      </c>
      <c r="R17" s="215" t="str">
        <f ca="1">IFERROR(__xludf.DUMMYFUNCTION("""COMPUTED_VALUE"""),"Intermediate")</f>
        <v>Intermediate</v>
      </c>
      <c r="S17" s="217" t="str">
        <f ca="1">IFERROR(__xludf.DUMMYFUNCTION("""COMPUTED_VALUE"""),"Eine Hochleistungskultur schaffen")</f>
        <v>Eine Hochleistungskultur schaffen</v>
      </c>
      <c r="T17" s="217"/>
      <c r="U17" s="213"/>
      <c r="V17" s="215">
        <f ca="1">IFERROR(__xludf.DUMMYFUNCTION("""COMPUTED_VALUE"""),2916465)</f>
        <v>2916465</v>
      </c>
      <c r="W17" s="215" t="str">
        <f ca="1">IFERROR(__xludf.DUMMYFUNCTION("""COMPUTED_VALUE"""),"Intermediate")</f>
        <v>Intermediate</v>
      </c>
      <c r="X17" s="217" t="str">
        <f ca="1">IFERROR(__xludf.DUMMYFUNCTION("""COMPUTED_VALUE"""),"海外事業で成果を上げるマネジメント術")</f>
        <v>海外事業で成果を上げるマネジメント術</v>
      </c>
      <c r="Y17" s="217"/>
      <c r="Z17" s="213"/>
      <c r="AA17" s="215">
        <f ca="1">IFERROR(__xludf.DUMMYFUNCTION("""COMPUTED_VALUE"""),2929567)</f>
        <v>2929567</v>
      </c>
      <c r="AB17" s="215" t="str">
        <f ca="1">IFERROR(__xludf.DUMMYFUNCTION("""COMPUTED_VALUE"""),"Beginner")</f>
        <v>Beginner</v>
      </c>
      <c r="AC17" s="217" t="str">
        <f ca="1">IFERROR(__xludf.DUMMYFUNCTION("""COMPUTED_VALUE"""),"Como Desenvolver a Autoliderança")</f>
        <v>Como Desenvolver a Autoliderança</v>
      </c>
      <c r="AD17" s="217"/>
      <c r="AE17" s="213"/>
      <c r="AF17" s="215">
        <f ca="1">IFERROR(__xludf.DUMMYFUNCTION("""COMPUTED_VALUE"""),2823352)</f>
        <v>2823352</v>
      </c>
      <c r="AG17" s="215" t="str">
        <f ca="1">IFERROR(__xludf.DUMMYFUNCTION("""COMPUTED_VALUE"""),"Beginner")</f>
        <v>Beginner</v>
      </c>
      <c r="AH17" s="217" t="str">
        <f ca="1">IFERROR(__xludf.DUMMYFUNCTION("""COMPUTED_VALUE"""),"团队沟通")</f>
        <v>团队沟通</v>
      </c>
      <c r="AI17" s="217"/>
      <c r="AJ17" s="213"/>
    </row>
    <row r="18" spans="1:36" ht="33.75" customHeight="1">
      <c r="A18" s="213"/>
      <c r="B18" s="214">
        <f ca="1">IFERROR(__xludf.DUMMYFUNCTION("""COMPUTED_VALUE"""),2822314)</f>
        <v>2822314</v>
      </c>
      <c r="C18" s="215" t="str">
        <f ca="1">IFERROR(__xludf.DUMMYFUNCTION("""COMPUTED_VALUE"""),"Beginner")</f>
        <v>Beginner</v>
      </c>
      <c r="D18" s="216" t="str">
        <f ca="1">IFERROR(__xludf.DUMMYFUNCTION("""COMPUTED_VALUE"""),"How to Give and Receive Useful Feedback Every Month")</f>
        <v>How to Give and Receive Useful Feedback Every Month</v>
      </c>
      <c r="E18" s="217"/>
      <c r="F18" s="213"/>
      <c r="G18" s="214">
        <f ca="1">IFERROR(__xludf.DUMMYFUNCTION("""COMPUTED_VALUE"""),481712)</f>
        <v>481712</v>
      </c>
      <c r="H18" s="215" t="str">
        <f ca="1">IFERROR(__xludf.DUMMYFUNCTION("""COMPUTED_VALUE"""),"Intermediate")</f>
        <v>Intermediate</v>
      </c>
      <c r="I18" s="217" t="str">
        <f ca="1">IFERROR(__xludf.DUMMYFUNCTION("""COMPUTED_VALUE"""),"Développer la créativité d'une équipe")</f>
        <v>Développer la créativité d'une équipe</v>
      </c>
      <c r="J18" s="217"/>
      <c r="K18" s="213"/>
      <c r="L18" s="215">
        <f ca="1">IFERROR(__xludf.DUMMYFUNCTION("""COMPUTED_VALUE"""),421140)</f>
        <v>421140</v>
      </c>
      <c r="M18" s="215" t="str">
        <f ca="1">IFERROR(__xludf.DUMMYFUNCTION("""COMPUTED_VALUE"""),"Beginner")</f>
        <v>Beginner</v>
      </c>
      <c r="N18" s="217" t="str">
        <f ca="1">IFERROR(__xludf.DUMMYFUNCTION("""COMPUTED_VALUE"""),"Cómo integrar a personas nuevas en la empresa")</f>
        <v>Cómo integrar a personas nuevas en la empresa</v>
      </c>
      <c r="O18" s="217"/>
      <c r="P18" s="213"/>
      <c r="Q18" s="215">
        <f ca="1">IFERROR(__xludf.DUMMYFUNCTION("""COMPUTED_VALUE"""),800684)</f>
        <v>800684</v>
      </c>
      <c r="R18" s="215" t="str">
        <f ca="1">IFERROR(__xludf.DUMMYFUNCTION("""COMPUTED_VALUE"""),"Intermediate")</f>
        <v>Intermediate</v>
      </c>
      <c r="S18" s="217" t="str">
        <f ca="1">IFERROR(__xludf.DUMMYFUNCTION("""COMPUTED_VALUE"""),"Erfahrene Führungskräfte führen")</f>
        <v>Erfahrene Führungskräfte führen</v>
      </c>
      <c r="T18" s="217"/>
      <c r="U18" s="213"/>
      <c r="V18" s="215">
        <f ca="1">IFERROR(__xludf.DUMMYFUNCTION("""COMPUTED_VALUE"""),714295)</f>
        <v>714295</v>
      </c>
      <c r="W18" s="215" t="str">
        <f ca="1">IFERROR(__xludf.DUMMYFUNCTION("""COMPUTED_VALUE"""),"Beginner")</f>
        <v>Beginner</v>
      </c>
      <c r="X18" s="217" t="str">
        <f ca="1">IFERROR(__xludf.DUMMYFUNCTION("""COMPUTED_VALUE"""),"生産的なミーティングをするコツ")</f>
        <v>生産的なミーティングをするコツ</v>
      </c>
      <c r="Y18" s="217"/>
      <c r="Z18" s="213"/>
      <c r="AA18" s="215">
        <f ca="1">IFERROR(__xludf.DUMMYFUNCTION("""COMPUTED_VALUE"""),2928582)</f>
        <v>2928582</v>
      </c>
      <c r="AB18" s="215" t="str">
        <f ca="1">IFERROR(__xludf.DUMMYFUNCTION("""COMPUTED_VALUE"""),"Beginner")</f>
        <v>Beginner</v>
      </c>
      <c r="AC18" s="217" t="str">
        <f ca="1">IFERROR(__xludf.DUMMYFUNCTION("""COMPUTED_VALUE"""),"Como Engajar os Colaboradores")</f>
        <v>Como Engajar os Colaboradores</v>
      </c>
      <c r="AD18" s="217"/>
      <c r="AE18" s="213"/>
      <c r="AF18" s="215">
        <f ca="1">IFERROR(__xludf.DUMMYFUNCTION("""COMPUTED_VALUE"""),2813191)</f>
        <v>2813191</v>
      </c>
      <c r="AG18" s="215" t="str">
        <f ca="1">IFERROR(__xludf.DUMMYFUNCTION("""COMPUTED_VALUE"""),"Intermediate")</f>
        <v>Intermediate</v>
      </c>
      <c r="AH18" s="217" t="str">
        <f ca="1">IFERROR(__xludf.DUMMYFUNCTION("""COMPUTED_VALUE"""),"基于绩效式招聘")</f>
        <v>基于绩效式招聘</v>
      </c>
      <c r="AI18" s="217"/>
      <c r="AJ18" s="213"/>
    </row>
    <row r="19" spans="1:36" ht="33.75" customHeight="1">
      <c r="A19" s="213"/>
      <c r="B19" s="214">
        <f ca="1">IFERROR(__xludf.DUMMYFUNCTION("""COMPUTED_VALUE"""),2367358)</f>
        <v>2367358</v>
      </c>
      <c r="C19" s="215" t="str">
        <f ca="1">IFERROR(__xludf.DUMMYFUNCTION("""COMPUTED_VALUE"""),"Beginner")</f>
        <v>Beginner</v>
      </c>
      <c r="D19" s="216" t="str">
        <f ca="1">IFERROR(__xludf.DUMMYFUNCTION("""COMPUTED_VALUE"""),"Productive Leadership")</f>
        <v>Productive Leadership</v>
      </c>
      <c r="E19" s="217"/>
      <c r="F19" s="213"/>
      <c r="G19" s="214">
        <f ca="1">IFERROR(__xludf.DUMMYFUNCTION("""COMPUTED_VALUE"""),499817)</f>
        <v>499817</v>
      </c>
      <c r="H19" s="215" t="str">
        <f ca="1">IFERROR(__xludf.DUMMYFUNCTION("""COMPUTED_VALUE"""),"Beginner")</f>
        <v>Beginner</v>
      </c>
      <c r="I19" s="217" t="str">
        <f ca="1">IFERROR(__xludf.DUMMYFUNCTION("""COMPUTED_VALUE"""),"Développer la motivation et l'engagement des employés / employées")</f>
        <v>Développer la motivation et l'engagement des employés / employées</v>
      </c>
      <c r="J19" s="217"/>
      <c r="K19" s="213"/>
      <c r="L19" s="215">
        <f ca="1">IFERROR(__xludf.DUMMYFUNCTION("""COMPUTED_VALUE"""),2899806)</f>
        <v>2899806</v>
      </c>
      <c r="M19" s="215" t="str">
        <f ca="1">IFERROR(__xludf.DUMMYFUNCTION("""COMPUTED_VALUE"""),"Advanced")</f>
        <v>Advanced</v>
      </c>
      <c r="N19" s="217" t="str">
        <f ca="1">IFERROR(__xludf.DUMMYFUNCTION("""COMPUTED_VALUE"""),"Cómo liderar equipos de alto potencial")</f>
        <v>Cómo liderar equipos de alto potencial</v>
      </c>
      <c r="O19" s="217"/>
      <c r="P19" s="213"/>
      <c r="Q19" s="215">
        <f ca="1">IFERROR(__xludf.DUMMYFUNCTION("""COMPUTED_VALUE"""),563968)</f>
        <v>563968</v>
      </c>
      <c r="R19" s="215" t="str">
        <f ca="1">IFERROR(__xludf.DUMMYFUNCTION("""COMPUTED_VALUE"""),"Intermediate")</f>
        <v>Intermediate</v>
      </c>
      <c r="S19" s="217" t="str">
        <f ca="1">IFERROR(__xludf.DUMMYFUNCTION("""COMPUTED_VALUE"""),"Ergebnisorientiertes Management")</f>
        <v>Ergebnisorientiertes Management</v>
      </c>
      <c r="T19" s="217"/>
      <c r="U19" s="213"/>
      <c r="V19" s="215">
        <f ca="1">IFERROR(__xludf.DUMMYFUNCTION("""COMPUTED_VALUE"""),673841)</f>
        <v>673841</v>
      </c>
      <c r="W19" s="215" t="str">
        <f ca="1">IFERROR(__xludf.DUMMYFUNCTION("""COMPUTED_VALUE"""),"Beginner")</f>
        <v>Beginner</v>
      </c>
      <c r="X19" s="217" t="str">
        <f ca="1">IFERROR(__xludf.DUMMYFUNCTION("""COMPUTED_VALUE"""),"部下をコーチングで育てるには")</f>
        <v>部下をコーチングで育てるには</v>
      </c>
      <c r="Y19" s="217"/>
      <c r="Z19" s="213"/>
      <c r="AA19" s="215">
        <f ca="1">IFERROR(__xludf.DUMMYFUNCTION("""COMPUTED_VALUE"""),2873260)</f>
        <v>2873260</v>
      </c>
      <c r="AB19" s="215" t="str">
        <f ca="1">IFERROR(__xludf.DUMMYFUNCTION("""COMPUTED_VALUE"""),"Intermediate")</f>
        <v>Intermediate</v>
      </c>
      <c r="AC19" s="217" t="str">
        <f ca="1">IFERROR(__xludf.DUMMYFUNCTION("""COMPUTED_VALUE"""),"Como Gerenciar Múltiplas Gerações no Ambiente de Trabalho")</f>
        <v>Como Gerenciar Múltiplas Gerações no Ambiente de Trabalho</v>
      </c>
      <c r="AD19" s="217"/>
      <c r="AE19" s="213"/>
      <c r="AF19" s="215">
        <f ca="1">IFERROR(__xludf.DUMMYFUNCTION("""COMPUTED_VALUE"""),2887001)</f>
        <v>2887001</v>
      </c>
      <c r="AG19" s="215" t="str">
        <f ca="1">IFERROR(__xludf.DUMMYFUNCTION("""COMPUTED_VALUE"""),"Beginner, Intermediate")</f>
        <v>Beginner, Intermediate</v>
      </c>
      <c r="AH19" s="217" t="str">
        <f ca="1">IFERROR(__xludf.DUMMYFUNCTION("""COMPUTED_VALUE"""),"安抚员工悲伤情绪：经理指南")</f>
        <v>安抚员工悲伤情绪：经理指南</v>
      </c>
      <c r="AI19" s="217"/>
      <c r="AJ19" s="213"/>
    </row>
    <row r="20" spans="1:36" ht="33.75" customHeight="1">
      <c r="A20" s="213"/>
      <c r="B20" s="214">
        <f ca="1">IFERROR(__xludf.DUMMYFUNCTION("""COMPUTED_VALUE"""),2424735)</f>
        <v>2424735</v>
      </c>
      <c r="C20" s="215" t="str">
        <f ca="1">IFERROR(__xludf.DUMMYFUNCTION("""COMPUTED_VALUE"""),"Beginner")</f>
        <v>Beginner</v>
      </c>
      <c r="D20" s="216" t="str">
        <f ca="1">IFERROR(__xludf.DUMMYFUNCTION("""COMPUTED_VALUE"""),"Identify and Unleash Potential in Your Employees")</f>
        <v>Identify and Unleash Potential in Your Employees</v>
      </c>
      <c r="E20" s="217"/>
      <c r="F20" s="213"/>
      <c r="G20" s="214">
        <f ca="1">IFERROR(__xludf.DUMMYFUNCTION("""COMPUTED_VALUE"""),778418)</f>
        <v>778418</v>
      </c>
      <c r="H20" s="215" t="str">
        <f ca="1">IFERROR(__xludf.DUMMYFUNCTION("""COMPUTED_VALUE"""),"Advanced")</f>
        <v>Advanced</v>
      </c>
      <c r="I20" s="217" t="str">
        <f ca="1">IFERROR(__xludf.DUMMYFUNCTION("""COMPUTED_VALUE"""),"Développer l'engagement des employés / employées")</f>
        <v>Développer l'engagement des employés / employées</v>
      </c>
      <c r="J20" s="217"/>
      <c r="K20" s="213"/>
      <c r="L20" s="215">
        <f ca="1">IFERROR(__xludf.DUMMYFUNCTION("""COMPUTED_VALUE"""),2924306)</f>
        <v>2924306</v>
      </c>
      <c r="M20" s="215" t="str">
        <f ca="1">IFERROR(__xludf.DUMMYFUNCTION("""COMPUTED_VALUE"""),"All levels")</f>
        <v>All levels</v>
      </c>
      <c r="N20" s="217" t="str">
        <f ca="1">IFERROR(__xludf.DUMMYFUNCTION("""COMPUTED_VALUE"""),"Cómo liderar equipos inclusivos")</f>
        <v>Cómo liderar equipos inclusivos</v>
      </c>
      <c r="O20" s="217"/>
      <c r="P20" s="213"/>
      <c r="Q20" s="215">
        <f ca="1">IFERROR(__xludf.DUMMYFUNCTION("""COMPUTED_VALUE"""),5025613)</f>
        <v>5025613</v>
      </c>
      <c r="R20" s="215" t="str">
        <f ca="1">IFERROR(__xludf.DUMMYFUNCTION("""COMPUTED_VALUE"""),"Beginner")</f>
        <v>Beginner</v>
      </c>
      <c r="S20" s="217" t="str">
        <f ca="1">IFERROR(__xludf.DUMMYFUNCTION("""COMPUTED_VALUE"""),"Expert:innen führen")</f>
        <v>Expert:innen führen</v>
      </c>
      <c r="T20" s="217"/>
      <c r="U20" s="213"/>
      <c r="V20" s="215"/>
      <c r="W20" s="215"/>
      <c r="X20" s="217"/>
      <c r="Y20" s="217"/>
      <c r="Z20" s="213"/>
      <c r="AA20" s="215">
        <f ca="1">IFERROR(__xludf.DUMMYFUNCTION("""COMPUTED_VALUE"""),2437180)</f>
        <v>2437180</v>
      </c>
      <c r="AB20" s="215" t="str">
        <f ca="1">IFERROR(__xludf.DUMMYFUNCTION("""COMPUTED_VALUE"""),"Intermediate")</f>
        <v>Intermediate</v>
      </c>
      <c r="AC20" s="217" t="str">
        <f ca="1">IFERROR(__xludf.DUMMYFUNCTION("""COMPUTED_VALUE"""),"Como Gerenciar sua Equipe em Tempos Difíceis")</f>
        <v>Como Gerenciar sua Equipe em Tempos Difíceis</v>
      </c>
      <c r="AD20" s="217"/>
      <c r="AE20" s="213"/>
      <c r="AF20" s="215">
        <f ca="1">IFERROR(__xludf.DUMMYFUNCTION("""COMPUTED_VALUE"""),773686)</f>
        <v>773686</v>
      </c>
      <c r="AG20" s="215" t="str">
        <f ca="1">IFERROR(__xludf.DUMMYFUNCTION("""COMPUTED_VALUE"""),"Intermediate")</f>
        <v>Intermediate</v>
      </c>
      <c r="AH20" s="217" t="str">
        <f ca="1">IFERROR(__xludf.DUMMYFUNCTION("""COMPUTED_VALUE"""),"将问责制植入到文化中")</f>
        <v>将问责制植入到文化中</v>
      </c>
      <c r="AI20" s="217"/>
      <c r="AJ20" s="213"/>
    </row>
    <row r="21" spans="1:36" ht="33.75" customHeight="1">
      <c r="A21" s="213"/>
      <c r="B21" s="214">
        <f ca="1">IFERROR(__xludf.DUMMYFUNCTION("""COMPUTED_VALUE"""),3009443)</f>
        <v>3009443</v>
      </c>
      <c r="C21" s="215" t="str">
        <f ca="1">IFERROR(__xludf.DUMMYFUNCTION("""COMPUTED_VALUE"""),"Beginner + Intermediate")</f>
        <v>Beginner + Intermediate</v>
      </c>
      <c r="D21" s="216" t="str">
        <f ca="1">IFERROR(__xludf.DUMMYFUNCTION("""COMPUTED_VALUE"""),"Virtual and Hybrid Meeting Essentials")</f>
        <v>Virtual and Hybrid Meeting Essentials</v>
      </c>
      <c r="E21" s="217"/>
      <c r="F21" s="213"/>
      <c r="G21" s="214">
        <f ca="1">IFERROR(__xludf.DUMMYFUNCTION("""COMPUTED_VALUE"""),652640)</f>
        <v>652640</v>
      </c>
      <c r="H21" s="215" t="str">
        <f ca="1">IFERROR(__xludf.DUMMYFUNCTION("""COMPUTED_VALUE"""),"All levels")</f>
        <v>All levels</v>
      </c>
      <c r="I21" s="217" t="str">
        <f ca="1">IFERROR(__xludf.DUMMYFUNCTION("""COMPUTED_VALUE"""),"Diriger et travailler en équipe")</f>
        <v>Diriger et travailler en équipe</v>
      </c>
      <c r="J21" s="217"/>
      <c r="K21" s="213"/>
      <c r="L21" s="215">
        <f ca="1">IFERROR(__xludf.DUMMYFUNCTION("""COMPUTED_VALUE"""),2926133)</f>
        <v>2926133</v>
      </c>
      <c r="M21" s="215" t="str">
        <f ca="1">IFERROR(__xludf.DUMMYFUNCTION("""COMPUTED_VALUE"""),"All levels")</f>
        <v>All levels</v>
      </c>
      <c r="N21" s="217" t="str">
        <f ca="1">IFERROR(__xludf.DUMMYFUNCTION("""COMPUTED_VALUE"""),"Cómo liderar reuniones individuales productivas")</f>
        <v>Cómo liderar reuniones individuales productivas</v>
      </c>
      <c r="O21" s="217"/>
      <c r="P21" s="213"/>
      <c r="Q21" s="215">
        <f ca="1">IFERROR(__xludf.DUMMYFUNCTION("""COMPUTED_VALUE"""),5025620)</f>
        <v>5025620</v>
      </c>
      <c r="R21" s="215" t="str">
        <f ca="1">IFERROR(__xludf.DUMMYFUNCTION("""COMPUTED_VALUE"""),"Beginner, Intermediate")</f>
        <v>Beginner, Intermediate</v>
      </c>
      <c r="S21" s="217" t="str">
        <f ca="1">IFERROR(__xludf.DUMMYFUNCTION("""COMPUTED_VALUE"""),"Führen mit Innovation")</f>
        <v>Führen mit Innovation</v>
      </c>
      <c r="T21" s="217"/>
      <c r="U21" s="213"/>
      <c r="V21" s="215"/>
      <c r="W21" s="215"/>
      <c r="X21" s="217"/>
      <c r="Y21" s="217"/>
      <c r="Z21" s="213"/>
      <c r="AA21" s="215">
        <f ca="1">IFERROR(__xludf.DUMMYFUNCTION("""COMPUTED_VALUE"""),2929560)</f>
        <v>2929560</v>
      </c>
      <c r="AB21" s="215" t="str">
        <f ca="1">IFERROR(__xludf.DUMMYFUNCTION("""COMPUTED_VALUE"""),"Intermediate")</f>
        <v>Intermediate</v>
      </c>
      <c r="AC21" s="217" t="str">
        <f ca="1">IFERROR(__xludf.DUMMYFUNCTION("""COMPUTED_VALUE"""),"Como Gerenciar uma Equipe Diversificada")</f>
        <v>Como Gerenciar uma Equipe Diversificada</v>
      </c>
      <c r="AD21" s="217"/>
      <c r="AE21" s="213"/>
      <c r="AF21" s="215">
        <f ca="1">IFERROR(__xludf.DUMMYFUNCTION("""COMPUTED_VALUE"""),5039201)</f>
        <v>5039201</v>
      </c>
      <c r="AG21" s="215" t="str">
        <f ca="1">IFERROR(__xludf.DUMMYFUNCTION("""COMPUTED_VALUE"""),"Beginner")</f>
        <v>Beginner</v>
      </c>
      <c r="AH21" s="217" t="str">
        <f ca="1">IFERROR(__xludf.DUMMYFUNCTION("""COMPUTED_VALUE"""),"打造你的团队")</f>
        <v>打造你的团队</v>
      </c>
      <c r="AI21" s="217"/>
      <c r="AJ21" s="213"/>
    </row>
    <row r="22" spans="1:36" ht="33.75" customHeight="1">
      <c r="A22" s="213"/>
      <c r="B22" s="214">
        <f ca="1">IFERROR(__xludf.DUMMYFUNCTION("""COMPUTED_VALUE"""),5034159)</f>
        <v>5034159</v>
      </c>
      <c r="C22" s="215" t="str">
        <f ca="1">IFERROR(__xludf.DUMMYFUNCTION("""COMPUTED_VALUE"""),"Beginner + Intermediate")</f>
        <v>Beginner + Intermediate</v>
      </c>
      <c r="D22" s="216" t="str">
        <f ca="1">IFERROR(__xludf.DUMMYFUNCTION("""COMPUTED_VALUE"""),"Hiring an Employee for Managers")</f>
        <v>Hiring an Employee for Managers</v>
      </c>
      <c r="E22" s="217"/>
      <c r="F22" s="213"/>
      <c r="G22" s="214">
        <f ca="1">IFERROR(__xludf.DUMMYFUNCTION("""COMPUTED_VALUE"""),602729)</f>
        <v>602729</v>
      </c>
      <c r="H22" s="215" t="str">
        <f ca="1">IFERROR(__xludf.DUMMYFUNCTION("""COMPUTED_VALUE"""),"Intermediate")</f>
        <v>Intermediate</v>
      </c>
      <c r="I22" s="217" t="str">
        <f ca="1">IFERROR(__xludf.DUMMYFUNCTION("""COMPUTED_VALUE"""),"Diriger pour obtenir des résultats")</f>
        <v>Diriger pour obtenir des résultats</v>
      </c>
      <c r="J22" s="217"/>
      <c r="K22" s="213"/>
      <c r="L22" s="215">
        <f ca="1">IFERROR(__xludf.DUMMYFUNCTION("""COMPUTED_VALUE"""),5025680)</f>
        <v>5025680</v>
      </c>
      <c r="M22" s="215" t="str">
        <f ca="1">IFERROR(__xludf.DUMMYFUNCTION("""COMPUTED_VALUE"""),"Intermediate")</f>
        <v>Intermediate</v>
      </c>
      <c r="N22" s="217" t="str">
        <f ca="1">IFERROR(__xludf.DUMMYFUNCTION("""COMPUTED_VALUE"""),"Cómo medir el rendimiento de tu equipo")</f>
        <v>Cómo medir el rendimiento de tu equipo</v>
      </c>
      <c r="O22" s="217"/>
      <c r="P22" s="213"/>
      <c r="Q22" s="215">
        <f ca="1">IFERROR(__xludf.DUMMYFUNCTION("""COMPUTED_VALUE"""),5025625)</f>
        <v>5025625</v>
      </c>
      <c r="R22" s="215" t="str">
        <f ca="1">IFERROR(__xludf.DUMMYFUNCTION("""COMPUTED_VALUE"""),"Intermediate")</f>
        <v>Intermediate</v>
      </c>
      <c r="S22" s="217" t="str">
        <f ca="1">IFERROR(__xludf.DUMMYFUNCTION("""COMPUTED_VALUE"""),"Führen ohne Weisungsbefugnis")</f>
        <v>Führen ohne Weisungsbefugnis</v>
      </c>
      <c r="T22" s="217"/>
      <c r="U22" s="213"/>
      <c r="V22" s="215"/>
      <c r="W22" s="215"/>
      <c r="X22" s="217"/>
      <c r="Y22" s="217"/>
      <c r="Z22" s="213"/>
      <c r="AA22" s="215">
        <f ca="1">IFERROR(__xludf.DUMMYFUNCTION("""COMPUTED_VALUE"""),5036508)</f>
        <v>5036508</v>
      </c>
      <c r="AB22" s="215" t="str">
        <f ca="1">IFERROR(__xludf.DUMMYFUNCTION("""COMPUTED_VALUE"""),"Beginner")</f>
        <v>Beginner</v>
      </c>
      <c r="AC22" s="217" t="str">
        <f ca="1">IFERROR(__xludf.DUMMYFUNCTION("""COMPUTED_VALUE"""),"Como Integrar Novos Colaboradores e Colaboradoras à Empresa")</f>
        <v>Como Integrar Novos Colaboradores e Colaboradoras à Empresa</v>
      </c>
      <c r="AD22" s="217"/>
      <c r="AE22" s="213"/>
      <c r="AF22" s="215">
        <f ca="1">IFERROR(__xludf.DUMMYFUNCTION("""COMPUTED_VALUE"""),5015633)</f>
        <v>5015633</v>
      </c>
      <c r="AG22" s="215" t="str">
        <f ca="1">IFERROR(__xludf.DUMMYFUNCTION("""COMPUTED_VALUE"""),"Intermediate")</f>
        <v>Intermediate</v>
      </c>
      <c r="AH22" s="217" t="str">
        <f ca="1">IFERROR(__xludf.DUMMYFUNCTION("""COMPUTED_VALUE"""),"打造高绩效团队")</f>
        <v>打造高绩效团队</v>
      </c>
      <c r="AI22" s="217"/>
      <c r="AJ22" s="213"/>
    </row>
    <row r="23" spans="1:36" ht="33.75" customHeight="1">
      <c r="A23" s="213"/>
      <c r="B23" s="214">
        <f ca="1">IFERROR(__xludf.DUMMYFUNCTION("""COMPUTED_VALUE"""),2825332)</f>
        <v>2825332</v>
      </c>
      <c r="C23" s="215" t="str">
        <f ca="1">IFERROR(__xludf.DUMMYFUNCTION("""COMPUTED_VALUE"""),"Beginner + Intermediate")</f>
        <v>Beginner + Intermediate</v>
      </c>
      <c r="D23" s="216" t="str">
        <f ca="1">IFERROR(__xludf.DUMMYFUNCTION("""COMPUTED_VALUE"""),"Leading Virtual Meetings")</f>
        <v>Leading Virtual Meetings</v>
      </c>
      <c r="E23" s="217"/>
      <c r="F23" s="213"/>
      <c r="G23" s="214">
        <f ca="1">IFERROR(__xludf.DUMMYFUNCTION("""COMPUTED_VALUE"""),610660)</f>
        <v>610660</v>
      </c>
      <c r="H23" s="215" t="str">
        <f ca="1">IFERROR(__xludf.DUMMYFUNCTION("""COMPUTED_VALUE"""),"Intermediate")</f>
        <v>Intermediate</v>
      </c>
      <c r="I23" s="217" t="str">
        <f ca="1">IFERROR(__xludf.DUMMYFUNCTION("""COMPUTED_VALUE"""),"Embaucher et développer sa future force de travail")</f>
        <v>Embaucher et développer sa future force de travail</v>
      </c>
      <c r="J23" s="217"/>
      <c r="K23" s="213"/>
      <c r="L23" s="215">
        <f ca="1">IFERROR(__xludf.DUMMYFUNCTION("""COMPUTED_VALUE"""),5025691)</f>
        <v>5025691</v>
      </c>
      <c r="M23" s="215" t="str">
        <f ca="1">IFERROR(__xludf.DUMMYFUNCTION("""COMPUTED_VALUE"""),"Beginner, Intermediate")</f>
        <v>Beginner, Intermediate</v>
      </c>
      <c r="N23" s="217" t="str">
        <f ca="1">IFERROR(__xludf.DUMMYFUNCTION("""COMPUTED_VALUE"""),"Cómo mejorar el rendimiento de tu personal")</f>
        <v>Cómo mejorar el rendimiento de tu personal</v>
      </c>
      <c r="O23" s="217"/>
      <c r="P23" s="213"/>
      <c r="Q23" s="215">
        <f ca="1">IFERROR(__xludf.DUMMYFUNCTION("""COMPUTED_VALUE"""),593047)</f>
        <v>593047</v>
      </c>
      <c r="R23" s="215" t="str">
        <f ca="1">IFERROR(__xludf.DUMMYFUNCTION("""COMPUTED_VALUE"""),"All levels")</f>
        <v>All levels</v>
      </c>
      <c r="S23" s="217" t="str">
        <f ca="1">IFERROR(__xludf.DUMMYFUNCTION("""COMPUTED_VALUE"""),"Führung im 21. Jahrhundert")</f>
        <v>Führung im 21. Jahrhundert</v>
      </c>
      <c r="T23" s="217"/>
      <c r="U23" s="213"/>
      <c r="V23" s="215"/>
      <c r="W23" s="215"/>
      <c r="X23" s="217"/>
      <c r="Y23" s="217"/>
      <c r="Z23" s="213"/>
      <c r="AA23" s="215">
        <f ca="1">IFERROR(__xludf.DUMMYFUNCTION("""COMPUTED_VALUE"""),2841371)</f>
        <v>2841371</v>
      </c>
      <c r="AB23" s="215" t="str">
        <f ca="1">IFERROR(__xludf.DUMMYFUNCTION("""COMPUTED_VALUE"""),"Beginner")</f>
        <v>Beginner</v>
      </c>
      <c r="AC23" s="217" t="str">
        <f ca="1">IFERROR(__xludf.DUMMYFUNCTION("""COMPUTED_VALUE"""),"Como Lidar com Pessoas Difíceis no Trabalho")</f>
        <v>Como Lidar com Pessoas Difíceis no Trabalho</v>
      </c>
      <c r="AD23" s="217"/>
      <c r="AE23" s="213"/>
      <c r="AF23" s="215">
        <f ca="1">IFERROR(__xludf.DUMMYFUNCTION("""COMPUTED_VALUE"""),2824040)</f>
        <v>2824040</v>
      </c>
      <c r="AG23" s="215" t="str">
        <f ca="1">IFERROR(__xludf.DUMMYFUNCTION("""COMPUTED_VALUE"""),"Beginner, Intermediate")</f>
        <v>Beginner, Intermediate</v>
      </c>
      <c r="AH23" s="217" t="str">
        <f ca="1">IFERROR(__xludf.DUMMYFUNCTION("""COMPUTED_VALUE"""),"提升员工绩效")</f>
        <v>提升员工绩效</v>
      </c>
      <c r="AI23" s="217"/>
      <c r="AJ23" s="213"/>
    </row>
    <row r="24" spans="1:36" ht="33.75" customHeight="1">
      <c r="A24" s="213"/>
      <c r="B24" s="214">
        <f ca="1">IFERROR(__xludf.DUMMYFUNCTION("""COMPUTED_VALUE"""),802842)</f>
        <v>802842</v>
      </c>
      <c r="C24" s="215" t="str">
        <f ca="1">IFERROR(__xludf.DUMMYFUNCTION("""COMPUTED_VALUE"""),"Beginner + Intermediate")</f>
        <v>Beginner + Intermediate</v>
      </c>
      <c r="D24" s="216" t="str">
        <f ca="1">IFERROR(__xludf.DUMMYFUNCTION("""COMPUTED_VALUE"""),"Coaching and Developing Employees")</f>
        <v>Coaching and Developing Employees</v>
      </c>
      <c r="E24" s="217"/>
      <c r="F24" s="213"/>
      <c r="G24" s="214">
        <f ca="1">IFERROR(__xludf.DUMMYFUNCTION("""COMPUTED_VALUE"""),3107704)</f>
        <v>3107704</v>
      </c>
      <c r="H24" s="215" t="str">
        <f ca="1">IFERROR(__xludf.DUMMYFUNCTION("""COMPUTED_VALUE"""),"Beginner")</f>
        <v>Beginner</v>
      </c>
      <c r="I24" s="217" t="str">
        <f ca="1">IFERROR(__xludf.DUMMYFUNCTION("""COMPUTED_VALUE"""),"Encourager son équipe à apprendre")</f>
        <v>Encourager son équipe à apprendre</v>
      </c>
      <c r="J24" s="217"/>
      <c r="K24" s="213"/>
      <c r="L24" s="215">
        <f ca="1">IFERROR(__xludf.DUMMYFUNCTION("""COMPUTED_VALUE"""),587153)</f>
        <v>587153</v>
      </c>
      <c r="M24" s="215" t="str">
        <f ca="1">IFERROR(__xludf.DUMMYFUNCTION("""COMPUTED_VALUE"""),"Intermediate")</f>
        <v>Intermediate</v>
      </c>
      <c r="N24" s="217" t="str">
        <f ca="1">IFERROR(__xludf.DUMMYFUNCTION("""COMPUTED_VALUE"""),"Cómo orientar y desarrollar a tu personal")</f>
        <v>Cómo orientar y desarrollar a tu personal</v>
      </c>
      <c r="O24" s="217"/>
      <c r="P24" s="213"/>
      <c r="Q24" s="215">
        <f ca="1">IFERROR(__xludf.DUMMYFUNCTION("""COMPUTED_VALUE"""),2833080)</f>
        <v>2833080</v>
      </c>
      <c r="R24" s="215" t="str">
        <f ca="1">IFERROR(__xludf.DUMMYFUNCTION("""COMPUTED_VALUE"""),"Intermediate")</f>
        <v>Intermediate</v>
      </c>
      <c r="S24" s="217" t="str">
        <f ca="1">IFERROR(__xludf.DUMMYFUNCTION("""COMPUTED_VALUE"""),"Führung im Team: Warum Teams die besseren Führungskräfte sind")</f>
        <v>Führung im Team: Warum Teams die besseren Führungskräfte sind</v>
      </c>
      <c r="T24" s="217"/>
      <c r="U24" s="213"/>
      <c r="V24" s="215"/>
      <c r="W24" s="215"/>
      <c r="X24" s="217"/>
      <c r="Y24" s="217"/>
      <c r="Z24" s="213"/>
      <c r="AA24" s="215">
        <f ca="1">IFERROR(__xludf.DUMMYFUNCTION("""COMPUTED_VALUE"""),2410066)</f>
        <v>2410066</v>
      </c>
      <c r="AB24" s="215" t="str">
        <f ca="1">IFERROR(__xludf.DUMMYFUNCTION("""COMPUTED_VALUE"""),"Advanced")</f>
        <v>Advanced</v>
      </c>
      <c r="AC24" s="217" t="str">
        <f ca="1">IFERROR(__xludf.DUMMYFUNCTION("""COMPUTED_VALUE"""),"Como Liderar e Incentivar Equipes Virtuais para Estimular a Motivação no Trabalho")</f>
        <v>Como Liderar e Incentivar Equipes Virtuais para Estimular a Motivação no Trabalho</v>
      </c>
      <c r="AD24" s="217"/>
      <c r="AE24" s="213"/>
      <c r="AF24" s="215">
        <f ca="1">IFERROR(__xludf.DUMMYFUNCTION("""COMPUTED_VALUE"""),2825754)</f>
        <v>2825754</v>
      </c>
      <c r="AG24" s="215" t="str">
        <f ca="1">IFERROR(__xludf.DUMMYFUNCTION("""COMPUTED_VALUE"""),"Intermediate")</f>
        <v>Intermediate</v>
      </c>
      <c r="AH24" s="217" t="str">
        <f ca="1">IFERROR(__xludf.DUMMYFUNCTION("""COMPUTED_VALUE"""),"敏捷式工作：引领高效的敏捷会议")</f>
        <v>敏捷式工作：引领高效的敏捷会议</v>
      </c>
      <c r="AI24" s="217"/>
      <c r="AJ24" s="213"/>
    </row>
    <row r="25" spans="1:36" ht="33.75" customHeight="1">
      <c r="A25" s="213"/>
      <c r="B25" s="214">
        <f ca="1">IFERROR(__xludf.DUMMYFUNCTION("""COMPUTED_VALUE"""),661750)</f>
        <v>661750</v>
      </c>
      <c r="C25" s="215" t="str">
        <f ca="1">IFERROR(__xludf.DUMMYFUNCTION("""COMPUTED_VALUE"""),"Beginner + Intermediate")</f>
        <v>Beginner + Intermediate</v>
      </c>
      <c r="D25" s="216" t="str">
        <f ca="1">IFERROR(__xludf.DUMMYFUNCTION("""COMPUTED_VALUE"""),"Improving Employee Performance")</f>
        <v>Improving Employee Performance</v>
      </c>
      <c r="E25" s="217"/>
      <c r="F25" s="213"/>
      <c r="G25" s="214">
        <f ca="1">IFERROR(__xludf.DUMMYFUNCTION("""COMPUTED_VALUE"""),738774)</f>
        <v>738774</v>
      </c>
      <c r="H25" s="215" t="str">
        <f ca="1">IFERROR(__xludf.DUMMYFUNCTION("""COMPUTED_VALUE"""),"Intermediate")</f>
        <v>Intermediate</v>
      </c>
      <c r="I25" s="217" t="str">
        <f ca="1">IFERROR(__xludf.DUMMYFUNCTION("""COMPUTED_VALUE"""),"Établir des objectifs pour son équipe et ses employés / employées")</f>
        <v>Établir des objectifs pour son équipe et ses employés / employées</v>
      </c>
      <c r="J25" s="217"/>
      <c r="K25" s="213"/>
      <c r="L25" s="215">
        <f ca="1">IFERROR(__xludf.DUMMYFUNCTION("""COMPUTED_VALUE"""),2996869)</f>
        <v>2996869</v>
      </c>
      <c r="M25" s="215" t="str">
        <f ca="1">IFERROR(__xludf.DUMMYFUNCTION("""COMPUTED_VALUE"""),"All levels")</f>
        <v>All levels</v>
      </c>
      <c r="N25" s="217" t="str">
        <f ca="1">IFERROR(__xludf.DUMMYFUNCTION("""COMPUTED_VALUE"""),"Cómo ser parte de un ambiente de trabajo positivo")</f>
        <v>Cómo ser parte de un ambiente de trabajo positivo</v>
      </c>
      <c r="O25" s="217"/>
      <c r="P25" s="213"/>
      <c r="Q25" s="215">
        <f ca="1">IFERROR(__xludf.DUMMYFUNCTION("""COMPUTED_VALUE"""),703241)</f>
        <v>703241</v>
      </c>
      <c r="R25" s="215" t="str">
        <f ca="1">IFERROR(__xludf.DUMMYFUNCTION("""COMPUTED_VALUE"""),"Intermediate")</f>
        <v>Intermediate</v>
      </c>
      <c r="S25" s="217" t="str">
        <f ca="1">IFERROR(__xludf.DUMMYFUNCTION("""COMPUTED_VALUE"""),"Führung im Vertrieb – Limbecks Leadership-Lektionen")</f>
        <v>Führung im Vertrieb – Limbecks Leadership-Lektionen</v>
      </c>
      <c r="T25" s="217"/>
      <c r="U25" s="213"/>
      <c r="V25" s="215"/>
      <c r="W25" s="215"/>
      <c r="X25" s="217"/>
      <c r="Y25" s="217"/>
      <c r="Z25" s="213"/>
      <c r="AA25" s="215">
        <f ca="1">IFERROR(__xludf.DUMMYFUNCTION("""COMPUTED_VALUE"""),753224)</f>
        <v>753224</v>
      </c>
      <c r="AB25" s="215" t="str">
        <f ca="1">IFERROR(__xludf.DUMMYFUNCTION("""COMPUTED_VALUE"""),"All levels")</f>
        <v>All levels</v>
      </c>
      <c r="AC25" s="217" t="str">
        <f ca="1">IFERROR(__xludf.DUMMYFUNCTION("""COMPUTED_VALUE"""),"Como Liderar e Trabalhar em Equipe")</f>
        <v>Como Liderar e Trabalhar em Equipe</v>
      </c>
      <c r="AD25" s="217"/>
      <c r="AE25" s="213"/>
      <c r="AF25" s="215">
        <f ca="1">IFERROR(__xludf.DUMMYFUNCTION("""COMPUTED_VALUE"""),2815031)</f>
        <v>2815031</v>
      </c>
      <c r="AG25" s="215" t="str">
        <f ca="1">IFERROR(__xludf.DUMMYFUNCTION("""COMPUTED_VALUE"""),"Beginner")</f>
        <v>Beginner</v>
      </c>
      <c r="AH25" s="217" t="str">
        <f ca="1">IFERROR(__xludf.DUMMYFUNCTION("""COMPUTED_VALUE"""),"新员工入职培训")</f>
        <v>新员工入职培训</v>
      </c>
      <c r="AI25" s="217"/>
      <c r="AJ25" s="213"/>
    </row>
    <row r="26" spans="1:36" ht="33.75" customHeight="1">
      <c r="A26" s="213"/>
      <c r="B26" s="214">
        <f ca="1">IFERROR(__xludf.DUMMYFUNCTION("""COMPUTED_VALUE"""),746304)</f>
        <v>746304</v>
      </c>
      <c r="C26" s="215" t="str">
        <f ca="1">IFERROR(__xludf.DUMMYFUNCTION("""COMPUTED_VALUE"""),"Beginner + Intermediate")</f>
        <v>Beginner + Intermediate</v>
      </c>
      <c r="D26" s="216" t="str">
        <f ca="1">IFERROR(__xludf.DUMMYFUNCTION("""COMPUTED_VALUE"""),"Managing Teams")</f>
        <v>Managing Teams</v>
      </c>
      <c r="E26" s="217"/>
      <c r="F26" s="213"/>
      <c r="G26" s="214">
        <f ca="1">IFERROR(__xludf.DUMMYFUNCTION("""COMPUTED_VALUE"""),561007)</f>
        <v>561007</v>
      </c>
      <c r="H26" s="215" t="str">
        <f ca="1">IFERROR(__xludf.DUMMYFUNCTION("""COMPUTED_VALUE"""),"Beginner")</f>
        <v>Beginner</v>
      </c>
      <c r="I26" s="217" t="str">
        <f ca="1">IFERROR(__xludf.DUMMYFUNCTION("""COMPUTED_VALUE"""),"Gérer des équipes")</f>
        <v>Gérer des équipes</v>
      </c>
      <c r="J26" s="217"/>
      <c r="K26" s="213"/>
      <c r="L26" s="215">
        <f ca="1">IFERROR(__xludf.DUMMYFUNCTION("""COMPUTED_VALUE"""),3001506)</f>
        <v>3001506</v>
      </c>
      <c r="M26" s="215" t="str">
        <f ca="1">IFERROR(__xludf.DUMMYFUNCTION("""COMPUTED_VALUE"""),"Intermediate")</f>
        <v>Intermediate</v>
      </c>
      <c r="N26" s="217" t="str">
        <f ca="1">IFERROR(__xludf.DUMMYFUNCTION("""COMPUTED_VALUE"""),"Cómo ser un miembro eficaz del equipo")</f>
        <v>Cómo ser un miembro eficaz del equipo</v>
      </c>
      <c r="O26" s="217"/>
      <c r="P26" s="213"/>
      <c r="Q26" s="215">
        <f ca="1">IFERROR(__xludf.DUMMYFUNCTION("""COMPUTED_VALUE"""),561400)</f>
        <v>561400</v>
      </c>
      <c r="R26" s="215" t="str">
        <f ca="1">IFERROR(__xludf.DUMMYFUNCTION("""COMPUTED_VALUE"""),"Intermediate")</f>
        <v>Intermediate</v>
      </c>
      <c r="S26" s="217" t="str">
        <f ca="1">IFERROR(__xludf.DUMMYFUNCTION("""COMPUTED_VALUE"""),"Führungsfallen vermeiden")</f>
        <v>Führungsfallen vermeiden</v>
      </c>
      <c r="T26" s="217"/>
      <c r="U26" s="213"/>
      <c r="V26" s="215"/>
      <c r="W26" s="215"/>
      <c r="X26" s="217"/>
      <c r="Y26" s="217"/>
      <c r="Z26" s="213"/>
      <c r="AA26" s="215">
        <f ca="1">IFERROR(__xludf.DUMMYFUNCTION("""COMPUTED_VALUE"""),2901334)</f>
        <v>2901334</v>
      </c>
      <c r="AB26" s="215" t="str">
        <f ca="1">IFERROR(__xludf.DUMMYFUNCTION("""COMPUTED_VALUE"""),"Beginner, Intermediate")</f>
        <v>Beginner, Intermediate</v>
      </c>
      <c r="AC26" s="217" t="str">
        <f ca="1">IFERROR(__xludf.DUMMYFUNCTION("""COMPUTED_VALUE"""),"Como Melhorar o Desempenho dos Colaboradores")</f>
        <v>Como Melhorar o Desempenho dos Colaboradores</v>
      </c>
      <c r="AD26" s="217"/>
      <c r="AE26" s="213"/>
      <c r="AF26" s="215">
        <f ca="1">IFERROR(__xludf.DUMMYFUNCTION("""COMPUTED_VALUE"""),3105031)</f>
        <v>3105031</v>
      </c>
      <c r="AG26" s="215" t="str">
        <f ca="1">IFERROR(__xludf.DUMMYFUNCTION("""COMPUTED_VALUE"""),"All levels")</f>
        <v>All levels</v>
      </c>
      <c r="AH26" s="217" t="str">
        <f ca="1">IFERROR(__xludf.DUMMYFUNCTION("""COMPUTED_VALUE"""),"激发团队创造力")</f>
        <v>激发团队创造力</v>
      </c>
      <c r="AI26" s="217"/>
      <c r="AJ26" s="213"/>
    </row>
    <row r="27" spans="1:36" ht="33.75" customHeight="1">
      <c r="A27" s="213"/>
      <c r="B27" s="214">
        <f ca="1">IFERROR(__xludf.DUMMYFUNCTION("""COMPUTED_VALUE"""),5028615)</f>
        <v>5028615</v>
      </c>
      <c r="C27" s="215" t="str">
        <f ca="1">IFERROR(__xludf.DUMMYFUNCTION("""COMPUTED_VALUE"""),"Beginner + Intermediate")</f>
        <v>Beginner + Intermediate</v>
      </c>
      <c r="D27" s="216" t="str">
        <f ca="1">IFERROR(__xludf.DUMMYFUNCTION("""COMPUTED_VALUE"""),"Managing Virtual Teams")</f>
        <v>Managing Virtual Teams</v>
      </c>
      <c r="E27" s="217"/>
      <c r="F27" s="213"/>
      <c r="G27" s="214">
        <f ca="1">IFERROR(__xludf.DUMMYFUNCTION("""COMPUTED_VALUE"""),568987)</f>
        <v>568987</v>
      </c>
      <c r="H27" s="215" t="str">
        <f ca="1">IFERROR(__xludf.DUMMYFUNCTION("""COMPUTED_VALUE"""),"Intermediate")</f>
        <v>Intermediate</v>
      </c>
      <c r="I27" s="217" t="str">
        <f ca="1">IFERROR(__xludf.DUMMYFUNCTION("""COMPUTED_VALUE"""),"Gérer des équipes virtuelles")</f>
        <v>Gérer des équipes virtuelles</v>
      </c>
      <c r="J27" s="217"/>
      <c r="K27" s="213"/>
      <c r="L27" s="215">
        <f ca="1">IFERROR(__xludf.DUMMYFUNCTION("""COMPUTED_VALUE"""),491893)</f>
        <v>491893</v>
      </c>
      <c r="M27" s="215" t="str">
        <f ca="1">IFERROR(__xludf.DUMMYFUNCTION("""COMPUTED_VALUE"""),"Intermediate")</f>
        <v>Intermediate</v>
      </c>
      <c r="N27" s="217" t="str">
        <f ca="1">IFERROR(__xludf.DUMMYFUNCTION("""COMPUTED_VALUE"""),"Creatividad en la empresa")</f>
        <v>Creatividad en la empresa</v>
      </c>
      <c r="O27" s="217"/>
      <c r="P27" s="213"/>
      <c r="Q27" s="215">
        <f ca="1">IFERROR(__xludf.DUMMYFUNCTION("""COMPUTED_VALUE"""),2813171)</f>
        <v>2813171</v>
      </c>
      <c r="R27" s="215" t="str">
        <f ca="1">IFERROR(__xludf.DUMMYFUNCTION("""COMPUTED_VALUE"""),"Advanced")</f>
        <v>Advanced</v>
      </c>
      <c r="S27" s="217" t="str">
        <f ca="1">IFERROR(__xludf.DUMMYFUNCTION("""COMPUTED_VALUE"""),"Führungsqualitäten für Topmanager:innen")</f>
        <v>Führungsqualitäten für Topmanager:innen</v>
      </c>
      <c r="T27" s="217"/>
      <c r="U27" s="213"/>
      <c r="V27" s="215"/>
      <c r="W27" s="215"/>
      <c r="X27" s="217"/>
      <c r="Y27" s="217"/>
      <c r="Z27" s="213"/>
      <c r="AA27" s="215">
        <f ca="1">IFERROR(__xludf.DUMMYFUNCTION("""COMPUTED_VALUE"""),2391491)</f>
        <v>2391491</v>
      </c>
      <c r="AB27" s="215" t="str">
        <f ca="1">IFERROR(__xludf.DUMMYFUNCTION("""COMPUTED_VALUE"""),"Beginner")</f>
        <v>Beginner</v>
      </c>
      <c r="AC27" s="217" t="str">
        <f ca="1">IFERROR(__xludf.DUMMYFUNCTION("""COMPUTED_VALUE"""),"Como Motivar sua Equipe a Aprender")</f>
        <v>Como Motivar sua Equipe a Aprender</v>
      </c>
      <c r="AD27" s="217"/>
      <c r="AE27" s="213"/>
      <c r="AF27" s="215">
        <f ca="1">IFERROR(__xludf.DUMMYFUNCTION("""COMPUTED_VALUE"""),767866)</f>
        <v>767866</v>
      </c>
      <c r="AG27" s="215" t="str">
        <f ca="1">IFERROR(__xludf.DUMMYFUNCTION("""COMPUTED_VALUE"""),"Beginner")</f>
        <v>Beginner</v>
      </c>
      <c r="AH27" s="217" t="str">
        <f ca="1">IFERROR(__xludf.DUMMYFUNCTION("""COMPUTED_VALUE"""),"管理会议")</f>
        <v>管理会议</v>
      </c>
      <c r="AI27" s="217"/>
      <c r="AJ27" s="213"/>
    </row>
    <row r="28" spans="1:36" ht="33.75" customHeight="1">
      <c r="A28" s="213"/>
      <c r="B28" s="214">
        <f ca="1">IFERROR(__xludf.DUMMYFUNCTION("""COMPUTED_VALUE"""),688508)</f>
        <v>688508</v>
      </c>
      <c r="C28" s="215" t="str">
        <f ca="1">IFERROR(__xludf.DUMMYFUNCTION("""COMPUTED_VALUE"""),"Beginner + Intermediate")</f>
        <v>Beginner + Intermediate</v>
      </c>
      <c r="D28" s="216" t="str">
        <f ca="1">IFERROR(__xludf.DUMMYFUNCTION("""COMPUTED_VALUE"""),"Motivating and Engaging Employees")</f>
        <v>Motivating and Engaging Employees</v>
      </c>
      <c r="E28" s="217"/>
      <c r="F28" s="213"/>
      <c r="G28" s="214">
        <f ca="1">IFERROR(__xludf.DUMMYFUNCTION("""COMPUTED_VALUE"""),575895)</f>
        <v>575895</v>
      </c>
      <c r="H28" s="215" t="str">
        <f ca="1">IFERROR(__xludf.DUMMYFUNCTION("""COMPUTED_VALUE"""),"Beginner")</f>
        <v>Beginner</v>
      </c>
      <c r="I28" s="217" t="str">
        <f ca="1">IFERROR(__xludf.DUMMYFUNCTION("""COMPUTED_VALUE"""),"Gérer les problèmes de performance de ses employés / employées")</f>
        <v>Gérer les problèmes de performance de ses employés / employées</v>
      </c>
      <c r="J28" s="217"/>
      <c r="K28" s="213"/>
      <c r="L28" s="215">
        <f ca="1">IFERROR(__xludf.DUMMYFUNCTION("""COMPUTED_VALUE"""),748686)</f>
        <v>748686</v>
      </c>
      <c r="M28" s="215" t="str">
        <f ca="1">IFERROR(__xludf.DUMMYFUNCTION("""COMPUTED_VALUE"""),"Advanced")</f>
        <v>Advanced</v>
      </c>
      <c r="N28" s="217" t="str">
        <f ca="1">IFERROR(__xludf.DUMMYFUNCTION("""COMPUTED_VALUE"""),"Desarrolla la adaptabilidad de tu equipo")</f>
        <v>Desarrolla la adaptabilidad de tu equipo</v>
      </c>
      <c r="O28" s="217"/>
      <c r="P28" s="213"/>
      <c r="Q28" s="215">
        <f ca="1">IFERROR(__xludf.DUMMYFUNCTION("""COMPUTED_VALUE"""),2812518)</f>
        <v>2812518</v>
      </c>
      <c r="R28" s="215" t="str">
        <f ca="1">IFERROR(__xludf.DUMMYFUNCTION("""COMPUTED_VALUE"""),"All levels")</f>
        <v>All levels</v>
      </c>
      <c r="S28" s="217" t="str">
        <f ca="1">IFERROR(__xludf.DUMMYFUNCTION("""COMPUTED_VALUE"""),"Führungsstärke ausstrahlen")</f>
        <v>Führungsstärke ausstrahlen</v>
      </c>
      <c r="T28" s="217"/>
      <c r="U28" s="213"/>
      <c r="V28" s="215"/>
      <c r="W28" s="215"/>
      <c r="X28" s="217"/>
      <c r="Y28" s="217"/>
      <c r="Z28" s="213"/>
      <c r="AA28" s="215">
        <f ca="1">IFERROR(__xludf.DUMMYFUNCTION("""COMPUTED_VALUE"""),753203)</f>
        <v>753203</v>
      </c>
      <c r="AB28" s="215" t="str">
        <f ca="1">IFERROR(__xludf.DUMMYFUNCTION("""COMPUTED_VALUE"""),"Intermediate")</f>
        <v>Intermediate</v>
      </c>
      <c r="AC28" s="217" t="str">
        <f ca="1">IFERROR(__xludf.DUMMYFUNCTION("""COMPUTED_VALUE"""),"Como Passar da Colaboração à Gerência")</f>
        <v>Como Passar da Colaboração à Gerência</v>
      </c>
      <c r="AD28" s="217"/>
      <c r="AE28" s="213"/>
      <c r="AF28" s="215">
        <f ca="1">IFERROR(__xludf.DUMMYFUNCTION("""COMPUTED_VALUE"""),2243990)</f>
        <v>2243990</v>
      </c>
      <c r="AG28" s="215" t="str">
        <f ca="1">IFERROR(__xludf.DUMMYFUNCTION("""COMPUTED_VALUE"""),"Beginner")</f>
        <v>Beginner</v>
      </c>
      <c r="AH28" s="217" t="str">
        <f ca="1">IFERROR(__xludf.DUMMYFUNCTION("""COMPUTED_VALUE"""),"管理员工绩效问题")</f>
        <v>管理员工绩效问题</v>
      </c>
      <c r="AI28" s="217"/>
      <c r="AJ28" s="213"/>
    </row>
    <row r="29" spans="1:36" ht="33.75" customHeight="1">
      <c r="A29" s="213"/>
      <c r="B29" s="214">
        <f ca="1">IFERROR(__xludf.DUMMYFUNCTION("""COMPUTED_VALUE"""),784280)</f>
        <v>784280</v>
      </c>
      <c r="C29" s="215" t="str">
        <f ca="1">IFERROR(__xludf.DUMMYFUNCTION("""COMPUTED_VALUE"""),"General")</f>
        <v>General</v>
      </c>
      <c r="D29" s="216" t="str">
        <f ca="1">IFERROR(__xludf.DUMMYFUNCTION("""COMPUTED_VALUE"""),"Leading Inclusive Teams")</f>
        <v>Leading Inclusive Teams</v>
      </c>
      <c r="E29" s="217"/>
      <c r="F29" s="213"/>
      <c r="G29" s="214">
        <f ca="1">IFERROR(__xludf.DUMMYFUNCTION("""COMPUTED_VALUE"""),796909)</f>
        <v>796909</v>
      </c>
      <c r="H29" s="215" t="str">
        <f ca="1">IFERROR(__xludf.DUMMYFUNCTION("""COMPUTED_VALUE"""),"Advanced")</f>
        <v>Advanced</v>
      </c>
      <c r="I29" s="217" t="str">
        <f ca="1">IFERROR(__xludf.DUMMYFUNCTION("""COMPUTED_VALUE"""),"Instaurer une culture de la performance")</f>
        <v>Instaurer une culture de la performance</v>
      </c>
      <c r="J29" s="217"/>
      <c r="K29" s="213"/>
      <c r="L29" s="215">
        <f ca="1">IFERROR(__xludf.DUMMYFUNCTION("""COMPUTED_VALUE"""),5025686)</f>
        <v>5025686</v>
      </c>
      <c r="M29" s="215" t="str">
        <f ca="1">IFERROR(__xludf.DUMMYFUNCTION("""COMPUTED_VALUE"""),"Intermediate")</f>
        <v>Intermediate</v>
      </c>
      <c r="N29" s="217" t="str">
        <f ca="1">IFERROR(__xludf.DUMMYFUNCTION("""COMPUTED_VALUE"""),"El futuro de la gestión del rendimiento")</f>
        <v>El futuro de la gestión del rendimiento</v>
      </c>
      <c r="O29" s="217"/>
      <c r="P29" s="213"/>
      <c r="Q29" s="215">
        <f ca="1">IFERROR(__xludf.DUMMYFUNCTION("""COMPUTED_VALUE"""),2841286)</f>
        <v>2841286</v>
      </c>
      <c r="R29" s="215" t="str">
        <f ca="1">IFERROR(__xludf.DUMMYFUNCTION("""COMPUTED_VALUE"""),"All levels")</f>
        <v>All levels</v>
      </c>
      <c r="S29" s="217" t="str">
        <f ca="1">IFERROR(__xludf.DUMMYFUNCTION("""COMPUTED_VALUE"""),"Führungsstärke ausstrahlen: Tipps für Frauen")</f>
        <v>Führungsstärke ausstrahlen: Tipps für Frauen</v>
      </c>
      <c r="T29" s="217"/>
      <c r="U29" s="213"/>
      <c r="V29" s="215"/>
      <c r="W29" s="215"/>
      <c r="X29" s="217"/>
      <c r="Y29" s="217"/>
      <c r="Z29" s="213"/>
      <c r="AA29" s="215">
        <f ca="1">IFERROR(__xludf.DUMMYFUNCTION("""COMPUTED_VALUE"""),3143814)</f>
        <v>3143814</v>
      </c>
      <c r="AB29" s="215" t="str">
        <f ca="1">IFERROR(__xludf.DUMMYFUNCTION("""COMPUTED_VALUE"""),"All levels")</f>
        <v>All levels</v>
      </c>
      <c r="AC29" s="217" t="str">
        <f ca="1">IFERROR(__xludf.DUMMYFUNCTION("""COMPUTED_VALUE"""),"Como Pedir Feedback no Trabalho para Evoluir na Carreira")</f>
        <v>Como Pedir Feedback no Trabalho para Evoluir na Carreira</v>
      </c>
      <c r="AD29" s="217"/>
      <c r="AE29" s="213"/>
      <c r="AF29" s="215">
        <f ca="1">IFERROR(__xludf.DUMMYFUNCTION("""COMPUTED_VALUE"""),3162242)</f>
        <v>3162242</v>
      </c>
      <c r="AG29" s="215" t="str">
        <f ca="1">IFERROR(__xludf.DUMMYFUNCTION("""COMPUTED_VALUE"""),"Intermediate")</f>
        <v>Intermediate</v>
      </c>
      <c r="AH29" s="217" t="str">
        <f ca="1">IFERROR(__xludf.DUMMYFUNCTION("""COMPUTED_VALUE"""),"管理团队冲突")</f>
        <v>管理团队冲突</v>
      </c>
      <c r="AI29" s="217"/>
      <c r="AJ29" s="213"/>
    </row>
    <row r="30" spans="1:36" ht="33.75" customHeight="1">
      <c r="A30" s="213"/>
      <c r="B30" s="214">
        <f ca="1">IFERROR(__xludf.DUMMYFUNCTION("""COMPUTED_VALUE"""),2877028)</f>
        <v>2877028</v>
      </c>
      <c r="C30" s="215" t="str">
        <f ca="1">IFERROR(__xludf.DUMMYFUNCTION("""COMPUTED_VALUE"""),"General")</f>
        <v>General</v>
      </c>
      <c r="D30" s="216" t="str">
        <f ca="1">IFERROR(__xludf.DUMMYFUNCTION("""COMPUTED_VALUE"""),"Becoming a Manager Your Team Loves")</f>
        <v>Becoming a Manager Your Team Loves</v>
      </c>
      <c r="E30" s="217"/>
      <c r="F30" s="213"/>
      <c r="G30" s="214">
        <f ca="1">IFERROR(__xludf.DUMMYFUNCTION("""COMPUTED_VALUE"""),400730)</f>
        <v>400730</v>
      </c>
      <c r="H30" s="215" t="str">
        <f ca="1">IFERROR(__xludf.DUMMYFUNCTION("""COMPUTED_VALUE"""),"Beginner")</f>
        <v>Beginner</v>
      </c>
      <c r="I30" s="217" t="str">
        <f ca="1">IFERROR(__xludf.DUMMYFUNCTION("""COMPUTED_VALUE"""),"Intégrer les nouvelles recrues")</f>
        <v>Intégrer les nouvelles recrues</v>
      </c>
      <c r="J30" s="217"/>
      <c r="K30" s="213"/>
      <c r="L30" s="215">
        <f ca="1">IFERROR(__xludf.DUMMYFUNCTION("""COMPUTED_VALUE"""),748685)</f>
        <v>748685</v>
      </c>
      <c r="M30" s="215" t="str">
        <f ca="1">IFERROR(__xludf.DUMMYFUNCTION("""COMPUTED_VALUE"""),"Advanced")</f>
        <v>Advanced</v>
      </c>
      <c r="N30" s="217" t="str">
        <f ca="1">IFERROR(__xludf.DUMMYFUNCTION("""COMPUTED_VALUE"""),"Empodera a tu equipo")</f>
        <v>Empodera a tu equipo</v>
      </c>
      <c r="O30" s="217"/>
      <c r="P30" s="213"/>
      <c r="Q30" s="215">
        <f ca="1">IFERROR(__xludf.DUMMYFUNCTION("""COMPUTED_VALUE"""),2892047)</f>
        <v>2892047</v>
      </c>
      <c r="R30" s="215" t="str">
        <f ca="1">IFERROR(__xludf.DUMMYFUNCTION("""COMPUTED_VALUE"""),"Intermediate")</f>
        <v>Intermediate</v>
      </c>
      <c r="S30" s="217" t="str">
        <f ca="1">IFERROR(__xludf.DUMMYFUNCTION("""COMPUTED_VALUE"""),"Gesund führen")</f>
        <v>Gesund führen</v>
      </c>
      <c r="T30" s="217"/>
      <c r="U30" s="213"/>
      <c r="V30" s="215"/>
      <c r="W30" s="215"/>
      <c r="X30" s="217"/>
      <c r="Y30" s="217"/>
      <c r="Z30" s="213"/>
      <c r="AA30" s="215">
        <f ca="1">IFERROR(__xludf.DUMMYFUNCTION("""COMPUTED_VALUE"""),2873193)</f>
        <v>2873193</v>
      </c>
      <c r="AB30" s="215" t="str">
        <f ca="1">IFERROR(__xludf.DUMMYFUNCTION("""COMPUTED_VALUE"""),"All levels")</f>
        <v>All levels</v>
      </c>
      <c r="AC30" s="217" t="str">
        <f ca="1">IFERROR(__xludf.DUMMYFUNCTION("""COMPUTED_VALUE"""),"Como Promover o Envolvimento Emocional de seus Colaboradores")</f>
        <v>Como Promover o Envolvimento Emocional de seus Colaboradores</v>
      </c>
      <c r="AD30" s="217"/>
      <c r="AE30" s="213"/>
      <c r="AF30" s="215">
        <f ca="1">IFERROR(__xludf.DUMMYFUNCTION("""COMPUTED_VALUE"""),2824442)</f>
        <v>2824442</v>
      </c>
      <c r="AG30" s="215" t="str">
        <f ca="1">IFERROR(__xludf.DUMMYFUNCTION("""COMPUTED_VALUE"""),"Intermediate")</f>
        <v>Intermediate</v>
      </c>
      <c r="AH30" s="217" t="str">
        <f ca="1">IFERROR(__xludf.DUMMYFUNCTION("""COMPUTED_VALUE"""),"管理多元化团队")</f>
        <v>管理多元化团队</v>
      </c>
      <c r="AI30" s="217"/>
      <c r="AJ30" s="213"/>
    </row>
    <row r="31" spans="1:36" ht="33.75" customHeight="1">
      <c r="A31" s="213"/>
      <c r="B31" s="214">
        <f ca="1">IFERROR(__xludf.DUMMYFUNCTION("""COMPUTED_VALUE"""),167028)</f>
        <v>167028</v>
      </c>
      <c r="C31" s="215" t="str">
        <f ca="1">IFERROR(__xludf.DUMMYFUNCTION("""COMPUTED_VALUE"""),"Intermediate")</f>
        <v>Intermediate</v>
      </c>
      <c r="D31" s="216" t="str">
        <f ca="1">IFERROR(__xludf.DUMMYFUNCTION("""COMPUTED_VALUE"""),"Building High-Performance Teams")</f>
        <v>Building High-Performance Teams</v>
      </c>
      <c r="E31" s="217"/>
      <c r="F31" s="213"/>
      <c r="G31" s="214">
        <f ca="1">IFERROR(__xludf.DUMMYFUNCTION("""COMPUTED_VALUE"""),2393119)</f>
        <v>2393119</v>
      </c>
      <c r="H31" s="215" t="str">
        <f ca="1">IFERROR(__xludf.DUMMYFUNCTION("""COMPUTED_VALUE"""),"Intermediate")</f>
        <v>Intermediate</v>
      </c>
      <c r="I31" s="217" t="str">
        <f ca="1">IFERROR(__xludf.DUMMYFUNCTION("""COMPUTED_VALUE"""),"La minute de formation : Bien travailler en équipe")</f>
        <v>La minute de formation : Bien travailler en équipe</v>
      </c>
      <c r="J31" s="217"/>
      <c r="K31" s="213"/>
      <c r="L31" s="215">
        <f ca="1">IFERROR(__xludf.DUMMYFUNCTION("""COMPUTED_VALUE"""),5025665)</f>
        <v>5025665</v>
      </c>
      <c r="M31" s="215" t="str">
        <f ca="1">IFERROR(__xludf.DUMMYFUNCTION("""COMPUTED_VALUE"""),"All levels")</f>
        <v>All levels</v>
      </c>
      <c r="N31" s="217" t="str">
        <f ca="1">IFERROR(__xludf.DUMMYFUNCTION("""COMPUTED_VALUE"""),"Fundamentos de gestión de equipos IT y programación")</f>
        <v>Fundamentos de gestión de equipos IT y programación</v>
      </c>
      <c r="O31" s="217"/>
      <c r="P31" s="213"/>
      <c r="Q31" s="215">
        <f ca="1">IFERROR(__xludf.DUMMYFUNCTION("""COMPUTED_VALUE"""),2807641)</f>
        <v>2807641</v>
      </c>
      <c r="R31" s="215" t="str">
        <f ca="1">IFERROR(__xludf.DUMMYFUNCTION("""COMPUTED_VALUE"""),"Beginner")</f>
        <v>Beginner</v>
      </c>
      <c r="S31" s="217" t="str">
        <f ca="1">IFERROR(__xludf.DUMMYFUNCTION("""COMPUTED_VALUE"""),"Grundlagen von Führung")</f>
        <v>Grundlagen von Führung</v>
      </c>
      <c r="T31" s="217"/>
      <c r="U31" s="213"/>
      <c r="V31" s="215"/>
      <c r="W31" s="215"/>
      <c r="X31" s="217"/>
      <c r="Y31" s="217"/>
      <c r="Z31" s="213"/>
      <c r="AA31" s="215">
        <f ca="1">IFERROR(__xludf.DUMMYFUNCTION("""COMPUTED_VALUE"""),753220)</f>
        <v>753220</v>
      </c>
      <c r="AB31" s="215" t="str">
        <f ca="1">IFERROR(__xludf.DUMMYFUNCTION("""COMPUTED_VALUE"""),"Advanced")</f>
        <v>Advanced</v>
      </c>
      <c r="AC31" s="217" t="str">
        <f ca="1">IFERROR(__xludf.DUMMYFUNCTION("""COMPUTED_VALUE"""),"Contratação e Desenvolvimento de Futuros Colaboradores e Colaboradoras")</f>
        <v>Contratação e Desenvolvimento de Futuros Colaboradores e Colaboradoras</v>
      </c>
      <c r="AD31" s="217"/>
      <c r="AE31" s="213"/>
      <c r="AF31" s="215">
        <f ca="1">IFERROR(__xludf.DUMMYFUNCTION("""COMPUTED_VALUE"""),5015337)</f>
        <v>5015337</v>
      </c>
      <c r="AG31" s="215" t="str">
        <f ca="1">IFERROR(__xludf.DUMMYFUNCTION("""COMPUTED_VALUE"""),"Intermediate")</f>
        <v>Intermediate</v>
      </c>
      <c r="AH31" s="217" t="str">
        <f ca="1">IFERROR(__xludf.DUMMYFUNCTION("""COMPUTED_VALUE"""),"管理新任管理者")</f>
        <v>管理新任管理者</v>
      </c>
      <c r="AI31" s="217"/>
      <c r="AJ31" s="213"/>
    </row>
    <row r="32" spans="1:36" ht="30">
      <c r="A32" s="213"/>
      <c r="B32" s="214">
        <f ca="1">IFERROR(__xludf.DUMMYFUNCTION("""COMPUTED_VALUE"""),737756)</f>
        <v>737756</v>
      </c>
      <c r="C32" s="215" t="str">
        <f ca="1">IFERROR(__xludf.DUMMYFUNCTION("""COMPUTED_VALUE"""),"Intermediate")</f>
        <v>Intermediate</v>
      </c>
      <c r="D32" s="216" t="str">
        <f ca="1">IFERROR(__xludf.DUMMYFUNCTION("""COMPUTED_VALUE"""),"Developing Your Team Members")</f>
        <v>Developing Your Team Members</v>
      </c>
      <c r="E32" s="217"/>
      <c r="F32" s="213"/>
      <c r="G32" s="214">
        <f ca="1">IFERROR(__xludf.DUMMYFUNCTION("""COMPUTED_VALUE"""),2882001)</f>
        <v>2882001</v>
      </c>
      <c r="H32" s="215" t="str">
        <f ca="1">IFERROR(__xludf.DUMMYFUNCTION("""COMPUTED_VALUE"""),"Intermediate")</f>
        <v>Intermediate</v>
      </c>
      <c r="I32" s="217" t="str">
        <f ca="1">IFERROR(__xludf.DUMMYFUNCTION("""COMPUTED_VALUE"""),"La minute de formation : Favoriser l'engagement des employés")</f>
        <v>La minute de formation : Favoriser l'engagement des employés</v>
      </c>
      <c r="J32" s="217"/>
      <c r="K32" s="213"/>
      <c r="L32" s="215">
        <f ca="1">IFERROR(__xludf.DUMMYFUNCTION("""COMPUTED_VALUE"""),608978)</f>
        <v>608978</v>
      </c>
      <c r="M32" s="215" t="str">
        <f ca="1">IFERROR(__xludf.DUMMYFUNCTION("""COMPUTED_VALUE"""),"All levels")</f>
        <v>All levels</v>
      </c>
      <c r="N32" s="217" t="str">
        <f ca="1">IFERROR(__xludf.DUMMYFUNCTION("""COMPUTED_VALUE"""),"Fundamentos de la gestión de proyectos: Equipos")</f>
        <v>Fundamentos de la gestión de proyectos: Equipos</v>
      </c>
      <c r="O32" s="217"/>
      <c r="P32" s="213"/>
      <c r="Q32" s="215">
        <f ca="1">IFERROR(__xludf.DUMMYFUNCTION("""COMPUTED_VALUE"""),672276)</f>
        <v>672276</v>
      </c>
      <c r="R32" s="215" t="str">
        <f ca="1">IFERROR(__xludf.DUMMYFUNCTION("""COMPUTED_VALUE"""),"Intermediate")</f>
        <v>Intermediate</v>
      </c>
      <c r="S32" s="217" t="str">
        <f ca="1">IFERROR(__xludf.DUMMYFUNCTION("""COMPUTED_VALUE"""),"Hochleistungsteams aufbauen")</f>
        <v>Hochleistungsteams aufbauen</v>
      </c>
      <c r="T32" s="217"/>
      <c r="U32" s="213"/>
      <c r="V32" s="215"/>
      <c r="W32" s="215"/>
      <c r="X32" s="217"/>
      <c r="Y32" s="217"/>
      <c r="Z32" s="213"/>
      <c r="AA32" s="215">
        <f ca="1">IFERROR(__xludf.DUMMYFUNCTION("""COMPUTED_VALUE"""),753073)</f>
        <v>753073</v>
      </c>
      <c r="AB32" s="215" t="str">
        <f ca="1">IFERROR(__xludf.DUMMYFUNCTION("""COMPUTED_VALUE"""),"Beginner")</f>
        <v>Beginner</v>
      </c>
      <c r="AC32" s="217" t="str">
        <f ca="1">IFERROR(__xludf.DUMMYFUNCTION("""COMPUTED_VALUE"""),"Delegação de Tarefas à Equipe")</f>
        <v>Delegação de Tarefas à Equipe</v>
      </c>
      <c r="AD32" s="217"/>
      <c r="AE32" s="213"/>
      <c r="AF32" s="215">
        <f ca="1">IFERROR(__xludf.DUMMYFUNCTION("""COMPUTED_VALUE"""),767946)</f>
        <v>767946</v>
      </c>
      <c r="AG32" s="215" t="str">
        <f ca="1">IFERROR(__xludf.DUMMYFUNCTION("""COMPUTED_VALUE"""),"Intermediate")</f>
        <v>Intermediate</v>
      </c>
      <c r="AH32" s="217" t="str">
        <f ca="1">IFERROR(__xludf.DUMMYFUNCTION("""COMPUTED_VALUE"""),"管理虚拟团队")</f>
        <v>管理虚拟团队</v>
      </c>
      <c r="AI32" s="217"/>
      <c r="AJ32" s="213"/>
    </row>
    <row r="33" spans="1:36" ht="33.75" customHeight="1">
      <c r="A33" s="213"/>
      <c r="B33" s="214">
        <f ca="1">IFERROR(__xludf.DUMMYFUNCTION("""COMPUTED_VALUE"""),656781)</f>
        <v>656781</v>
      </c>
      <c r="C33" s="215" t="str">
        <f ca="1">IFERROR(__xludf.DUMMYFUNCTION("""COMPUTED_VALUE"""),"Intermediate")</f>
        <v>Intermediate</v>
      </c>
      <c r="D33" s="216" t="str">
        <f ca="1">IFERROR(__xludf.DUMMYFUNCTION("""COMPUTED_VALUE"""),"Facilitation Skills for Managers and Leaders")</f>
        <v>Facilitation Skills for Managers and Leaders</v>
      </c>
      <c r="E33" s="217"/>
      <c r="F33" s="213"/>
      <c r="G33" s="214">
        <f ca="1">IFERROR(__xludf.DUMMYFUNCTION("""COMPUTED_VALUE"""),2822433)</f>
        <v>2822433</v>
      </c>
      <c r="H33" s="215" t="str">
        <f ca="1">IFERROR(__xludf.DUMMYFUNCTION("""COMPUTED_VALUE"""),"Intermediate")</f>
        <v>Intermediate</v>
      </c>
      <c r="I33" s="217" t="str">
        <f ca="1">IFERROR(__xludf.DUMMYFUNCTION("""COMPUTED_VALUE"""),"Le leadership collaboratif")</f>
        <v>Le leadership collaboratif</v>
      </c>
      <c r="J33" s="217"/>
      <c r="K33" s="213"/>
      <c r="L33" s="215">
        <f ca="1">IFERROR(__xludf.DUMMYFUNCTION("""COMPUTED_VALUE"""),708556)</f>
        <v>708556</v>
      </c>
      <c r="M33" s="215" t="str">
        <f ca="1">IFERROR(__xludf.DUMMYFUNCTION("""COMPUTED_VALUE"""),"Intermediate")</f>
        <v>Intermediate</v>
      </c>
      <c r="N33" s="217" t="str">
        <f ca="1">IFERROR(__xludf.DUMMYFUNCTION("""COMPUTED_VALUE"""),"Fundamentos de la gestión de proyectos: Liderazgo")</f>
        <v>Fundamentos de la gestión de proyectos: Liderazgo</v>
      </c>
      <c r="O33" s="217"/>
      <c r="P33" s="213"/>
      <c r="Q33" s="215">
        <f ca="1">IFERROR(__xludf.DUMMYFUNCTION("""COMPUTED_VALUE"""),3160235)</f>
        <v>3160235</v>
      </c>
      <c r="R33" s="215" t="str">
        <f ca="1">IFERROR(__xludf.DUMMYFUNCTION("""COMPUTED_VALUE"""),"Intermediate")</f>
        <v>Intermediate</v>
      </c>
      <c r="S33" s="217" t="str">
        <f ca="1">IFERROR(__xludf.DUMMYFUNCTION("""COMPUTED_VALUE"""),"Hybride Teams führen")</f>
        <v>Hybride Teams führen</v>
      </c>
      <c r="T33" s="217"/>
      <c r="U33" s="213"/>
      <c r="V33" s="215"/>
      <c r="W33" s="215"/>
      <c r="X33" s="217"/>
      <c r="Y33" s="217"/>
      <c r="Z33" s="213"/>
      <c r="AA33" s="215">
        <f ca="1">IFERROR(__xludf.DUMMYFUNCTION("""COMPUTED_VALUE"""),2874152)</f>
        <v>2874152</v>
      </c>
      <c r="AB33" s="215" t="str">
        <f ca="1">IFERROR(__xludf.DUMMYFUNCTION("""COMPUTED_VALUE"""),"All levels")</f>
        <v>All levels</v>
      </c>
      <c r="AC33" s="217" t="str">
        <f ca="1">IFERROR(__xludf.DUMMYFUNCTION("""COMPUTED_VALUE"""),"Dicas Rápidas para Gerentes Seniores")</f>
        <v>Dicas Rápidas para Gerentes Seniores</v>
      </c>
      <c r="AD33" s="217"/>
      <c r="AE33" s="213"/>
      <c r="AF33" s="215">
        <f ca="1">IFERROR(__xludf.DUMMYFUNCTION("""COMPUTED_VALUE"""),2823543)</f>
        <v>2823543</v>
      </c>
      <c r="AG33" s="215" t="str">
        <f ca="1">IFERROR(__xludf.DUMMYFUNCTION("""COMPUTED_VALUE"""),"Beginner")</f>
        <v>Beginner</v>
      </c>
      <c r="AH33" s="217" t="str">
        <f ca="1">IFERROR(__xludf.DUMMYFUNCTION("""COMPUTED_VALUE"""),"管理高潜力人才")</f>
        <v>管理高潜力人才</v>
      </c>
      <c r="AI33" s="217"/>
      <c r="AJ33" s="213"/>
    </row>
    <row r="34" spans="1:36" ht="33.75" customHeight="1">
      <c r="A34" s="213"/>
      <c r="B34" s="214">
        <f ca="1">IFERROR(__xludf.DUMMYFUNCTION("""COMPUTED_VALUE"""),175129)</f>
        <v>175129</v>
      </c>
      <c r="C34" s="215" t="str">
        <f ca="1">IFERROR(__xludf.DUMMYFUNCTION("""COMPUTED_VALUE"""),"Intermediate")</f>
        <v>Intermediate</v>
      </c>
      <c r="D34" s="216" t="str">
        <f ca="1">IFERROR(__xludf.DUMMYFUNCTION("""COMPUTED_VALUE"""),"Leading and Working in Teams")</f>
        <v>Leading and Working in Teams</v>
      </c>
      <c r="E34" s="217"/>
      <c r="F34" s="213"/>
      <c r="G34" s="214">
        <f ca="1">IFERROR(__xludf.DUMMYFUNCTION("""COMPUTED_VALUE"""),723125)</f>
        <v>723125</v>
      </c>
      <c r="H34" s="215" t="str">
        <f ca="1">IFERROR(__xludf.DUMMYFUNCTION("""COMPUTED_VALUE"""),"Intermediate")</f>
        <v>Intermediate</v>
      </c>
      <c r="I34" s="217" t="str">
        <f ca="1">IFERROR(__xludf.DUMMYFUNCTION("""COMPUTED_VALUE"""),"Le recrutement axé sur la performance")</f>
        <v>Le recrutement axé sur la performance</v>
      </c>
      <c r="J34" s="217"/>
      <c r="K34" s="213"/>
      <c r="L34" s="215">
        <f ca="1">IFERROR(__xludf.DUMMYFUNCTION("""COMPUTED_VALUE"""),795022)</f>
        <v>795022</v>
      </c>
      <c r="M34" s="215" t="str">
        <f ca="1">IFERROR(__xludf.DUMMYFUNCTION("""COMPUTED_VALUE"""),"Intermediate")</f>
        <v>Intermediate</v>
      </c>
      <c r="N34" s="217" t="str">
        <f ca="1">IFERROR(__xludf.DUMMYFUNCTION("""COMPUTED_VALUE"""),"Fundamentos de la productividad: Kanban, outlining y mapas mentales")</f>
        <v>Fundamentos de la productividad: Kanban, outlining y mapas mentales</v>
      </c>
      <c r="O34" s="217"/>
      <c r="P34" s="213"/>
      <c r="Q34" s="215">
        <f ca="1">IFERROR(__xludf.DUMMYFUNCTION("""COMPUTED_VALUE"""),648460)</f>
        <v>648460</v>
      </c>
      <c r="R34" s="215" t="str">
        <f ca="1">IFERROR(__xludf.DUMMYFUNCTION("""COMPUTED_VALUE"""),"Intermediate")</f>
        <v>Intermediate</v>
      </c>
      <c r="S34" s="217" t="str">
        <f ca="1">IFERROR(__xludf.DUMMYFUNCTION("""COMPUTED_VALUE"""),"Ihre Führungsphilosophie entwickeln")</f>
        <v>Ihre Führungsphilosophie entwickeln</v>
      </c>
      <c r="T34" s="217"/>
      <c r="U34" s="213"/>
      <c r="V34" s="215"/>
      <c r="W34" s="215"/>
      <c r="X34" s="217"/>
      <c r="Y34" s="217"/>
      <c r="Z34" s="213"/>
      <c r="AA34" s="215">
        <f ca="1">IFERROR(__xludf.DUMMYFUNCTION("""COMPUTED_VALUE"""),2929551)</f>
        <v>2929551</v>
      </c>
      <c r="AB34" s="215" t="str">
        <f ca="1">IFERROR(__xludf.DUMMYFUNCTION("""COMPUTED_VALUE"""),"All levels")</f>
        <v>All levels</v>
      </c>
      <c r="AC34" s="217" t="str">
        <f ca="1">IFERROR(__xludf.DUMMYFUNCTION("""COMPUTED_VALUE"""),"Fundamentos de Gestão Ágil")</f>
        <v>Fundamentos de Gestão Ágil</v>
      </c>
      <c r="AD34" s="217"/>
      <c r="AE34" s="213"/>
      <c r="AF34" s="215">
        <f ca="1">IFERROR(__xludf.DUMMYFUNCTION("""COMPUTED_VALUE"""),2823542)</f>
        <v>2823542</v>
      </c>
      <c r="AG34" s="215" t="str">
        <f ca="1">IFERROR(__xludf.DUMMYFUNCTION("""COMPUTED_VALUE"""),"Beginner")</f>
        <v>Beginner</v>
      </c>
      <c r="AH34" s="217" t="str">
        <f ca="1">IFERROR(__xludf.DUMMYFUNCTION("""COMPUTED_VALUE"""),"管理高绩效员工")</f>
        <v>管理高绩效员工</v>
      </c>
      <c r="AI34" s="217"/>
      <c r="AJ34" s="213"/>
    </row>
    <row r="35" spans="1:36" ht="33.75" customHeight="1">
      <c r="A35" s="213"/>
      <c r="B35" s="214">
        <f ca="1">IFERROR(__xludf.DUMMYFUNCTION("""COMPUTED_VALUE"""),659267)</f>
        <v>659267</v>
      </c>
      <c r="C35" s="215" t="str">
        <f ca="1">IFERROR(__xludf.DUMMYFUNCTION("""COMPUTED_VALUE"""),"Intermediate")</f>
        <v>Intermediate</v>
      </c>
      <c r="D35" s="216" t="str">
        <f ca="1">IFERROR(__xludf.DUMMYFUNCTION("""COMPUTED_VALUE"""),"Managing a Cross-Functional Team")</f>
        <v>Managing a Cross-Functional Team</v>
      </c>
      <c r="E35" s="217"/>
      <c r="F35" s="213"/>
      <c r="G35" s="214">
        <f ca="1">IFERROR(__xludf.DUMMYFUNCTION("""COMPUTED_VALUE"""),568983)</f>
        <v>568983</v>
      </c>
      <c r="H35" s="215" t="str">
        <f ca="1">IFERROR(__xludf.DUMMYFUNCTION("""COMPUTED_VALUE"""),"Beginner")</f>
        <v>Beginner</v>
      </c>
      <c r="I35" s="217" t="str">
        <f ca="1">IFERROR(__xludf.DUMMYFUNCTION("""COMPUTED_VALUE"""),"Les fondements de la gestion de projet : Les équipes")</f>
        <v>Les fondements de la gestion de projet : Les équipes</v>
      </c>
      <c r="J35" s="217"/>
      <c r="K35" s="213"/>
      <c r="L35" s="215">
        <f ca="1">IFERROR(__xludf.DUMMYFUNCTION("""COMPUTED_VALUE"""),714717)</f>
        <v>714717</v>
      </c>
      <c r="M35" s="215" t="str">
        <f ca="1">IFERROR(__xludf.DUMMYFUNCTION("""COMPUTED_VALUE"""),"Advanced")</f>
        <v>Advanced</v>
      </c>
      <c r="N35" s="217" t="str">
        <f ca="1">IFERROR(__xludf.DUMMYFUNCTION("""COMPUTED_VALUE"""),"Gestión de equipos mediante OKR's o misiones, objetivos y resultados clave")</f>
        <v>Gestión de equipos mediante OKR's o misiones, objetivos y resultados clave</v>
      </c>
      <c r="O35" s="217"/>
      <c r="P35" s="213"/>
      <c r="Q35" s="215">
        <f ca="1">IFERROR(__xludf.DUMMYFUNCTION("""COMPUTED_VALUE"""),593046)</f>
        <v>593046</v>
      </c>
      <c r="R35" s="215" t="str">
        <f ca="1">IFERROR(__xludf.DUMMYFUNCTION("""COMPUTED_VALUE"""),"All levels")</f>
        <v>All levels</v>
      </c>
      <c r="S35" s="217" t="str">
        <f ca="1">IFERROR(__xludf.DUMMYFUNCTION("""COMPUTED_VALUE"""),"Im Team arbeiten")</f>
        <v>Im Team arbeiten</v>
      </c>
      <c r="T35" s="217"/>
      <c r="U35" s="213"/>
      <c r="V35" s="215"/>
      <c r="W35" s="215"/>
      <c r="X35" s="217"/>
      <c r="Y35" s="217"/>
      <c r="Z35" s="213"/>
      <c r="AA35" s="215">
        <f ca="1">IFERROR(__xludf.DUMMYFUNCTION("""COMPUTED_VALUE"""),753093)</f>
        <v>753093</v>
      </c>
      <c r="AB35" s="215" t="str">
        <f ca="1">IFERROR(__xludf.DUMMYFUNCTION("""COMPUTED_VALUE"""),"All levels")</f>
        <v>All levels</v>
      </c>
      <c r="AC35" s="217" t="str">
        <f ca="1">IFERROR(__xludf.DUMMYFUNCTION("""COMPUTED_VALUE"""),"Fundamentos do Trabalho em Equipe")</f>
        <v>Fundamentos do Trabalho em Equipe</v>
      </c>
      <c r="AD35" s="217"/>
      <c r="AE35" s="213"/>
      <c r="AF35" s="215">
        <f ca="1">IFERROR(__xludf.DUMMYFUNCTION("""COMPUTED_VALUE"""),5020684)</f>
        <v>5020684</v>
      </c>
      <c r="AG35" s="215" t="str">
        <f ca="1">IFERROR(__xludf.DUMMYFUNCTION("""COMPUTED_VALUE"""),"Beginner")</f>
        <v>Beginner</v>
      </c>
      <c r="AH35" s="217" t="str">
        <f ca="1">IFERROR(__xludf.DUMMYFUNCTION("""COMPUTED_VALUE"""),"设定团队与员工目标")</f>
        <v>设定团队与员工目标</v>
      </c>
      <c r="AI35" s="217"/>
      <c r="AJ35" s="213"/>
    </row>
    <row r="36" spans="1:36" ht="33.75" customHeight="1">
      <c r="A36" s="213"/>
      <c r="B36" s="214">
        <f ca="1">IFERROR(__xludf.DUMMYFUNCTION("""COMPUTED_VALUE"""),656779)</f>
        <v>656779</v>
      </c>
      <c r="C36" s="215" t="str">
        <f ca="1">IFERROR(__xludf.DUMMYFUNCTION("""COMPUTED_VALUE"""),"Intermediate")</f>
        <v>Intermediate</v>
      </c>
      <c r="D36" s="216" t="str">
        <f ca="1">IFERROR(__xludf.DUMMYFUNCTION("""COMPUTED_VALUE"""),"Managing a Diverse Team")</f>
        <v>Managing a Diverse Team</v>
      </c>
      <c r="E36" s="217"/>
      <c r="F36" s="213"/>
      <c r="G36" s="214">
        <f ca="1">IFERROR(__xludf.DUMMYFUNCTION("""COMPUTED_VALUE"""),553205)</f>
        <v>553205</v>
      </c>
      <c r="H36" s="215" t="str">
        <f ca="1">IFERROR(__xludf.DUMMYFUNCTION("""COMPUTED_VALUE"""),"All levels")</f>
        <v>All levels</v>
      </c>
      <c r="I36" s="217" t="str">
        <f ca="1">IFERROR(__xludf.DUMMYFUNCTION("""COMPUTED_VALUE"""),"Mener des réunions productives")</f>
        <v>Mener des réunions productives</v>
      </c>
      <c r="J36" s="217"/>
      <c r="K36" s="213"/>
      <c r="L36" s="215">
        <f ca="1">IFERROR(__xludf.DUMMYFUNCTION("""COMPUTED_VALUE"""),2874199)</f>
        <v>2874199</v>
      </c>
      <c r="M36" s="215" t="str">
        <f ca="1">IFERROR(__xludf.DUMMYFUNCTION("""COMPUTED_VALUE"""),"All levels")</f>
        <v>All levels</v>
      </c>
      <c r="N36" s="217" t="str">
        <f ca="1">IFERROR(__xludf.DUMMYFUNCTION("""COMPUTED_VALUE"""),"Herramientas online para teletrabajo: Trucos")</f>
        <v>Herramientas online para teletrabajo: Trucos</v>
      </c>
      <c r="O36" s="217"/>
      <c r="P36" s="213"/>
      <c r="Q36" s="215">
        <f ca="1">IFERROR(__xludf.DUMMYFUNCTION("""COMPUTED_VALUE"""),5020333)</f>
        <v>5020333</v>
      </c>
      <c r="R36" s="215" t="str">
        <f ca="1">IFERROR(__xludf.DUMMYFUNCTION("""COMPUTED_VALUE"""),"All levels")</f>
        <v>All levels</v>
      </c>
      <c r="S36" s="217" t="str">
        <f ca="1">IFERROR(__xludf.DUMMYFUNCTION("""COMPUTED_VALUE"""),"Im Team kommunizieren")</f>
        <v>Im Team kommunizieren</v>
      </c>
      <c r="T36" s="217"/>
      <c r="U36" s="213"/>
      <c r="V36" s="215"/>
      <c r="W36" s="215"/>
      <c r="X36" s="217"/>
      <c r="Y36" s="217"/>
      <c r="Z36" s="213"/>
      <c r="AA36" s="215">
        <f ca="1">IFERROR(__xludf.DUMMYFUNCTION("""COMPUTED_VALUE"""),2908954)</f>
        <v>2908954</v>
      </c>
      <c r="AB36" s="215" t="str">
        <f ca="1">IFERROR(__xludf.DUMMYFUNCTION("""COMPUTED_VALUE"""),"Intermediate")</f>
        <v>Intermediate</v>
      </c>
      <c r="AC36" s="217" t="str">
        <f ca="1">IFERROR(__xludf.DUMMYFUNCTION("""COMPUTED_VALUE"""),"Gestão Ágil no Trabalho: Como Criar Equipes Ágeis")</f>
        <v>Gestão Ágil no Trabalho: Como Criar Equipes Ágeis</v>
      </c>
      <c r="AD36" s="217"/>
      <c r="AE36" s="213"/>
      <c r="AF36" s="215">
        <f ca="1">IFERROR(__xludf.DUMMYFUNCTION("""COMPUTED_VALUE"""),2825309)</f>
        <v>2825309</v>
      </c>
      <c r="AG36" s="215" t="str">
        <f ca="1">IFERROR(__xludf.DUMMYFUNCTION("""COMPUTED_VALUE"""),"Intermediate")</f>
        <v>Intermediate</v>
      </c>
      <c r="AH36" s="217" t="str">
        <f ca="1">IFERROR(__xludf.DUMMYFUNCTION("""COMPUTED_VALUE"""),"评估团队绩效")</f>
        <v>评估团队绩效</v>
      </c>
      <c r="AI36" s="217"/>
      <c r="AJ36" s="213"/>
    </row>
    <row r="37" spans="1:36" ht="33.75" customHeight="1">
      <c r="A37" s="213"/>
      <c r="B37" s="214">
        <f ca="1">IFERROR(__xludf.DUMMYFUNCTION("""COMPUTED_VALUE"""),681075)</f>
        <v>681075</v>
      </c>
      <c r="C37" s="215" t="str">
        <f ca="1">IFERROR(__xludf.DUMMYFUNCTION("""COMPUTED_VALUE"""),"Intermediate")</f>
        <v>Intermediate</v>
      </c>
      <c r="D37" s="216" t="str">
        <f ca="1">IFERROR(__xludf.DUMMYFUNCTION("""COMPUTED_VALUE"""),"Managing Team Conflict")</f>
        <v>Managing Team Conflict</v>
      </c>
      <c r="E37" s="217"/>
      <c r="F37" s="213"/>
      <c r="G37" s="214">
        <f ca="1">IFERROR(__xludf.DUMMYFUNCTION("""COMPUTED_VALUE"""),796910)</f>
        <v>796910</v>
      </c>
      <c r="H37" s="215" t="str">
        <f ca="1">IFERROR(__xludf.DUMMYFUNCTION("""COMPUTED_VALUE"""),"Intermediate")</f>
        <v>Intermediate</v>
      </c>
      <c r="I37" s="217" t="str">
        <f ca="1">IFERROR(__xludf.DUMMYFUNCTION("""COMPUTED_VALUE"""),"Mesurer les performances d’équipe")</f>
        <v>Mesurer les performances d’équipe</v>
      </c>
      <c r="J37" s="217"/>
      <c r="K37" s="213"/>
      <c r="L37" s="215">
        <f ca="1">IFERROR(__xludf.DUMMYFUNCTION("""COMPUTED_VALUE"""),2841604)</f>
        <v>2841604</v>
      </c>
      <c r="M37" s="215" t="str">
        <f ca="1">IFERROR(__xludf.DUMMYFUNCTION("""COMPUTED_VALUE"""),"Advanced")</f>
        <v>Advanced</v>
      </c>
      <c r="N37" s="217" t="str">
        <f ca="1">IFERROR(__xludf.DUMMYFUNCTION("""COMPUTED_VALUE"""),"Liderazgo ágil: Cómo afrontar la nueva normalidad")</f>
        <v>Liderazgo ágil: Cómo afrontar la nueva normalidad</v>
      </c>
      <c r="O37" s="217"/>
      <c r="P37" s="213"/>
      <c r="Q37" s="215">
        <f ca="1">IFERROR(__xludf.DUMMYFUNCTION("""COMPUTED_VALUE"""),593919)</f>
        <v>593919</v>
      </c>
      <c r="R37" s="215" t="str">
        <f ca="1">IFERROR(__xludf.DUMMYFUNCTION("""COMPUTED_VALUE"""),"All levels")</f>
        <v>All levels</v>
      </c>
      <c r="S37" s="217" t="str">
        <f ca="1">IFERROR(__xludf.DUMMYFUNCTION("""COMPUTED_VALUE"""),"Jeff Weiner über anteilnehmendes Management")</f>
        <v>Jeff Weiner über anteilnehmendes Management</v>
      </c>
      <c r="T37" s="217"/>
      <c r="U37" s="213"/>
      <c r="V37" s="215"/>
      <c r="W37" s="215"/>
      <c r="X37" s="217"/>
      <c r="Y37" s="217"/>
      <c r="Z37" s="213"/>
      <c r="AA37" s="215">
        <f ca="1">IFERROR(__xludf.DUMMYFUNCTION("""COMPUTED_VALUE"""),2911568)</f>
        <v>2911568</v>
      </c>
      <c r="AB37" s="215" t="str">
        <f ca="1">IFERROR(__xludf.DUMMYFUNCTION("""COMPUTED_VALUE"""),"Intermediate")</f>
        <v>Intermediate</v>
      </c>
      <c r="AC37" s="217" t="str">
        <f ca="1">IFERROR(__xludf.DUMMYFUNCTION("""COMPUTED_VALUE"""),"Gestão Ágil no Trabalho: Como Tornar as Reuniões Ágeis mais Produtivas")</f>
        <v>Gestão Ágil no Trabalho: Como Tornar as Reuniões Ágeis mais Produtivas</v>
      </c>
      <c r="AD37" s="217"/>
      <c r="AE37" s="213"/>
      <c r="AF37" s="215">
        <f ca="1">IFERROR(__xludf.DUMMYFUNCTION("""COMPUTED_VALUE"""),773640)</f>
        <v>773640</v>
      </c>
      <c r="AG37" s="215" t="str">
        <f ca="1">IFERROR(__xludf.DUMMYFUNCTION("""COMPUTED_VALUE"""),"Beginner")</f>
        <v>Beginner</v>
      </c>
      <c r="AH37" s="217" t="str">
        <f ca="1">IFERROR(__xludf.DUMMYFUNCTION("""COMPUTED_VALUE"""),"辅导和培养员工")</f>
        <v>辅导和培养员工</v>
      </c>
      <c r="AI37" s="217"/>
      <c r="AJ37" s="213"/>
    </row>
    <row r="38" spans="1:36" ht="33.75" customHeight="1">
      <c r="A38" s="213"/>
      <c r="B38" s="214">
        <f ca="1">IFERROR(__xludf.DUMMYFUNCTION("""COMPUTED_VALUE"""),656780)</f>
        <v>656780</v>
      </c>
      <c r="C38" s="215" t="str">
        <f ca="1">IFERROR(__xludf.DUMMYFUNCTION("""COMPUTED_VALUE"""),"Intermediate")</f>
        <v>Intermediate</v>
      </c>
      <c r="D38" s="216" t="str">
        <f ca="1">IFERROR(__xludf.DUMMYFUNCTION("""COMPUTED_VALUE"""),"Practicing Fairness as a Manager")</f>
        <v>Practicing Fairness as a Manager</v>
      </c>
      <c r="E38" s="217"/>
      <c r="F38" s="213"/>
      <c r="G38" s="214">
        <f ca="1">IFERROR(__xludf.DUMMYFUNCTION("""COMPUTED_VALUE"""),2898800)</f>
        <v>2898800</v>
      </c>
      <c r="H38" s="215" t="str">
        <f ca="1">IFERROR(__xludf.DUMMYFUNCTION("""COMPUTED_VALUE"""),"Intermediate")</f>
        <v>Intermediate</v>
      </c>
      <c r="I38" s="217" t="str">
        <f ca="1">IFERROR(__xludf.DUMMYFUNCTION("""COMPUTED_VALUE"""),"Motiver ses équipes quand on est soi même épuisé et stressé")</f>
        <v>Motiver ses équipes quand on est soi même épuisé et stressé</v>
      </c>
      <c r="J38" s="217"/>
      <c r="K38" s="213"/>
      <c r="L38" s="215">
        <f ca="1">IFERROR(__xludf.DUMMYFUNCTION("""COMPUTED_VALUE"""),2924305)</f>
        <v>2924305</v>
      </c>
      <c r="M38" s="215" t="str">
        <f ca="1">IFERROR(__xludf.DUMMYFUNCTION("""COMPUTED_VALUE"""),"Beginner, Intermediate")</f>
        <v>Beginner, Intermediate</v>
      </c>
      <c r="N38" s="217" t="str">
        <f ca="1">IFERROR(__xludf.DUMMYFUNCTION("""COMPUTED_VALUE"""),"Liderazgo transformador")</f>
        <v>Liderazgo transformador</v>
      </c>
      <c r="O38" s="217"/>
      <c r="P38" s="213"/>
      <c r="Q38" s="215">
        <f ca="1">IFERROR(__xludf.DUMMYFUNCTION("""COMPUTED_VALUE"""),2823401)</f>
        <v>2823401</v>
      </c>
      <c r="R38" s="215" t="str">
        <f ca="1">IFERROR(__xludf.DUMMYFUNCTION("""COMPUTED_VALUE"""),"All levels")</f>
        <v>All levels</v>
      </c>
      <c r="S38" s="217" t="str">
        <f ca="1">IFERROR(__xludf.DUMMYFUNCTION("""COMPUTED_VALUE"""),"Körpersprache für Frauen")</f>
        <v>Körpersprache für Frauen</v>
      </c>
      <c r="T38" s="217"/>
      <c r="U38" s="213"/>
      <c r="V38" s="215"/>
      <c r="W38" s="215"/>
      <c r="X38" s="217"/>
      <c r="Y38" s="217"/>
      <c r="Z38" s="213"/>
      <c r="AA38" s="215">
        <f ca="1">IFERROR(__xludf.DUMMYFUNCTION("""COMPUTED_VALUE"""),2911571)</f>
        <v>2911571</v>
      </c>
      <c r="AB38" s="215" t="str">
        <f ca="1">IFERROR(__xludf.DUMMYFUNCTION("""COMPUTED_VALUE"""),"Intermediate")</f>
        <v>Intermediate</v>
      </c>
      <c r="AC38" s="217" t="str">
        <f ca="1">IFERROR(__xludf.DUMMYFUNCTION("""COMPUTED_VALUE"""),"Gestão Ágil no Trabalho: Relatórios com Gráficos e Quadros Ágeis")</f>
        <v>Gestão Ágil no Trabalho: Relatórios com Gráficos e Quadros Ágeis</v>
      </c>
      <c r="AD38" s="217"/>
      <c r="AE38" s="213"/>
      <c r="AF38" s="215">
        <f ca="1">IFERROR(__xludf.DUMMYFUNCTION("""COMPUTED_VALUE"""),805603)</f>
        <v>805603</v>
      </c>
      <c r="AG38" s="215" t="str">
        <f ca="1">IFERROR(__xludf.DUMMYFUNCTION("""COMPUTED_VALUE"""),"Advanced")</f>
        <v>Advanced</v>
      </c>
      <c r="AH38" s="217" t="str">
        <f ca="1">IFERROR(__xludf.DUMMYFUNCTION("""COMPUTED_VALUE"""),"雇用和培养未来劳动力")</f>
        <v>雇用和培养未来劳动力</v>
      </c>
      <c r="AI38" s="217"/>
      <c r="AJ38" s="213"/>
    </row>
    <row r="39" spans="1:36" ht="33.75" customHeight="1">
      <c r="A39" s="213"/>
      <c r="B39" s="214">
        <f ca="1">IFERROR(__xludf.DUMMYFUNCTION("""COMPUTED_VALUE"""),2228264)</f>
        <v>2228264</v>
      </c>
      <c r="C39" s="215" t="str">
        <f ca="1">IFERROR(__xludf.DUMMYFUNCTION("""COMPUTED_VALUE"""),"Intermediate")</f>
        <v>Intermediate</v>
      </c>
      <c r="D39" s="216" t="str">
        <f ca="1">IFERROR(__xludf.DUMMYFUNCTION("""COMPUTED_VALUE"""),"Having Career Conversations with Your Team")</f>
        <v>Having Career Conversations with Your Team</v>
      </c>
      <c r="E39" s="217"/>
      <c r="F39" s="213"/>
      <c r="G39" s="214">
        <f ca="1">IFERROR(__xludf.DUMMYFUNCTION("""COMPUTED_VALUE"""),551303)</f>
        <v>551303</v>
      </c>
      <c r="H39" s="215" t="str">
        <f ca="1">IFERROR(__xludf.DUMMYFUNCTION("""COMPUTED_VALUE"""),"Intermediate")</f>
        <v>Intermediate</v>
      </c>
      <c r="I39" s="217" t="str">
        <f ca="1">IFERROR(__xludf.DUMMYFUNCTION("""COMPUTED_VALUE"""),"Placer la responsabilisation au cœur de la culture d'entreprise")</f>
        <v>Placer la responsabilisation au cœur de la culture d'entreprise</v>
      </c>
      <c r="J39" s="217"/>
      <c r="K39" s="213"/>
      <c r="L39" s="215">
        <f ca="1">IFERROR(__xludf.DUMMYFUNCTION("""COMPUTED_VALUE"""),608964)</f>
        <v>608964</v>
      </c>
      <c r="M39" s="215" t="str">
        <f ca="1">IFERROR(__xludf.DUMMYFUNCTION("""COMPUTED_VALUE"""),"All levels")</f>
        <v>All levels</v>
      </c>
      <c r="N39" s="217" t="str">
        <f ca="1">IFERROR(__xludf.DUMMYFUNCTION("""COMPUTED_VALUE"""),"Liderazgo y trabajo en equipo")</f>
        <v>Liderazgo y trabajo en equipo</v>
      </c>
      <c r="O39" s="217"/>
      <c r="P39" s="213"/>
      <c r="Q39" s="215">
        <f ca="1">IFERROR(__xludf.DUMMYFUNCTION("""COMPUTED_VALUE"""),593043)</f>
        <v>593043</v>
      </c>
      <c r="R39" s="215" t="str">
        <f ca="1">IFERROR(__xludf.DUMMYFUNCTION("""COMPUTED_VALUE"""),"All levels")</f>
        <v>All levels</v>
      </c>
      <c r="S39" s="217" t="str">
        <f ca="1">IFERROR(__xludf.DUMMYFUNCTION("""COMPUTED_VALUE"""),"Körpersprache für Führungskräfte")</f>
        <v>Körpersprache für Führungskräfte</v>
      </c>
      <c r="T39" s="217"/>
      <c r="U39" s="213"/>
      <c r="V39" s="215"/>
      <c r="W39" s="215"/>
      <c r="X39" s="217"/>
      <c r="Y39" s="217"/>
      <c r="Z39" s="213"/>
      <c r="AA39" s="215">
        <f ca="1">IFERROR(__xludf.DUMMYFUNCTION("""COMPUTED_VALUE"""),2432277)</f>
        <v>2432277</v>
      </c>
      <c r="AB39" s="215" t="str">
        <f ca="1">IFERROR(__xludf.DUMMYFUNCTION("""COMPUTED_VALUE"""),"Beginner, Intermediate")</f>
        <v>Beginner, Intermediate</v>
      </c>
      <c r="AC39" s="217" t="str">
        <f ca="1">IFERROR(__xludf.DUMMYFUNCTION("""COMPUTED_VALUE"""),"Gestão de Conflitos: Como Lidar com as Divergências na Empresa")</f>
        <v>Gestão de Conflitos: Como Lidar com as Divergências na Empresa</v>
      </c>
      <c r="AD39" s="217"/>
      <c r="AE39" s="213"/>
      <c r="AF39" s="215">
        <f ca="1">IFERROR(__xludf.DUMMYFUNCTION("""COMPUTED_VALUE"""),762258)</f>
        <v>762258</v>
      </c>
      <c r="AG39" s="215" t="str">
        <f ca="1">IFERROR(__xludf.DUMMYFUNCTION("""COMPUTED_VALUE"""),"Beginner")</f>
        <v>Beginner</v>
      </c>
      <c r="AH39" s="217" t="str">
        <f ca="1">IFERROR(__xludf.DUMMYFUNCTION("""COMPUTED_VALUE"""),"项目管理基础知识：团队")</f>
        <v>项目管理基础知识：团队</v>
      </c>
      <c r="AI39" s="217"/>
      <c r="AJ39" s="213"/>
    </row>
    <row r="40" spans="1:36" ht="33.75" customHeight="1">
      <c r="A40" s="213"/>
      <c r="B40" s="214">
        <f ca="1">IFERROR(__xludf.DUMMYFUNCTION("""COMPUTED_VALUE"""),2822159)</f>
        <v>2822159</v>
      </c>
      <c r="C40" s="215" t="str">
        <f ca="1">IFERROR(__xludf.DUMMYFUNCTION("""COMPUTED_VALUE"""),"Intermediate")</f>
        <v>Intermediate</v>
      </c>
      <c r="D40" s="216" t="str">
        <f ca="1">IFERROR(__xludf.DUMMYFUNCTION("""COMPUTED_VALUE"""),"Managing for Better Ideas")</f>
        <v>Managing for Better Ideas</v>
      </c>
      <c r="E40" s="217"/>
      <c r="F40" s="213"/>
      <c r="G40" s="214">
        <f ca="1">IFERROR(__xludf.DUMMYFUNCTION("""COMPUTED_VALUE"""),561063)</f>
        <v>561063</v>
      </c>
      <c r="H40" s="215" t="str">
        <f ca="1">IFERROR(__xludf.DUMMYFUNCTION("""COMPUTED_VALUE"""),"Intermediate")</f>
        <v>Intermediate</v>
      </c>
      <c r="I40" s="217" t="str">
        <f ca="1">IFERROR(__xludf.DUMMYFUNCTION("""COMPUTED_VALUE"""),"Recruter une équipe")</f>
        <v>Recruter une équipe</v>
      </c>
      <c r="J40" s="217"/>
      <c r="K40" s="213"/>
      <c r="L40" s="215">
        <f ca="1">IFERROR(__xludf.DUMMYFUNCTION("""COMPUTED_VALUE"""),449379)</f>
        <v>449379</v>
      </c>
      <c r="M40" s="215" t="str">
        <f ca="1">IFERROR(__xludf.DUMMYFUNCTION("""COMPUTED_VALUE"""),"Beginner")</f>
        <v>Beginner</v>
      </c>
      <c r="N40" s="217" t="str">
        <f ca="1">IFERROR(__xludf.DUMMYFUNCTION("""COMPUTED_VALUE"""),"Motivación e implicación en la empresa")</f>
        <v>Motivación e implicación en la empresa</v>
      </c>
      <c r="O40" s="217"/>
      <c r="P40" s="213"/>
      <c r="Q40" s="215">
        <f ca="1">IFERROR(__xludf.DUMMYFUNCTION("""COMPUTED_VALUE"""),5025617)</f>
        <v>5025617</v>
      </c>
      <c r="R40" s="215" t="str">
        <f ca="1">IFERROR(__xludf.DUMMYFUNCTION("""COMPUTED_VALUE"""),"Intermediate")</f>
        <v>Intermediate</v>
      </c>
      <c r="S40" s="217" t="str">
        <f ca="1">IFERROR(__xludf.DUMMYFUNCTION("""COMPUTED_VALUE"""),"Leistungsträger führen")</f>
        <v>Leistungsträger führen</v>
      </c>
      <c r="T40" s="217"/>
      <c r="U40" s="213"/>
      <c r="V40" s="215"/>
      <c r="W40" s="215"/>
      <c r="X40" s="217"/>
      <c r="Y40" s="217"/>
      <c r="Z40" s="213"/>
      <c r="AA40" s="215">
        <f ca="1">IFERROR(__xludf.DUMMYFUNCTION("""COMPUTED_VALUE"""),752459)</f>
        <v>752459</v>
      </c>
      <c r="AB40" s="215" t="str">
        <f ca="1">IFERROR(__xludf.DUMMYFUNCTION("""COMPUTED_VALUE"""),"Beginner")</f>
        <v>Beginner</v>
      </c>
      <c r="AC40" s="217" t="str">
        <f ca="1">IFERROR(__xludf.DUMMYFUNCTION("""COMPUTED_VALUE"""),"Gestão de Equipes de Projetos")</f>
        <v>Gestão de Equipes de Projetos</v>
      </c>
      <c r="AD40" s="217"/>
      <c r="AE40" s="213"/>
      <c r="AF40" s="215">
        <f ca="1">IFERROR(__xludf.DUMMYFUNCTION("""COMPUTED_VALUE"""),5010370)</f>
        <v>5010370</v>
      </c>
      <c r="AG40" s="215" t="str">
        <f ca="1">IFERROR(__xludf.DUMMYFUNCTION("""COMPUTED_VALUE"""),"All levels")</f>
        <v>All levels</v>
      </c>
      <c r="AH40" s="217" t="str">
        <f ca="1">IFERROR(__xludf.DUMMYFUNCTION("""COMPUTED_VALUE"""),"领导团队和团队合作")</f>
        <v>领导团队和团队合作</v>
      </c>
      <c r="AI40" s="217"/>
      <c r="AJ40" s="213"/>
    </row>
    <row r="41" spans="1:36" ht="33.75" customHeight="1">
      <c r="A41" s="213"/>
      <c r="B41" s="214">
        <f ca="1">IFERROR(__xludf.DUMMYFUNCTION("""COMPUTED_VALUE"""),2820016)</f>
        <v>2820016</v>
      </c>
      <c r="C41" s="215" t="str">
        <f ca="1">IFERROR(__xludf.DUMMYFUNCTION("""COMPUTED_VALUE"""),"Intermediate")</f>
        <v>Intermediate</v>
      </c>
      <c r="D41" s="216" t="str">
        <f ca="1">IFERROR(__xludf.DUMMYFUNCTION("""COMPUTED_VALUE"""),"Succeeding as a First-Time Tech Manager")</f>
        <v>Succeeding as a First-Time Tech Manager</v>
      </c>
      <c r="E41" s="217"/>
      <c r="F41" s="213"/>
      <c r="G41" s="214">
        <f ca="1">IFERROR(__xludf.DUMMYFUNCTION("""COMPUTED_VALUE"""),568504)</f>
        <v>568504</v>
      </c>
      <c r="H41" s="215" t="str">
        <f ca="1">IFERROR(__xludf.DUMMYFUNCTION("""COMPUTED_VALUE"""),"Intermediate")</f>
        <v>Intermediate</v>
      </c>
      <c r="I41" s="217" t="str">
        <f ca="1">IFERROR(__xludf.DUMMYFUNCTION("""COMPUTED_VALUE"""),"Travailler dans des équipes transverses")</f>
        <v>Travailler dans des équipes transverses</v>
      </c>
      <c r="J41" s="217"/>
      <c r="K41" s="213"/>
      <c r="L41" s="215">
        <f ca="1">IFERROR(__xludf.DUMMYFUNCTION("""COMPUTED_VALUE"""),608965)</f>
        <v>608965</v>
      </c>
      <c r="M41" s="215" t="str">
        <f ca="1">IFERROR(__xludf.DUMMYFUNCTION("""COMPUTED_VALUE"""),"Beginner")</f>
        <v>Beginner</v>
      </c>
      <c r="N41" s="217" t="str">
        <f ca="1">IFERROR(__xludf.DUMMYFUNCTION("""COMPUTED_VALUE"""),"Selección de personal y desarrollo de tu equipo")</f>
        <v>Selección de personal y desarrollo de tu equipo</v>
      </c>
      <c r="O41" s="217"/>
      <c r="P41" s="213"/>
      <c r="Q41" s="215">
        <f ca="1">IFERROR(__xludf.DUMMYFUNCTION("""COMPUTED_VALUE"""),702517)</f>
        <v>702517</v>
      </c>
      <c r="R41" s="215" t="str">
        <f ca="1">IFERROR(__xludf.DUMMYFUNCTION("""COMPUTED_VALUE"""),"Intermediate")</f>
        <v>Intermediate</v>
      </c>
      <c r="S41" s="217" t="str">
        <f ca="1">IFERROR(__xludf.DUMMYFUNCTION("""COMPUTED_VALUE"""),"Mit schwierigen Mitarbeiter:innen umgehen")</f>
        <v>Mit schwierigen Mitarbeiter:innen umgehen</v>
      </c>
      <c r="T41" s="217"/>
      <c r="U41" s="213"/>
      <c r="V41" s="215"/>
      <c r="W41" s="215"/>
      <c r="X41" s="217"/>
      <c r="Y41" s="217"/>
      <c r="Z41" s="213"/>
      <c r="AA41" s="215">
        <f ca="1">IFERROR(__xludf.DUMMYFUNCTION("""COMPUTED_VALUE"""),753072)</f>
        <v>753072</v>
      </c>
      <c r="AB41" s="215" t="str">
        <f ca="1">IFERROR(__xludf.DUMMYFUNCTION("""COMPUTED_VALUE"""),"Intermediate")</f>
        <v>Intermediate</v>
      </c>
      <c r="AC41" s="217" t="str">
        <f ca="1">IFERROR(__xludf.DUMMYFUNCTION("""COMPUTED_VALUE"""),"Gestão de Equipes Virtuais")</f>
        <v>Gestão de Equipes Virtuais</v>
      </c>
      <c r="AD41" s="217"/>
      <c r="AE41" s="213"/>
      <c r="AF41" s="215">
        <f ca="1">IFERROR(__xludf.DUMMYFUNCTION("""COMPUTED_VALUE"""),2881007)</f>
        <v>2881007</v>
      </c>
      <c r="AG41" s="215" t="str">
        <f ca="1">IFERROR(__xludf.DUMMYFUNCTION("""COMPUTED_VALUE"""),"Beginner, Intermediate")</f>
        <v>Beginner, Intermediate</v>
      </c>
      <c r="AH41" s="217" t="str">
        <f ca="1">IFERROR(__xludf.DUMMYFUNCTION("""COMPUTED_VALUE"""),"领导高效的一对一会议")</f>
        <v>领导高效的一对一会议</v>
      </c>
      <c r="AI41" s="217"/>
      <c r="AJ41" s="213"/>
    </row>
    <row r="42" spans="1:36" ht="33.75" customHeight="1">
      <c r="A42" s="213"/>
      <c r="B42" s="214">
        <f ca="1">IFERROR(__xludf.DUMMYFUNCTION("""COMPUTED_VALUE"""),126132)</f>
        <v>126132</v>
      </c>
      <c r="C42" s="215" t="str">
        <f ca="1">IFERROR(__xludf.DUMMYFUNCTION("""COMPUTED_VALUE"""),"Intermediate")</f>
        <v>Intermediate</v>
      </c>
      <c r="D42" s="216" t="str">
        <f ca="1">IFERROR(__xludf.DUMMYFUNCTION("""COMPUTED_VALUE"""),"Management Tips")</f>
        <v>Management Tips</v>
      </c>
      <c r="E42" s="217"/>
      <c r="F42" s="213"/>
      <c r="G42" s="214">
        <f ca="1">IFERROR(__xludf.DUMMYFUNCTION("""COMPUTED_VALUE"""),561102)</f>
        <v>561102</v>
      </c>
      <c r="H42" s="215" t="str">
        <f ca="1">IFERROR(__xludf.DUMMYFUNCTION("""COMPUTED_VALUE"""),"All levels")</f>
        <v>All levels</v>
      </c>
      <c r="I42" s="217" t="str">
        <f ca="1">IFERROR(__xludf.DUMMYFUNCTION("""COMPUTED_VALUE"""),"Travailler en équipe")</f>
        <v>Travailler en équipe</v>
      </c>
      <c r="J42" s="217"/>
      <c r="K42" s="213"/>
      <c r="L42" s="215">
        <f ca="1">IFERROR(__xludf.DUMMYFUNCTION("""COMPUTED_VALUE"""),622424)</f>
        <v>622424</v>
      </c>
      <c r="M42" s="215" t="str">
        <f ca="1">IFERROR(__xludf.DUMMYFUNCTION("""COMPUTED_VALUE"""),"Beginner")</f>
        <v>Beginner</v>
      </c>
      <c r="N42" s="217" t="str">
        <f ca="1">IFERROR(__xludf.DUMMYFUNCTION("""COMPUTED_VALUE"""),"Teletrabajo y gestión de equipos remotos")</f>
        <v>Teletrabajo y gestión de equipos remotos</v>
      </c>
      <c r="O42" s="217"/>
      <c r="P42" s="213"/>
      <c r="Q42" s="215">
        <f ca="1">IFERROR(__xludf.DUMMYFUNCTION("""COMPUTED_VALUE"""),561470)</f>
        <v>561470</v>
      </c>
      <c r="R42" s="215" t="str">
        <f ca="1">IFERROR(__xludf.DUMMYFUNCTION("""COMPUTED_VALUE"""),"Beginner")</f>
        <v>Beginner</v>
      </c>
      <c r="S42" s="217" t="str">
        <f ca="1">IFERROR(__xludf.DUMMYFUNCTION("""COMPUTED_VALUE"""),"Mitarbeiter entwickeln")</f>
        <v>Mitarbeiter entwickeln</v>
      </c>
      <c r="T42" s="217"/>
      <c r="U42" s="213"/>
      <c r="V42" s="215"/>
      <c r="W42" s="215"/>
      <c r="X42" s="217"/>
      <c r="Y42" s="217"/>
      <c r="Z42" s="213"/>
      <c r="AA42" s="215">
        <f ca="1">IFERROR(__xludf.DUMMYFUNCTION("""COMPUTED_VALUE"""),801461)</f>
        <v>801461</v>
      </c>
      <c r="AB42" s="215" t="str">
        <f ca="1">IFERROR(__xludf.DUMMYFUNCTION("""COMPUTED_VALUE"""),"Intermediate")</f>
        <v>Intermediate</v>
      </c>
      <c r="AC42" s="217" t="str">
        <f ca="1">IFERROR(__xludf.DUMMYFUNCTION("""COMPUTED_VALUE"""),"Gestão de Novos Cargos de Gerência")</f>
        <v>Gestão de Novos Cargos de Gerência</v>
      </c>
      <c r="AD42" s="217"/>
      <c r="AE42" s="213"/>
      <c r="AF42" s="215">
        <f ca="1">IFERROR(__xludf.DUMMYFUNCTION("""COMPUTED_VALUE"""),2884004)</f>
        <v>2884004</v>
      </c>
      <c r="AG42" s="215" t="str">
        <f ca="1">IFERROR(__xludf.DUMMYFUNCTION("""COMPUTED_VALUE"""),"Beginner")</f>
        <v>Beginner</v>
      </c>
      <c r="AH42" s="217" t="str">
        <f ca="1">IFERROR(__xludf.DUMMYFUNCTION("""COMPUTED_VALUE"""),"鼓励团队学习")</f>
        <v>鼓励团队学习</v>
      </c>
      <c r="AI42" s="217"/>
      <c r="AJ42" s="213"/>
    </row>
    <row r="43" spans="1:36" ht="33.75" customHeight="1">
      <c r="A43" s="213"/>
      <c r="B43" s="214">
        <f ca="1">IFERROR(__xludf.DUMMYFUNCTION("""COMPUTED_VALUE"""),2802466)</f>
        <v>2802466</v>
      </c>
      <c r="C43" s="215" t="str">
        <f ca="1">IFERROR(__xludf.DUMMYFUNCTION("""COMPUTED_VALUE"""),"Intermediate")</f>
        <v>Intermediate</v>
      </c>
      <c r="D43" s="216" t="str">
        <f ca="1">IFERROR(__xludf.DUMMYFUNCTION("""COMPUTED_VALUE"""),"Be a Better Manager by Motivating Your Team")</f>
        <v>Be a Better Manager by Motivating Your Team</v>
      </c>
      <c r="E43" s="217"/>
      <c r="F43" s="213"/>
      <c r="G43" s="214">
        <f ca="1">IFERROR(__xludf.DUMMYFUNCTION("""COMPUTED_VALUE"""),2866078)</f>
        <v>2866078</v>
      </c>
      <c r="H43" s="215" t="str">
        <f ca="1">IFERROR(__xludf.DUMMYFUNCTION("""COMPUTED_VALUE"""),"All levels")</f>
        <v>All levels</v>
      </c>
      <c r="I43" s="217" t="str">
        <f ca="1">IFERROR(__xludf.DUMMYFUNCTION("""COMPUTED_VALUE"""),"Travailler et collaborer en ligne")</f>
        <v>Travailler et collaborer en ligne</v>
      </c>
      <c r="J43" s="217"/>
      <c r="K43" s="213"/>
      <c r="L43" s="215">
        <f ca="1">IFERROR(__xludf.DUMMYFUNCTION("""COMPUTED_VALUE"""),2841035)</f>
        <v>2841035</v>
      </c>
      <c r="M43" s="215" t="str">
        <f ca="1">IFERROR(__xludf.DUMMYFUNCTION("""COMPUTED_VALUE"""),"Beginner")</f>
        <v>Beginner</v>
      </c>
      <c r="N43" s="217" t="str">
        <f ca="1">IFERROR(__xludf.DUMMYFUNCTION("""COMPUTED_VALUE"""),"Trabajando y colaborando online")</f>
        <v>Trabajando y colaborando online</v>
      </c>
      <c r="O43" s="217"/>
      <c r="P43" s="213"/>
      <c r="Q43" s="215">
        <f ca="1">IFERROR(__xludf.DUMMYFUNCTION("""COMPUTED_VALUE"""),593045)</f>
        <v>593045</v>
      </c>
      <c r="R43" s="215" t="str">
        <f ca="1">IFERROR(__xludf.DUMMYFUNCTION("""COMPUTED_VALUE"""),"All levels")</f>
        <v>All levels</v>
      </c>
      <c r="S43" s="217" t="str">
        <f ca="1">IFERROR(__xludf.DUMMYFUNCTION("""COMPUTED_VALUE"""),"Mitarbeiter:innen Feedback geben")</f>
        <v>Mitarbeiter:innen Feedback geben</v>
      </c>
      <c r="T43" s="217"/>
      <c r="U43" s="213"/>
      <c r="V43" s="215"/>
      <c r="W43" s="215"/>
      <c r="X43" s="217"/>
      <c r="Y43" s="217"/>
      <c r="Z43" s="213"/>
      <c r="AA43" s="215">
        <f ca="1">IFERROR(__xludf.DUMMYFUNCTION("""COMPUTED_VALUE"""),2210175)</f>
        <v>2210175</v>
      </c>
      <c r="AB43" s="215" t="str">
        <f ca="1">IFERROR(__xludf.DUMMYFUNCTION("""COMPUTED_VALUE"""),"Intermediate")</f>
        <v>Intermediate</v>
      </c>
      <c r="AC43" s="217" t="str">
        <f ca="1">IFERROR(__xludf.DUMMYFUNCTION("""COMPUTED_VALUE"""),"Gestão de Problemas de Desempenho dos Colaboradores")</f>
        <v>Gestão de Problemas de Desempenho dos Colaboradores</v>
      </c>
      <c r="AD43" s="217"/>
      <c r="AE43" s="213"/>
      <c r="AF43" s="215"/>
      <c r="AG43" s="215"/>
      <c r="AH43" s="217"/>
      <c r="AI43" s="217"/>
      <c r="AJ43" s="213"/>
    </row>
    <row r="44" spans="1:36" ht="33.75" customHeight="1">
      <c r="A44" s="213"/>
      <c r="B44" s="214">
        <f ca="1">IFERROR(__xludf.DUMMYFUNCTION("""COMPUTED_VALUE"""),2829006)</f>
        <v>2829006</v>
      </c>
      <c r="C44" s="215" t="str">
        <f ca="1">IFERROR(__xludf.DUMMYFUNCTION("""COMPUTED_VALUE"""),"Intermediate")</f>
        <v>Intermediate</v>
      </c>
      <c r="D44" s="216" t="str">
        <f ca="1">IFERROR(__xludf.DUMMYFUNCTION("""COMPUTED_VALUE"""),"A Strengths-Based Approach to Managing Your Team")</f>
        <v>A Strengths-Based Approach to Managing Your Team</v>
      </c>
      <c r="E44" s="217"/>
      <c r="F44" s="213"/>
      <c r="G44" s="214">
        <f ca="1">IFERROR(__xludf.DUMMYFUNCTION("""COMPUTED_VALUE"""),610661)</f>
        <v>610661</v>
      </c>
      <c r="H44" s="215" t="str">
        <f ca="1">IFERROR(__xludf.DUMMYFUNCTION("""COMPUTED_VALUE"""),"Intermediate")</f>
        <v>Intermediate</v>
      </c>
      <c r="I44" s="217" t="str">
        <f ca="1">IFERROR(__xludf.DUMMYFUNCTION("""COMPUTED_VALUE"""),"Trouver, embaucher et fidéliser des hauts potentiels")</f>
        <v>Trouver, embaucher et fidéliser des hauts potentiels</v>
      </c>
      <c r="J44" s="217"/>
      <c r="K44" s="213"/>
      <c r="L44" s="215">
        <f ca="1">IFERROR(__xludf.DUMMYFUNCTION("""COMPUTED_VALUE"""),561602)</f>
        <v>561602</v>
      </c>
      <c r="M44" s="215" t="str">
        <f ca="1">IFERROR(__xludf.DUMMYFUNCTION("""COMPUTED_VALUE"""),"All levels")</f>
        <v>All levels</v>
      </c>
      <c r="N44" s="217" t="str">
        <f ca="1">IFERROR(__xludf.DUMMYFUNCTION("""COMPUTED_VALUE"""),"Trabajo en equipo")</f>
        <v>Trabajo en equipo</v>
      </c>
      <c r="O44" s="217"/>
      <c r="P44" s="213"/>
      <c r="Q44" s="215">
        <f ca="1">IFERROR(__xludf.DUMMYFUNCTION("""COMPUTED_VALUE"""),494021)</f>
        <v>494021</v>
      </c>
      <c r="R44" s="215" t="str">
        <f ca="1">IFERROR(__xludf.DUMMYFUNCTION("""COMPUTED_VALUE"""),"All levels")</f>
        <v>All levels</v>
      </c>
      <c r="S44" s="217" t="str">
        <f ca="1">IFERROR(__xludf.DUMMYFUNCTION("""COMPUTED_VALUE"""),"Mitarbeiter:innen motivieren")</f>
        <v>Mitarbeiter:innen motivieren</v>
      </c>
      <c r="T44" s="217"/>
      <c r="U44" s="213"/>
      <c r="V44" s="215"/>
      <c r="W44" s="215"/>
      <c r="X44" s="217"/>
      <c r="Y44" s="217"/>
      <c r="Z44" s="213"/>
      <c r="AA44" s="215">
        <f ca="1">IFERROR(__xludf.DUMMYFUNCTION("""COMPUTED_VALUE"""),2910528)</f>
        <v>2910528</v>
      </c>
      <c r="AB44" s="215" t="str">
        <f ca="1">IFERROR(__xludf.DUMMYFUNCTION("""COMPUTED_VALUE"""),"Intermediate")</f>
        <v>Intermediate</v>
      </c>
      <c r="AC44" s="217" t="str">
        <f ca="1">IFERROR(__xludf.DUMMYFUNCTION("""COMPUTED_VALUE"""),"Gestão Intercultural nas Organizações")</f>
        <v>Gestão Intercultural nas Organizações</v>
      </c>
      <c r="AD44" s="217"/>
      <c r="AE44" s="213"/>
      <c r="AF44" s="215"/>
      <c r="AG44" s="215"/>
      <c r="AH44" s="217"/>
      <c r="AI44" s="217"/>
      <c r="AJ44" s="213"/>
    </row>
    <row r="45" spans="1:36" ht="33.75" customHeight="1">
      <c r="A45" s="213"/>
      <c r="B45" s="214">
        <f ca="1">IFERROR(__xludf.DUMMYFUNCTION("""COMPUTED_VALUE"""),2892005)</f>
        <v>2892005</v>
      </c>
      <c r="C45" s="215" t="str">
        <f ca="1">IFERROR(__xludf.DUMMYFUNCTION("""COMPUTED_VALUE"""),"Intermediate")</f>
        <v>Intermediate</v>
      </c>
      <c r="D45" s="216" t="str">
        <f ca="1">IFERROR(__xludf.DUMMYFUNCTION("""COMPUTED_VALUE"""),"Strategies for Effective Leadership Teams")</f>
        <v>Strategies for Effective Leadership Teams</v>
      </c>
      <c r="E45" s="217"/>
      <c r="F45" s="213"/>
      <c r="G45" s="214"/>
      <c r="H45" s="215"/>
      <c r="I45" s="217"/>
      <c r="J45" s="217"/>
      <c r="K45" s="213"/>
      <c r="L45" s="215">
        <f ca="1">IFERROR(__xludf.DUMMYFUNCTION("""COMPUTED_VALUE"""),587154)</f>
        <v>587154</v>
      </c>
      <c r="M45" s="215" t="str">
        <f ca="1">IFERROR(__xludf.DUMMYFUNCTION("""COMPUTED_VALUE"""),"Beginner")</f>
        <v>Beginner</v>
      </c>
      <c r="N45" s="217" t="str">
        <f ca="1">IFERROR(__xludf.DUMMYFUNCTION("""COMPUTED_VALUE"""),"Transformación digital: Equipos online y trabajo colaborativo")</f>
        <v>Transformación digital: Equipos online y trabajo colaborativo</v>
      </c>
      <c r="O45" s="217"/>
      <c r="P45" s="213"/>
      <c r="Q45" s="215">
        <f ca="1">IFERROR(__xludf.DUMMYFUNCTION("""COMPUTED_VALUE"""),2921745)</f>
        <v>2921745</v>
      </c>
      <c r="R45" s="215" t="str">
        <f ca="1">IFERROR(__xludf.DUMMYFUNCTION("""COMPUTED_VALUE"""),"Beginner")</f>
        <v>Beginner</v>
      </c>
      <c r="S45" s="217" t="str">
        <f ca="1">IFERROR(__xludf.DUMMYFUNCTION("""COMPUTED_VALUE"""),"Mitarbeiterzufriedenheit durch Feel-Good-Management")</f>
        <v>Mitarbeiterzufriedenheit durch Feel-Good-Management</v>
      </c>
      <c r="T45" s="217"/>
      <c r="U45" s="213"/>
      <c r="V45" s="215"/>
      <c r="W45" s="215"/>
      <c r="X45" s="217"/>
      <c r="Y45" s="217"/>
      <c r="Z45" s="213"/>
      <c r="AA45" s="215">
        <f ca="1">IFERROR(__xludf.DUMMYFUNCTION("""COMPUTED_VALUE"""),752465)</f>
        <v>752465</v>
      </c>
      <c r="AB45" s="215" t="str">
        <f ca="1">IFERROR(__xludf.DUMMYFUNCTION("""COMPUTED_VALUE"""),"Intermediate")</f>
        <v>Intermediate</v>
      </c>
      <c r="AC45" s="217" t="str">
        <f ca="1">IFERROR(__xludf.DUMMYFUNCTION("""COMPUTED_VALUE"""),"Gestão por Resultados")</f>
        <v>Gestão por Resultados</v>
      </c>
      <c r="AD45" s="217"/>
      <c r="AE45" s="213"/>
      <c r="AF45" s="215"/>
      <c r="AG45" s="215"/>
      <c r="AH45" s="217"/>
      <c r="AI45" s="217"/>
      <c r="AJ45" s="213"/>
    </row>
    <row r="46" spans="1:36" ht="33.75" customHeight="1">
      <c r="A46" s="213"/>
      <c r="B46" s="214">
        <f ca="1">IFERROR(__xludf.DUMMYFUNCTION("""COMPUTED_VALUE"""),2878235)</f>
        <v>2878235</v>
      </c>
      <c r="C46" s="215" t="str">
        <f ca="1">IFERROR(__xludf.DUMMYFUNCTION("""COMPUTED_VALUE"""),"Advanced")</f>
        <v>Advanced</v>
      </c>
      <c r="D46" s="216" t="str">
        <f ca="1">IFERROR(__xludf.DUMMYFUNCTION("""COMPUTED_VALUE"""),"Level Up Your Remote Team Experience")</f>
        <v>Level Up Your Remote Team Experience</v>
      </c>
      <c r="E46" s="217"/>
      <c r="F46" s="213"/>
      <c r="G46" s="214"/>
      <c r="H46" s="215"/>
      <c r="I46" s="217"/>
      <c r="J46" s="217"/>
      <c r="K46" s="213"/>
      <c r="L46" s="215"/>
      <c r="M46" s="215"/>
      <c r="N46" s="217"/>
      <c r="O46" s="217"/>
      <c r="P46" s="213"/>
      <c r="Q46" s="215">
        <f ca="1">IFERROR(__xludf.DUMMYFUNCTION("""COMPUTED_VALUE"""),5033508)</f>
        <v>5033508</v>
      </c>
      <c r="R46" s="215" t="str">
        <f ca="1">IFERROR(__xludf.DUMMYFUNCTION("""COMPUTED_VALUE"""),"All levels")</f>
        <v>All levels</v>
      </c>
      <c r="S46" s="217" t="str">
        <f ca="1">IFERROR(__xludf.DUMMYFUNCTION("""COMPUTED_VALUE"""),"Modernes Leistungsmanagement")</f>
        <v>Modernes Leistungsmanagement</v>
      </c>
      <c r="T46" s="217"/>
      <c r="U46" s="213"/>
      <c r="V46" s="215"/>
      <c r="W46" s="215"/>
      <c r="X46" s="217"/>
      <c r="Y46" s="217"/>
      <c r="Z46" s="213"/>
      <c r="AA46" s="215">
        <f ca="1">IFERROR(__xludf.DUMMYFUNCTION("""COMPUTED_VALUE"""),753081)</f>
        <v>753081</v>
      </c>
      <c r="AB46" s="215" t="str">
        <f ca="1">IFERROR(__xludf.DUMMYFUNCTION("""COMPUTED_VALUE"""),"Beginner")</f>
        <v>Beginner</v>
      </c>
      <c r="AC46" s="217" t="str">
        <f ca="1">IFERROR(__xludf.DUMMYFUNCTION("""COMPUTED_VALUE"""),"O Poder do Coaching no Desenvolvimento dos Colaboradores")</f>
        <v>O Poder do Coaching no Desenvolvimento dos Colaboradores</v>
      </c>
      <c r="AD46" s="217"/>
      <c r="AE46" s="213"/>
      <c r="AF46" s="215"/>
      <c r="AG46" s="215"/>
      <c r="AH46" s="217"/>
      <c r="AI46" s="217"/>
      <c r="AJ46" s="213"/>
    </row>
    <row r="47" spans="1:36" ht="33.75" customHeight="1">
      <c r="A47" s="213"/>
      <c r="B47" s="214">
        <f ca="1">IFERROR(__xludf.DUMMYFUNCTION("""COMPUTED_VALUE"""),2974167)</f>
        <v>2974167</v>
      </c>
      <c r="C47" s="215" t="str">
        <f ca="1">IFERROR(__xludf.DUMMYFUNCTION("""COMPUTED_VALUE"""),"Beginner")</f>
        <v>Beginner</v>
      </c>
      <c r="D47" s="216" t="str">
        <f ca="1">IFERROR(__xludf.DUMMYFUNCTION("""COMPUTED_VALUE"""),"Work on Purpose")</f>
        <v>Work on Purpose</v>
      </c>
      <c r="E47" s="217"/>
      <c r="F47" s="213"/>
      <c r="G47" s="214"/>
      <c r="H47" s="215"/>
      <c r="I47" s="217"/>
      <c r="J47" s="217"/>
      <c r="K47" s="213"/>
      <c r="L47" s="215"/>
      <c r="M47" s="215"/>
      <c r="N47" s="217"/>
      <c r="O47" s="217"/>
      <c r="P47" s="213"/>
      <c r="Q47" s="215">
        <f ca="1">IFERROR(__xludf.DUMMYFUNCTION("""COMPUTED_VALUE"""),423478)</f>
        <v>423478</v>
      </c>
      <c r="R47" s="215" t="str">
        <f ca="1">IFERROR(__xludf.DUMMYFUNCTION("""COMPUTED_VALUE"""),"Intermediate")</f>
        <v>Intermediate</v>
      </c>
      <c r="S47" s="217" t="str">
        <f ca="1">IFERROR(__xludf.DUMMYFUNCTION("""COMPUTED_VALUE"""),"Multikulturelle Teams führen")</f>
        <v>Multikulturelle Teams führen</v>
      </c>
      <c r="T47" s="217"/>
      <c r="U47" s="213"/>
      <c r="V47" s="215"/>
      <c r="W47" s="215"/>
      <c r="X47" s="217"/>
      <c r="Y47" s="217"/>
      <c r="Z47" s="213"/>
      <c r="AA47" s="215">
        <f ca="1">IFERROR(__xludf.DUMMYFUNCTION("""COMPUTED_VALUE"""),2432281)</f>
        <v>2432281</v>
      </c>
      <c r="AB47" s="215" t="str">
        <f ca="1">IFERROR(__xludf.DUMMYFUNCTION("""COMPUTED_VALUE"""),"Beginner, Intermediate")</f>
        <v>Beginner, Intermediate</v>
      </c>
      <c r="AC47" s="217" t="str">
        <f ca="1">IFERROR(__xludf.DUMMYFUNCTION("""COMPUTED_VALUE"""),"Princípios Básicos para Gerentes Iniciantes")</f>
        <v>Princípios Básicos para Gerentes Iniciantes</v>
      </c>
      <c r="AD47" s="217"/>
      <c r="AE47" s="213"/>
      <c r="AF47" s="215"/>
      <c r="AG47" s="215"/>
      <c r="AH47" s="217"/>
      <c r="AI47" s="217"/>
      <c r="AJ47" s="213"/>
    </row>
    <row r="48" spans="1:36" ht="33.75" customHeight="1">
      <c r="A48" s="213"/>
      <c r="B48" s="214">
        <f ca="1">IFERROR(__xludf.DUMMYFUNCTION("""COMPUTED_VALUE"""),2243047)</f>
        <v>2243047</v>
      </c>
      <c r="C48" s="215" t="str">
        <f ca="1">IFERROR(__xludf.DUMMYFUNCTION("""COMPUTED_VALUE"""),"Beginner")</f>
        <v>Beginner</v>
      </c>
      <c r="D48" s="216" t="str">
        <f ca="1">IFERROR(__xludf.DUMMYFUNCTION("""COMPUTED_VALUE"""),"Top of Mind: Use Content to Unleash Your Influence (getAbstract Summary)")</f>
        <v>Top of Mind: Use Content to Unleash Your Influence (getAbstract Summary)</v>
      </c>
      <c r="E48" s="217"/>
      <c r="F48" s="213"/>
      <c r="G48" s="214"/>
      <c r="H48" s="215"/>
      <c r="I48" s="217"/>
      <c r="J48" s="217"/>
      <c r="K48" s="213"/>
      <c r="L48" s="215"/>
      <c r="M48" s="215"/>
      <c r="N48" s="217"/>
      <c r="O48" s="217"/>
      <c r="P48" s="213"/>
      <c r="Q48" s="215">
        <f ca="1">IFERROR(__xludf.DUMMYFUNCTION("""COMPUTED_VALUE"""),800683)</f>
        <v>800683</v>
      </c>
      <c r="R48" s="215" t="str">
        <f ca="1">IFERROR(__xludf.DUMMYFUNCTION("""COMPUTED_VALUE"""),"Intermediate")</f>
        <v>Intermediate</v>
      </c>
      <c r="S48" s="217" t="str">
        <f ca="1">IFERROR(__xludf.DUMMYFUNCTION("""COMPUTED_VALUE"""),"Neue Führungskräfte führen")</f>
        <v>Neue Führungskräfte führen</v>
      </c>
      <c r="T48" s="217"/>
      <c r="U48" s="213"/>
      <c r="V48" s="215"/>
      <c r="W48" s="215"/>
      <c r="X48" s="217"/>
      <c r="Y48" s="217"/>
      <c r="Z48" s="213"/>
      <c r="AA48" s="215">
        <f ca="1">IFERROR(__xludf.DUMMYFUNCTION("""COMPUTED_VALUE"""),753068)</f>
        <v>753068</v>
      </c>
      <c r="AB48" s="215" t="str">
        <f ca="1">IFERROR(__xludf.DUMMYFUNCTION("""COMPUTED_VALUE"""),"Beginner")</f>
        <v>Beginner</v>
      </c>
      <c r="AC48" s="217" t="str">
        <f ca="1">IFERROR(__xludf.DUMMYFUNCTION("""COMPUTED_VALUE"""),"Reuniões")</f>
        <v>Reuniões</v>
      </c>
      <c r="AD48" s="217"/>
      <c r="AE48" s="213"/>
      <c r="AF48" s="215"/>
      <c r="AG48" s="215"/>
      <c r="AH48" s="217"/>
      <c r="AI48" s="217"/>
      <c r="AJ48" s="213"/>
    </row>
    <row r="49" spans="1:36" ht="33.75" customHeight="1">
      <c r="A49" s="213"/>
      <c r="B49" s="214">
        <f ca="1">IFERROR(__xludf.DUMMYFUNCTION("""COMPUTED_VALUE"""),2813307)</f>
        <v>2813307</v>
      </c>
      <c r="C49" s="215" t="str">
        <f ca="1">IFERROR(__xludf.DUMMYFUNCTION("""COMPUTED_VALUE"""),"Beginner")</f>
        <v>Beginner</v>
      </c>
      <c r="D49" s="216" t="str">
        <f ca="1">IFERROR(__xludf.DUMMYFUNCTION("""COMPUTED_VALUE"""),"Motivating Your Team to Learn")</f>
        <v>Motivating Your Team to Learn</v>
      </c>
      <c r="E49" s="217"/>
      <c r="F49" s="213"/>
      <c r="G49" s="214"/>
      <c r="H49" s="215"/>
      <c r="I49" s="217"/>
      <c r="J49" s="217"/>
      <c r="K49" s="213"/>
      <c r="L49" s="215"/>
      <c r="M49" s="215"/>
      <c r="N49" s="217"/>
      <c r="O49" s="217"/>
      <c r="P49" s="213"/>
      <c r="Q49" s="215">
        <f ca="1">IFERROR(__xludf.DUMMYFUNCTION("""COMPUTED_VALUE"""),584362)</f>
        <v>584362</v>
      </c>
      <c r="R49" s="215" t="str">
        <f ca="1">IFERROR(__xludf.DUMMYFUNCTION("""COMPUTED_VALUE"""),"Beginner")</f>
        <v>Beginner</v>
      </c>
      <c r="S49" s="217" t="str">
        <f ca="1">IFERROR(__xludf.DUMMYFUNCTION("""COMPUTED_VALUE"""),"Onboarding neuer Mitarbeiter:innen")</f>
        <v>Onboarding neuer Mitarbeiter:innen</v>
      </c>
      <c r="T49" s="217"/>
      <c r="U49" s="213"/>
      <c r="V49" s="215"/>
      <c r="W49" s="215"/>
      <c r="X49" s="217"/>
      <c r="Y49" s="217"/>
      <c r="Z49" s="213"/>
      <c r="AA49" s="215">
        <f ca="1">IFERROR(__xludf.DUMMYFUNCTION("""COMPUTED_VALUE"""),2931592)</f>
        <v>2931592</v>
      </c>
      <c r="AB49" s="215" t="str">
        <f ca="1">IFERROR(__xludf.DUMMYFUNCTION("""COMPUTED_VALUE"""),"Beginner")</f>
        <v>Beginner</v>
      </c>
      <c r="AC49" s="217" t="str">
        <f ca="1">IFERROR(__xludf.DUMMYFUNCTION("""COMPUTED_VALUE"""),"Técnicas de Entrevista para um Recrutamento de Sucesso")</f>
        <v>Técnicas de Entrevista para um Recrutamento de Sucesso</v>
      </c>
      <c r="AD49" s="217"/>
      <c r="AE49" s="213"/>
      <c r="AF49" s="215"/>
      <c r="AG49" s="215"/>
      <c r="AH49" s="217"/>
      <c r="AI49" s="217"/>
      <c r="AJ49" s="213"/>
    </row>
    <row r="50" spans="1:36" ht="33.75" customHeight="1">
      <c r="A50" s="213"/>
      <c r="B50" s="214">
        <f ca="1">IFERROR(__xludf.DUMMYFUNCTION("""COMPUTED_VALUE"""),2825376)</f>
        <v>2825376</v>
      </c>
      <c r="C50" s="215" t="str">
        <f ca="1">IFERROR(__xludf.DUMMYFUNCTION("""COMPUTED_VALUE"""),"Beginner")</f>
        <v>Beginner</v>
      </c>
      <c r="D50" s="216" t="str">
        <f ca="1">IFERROR(__xludf.DUMMYFUNCTION("""COMPUTED_VALUE"""),"Dealing with the Seven Deadly Wastes")</f>
        <v>Dealing with the Seven Deadly Wastes</v>
      </c>
      <c r="E50" s="217"/>
      <c r="F50" s="213"/>
      <c r="G50" s="214"/>
      <c r="H50" s="215"/>
      <c r="I50" s="217"/>
      <c r="J50" s="217"/>
      <c r="K50" s="213"/>
      <c r="L50" s="215"/>
      <c r="M50" s="215"/>
      <c r="N50" s="217"/>
      <c r="O50" s="217"/>
      <c r="P50" s="213"/>
      <c r="Q50" s="215">
        <f ca="1">IFERROR(__xludf.DUMMYFUNCTION("""COMPUTED_VALUE"""),2808159)</f>
        <v>2808159</v>
      </c>
      <c r="R50" s="215" t="str">
        <f ca="1">IFERROR(__xludf.DUMMYFUNCTION("""COMPUTED_VALUE"""),"Intermediate")</f>
        <v>Intermediate</v>
      </c>
      <c r="S50" s="217" t="str">
        <f ca="1">IFERROR(__xludf.DUMMYFUNCTION("""COMPUTED_VALUE"""),"Personalwesen: Onboarding-Programme durchführen")</f>
        <v>Personalwesen: Onboarding-Programme durchführen</v>
      </c>
      <c r="T50" s="217"/>
      <c r="U50" s="213"/>
      <c r="V50" s="215"/>
      <c r="W50" s="215"/>
      <c r="X50" s="217"/>
      <c r="Y50" s="217"/>
      <c r="Z50" s="213"/>
      <c r="AA50" s="215"/>
      <c r="AB50" s="215"/>
      <c r="AC50" s="217"/>
      <c r="AD50" s="217"/>
      <c r="AE50" s="213"/>
      <c r="AF50" s="215"/>
      <c r="AG50" s="215"/>
      <c r="AH50" s="217"/>
      <c r="AI50" s="217"/>
      <c r="AJ50" s="213"/>
    </row>
    <row r="51" spans="1:36" ht="33.75" customHeight="1">
      <c r="A51" s="213"/>
      <c r="B51" s="214">
        <f ca="1">IFERROR(__xludf.DUMMYFUNCTION("""COMPUTED_VALUE"""),2823255)</f>
        <v>2823255</v>
      </c>
      <c r="C51" s="215" t="str">
        <f ca="1">IFERROR(__xludf.DUMMYFUNCTION("""COMPUTED_VALUE"""),"Beginner")</f>
        <v>Beginner</v>
      </c>
      <c r="D51" s="216" t="str">
        <f ca="1">IFERROR(__xludf.DUMMYFUNCTION("""COMPUTED_VALUE"""),"The Six Morning Habits of High Performers")</f>
        <v>The Six Morning Habits of High Performers</v>
      </c>
      <c r="E51" s="217"/>
      <c r="F51" s="213"/>
      <c r="G51" s="214"/>
      <c r="H51" s="215"/>
      <c r="I51" s="217"/>
      <c r="J51" s="217"/>
      <c r="K51" s="213"/>
      <c r="L51" s="215"/>
      <c r="M51" s="215"/>
      <c r="N51" s="217"/>
      <c r="O51" s="217"/>
      <c r="P51" s="213"/>
      <c r="Q51" s="215">
        <f ca="1">IFERROR(__xludf.DUMMYFUNCTION("""COMPUTED_VALUE"""),761012)</f>
        <v>761012</v>
      </c>
      <c r="R51" s="215" t="str">
        <f ca="1">IFERROR(__xludf.DUMMYFUNCTION("""COMPUTED_VALUE"""),"Intermediate")</f>
        <v>Intermediate</v>
      </c>
      <c r="S51" s="217" t="str">
        <f ca="1">IFERROR(__xludf.DUMMYFUNCTION("""COMPUTED_VALUE"""),"Servant Leadership – Dienende Führung")</f>
        <v>Servant Leadership – Dienende Führung</v>
      </c>
      <c r="T51" s="217"/>
      <c r="U51" s="213"/>
      <c r="V51" s="215"/>
      <c r="W51" s="215"/>
      <c r="X51" s="217"/>
      <c r="Y51" s="217"/>
      <c r="Z51" s="213"/>
      <c r="AA51" s="215"/>
      <c r="AB51" s="215"/>
      <c r="AC51" s="217"/>
      <c r="AD51" s="217"/>
      <c r="AE51" s="213"/>
      <c r="AF51" s="215"/>
      <c r="AG51" s="215"/>
      <c r="AH51" s="217"/>
      <c r="AI51" s="217"/>
      <c r="AJ51" s="213"/>
    </row>
    <row r="52" spans="1:36" ht="33.75" customHeight="1">
      <c r="A52" s="213"/>
      <c r="B52" s="214">
        <f ca="1">IFERROR(__xludf.DUMMYFUNCTION("""COMPUTED_VALUE"""),2823195)</f>
        <v>2823195</v>
      </c>
      <c r="C52" s="215" t="str">
        <f ca="1">IFERROR(__xludf.DUMMYFUNCTION("""COMPUTED_VALUE"""),"Beginner")</f>
        <v>Beginner</v>
      </c>
      <c r="D52" s="216" t="str">
        <f ca="1">IFERROR(__xludf.DUMMYFUNCTION("""COMPUTED_VALUE"""),"Teamwork Foundations")</f>
        <v>Teamwork Foundations</v>
      </c>
      <c r="E52" s="217"/>
      <c r="F52" s="213"/>
      <c r="G52" s="214"/>
      <c r="H52" s="215"/>
      <c r="I52" s="217"/>
      <c r="J52" s="217"/>
      <c r="K52" s="213"/>
      <c r="L52" s="215"/>
      <c r="M52" s="215"/>
      <c r="N52" s="217"/>
      <c r="O52" s="217"/>
      <c r="P52" s="213"/>
      <c r="Q52" s="215">
        <f ca="1">IFERROR(__xludf.DUMMYFUNCTION("""COMPUTED_VALUE"""),5025616)</f>
        <v>5025616</v>
      </c>
      <c r="R52" s="215" t="str">
        <f ca="1">IFERROR(__xludf.DUMMYFUNCTION("""COMPUTED_VALUE"""),"Beginner")</f>
        <v>Beginner</v>
      </c>
      <c r="S52" s="217" t="str">
        <f ca="1">IFERROR(__xludf.DUMMYFUNCTION("""COMPUTED_VALUE"""),"Spitzentalente führen")</f>
        <v>Spitzentalente führen</v>
      </c>
      <c r="T52" s="217"/>
      <c r="U52" s="213"/>
      <c r="V52" s="215"/>
      <c r="W52" s="215"/>
      <c r="X52" s="217"/>
      <c r="Y52" s="217"/>
      <c r="Z52" s="213"/>
      <c r="AA52" s="215"/>
      <c r="AB52" s="215"/>
      <c r="AC52" s="217"/>
      <c r="AD52" s="217"/>
      <c r="AE52" s="213"/>
      <c r="AF52" s="215"/>
      <c r="AG52" s="215"/>
      <c r="AH52" s="217"/>
      <c r="AI52" s="217"/>
      <c r="AJ52" s="213"/>
    </row>
    <row r="53" spans="1:36" ht="33.75" customHeight="1">
      <c r="A53" s="213"/>
      <c r="B53" s="214">
        <f ca="1">IFERROR(__xludf.DUMMYFUNCTION("""COMPUTED_VALUE"""),2825494)</f>
        <v>2825494</v>
      </c>
      <c r="C53" s="215" t="str">
        <f ca="1">IFERROR(__xludf.DUMMYFUNCTION("""COMPUTED_VALUE"""),"Beginner")</f>
        <v>Beginner</v>
      </c>
      <c r="D53" s="216" t="str">
        <f ca="1">IFERROR(__xludf.DUMMYFUNCTION("""COMPUTED_VALUE"""),"Creating a Culture of Learning")</f>
        <v>Creating a Culture of Learning</v>
      </c>
      <c r="E53" s="217"/>
      <c r="F53" s="213"/>
      <c r="G53" s="214"/>
      <c r="H53" s="215"/>
      <c r="I53" s="217"/>
      <c r="J53" s="217"/>
      <c r="K53" s="213"/>
      <c r="L53" s="215"/>
      <c r="M53" s="215"/>
      <c r="N53" s="217"/>
      <c r="O53" s="217"/>
      <c r="P53" s="213"/>
      <c r="Q53" s="215">
        <f ca="1">IFERROR(__xludf.DUMMYFUNCTION("""COMPUTED_VALUE"""),676841)</f>
        <v>676841</v>
      </c>
      <c r="R53" s="215" t="str">
        <f ca="1">IFERROR(__xludf.DUMMYFUNCTION("""COMPUTED_VALUE"""),"All levels")</f>
        <v>All levels</v>
      </c>
      <c r="S53" s="217" t="str">
        <f ca="1">IFERROR(__xludf.DUMMYFUNCTION("""COMPUTED_VALUE"""),"Storytelling für Führungskräfte")</f>
        <v>Storytelling für Führungskräfte</v>
      </c>
      <c r="T53" s="217"/>
      <c r="U53" s="213"/>
      <c r="V53" s="215"/>
      <c r="W53" s="215"/>
      <c r="X53" s="217"/>
      <c r="Y53" s="217"/>
      <c r="Z53" s="213"/>
      <c r="AA53" s="215"/>
      <c r="AB53" s="215"/>
      <c r="AC53" s="217"/>
      <c r="AD53" s="217"/>
      <c r="AE53" s="213"/>
      <c r="AF53" s="215"/>
      <c r="AG53" s="215"/>
      <c r="AH53" s="217"/>
      <c r="AI53" s="217"/>
      <c r="AJ53" s="213"/>
    </row>
    <row r="54" spans="1:36" ht="33.75" customHeight="1">
      <c r="A54" s="213"/>
      <c r="B54" s="214">
        <f ca="1">IFERROR(__xludf.DUMMYFUNCTION("""COMPUTED_VALUE"""),2846053)</f>
        <v>2846053</v>
      </c>
      <c r="C54" s="215" t="str">
        <f ca="1">IFERROR(__xludf.DUMMYFUNCTION("""COMPUTED_VALUE"""),"Beginner")</f>
        <v>Beginner</v>
      </c>
      <c r="D54" s="216" t="str">
        <f ca="1">IFERROR(__xludf.DUMMYFUNCTION("""COMPUTED_VALUE"""),"Leading Remote Projects and Virtual Teams")</f>
        <v>Leading Remote Projects and Virtual Teams</v>
      </c>
      <c r="E54" s="217"/>
      <c r="F54" s="213"/>
      <c r="G54" s="214"/>
      <c r="H54" s="215"/>
      <c r="I54" s="217"/>
      <c r="J54" s="217"/>
      <c r="K54" s="213"/>
      <c r="L54" s="215"/>
      <c r="M54" s="215"/>
      <c r="N54" s="217"/>
      <c r="O54" s="217"/>
      <c r="P54" s="213"/>
      <c r="Q54" s="215">
        <f ca="1">IFERROR(__xludf.DUMMYFUNCTION("""COMPUTED_VALUE"""),561079)</f>
        <v>561079</v>
      </c>
      <c r="R54" s="215" t="str">
        <f ca="1">IFERROR(__xludf.DUMMYFUNCTION("""COMPUTED_VALUE"""),"All levels")</f>
        <v>All levels</v>
      </c>
      <c r="S54" s="217" t="str">
        <f ca="1">IFERROR(__xludf.DUMMYFUNCTION("""COMPUTED_VALUE"""),"Systemisch führen")</f>
        <v>Systemisch führen</v>
      </c>
      <c r="T54" s="217"/>
      <c r="U54" s="213"/>
      <c r="V54" s="215"/>
      <c r="W54" s="215"/>
      <c r="X54" s="217"/>
      <c r="Y54" s="217"/>
      <c r="Z54" s="213"/>
      <c r="AA54" s="215"/>
      <c r="AB54" s="215"/>
      <c r="AC54" s="217"/>
      <c r="AD54" s="217"/>
      <c r="AE54" s="213"/>
      <c r="AF54" s="215"/>
      <c r="AG54" s="215"/>
      <c r="AH54" s="217"/>
      <c r="AI54" s="217"/>
      <c r="AJ54" s="213"/>
    </row>
    <row r="55" spans="1:36" ht="33.75" customHeight="1">
      <c r="A55" s="213"/>
      <c r="B55" s="214">
        <f ca="1">IFERROR(__xludf.DUMMYFUNCTION("""COMPUTED_VALUE"""),2834039)</f>
        <v>2834039</v>
      </c>
      <c r="C55" s="215" t="str">
        <f ca="1">IFERROR(__xludf.DUMMYFUNCTION("""COMPUTED_VALUE"""),"Beginner")</f>
        <v>Beginner</v>
      </c>
      <c r="D55" s="216" t="str">
        <f ca="1">IFERROR(__xludf.DUMMYFUNCTION("""COMPUTED_VALUE"""),"Communication within Teams")</f>
        <v>Communication within Teams</v>
      </c>
      <c r="E55" s="217"/>
      <c r="F55" s="213"/>
      <c r="G55" s="214"/>
      <c r="H55" s="215"/>
      <c r="I55" s="217"/>
      <c r="J55" s="217"/>
      <c r="K55" s="213"/>
      <c r="L55" s="215"/>
      <c r="M55" s="215"/>
      <c r="N55" s="217"/>
      <c r="O55" s="217"/>
      <c r="P55" s="213"/>
      <c r="Q55" s="215">
        <f ca="1">IFERROR(__xludf.DUMMYFUNCTION("""COMPUTED_VALUE"""),697738)</f>
        <v>697738</v>
      </c>
      <c r="R55" s="215" t="str">
        <f ca="1">IFERROR(__xludf.DUMMYFUNCTION("""COMPUTED_VALUE"""),"Intermediate")</f>
        <v>Intermediate</v>
      </c>
      <c r="S55" s="217" t="str">
        <f ca="1">IFERROR(__xludf.DUMMYFUNCTION("""COMPUTED_VALUE"""),"Talente finden und binden")</f>
        <v>Talente finden und binden</v>
      </c>
      <c r="T55" s="217"/>
      <c r="U55" s="213"/>
      <c r="V55" s="215"/>
      <c r="W55" s="215"/>
      <c r="X55" s="217"/>
      <c r="Y55" s="217"/>
      <c r="Z55" s="213"/>
      <c r="AA55" s="215"/>
      <c r="AB55" s="215"/>
      <c r="AC55" s="217"/>
      <c r="AD55" s="217"/>
      <c r="AE55" s="213"/>
      <c r="AF55" s="215"/>
      <c r="AG55" s="215"/>
      <c r="AH55" s="217"/>
      <c r="AI55" s="217"/>
      <c r="AJ55" s="213"/>
    </row>
    <row r="56" spans="1:36" ht="33.75" customHeight="1">
      <c r="A56" s="213"/>
      <c r="B56" s="214">
        <f ca="1">IFERROR(__xludf.DUMMYFUNCTION("""COMPUTED_VALUE"""),2884171)</f>
        <v>2884171</v>
      </c>
      <c r="C56" s="215" t="str">
        <f ca="1">IFERROR(__xludf.DUMMYFUNCTION("""COMPUTED_VALUE"""),"Beginner")</f>
        <v>Beginner</v>
      </c>
      <c r="D56" s="216" t="str">
        <f ca="1">IFERROR(__xludf.DUMMYFUNCTION("""COMPUTED_VALUE"""),"How to Inspire and Develop Your Direct Reports")</f>
        <v>How to Inspire and Develop Your Direct Reports</v>
      </c>
      <c r="E56" s="217"/>
      <c r="F56" s="213"/>
      <c r="G56" s="214"/>
      <c r="H56" s="215"/>
      <c r="I56" s="217"/>
      <c r="J56" s="217"/>
      <c r="K56" s="213"/>
      <c r="L56" s="215"/>
      <c r="M56" s="215"/>
      <c r="N56" s="217"/>
      <c r="O56" s="217"/>
      <c r="P56" s="213"/>
      <c r="Q56" s="215">
        <f ca="1">IFERROR(__xludf.DUMMYFUNCTION("""COMPUTED_VALUE"""),2232562)</f>
        <v>2232562</v>
      </c>
      <c r="R56" s="215" t="str">
        <f ca="1">IFERROR(__xludf.DUMMYFUNCTION("""COMPUTED_VALUE"""),"Intermediate")</f>
        <v>Intermediate</v>
      </c>
      <c r="S56" s="217" t="str">
        <f ca="1">IFERROR(__xludf.DUMMYFUNCTION("""COMPUTED_VALUE"""),"Teamleistungen mit Kennzahlen messen")</f>
        <v>Teamleistungen mit Kennzahlen messen</v>
      </c>
      <c r="T56" s="217"/>
      <c r="U56" s="213"/>
      <c r="V56" s="215"/>
      <c r="W56" s="215"/>
      <c r="X56" s="217"/>
      <c r="Y56" s="217"/>
      <c r="Z56" s="213"/>
      <c r="AA56" s="215"/>
      <c r="AB56" s="215"/>
      <c r="AC56" s="217"/>
      <c r="AD56" s="217"/>
      <c r="AE56" s="213"/>
      <c r="AF56" s="215"/>
      <c r="AG56" s="215"/>
      <c r="AH56" s="217"/>
      <c r="AI56" s="217"/>
      <c r="AJ56" s="213"/>
    </row>
    <row r="57" spans="1:36" ht="33.75" customHeight="1">
      <c r="A57" s="213"/>
      <c r="B57" s="214">
        <f ca="1">IFERROR(__xludf.DUMMYFUNCTION("""COMPUTED_VALUE"""),2884172)</f>
        <v>2884172</v>
      </c>
      <c r="C57" s="215" t="str">
        <f ca="1">IFERROR(__xludf.DUMMYFUNCTION("""COMPUTED_VALUE"""),"Beginner")</f>
        <v>Beginner</v>
      </c>
      <c r="D57" s="216" t="str">
        <f ca="1">IFERROR(__xludf.DUMMYFUNCTION("""COMPUTED_VALUE"""),"A Navy SEAL's Surprising Key to Building Unstoppable Teams: Caring")</f>
        <v>A Navy SEAL's Surprising Key to Building Unstoppable Teams: Caring</v>
      </c>
      <c r="E57" s="217"/>
      <c r="F57" s="213"/>
      <c r="G57" s="214"/>
      <c r="H57" s="215"/>
      <c r="I57" s="217"/>
      <c r="J57" s="217"/>
      <c r="K57" s="213"/>
      <c r="L57" s="215"/>
      <c r="M57" s="215"/>
      <c r="N57" s="217"/>
      <c r="O57" s="217"/>
      <c r="P57" s="213"/>
      <c r="Q57" s="215">
        <f ca="1">IFERROR(__xludf.DUMMYFUNCTION("""COMPUTED_VALUE"""),561469)</f>
        <v>561469</v>
      </c>
      <c r="R57" s="215" t="str">
        <f ca="1">IFERROR(__xludf.DUMMYFUNCTION("""COMPUTED_VALUE"""),"All levels")</f>
        <v>All levels</v>
      </c>
      <c r="S57" s="217" t="str">
        <f ca="1">IFERROR(__xludf.DUMMYFUNCTION("""COMPUTED_VALUE"""),"Teams aufbauen, entwickeln und zum Erfolg führen")</f>
        <v>Teams aufbauen, entwickeln und zum Erfolg führen</v>
      </c>
      <c r="T57" s="217"/>
      <c r="U57" s="213"/>
      <c r="V57" s="215"/>
      <c r="W57" s="215"/>
      <c r="X57" s="217"/>
      <c r="Y57" s="217"/>
      <c r="Z57" s="213"/>
      <c r="AA57" s="215"/>
      <c r="AB57" s="215"/>
      <c r="AC57" s="217"/>
      <c r="AD57" s="217"/>
      <c r="AE57" s="213"/>
      <c r="AF57" s="215"/>
      <c r="AG57" s="215"/>
      <c r="AH57" s="217"/>
      <c r="AI57" s="217"/>
      <c r="AJ57" s="213"/>
    </row>
    <row r="58" spans="1:36" ht="33.75" customHeight="1">
      <c r="A58" s="213"/>
      <c r="B58" s="214">
        <f ca="1">IFERROR(__xludf.DUMMYFUNCTION("""COMPUTED_VALUE"""),2888118)</f>
        <v>2888118</v>
      </c>
      <c r="C58" s="215" t="str">
        <f ca="1">IFERROR(__xludf.DUMMYFUNCTION("""COMPUTED_VALUE"""),"Beginner")</f>
        <v>Beginner</v>
      </c>
      <c r="D58" s="216" t="str">
        <f ca="1">IFERROR(__xludf.DUMMYFUNCTION("""COMPUTED_VALUE"""),"How to Stop Wasting Time in Meetings")</f>
        <v>How to Stop Wasting Time in Meetings</v>
      </c>
      <c r="E58" s="217"/>
      <c r="F58" s="213"/>
      <c r="G58" s="214"/>
      <c r="H58" s="215"/>
      <c r="I58" s="217"/>
      <c r="J58" s="217"/>
      <c r="K58" s="213"/>
      <c r="L58" s="215"/>
      <c r="M58" s="215"/>
      <c r="N58" s="217"/>
      <c r="O58" s="217"/>
      <c r="P58" s="213"/>
      <c r="Q58" s="215">
        <f ca="1">IFERROR(__xludf.DUMMYFUNCTION("""COMPUTED_VALUE"""),5025611)</f>
        <v>5025611</v>
      </c>
      <c r="R58" s="215" t="str">
        <f ca="1">IFERROR(__xludf.DUMMYFUNCTION("""COMPUTED_VALUE"""),"Intermediate")</f>
        <v>Intermediate</v>
      </c>
      <c r="S58" s="217" t="str">
        <f ca="1">IFERROR(__xludf.DUMMYFUNCTION("""COMPUTED_VALUE"""),"Technische Fachkräfte führen")</f>
        <v>Technische Fachkräfte führen</v>
      </c>
      <c r="T58" s="217"/>
      <c r="U58" s="213"/>
      <c r="V58" s="215"/>
      <c r="W58" s="215"/>
      <c r="X58" s="217"/>
      <c r="Y58" s="217"/>
      <c r="Z58" s="213"/>
      <c r="AA58" s="215"/>
      <c r="AB58" s="215"/>
      <c r="AC58" s="217"/>
      <c r="AD58" s="217"/>
      <c r="AE58" s="213"/>
      <c r="AF58" s="215"/>
      <c r="AG58" s="215"/>
      <c r="AH58" s="217"/>
      <c r="AI58" s="217"/>
      <c r="AJ58" s="213"/>
    </row>
    <row r="59" spans="1:36" ht="33.75" customHeight="1">
      <c r="A59" s="213"/>
      <c r="B59" s="214">
        <f ca="1">IFERROR(__xludf.DUMMYFUNCTION("""COMPUTED_VALUE"""),2426609)</f>
        <v>2426609</v>
      </c>
      <c r="C59" s="215" t="str">
        <f ca="1">IFERROR(__xludf.DUMMYFUNCTION("""COMPUTED_VALUE"""),"Beginner")</f>
        <v>Beginner</v>
      </c>
      <c r="D59" s="216" t="str">
        <f ca="1">IFERROR(__xludf.DUMMYFUNCTION("""COMPUTED_VALUE"""),"The Art of Leadership (getAbstract Summary)")</f>
        <v>The Art of Leadership (getAbstract Summary)</v>
      </c>
      <c r="E59" s="217"/>
      <c r="F59" s="213"/>
      <c r="G59" s="214"/>
      <c r="H59" s="215"/>
      <c r="I59" s="217"/>
      <c r="J59" s="217"/>
      <c r="K59" s="213"/>
      <c r="L59" s="215"/>
      <c r="M59" s="215"/>
      <c r="N59" s="217"/>
      <c r="O59" s="217"/>
      <c r="P59" s="213"/>
      <c r="Q59" s="215">
        <f ca="1">IFERROR(__xludf.DUMMYFUNCTION("""COMPUTED_VALUE"""),584324)</f>
        <v>584324</v>
      </c>
      <c r="R59" s="215" t="str">
        <f ca="1">IFERROR(__xludf.DUMMYFUNCTION("""COMPUTED_VALUE"""),"Intermediate")</f>
        <v>Intermediate</v>
      </c>
      <c r="S59" s="217" t="str">
        <f ca="1">IFERROR(__xludf.DUMMYFUNCTION("""COMPUTED_VALUE"""),"Tipps für den Führungsalltag")</f>
        <v>Tipps für den Führungsalltag</v>
      </c>
      <c r="T59" s="217"/>
      <c r="U59" s="213"/>
      <c r="V59" s="215"/>
      <c r="W59" s="215"/>
      <c r="X59" s="217"/>
      <c r="Y59" s="217"/>
      <c r="Z59" s="213"/>
      <c r="AA59" s="215"/>
      <c r="AB59" s="215"/>
      <c r="AC59" s="217"/>
      <c r="AD59" s="217"/>
      <c r="AE59" s="213"/>
      <c r="AF59" s="215"/>
      <c r="AG59" s="215"/>
      <c r="AH59" s="217"/>
      <c r="AI59" s="217"/>
      <c r="AJ59" s="213"/>
    </row>
    <row r="60" spans="1:36" ht="33.75" customHeight="1">
      <c r="A60" s="213"/>
      <c r="B60" s="214">
        <f ca="1">IFERROR(__xludf.DUMMYFUNCTION("""COMPUTED_VALUE"""),647657)</f>
        <v>647657</v>
      </c>
      <c r="C60" s="215" t="str">
        <f ca="1">IFERROR(__xludf.DUMMYFUNCTION("""COMPUTED_VALUE"""),"General")</f>
        <v>General</v>
      </c>
      <c r="D60" s="216" t="str">
        <f ca="1">IFERROR(__xludf.DUMMYFUNCTION("""COMPUTED_VALUE"""),"Boosting Your Team's Productivity")</f>
        <v>Boosting Your Team's Productivity</v>
      </c>
      <c r="E60" s="217"/>
      <c r="F60" s="213"/>
      <c r="G60" s="214"/>
      <c r="H60" s="215"/>
      <c r="I60" s="217"/>
      <c r="J60" s="217"/>
      <c r="K60" s="213"/>
      <c r="L60" s="215"/>
      <c r="M60" s="215"/>
      <c r="N60" s="217"/>
      <c r="O60" s="217"/>
      <c r="P60" s="213"/>
      <c r="Q60" s="215">
        <f ca="1">IFERROR(__xludf.DUMMYFUNCTION("""COMPUTED_VALUE"""),584361)</f>
        <v>584361</v>
      </c>
      <c r="R60" s="215" t="str">
        <f ca="1">IFERROR(__xludf.DUMMYFUNCTION("""COMPUTED_VALUE"""),"Intermediate")</f>
        <v>Intermediate</v>
      </c>
      <c r="S60" s="217" t="str">
        <f ca="1">IFERROR(__xludf.DUMMYFUNCTION("""COMPUTED_VALUE"""),"Veränderung vorantreiben")</f>
        <v>Veränderung vorantreiben</v>
      </c>
      <c r="T60" s="217"/>
      <c r="U60" s="213"/>
      <c r="V60" s="215"/>
      <c r="W60" s="215"/>
      <c r="X60" s="217"/>
      <c r="Y60" s="217"/>
      <c r="Z60" s="213"/>
      <c r="AA60" s="215"/>
      <c r="AB60" s="215"/>
      <c r="AC60" s="217"/>
      <c r="AD60" s="217"/>
      <c r="AE60" s="213"/>
      <c r="AF60" s="215"/>
      <c r="AG60" s="215"/>
      <c r="AH60" s="217"/>
      <c r="AI60" s="217"/>
      <c r="AJ60" s="213"/>
    </row>
    <row r="61" spans="1:36" ht="33.75" customHeight="1">
      <c r="A61" s="213"/>
      <c r="B61" s="214">
        <f ca="1">IFERROR(__xludf.DUMMYFUNCTION("""COMPUTED_VALUE"""),758616)</f>
        <v>758616</v>
      </c>
      <c r="C61" s="215" t="str">
        <f ca="1">IFERROR(__xludf.DUMMYFUNCTION("""COMPUTED_VALUE"""),"General")</f>
        <v>General</v>
      </c>
      <c r="D61" s="216" t="str">
        <f ca="1">IFERROR(__xludf.DUMMYFUNCTION("""COMPUTED_VALUE"""),"Shane Snow on Dream Teams")</f>
        <v>Shane Snow on Dream Teams</v>
      </c>
      <c r="E61" s="217"/>
      <c r="F61" s="213"/>
      <c r="G61" s="214"/>
      <c r="H61" s="215"/>
      <c r="I61" s="217"/>
      <c r="J61" s="217"/>
      <c r="K61" s="213"/>
      <c r="L61" s="215"/>
      <c r="M61" s="215"/>
      <c r="N61" s="217"/>
      <c r="O61" s="217"/>
      <c r="P61" s="213"/>
      <c r="Q61" s="215">
        <f ca="1">IFERROR(__xludf.DUMMYFUNCTION("""COMPUTED_VALUE"""),2449260)</f>
        <v>2449260</v>
      </c>
      <c r="R61" s="215" t="str">
        <f ca="1">IFERROR(__xludf.DUMMYFUNCTION("""COMPUTED_VALUE"""),"All levels")</f>
        <v>All levels</v>
      </c>
      <c r="S61" s="217" t="str">
        <f ca="1">IFERROR(__xludf.DUMMYFUNCTION("""COMPUTED_VALUE"""),"Vertrauen aufbauen, aufrechterhalten und wiederherstellen")</f>
        <v>Vertrauen aufbauen, aufrechterhalten und wiederherstellen</v>
      </c>
      <c r="T61" s="217"/>
      <c r="U61" s="213"/>
      <c r="V61" s="215"/>
      <c r="W61" s="215"/>
      <c r="X61" s="217"/>
      <c r="Y61" s="217"/>
      <c r="Z61" s="213"/>
      <c r="AA61" s="215"/>
      <c r="AB61" s="215"/>
      <c r="AC61" s="217"/>
      <c r="AD61" s="217"/>
      <c r="AE61" s="213"/>
      <c r="AF61" s="215"/>
      <c r="AG61" s="215"/>
      <c r="AH61" s="217"/>
      <c r="AI61" s="217"/>
      <c r="AJ61" s="213"/>
    </row>
    <row r="62" spans="1:36" ht="33.75" customHeight="1">
      <c r="A62" s="213"/>
      <c r="B62" s="214">
        <f ca="1">IFERROR(__xludf.DUMMYFUNCTION("""COMPUTED_VALUE"""),2244039)</f>
        <v>2244039</v>
      </c>
      <c r="C62" s="215" t="str">
        <f ca="1">IFERROR(__xludf.DUMMYFUNCTION("""COMPUTED_VALUE"""),"General")</f>
        <v>General</v>
      </c>
      <c r="D62" s="216" t="str">
        <f ca="1">IFERROR(__xludf.DUMMYFUNCTION("""COMPUTED_VALUE"""),"A Great Place to Work for All (getAbstract Summary)")</f>
        <v>A Great Place to Work for All (getAbstract Summary)</v>
      </c>
      <c r="E62" s="217"/>
      <c r="F62" s="213"/>
      <c r="G62" s="214"/>
      <c r="H62" s="215"/>
      <c r="I62" s="217"/>
      <c r="J62" s="217"/>
      <c r="K62" s="213"/>
      <c r="L62" s="215"/>
      <c r="M62" s="215"/>
      <c r="N62" s="217"/>
      <c r="O62" s="217"/>
      <c r="P62" s="213"/>
      <c r="Q62" s="215">
        <f ca="1">IFERROR(__xludf.DUMMYFUNCTION("""COMPUTED_VALUE"""),3148342)</f>
        <v>3148342</v>
      </c>
      <c r="R62" s="215" t="str">
        <f ca="1">IFERROR(__xludf.DUMMYFUNCTION("""COMPUTED_VALUE"""),"Intermediate")</f>
        <v>Intermediate</v>
      </c>
      <c r="S62" s="217" t="str">
        <f ca="1">IFERROR(__xludf.DUMMYFUNCTION("""COMPUTED_VALUE"""),"Virtuelle Teams führen")</f>
        <v>Virtuelle Teams führen</v>
      </c>
      <c r="T62" s="217"/>
      <c r="U62" s="213"/>
      <c r="V62" s="215"/>
      <c r="W62" s="215"/>
      <c r="X62" s="217"/>
      <c r="Y62" s="217"/>
      <c r="Z62" s="213"/>
      <c r="AA62" s="215"/>
      <c r="AB62" s="215"/>
      <c r="AC62" s="217"/>
      <c r="AD62" s="217"/>
      <c r="AE62" s="213"/>
      <c r="AF62" s="215"/>
      <c r="AG62" s="215"/>
      <c r="AH62" s="217"/>
      <c r="AI62" s="217"/>
      <c r="AJ62" s="213"/>
    </row>
    <row r="63" spans="1:36" ht="33.75" customHeight="1">
      <c r="A63" s="213"/>
      <c r="B63" s="214">
        <f ca="1">IFERROR(__xludf.DUMMYFUNCTION("""COMPUTED_VALUE"""),2837262)</f>
        <v>2837262</v>
      </c>
      <c r="C63" s="215" t="str">
        <f ca="1">IFERROR(__xludf.DUMMYFUNCTION("""COMPUTED_VALUE"""),"General")</f>
        <v>General</v>
      </c>
      <c r="D63" s="216" t="str">
        <f ca="1">IFERROR(__xludf.DUMMYFUNCTION("""COMPUTED_VALUE"""),"Business Chemistry (Blinkist Summary)")</f>
        <v>Business Chemistry (Blinkist Summary)</v>
      </c>
      <c r="E63" s="217"/>
      <c r="F63" s="213"/>
      <c r="G63" s="214"/>
      <c r="H63" s="215"/>
      <c r="I63" s="217"/>
      <c r="J63" s="217"/>
      <c r="K63" s="213"/>
      <c r="L63" s="215"/>
      <c r="M63" s="215"/>
      <c r="N63" s="217"/>
      <c r="O63" s="217"/>
      <c r="P63" s="213"/>
      <c r="Q63" s="215">
        <f ca="1">IFERROR(__xludf.DUMMYFUNCTION("""COMPUTED_VALUE"""),593048)</f>
        <v>593048</v>
      </c>
      <c r="R63" s="215" t="str">
        <f ca="1">IFERROR(__xludf.DUMMYFUNCTION("""COMPUTED_VALUE"""),"Beginner")</f>
        <v>Beginner</v>
      </c>
      <c r="S63" s="217" t="str">
        <f ca="1">IFERROR(__xludf.DUMMYFUNCTION("""COMPUTED_VALUE"""),"Vom Manager zum Leader")</f>
        <v>Vom Manager zum Leader</v>
      </c>
      <c r="T63" s="217"/>
      <c r="U63" s="213"/>
      <c r="V63" s="215"/>
      <c r="W63" s="215"/>
      <c r="X63" s="217"/>
      <c r="Y63" s="217"/>
      <c r="Z63" s="213"/>
      <c r="AA63" s="215"/>
      <c r="AB63" s="215"/>
      <c r="AC63" s="217"/>
      <c r="AD63" s="217"/>
      <c r="AE63" s="213"/>
      <c r="AF63" s="215"/>
      <c r="AG63" s="215"/>
      <c r="AH63" s="217"/>
      <c r="AI63" s="217"/>
      <c r="AJ63" s="213"/>
    </row>
    <row r="64" spans="1:36" ht="33.75" customHeight="1">
      <c r="A64" s="213"/>
      <c r="B64" s="214">
        <f ca="1">IFERROR(__xludf.DUMMYFUNCTION("""COMPUTED_VALUE"""),2835113)</f>
        <v>2835113</v>
      </c>
      <c r="C64" s="215" t="str">
        <f ca="1">IFERROR(__xludf.DUMMYFUNCTION("""COMPUTED_VALUE"""),"General")</f>
        <v>General</v>
      </c>
      <c r="D64" s="216" t="str">
        <f ca="1">IFERROR(__xludf.DUMMYFUNCTION("""COMPUTED_VALUE"""),"Essentials of Team Collaboration")</f>
        <v>Essentials of Team Collaboration</v>
      </c>
      <c r="E64" s="217"/>
      <c r="F64" s="213"/>
      <c r="G64" s="214"/>
      <c r="H64" s="215"/>
      <c r="I64" s="217"/>
      <c r="J64" s="217"/>
      <c r="K64" s="213"/>
      <c r="L64" s="215"/>
      <c r="M64" s="215"/>
      <c r="N64" s="217"/>
      <c r="O64" s="217"/>
      <c r="P64" s="213"/>
      <c r="Q64" s="215">
        <f ca="1">IFERROR(__xludf.DUMMYFUNCTION("""COMPUTED_VALUE"""),565181)</f>
        <v>565181</v>
      </c>
      <c r="R64" s="215" t="str">
        <f ca="1">IFERROR(__xludf.DUMMYFUNCTION("""COMPUTED_VALUE"""),"Beginner, Intermediate")</f>
        <v>Beginner, Intermediate</v>
      </c>
      <c r="S64" s="217" t="str">
        <f ca="1">IFERROR(__xludf.DUMMYFUNCTION("""COMPUTED_VALUE"""),"Von Ohnmacht zu Macht: Kontrolle übernehmen")</f>
        <v>Von Ohnmacht zu Macht: Kontrolle übernehmen</v>
      </c>
      <c r="T64" s="217"/>
      <c r="U64" s="213"/>
      <c r="V64" s="215"/>
      <c r="W64" s="215"/>
      <c r="X64" s="217"/>
      <c r="Y64" s="217"/>
      <c r="Z64" s="213"/>
      <c r="AA64" s="215"/>
      <c r="AB64" s="215"/>
      <c r="AC64" s="217"/>
      <c r="AD64" s="217"/>
      <c r="AE64" s="213"/>
      <c r="AF64" s="215"/>
      <c r="AG64" s="215"/>
      <c r="AH64" s="217"/>
      <c r="AI64" s="217"/>
      <c r="AJ64" s="213"/>
    </row>
    <row r="65" spans="1:36" ht="33.75" customHeight="1">
      <c r="A65" s="213"/>
      <c r="B65" s="214">
        <f ca="1">IFERROR(__xludf.DUMMYFUNCTION("""COMPUTED_VALUE"""),2884194)</f>
        <v>2884194</v>
      </c>
      <c r="C65" s="215" t="str">
        <f ca="1">IFERROR(__xludf.DUMMYFUNCTION("""COMPUTED_VALUE"""),"General")</f>
        <v>General</v>
      </c>
      <c r="D65" s="216" t="str">
        <f ca="1">IFERROR(__xludf.DUMMYFUNCTION("""COMPUTED_VALUE"""),"Best Practices for New People Leaders")</f>
        <v>Best Practices for New People Leaders</v>
      </c>
      <c r="E65" s="217"/>
      <c r="F65" s="213"/>
      <c r="G65" s="214"/>
      <c r="H65" s="215"/>
      <c r="I65" s="217"/>
      <c r="J65" s="217"/>
      <c r="K65" s="213"/>
      <c r="L65" s="215"/>
      <c r="M65" s="215"/>
      <c r="N65" s="217"/>
      <c r="O65" s="217"/>
      <c r="P65" s="213"/>
      <c r="Q65" s="215">
        <f ca="1">IFERROR(__xludf.DUMMYFUNCTION("""COMPUTED_VALUE"""),641774)</f>
        <v>641774</v>
      </c>
      <c r="R65" s="215" t="str">
        <f ca="1">IFERROR(__xludf.DUMMYFUNCTION("""COMPUTED_VALUE"""),"Intermediate")</f>
        <v>Intermediate</v>
      </c>
      <c r="S65" s="217" t="str">
        <f ca="1">IFERROR(__xludf.DUMMYFUNCTION("""COMPUTED_VALUE"""),"Werteorientiertes Management")</f>
        <v>Werteorientiertes Management</v>
      </c>
      <c r="T65" s="217"/>
      <c r="U65" s="213"/>
      <c r="V65" s="215"/>
      <c r="W65" s="215"/>
      <c r="X65" s="217"/>
      <c r="Y65" s="217"/>
      <c r="Z65" s="213"/>
      <c r="AA65" s="215"/>
      <c r="AB65" s="215"/>
      <c r="AC65" s="217"/>
      <c r="AD65" s="217"/>
      <c r="AE65" s="213"/>
      <c r="AF65" s="215"/>
      <c r="AG65" s="215"/>
      <c r="AH65" s="217"/>
      <c r="AI65" s="217"/>
      <c r="AJ65" s="213"/>
    </row>
    <row r="66" spans="1:36" ht="33.75" customHeight="1">
      <c r="A66" s="213"/>
      <c r="B66" s="214">
        <f ca="1">IFERROR(__xludf.DUMMYFUNCTION("""COMPUTED_VALUE"""),2884198)</f>
        <v>2884198</v>
      </c>
      <c r="C66" s="215" t="str">
        <f ca="1">IFERROR(__xludf.DUMMYFUNCTION("""COMPUTED_VALUE"""),"General")</f>
        <v>General</v>
      </c>
      <c r="D66" s="216" t="str">
        <f ca="1">IFERROR(__xludf.DUMMYFUNCTION("""COMPUTED_VALUE"""),"Backgrounder: Leadership Conversations with Different Personalities")</f>
        <v>Backgrounder: Leadership Conversations with Different Personalities</v>
      </c>
      <c r="E66" s="217"/>
      <c r="F66" s="213"/>
      <c r="G66" s="214"/>
      <c r="H66" s="215"/>
      <c r="I66" s="217"/>
      <c r="J66" s="217"/>
      <c r="K66" s="213"/>
      <c r="L66" s="215"/>
      <c r="M66" s="215"/>
      <c r="N66" s="217"/>
      <c r="O66" s="217"/>
      <c r="P66" s="213"/>
      <c r="Q66" s="215">
        <f ca="1">IFERROR(__xludf.DUMMYFUNCTION("""COMPUTED_VALUE"""),5033458)</f>
        <v>5033458</v>
      </c>
      <c r="R66" s="215" t="str">
        <f ca="1">IFERROR(__xludf.DUMMYFUNCTION("""COMPUTED_VALUE"""),"All levels")</f>
        <v>All levels</v>
      </c>
      <c r="S66" s="217" t="str">
        <f ca="1">IFERROR(__xludf.DUMMYFUNCTION("""COMPUTED_VALUE"""),"Ziele für Mitarbeiter:innen und Teams setzen")</f>
        <v>Ziele für Mitarbeiter:innen und Teams setzen</v>
      </c>
      <c r="T66" s="217"/>
      <c r="U66" s="213"/>
      <c r="V66" s="215"/>
      <c r="W66" s="215"/>
      <c r="X66" s="217"/>
      <c r="Y66" s="217"/>
      <c r="Z66" s="213"/>
      <c r="AA66" s="215"/>
      <c r="AB66" s="215"/>
      <c r="AC66" s="217"/>
      <c r="AD66" s="217"/>
      <c r="AE66" s="213"/>
      <c r="AF66" s="215"/>
      <c r="AG66" s="215"/>
      <c r="AH66" s="217"/>
      <c r="AI66" s="217"/>
      <c r="AJ66" s="213"/>
    </row>
    <row r="67" spans="1:36" ht="33.75" customHeight="1">
      <c r="A67" s="213"/>
      <c r="B67" s="214">
        <f ca="1">IFERROR(__xludf.DUMMYFUNCTION("""COMPUTED_VALUE"""),718627)</f>
        <v>718627</v>
      </c>
      <c r="C67" s="215" t="str">
        <f ca="1">IFERROR(__xludf.DUMMYFUNCTION("""COMPUTED_VALUE"""),"Intermediate")</f>
        <v>Intermediate</v>
      </c>
      <c r="D67" s="216" t="str">
        <f ca="1">IFERROR(__xludf.DUMMYFUNCTION("""COMPUTED_VALUE"""),"Enhancing Team Innovation")</f>
        <v>Enhancing Team Innovation</v>
      </c>
      <c r="E67" s="217"/>
      <c r="F67" s="213"/>
      <c r="G67" s="214"/>
      <c r="H67" s="215"/>
      <c r="I67" s="217"/>
      <c r="J67" s="217"/>
      <c r="K67" s="213"/>
      <c r="L67" s="215"/>
      <c r="M67" s="215"/>
      <c r="N67" s="217"/>
      <c r="O67" s="217"/>
      <c r="P67" s="213"/>
      <c r="Q67" s="215">
        <f ca="1">IFERROR(__xludf.DUMMYFUNCTION("""COMPUTED_VALUE"""),593896)</f>
        <v>593896</v>
      </c>
      <c r="R67" s="215" t="str">
        <f ca="1">IFERROR(__xludf.DUMMYFUNCTION("""COMPUTED_VALUE"""),"Intermediate")</f>
        <v>Intermediate</v>
      </c>
      <c r="S67" s="217" t="str">
        <f ca="1">IFERROR(__xludf.DUMMYFUNCTION("""COMPUTED_VALUE"""),"Zielvereinbarungsgespräche führen")</f>
        <v>Zielvereinbarungsgespräche führen</v>
      </c>
      <c r="T67" s="217"/>
      <c r="U67" s="213"/>
      <c r="V67" s="215"/>
      <c r="W67" s="215"/>
      <c r="X67" s="217"/>
      <c r="Y67" s="217"/>
      <c r="Z67" s="213"/>
      <c r="AA67" s="215"/>
      <c r="AB67" s="215"/>
      <c r="AC67" s="217"/>
      <c r="AD67" s="217"/>
      <c r="AE67" s="213"/>
      <c r="AF67" s="215"/>
      <c r="AG67" s="215"/>
      <c r="AH67" s="217"/>
      <c r="AI67" s="217"/>
      <c r="AJ67" s="213"/>
    </row>
    <row r="68" spans="1:36" ht="33.75" customHeight="1">
      <c r="A68" s="213"/>
      <c r="B68" s="214">
        <f ca="1">IFERROR(__xludf.DUMMYFUNCTION("""COMPUTED_VALUE"""),2825124)</f>
        <v>2825124</v>
      </c>
      <c r="C68" s="215" t="str">
        <f ca="1">IFERROR(__xludf.DUMMYFUNCTION("""COMPUTED_VALUE"""),"Intermediate")</f>
        <v>Intermediate</v>
      </c>
      <c r="D68" s="216" t="str">
        <f ca="1">IFERROR(__xludf.DUMMYFUNCTION("""COMPUTED_VALUE"""),"Building and Managing a High-Performing Sales Team")</f>
        <v>Building and Managing a High-Performing Sales Team</v>
      </c>
      <c r="E68" s="217"/>
      <c r="F68" s="213"/>
      <c r="G68" s="214"/>
      <c r="H68" s="215"/>
      <c r="I68" s="217"/>
      <c r="J68" s="217"/>
      <c r="K68" s="213"/>
      <c r="L68" s="215"/>
      <c r="M68" s="215"/>
      <c r="N68" s="217"/>
      <c r="O68" s="217"/>
      <c r="P68" s="213"/>
      <c r="Q68" s="215"/>
      <c r="R68" s="215"/>
      <c r="S68" s="217"/>
      <c r="T68" s="217"/>
      <c r="U68" s="213"/>
      <c r="V68" s="215"/>
      <c r="W68" s="215"/>
      <c r="X68" s="217"/>
      <c r="Y68" s="217"/>
      <c r="Z68" s="213"/>
      <c r="AA68" s="215"/>
      <c r="AB68" s="215"/>
      <c r="AC68" s="217"/>
      <c r="AD68" s="217"/>
      <c r="AE68" s="213"/>
      <c r="AF68" s="215"/>
      <c r="AG68" s="215"/>
      <c r="AH68" s="217"/>
      <c r="AI68" s="217"/>
      <c r="AJ68" s="213"/>
    </row>
    <row r="69" spans="1:36" ht="33.75" customHeight="1">
      <c r="A69" s="213"/>
      <c r="B69" s="214">
        <f ca="1">IFERROR(__xludf.DUMMYFUNCTION("""COMPUTED_VALUE"""),2972406)</f>
        <v>2972406</v>
      </c>
      <c r="C69" s="215" t="str">
        <f ca="1">IFERROR(__xludf.DUMMYFUNCTION("""COMPUTED_VALUE"""),"Intermediate")</f>
        <v>Intermediate</v>
      </c>
      <c r="D69" s="216" t="str">
        <f ca="1">IFERROR(__xludf.DUMMYFUNCTION("""COMPUTED_VALUE"""),"Creating Winning Teams")</f>
        <v>Creating Winning Teams</v>
      </c>
      <c r="E69" s="217"/>
      <c r="F69" s="213"/>
      <c r="G69" s="214"/>
      <c r="H69" s="215"/>
      <c r="I69" s="217"/>
      <c r="J69" s="217"/>
      <c r="K69" s="213"/>
      <c r="L69" s="215"/>
      <c r="M69" s="215"/>
      <c r="N69" s="217"/>
      <c r="O69" s="217"/>
      <c r="P69" s="213"/>
      <c r="Q69" s="215"/>
      <c r="R69" s="215"/>
      <c r="S69" s="217"/>
      <c r="T69" s="217"/>
      <c r="U69" s="213"/>
      <c r="V69" s="215"/>
      <c r="W69" s="215"/>
      <c r="X69" s="217"/>
      <c r="Y69" s="217"/>
      <c r="Z69" s="213"/>
      <c r="AA69" s="215"/>
      <c r="AB69" s="215"/>
      <c r="AC69" s="217"/>
      <c r="AD69" s="217"/>
      <c r="AE69" s="213"/>
      <c r="AF69" s="215"/>
      <c r="AG69" s="215"/>
      <c r="AH69" s="217"/>
      <c r="AI69" s="217"/>
      <c r="AJ69" s="213"/>
    </row>
    <row r="70" spans="1:36" ht="33.75" customHeight="1">
      <c r="A70" s="213"/>
      <c r="B70" s="214">
        <f ca="1">IFERROR(__xludf.DUMMYFUNCTION("""COMPUTED_VALUE"""),2974330)</f>
        <v>2974330</v>
      </c>
      <c r="C70" s="215" t="str">
        <f ca="1">IFERROR(__xludf.DUMMYFUNCTION("""COMPUTED_VALUE"""),"Intermediate")</f>
        <v>Intermediate</v>
      </c>
      <c r="D70" s="216" t="str">
        <f ca="1">IFERROR(__xludf.DUMMYFUNCTION("""COMPUTED_VALUE"""),"Creating an Adaptable Team")</f>
        <v>Creating an Adaptable Team</v>
      </c>
      <c r="E70" s="217"/>
      <c r="F70" s="213"/>
      <c r="G70" s="214"/>
      <c r="H70" s="215"/>
      <c r="I70" s="217"/>
      <c r="J70" s="217"/>
      <c r="K70" s="213"/>
      <c r="L70" s="215"/>
      <c r="M70" s="215"/>
      <c r="N70" s="217"/>
      <c r="O70" s="217"/>
      <c r="P70" s="213"/>
      <c r="Q70" s="215"/>
      <c r="R70" s="215"/>
      <c r="S70" s="217"/>
      <c r="T70" s="217"/>
      <c r="U70" s="213"/>
      <c r="V70" s="215"/>
      <c r="W70" s="215"/>
      <c r="X70" s="217"/>
      <c r="Y70" s="217"/>
      <c r="Z70" s="213"/>
      <c r="AA70" s="215"/>
      <c r="AB70" s="215"/>
      <c r="AC70" s="217"/>
      <c r="AD70" s="217"/>
      <c r="AE70" s="213"/>
      <c r="AF70" s="215"/>
      <c r="AG70" s="215"/>
      <c r="AH70" s="217"/>
      <c r="AI70" s="217"/>
      <c r="AJ70" s="213"/>
    </row>
    <row r="71" spans="1:36" ht="33.75" customHeight="1">
      <c r="A71" s="213"/>
      <c r="B71" s="214">
        <f ca="1">IFERROR(__xludf.DUMMYFUNCTION("""COMPUTED_VALUE"""),2975167)</f>
        <v>2975167</v>
      </c>
      <c r="C71" s="215" t="str">
        <f ca="1">IFERROR(__xludf.DUMMYFUNCTION("""COMPUTED_VALUE"""),"Intermediate")</f>
        <v>Intermediate</v>
      </c>
      <c r="D71" s="216" t="str">
        <f ca="1">IFERROR(__xludf.DUMMYFUNCTION("""COMPUTED_VALUE"""),"Leading a Customer Service Team")</f>
        <v>Leading a Customer Service Team</v>
      </c>
      <c r="E71" s="217"/>
      <c r="F71" s="213"/>
      <c r="G71" s="214"/>
      <c r="H71" s="215"/>
      <c r="I71" s="217"/>
      <c r="J71" s="217"/>
      <c r="K71" s="213"/>
      <c r="L71" s="215"/>
      <c r="M71" s="215"/>
      <c r="N71" s="217"/>
      <c r="O71" s="217"/>
      <c r="P71" s="213"/>
      <c r="Q71" s="215"/>
      <c r="R71" s="215"/>
      <c r="S71" s="217"/>
      <c r="T71" s="217"/>
      <c r="U71" s="213"/>
      <c r="V71" s="215"/>
      <c r="W71" s="215"/>
      <c r="X71" s="217"/>
      <c r="Y71" s="217"/>
      <c r="Z71" s="213"/>
      <c r="AA71" s="215"/>
      <c r="AB71" s="215"/>
      <c r="AC71" s="217"/>
      <c r="AD71" s="217"/>
      <c r="AE71" s="213"/>
      <c r="AF71" s="215"/>
      <c r="AG71" s="215"/>
      <c r="AH71" s="217"/>
      <c r="AI71" s="217"/>
      <c r="AJ71" s="213"/>
    </row>
    <row r="72" spans="1:36" ht="33.75" customHeight="1">
      <c r="A72" s="213"/>
      <c r="B72" s="214">
        <f ca="1">IFERROR(__xludf.DUMMYFUNCTION("""COMPUTED_VALUE"""),2874261)</f>
        <v>2874261</v>
      </c>
      <c r="C72" s="215" t="str">
        <f ca="1">IFERROR(__xludf.DUMMYFUNCTION("""COMPUTED_VALUE"""),"Intermediate")</f>
        <v>Intermediate</v>
      </c>
      <c r="D72" s="216" t="str">
        <f ca="1">IFERROR(__xludf.DUMMYFUNCTION("""COMPUTED_VALUE"""),"Leveraging Virtual and Hybrid Teams for Improved Effectiveness")</f>
        <v>Leveraging Virtual and Hybrid Teams for Improved Effectiveness</v>
      </c>
      <c r="E72" s="217"/>
      <c r="F72" s="213"/>
      <c r="G72" s="214"/>
      <c r="H72" s="215"/>
      <c r="I72" s="217"/>
      <c r="J72" s="217"/>
      <c r="K72" s="213"/>
      <c r="L72" s="215"/>
      <c r="M72" s="215"/>
      <c r="N72" s="217"/>
      <c r="O72" s="217"/>
      <c r="P72" s="213"/>
      <c r="Q72" s="215"/>
      <c r="R72" s="215"/>
      <c r="S72" s="217"/>
      <c r="T72" s="217"/>
      <c r="U72" s="213"/>
      <c r="V72" s="215"/>
      <c r="W72" s="215"/>
      <c r="X72" s="217"/>
      <c r="Y72" s="217"/>
      <c r="Z72" s="213"/>
      <c r="AA72" s="215"/>
      <c r="AB72" s="215"/>
      <c r="AC72" s="217"/>
      <c r="AD72" s="217"/>
      <c r="AE72" s="213"/>
      <c r="AF72" s="215"/>
      <c r="AG72" s="215"/>
      <c r="AH72" s="217"/>
      <c r="AI72" s="217"/>
      <c r="AJ72" s="213"/>
    </row>
    <row r="73" spans="1:36" ht="33.75" customHeight="1">
      <c r="A73" s="213"/>
      <c r="B73" s="214">
        <f ca="1">IFERROR(__xludf.DUMMYFUNCTION("""COMPUTED_VALUE"""),2828008)</f>
        <v>2828008</v>
      </c>
      <c r="C73" s="215" t="str">
        <f ca="1">IFERROR(__xludf.DUMMYFUNCTION("""COMPUTED_VALUE"""),"Intermediate")</f>
        <v>Intermediate</v>
      </c>
      <c r="D73" s="216" t="str">
        <f ca="1">IFERROR(__xludf.DUMMYFUNCTION("""COMPUTED_VALUE"""),"Microsoft Teams: Successful Meetings and Events")</f>
        <v>Microsoft Teams: Successful Meetings and Events</v>
      </c>
      <c r="E73" s="217"/>
      <c r="F73" s="213"/>
      <c r="G73" s="214"/>
      <c r="H73" s="215"/>
      <c r="I73" s="217"/>
      <c r="J73" s="217"/>
      <c r="K73" s="213"/>
      <c r="L73" s="215"/>
      <c r="M73" s="215"/>
      <c r="N73" s="217"/>
      <c r="O73" s="217"/>
      <c r="P73" s="213"/>
      <c r="Q73" s="215"/>
      <c r="R73" s="215"/>
      <c r="S73" s="217"/>
      <c r="T73" s="217"/>
      <c r="U73" s="213"/>
      <c r="V73" s="215"/>
      <c r="W73" s="215"/>
      <c r="X73" s="217"/>
      <c r="Y73" s="217"/>
      <c r="Z73" s="213"/>
      <c r="AA73" s="215"/>
      <c r="AB73" s="215"/>
      <c r="AC73" s="217"/>
      <c r="AD73" s="217"/>
      <c r="AE73" s="213"/>
      <c r="AF73" s="215"/>
      <c r="AG73" s="215"/>
      <c r="AH73" s="217"/>
      <c r="AI73" s="217"/>
      <c r="AJ73" s="213"/>
    </row>
    <row r="74" spans="1:36" ht="33.75" customHeight="1">
      <c r="A74" s="213"/>
      <c r="B74" s="214">
        <f ca="1">IFERROR(__xludf.DUMMYFUNCTION("""COMPUTED_VALUE"""),2825695)</f>
        <v>2825695</v>
      </c>
      <c r="C74" s="215" t="str">
        <f ca="1">IFERROR(__xludf.DUMMYFUNCTION("""COMPUTED_VALUE"""),"Intermediate")</f>
        <v>Intermediate</v>
      </c>
      <c r="D74" s="216" t="str">
        <f ca="1">IFERROR(__xludf.DUMMYFUNCTION("""COMPUTED_VALUE"""),"Creating a Communications Strategy")</f>
        <v>Creating a Communications Strategy</v>
      </c>
      <c r="E74" s="217"/>
      <c r="F74" s="213"/>
      <c r="G74" s="214"/>
      <c r="H74" s="215"/>
      <c r="I74" s="217"/>
      <c r="J74" s="217"/>
      <c r="K74" s="213"/>
      <c r="L74" s="215"/>
      <c r="M74" s="215"/>
      <c r="N74" s="217"/>
      <c r="O74" s="217"/>
      <c r="P74" s="213"/>
      <c r="Q74" s="215"/>
      <c r="R74" s="215"/>
      <c r="S74" s="217"/>
      <c r="T74" s="217"/>
      <c r="U74" s="213"/>
      <c r="V74" s="215"/>
      <c r="W74" s="215"/>
      <c r="X74" s="217"/>
      <c r="Y74" s="217"/>
      <c r="Z74" s="213"/>
      <c r="AA74" s="215"/>
      <c r="AB74" s="215"/>
      <c r="AC74" s="217"/>
      <c r="AD74" s="217"/>
      <c r="AE74" s="213"/>
      <c r="AF74" s="215"/>
      <c r="AG74" s="215"/>
      <c r="AH74" s="217"/>
      <c r="AI74" s="217"/>
      <c r="AJ74" s="213"/>
    </row>
    <row r="75" spans="1:36" ht="33.75" customHeight="1">
      <c r="A75" s="213"/>
      <c r="B75" s="214">
        <f ca="1">IFERROR(__xludf.DUMMYFUNCTION("""COMPUTED_VALUE"""),2876319)</f>
        <v>2876319</v>
      </c>
      <c r="C75" s="215" t="str">
        <f ca="1">IFERROR(__xludf.DUMMYFUNCTION("""COMPUTED_VALUE"""),"Intermediate")</f>
        <v>Intermediate</v>
      </c>
      <c r="D75" s="216" t="str">
        <f ca="1">IFERROR(__xludf.DUMMYFUNCTION("""COMPUTED_VALUE"""),"Creating the Environment for Productive Virtual Teams")</f>
        <v>Creating the Environment for Productive Virtual Teams</v>
      </c>
      <c r="E75" s="217"/>
      <c r="F75" s="213"/>
      <c r="G75" s="214"/>
      <c r="H75" s="215"/>
      <c r="I75" s="217"/>
      <c r="J75" s="217"/>
      <c r="K75" s="213"/>
      <c r="L75" s="215"/>
      <c r="M75" s="215"/>
      <c r="N75" s="217"/>
      <c r="O75" s="217"/>
      <c r="P75" s="213"/>
      <c r="Q75" s="215"/>
      <c r="R75" s="215"/>
      <c r="S75" s="217"/>
      <c r="T75" s="217"/>
      <c r="U75" s="213"/>
      <c r="V75" s="215"/>
      <c r="W75" s="215"/>
      <c r="X75" s="217"/>
      <c r="Y75" s="217"/>
      <c r="Z75" s="213"/>
      <c r="AA75" s="215"/>
      <c r="AB75" s="215"/>
      <c r="AC75" s="217"/>
      <c r="AD75" s="217"/>
      <c r="AE75" s="213"/>
      <c r="AF75" s="215"/>
      <c r="AG75" s="215"/>
      <c r="AH75" s="217"/>
      <c r="AI75" s="217"/>
      <c r="AJ75" s="213"/>
    </row>
    <row r="76" spans="1:36" ht="33.75" customHeight="1">
      <c r="A76" s="213"/>
      <c r="B76" s="214"/>
      <c r="C76" s="215"/>
      <c r="D76" s="216"/>
      <c r="E76" s="217"/>
      <c r="F76" s="213"/>
      <c r="G76" s="214"/>
      <c r="H76" s="215"/>
      <c r="I76" s="217"/>
      <c r="J76" s="217"/>
      <c r="K76" s="213"/>
      <c r="L76" s="215"/>
      <c r="M76" s="215"/>
      <c r="N76" s="217"/>
      <c r="O76" s="217"/>
      <c r="P76" s="213"/>
      <c r="Q76" s="215"/>
      <c r="R76" s="215"/>
      <c r="S76" s="217"/>
      <c r="T76" s="217"/>
      <c r="U76" s="213"/>
      <c r="V76" s="215"/>
      <c r="W76" s="215"/>
      <c r="X76" s="217"/>
      <c r="Y76" s="217"/>
      <c r="Z76" s="213"/>
      <c r="AA76" s="215"/>
      <c r="AB76" s="215"/>
      <c r="AC76" s="217"/>
      <c r="AD76" s="217"/>
      <c r="AE76" s="213"/>
      <c r="AF76" s="215"/>
      <c r="AG76" s="215"/>
      <c r="AH76" s="217"/>
      <c r="AI76" s="217"/>
      <c r="AJ76" s="213"/>
    </row>
    <row r="77" spans="1:36" ht="33.75" customHeight="1">
      <c r="A77" s="213"/>
      <c r="B77" s="214"/>
      <c r="C77" s="215"/>
      <c r="D77" s="216"/>
      <c r="E77" s="217"/>
      <c r="F77" s="213"/>
      <c r="G77" s="214"/>
      <c r="H77" s="215"/>
      <c r="I77" s="217"/>
      <c r="J77" s="217"/>
      <c r="K77" s="213"/>
      <c r="L77" s="215"/>
      <c r="M77" s="215"/>
      <c r="N77" s="217"/>
      <c r="O77" s="217"/>
      <c r="P77" s="213"/>
      <c r="Q77" s="215"/>
      <c r="R77" s="215"/>
      <c r="S77" s="217"/>
      <c r="T77" s="217"/>
      <c r="U77" s="213"/>
      <c r="V77" s="215"/>
      <c r="W77" s="215"/>
      <c r="X77" s="217"/>
      <c r="Y77" s="217"/>
      <c r="Z77" s="213"/>
      <c r="AA77" s="215"/>
      <c r="AB77" s="215"/>
      <c r="AC77" s="217"/>
      <c r="AD77" s="217"/>
      <c r="AE77" s="213"/>
      <c r="AF77" s="215"/>
      <c r="AG77" s="215"/>
      <c r="AH77" s="217"/>
      <c r="AI77" s="217"/>
      <c r="AJ77" s="213"/>
    </row>
    <row r="78" spans="1:36" ht="33.75" customHeight="1">
      <c r="A78" s="213"/>
      <c r="B78" s="214"/>
      <c r="C78" s="215"/>
      <c r="D78" s="216"/>
      <c r="E78" s="217"/>
      <c r="F78" s="213"/>
      <c r="G78" s="214"/>
      <c r="H78" s="215"/>
      <c r="I78" s="217"/>
      <c r="J78" s="217"/>
      <c r="K78" s="213"/>
      <c r="L78" s="215"/>
      <c r="M78" s="215"/>
      <c r="N78" s="217"/>
      <c r="O78" s="217"/>
      <c r="P78" s="213"/>
      <c r="Q78" s="215"/>
      <c r="R78" s="215"/>
      <c r="S78" s="217"/>
      <c r="T78" s="217"/>
      <c r="U78" s="213"/>
      <c r="V78" s="215"/>
      <c r="W78" s="215"/>
      <c r="X78" s="217"/>
      <c r="Y78" s="217"/>
      <c r="Z78" s="213"/>
      <c r="AA78" s="215"/>
      <c r="AB78" s="215"/>
      <c r="AC78" s="217"/>
      <c r="AD78" s="217"/>
      <c r="AE78" s="213"/>
      <c r="AF78" s="215"/>
      <c r="AG78" s="215"/>
      <c r="AH78" s="217"/>
      <c r="AI78" s="217"/>
      <c r="AJ78" s="213"/>
    </row>
    <row r="79" spans="1:36" ht="33.75" customHeight="1">
      <c r="A79" s="213"/>
      <c r="B79" s="214"/>
      <c r="C79" s="215"/>
      <c r="D79" s="216"/>
      <c r="E79" s="217"/>
      <c r="F79" s="213"/>
      <c r="G79" s="214"/>
      <c r="H79" s="215"/>
      <c r="I79" s="217"/>
      <c r="J79" s="217"/>
      <c r="K79" s="213"/>
      <c r="L79" s="215"/>
      <c r="M79" s="215"/>
      <c r="N79" s="217"/>
      <c r="O79" s="217"/>
      <c r="P79" s="213"/>
      <c r="Q79" s="215"/>
      <c r="R79" s="215"/>
      <c r="S79" s="217"/>
      <c r="T79" s="217"/>
      <c r="U79" s="213"/>
      <c r="V79" s="215"/>
      <c r="W79" s="215"/>
      <c r="X79" s="217"/>
      <c r="Y79" s="217"/>
      <c r="Z79" s="213"/>
      <c r="AA79" s="215"/>
      <c r="AB79" s="215"/>
      <c r="AC79" s="217"/>
      <c r="AD79" s="217"/>
      <c r="AE79" s="213"/>
      <c r="AF79" s="215"/>
      <c r="AG79" s="215"/>
      <c r="AH79" s="217"/>
      <c r="AI79" s="217"/>
      <c r="AJ79" s="213"/>
    </row>
    <row r="80" spans="1:36" ht="33.75" customHeight="1">
      <c r="A80" s="213"/>
      <c r="B80" s="214"/>
      <c r="C80" s="215"/>
      <c r="D80" s="216"/>
      <c r="E80" s="217"/>
      <c r="F80" s="213"/>
      <c r="G80" s="214"/>
      <c r="H80" s="215"/>
      <c r="I80" s="217"/>
      <c r="J80" s="217"/>
      <c r="K80" s="213"/>
      <c r="L80" s="215"/>
      <c r="M80" s="215"/>
      <c r="N80" s="217"/>
      <c r="O80" s="217"/>
      <c r="P80" s="213"/>
      <c r="Q80" s="215"/>
      <c r="R80" s="215"/>
      <c r="S80" s="217"/>
      <c r="T80" s="217"/>
      <c r="U80" s="213"/>
      <c r="V80" s="215"/>
      <c r="W80" s="215"/>
      <c r="X80" s="217"/>
      <c r="Y80" s="217"/>
      <c r="Z80" s="213"/>
      <c r="AA80" s="215"/>
      <c r="AB80" s="215"/>
      <c r="AC80" s="217"/>
      <c r="AD80" s="217"/>
      <c r="AE80" s="213"/>
      <c r="AF80" s="215"/>
      <c r="AG80" s="215"/>
      <c r="AH80" s="217"/>
      <c r="AI80" s="217"/>
      <c r="AJ80" s="213"/>
    </row>
    <row r="81" spans="1:36" ht="33.75" customHeight="1">
      <c r="A81" s="213"/>
      <c r="B81" s="214"/>
      <c r="C81" s="215"/>
      <c r="D81" s="216"/>
      <c r="E81" s="217"/>
      <c r="F81" s="213"/>
      <c r="G81" s="214"/>
      <c r="H81" s="215"/>
      <c r="I81" s="217"/>
      <c r="J81" s="217"/>
      <c r="K81" s="213"/>
      <c r="L81" s="215"/>
      <c r="M81" s="215"/>
      <c r="N81" s="217"/>
      <c r="O81" s="217"/>
      <c r="P81" s="213"/>
      <c r="Q81" s="215"/>
      <c r="R81" s="215"/>
      <c r="S81" s="217"/>
      <c r="T81" s="217"/>
      <c r="U81" s="213"/>
      <c r="V81" s="215"/>
      <c r="W81" s="215"/>
      <c r="X81" s="217"/>
      <c r="Y81" s="217"/>
      <c r="Z81" s="213"/>
      <c r="AA81" s="215"/>
      <c r="AB81" s="215"/>
      <c r="AC81" s="217"/>
      <c r="AD81" s="217"/>
      <c r="AE81" s="213"/>
      <c r="AF81" s="215"/>
      <c r="AG81" s="215"/>
      <c r="AH81" s="217"/>
      <c r="AI81" s="217"/>
      <c r="AJ81" s="213"/>
    </row>
    <row r="82" spans="1:36" ht="33.75" customHeight="1">
      <c r="A82" s="213"/>
      <c r="B82" s="214"/>
      <c r="C82" s="215"/>
      <c r="D82" s="216"/>
      <c r="E82" s="217"/>
      <c r="F82" s="213"/>
      <c r="G82" s="214"/>
      <c r="H82" s="215"/>
      <c r="I82" s="217"/>
      <c r="J82" s="217"/>
      <c r="K82" s="213"/>
      <c r="L82" s="215"/>
      <c r="M82" s="215"/>
      <c r="N82" s="217"/>
      <c r="O82" s="217"/>
      <c r="P82" s="213"/>
      <c r="Q82" s="215"/>
      <c r="R82" s="215"/>
      <c r="S82" s="217"/>
      <c r="T82" s="217"/>
      <c r="U82" s="213"/>
      <c r="V82" s="215"/>
      <c r="W82" s="215"/>
      <c r="X82" s="217"/>
      <c r="Y82" s="217"/>
      <c r="Z82" s="213"/>
      <c r="AA82" s="215"/>
      <c r="AB82" s="215"/>
      <c r="AC82" s="217"/>
      <c r="AD82" s="217"/>
      <c r="AE82" s="213"/>
      <c r="AF82" s="215"/>
      <c r="AG82" s="215"/>
      <c r="AH82" s="217"/>
      <c r="AI82" s="217"/>
      <c r="AJ82" s="213"/>
    </row>
    <row r="83" spans="1:36" ht="33.75" customHeight="1">
      <c r="A83" s="213"/>
      <c r="B83" s="214"/>
      <c r="C83" s="215"/>
      <c r="D83" s="216"/>
      <c r="E83" s="217"/>
      <c r="F83" s="213"/>
      <c r="G83" s="214"/>
      <c r="H83" s="215"/>
      <c r="I83" s="217"/>
      <c r="J83" s="217"/>
      <c r="K83" s="213"/>
      <c r="L83" s="215"/>
      <c r="M83" s="215"/>
      <c r="N83" s="217"/>
      <c r="O83" s="217"/>
      <c r="P83" s="213"/>
      <c r="Q83" s="215"/>
      <c r="R83" s="215"/>
      <c r="S83" s="217"/>
      <c r="T83" s="217"/>
      <c r="U83" s="213"/>
      <c r="V83" s="215"/>
      <c r="W83" s="215"/>
      <c r="X83" s="217"/>
      <c r="Y83" s="217"/>
      <c r="Z83" s="213"/>
      <c r="AA83" s="215"/>
      <c r="AB83" s="215"/>
      <c r="AC83" s="217"/>
      <c r="AD83" s="217"/>
      <c r="AE83" s="213"/>
      <c r="AF83" s="215"/>
      <c r="AG83" s="215"/>
      <c r="AH83" s="217"/>
      <c r="AI83" s="217"/>
      <c r="AJ83" s="213"/>
    </row>
    <row r="84" spans="1:36" ht="33.75" customHeight="1">
      <c r="A84" s="213"/>
      <c r="B84" s="214"/>
      <c r="C84" s="215"/>
      <c r="D84" s="216"/>
      <c r="E84" s="217"/>
      <c r="F84" s="213"/>
      <c r="G84" s="214"/>
      <c r="H84" s="215"/>
      <c r="I84" s="217"/>
      <c r="J84" s="217"/>
      <c r="K84" s="213"/>
      <c r="L84" s="215"/>
      <c r="M84" s="215"/>
      <c r="N84" s="217"/>
      <c r="O84" s="217"/>
      <c r="P84" s="213"/>
      <c r="Q84" s="215"/>
      <c r="R84" s="215"/>
      <c r="S84" s="217"/>
      <c r="T84" s="217"/>
      <c r="U84" s="213"/>
      <c r="V84" s="215"/>
      <c r="W84" s="215"/>
      <c r="X84" s="217"/>
      <c r="Y84" s="217"/>
      <c r="Z84" s="213"/>
      <c r="AA84" s="215"/>
      <c r="AB84" s="215"/>
      <c r="AC84" s="217"/>
      <c r="AD84" s="217"/>
      <c r="AE84" s="213"/>
      <c r="AF84" s="215"/>
      <c r="AG84" s="215"/>
      <c r="AH84" s="217"/>
      <c r="AI84" s="217"/>
      <c r="AJ84" s="213"/>
    </row>
    <row r="85" spans="1:36" ht="33.75" customHeight="1">
      <c r="A85" s="213"/>
      <c r="B85" s="214"/>
      <c r="C85" s="215"/>
      <c r="D85" s="216"/>
      <c r="E85" s="217"/>
      <c r="F85" s="213"/>
      <c r="G85" s="214"/>
      <c r="H85" s="215"/>
      <c r="I85" s="217"/>
      <c r="J85" s="217"/>
      <c r="K85" s="213"/>
      <c r="L85" s="215"/>
      <c r="M85" s="215"/>
      <c r="N85" s="217"/>
      <c r="O85" s="217"/>
      <c r="P85" s="213"/>
      <c r="Q85" s="215"/>
      <c r="R85" s="215"/>
      <c r="S85" s="217"/>
      <c r="T85" s="217"/>
      <c r="U85" s="213"/>
      <c r="V85" s="215"/>
      <c r="W85" s="215"/>
      <c r="X85" s="217"/>
      <c r="Y85" s="217"/>
      <c r="Z85" s="213"/>
      <c r="AA85" s="215"/>
      <c r="AB85" s="215"/>
      <c r="AC85" s="217"/>
      <c r="AD85" s="217"/>
      <c r="AE85" s="213"/>
      <c r="AF85" s="215"/>
      <c r="AG85" s="215"/>
      <c r="AH85" s="217"/>
      <c r="AI85" s="217"/>
      <c r="AJ85" s="213"/>
    </row>
    <row r="86" spans="1:36" ht="33.75" customHeight="1">
      <c r="A86" s="213"/>
      <c r="B86" s="214"/>
      <c r="C86" s="215"/>
      <c r="D86" s="216"/>
      <c r="E86" s="217"/>
      <c r="F86" s="213"/>
      <c r="G86" s="214"/>
      <c r="H86" s="215"/>
      <c r="I86" s="217"/>
      <c r="J86" s="217"/>
      <c r="K86" s="213"/>
      <c r="L86" s="215"/>
      <c r="M86" s="215"/>
      <c r="N86" s="217"/>
      <c r="O86" s="217"/>
      <c r="P86" s="213"/>
      <c r="Q86" s="215"/>
      <c r="R86" s="215"/>
      <c r="S86" s="217"/>
      <c r="T86" s="217"/>
      <c r="U86" s="213"/>
      <c r="V86" s="215"/>
      <c r="W86" s="215"/>
      <c r="X86" s="217"/>
      <c r="Y86" s="217"/>
      <c r="Z86" s="213"/>
      <c r="AA86" s="215"/>
      <c r="AB86" s="215"/>
      <c r="AC86" s="217"/>
      <c r="AD86" s="217"/>
      <c r="AE86" s="213"/>
      <c r="AF86" s="215"/>
      <c r="AG86" s="215"/>
      <c r="AH86" s="217"/>
      <c r="AI86" s="217"/>
      <c r="AJ86" s="213"/>
    </row>
    <row r="87" spans="1:36" ht="33.75" customHeight="1">
      <c r="A87" s="213"/>
      <c r="B87" s="214"/>
      <c r="C87" s="215"/>
      <c r="D87" s="216"/>
      <c r="E87" s="217"/>
      <c r="F87" s="213"/>
      <c r="G87" s="214"/>
      <c r="H87" s="215"/>
      <c r="I87" s="217"/>
      <c r="J87" s="217"/>
      <c r="K87" s="213"/>
      <c r="L87" s="215"/>
      <c r="M87" s="215"/>
      <c r="N87" s="217"/>
      <c r="O87" s="217"/>
      <c r="P87" s="213"/>
      <c r="Q87" s="215"/>
      <c r="R87" s="215"/>
      <c r="S87" s="217"/>
      <c r="T87" s="217"/>
      <c r="U87" s="213"/>
      <c r="V87" s="215"/>
      <c r="W87" s="215"/>
      <c r="X87" s="217"/>
      <c r="Y87" s="217"/>
      <c r="Z87" s="213"/>
      <c r="AA87" s="215"/>
      <c r="AB87" s="215"/>
      <c r="AC87" s="217"/>
      <c r="AD87" s="217"/>
      <c r="AE87" s="213"/>
      <c r="AF87" s="215"/>
      <c r="AG87" s="215"/>
      <c r="AH87" s="217"/>
      <c r="AI87" s="217"/>
      <c r="AJ87" s="213"/>
    </row>
    <row r="88" spans="1:36" ht="33.75" customHeight="1">
      <c r="A88" s="213"/>
      <c r="B88" s="214"/>
      <c r="C88" s="215"/>
      <c r="D88" s="217"/>
      <c r="E88" s="217"/>
      <c r="F88" s="213"/>
      <c r="G88" s="214"/>
      <c r="H88" s="215"/>
      <c r="I88" s="217"/>
      <c r="J88" s="217"/>
      <c r="K88" s="213"/>
      <c r="L88" s="215"/>
      <c r="M88" s="215"/>
      <c r="N88" s="217"/>
      <c r="O88" s="217"/>
      <c r="P88" s="213"/>
      <c r="Q88" s="215"/>
      <c r="R88" s="215"/>
      <c r="S88" s="217"/>
      <c r="T88" s="217"/>
      <c r="U88" s="213"/>
      <c r="V88" s="215"/>
      <c r="W88" s="215"/>
      <c r="X88" s="217"/>
      <c r="Y88" s="217"/>
      <c r="Z88" s="213"/>
      <c r="AA88" s="215"/>
      <c r="AB88" s="215"/>
      <c r="AC88" s="217"/>
      <c r="AD88" s="217"/>
      <c r="AE88" s="213"/>
      <c r="AF88" s="215"/>
      <c r="AG88" s="215"/>
      <c r="AH88" s="217"/>
      <c r="AI88" s="217"/>
      <c r="AJ88" s="213"/>
    </row>
    <row r="89" spans="1:36" ht="16">
      <c r="A89" s="213"/>
      <c r="B89" s="214"/>
      <c r="C89" s="215"/>
      <c r="D89" s="216"/>
      <c r="E89" s="217"/>
      <c r="F89" s="213"/>
      <c r="G89" s="214"/>
      <c r="H89" s="215"/>
      <c r="I89" s="217"/>
      <c r="J89" s="217"/>
      <c r="K89" s="213"/>
      <c r="L89" s="215"/>
      <c r="M89" s="215"/>
      <c r="N89" s="217"/>
      <c r="O89" s="217"/>
      <c r="P89" s="213"/>
      <c r="Q89" s="215"/>
      <c r="R89" s="215"/>
      <c r="S89" s="217"/>
      <c r="T89" s="217"/>
      <c r="U89" s="213"/>
      <c r="V89" s="215"/>
      <c r="W89" s="215"/>
      <c r="X89" s="217"/>
      <c r="Y89" s="217"/>
      <c r="Z89" s="213"/>
      <c r="AA89" s="215"/>
      <c r="AB89" s="215"/>
      <c r="AC89" s="217"/>
      <c r="AD89" s="217"/>
      <c r="AE89" s="213"/>
      <c r="AF89" s="215"/>
      <c r="AG89" s="215"/>
      <c r="AH89" s="217"/>
      <c r="AI89" s="217"/>
      <c r="AJ89" s="213"/>
    </row>
    <row r="90" spans="1:36" ht="16">
      <c r="A90" s="213"/>
      <c r="B90" s="214"/>
      <c r="C90" s="215"/>
      <c r="D90" s="216"/>
      <c r="E90" s="217"/>
      <c r="F90" s="213"/>
      <c r="G90" s="214"/>
      <c r="H90" s="215"/>
      <c r="I90" s="217"/>
      <c r="J90" s="217"/>
      <c r="K90" s="213"/>
      <c r="L90" s="215"/>
      <c r="M90" s="215"/>
      <c r="N90" s="217"/>
      <c r="O90" s="217"/>
      <c r="P90" s="213"/>
      <c r="Q90" s="215"/>
      <c r="R90" s="215"/>
      <c r="S90" s="217"/>
      <c r="T90" s="217"/>
      <c r="U90" s="213"/>
      <c r="V90" s="215"/>
      <c r="W90" s="215"/>
      <c r="X90" s="217"/>
      <c r="Y90" s="217"/>
      <c r="Z90" s="213"/>
      <c r="AA90" s="215"/>
      <c r="AB90" s="215"/>
      <c r="AC90" s="217"/>
      <c r="AD90" s="217"/>
      <c r="AE90" s="213"/>
      <c r="AF90" s="215"/>
      <c r="AG90" s="215"/>
      <c r="AH90" s="217"/>
      <c r="AI90" s="217"/>
      <c r="AJ90" s="213"/>
    </row>
    <row r="91" spans="1:36" ht="16">
      <c r="A91" s="213"/>
      <c r="B91" s="214"/>
      <c r="C91" s="215"/>
      <c r="D91" s="216"/>
      <c r="E91" s="217"/>
      <c r="F91" s="213"/>
      <c r="G91" s="214"/>
      <c r="H91" s="215"/>
      <c r="I91" s="217"/>
      <c r="J91" s="217"/>
      <c r="K91" s="213"/>
      <c r="L91" s="215"/>
      <c r="M91" s="215"/>
      <c r="N91" s="217"/>
      <c r="O91" s="217"/>
      <c r="P91" s="213"/>
      <c r="Q91" s="215"/>
      <c r="R91" s="215"/>
      <c r="S91" s="217"/>
      <c r="T91" s="217"/>
      <c r="U91" s="213"/>
      <c r="V91" s="215"/>
      <c r="W91" s="215"/>
      <c r="X91" s="217"/>
      <c r="Y91" s="217"/>
      <c r="Z91" s="213"/>
      <c r="AA91" s="215"/>
      <c r="AB91" s="215"/>
      <c r="AC91" s="217"/>
      <c r="AD91" s="217"/>
      <c r="AE91" s="213"/>
      <c r="AF91" s="215"/>
      <c r="AG91" s="215"/>
      <c r="AH91" s="217"/>
      <c r="AI91" s="217"/>
      <c r="AJ91" s="213"/>
    </row>
    <row r="92" spans="1:36" ht="16">
      <c r="A92" s="213"/>
      <c r="B92" s="214"/>
      <c r="C92" s="215"/>
      <c r="D92" s="216"/>
      <c r="E92" s="217"/>
      <c r="F92" s="213"/>
      <c r="G92" s="214"/>
      <c r="H92" s="215"/>
      <c r="I92" s="217"/>
      <c r="J92" s="217"/>
      <c r="K92" s="213"/>
      <c r="L92" s="215"/>
      <c r="M92" s="215"/>
      <c r="N92" s="217"/>
      <c r="O92" s="217"/>
      <c r="P92" s="213"/>
      <c r="Q92" s="215"/>
      <c r="R92" s="215"/>
      <c r="S92" s="217"/>
      <c r="T92" s="217"/>
      <c r="U92" s="213"/>
      <c r="V92" s="215"/>
      <c r="W92" s="215"/>
      <c r="X92" s="217"/>
      <c r="Y92" s="217"/>
      <c r="Z92" s="213"/>
      <c r="AA92" s="215"/>
      <c r="AB92" s="215"/>
      <c r="AC92" s="217"/>
      <c r="AD92" s="217"/>
      <c r="AE92" s="213"/>
      <c r="AF92" s="215"/>
      <c r="AG92" s="215"/>
      <c r="AH92" s="217"/>
      <c r="AI92" s="217"/>
      <c r="AJ92" s="213"/>
    </row>
    <row r="93" spans="1:36" ht="16">
      <c r="A93" s="213"/>
      <c r="B93" s="214"/>
      <c r="C93" s="215"/>
      <c r="D93" s="216"/>
      <c r="E93" s="217"/>
      <c r="F93" s="213"/>
      <c r="G93" s="214"/>
      <c r="H93" s="215"/>
      <c r="I93" s="217"/>
      <c r="J93" s="217"/>
      <c r="K93" s="213"/>
      <c r="L93" s="215"/>
      <c r="M93" s="215"/>
      <c r="N93" s="217"/>
      <c r="O93" s="217"/>
      <c r="P93" s="213"/>
      <c r="Q93" s="215"/>
      <c r="R93" s="215"/>
      <c r="S93" s="217"/>
      <c r="T93" s="217"/>
      <c r="U93" s="213"/>
      <c r="V93" s="215"/>
      <c r="W93" s="215"/>
      <c r="X93" s="217"/>
      <c r="Y93" s="217"/>
      <c r="Z93" s="213"/>
      <c r="AA93" s="215"/>
      <c r="AB93" s="215"/>
      <c r="AC93" s="217"/>
      <c r="AD93" s="217"/>
      <c r="AE93" s="213"/>
      <c r="AF93" s="215"/>
      <c r="AG93" s="215"/>
      <c r="AH93" s="217"/>
      <c r="AI93" s="217"/>
      <c r="AJ93" s="213"/>
    </row>
    <row r="94" spans="1:36" ht="16">
      <c r="A94" s="213"/>
      <c r="B94" s="214"/>
      <c r="C94" s="215"/>
      <c r="D94" s="216"/>
      <c r="E94" s="217"/>
      <c r="F94" s="213"/>
      <c r="G94" s="214"/>
      <c r="H94" s="215"/>
      <c r="I94" s="217"/>
      <c r="J94" s="217"/>
      <c r="K94" s="213"/>
      <c r="L94" s="215"/>
      <c r="M94" s="215"/>
      <c r="N94" s="217"/>
      <c r="O94" s="217"/>
      <c r="P94" s="213"/>
      <c r="Q94" s="215"/>
      <c r="R94" s="215"/>
      <c r="S94" s="217"/>
      <c r="T94" s="217"/>
      <c r="U94" s="213"/>
      <c r="V94" s="215"/>
      <c r="W94" s="215"/>
      <c r="X94" s="217"/>
      <c r="Y94" s="217"/>
      <c r="Z94" s="213"/>
      <c r="AA94" s="215"/>
      <c r="AB94" s="215"/>
      <c r="AC94" s="217"/>
      <c r="AD94" s="217"/>
      <c r="AE94" s="213"/>
      <c r="AF94" s="215"/>
      <c r="AG94" s="215"/>
      <c r="AH94" s="217"/>
      <c r="AI94" s="217"/>
      <c r="AJ94" s="213"/>
    </row>
    <row r="95" spans="1:36" ht="16">
      <c r="A95" s="213"/>
      <c r="B95" s="214"/>
      <c r="C95" s="215"/>
      <c r="D95" s="216"/>
      <c r="E95" s="217"/>
      <c r="F95" s="213"/>
      <c r="G95" s="214"/>
      <c r="H95" s="215"/>
      <c r="I95" s="217"/>
      <c r="J95" s="217"/>
      <c r="K95" s="213"/>
      <c r="L95" s="215"/>
      <c r="M95" s="215"/>
      <c r="N95" s="217"/>
      <c r="O95" s="217"/>
      <c r="P95" s="213"/>
      <c r="Q95" s="215"/>
      <c r="R95" s="215"/>
      <c r="S95" s="217"/>
      <c r="T95" s="217"/>
      <c r="U95" s="213"/>
      <c r="V95" s="215"/>
      <c r="W95" s="215"/>
      <c r="X95" s="217"/>
      <c r="Y95" s="217"/>
      <c r="Z95" s="213"/>
      <c r="AA95" s="215"/>
      <c r="AB95" s="215"/>
      <c r="AC95" s="217"/>
      <c r="AD95" s="217"/>
      <c r="AE95" s="213"/>
      <c r="AF95" s="215"/>
      <c r="AG95" s="215"/>
      <c r="AH95" s="217"/>
      <c r="AI95" s="217"/>
      <c r="AJ95" s="213"/>
    </row>
    <row r="96" spans="1:36" ht="16">
      <c r="A96" s="213"/>
      <c r="B96" s="214"/>
      <c r="C96" s="215"/>
      <c r="D96" s="217"/>
      <c r="E96" s="217"/>
      <c r="F96" s="213"/>
      <c r="G96" s="214"/>
      <c r="H96" s="215"/>
      <c r="I96" s="217"/>
      <c r="J96" s="217"/>
      <c r="K96" s="213"/>
      <c r="L96" s="215"/>
      <c r="M96" s="215"/>
      <c r="N96" s="217"/>
      <c r="O96" s="217"/>
      <c r="P96" s="213"/>
      <c r="Q96" s="215"/>
      <c r="R96" s="215"/>
      <c r="S96" s="217"/>
      <c r="T96" s="217"/>
      <c r="U96" s="213"/>
      <c r="V96" s="215"/>
      <c r="W96" s="215"/>
      <c r="X96" s="217"/>
      <c r="Y96" s="217"/>
      <c r="Z96" s="213"/>
      <c r="AA96" s="215"/>
      <c r="AB96" s="215"/>
      <c r="AC96" s="217"/>
      <c r="AD96" s="217"/>
      <c r="AE96" s="213"/>
      <c r="AF96" s="215"/>
      <c r="AG96" s="215"/>
      <c r="AH96" s="217"/>
      <c r="AI96" s="217"/>
      <c r="AJ96" s="213"/>
    </row>
    <row r="97" spans="1:36" ht="16">
      <c r="A97" s="213"/>
      <c r="B97" s="214"/>
      <c r="C97" s="215"/>
      <c r="D97" s="217"/>
      <c r="E97" s="217"/>
      <c r="F97" s="213"/>
      <c r="G97" s="214"/>
      <c r="H97" s="215"/>
      <c r="I97" s="217"/>
      <c r="J97" s="217"/>
      <c r="K97" s="213"/>
      <c r="L97" s="215"/>
      <c r="M97" s="215"/>
      <c r="N97" s="217"/>
      <c r="O97" s="217"/>
      <c r="P97" s="213"/>
      <c r="Q97" s="215"/>
      <c r="R97" s="215"/>
      <c r="S97" s="217"/>
      <c r="T97" s="217"/>
      <c r="U97" s="213"/>
      <c r="V97" s="215"/>
      <c r="W97" s="215"/>
      <c r="X97" s="217"/>
      <c r="Y97" s="217"/>
      <c r="Z97" s="213"/>
      <c r="AA97" s="215"/>
      <c r="AB97" s="215"/>
      <c r="AC97" s="217"/>
      <c r="AD97" s="217"/>
      <c r="AE97" s="213"/>
      <c r="AF97" s="215"/>
      <c r="AG97" s="215"/>
      <c r="AH97" s="217"/>
      <c r="AI97" s="217"/>
      <c r="AJ97" s="213"/>
    </row>
    <row r="98" spans="1:36" ht="16">
      <c r="A98" s="213"/>
      <c r="B98" s="214"/>
      <c r="C98" s="215"/>
      <c r="D98" s="217"/>
      <c r="E98" s="217"/>
      <c r="F98" s="213"/>
      <c r="G98" s="214"/>
      <c r="H98" s="215"/>
      <c r="I98" s="217"/>
      <c r="J98" s="217"/>
      <c r="K98" s="213"/>
      <c r="L98" s="215"/>
      <c r="M98" s="215"/>
      <c r="N98" s="217"/>
      <c r="O98" s="217"/>
      <c r="P98" s="213"/>
      <c r="Q98" s="215"/>
      <c r="R98" s="215"/>
      <c r="S98" s="217"/>
      <c r="T98" s="217"/>
      <c r="U98" s="213"/>
      <c r="V98" s="215"/>
      <c r="W98" s="215"/>
      <c r="X98" s="217"/>
      <c r="Y98" s="217"/>
      <c r="Z98" s="213"/>
      <c r="AA98" s="215"/>
      <c r="AB98" s="215"/>
      <c r="AC98" s="217"/>
      <c r="AD98" s="217"/>
      <c r="AE98" s="213"/>
      <c r="AF98" s="215"/>
      <c r="AG98" s="215"/>
      <c r="AH98" s="217"/>
      <c r="AI98" s="217"/>
      <c r="AJ98" s="213"/>
    </row>
    <row r="99" spans="1:36" ht="16">
      <c r="A99" s="213"/>
      <c r="B99" s="214"/>
      <c r="C99" s="215"/>
      <c r="D99" s="217"/>
      <c r="E99" s="217"/>
      <c r="F99" s="213"/>
      <c r="G99" s="214"/>
      <c r="H99" s="215"/>
      <c r="I99" s="218"/>
      <c r="J99" s="219"/>
      <c r="K99" s="213"/>
      <c r="L99" s="215"/>
      <c r="M99" s="215"/>
      <c r="N99" s="220"/>
      <c r="O99" s="220"/>
      <c r="P99" s="213"/>
      <c r="Q99" s="215"/>
      <c r="R99" s="215"/>
      <c r="S99" s="220"/>
      <c r="T99" s="220"/>
      <c r="U99" s="213"/>
      <c r="V99" s="215"/>
      <c r="W99" s="215"/>
      <c r="X99" s="220"/>
      <c r="Y99" s="220"/>
      <c r="Z99" s="213"/>
      <c r="AA99" s="215"/>
      <c r="AB99" s="215"/>
      <c r="AC99" s="221"/>
      <c r="AD99" s="221"/>
      <c r="AE99" s="213"/>
      <c r="AF99" s="215"/>
      <c r="AG99" s="215"/>
      <c r="AH99" s="220"/>
      <c r="AI99" s="220"/>
      <c r="AJ99" s="213"/>
    </row>
  </sheetData>
  <mergeCells count="14">
    <mergeCell ref="B1:E1"/>
    <mergeCell ref="L1:O1"/>
    <mergeCell ref="V1:Y1"/>
    <mergeCell ref="AF1:AI1"/>
    <mergeCell ref="B2:E2"/>
    <mergeCell ref="L2:O2"/>
    <mergeCell ref="V2:Y2"/>
    <mergeCell ref="AF2:AI2"/>
    <mergeCell ref="G1:J1"/>
    <mergeCell ref="G2:J2"/>
    <mergeCell ref="Q1:T1"/>
    <mergeCell ref="Q2:T2"/>
    <mergeCell ref="AA1:AD1"/>
    <mergeCell ref="AA2:AD2"/>
  </mergeCells>
  <hyperlinks>
    <hyperlink ref="D4" r:id="rId1" display="https://www.linkedin.com/learning/cmo-foundations-creating-a-marketing-culture?trk=ondemandfile" xr:uid="{00000000-0004-0000-0C00-000000000000}"/>
    <hyperlink ref="E4" r:id="rId2" display="https://www.linkedin.com/learning/paths/build-a-company-learning-and-development-program?trk=ondemandfile" xr:uid="{00000000-0004-0000-0C00-000001000000}"/>
    <hyperlink ref="I4" r:id="rId3" display="https://www.linkedin.com/learning/10-minutes-un-livre-constituer-son-equipe-pour-atteindre-le-succes?trk=contentmappingfile" xr:uid="{00000000-0004-0000-0C00-000002000000}"/>
    <hyperlink ref="N4" r:id="rId4" display="https://www.linkedin.com/learning/agile-en-accion-construye-tu-equipo-agil?trk=ondemandfile" xr:uid="{00000000-0004-0000-0C00-000003000000}"/>
    <hyperlink ref="O4" r:id="rId5" display="https://www.linkedin.com/learning/paths/conviertete-en-jefe-de-equipo-2?trk=ondemandfile" xr:uid="{00000000-0004-0000-0C00-000004000000}"/>
    <hyperlink ref="S4" r:id="rId6" display="https://www.linkedin.com/learning/agil-arbeiten-agile-meetings-produktiv-durchfuhren?trk=ondemandfile" xr:uid="{00000000-0004-0000-0C00-000005000000}"/>
    <hyperlink ref="T4" r:id="rId7" display="https://www.linkedin.com/learning/paths/die-zusammenarbeit-fordern?trk=ondemandfile" xr:uid="{00000000-0004-0000-0C00-000006000000}"/>
    <hyperlink ref="X4" r:id="rId8" display="https://www.linkedin.com/learning/conducting-one-on-one-meetings?trk=contentmappingfile" xr:uid="{00000000-0004-0000-0C00-000007000000}"/>
    <hyperlink ref="Y4" r:id="rId9" display="https://www.linkedin.com/learning/paths/9577cb77-9246-370e-bb07-e3ee1a2ea5fe?trk=ondemandfile" xr:uid="{00000000-0004-0000-0C00-000008000000}"/>
    <hyperlink ref="AD4" r:id="rId10" display="https://www.linkedin.com/learning/paths/torne-se-um-lider?trk=ondemandfile" xr:uid="{00000000-0004-0000-0C00-000009000000}"/>
    <hyperlink ref="AH4" r:id="rId11" display="https://www.linkedin.com/learning/2-minute-tips-for-senior-leaders-3?trk=ondemandfile" xr:uid="{00000000-0004-0000-0C00-00000A000000}"/>
    <hyperlink ref="AI4" r:id="rId12" display="https://www.linkedin.com/learning/paths/3db8a531-c16b-3623-9891-2cd47ac19f68?trk=ondemandfile" xr:uid="{00000000-0004-0000-0C00-00000B000000}"/>
    <hyperlink ref="D5" r:id="rId13" display="https://www.linkedin.com/learning/the-new-rules-of-work?trk=ondemandfile" xr:uid="{00000000-0004-0000-0C00-00000C000000}"/>
    <hyperlink ref="E5" r:id="rId14" display="https://www.linkedin.com/learning/paths/build-and-manage-effective-teams?trk=ondemandfile" xr:uid="{00000000-0004-0000-0C00-00000D000000}"/>
    <hyperlink ref="I5" r:id="rId15" display="https://www.linkedin.com/learning/accroitre-la-securite-psychologique-de-votre-equipe?trk=contentmappingfile" xr:uid="{00000000-0004-0000-0C00-00000E000000}"/>
    <hyperlink ref="N5" r:id="rId16" display="https://www.linkedin.com/learning/agile-en-accion-impulsar-reuniones-agiles-y-productivas?trk=ondemandfile" xr:uid="{00000000-0004-0000-0C00-00000F000000}"/>
    <hyperlink ref="O5" r:id="rId17" display="https://www.linkedin.com/learning/paths/mejora-tus-dotes-de-liderazgo-y-gestion-de-equipos-de-trabajo?trk=ondemandfile" xr:uid="{00000000-0004-0000-0C00-000010000000}"/>
    <hyperlink ref="S5" r:id="rId18" display="https://www.linkedin.com/learning/agil-arbeiten-ein-agiles-team-aufbauen?trk=ondemandfile" xr:uid="{00000000-0004-0000-0C00-000011000000}"/>
    <hyperlink ref="T5" r:id="rId19" display="https://www.linkedin.com/learning/paths/fuehrungskompetenz-weiterentwickeln?trk=ondemandfile" xr:uid="{00000000-0004-0000-0C00-000012000000}"/>
    <hyperlink ref="X5" r:id="rId20" display="https://www.linkedin.com/learning/microsoft-planner-essential-training-2?trk=ondemandfile" xr:uid="{00000000-0004-0000-0C00-000013000000}"/>
    <hyperlink ref="AC5" r:id="rId21" display="https://www.linkedin.com/learning/big-data-no-rh-o-impacto-dos-dados-no-bem-estar-dos-colaboradores?trk=contentmappingfile" xr:uid="{00000000-0004-0000-0C00-000014000000}"/>
    <hyperlink ref="AD5" r:id="rId22" display="https://www.linkedin.com/learning/paths/como-desenvolver-a-colaboracao-entre-a-equipe?trk=ondemandfile" xr:uid="{00000000-0004-0000-0C00-000015000000}"/>
    <hyperlink ref="AH5" r:id="rId23" display="https://www.linkedin.com/learning/transitioning-from-individual-contributor-to-manager-3?trk=ondemandfile" xr:uid="{00000000-0004-0000-0C00-000016000000}"/>
    <hyperlink ref="AI5" r:id="rId24" display="https://www.linkedin.com/learning/paths/6844219d-129d-3432-be7a-4c32e6eaf336?trk=ondemandfile" xr:uid="{00000000-0004-0000-0C00-000017000000}"/>
    <hyperlink ref="D6" r:id="rId25" display="https://www.linkedin.com/learning/reid-hoffman-and-chris-yeh-on-creating-an-alliance-with-employees?trk=ondemandfile" xr:uid="{00000000-0004-0000-0C00-000018000000}"/>
    <hyperlink ref="E6" r:id="rId26" display="https://www.linkedin.com/learning/paths/fostering-collaboration?trk=ondemandfile" xr:uid="{00000000-0004-0000-0C00-000019000000}"/>
    <hyperlink ref="I6" r:id="rId27" display="https://www.linkedin.com/learning/ameliorer-les-performances-des-employes-employees?trk=contentmappingfile" xr:uid="{00000000-0004-0000-0C00-00001A000000}"/>
    <hyperlink ref="N6" r:id="rId28" display="https://www.linkedin.com/learning/big-data-recursos-humanos-y-gestion-del-bienestar-laboral?trk=contentmappingfile" xr:uid="{00000000-0004-0000-0C00-00001B000000}"/>
    <hyperlink ref="O6" r:id="rId29" display="https://www.linkedin.com/learning/paths/mejora-tu-gestin-de-tiempo-y-productividad?trk=ondemandfile" xr:uid="{00000000-0004-0000-0C00-00001C000000}"/>
    <hyperlink ref="S6" r:id="rId30" display="https://www.linkedin.com/learning/agiler-fuhren-eine-einfuhrung?trk=ondemandfile" xr:uid="{00000000-0004-0000-0C00-00001D000000}"/>
    <hyperlink ref="T6" r:id="rId31" display="https://www.linkedin.com/learning/paths/fuhrungskraft-werden?trk=ondemandfile" xr:uid="{00000000-0004-0000-0C00-00001E000000}"/>
    <hyperlink ref="X6" r:id="rId32" display="https://www.linkedin.com/learning/microsoft-teams-meetings-and-live-events?trk=ondemandfile" xr:uid="{00000000-0004-0000-0C00-00001F000000}"/>
    <hyperlink ref="AD6" r:id="rId33" display="https://www.linkedin.com/learning/paths/trabalho-remoto-colaboracao-foco-e-produtividade?trk=ondemandfile" xr:uid="{00000000-0004-0000-0C00-000020000000}"/>
    <hyperlink ref="AH6" r:id="rId34" display="https://www.linkedin.com/learning/managing-for-results-2?trk=ondemandfile" xr:uid="{00000000-0004-0000-0C00-000021000000}"/>
    <hyperlink ref="AI6" r:id="rId35" display="https://www.linkedin.com/learning/paths/90c69069-2437-32f7-a15c-be75af1531ab?trk=ondemandfile" xr:uid="{00000000-0004-0000-0C00-000022000000}"/>
    <hyperlink ref="D7" r:id="rId36" display="https://www.linkedin.com/learning/doing-good-to-build-a-profitable-business?trk=ondemandfile" xr:uid="{00000000-0004-0000-0C00-000023000000}"/>
    <hyperlink ref="E7" r:id="rId37" display="https://www.linkedin.com/learning/paths/improve-your-coaching-skills-as-a-manager?trk=ondemandfile" xr:uid="{00000000-0004-0000-0C00-000024000000}"/>
    <hyperlink ref="N7" r:id="rId38" display="https://www.linkedin.com/learning/00-bill-george-sobre-self-awareness-autenticidad-y-liderazgo?trk=ondemandfile" xr:uid="{00000000-0004-0000-0C00-000025000000}"/>
    <hyperlink ref="O7" r:id="rId39" display="https://www.linkedin.com/learning/paths/crea-una-atmosfera-de-trabajo-productiva?trk=ondemandfile" xr:uid="{00000000-0004-0000-0C00-000026000000}"/>
    <hyperlink ref="S7" r:id="rId40" display="https://www.linkedin.com/learning/als-fuhrungskraft-das-agile-lernen-im-team-unterstutzen?trk=ondemandfile" xr:uid="{00000000-0004-0000-0C00-000027000000}"/>
    <hyperlink ref="T7" r:id="rId41" display="https://www.linkedin.com/learning/paths/leader-in-werden?trk=ondemandfile" xr:uid="{00000000-0004-0000-0C00-000028000000}"/>
    <hyperlink ref="X7" r:id="rId42" display="https://www.linkedin.com/learning/setting-team-and-employee-goals-14797875?trk=contentmappingfile" xr:uid="{00000000-0004-0000-0C00-000029000000}"/>
    <hyperlink ref="AH7" r:id="rId43" display="https://www.linkedin.com/learning/organizational-culture-2?trk=ondemandfile" xr:uid="{00000000-0004-0000-0C00-00002A000000}"/>
    <hyperlink ref="D8" r:id="rId44" display="https://www.linkedin.com/learning/creating-a-high-performance-culture?trk=ondemandfile" xr:uid="{00000000-0004-0000-0C00-00002B000000}"/>
    <hyperlink ref="E8" r:id="rId45" display="https://www.linkedin.com/learning/paths/managing-performance?trk=ondemandfile" xr:uid="{00000000-0004-0000-0C00-00002C000000}"/>
    <hyperlink ref="I8" r:id="rId46" display="https://www.linkedin.com/learning/choisir-d-etre-un-bon-manager?trk=contentmappingfile" xr:uid="{00000000-0004-0000-0C00-00002D000000}"/>
    <hyperlink ref="N8" r:id="rId47" display="https://www.linkedin.com/learning/communication-within-teams-2?trk=ondemandfile" xr:uid="{00000000-0004-0000-0C00-00002E000000}"/>
    <hyperlink ref="O8" r:id="rId48" display="https://www.linkedin.com/learning/paths/fomenta-la-colaboracion-en-tu-equipo?trk=ondemandfile" xr:uid="{00000000-0004-0000-0C00-00002F000000}"/>
    <hyperlink ref="S8" r:id="rId49" display="https://www.linkedin.com/learning/als-ingenieur-in-oder-it-expert-in-mitarbeiter-fuhren?trk=ondemandfile" xr:uid="{00000000-0004-0000-0C00-000030000000}"/>
    <hyperlink ref="T8" r:id="rId50" display="https://www.linkedin.com/learning/paths/leistungsorientiertes-management" xr:uid="{00000000-0004-0000-0C00-000031000000}"/>
    <hyperlink ref="X8" r:id="rId51" display="https://www.linkedin.com/learning/managing-multiple-generations-8332500?trk=ondemandfile" xr:uid="{00000000-0004-0000-0C00-000032000000}"/>
    <hyperlink ref="AC8" r:id="rId52" display="https://www.linkedin.com/learning/como-apoiar-sua-equipe-na-gestao-da-ansiedade?trk=contentmappingfile" xr:uid="{00000000-0004-0000-0C00-000033000000}"/>
    <hyperlink ref="AH8" r:id="rId53" display="https://www.linkedin.com/learning/characteristics-of-a-great-scrum-master-3?trk=ondemandfile" xr:uid="{00000000-0004-0000-0C00-000034000000}"/>
    <hyperlink ref="D9" r:id="rId54" display="https://www.linkedin.com/learning/the-long-distance-leader-getabstract-summary?trk=ondemandfile" xr:uid="{00000000-0004-0000-0C00-000035000000}"/>
    <hyperlink ref="E9" r:id="rId55" display="https://www.linkedin.com/learning/paths/improve-your-teamwork-skills?trk=ondemandfile" xr:uid="{00000000-0004-0000-0C00-000036000000}"/>
    <hyperlink ref="I9" r:id="rId56" display="https://www.linkedin.com/learning/coacher-et-aider-ses-employes-employees-a-se-developper?trk=contentmappingfile" xr:uid="{00000000-0004-0000-0C00-000037000000}"/>
    <hyperlink ref="N9" r:id="rId57" display="https://www.linkedin.com/learning/00-building-high-performance-teams?trk=ondemandfile" xr:uid="{00000000-0004-0000-0C00-000038000000}"/>
    <hyperlink ref="O9" r:id="rId58" display="https://www.linkedin.com/learning/paths/liderazgo-en-tiempos-de-transformacion-digital?trk=ondemandfile" xr:uid="{00000000-0004-0000-0C00-000039000000}"/>
    <hyperlink ref="S9" r:id="rId59" display="https://www.linkedin.com/learning/bereit-zur-fuhrung?trk=ondemandfile" xr:uid="{00000000-0004-0000-0C00-00003A000000}"/>
    <hyperlink ref="T9" r:id="rId60" display="https://www.linkedin.com/learning/paths/mitarbeiter-finden-und-halten?trk=ondemandfile" xr:uid="{00000000-0004-0000-0C00-00003B000000}"/>
    <hyperlink ref="X9" r:id="rId61" display="https://www.linkedin.com/learning/517cf00b-93c8-3071-96d2-57bcd2301991?trk=ondemandfile" xr:uid="{00000000-0004-0000-0C00-00003C000000}"/>
    <hyperlink ref="AH9" r:id="rId62" display="https://www.linkedin.com/learning/creating-a-high-performance-culture-4?trk=ondemandfile" xr:uid="{00000000-0004-0000-0C00-00003D000000}"/>
    <hyperlink ref="D10" r:id="rId63" display="https://www.linkedin.com/learning/rewarding-employee-performance?trk=ondemandfile" xr:uid="{00000000-0004-0000-0C00-00003E000000}"/>
    <hyperlink ref="N10" r:id="rId64" display="https://www.linkedin.com/learning/como-crear-una-cultura-de-alto-rendimiento?trk=ondemandfile" xr:uid="{00000000-0004-0000-0C00-00003F000000}"/>
    <hyperlink ref="O10" r:id="rId65" display="https://www.linkedin.com/learning/paths/amplia-tus-competencias-de-trabajo-en-equipo-colaborativo-y-digital?trk=ondemandfile" xr:uid="{00000000-0004-0000-0C00-000040000000}"/>
    <hyperlink ref="S10" r:id="rId66" display="https://www.linkedin.com/learning/besprechungen-moderieren?trk=ondemandfile" xr:uid="{00000000-0004-0000-0C00-000041000000}"/>
    <hyperlink ref="T10" r:id="rId67" display="https://www.linkedin.com/learning/paths/teams-aufbauen-und-fuehren?trk=ondemandfile" xr:uid="{00000000-0004-0000-0C00-000042000000}"/>
    <hyperlink ref="X10" r:id="rId68" display="https://www.linkedin.com/learning/leading-and-working-in-teams-2?trk=ondemandfile" xr:uid="{00000000-0004-0000-0C00-000043000000}"/>
    <hyperlink ref="AC10" r:id="rId69" display="https://www.linkedin.com/learning/como-colaborar-de-forma-eficaz-com-sua-equipe?trk=contentmappingfile" xr:uid="{00000000-0004-0000-0C00-000044000000}"/>
    <hyperlink ref="AH10" r:id="rId70" display="https://www.linkedin.com/learning/finding-and-retaining-high-potentials-2?trk=ondemandfile" xr:uid="{00000000-0004-0000-0C00-000045000000}"/>
    <hyperlink ref="D11" r:id="rId71" display="https://www.linkedin.com/learning/communicating-to-drive-people-to-take-action?trk=ondemandfile" xr:uid="{00000000-0004-0000-0C00-000046000000}"/>
    <hyperlink ref="N11" r:id="rId72" display="https://www.linkedin.com/learning/como-dar-feedback-a-tu-personal?trk=contentmappingfile" xr:uid="{00000000-0004-0000-0C00-000047000000}"/>
    <hyperlink ref="O11" r:id="rId73" display="https://www.linkedin.com/learning/paths/profundiza-en-la-busqueda-seleccion-y-retencion-de-talentos?trk=ondemandfile" xr:uid="{00000000-0004-0000-0C00-000048000000}"/>
    <hyperlink ref="S11" r:id="rId74" display="https://www.linkedin.com/learning/das-personal-der-zukunft?trk=ondemandfile" xr:uid="{00000000-0004-0000-0C00-000049000000}"/>
    <hyperlink ref="X11" r:id="rId75" display="https://www.linkedin.com/learning/managing-virtual-teams?trk=ondemandfile" xr:uid="{00000000-0004-0000-0C00-00004A000000}"/>
    <hyperlink ref="AH11" r:id="rId76" display="https://www.linkedin.com/learning/communicating-with-empathy-2?trk=ondemandfile" xr:uid="{00000000-0004-0000-0C00-00004B000000}"/>
    <hyperlink ref="D12" r:id="rId77" display="https://www.linkedin.com/learning/measuring-team-performance?trk=ondemandfile" xr:uid="{00000000-0004-0000-0C00-00004C000000}"/>
    <hyperlink ref="I12" r:id="rId78" display="https://www.linkedin.com/learning/conseils-d-experte-manager-la-generation-z?trk=contentmappingfile" xr:uid="{00000000-0004-0000-0C00-00004D000000}"/>
    <hyperlink ref="N12" r:id="rId79" display="https://www.linkedin.com/learning/como-dar-y-recibir-feedback-o-retroalimentacion?trk=contentmappingfile" xr:uid="{00000000-0004-0000-0C00-00004E000000}"/>
    <hyperlink ref="O12" r:id="rId80" display="https://www.linkedin.com/learning/paths/trabajo-a-distancia-preparandote-a-ti-mismo-y-a-tus-equipos-para-el-exito?trk=ondemandfile" xr:uid="{00000000-0004-0000-0C00-00004F000000}"/>
    <hyperlink ref="S12" r:id="rId81" display="https://www.linkedin.com/learning/den-eigenen-fuhrungsstil-entwickeln?trk=ondemandfile" xr:uid="{00000000-0004-0000-0C00-000050000000}"/>
    <hyperlink ref="X12" r:id="rId82" display="https://www.linkedin.com/learning/building-high-performance-teams-3?trk=ondemandfile" xr:uid="{00000000-0004-0000-0C00-000051000000}"/>
    <hyperlink ref="AH12" r:id="rId83" display="https://www.linkedin.com/learning/delegating-tasks-to-your-team-2?trk=ondemandfile" xr:uid="{00000000-0004-0000-0C00-000052000000}"/>
    <hyperlink ref="D13" r:id="rId84" display="https://www.linkedin.com/learning/managing-new-managers?trk=ondemandfile" xr:uid="{00000000-0004-0000-0C00-000053000000}"/>
    <hyperlink ref="N13" r:id="rId85" display="https://www.linkedin.com/learning/c-mo-gestionar-equipos-de-trabajo?trk=ondemandfile" xr:uid="{00000000-0004-0000-0C00-000054000000}"/>
    <hyperlink ref="S13" r:id="rId86" display="https://www.linkedin.com/learning/die-ersten-100-tage-als-fuhrungskraft-2?trk=ondemandfile" xr:uid="{00000000-0004-0000-0C00-000055000000}"/>
    <hyperlink ref="X13" r:id="rId87" display="https://www.linkedin.com/learning/business-english-foundations-conducting-meetings?trk=ondemandfile" xr:uid="{00000000-0004-0000-0C00-000056000000}"/>
    <hyperlink ref="AH13" r:id="rId88" display="https://www.linkedin.com/learning/creating-the-conditions-for-others-to-thrive-9615462?trk=contentmappingfile" xr:uid="{00000000-0004-0000-0C00-000057000000}"/>
    <hyperlink ref="D14" r:id="rId89" display="https://www.linkedin.com/learning/build-your-team?trk=ondemandfile" xr:uid="{00000000-0004-0000-0C00-000058000000}"/>
    <hyperlink ref="N14" r:id="rId90" display="https://www.linkedin.com/learning/como-gestionar-un-equipo-de-atencion-al-cliente?trk=ondemandfile" xr:uid="{00000000-0004-0000-0C00-000059000000}"/>
    <hyperlink ref="S14" r:id="rId91" display="https://www.linkedin.com/learning/die-leistung-der-mitarbeiter-innen-steigern?trk=ondemandfile" xr:uid="{00000000-0004-0000-0C00-00005A000000}"/>
    <hyperlink ref="X14" r:id="rId92" display="https://www.linkedin.com/learning/managing-high-performers-15918448?trk=contentmappingfile" xr:uid="{00000000-0004-0000-0C00-00005B000000}"/>
    <hyperlink ref="AH14" r:id="rId93" display="https://www.linkedin.com/learning/employee-engagement-3?trk=ondemandfile" xr:uid="{00000000-0004-0000-0C00-00005C000000}"/>
    <hyperlink ref="D15" r:id="rId94" display="https://www.linkedin.com/learning/how-to-set-team-and-employee-goals?trk=ondemandfile" xr:uid="{00000000-0004-0000-0C00-00005D000000}"/>
    <hyperlink ref="N15" r:id="rId95" display="https://www.linkedin.com/learning/como-gestionar-un-equipo-multigeneracional?trk=contentmappingfile" xr:uid="{00000000-0004-0000-0C00-00005E000000}"/>
    <hyperlink ref="S15" r:id="rId96" display="https://www.linkedin.com/learning/00-teamkreativitat?trk=ondemandfile" xr:uid="{00000000-0004-0000-0C00-00005F000000}"/>
    <hyperlink ref="X15" r:id="rId97" display="https://www.linkedin.com/learning/managing-high-potentials-15917491?trk=contentmappingfile" xr:uid="{00000000-0004-0000-0C00-000060000000}"/>
    <hyperlink ref="AH15" r:id="rId98" display="https://www.linkedin.com/learning/teamwork-foundations-3?trk=ondemandfile" xr:uid="{00000000-0004-0000-0C00-000061000000}"/>
    <hyperlink ref="D16" r:id="rId99" display="https://www.linkedin.com/learning/culture-of-kaizen?trk=ondemandfile" xr:uid="{00000000-0004-0000-0C00-000062000000}"/>
    <hyperlink ref="N16" r:id="rId100" display="https://www.linkedin.com/learning/como-hacer-coaching-a-tu-personal-para-obtener-resultados?trk=contentmappingfile" xr:uid="{00000000-0004-0000-0C00-000063000000}"/>
    <hyperlink ref="S16" r:id="rId101" display="https://www.linkedin.com/learning/durch-360-grad-fuhrung-aufsteigen?trk=ondemandfile" xr:uid="{00000000-0004-0000-0C00-000064000000}"/>
    <hyperlink ref="X16" r:id="rId102" display="https://www.linkedin.com/learning/leading-productive-meetings?trk=ondemandfile" xr:uid="{00000000-0004-0000-0C00-000065000000}"/>
    <hyperlink ref="AH16" r:id="rId103" display="https://www.linkedin.com/learning/grit-how-teams-persevere-to-accomplish-great-goals-2?trk=contentmappingfile" xr:uid="{00000000-0004-0000-0C00-000066000000}"/>
    <hyperlink ref="D17" r:id="rId104" display="https://www.linkedin.com/learning/the-practices-of-high-performing-employees?trk=ondemandfile" xr:uid="{00000000-0004-0000-0C00-000067000000}"/>
    <hyperlink ref="N17" r:id="rId105" display="https://www.linkedin.com/learning/como-identificar-y-retener-personal-con-alto-potencial?trk=ondemandfile" xr:uid="{00000000-0004-0000-0C00-000068000000}"/>
    <hyperlink ref="S17" r:id="rId106" display="https://www.linkedin.com/learning/eine-hochleistungskultur-schaffen?trk=ondemandfile" xr:uid="{00000000-0004-0000-0C00-000069000000}"/>
    <hyperlink ref="X17" r:id="rId107" display="https://www.linkedin.com/learning/managing-globally-4?trk=ondemandfile" xr:uid="{00000000-0004-0000-0C00-00006A000000}"/>
    <hyperlink ref="AH17" r:id="rId108" display="https://www.linkedin.com/learning/communication-within-teams-3?trk=ondemandfile" xr:uid="{00000000-0004-0000-0C00-00006B000000}"/>
    <hyperlink ref="D18" r:id="rId109" display="https://www.linkedin.com/learning/how-to-give-and-receive-useful-feedback-every-month?trk=ondemandfile" xr:uid="{00000000-0004-0000-0C00-00006C000000}"/>
    <hyperlink ref="N18" r:id="rId110" display="https://www.linkedin.com/learning/como-integrar-a-personas-nuevas-en-la-empresa?trk=contentmappingfile" xr:uid="{00000000-0004-0000-0C00-00006D000000}"/>
    <hyperlink ref="S18" r:id="rId111" display="https://www.linkedin.com/learning/erfahrene-fuhrungskrafte-fuhren?trk=ondemandfile" xr:uid="{00000000-0004-0000-0C00-00006E000000}"/>
    <hyperlink ref="X18" r:id="rId112" display="https://www.linkedin.com/learning/managing-meetings-2?trk=ondemandfile" xr:uid="{00000000-0004-0000-0C00-00006F000000}"/>
    <hyperlink ref="AH18" r:id="rId113" display="https://www.linkedin.com/learning/performance-based-hiring-2?trk=ondemandfile" xr:uid="{00000000-0004-0000-0C00-000070000000}"/>
    <hyperlink ref="D19" r:id="rId114" display="https://www.linkedin.com/learning/productive-leadership?trk=ondemandfile" xr:uid="{00000000-0004-0000-0C00-000071000000}"/>
    <hyperlink ref="I19" r:id="rId115" display="https://www.linkedin.com/learning/developper-la-motivation-et-l-engagement-des-employes-employees?trk=contentmappingfile" xr:uid="{00000000-0004-0000-0C00-000072000000}"/>
    <hyperlink ref="N19" r:id="rId116" display="https://www.linkedin.com/learning/como-liderar-equipos-de-alto-potencial?trk=contentmappingfile" xr:uid="{00000000-0004-0000-0C00-000073000000}"/>
    <hyperlink ref="S19" r:id="rId117" display="https://www.linkedin.com/learning/00-ergebnis-manag?trk=ondemandfile" xr:uid="{00000000-0004-0000-0C00-000074000000}"/>
    <hyperlink ref="X19" r:id="rId118" display="https://www.linkedin.com/learning/coaching-and-developing-employee?trk=ondemandfile" xr:uid="{00000000-0004-0000-0C00-000075000000}"/>
    <hyperlink ref="AH19" r:id="rId119" display="https://www.linkedin.com/learning/supporting-a-grieving-employee-a-manager-s-guide-3?trk=contentmappingfile" xr:uid="{00000000-0004-0000-0C00-000076000000}"/>
    <hyperlink ref="D20" r:id="rId120" display="https://www.linkedin.com/learning/identify-and-unleash-potential-in-your-employees?trk=ondemandfile" xr:uid="{00000000-0004-0000-0C00-000077000000}"/>
    <hyperlink ref="I20" r:id="rId121" display="https://www.linkedin.com/learning/developper-l-engagement-des-employes-employees?trk=contentmappingfile" xr:uid="{00000000-0004-0000-0C00-000078000000}"/>
    <hyperlink ref="N20" r:id="rId122" display="https://www.linkedin.com/learning/como-liderar-equipos-inclusivos?trk=ondemandfile" xr:uid="{00000000-0004-0000-0C00-000079000000}"/>
    <hyperlink ref="S20" r:id="rId123" display="https://www.linkedin.com/learning/expert-innen-fuhren?trk=ondemandfile" xr:uid="{00000000-0004-0000-0C00-00007A000000}"/>
    <hyperlink ref="AC20" r:id="rId124" display="https://www.linkedin.com/learning/como-gerenciar-sua-equipe-em-tempos-dificeis?trk=contentmappingfile" xr:uid="{00000000-0004-0000-0C00-00007B000000}"/>
    <hyperlink ref="AH20" r:id="rId125" display="https://www.linkedin.com/learning/building-accountability-into-your-culture-3?trk=ondemandfile" xr:uid="{00000000-0004-0000-0C00-00007C000000}"/>
    <hyperlink ref="D21" r:id="rId126" display="https://www.linkedin.com/learning/virtual-and-hybrid-meeting-essentials?trk=ondemandfile" xr:uid="{00000000-0004-0000-0C00-00007D000000}"/>
    <hyperlink ref="N21" r:id="rId127" display="https://www.linkedin.com/learning/como-liderar-reuniones-individuales-productivas?trk=ondemandfile" xr:uid="{00000000-0004-0000-0C00-00007E000000}"/>
    <hyperlink ref="S21" r:id="rId128" display="https://www.linkedin.com/learning/fuhren-mit-innovation?trk=ondemandfile" xr:uid="{00000000-0004-0000-0C00-00007F000000}"/>
    <hyperlink ref="AH21" r:id="rId129" display="https://www.linkedin.com/learning/building-your-team-4?trk=ondemandfile" xr:uid="{00000000-0004-0000-0C00-000080000000}"/>
    <hyperlink ref="D22" r:id="rId130" display="https://www.linkedin.com/learning/hiring-an-employee-for-managers?trk=ondemandfile" xr:uid="{00000000-0004-0000-0C00-000081000000}"/>
    <hyperlink ref="N22" r:id="rId131" display="https://www.linkedin.com/learning/como-medir-el-rendimiento-de-tu-equipo?trk=contentmappingfile" xr:uid="{00000000-0004-0000-0C00-000082000000}"/>
    <hyperlink ref="S22" r:id="rId132" display="https://www.linkedin.com/learning/fuhren-ohne-positionsmacht?trk=ondemandfile" xr:uid="{00000000-0004-0000-0C00-000083000000}"/>
    <hyperlink ref="AC22" r:id="rId133" display="https://www.linkedin.com/learning/como-integrar-novos-colaboradores-e-colaboradoras-a-empresa?trk=contentmappingfile" xr:uid="{00000000-0004-0000-0C00-000084000000}"/>
    <hyperlink ref="AH22" r:id="rId134" display="https://www.linkedin.com/learning/building-high-performance-teams-4?trk=ondemandfile" xr:uid="{00000000-0004-0000-0C00-000085000000}"/>
    <hyperlink ref="D23" r:id="rId135" display="https://www.linkedin.com/learning/leading-virtual-meetings?trk=ondemandfile" xr:uid="{00000000-0004-0000-0C00-000086000000}"/>
    <hyperlink ref="N23" r:id="rId136" display="https://www.linkedin.com/learning/como-mejorar-el-rendimiento-de-tu-personal?trk=contentmappingfile" xr:uid="{00000000-0004-0000-0C00-000087000000}"/>
    <hyperlink ref="S23" r:id="rId137" display="https://www.linkedin.com/learning/00-fuhrung-21-jahrhundert?trk=ondemandfile" xr:uid="{00000000-0004-0000-0C00-000088000000}"/>
    <hyperlink ref="AH23" r:id="rId138" display="https://www.linkedin.com/learning/84777a9a-010b-3e75-8b28-27d3706e8c9a?trk=ondemandfile" xr:uid="{00000000-0004-0000-0C00-000089000000}"/>
    <hyperlink ref="D24" r:id="rId139" display="https://www.linkedin.com/learning/coaching-and-developing-employees-2019?trk=ondemandfile" xr:uid="{00000000-0004-0000-0C00-00008A000000}"/>
    <hyperlink ref="N24" r:id="rId140" display="https://www.linkedin.com/learning/como-orientar-y-desarrollar-a-tu-personal?trk=contentmappingfile" xr:uid="{00000000-0004-0000-0C00-00008B000000}"/>
    <hyperlink ref="S24" r:id="rId141" display="https://www.linkedin.com/learning/fuhrung-im-team-warum-teams-die-besseren-fuhrungskrafte-sind?trk=contentmappingfile" xr:uid="{00000000-0004-0000-0C00-00008C000000}"/>
    <hyperlink ref="AC24" r:id="rId142" display="https://www.linkedin.com/learning/como-liderar-e-incentivar-equipes-virtuais-para-estimular-a-motivacao-no-trabalho?trk=contentmappingfile" xr:uid="{00000000-0004-0000-0C00-00008D000000}"/>
    <hyperlink ref="AH24" r:id="rId143" display="https://www.linkedin.com/learning/agile-at-work-driving-productive-agile-meetings-3?trk=ondemandfile" xr:uid="{00000000-0004-0000-0C00-00008E000000}"/>
    <hyperlink ref="D25" r:id="rId144" display="https://www.linkedin.com/learning/improving-employee-performance?trk=ondemandfile" xr:uid="{00000000-0004-0000-0C00-00008F000000}"/>
    <hyperlink ref="I25" r:id="rId145" display="https://www.linkedin.com/learning/etablir-des-objectifs-pour-son-equipe-et-ses-employes-employees?trk=contentmappingfile" xr:uid="{00000000-0004-0000-0C00-000090000000}"/>
    <hyperlink ref="N25" r:id="rId146" display="https://www.linkedin.com/learning/como-ser-parte-de-un-ambiente-de-trabajo-positivo?trk=ondemandfile" xr:uid="{00000000-0004-0000-0C00-000091000000}"/>
    <hyperlink ref="S25" r:id="rId147" display="https://www.linkedin.com/learning/fuhrung-im-vertrieb-limbecks-leadership-lektionen?trk=ondemandfile" xr:uid="{00000000-0004-0000-0C00-000092000000}"/>
    <hyperlink ref="AH25" r:id="rId148" display="https://www.linkedin.com/learning/onboarding-new-hires-2?trk=contentmappingfile" xr:uid="{00000000-0004-0000-0C00-000093000000}"/>
    <hyperlink ref="D26" r:id="rId149" display="https://www.linkedin.com/learning/managing-teams-2018?trk=ondemandfile" xr:uid="{00000000-0004-0000-0C00-000094000000}"/>
    <hyperlink ref="N26" r:id="rId150" display="https://www.linkedin.com/learning/como-ser-un-miembro-eficaz-del-equipo?trk=contentmappingfile" xr:uid="{00000000-0004-0000-0C00-000095000000}"/>
    <hyperlink ref="S26" r:id="rId151" display="https://www.linkedin.com/learning/00-fuhrungsfallen?trk=ondemandfile" xr:uid="{00000000-0004-0000-0C00-000096000000}"/>
    <hyperlink ref="AH26" r:id="rId152" display="https://www.linkedin.com/learning/unlock-your-team-s-creativity-2?trk=ondemandfile" xr:uid="{00000000-0004-0000-0C00-000097000000}"/>
    <hyperlink ref="D27" r:id="rId153" display="https://www.linkedin.com/learning/managing-virtual-teams-2019?trk=ondemandfile" xr:uid="{00000000-0004-0000-0C00-000098000000}"/>
    <hyperlink ref="N27" r:id="rId154" display="https://www.linkedin.com/learning/creatividad-en-la-empresa?trk=ondemandfile" xr:uid="{00000000-0004-0000-0C00-000099000000}"/>
    <hyperlink ref="S27" r:id="rId155" display="https://www.linkedin.com/learning/fuhrungsqualitaten-fur-topmanager?trk=ondemandfile" xr:uid="{00000000-0004-0000-0C00-00009A000000}"/>
    <hyperlink ref="AH27" r:id="rId156" display="https://www.linkedin.com/learning/managing-meetings-3?trk=ondemandfile" xr:uid="{00000000-0004-0000-0C00-00009B000000}"/>
    <hyperlink ref="D28" r:id="rId157" display="https://www.linkedin.com/learning/motivating-and-engaging-employees-2?trk=ondemandfile" xr:uid="{00000000-0004-0000-0C00-00009C000000}"/>
    <hyperlink ref="I28" r:id="rId158" display="https://www.linkedin.com/learning/gerer-les-problemes-de-performance-de-ses-employes-employees?trk=contentmappingfile" xr:uid="{00000000-0004-0000-0C00-00009D000000}"/>
    <hyperlink ref="N28" r:id="rId159" display="https://www.linkedin.com/learning/00-desarrolla-la-adaptabilidad-de-tus-empleados?trk=ondemandfile" xr:uid="{00000000-0004-0000-0C00-00009E000000}"/>
    <hyperlink ref="S28" r:id="rId160" display="https://www.linkedin.com/learning/fuhrungsstarke-ausstrahlen?trk=ondemandfile" xr:uid="{00000000-0004-0000-0C00-00009F000000}"/>
    <hyperlink ref="AC28" r:id="rId161" display="https://www.linkedin.com/learning/como-passar-da-colaboracao-a-gerencia?trk=contentmappingfile" xr:uid="{00000000-0004-0000-0C00-0000A0000000}"/>
    <hyperlink ref="AH28" r:id="rId162" display="https://www.linkedin.com/learning/managing-employee-performance-problems-5?trk=ondemandfile" xr:uid="{00000000-0004-0000-0C00-0000A1000000}"/>
    <hyperlink ref="D29" r:id="rId163" display="https://www.linkedin.com/learning/leading-inclusive-teams?trk=ondemandfile" xr:uid="{00000000-0004-0000-0C00-0000A2000000}"/>
    <hyperlink ref="N29" r:id="rId164" display="https://www.linkedin.com/learning/el-futuro-de-la-gestion-del-rendimiento?trk=ondemandfile" xr:uid="{00000000-0004-0000-0C00-0000A3000000}"/>
    <hyperlink ref="S29" r:id="rId165" display="https://www.linkedin.com/learning/fuhrungsstarke-ausstrahlen-tipps-fur-frauen?trk=ondemandfile" xr:uid="{00000000-0004-0000-0C00-0000A4000000}"/>
    <hyperlink ref="AH29" r:id="rId166" display="https://www.linkedin.com/learning/managing-team-conflict-15962506?trk=contentmappingfile" xr:uid="{00000000-0004-0000-0C00-0000A5000000}"/>
    <hyperlink ref="D30" r:id="rId167" display="https://www.linkedin.com/learning/becoming-a-manager-your-team-loves?trk=ondemandfile" xr:uid="{00000000-0004-0000-0C00-0000A6000000}"/>
    <hyperlink ref="N30" r:id="rId168" display="https://www.linkedin.com/learning/empodera-a-tu-equipo?trk=contentmappingfile" xr:uid="{00000000-0004-0000-0C00-0000A7000000}"/>
    <hyperlink ref="S30" r:id="rId169" display="https://www.linkedin.com/learning/gesund-fuhren?trk=contentmappingfile" xr:uid="{00000000-0004-0000-0C00-0000A8000000}"/>
    <hyperlink ref="AH30" r:id="rId170" display="https://www.linkedin.com/learning/managing-a-diverse-team-2?trk=ondemandfile" xr:uid="{00000000-0004-0000-0C00-0000A9000000}"/>
    <hyperlink ref="D31" r:id="rId171" display="https://www.linkedin.com/learning/building-high-performance-teams?trk=ondemandfile" xr:uid="{00000000-0004-0000-0C00-0000AA000000}"/>
    <hyperlink ref="N31" r:id="rId172" display="https://www.linkedin.com/learning/fundamentos-de-gestion-de-equipos-it-y-programacion?trk=ondemandfile" xr:uid="{00000000-0004-0000-0C00-0000AB000000}"/>
    <hyperlink ref="S31" r:id="rId173" display="https://www.linkedin.com/learning/grundlagen-von-fuhrung-2?trk=ondemandfile" xr:uid="{00000000-0004-0000-0C00-0000AC000000}"/>
    <hyperlink ref="AC31" r:id="rId174" display="https://www.linkedin.com/learning/contratacao-e-desenvolvimento-de-futuros-colaboradores-e-colaboradoras?trk=contentmappingfile" xr:uid="{00000000-0004-0000-0C00-0000AD000000}"/>
    <hyperlink ref="AH31" r:id="rId175" display="https://www.linkedin.com/learning/managing-new-managers-4?trk=ondemandfile" xr:uid="{00000000-0004-0000-0C00-0000AE000000}"/>
    <hyperlink ref="D32" r:id="rId176" display="https://www.linkedin.com/learning/developing-leaders-on-your-team?trk=ondemandfile" xr:uid="{00000000-0004-0000-0C00-0000AF000000}"/>
    <hyperlink ref="N32" r:id="rId177" display="https://www.linkedin.com/learning/00-project-management-foundations-teams?trk=ondemandfile" xr:uid="{00000000-0004-0000-0C00-0000B0000000}"/>
    <hyperlink ref="S32" r:id="rId178" display="https://www.linkedin.com/learning/hochleistungsteams-aufbauen?trk=ondemandfile" xr:uid="{00000000-0004-0000-0C00-0000B1000000}"/>
    <hyperlink ref="AH32" r:id="rId179" display="https://www.linkedin.com/learning/managing-virtual-teams-3?trk=ondemandfile" xr:uid="{00000000-0004-0000-0C00-0000B2000000}"/>
    <hyperlink ref="D33" r:id="rId180" display="https://www.linkedin.com/learning/facilitation-skills-for-managers-and-leaders?trk=ondemandfile" xr:uid="{00000000-0004-0000-0C00-0000B3000000}"/>
    <hyperlink ref="N33" r:id="rId181" display="https://www.linkedin.com/learning/00-fundamentos-de-la-gestion-de-proyectos-liderazgo?trk=ondemandfile" xr:uid="{00000000-0004-0000-0C00-0000B4000000}"/>
    <hyperlink ref="S33" r:id="rId182" display="https://www.linkedin.com/learning/hybride-teams-fuhren?trk=contentmappingfile" xr:uid="{00000000-0004-0000-0C00-0000B5000000}"/>
    <hyperlink ref="AH33" r:id="rId183" display="https://www.linkedin.com/learning/managing-high-potentials-3?trk=ondemandfile" xr:uid="{00000000-0004-0000-0C00-0000B6000000}"/>
    <hyperlink ref="D34" r:id="rId184" display="https://www.linkedin.com/learning/leading-and-working-in-teams?trk=ondemandfile" xr:uid="{00000000-0004-0000-0C00-0000B7000000}"/>
    <hyperlink ref="N34" r:id="rId185" display="https://www.linkedin.com/learning/fundamentos-de-la-productividad?trk=ondemandfile" xr:uid="{00000000-0004-0000-0C00-0000B8000000}"/>
    <hyperlink ref="S34" r:id="rId186" display="https://www.linkedin.com/learning/ihre-fuhrungsphilosophie-entwickeln?trk=ondemandfile" xr:uid="{00000000-0004-0000-0C00-0000B9000000}"/>
    <hyperlink ref="AH34" r:id="rId187" display="https://www.linkedin.com/learning/managing-high-performers-3?trk=ondemandfile" xr:uid="{00000000-0004-0000-0C00-0000BA000000}"/>
    <hyperlink ref="D35" r:id="rId188" display="https://www.linkedin.com/learning/managing-a-cross-functional-team?trk=ondemandfile" xr:uid="{00000000-0004-0000-0C00-0000BB000000}"/>
    <hyperlink ref="N35" r:id="rId189" display="https://www.linkedin.com/learning/gestion-de-equipos-mediante-okr-s-o-misiones-objetivos-y-resultados-clave?trk=contentmappingfile" xr:uid="{00000000-0004-0000-0C00-0000BC000000}"/>
    <hyperlink ref="S35" r:id="rId190" display="https://www.linkedin.com/learning/00-teamarbeit?trk=ondemandfile" xr:uid="{00000000-0004-0000-0C00-0000BD000000}"/>
    <hyperlink ref="AH35" r:id="rId191" display="https://www.linkedin.com/learning/setting-team-and-employee-goals-3?trk=ondemandfile" xr:uid="{00000000-0004-0000-0C00-0000BE000000}"/>
    <hyperlink ref="D36" r:id="rId192" display="https://www.linkedin.com/learning/managing-a-diverse-team?trk=ondemandfile" xr:uid="{00000000-0004-0000-0C00-0000BF000000}"/>
    <hyperlink ref="N36" r:id="rId193" display="https://www.linkedin.com/learning/herramientas-online-para-teletrabajo-trucos?trk=ondemandfile" xr:uid="{00000000-0004-0000-0C00-0000C0000000}"/>
    <hyperlink ref="S36" r:id="rId194" display="https://www.linkedin.com/learning/im-team-kommunizieren?trk=ondemandfile" xr:uid="{00000000-0004-0000-0C00-0000C1000000}"/>
    <hyperlink ref="AH36" r:id="rId195" display="https://www.linkedin.com/learning/measuring-team-performance-5?trk=ondemandfile" xr:uid="{00000000-0004-0000-0C00-0000C2000000}"/>
    <hyperlink ref="D37" r:id="rId196" display="https://www.linkedin.com/learning/managing-team-conflict?trk=ondemandfile" xr:uid="{00000000-0004-0000-0C00-0000C3000000}"/>
    <hyperlink ref="N37" r:id="rId197" display="https://www.linkedin.com/learning/liderazgo-agil-como-afrontar-la-nueva-normalidad?trk=ondemandfile" xr:uid="{00000000-0004-0000-0C00-0000C4000000}"/>
    <hyperlink ref="S37" r:id="rId198" display="https://www.linkedin.com/learning/00-anteilmanag?trk=ondemandfile" xr:uid="{00000000-0004-0000-0C00-0000C5000000}"/>
    <hyperlink ref="AH37" r:id="rId199" display="https://www.linkedin.com/learning/coaching-and-developing-employees-3?trk=ondemandfile" xr:uid="{00000000-0004-0000-0C00-0000C6000000}"/>
    <hyperlink ref="D38" r:id="rId200" display="https://www.linkedin.com/learning/practicing-fairness-as-a-manager?trk=ondemandfile" xr:uid="{00000000-0004-0000-0C00-0000C7000000}"/>
    <hyperlink ref="I38" r:id="rId201" display="https://www.linkedin.com/learning/motiver-ses-equipes-quand-on-est-soi-meme-epuise-et-stresse?trk=contentmappingfile" xr:uid="{00000000-0004-0000-0C00-0000C8000000}"/>
    <hyperlink ref="N38" r:id="rId202" display="https://www.linkedin.com/learning/liderazgo-transformador?trk=ondemandfile" xr:uid="{00000000-0004-0000-0C00-0000C9000000}"/>
    <hyperlink ref="S38" r:id="rId203" display="https://www.linkedin.com/learning/korpersprache-fur-frauen?trk=ondemandfile" xr:uid="{00000000-0004-0000-0C00-0000CA000000}"/>
    <hyperlink ref="AH38" r:id="rId204" display="https://www.linkedin.com/learning/hiring-and-developing-your-future-workforce-2?trk=ondemandfile" xr:uid="{00000000-0004-0000-0C00-0000CB000000}"/>
    <hyperlink ref="D39" r:id="rId205" display="https://www.linkedin.com/learning/having-career-conversations-with-your-team?trk=ondemandfile" xr:uid="{00000000-0004-0000-0C00-0000CC000000}"/>
    <hyperlink ref="N39" r:id="rId206" display="https://www.linkedin.com/learning/00-liderazgo-y-trabajo-en-equipo?trk=ondemandfile" xr:uid="{00000000-0004-0000-0C00-0000CD000000}"/>
    <hyperlink ref="S39" r:id="rId207" display="https://www.linkedin.com/learning/00-korpersprache?trk=ondemandfile" xr:uid="{00000000-0004-0000-0C00-0000CE000000}"/>
    <hyperlink ref="AC39" r:id="rId208" display="https://www.linkedin.com/learning/gestao-de-conflitos-como-lidar-com-as-divergencias-na-empresa?trk=contentmappingfile" xr:uid="{00000000-0004-0000-0C00-0000CF000000}"/>
    <hyperlink ref="AH39" r:id="rId209" display="https://www.linkedin.com/learning/project-management-foundations-teams-2?trk=ondemandfile" xr:uid="{00000000-0004-0000-0C00-0000D0000000}"/>
    <hyperlink ref="D40" r:id="rId210" display="https://www.linkedin.com/learning/managing-for-better-ideas?trk=ondemandfile" xr:uid="{00000000-0004-0000-0C00-0000D1000000}"/>
    <hyperlink ref="N40" r:id="rId211" display="https://www.linkedin.com/learning/motivaci-n-e-implicaci-n-en-la-empresa?trk=ondemandfile" xr:uid="{00000000-0004-0000-0C00-0000D2000000}"/>
    <hyperlink ref="S40" r:id="rId212" display="https://www.linkedin.com/learning/leistungstrager-fuhren?trk=ondemandfile" xr:uid="{00000000-0004-0000-0C00-0000D3000000}"/>
    <hyperlink ref="AH40" r:id="rId213" display="https://www.linkedin.com/learning/leading-and-working-in-teams-3?trk=ondemandfile" xr:uid="{00000000-0004-0000-0C00-0000D4000000}"/>
    <hyperlink ref="D41" r:id="rId214" display="https://www.linkedin.com/learning/succeeding-as-a-first-time-t-ech-manager?trk=ondemandfile" xr:uid="{00000000-0004-0000-0C00-0000D5000000}"/>
    <hyperlink ref="N41" r:id="rId215" display="https://www.linkedin.com/learning/00-como-reclutar-y-desarrollar-a-tu-equipo?trk=ondemandfile" xr:uid="{00000000-0004-0000-0C00-0000D6000000}"/>
    <hyperlink ref="S41" r:id="rId216" display="https://www.linkedin.com/learning/mit-schwierigen-mitarbeiter-innen-umgehen?trk=ondemandfile" xr:uid="{00000000-0004-0000-0C00-0000D7000000}"/>
    <hyperlink ref="AH41" r:id="rId217" display="https://www.linkedin.com/learning/leading-productive-one-on-one-meetings?trk=ondemandfile" xr:uid="{00000000-0004-0000-0C00-0000D8000000}"/>
    <hyperlink ref="D42" r:id="rId218" display="https://www.linkedin.com/learning/management-tips?trk=ondemandfile" xr:uid="{00000000-0004-0000-0C00-0000D9000000}"/>
    <hyperlink ref="N42" r:id="rId219" display="https://www.linkedin.com/learning/teletrabajo-y-gestion-de-equipos-remotos?trk=contentmappingfile" xr:uid="{00000000-0004-0000-0C00-0000DA000000}"/>
    <hyperlink ref="S42" r:id="rId220" display="https://www.linkedin.com/learning/00-mitarbeiter-entickeln?trk=ondemandfile" xr:uid="{00000000-0004-0000-0C00-0000DB000000}"/>
    <hyperlink ref="AC42" r:id="rId221" display="https://www.linkedin.com/learning/gestao-de-novos-cargos-de-gerencia?trk=contentmappingfile" xr:uid="{00000000-0004-0000-0C00-0000DC000000}"/>
    <hyperlink ref="AH42" r:id="rId222" display="https://www.linkedin.com/learning/motivating-your-team-to-learn-2?trk=ondemandfile" xr:uid="{00000000-0004-0000-0C00-0000DD000000}"/>
    <hyperlink ref="D43" r:id="rId223" display="https://www.linkedin.com/learning/be-a-better-manager-by-motivating-your-team?trk=ondemandfile" xr:uid="{00000000-0004-0000-0C00-0000DE000000}"/>
    <hyperlink ref="N43" r:id="rId224" display="https://www.linkedin.com/learning/trabajando-y-colaborando-online?trk=ondemandfile" xr:uid="{00000000-0004-0000-0C00-0000DF000000}"/>
    <hyperlink ref="S43" r:id="rId225" display="https://www.linkedin.com/learning/00-feedback?trk=ondemandfile" xr:uid="{00000000-0004-0000-0C00-0000E0000000}"/>
    <hyperlink ref="D44" r:id="rId226" display="https://www.linkedin.com/learning/a-strengths-based-approach-to-managing-your-team?trk=ondemandfile" xr:uid="{00000000-0004-0000-0C00-0000E1000000}"/>
    <hyperlink ref="N44" r:id="rId227" display="https://www.linkedin.com/learning/00-fundamentos-del-trabajo-en-equipo?trk=ondemandfile" xr:uid="{00000000-0004-0000-0C00-0000E2000000}"/>
    <hyperlink ref="S44" r:id="rId228" display="https://www.linkedin.com/learning/mitarbeiter-innen-motivieren?trk=ondemandfile" xr:uid="{00000000-0004-0000-0C00-0000E3000000}"/>
    <hyperlink ref="D45" r:id="rId229" display="https://www.linkedin.com/learning/strategies-for-effective-leadership-teams?trk=ondemandfile" xr:uid="{00000000-0004-0000-0C00-0000E4000000}"/>
    <hyperlink ref="N45" r:id="rId230" display="https://www.linkedin.com/learning/00-working-in-virtual-teams?trk=ondemandfile" xr:uid="{00000000-0004-0000-0C00-0000E5000000}"/>
    <hyperlink ref="S45" r:id="rId231" display="https://www.linkedin.com/learning/feel-good-management?trk=ondemandfile" xr:uid="{00000000-0004-0000-0C00-0000E6000000}"/>
    <hyperlink ref="D46" r:id="rId232" display="https://www.linkedin.com/learning/advanced-remote-work-strategies?trk=ondemandfile" xr:uid="{00000000-0004-0000-0C00-0000E7000000}"/>
    <hyperlink ref="S46" r:id="rId233" display="https://www.linkedin.com/learning/modernes-leistungsmanagement?trk=ondemandfile" xr:uid="{00000000-0004-0000-0C00-0000E8000000}"/>
    <hyperlink ref="D47" r:id="rId234" display="https://www.linkedin.com/learning/work-on-purpose?trk=ondemandfile" xr:uid="{00000000-0004-0000-0C00-0000E9000000}"/>
    <hyperlink ref="S47" r:id="rId235" display="https://www.linkedin.com/learning/multikulturelle-teams-f-hren?trk=ondemandfile" xr:uid="{00000000-0004-0000-0C00-0000EA000000}"/>
    <hyperlink ref="AC47" r:id="rId236" display="https://www.linkedin.com/learning/principios-basicos-para-gerentes-iniciantes-17445021?trk=contentmappingfile" xr:uid="{00000000-0004-0000-0C00-0000EB000000}"/>
    <hyperlink ref="D48" r:id="rId237" display="https://www.linkedin.com/learning/the-ideal-team-player-getabstract-summary?trk=ondemandfile" xr:uid="{00000000-0004-0000-0C00-0000EC000000}"/>
    <hyperlink ref="S48" r:id="rId238" display="https://www.linkedin.com/learning/neue-fuhrungskrafte-fuhren?trk=ondemandfile" xr:uid="{00000000-0004-0000-0C00-0000ED000000}"/>
    <hyperlink ref="D49" r:id="rId239" display="https://www.linkedin.com/learning/motivating-your-team-to-learn?trk=ondemandfile" xr:uid="{00000000-0004-0000-0C00-0000EE000000}"/>
    <hyperlink ref="S49" r:id="rId240" display="https://www.linkedin.com/learning/00-onboarding?trk=ondemandfile" xr:uid="{00000000-0004-0000-0C00-0000EF000000}"/>
    <hyperlink ref="D50" r:id="rId241" display="https://www.linkedin.com/learning/dealing-with-the-seven-deadly-wastes?trk=ondemandfile" xr:uid="{00000000-0004-0000-0C00-0000F0000000}"/>
    <hyperlink ref="S50" r:id="rId242" display="https://www.linkedin.com/learning/personalwesen-onboarding-programme-durchfuhren?trk=ondemandfile" xr:uid="{00000000-0004-0000-0C00-0000F1000000}"/>
    <hyperlink ref="D51" r:id="rId243" display="https://www.linkedin.com/learning/the-six-morning-habits-of-high-performers?trk=ondemandfile" xr:uid="{00000000-0004-0000-0C00-0000F2000000}"/>
    <hyperlink ref="S51" r:id="rId244" display="https://www.linkedin.com/learning/servant-leadership-dienende-fuhrung?trk=ondemandfile" xr:uid="{00000000-0004-0000-0C00-0000F3000000}"/>
    <hyperlink ref="D52" r:id="rId245" display="https://www.linkedin.com/learning/teamwork-foundations-2020?trk=ondemandfile" xr:uid="{00000000-0004-0000-0C00-0000F4000000}"/>
    <hyperlink ref="S52" r:id="rId246" display="https://www.linkedin.com/learning/potenzialtrager-fuhren?trk=ondemandfile" xr:uid="{00000000-0004-0000-0C00-0000F5000000}"/>
    <hyperlink ref="D53" r:id="rId247" display="https://www.linkedin.com/learning/creating-a-culture-of-learning-2?trk=ondemandfile" xr:uid="{00000000-0004-0000-0C00-0000F6000000}"/>
    <hyperlink ref="S53" r:id="rId248" display="https://www.linkedin.com/learning/storytelling-fur-fuhrungskrafte?trk=ondemandfile" xr:uid="{00000000-0004-0000-0C00-0000F7000000}"/>
    <hyperlink ref="D54" r:id="rId249" display="https://www.linkedin.com/learning/leading-remote-projects-and-virtual-teams?trk=ondemandfile" xr:uid="{00000000-0004-0000-0C00-0000F8000000}"/>
    <hyperlink ref="S54" r:id="rId250" display="https://www.linkedin.com/learning/systemisch-fuhren?trk=ondemandfile" xr:uid="{00000000-0004-0000-0C00-0000F9000000}"/>
    <hyperlink ref="D55" r:id="rId251" display="https://www.linkedin.com/learning/communication-within-teams?trk=ondemandfile" xr:uid="{00000000-0004-0000-0C00-0000FA000000}"/>
    <hyperlink ref="S55" r:id="rId252" display="https://www.linkedin.com/learning/talente-finden-und-binden?trk=ondemandfile" xr:uid="{00000000-0004-0000-0C00-0000FB000000}"/>
    <hyperlink ref="D56" r:id="rId253" display="https://www.linkedin.com/learning/how-to-inspire-and-develop-your-direct-reports?trk=ondemandfile" xr:uid="{00000000-0004-0000-0C00-0000FC000000}"/>
    <hyperlink ref="S56" r:id="rId254" display="https://www.linkedin.com/learning/die-teamleistung-messen?trk=ondemandfile" xr:uid="{00000000-0004-0000-0C00-0000FD000000}"/>
    <hyperlink ref="D57" r:id="rId255" display="https://www.linkedin.com/learning/a-navy-seal-s-surprising-key-to-building-unstoppable-teams-caring?trk=ondemandfile" xr:uid="{00000000-0004-0000-0C00-0000FE000000}"/>
    <hyperlink ref="S57" r:id="rId256" display="https://www.linkedin.com/learning/00-teams-bilden?trk=ondemandfile" xr:uid="{00000000-0004-0000-0C00-0000FF000000}"/>
    <hyperlink ref="D58" r:id="rId257" display="https://www.linkedin.com/learning/how-to-stop-wasting-time-in-meetings?trk=ondemandfile" xr:uid="{00000000-0004-0000-0C00-000000010000}"/>
    <hyperlink ref="S58" r:id="rId258" display="https://www.linkedin.com/learning/technische-fachkrafte-fuhren?trk=ondemandfile" xr:uid="{00000000-0004-0000-0C00-000001010000}"/>
    <hyperlink ref="D59" r:id="rId259" display="https://www.linkedin.com/learning/the-art-of-leadership-getabstract-summary?trk=ondemandfile" xr:uid="{00000000-0004-0000-0C00-000002010000}"/>
    <hyperlink ref="S59" r:id="rId260" display="https://www.linkedin.com/learning/00-fuhrungstipps?trk=ondemandfile" xr:uid="{00000000-0004-0000-0C00-000003010000}"/>
    <hyperlink ref="D60" r:id="rId261" display="https://www.linkedin.com/learning/boosting-your-team-s-productivity?trk=ondemandfile" xr:uid="{00000000-0004-0000-0C00-000004010000}"/>
    <hyperlink ref="S60" r:id="rId262" display="https://www.linkedin.com/learning/00-leading-change?trk=ondemandfile" xr:uid="{00000000-0004-0000-0C00-000005010000}"/>
    <hyperlink ref="D61" r:id="rId263" display="https://www.linkedin.com/learning/shane-snow-on-dream-teams?trk=ondemandfile" xr:uid="{00000000-0004-0000-0C00-000006010000}"/>
    <hyperlink ref="S61" r:id="rId264" display="https://www.linkedin.com/learning/vertrauen-aufbauen-aufrechterhalten-und-wiederherstellen?trk=contentmappingfile" xr:uid="{00000000-0004-0000-0C00-000007010000}"/>
    <hyperlink ref="D62" r:id="rId265" display="https://www.linkedin.com/learning/a-great-place-to-work-for-all-getabstract-summary?trk=ondemandfile" xr:uid="{00000000-0004-0000-0C00-000008010000}"/>
    <hyperlink ref="S62" r:id="rId266" display="https://www.linkedin.com/learning/virtuelle-teams-fuhren-16362149?trk=contentmappingfile" xr:uid="{00000000-0004-0000-0C00-000009010000}"/>
    <hyperlink ref="D63" r:id="rId267" display="https://www.linkedin.com/learning/business-chemistry-blinkist-summary?trk=ondemandfile" xr:uid="{00000000-0004-0000-0C00-00000A010000}"/>
    <hyperlink ref="S63" r:id="rId268" display="https://www.linkedin.com/learning/00-beurteilung?trk=ondemandfile" xr:uid="{00000000-0004-0000-0C00-00000B010000}"/>
    <hyperlink ref="D64" r:id="rId269" display="https://www.linkedin.com/learning/essentials-of-team-collaboration?trk=ondemandfile" xr:uid="{00000000-0004-0000-0C00-00000C010000}"/>
    <hyperlink ref="S64" r:id="rId270" display="https://www.linkedin.com/learning/00-ohnmaechtig?trk=ondemandfile" xr:uid="{00000000-0004-0000-0C00-00000D010000}"/>
    <hyperlink ref="D65" r:id="rId271" display="https://www.linkedin.com/learning/best-practices-for-new-people-leaders?trk=ondemandfile" xr:uid="{00000000-0004-0000-0C00-00000E010000}"/>
    <hyperlink ref="S65" r:id="rId272" display="https://www.linkedin.com/learning/werteorientiertes-management?trk=ondemandfile" xr:uid="{00000000-0004-0000-0C00-00000F010000}"/>
    <hyperlink ref="D66" r:id="rId273" display="https://www.linkedin.com/learning/backgrounder-difficult-conversations-and-negotiations?trk=ondemandfile" xr:uid="{00000000-0004-0000-0C00-000010010000}"/>
    <hyperlink ref="S66" r:id="rId274" display="https://www.linkedin.com/learning/ziele-fur-mitarbeiter-innen-und-teams-setzen?trk=ondemandfile" xr:uid="{00000000-0004-0000-0C00-000011010000}"/>
    <hyperlink ref="D67" r:id="rId275" display="https://www.linkedin.com/learning/enhancing-team-innovation?trk=ondemandfile" xr:uid="{00000000-0004-0000-0C00-000012010000}"/>
    <hyperlink ref="S67" r:id="rId276" display="https://www.linkedin.com/learning/00-zielvereinbarung?trk=ondemandfile" xr:uid="{00000000-0004-0000-0C00-000013010000}"/>
    <hyperlink ref="D68" r:id="rId277" display="https://www.linkedin.com/learning/building-and-managing-a-high-performing-sales-team?trk=ondemandfile" xr:uid="{00000000-0004-0000-0C00-000014010000}"/>
    <hyperlink ref="D69" r:id="rId278" display="https://www.linkedin.com/learning/creating-winning-teams?trk=ondemandfile" xr:uid="{00000000-0004-0000-0C00-000015010000}"/>
    <hyperlink ref="D70" r:id="rId279" display="https://www.linkedin.com/learning/creating-an-adaptable-team?trk=ondemandfile" xr:uid="{00000000-0004-0000-0C00-000016010000}"/>
    <hyperlink ref="D71" r:id="rId280" display="https://www.linkedin.com/learning/leading-a-customer-service-team?trk=ondemandfile" xr:uid="{00000000-0004-0000-0C00-000017010000}"/>
    <hyperlink ref="D72" r:id="rId281" display="https://www.linkedin.com/learning/leveraging-virtual-and-hybrid-teams-for-improved-effectiveness?trk=ondemandfile" xr:uid="{00000000-0004-0000-0C00-000018010000}"/>
    <hyperlink ref="D73" r:id="rId282" display="https://www.linkedin.com/learning/microsoft-teams-successful-meetings-and-events?trk=ondemandfile" xr:uid="{00000000-0004-0000-0C00-000019010000}"/>
    <hyperlink ref="D74" r:id="rId283" display="https://www.linkedin.com/learning/creating-a-communications-strategy?trk=ondemandfile" xr:uid="{00000000-0004-0000-0C00-00001A010000}"/>
    <hyperlink ref="D75" r:id="rId284" display="https://www.linkedin.com/learning/creating-the-environment-for-productive-virtual-teams?trk=ondemandfile" xr:uid="{00000000-0004-0000-0C00-00001B01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Click and enter a value from range 'Competency Titles'!A1:A27" xr:uid="{00000000-0002-0000-0C00-000000000000}">
          <x14:formula1>
            <xm:f>#REF!</xm:f>
          </x14:formula1>
          <xm:sqref>B1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3C78D8"/>
    <outlinePr summaryBelow="0" summaryRight="0"/>
  </sheetPr>
  <dimension ref="A1:AJ622"/>
  <sheetViews>
    <sheetView showGridLines="0" workbookViewId="0">
      <pane ySplit="3" topLeftCell="A4" activePane="bottomLeft" state="frozen"/>
      <selection pane="bottomLeft" sqref="A1:XFD1048576"/>
    </sheetView>
  </sheetViews>
  <sheetFormatPr baseColWidth="10" defaultColWidth="11.1640625" defaultRowHeight="15" customHeight="1"/>
  <cols>
    <col min="1" max="1" width="1.1640625" customWidth="1"/>
    <col min="2" max="2" width="11.1640625" customWidth="1"/>
    <col min="3" max="3" width="18.5" customWidth="1"/>
    <col min="4" max="5" width="44.5" customWidth="1"/>
    <col min="6" max="6" width="1.1640625" customWidth="1"/>
    <col min="7" max="7" width="11.1640625" customWidth="1"/>
    <col min="8" max="8" width="19.33203125" customWidth="1"/>
    <col min="9" max="10" width="44.5" customWidth="1"/>
    <col min="11" max="11" width="1.1640625" customWidth="1"/>
    <col min="12" max="12" width="11.1640625" customWidth="1"/>
    <col min="13" max="13" width="20.83203125" customWidth="1"/>
    <col min="14" max="15" width="44.5" customWidth="1"/>
    <col min="16" max="16" width="1.1640625" customWidth="1"/>
    <col min="17" max="17" width="11.1640625" customWidth="1"/>
    <col min="18" max="18" width="19.6640625" customWidth="1"/>
    <col min="19" max="20" width="44.5" customWidth="1"/>
    <col min="21" max="21" width="1.1640625" customWidth="1"/>
    <col min="23" max="23" width="18.6640625" customWidth="1"/>
    <col min="24" max="25" width="44.5" customWidth="1"/>
    <col min="26" max="26" width="1.1640625" customWidth="1"/>
    <col min="27" max="27" width="11.1640625" customWidth="1"/>
    <col min="28" max="28" width="26.6640625" customWidth="1"/>
    <col min="29" max="30" width="44.5" customWidth="1"/>
    <col min="31" max="31" width="1.1640625" customWidth="1"/>
    <col min="32" max="32" width="11.1640625" customWidth="1"/>
    <col min="33" max="33" width="21" customWidth="1"/>
    <col min="34" max="35" width="44.5" customWidth="1"/>
    <col min="36" max="36" width="1.1640625" customWidth="1"/>
  </cols>
  <sheetData>
    <row r="1" spans="1:36" ht="34.5" customHeight="1">
      <c r="A1" s="208"/>
      <c r="B1" s="230" t="s">
        <v>3</v>
      </c>
      <c r="C1" s="222"/>
      <c r="D1" s="222"/>
      <c r="E1" s="222"/>
      <c r="F1" s="208"/>
      <c r="G1" s="230" t="str">
        <f ca="1">IFERROR(__xludf.DUMMYFUNCTION("IFERROR(UNIQUE(FILTER(French!B:B,French!A:A=B1)))"),"Bâtir la confiance et collaborer avec les autres")</f>
        <v>Bâtir la confiance et collaborer avec les autres</v>
      </c>
      <c r="H1" s="222"/>
      <c r="I1" s="222"/>
      <c r="J1" s="222"/>
      <c r="K1" s="208"/>
      <c r="L1" s="230" t="str">
        <f ca="1">IFERROR(__xludf.DUMMYFUNCTION("IFERROR((UNIQUE(FILTER(Spanish!B:B,Spanish!A:A=B1))))"),"Construyendo confianza y colaborando con los demás")</f>
        <v>Construyendo confianza y colaborando con los demás</v>
      </c>
      <c r="M1" s="222"/>
      <c r="N1" s="222"/>
      <c r="O1" s="222"/>
      <c r="P1" s="208"/>
      <c r="Q1" s="230" t="str">
        <f ca="1">IFERROR(__xludf.DUMMYFUNCTION("IFERROR(UNIQUE(FILTER(German!B:B,German!A:A=B1)))"),"Vertrauen schaffen und mit anderen zusammenarbeiten")</f>
        <v>Vertrauen schaffen und mit anderen zusammenarbeiten</v>
      </c>
      <c r="R1" s="222"/>
      <c r="S1" s="222"/>
      <c r="T1" s="222"/>
      <c r="U1" s="208"/>
      <c r="V1" s="230" t="str">
        <f ca="1">IFERROR(__xludf.DUMMYFUNCTION("IFERROR(UNIQUE(FILTER(Japanese!B:B,Japanese!A:A=B1)))"),"信頼構築と共同作業")</f>
        <v>信頼構築と共同作業</v>
      </c>
      <c r="W1" s="222"/>
      <c r="X1" s="222"/>
      <c r="Y1" s="222"/>
      <c r="Z1" s="208"/>
      <c r="AA1" s="230" t="str">
        <f ca="1">IFERROR(__xludf.DUMMYFUNCTION("IFERROR(UNIQUE(FILTER(Portuguese!B:B,Portuguese!A:A=B1)))"),"Construção de confiança e colaboração com outras pessoas")</f>
        <v>Construção de confiança e colaboração com outras pessoas</v>
      </c>
      <c r="AB1" s="222"/>
      <c r="AC1" s="222"/>
      <c r="AD1" s="222"/>
      <c r="AE1" s="208"/>
      <c r="AF1" s="230" t="str">
        <f ca="1">IFERROR(__xludf.DUMMYFUNCTION("IFERROR(UNIQUE(FILTER(Mandarin!B:B,Mandarin!A:A=B1)))"),"建立信任与协作")</f>
        <v>建立信任与协作</v>
      </c>
      <c r="AG1" s="222"/>
      <c r="AH1" s="222"/>
      <c r="AI1" s="222"/>
      <c r="AJ1" s="208"/>
    </row>
    <row r="2" spans="1:36" ht="28" customHeight="1">
      <c r="A2" s="209"/>
      <c r="B2" s="234" t="s">
        <v>4713</v>
      </c>
      <c r="C2" s="222"/>
      <c r="D2" s="222"/>
      <c r="E2" s="222"/>
      <c r="F2" s="209"/>
      <c r="G2" s="231" t="s">
        <v>4714</v>
      </c>
      <c r="H2" s="222"/>
      <c r="I2" s="222"/>
      <c r="J2" s="222"/>
      <c r="K2" s="209"/>
      <c r="L2" s="235" t="s">
        <v>4715</v>
      </c>
      <c r="M2" s="222"/>
      <c r="N2" s="222"/>
      <c r="O2" s="222"/>
      <c r="P2" s="209"/>
      <c r="Q2" s="232" t="s">
        <v>4716</v>
      </c>
      <c r="R2" s="222"/>
      <c r="S2" s="222"/>
      <c r="T2" s="222"/>
      <c r="U2" s="209"/>
      <c r="V2" s="236" t="s">
        <v>4717</v>
      </c>
      <c r="W2" s="222"/>
      <c r="X2" s="222"/>
      <c r="Y2" s="222"/>
      <c r="Z2" s="209"/>
      <c r="AA2" s="233" t="s">
        <v>4718</v>
      </c>
      <c r="AB2" s="222"/>
      <c r="AC2" s="222"/>
      <c r="AD2" s="222"/>
      <c r="AE2" s="209"/>
      <c r="AF2" s="237" t="s">
        <v>4719</v>
      </c>
      <c r="AG2" s="222"/>
      <c r="AH2" s="222"/>
      <c r="AI2" s="222"/>
      <c r="AJ2" s="209"/>
    </row>
    <row r="3" spans="1:36" ht="26" customHeight="1">
      <c r="A3" s="210"/>
      <c r="B3" s="211" t="str">
        <f ca="1">IFERROR(__xludf.DUMMYFUNCTION("FILTER(English!B:B,English!A:A=B1)"),"Course IDs")</f>
        <v>Course IDs</v>
      </c>
      <c r="C3" s="211" t="str">
        <f ca="1">IFERROR(__xludf.DUMMYFUNCTION("FILTER(English!C:C,English!A:A=B1)"),"Levels")</f>
        <v>Levels</v>
      </c>
      <c r="D3" s="211" t="str">
        <f ca="1">IFERROR(__xludf.DUMMYFUNCTION("FILTER(English!D:D,English!A:A=B1)"),"Courses")</f>
        <v>Courses</v>
      </c>
      <c r="E3" s="212" t="str">
        <f ca="1">IFERROR(__xludf.DUMMYFUNCTION("FILTER(English!E:E,English!A:A=B1)"),"Learning Paths")</f>
        <v>Learning Paths</v>
      </c>
      <c r="F3" s="210"/>
      <c r="G3" s="211" t="str">
        <f ca="1">IFERROR(__xludf.DUMMYFUNCTION("FILTER(French!C:C,French!B:B=G1)"),"Course IDs")</f>
        <v>Course IDs</v>
      </c>
      <c r="H3" s="211" t="str">
        <f ca="1">IFERROR(__xludf.DUMMYFUNCTION("FILTER(French!D:D,French!B:B=G1)"),"Levels")</f>
        <v>Levels</v>
      </c>
      <c r="I3" s="211" t="str">
        <f ca="1">IFERROR(__xludf.DUMMYFUNCTION("FILTER(French!E:E,French!B:B=G1)"),"Courses")</f>
        <v>Courses</v>
      </c>
      <c r="J3" s="212" t="str">
        <f ca="1">IFERROR(__xludf.DUMMYFUNCTION("FILTER(French!G:G,French!B:B=G1)"),"Learning Paths")</f>
        <v>Learning Paths</v>
      </c>
      <c r="K3" s="210"/>
      <c r="L3" s="211" t="str">
        <f ca="1">IFERROR(__xludf.DUMMYFUNCTION("FILTER(Spanish!C:C,Spanish!B:B=L1)"),"Course IDs")</f>
        <v>Course IDs</v>
      </c>
      <c r="M3" s="211" t="str">
        <f ca="1">IFERROR(__xludf.DUMMYFUNCTION("FILTER(Spanish!D:D,Spanish!B:B=L1)"),"Levels")</f>
        <v>Levels</v>
      </c>
      <c r="N3" s="211" t="str">
        <f ca="1">IFERROR(__xludf.DUMMYFUNCTION("FILTER(Spanish!E:E,Spanish!B:B=L1)"),"Courses")</f>
        <v>Courses</v>
      </c>
      <c r="O3" s="212" t="str">
        <f ca="1">IFERROR(__xludf.DUMMYFUNCTION("FILTER(Spanish!G:G,Spanish!B:B=L1)"),"Learning Paths")</f>
        <v>Learning Paths</v>
      </c>
      <c r="P3" s="210"/>
      <c r="Q3" s="211" t="str">
        <f ca="1">IFERROR(__xludf.DUMMYFUNCTION("FILTER(German!C:C,German!B:B=Q1)"),"Course IDs")</f>
        <v>Course IDs</v>
      </c>
      <c r="R3" s="211" t="str">
        <f ca="1">IFERROR(__xludf.DUMMYFUNCTION("FILTER(German!D:D,German!B:B=Q1)"),"Levels")</f>
        <v>Levels</v>
      </c>
      <c r="S3" s="211" t="str">
        <f ca="1">IFERROR(__xludf.DUMMYFUNCTION("FILTER(German!E:E,German!B:B=Q1)"),"Courses")</f>
        <v>Courses</v>
      </c>
      <c r="T3" s="212" t="str">
        <f ca="1">IFERROR(__xludf.DUMMYFUNCTION("FILTER(German!G:G,German!B:B=Q1)"),"Learning Paths")</f>
        <v>Learning Paths</v>
      </c>
      <c r="U3" s="210"/>
      <c r="V3" s="211" t="str">
        <f ca="1">IFERROR(__xludf.DUMMYFUNCTION("FILTER(Japanese!C:C,Japanese!B:B=V1)"),"Course IDs")</f>
        <v>Course IDs</v>
      </c>
      <c r="W3" s="211" t="str">
        <f ca="1">IFERROR(__xludf.DUMMYFUNCTION("FILTER(Japanese!D:D,Japanese!B:B=V1)"),"Levels")</f>
        <v>Levels</v>
      </c>
      <c r="X3" s="211" t="str">
        <f ca="1">IFERROR(__xludf.DUMMYFUNCTION("FILTER(Japanese!E:E,Japanese!B:B=V1)"),"Courses")</f>
        <v>Courses</v>
      </c>
      <c r="Y3" s="212" t="str">
        <f ca="1">IFERROR(__xludf.DUMMYFUNCTION("FILTER(Japanese!G:G,Japanese!B:B=V1)"),"Learning Paths")</f>
        <v>Learning Paths</v>
      </c>
      <c r="Z3" s="210"/>
      <c r="AA3" s="211" t="str">
        <f ca="1">IFERROR(__xludf.DUMMYFUNCTION("FILTER(Portuguese!C:C,Portuguese!B:B=AA1)"),"Course IDs")</f>
        <v>Course IDs</v>
      </c>
      <c r="AB3" s="211" t="str">
        <f ca="1">IFERROR(__xludf.DUMMYFUNCTION("FILTER(Portuguese!D:D,Portuguese!B:B=AA1)"),"Levels")</f>
        <v>Levels</v>
      </c>
      <c r="AC3" s="211" t="str">
        <f ca="1">IFERROR(__xludf.DUMMYFUNCTION("FILTER(Portuguese!E:E,Portuguese!B:B=AA1)"),"Courses")</f>
        <v>Courses</v>
      </c>
      <c r="AD3" s="212" t="str">
        <f ca="1">IFERROR(__xludf.DUMMYFUNCTION("FILTER(Portuguese!G:G,Portuguese!B:B=AA1)"),"Learning Paths")</f>
        <v>Learning Paths</v>
      </c>
      <c r="AE3" s="210"/>
      <c r="AF3" s="211" t="str">
        <f ca="1">IFERROR(__xludf.DUMMYFUNCTION("FILTER(Mandarin!C:C,Mandarin!B:B=AF1)"),"Course IDs")</f>
        <v>Course IDs</v>
      </c>
      <c r="AG3" s="211" t="str">
        <f ca="1">IFERROR(__xludf.DUMMYFUNCTION("FILTER(Mandarin!D:D,Mandarin!B:B=AF1)"),"Levels")</f>
        <v>Levels</v>
      </c>
      <c r="AH3" s="211" t="str">
        <f ca="1">IFERROR(__xludf.DUMMYFUNCTION("FILTER(Mandarin!E:E,Mandarin!B:B=AF1)"),"Courses")</f>
        <v>Courses</v>
      </c>
      <c r="AI3" s="212" t="str">
        <f ca="1">IFERROR(__xludf.DUMMYFUNCTION("FILTER(Mandarin!G:G,Mandarin!B:B=AF1)"),"Learning Paths")</f>
        <v>Learning Paths</v>
      </c>
      <c r="AJ3" s="210"/>
    </row>
    <row r="4" spans="1:36" ht="33.75" customHeight="1">
      <c r="A4" s="213"/>
      <c r="B4" s="214">
        <f ca="1">IFERROR(__xludf.DUMMYFUNCTION("""COMPUTED_VALUE"""),645013)</f>
        <v>645013</v>
      </c>
      <c r="C4" s="215" t="str">
        <f ca="1">IFERROR(__xludf.DUMMYFUNCTION("""COMPUTED_VALUE"""),"Intermediate")</f>
        <v>Intermediate</v>
      </c>
      <c r="D4" s="216" t="str">
        <f ca="1">IFERROR(__xludf.DUMMYFUNCTION("""COMPUTED_VALUE"""),"Inclusive Leadership")</f>
        <v>Inclusive Leadership</v>
      </c>
      <c r="E4" s="217" t="str">
        <f ca="1">IFERROR(__xludf.DUMMYFUNCTION("""COMPUTED_VALUE"""),"Advance Your Skills as an Individual Contributor")</f>
        <v>Advance Your Skills as an Individual Contributor</v>
      </c>
      <c r="F4" s="213"/>
      <c r="G4" s="214">
        <f ca="1">IFERROR(__xludf.DUMMYFUNCTION("""COMPUTED_VALUE"""),3169224)</f>
        <v>3169224</v>
      </c>
      <c r="H4" s="215" t="str">
        <f ca="1">IFERROR(__xludf.DUMMYFUNCTION("""COMPUTED_VALUE"""),"Beginner, Intermediate")</f>
        <v>Beginner, Intermediate</v>
      </c>
      <c r="I4" s="217" t="str">
        <f ca="1">IFERROR(__xludf.DUMMYFUNCTION("""COMPUTED_VALUE"""),"Accroître la sécurité psychologique de votre équipe")</f>
        <v>Accroître la sécurité psychologique de votre équipe</v>
      </c>
      <c r="J4" s="217" t="str">
        <f ca="1">IFERROR(__xludf.DUMMYFUNCTION("""COMPUTED_VALUE"""),"Promouvoir la collaboration")</f>
        <v>Promouvoir la collaboration</v>
      </c>
      <c r="K4" s="213"/>
      <c r="L4" s="215">
        <f ca="1">IFERROR(__xludf.DUMMYFUNCTION("""COMPUTED_VALUE"""),2925067)</f>
        <v>2925067</v>
      </c>
      <c r="M4" s="215" t="str">
        <f ca="1">IFERROR(__xludf.DUMMYFUNCTION("""COMPUTED_VALUE"""),"Beginner")</f>
        <v>Beginner</v>
      </c>
      <c r="N4" s="217" t="str">
        <f ca="1">IFERROR(__xludf.DUMMYFUNCTION("""COMPUTED_VALUE"""),"Aprende Google Drive")</f>
        <v>Aprende Google Drive</v>
      </c>
      <c r="O4" s="217" t="str">
        <f ca="1">IFERROR(__xludf.DUMMYFUNCTION("""COMPUTED_VALUE"""),"Crea una atmósfera de trabajo productiva")</f>
        <v>Crea una atmósfera de trabajo productiva</v>
      </c>
      <c r="P4" s="213"/>
      <c r="Q4" s="215">
        <f ca="1">IFERROR(__xludf.DUMMYFUNCTION("""COMPUTED_VALUE"""),2809733)</f>
        <v>2809733</v>
      </c>
      <c r="R4" s="215" t="str">
        <f ca="1">IFERROR(__xludf.DUMMYFUNCTION("""COMPUTED_VALUE"""),"All levels")</f>
        <v>All levels</v>
      </c>
      <c r="S4" s="217" t="str">
        <f ca="1">IFERROR(__xludf.DUMMYFUNCTION("""COMPUTED_VALUE"""),"Als Führungskraft das agile Lernen im Team unterstützen")</f>
        <v>Als Führungskraft das agile Lernen im Team unterstützen</v>
      </c>
      <c r="T4" s="217" t="str">
        <f ca="1">IFERROR(__xludf.DUMMYFUNCTION("""COMPUTED_VALUE"""),"Die Zusammenarbeit fördern")</f>
        <v>Die Zusammenarbeit fördern</v>
      </c>
      <c r="U4" s="213"/>
      <c r="V4" s="215">
        <f ca="1">IFERROR(__xludf.DUMMYFUNCTION("""COMPUTED_VALUE"""),2915224)</f>
        <v>2915224</v>
      </c>
      <c r="W4" s="215" t="str">
        <f ca="1">IFERROR(__xludf.DUMMYFUNCTION("""COMPUTED_VALUE"""),"Beginner, Intermediate")</f>
        <v>Beginner, Intermediate</v>
      </c>
      <c r="X4" s="217" t="str">
        <f ca="1">IFERROR(__xludf.DUMMYFUNCTION("""COMPUTED_VALUE"""),"こころの知能指数（EQ）の高め方")</f>
        <v>こころの知能指数（EQ）の高め方</v>
      </c>
      <c r="Y4" s="217" t="str">
        <f ca="1">IFERROR(__xludf.DUMMYFUNCTION("""COMPUTED_VALUE"""),"困難な時期に自身を高めて問題を乗り切るには")</f>
        <v>困難な時期に自身を高めて問題を乗り切るには</v>
      </c>
      <c r="Z4" s="213"/>
      <c r="AA4" s="215">
        <f ca="1">IFERROR(__xludf.DUMMYFUNCTION("""COMPUTED_VALUE"""),2931603)</f>
        <v>2931603</v>
      </c>
      <c r="AB4" s="215" t="str">
        <f ca="1">IFERROR(__xludf.DUMMYFUNCTION("""COMPUTED_VALUE"""),"All levels")</f>
        <v>All levels</v>
      </c>
      <c r="AC4" s="217" t="str">
        <f ca="1">IFERROR(__xludf.DUMMYFUNCTION("""COMPUTED_VALUE"""),"A Comunicação entre Equipes Multiculturais")</f>
        <v>A Comunicação entre Equipes Multiculturais</v>
      </c>
      <c r="AD4" s="217" t="str">
        <f ca="1">IFERROR(__xludf.DUMMYFUNCTION("""COMPUTED_VALUE"""),"Trabalho Remoto: Colaboração, Foco e Produtividade")</f>
        <v>Trabalho Remoto: Colaboração, Foco e Produtividade</v>
      </c>
      <c r="AE4" s="213"/>
      <c r="AF4" s="215">
        <f ca="1">IFERROR(__xludf.DUMMYFUNCTION("""COMPUTED_VALUE"""),762263)</f>
        <v>762263</v>
      </c>
      <c r="AG4" s="215" t="str">
        <f ca="1">IFERROR(__xludf.DUMMYFUNCTION("""COMPUTED_VALUE"""),"Beginner")</f>
        <v>Beginner</v>
      </c>
      <c r="AH4" s="217" t="str">
        <f ca="1">IFERROR(__xludf.DUMMYFUNCTION("""COMPUTED_VALUE"""),"为员工提供反馈")</f>
        <v>为员工提供反馈</v>
      </c>
      <c r="AI4" s="217" t="str">
        <f ca="1">IFERROR(__xludf.DUMMYFUNCTION("""COMPUTED_VALUE"""),"远程工作：团队合作与效率")</f>
        <v>远程工作：团队合作与效率</v>
      </c>
      <c r="AJ4" s="213"/>
    </row>
    <row r="5" spans="1:36" ht="30">
      <c r="A5" s="213"/>
      <c r="B5" s="214">
        <f ca="1">IFERROR(__xludf.DUMMYFUNCTION("""COMPUTED_VALUE"""),2825259)</f>
        <v>2825259</v>
      </c>
      <c r="C5" s="215" t="str">
        <f ca="1">IFERROR(__xludf.DUMMYFUNCTION("""COMPUTED_VALUE"""),"Intermediate")</f>
        <v>Intermediate</v>
      </c>
      <c r="D5" s="216" t="str">
        <f ca="1">IFERROR(__xludf.DUMMYFUNCTION("""COMPUTED_VALUE"""),"Creating a Culture of Collaboration")</f>
        <v>Creating a Culture of Collaboration</v>
      </c>
      <c r="E5" s="217" t="str">
        <f ca="1">IFERROR(__xludf.DUMMYFUNCTION("""COMPUTED_VALUE"""),"Become an Inclusive Leader")</f>
        <v>Become an Inclusive Leader</v>
      </c>
      <c r="F5" s="213"/>
      <c r="G5" s="214">
        <f ca="1">IFERROR(__xludf.DUMMYFUNCTION("""COMPUTED_VALUE"""),2809486)</f>
        <v>2809486</v>
      </c>
      <c r="H5" s="215" t="str">
        <f ca="1">IFERROR(__xludf.DUMMYFUNCTION("""COMPUTED_VALUE"""),"Intermediate")</f>
        <v>Intermediate</v>
      </c>
      <c r="I5" s="217" t="str">
        <f ca="1">IFERROR(__xludf.DUMMYFUNCTION("""COMPUTED_VALUE"""),"Améliorer sa capacité d'écoute")</f>
        <v>Améliorer sa capacité d'écoute</v>
      </c>
      <c r="J5" s="217" t="str">
        <f ca="1">IFERROR(__xludf.DUMMYFUNCTION("""COMPUTED_VALUE"""),"Rester à l'écoute")</f>
        <v>Rester à l'écoute</v>
      </c>
      <c r="K5" s="213"/>
      <c r="L5" s="215">
        <f ca="1">IFERROR(__xludf.DUMMYFUNCTION("""COMPUTED_VALUE"""),2924102)</f>
        <v>2924102</v>
      </c>
      <c r="M5" s="215" t="str">
        <f ca="1">IFERROR(__xludf.DUMMYFUNCTION("""COMPUTED_VALUE"""),"Beginner")</f>
        <v>Beginner</v>
      </c>
      <c r="N5" s="217" t="str">
        <f ca="1">IFERROR(__xludf.DUMMYFUNCTION("""COMPUTED_VALUE"""),"Aprende trabajo colaborativo con Android")</f>
        <v>Aprende trabajo colaborativo con Android</v>
      </c>
      <c r="O5" s="217" t="str">
        <f ca="1">IFERROR(__xludf.DUMMYFUNCTION("""COMPUTED_VALUE"""),"Profundiza en tus habilidades de comunicación en la empresa")</f>
        <v>Profundiza en tus habilidades de comunicación en la empresa</v>
      </c>
      <c r="P5" s="213"/>
      <c r="Q5" s="215">
        <f ca="1">IFERROR(__xludf.DUMMYFUNCTION("""COMPUTED_VALUE"""),503019)</f>
        <v>503019</v>
      </c>
      <c r="R5" s="215" t="str">
        <f ca="1">IFERROR(__xludf.DUMMYFUNCTION("""COMPUTED_VALUE"""),"All levels")</f>
        <v>All levels</v>
      </c>
      <c r="S5" s="217" t="str">
        <f ca="1">IFERROR(__xludf.DUMMYFUNCTION("""COMPUTED_VALUE"""),"Außerhalb des Büros arbeiten")</f>
        <v>Außerhalb des Büros arbeiten</v>
      </c>
      <c r="T5" s="217" t="str">
        <f ca="1">IFERROR(__xludf.DUMMYFUNCTION("""COMPUTED_VALUE"""),"Digitaler Arbeitsplatz: Tools für die Zusammenarbeit")</f>
        <v>Digitaler Arbeitsplatz: Tools für die Zusammenarbeit</v>
      </c>
      <c r="U5" s="213"/>
      <c r="V5" s="215">
        <f ca="1">IFERROR(__xludf.DUMMYFUNCTION("""COMPUTED_VALUE"""),3155464)</f>
        <v>3155464</v>
      </c>
      <c r="W5" s="215" t="str">
        <f ca="1">IFERROR(__xludf.DUMMYFUNCTION("""COMPUTED_VALUE"""),"Beginner")</f>
        <v>Beginner</v>
      </c>
      <c r="X5" s="217" t="str">
        <f ca="1">IFERROR(__xludf.DUMMYFUNCTION("""COMPUTED_VALUE"""),"チームの協力関係を育む")</f>
        <v>チームの協力関係を育む</v>
      </c>
      <c r="Y5" s="217"/>
      <c r="Z5" s="213"/>
      <c r="AA5" s="215">
        <f ca="1">IFERROR(__xludf.DUMMYFUNCTION("""COMPUTED_VALUE"""),2908957)</f>
        <v>2908957</v>
      </c>
      <c r="AB5" s="215" t="str">
        <f ca="1">IFERROR(__xludf.DUMMYFUNCTION("""COMPUTED_VALUE"""),"Beginner")</f>
        <v>Beginner</v>
      </c>
      <c r="AC5" s="217" t="str">
        <f ca="1">IFERROR(__xludf.DUMMYFUNCTION("""COMPUTED_VALUE"""),"A Comunicação no Trabalho em Equipe")</f>
        <v>A Comunicação no Trabalho em Equipe</v>
      </c>
      <c r="AD5" s="217" t="str">
        <f ca="1">IFERROR(__xludf.DUMMYFUNCTION("""COMPUTED_VALUE"""),"Como Desenvolver a Colaboração entre a Equipe")</f>
        <v>Como Desenvolver a Colaboração entre a Equipe</v>
      </c>
      <c r="AE5" s="213"/>
      <c r="AF5" s="215">
        <f ca="1">IFERROR(__xludf.DUMMYFUNCTION("""COMPUTED_VALUE"""),2222433)</f>
        <v>2222433</v>
      </c>
      <c r="AG5" s="215" t="str">
        <f ca="1">IFERROR(__xludf.DUMMYFUNCTION("""COMPUTED_VALUE"""),"Beginner")</f>
        <v>Beginner</v>
      </c>
      <c r="AH5" s="217" t="str">
        <f ca="1">IFERROR(__xludf.DUMMYFUNCTION("""COMPUTED_VALUE"""),"人际沟通")</f>
        <v>人际沟通</v>
      </c>
      <c r="AI5" s="217" t="str">
        <f ca="1">IFERROR(__xludf.DUMMYFUNCTION("""COMPUTED_VALUE"""),"培养团队合作")</f>
        <v>培养团队合作</v>
      </c>
      <c r="AJ5" s="213"/>
    </row>
    <row r="6" spans="1:36" ht="30">
      <c r="A6" s="213"/>
      <c r="B6" s="214">
        <f ca="1">IFERROR(__xludf.DUMMYFUNCTION("""COMPUTED_VALUE"""),479849)</f>
        <v>479849</v>
      </c>
      <c r="C6" s="215" t="str">
        <f ca="1">IFERROR(__xludf.DUMMYFUNCTION("""COMPUTED_VALUE"""),"General")</f>
        <v>General</v>
      </c>
      <c r="D6" s="216" t="str">
        <f ca="1">IFERROR(__xludf.DUMMYFUNCTION("""COMPUTED_VALUE"""),"Reid Hoffman and Chris Yeh on Creating an Alliance with Employees")</f>
        <v>Reid Hoffman and Chris Yeh on Creating an Alliance with Employees</v>
      </c>
      <c r="E6" s="217" t="str">
        <f ca="1">IFERROR(__xludf.DUMMYFUNCTION("""COMPUTED_VALUE"""),"Digital Transformation in Practice: Virtual Collaboration Tools")</f>
        <v>Digital Transformation in Practice: Virtual Collaboration Tools</v>
      </c>
      <c r="F6" s="213"/>
      <c r="G6" s="214">
        <f ca="1">IFERROR(__xludf.DUMMYFUNCTION("""COMPUTED_VALUE"""),620028)</f>
        <v>620028</v>
      </c>
      <c r="H6" s="215" t="str">
        <f ca="1">IFERROR(__xludf.DUMMYFUNCTION("""COMPUTED_VALUE"""),"All levels")</f>
        <v>All levels</v>
      </c>
      <c r="I6" s="217" t="str">
        <f ca="1">IFERROR(__xludf.DUMMYFUNCTION("""COMPUTED_VALUE"""),"Bâtir la confiance")</f>
        <v>Bâtir la confiance</v>
      </c>
      <c r="J6" s="217" t="str">
        <f ca="1">IFERROR(__xludf.DUMMYFUNCTION("""COMPUTED_VALUE"""),"Améliorer ses compétences en travail d'équipe")</f>
        <v>Améliorer ses compétences en travail d'équipe</v>
      </c>
      <c r="K6" s="213"/>
      <c r="L6" s="215">
        <f ca="1">IFERROR(__xludf.DUMMYFUNCTION("""COMPUTED_VALUE"""),778412)</f>
        <v>778412</v>
      </c>
      <c r="M6" s="215" t="str">
        <f ca="1">IFERROR(__xludf.DUMMYFUNCTION("""COMPUTED_VALUE"""),"All levels")</f>
        <v>All levels</v>
      </c>
      <c r="N6" s="217" t="str">
        <f ca="1">IFERROR(__xludf.DUMMYFUNCTION("""COMPUTED_VALUE"""),"Bill George sobre autoconocimiento, autenticidad, y liderazgo")</f>
        <v>Bill George sobre autoconocimiento, autenticidad, y liderazgo</v>
      </c>
      <c r="O6" s="217" t="str">
        <f ca="1">IFERROR(__xludf.DUMMYFUNCTION("""COMPUTED_VALUE"""),"Mejora la comunicación en el ámbito empresarial")</f>
        <v>Mejora la comunicación en el ámbito empresarial</v>
      </c>
      <c r="P6" s="213"/>
      <c r="Q6" s="215">
        <f ca="1">IFERROR(__xludf.DUMMYFUNCTION("""COMPUTED_VALUE"""),195515)</f>
        <v>195515</v>
      </c>
      <c r="R6" s="215" t="str">
        <f ca="1">IFERROR(__xludf.DUMMYFUNCTION("""COMPUTED_VALUE"""),"All levels")</f>
        <v>All levels</v>
      </c>
      <c r="S6" s="217" t="str">
        <f ca="1">IFERROR(__xludf.DUMMYFUNCTION("""COMPUTED_VALUE"""),"Besprechungen moderieren")</f>
        <v>Besprechungen moderieren</v>
      </c>
      <c r="T6" s="217"/>
      <c r="U6" s="213"/>
      <c r="V6" s="215">
        <f ca="1">IFERROR(__xludf.DUMMYFUNCTION("""COMPUTED_VALUE"""),714292)</f>
        <v>714292</v>
      </c>
      <c r="W6" s="215" t="str">
        <f ca="1">IFERROR(__xludf.DUMMYFUNCTION("""COMPUTED_VALUE"""),"Beginner")</f>
        <v>Beginner</v>
      </c>
      <c r="X6" s="217" t="str">
        <f ca="1">IFERROR(__xludf.DUMMYFUNCTION("""COMPUTED_VALUE"""),"よきメンターになるには")</f>
        <v>よきメンターになるには</v>
      </c>
      <c r="Y6" s="217"/>
      <c r="Z6" s="213"/>
      <c r="AA6" s="215">
        <f ca="1">IFERROR(__xludf.DUMMYFUNCTION("""COMPUTED_VALUE"""),801464)</f>
        <v>801464</v>
      </c>
      <c r="AB6" s="215" t="str">
        <f ca="1">IFERROR(__xludf.DUMMYFUNCTION("""COMPUTED_VALUE"""),"Intermediate")</f>
        <v>Intermediate</v>
      </c>
      <c r="AC6" s="217" t="str">
        <f ca="1">IFERROR(__xludf.DUMMYFUNCTION("""COMPUTED_VALUE"""),"Como Avaliar o Desempenho da Equipe")</f>
        <v>Como Avaliar o Desempenho da Equipe</v>
      </c>
      <c r="AD6" s="217"/>
      <c r="AE6" s="213"/>
      <c r="AF6" s="215">
        <f ca="1">IFERROR(__xludf.DUMMYFUNCTION("""COMPUTED_VALUE"""),779389)</f>
        <v>779389</v>
      </c>
      <c r="AG6" s="215" t="str">
        <f ca="1">IFERROR(__xludf.DUMMYFUNCTION("""COMPUTED_VALUE"""),"All levels")</f>
        <v>All levels</v>
      </c>
      <c r="AH6" s="217" t="str">
        <f ca="1">IFERROR(__xludf.DUMMYFUNCTION("""COMPUTED_VALUE"""),"冲突解决基础知识")</f>
        <v>冲突解决基础知识</v>
      </c>
      <c r="AI6" s="217" t="str">
        <f ca="1">IFERROR(__xludf.DUMMYFUNCTION("""COMPUTED_VALUE"""),"掌握职场中的人际关系软技能")</f>
        <v>掌握职场中的人际关系软技能</v>
      </c>
      <c r="AJ6" s="213"/>
    </row>
    <row r="7" spans="1:36" ht="33.75" customHeight="1">
      <c r="A7" s="213"/>
      <c r="B7" s="214">
        <f ca="1">IFERROR(__xludf.DUMMYFUNCTION("""COMPUTED_VALUE"""),700792)</f>
        <v>700792</v>
      </c>
      <c r="C7" s="215" t="str">
        <f ca="1">IFERROR(__xludf.DUMMYFUNCTION("""COMPUTED_VALUE"""),"Intermediate")</f>
        <v>Intermediate</v>
      </c>
      <c r="D7" s="216" t="str">
        <f ca="1">IFERROR(__xludf.DUMMYFUNCTION("""COMPUTED_VALUE"""),"Employee Experience")</f>
        <v>Employee Experience</v>
      </c>
      <c r="E7" s="217" t="str">
        <f ca="1">IFERROR(__xludf.DUMMYFUNCTION("""COMPUTED_VALUE"""),"Fostering Collaboration")</f>
        <v>Fostering Collaboration</v>
      </c>
      <c r="F7" s="213"/>
      <c r="G7" s="214">
        <f ca="1">IFERROR(__xludf.DUMMYFUNCTION("""COMPUTED_VALUE"""),2257269)</f>
        <v>2257269</v>
      </c>
      <c r="H7" s="215" t="str">
        <f ca="1">IFERROR(__xludf.DUMMYFUNCTION("""COMPUTED_VALUE"""),"Intermediate")</f>
        <v>Intermediate</v>
      </c>
      <c r="I7" s="217" t="str">
        <f ca="1">IFERROR(__xludf.DUMMYFUNCTION("""COMPUTED_VALUE"""),"Bien travailler en équipe")</f>
        <v>Bien travailler en équipe</v>
      </c>
      <c r="J7" s="217" t="str">
        <f ca="1">IFERROR(__xludf.DUMMYFUNCTION("""COMPUTED_VALUE"""),"Collaborer avec Microsoft 365")</f>
        <v>Collaborer avec Microsoft 365</v>
      </c>
      <c r="K7" s="213"/>
      <c r="L7" s="215">
        <f ca="1">IFERROR(__xludf.DUMMYFUNCTION("""COMPUTED_VALUE"""),778411)</f>
        <v>778411</v>
      </c>
      <c r="M7" s="215" t="str">
        <f ca="1">IFERROR(__xludf.DUMMYFUNCTION("""COMPUTED_VALUE"""),"All levels")</f>
        <v>All levels</v>
      </c>
      <c r="N7" s="217" t="str">
        <f ca="1">IFERROR(__xludf.DUMMYFUNCTION("""COMPUTED_VALUE"""),"Cómo dar y recibir feedback o retroalimentación")</f>
        <v>Cómo dar y recibir feedback o retroalimentación</v>
      </c>
      <c r="O7" s="217" t="str">
        <f ca="1">IFERROR(__xludf.DUMMYFUNCTION("""COMPUTED_VALUE"""),"Fomenta la colaboración en tu equipo")</f>
        <v>Fomenta la colaboración en tu equipo</v>
      </c>
      <c r="P7" s="213"/>
      <c r="Q7" s="215">
        <f ca="1">IFERROR(__xludf.DUMMYFUNCTION("""COMPUTED_VALUE"""),2925267)</f>
        <v>2925267</v>
      </c>
      <c r="R7" s="215" t="str">
        <f ca="1">IFERROR(__xludf.DUMMYFUNCTION("""COMPUTED_VALUE"""),"All levels")</f>
        <v>All levels</v>
      </c>
      <c r="S7" s="217" t="str">
        <f ca="1">IFERROR(__xludf.DUMMYFUNCTION("""COMPUTED_VALUE"""),"Besser zuhören")</f>
        <v>Besser zuhören</v>
      </c>
      <c r="T7" s="217"/>
      <c r="U7" s="213"/>
      <c r="V7" s="215">
        <f ca="1">IFERROR(__xludf.DUMMYFUNCTION("""COMPUTED_VALUE"""),748560)</f>
        <v>748560</v>
      </c>
      <c r="W7" s="215" t="str">
        <f ca="1">IFERROR(__xludf.DUMMYFUNCTION("""COMPUTED_VALUE"""),"All levels")</f>
        <v>All levels</v>
      </c>
      <c r="X7" s="217" t="str">
        <f ca="1">IFERROR(__xludf.DUMMYFUNCTION("""COMPUTED_VALUE"""),"上司と良い関係を築くには")</f>
        <v>上司と良い関係を築くには</v>
      </c>
      <c r="Y7" s="217"/>
      <c r="Z7" s="213"/>
      <c r="AA7" s="215">
        <f ca="1">IFERROR(__xludf.DUMMYFUNCTION("""COMPUTED_VALUE"""),2931602)</f>
        <v>2931602</v>
      </c>
      <c r="AB7" s="215" t="str">
        <f ca="1">IFERROR(__xludf.DUMMYFUNCTION("""COMPUTED_VALUE"""),"Beginner, Intermediate")</f>
        <v>Beginner, Intermediate</v>
      </c>
      <c r="AC7" s="217" t="str">
        <f ca="1">IFERROR(__xludf.DUMMYFUNCTION("""COMPUTED_VALUE"""),"Como Colaborar de Forma Eficaz com sua Equipe")</f>
        <v>Como Colaborar de Forma Eficaz com sua Equipe</v>
      </c>
      <c r="AD7" s="217"/>
      <c r="AE7" s="213"/>
      <c r="AF7" s="215">
        <f ca="1">IFERROR(__xludf.DUMMYFUNCTION("""COMPUTED_VALUE"""),2255864)</f>
        <v>2255864</v>
      </c>
      <c r="AG7" s="215" t="str">
        <f ca="1">IFERROR(__xludf.DUMMYFUNCTION("""COMPUTED_VALUE"""),"Intermediate")</f>
        <v>Intermediate</v>
      </c>
      <c r="AH7" s="217" t="str">
        <f ca="1">IFERROR(__xludf.DUMMYFUNCTION("""COMPUTED_VALUE"""),"创建高绩效文化")</f>
        <v>创建高绩效文化</v>
      </c>
      <c r="AI7" s="217"/>
      <c r="AJ7" s="213"/>
    </row>
    <row r="8" spans="1:36" ht="33.75" customHeight="1">
      <c r="A8" s="213"/>
      <c r="B8" s="214">
        <f ca="1">IFERROR(__xludf.DUMMYFUNCTION("""COMPUTED_VALUE"""),5028617)</f>
        <v>5028617</v>
      </c>
      <c r="C8" s="215" t="str">
        <f ca="1">IFERROR(__xludf.DUMMYFUNCTION("""COMPUTED_VALUE"""),"Intermediate")</f>
        <v>Intermediate</v>
      </c>
      <c r="D8" s="216" t="str">
        <f ca="1">IFERROR(__xludf.DUMMYFUNCTION("""COMPUTED_VALUE"""),"Communicating Values")</f>
        <v>Communicating Values</v>
      </c>
      <c r="E8" s="217" t="str">
        <f ca="1">IFERROR(__xludf.DUMMYFUNCTION("""COMPUTED_VALUE"""),"Improve Your Teamwork Skills")</f>
        <v>Improve Your Teamwork Skills</v>
      </c>
      <c r="F8" s="213"/>
      <c r="G8" s="214">
        <f ca="1">IFERROR(__xludf.DUMMYFUNCTION("""COMPUTED_VALUE"""),2810524)</f>
        <v>2810524</v>
      </c>
      <c r="H8" s="215" t="str">
        <f ca="1">IFERROR(__xludf.DUMMYFUNCTION("""COMPUTED_VALUE"""),"Intermediate")</f>
        <v>Intermediate</v>
      </c>
      <c r="I8" s="217" t="str">
        <f ca="1">IFERROR(__xludf.DUMMYFUNCTION("""COMPUTED_VALUE"""),"Communiquer au sein d'une équipe")</f>
        <v>Communiquer au sein d'une équipe</v>
      </c>
      <c r="J8" s="217"/>
      <c r="K8" s="213"/>
      <c r="L8" s="215">
        <f ca="1">IFERROR(__xludf.DUMMYFUNCTION("""COMPUTED_VALUE"""),587150)</f>
        <v>587150</v>
      </c>
      <c r="M8" s="215" t="str">
        <f ca="1">IFERROR(__xludf.DUMMYFUNCTION("""COMPUTED_VALUE"""),"Beginner")</f>
        <v>Beginner</v>
      </c>
      <c r="N8" s="217" t="str">
        <f ca="1">IFERROR(__xludf.DUMMYFUNCTION("""COMPUTED_VALUE"""),"Cómo desarrollar la inteligencia emocional")</f>
        <v>Cómo desarrollar la inteligencia emocional</v>
      </c>
      <c r="O8" s="217" t="str">
        <f ca="1">IFERROR(__xludf.DUMMYFUNCTION("""COMPUTED_VALUE"""),"Domina las habilidades de vida sociales")</f>
        <v>Domina las habilidades de vida sociales</v>
      </c>
      <c r="P8" s="213"/>
      <c r="Q8" s="215">
        <f ca="1">IFERROR(__xludf.DUMMYFUNCTION("""COMPUTED_VALUE"""),2887030)</f>
        <v>2887030</v>
      </c>
      <c r="R8" s="215" t="str">
        <f ca="1">IFERROR(__xludf.DUMMYFUNCTION("""COMPUTED_VALUE"""),"Beginner")</f>
        <v>Beginner</v>
      </c>
      <c r="S8" s="217" t="str">
        <f ca="1">IFERROR(__xludf.DUMMYFUNCTION("""COMPUTED_VALUE"""),"Das Homeoffice sicher machen")</f>
        <v>Das Homeoffice sicher machen</v>
      </c>
      <c r="T8" s="217"/>
      <c r="U8" s="213"/>
      <c r="V8" s="215">
        <f ca="1">IFERROR(__xludf.DUMMYFUNCTION("""COMPUTED_VALUE"""),747274)</f>
        <v>747274</v>
      </c>
      <c r="W8" s="215" t="str">
        <f ca="1">IFERROR(__xludf.DUMMYFUNCTION("""COMPUTED_VALUE"""),"All levels")</f>
        <v>All levels</v>
      </c>
      <c r="X8" s="217" t="str">
        <f ca="1">IFERROR(__xludf.DUMMYFUNCTION("""COMPUTED_VALUE"""),"人脈の広げ方")</f>
        <v>人脈の広げ方</v>
      </c>
      <c r="Y8" s="217"/>
      <c r="Z8" s="213"/>
      <c r="AA8" s="215">
        <f ca="1">IFERROR(__xludf.DUMMYFUNCTION("""COMPUTED_VALUE"""),800463)</f>
        <v>800463</v>
      </c>
      <c r="AB8" s="215" t="str">
        <f ca="1">IFERROR(__xludf.DUMMYFUNCTION("""COMPUTED_VALUE"""),"Beginner")</f>
        <v>Beginner</v>
      </c>
      <c r="AC8" s="217" t="str">
        <f ca="1">IFERROR(__xludf.DUMMYFUNCTION("""COMPUTED_VALUE"""),"Como Criar sua Equipe")</f>
        <v>Como Criar sua Equipe</v>
      </c>
      <c r="AD8" s="217"/>
      <c r="AE8" s="213"/>
      <c r="AF8" s="215">
        <f ca="1">IFERROR(__xludf.DUMMYFUNCTION("""COMPUTED_VALUE"""),5020681)</f>
        <v>5020681</v>
      </c>
      <c r="AG8" s="215" t="str">
        <f ca="1">IFERROR(__xludf.DUMMYFUNCTION("""COMPUTED_VALUE"""),"Intermediate")</f>
        <v>Intermediate</v>
      </c>
      <c r="AH8" s="217" t="str">
        <f ca="1">IFERROR(__xludf.DUMMYFUNCTION("""COMPUTED_VALUE"""),"包容性领导力")</f>
        <v>包容性领导力</v>
      </c>
      <c r="AI8" s="217"/>
      <c r="AJ8" s="213"/>
    </row>
    <row r="9" spans="1:36" ht="33.75" customHeight="1">
      <c r="A9" s="213"/>
      <c r="B9" s="214">
        <f ca="1">IFERROR(__xludf.DUMMYFUNCTION("""COMPUTED_VALUE"""),2242035)</f>
        <v>2242035</v>
      </c>
      <c r="C9" s="215" t="str">
        <f ca="1">IFERROR(__xludf.DUMMYFUNCTION("""COMPUTED_VALUE"""),"General")</f>
        <v>General</v>
      </c>
      <c r="D9" s="216" t="str">
        <f ca="1">IFERROR(__xludf.DUMMYFUNCTION("""COMPUTED_VALUE"""),"Humble Leadership: The Power of Relationships, Openness, and Trust (getAbstract Summary)")</f>
        <v>Humble Leadership: The Power of Relationships, Openness, and Trust (getAbstract Summary)</v>
      </c>
      <c r="E9" s="217" t="str">
        <f ca="1">IFERROR(__xludf.DUMMYFUNCTION("""COMPUTED_VALUE"""),"Building Trust and Collaborating with Others")</f>
        <v>Building Trust and Collaborating with Others</v>
      </c>
      <c r="F9" s="213"/>
      <c r="G9" s="214">
        <f ca="1">IFERROR(__xludf.DUMMYFUNCTION("""COMPUTED_VALUE"""),641777)</f>
        <v>641777</v>
      </c>
      <c r="H9" s="215" t="str">
        <f ca="1">IFERROR(__xludf.DUMMYFUNCTION("""COMPUTED_VALUE"""),"Beginner")</f>
        <v>Beginner</v>
      </c>
      <c r="I9" s="217" t="str">
        <f ca="1">IFERROR(__xludf.DUMMYFUNCTION("""COMPUTED_VALUE"""),"Communiquer avec confiance")</f>
        <v>Communiquer avec confiance</v>
      </c>
      <c r="J9" s="217"/>
      <c r="K9" s="213"/>
      <c r="L9" s="215">
        <f ca="1">IFERROR(__xludf.DUMMYFUNCTION("""COMPUTED_VALUE"""),2841605)</f>
        <v>2841605</v>
      </c>
      <c r="M9" s="215" t="str">
        <f ca="1">IFERROR(__xludf.DUMMYFUNCTION("""COMPUTED_VALUE"""),"Beginner, Intermediate")</f>
        <v>Beginner, Intermediate</v>
      </c>
      <c r="N9" s="217" t="str">
        <f ca="1">IFERROR(__xludf.DUMMYFUNCTION("""COMPUTED_VALUE"""),"Cómo encontrar un trabajo a distancia")</f>
        <v>Cómo encontrar un trabajo a distancia</v>
      </c>
      <c r="O9" s="217" t="str">
        <f ca="1">IFERROR(__xludf.DUMMYFUNCTION("""COMPUTED_VALUE"""),"Mejora tu capacidad para comunicar con las personas")</f>
        <v>Mejora tu capacidad para comunicar con las personas</v>
      </c>
      <c r="P9" s="213"/>
      <c r="Q9" s="215">
        <f ca="1">IFERROR(__xludf.DUMMYFUNCTION("""COMPUTED_VALUE"""),2837222)</f>
        <v>2837222</v>
      </c>
      <c r="R9" s="215" t="str">
        <f ca="1">IFERROR(__xludf.DUMMYFUNCTION("""COMPUTED_VALUE"""),"All levels")</f>
        <v>All levels</v>
      </c>
      <c r="S9" s="217" t="str">
        <f ca="1">IFERROR(__xludf.DUMMYFUNCTION("""COMPUTED_VALUE"""),"Die 10 Stufen des Zuhörens: Die eigene Zuhörkompetenz ausbauen")</f>
        <v>Die 10 Stufen des Zuhörens: Die eigene Zuhörkompetenz ausbauen</v>
      </c>
      <c r="T9" s="217"/>
      <c r="U9" s="213"/>
      <c r="V9" s="215">
        <f ca="1">IFERROR(__xludf.DUMMYFUNCTION("""COMPUTED_VALUE"""),724509)</f>
        <v>724509</v>
      </c>
      <c r="W9" s="215" t="str">
        <f ca="1">IFERROR(__xludf.DUMMYFUNCTION("""COMPUTED_VALUE"""),"Intermediate")</f>
        <v>Intermediate</v>
      </c>
      <c r="X9" s="217" t="str">
        <f ca="1">IFERROR(__xludf.DUMMYFUNCTION("""COMPUTED_VALUE"""),"優れた聴き手になるには")</f>
        <v>優れた聴き手になるには</v>
      </c>
      <c r="Y9" s="217"/>
      <c r="Z9" s="213"/>
      <c r="AA9" s="215">
        <f ca="1">IFERROR(__xludf.DUMMYFUNCTION("""COMPUTED_VALUE"""),2908959)</f>
        <v>2908959</v>
      </c>
      <c r="AB9" s="215" t="str">
        <f ca="1">IFERROR(__xludf.DUMMYFUNCTION("""COMPUTED_VALUE"""),"Advanced")</f>
        <v>Advanced</v>
      </c>
      <c r="AC9" s="217" t="str">
        <f ca="1">IFERROR(__xludf.DUMMYFUNCTION("""COMPUTED_VALUE"""),"Como Criar uma Cultura de Alto Desempenho")</f>
        <v>Como Criar uma Cultura de Alto Desempenho</v>
      </c>
      <c r="AD9" s="217"/>
      <c r="AE9" s="213"/>
      <c r="AF9" s="215">
        <f ca="1">IFERROR(__xludf.DUMMYFUNCTION("""COMPUTED_VALUE"""),2824039)</f>
        <v>2824039</v>
      </c>
      <c r="AG9" s="215" t="str">
        <f ca="1">IFERROR(__xludf.DUMMYFUNCTION("""COMPUTED_VALUE"""),"Beginner + Intermediate")</f>
        <v>Beginner + Intermediate</v>
      </c>
      <c r="AH9" s="217" t="str">
        <f ca="1">IFERROR(__xludf.DUMMYFUNCTION("""COMPUTED_VALUE"""),"反馈的给出与接收")</f>
        <v>反馈的给出与接收</v>
      </c>
      <c r="AI9" s="217"/>
      <c r="AJ9" s="213"/>
    </row>
    <row r="10" spans="1:36" ht="33.75" customHeight="1">
      <c r="A10" s="213"/>
      <c r="B10" s="214">
        <f ca="1">IFERROR(__xludf.DUMMYFUNCTION("""COMPUTED_VALUE"""),2315934)</f>
        <v>2315934</v>
      </c>
      <c r="C10" s="215" t="str">
        <f ca="1">IFERROR(__xludf.DUMMYFUNCTION("""COMPUTED_VALUE"""),"Beginner + Intermediate")</f>
        <v>Beginner + Intermediate</v>
      </c>
      <c r="D10" s="216" t="str">
        <f ca="1">IFERROR(__xludf.DUMMYFUNCTION("""COMPUTED_VALUE"""),"Supporting a Grieving Employee: A Manager's Guide")</f>
        <v>Supporting a Grieving Employee: A Manager's Guide</v>
      </c>
      <c r="E10" s="217"/>
      <c r="F10" s="213"/>
      <c r="G10" s="214">
        <f ca="1">IFERROR(__xludf.DUMMYFUNCTION("""COMPUTED_VALUE"""),2915420)</f>
        <v>2915420</v>
      </c>
      <c r="H10" s="215" t="str">
        <f ca="1">IFERROR(__xludf.DUMMYFUNCTION("""COMPUTED_VALUE"""),"Intermediate")</f>
        <v>Intermediate</v>
      </c>
      <c r="I10" s="217" t="str">
        <f ca="1">IFERROR(__xludf.DUMMYFUNCTION("""COMPUTED_VALUE"""),"Communiquer avec diplomatie et tact")</f>
        <v>Communiquer avec diplomatie et tact</v>
      </c>
      <c r="J10" s="217"/>
      <c r="K10" s="213"/>
      <c r="L10" s="215">
        <f ca="1">IFERROR(__xludf.DUMMYFUNCTION("""COMPUTED_VALUE"""),555153)</f>
        <v>555153</v>
      </c>
      <c r="M10" s="215" t="str">
        <f ca="1">IFERROR(__xludf.DUMMYFUNCTION("""COMPUTED_VALUE"""),"All levels")</f>
        <v>All levels</v>
      </c>
      <c r="N10" s="217" t="str">
        <f ca="1">IFERROR(__xludf.DUMMYFUNCTION("""COMPUTED_VALUE"""),"Cómo generar confianza")</f>
        <v>Cómo generar confianza</v>
      </c>
      <c r="O10" s="217" t="str">
        <f ca="1">IFERROR(__xludf.DUMMYFUNCTION("""COMPUTED_VALUE"""),"Amplía tus competencias de trabajo en equipo colaborativo y digital")</f>
        <v>Amplía tus competencias de trabajo en equipo colaborativo y digital</v>
      </c>
      <c r="P10" s="213"/>
      <c r="Q10" s="215">
        <f ca="1">IFERROR(__xludf.DUMMYFUNCTION("""COMPUTED_VALUE"""),2988468)</f>
        <v>2988468</v>
      </c>
      <c r="R10" s="215" t="str">
        <f ca="1">IFERROR(__xludf.DUMMYFUNCTION("""COMPUTED_VALUE"""),"All levels")</f>
        <v>All levels</v>
      </c>
      <c r="S10" s="217" t="str">
        <f ca="1">IFERROR(__xludf.DUMMYFUNCTION("""COMPUTED_VALUE"""),"Die Assistenz der Zukunft: Schlüsselkompetenzen für das moderne Office-Management")</f>
        <v>Die Assistenz der Zukunft: Schlüsselkompetenzen für das moderne Office-Management</v>
      </c>
      <c r="T10" s="217"/>
      <c r="U10" s="213"/>
      <c r="V10" s="215">
        <f ca="1">IFERROR(__xludf.DUMMYFUNCTION("""COMPUTED_VALUE"""),2891000)</f>
        <v>2891000</v>
      </c>
      <c r="W10" s="215" t="str">
        <f ca="1">IFERROR(__xludf.DUMMYFUNCTION("""COMPUTED_VALUE"""),"All levels")</f>
        <v>All levels</v>
      </c>
      <c r="X10" s="217" t="str">
        <f ca="1">IFERROR(__xludf.DUMMYFUNCTION("""COMPUTED_VALUE"""),"聞く力：聞き上手になるための10ステップ")</f>
        <v>聞く力：聞き上手になるための10ステップ</v>
      </c>
      <c r="Y10" s="217"/>
      <c r="Z10" s="213"/>
      <c r="AA10" s="215">
        <f ca="1">IFERROR(__xludf.DUMMYFUNCTION("""COMPUTED_VALUE"""),752464)</f>
        <v>752464</v>
      </c>
      <c r="AB10" s="215" t="str">
        <f ca="1">IFERROR(__xludf.DUMMYFUNCTION("""COMPUTED_VALUE"""),"Beginner")</f>
        <v>Beginner</v>
      </c>
      <c r="AC10" s="217" t="str">
        <f ca="1">IFERROR(__xludf.DUMMYFUNCTION("""COMPUTED_VALUE"""),"Como Dar Feedback aos Colaboradores")</f>
        <v>Como Dar Feedback aos Colaboradores</v>
      </c>
      <c r="AD10" s="217"/>
      <c r="AE10" s="213"/>
      <c r="AF10" s="215">
        <f ca="1">IFERROR(__xludf.DUMMYFUNCTION("""COMPUTED_VALUE"""),2862023)</f>
        <v>2862023</v>
      </c>
      <c r="AG10" s="215" t="str">
        <f ca="1">IFERROR(__xludf.DUMMYFUNCTION("""COMPUTED_VALUE"""),"Beginner")</f>
        <v>Beginner</v>
      </c>
      <c r="AH10" s="217" t="str">
        <f ca="1">IFERROR(__xludf.DUMMYFUNCTION("""COMPUTED_VALUE"""),"同理心沟通")</f>
        <v>同理心沟通</v>
      </c>
      <c r="AI10" s="217"/>
      <c r="AJ10" s="213"/>
    </row>
    <row r="11" spans="1:36" ht="33.75" customHeight="1">
      <c r="A11" s="213"/>
      <c r="B11" s="214">
        <f ca="1">IFERROR(__xludf.DUMMYFUNCTION("""COMPUTED_VALUE"""),784280)</f>
        <v>784280</v>
      </c>
      <c r="C11" s="215" t="str">
        <f ca="1">IFERROR(__xludf.DUMMYFUNCTION("""COMPUTED_VALUE"""),"General")</f>
        <v>General</v>
      </c>
      <c r="D11" s="216" t="str">
        <f ca="1">IFERROR(__xludf.DUMMYFUNCTION("""COMPUTED_VALUE"""),"Leading Inclusive Teams")</f>
        <v>Leading Inclusive Teams</v>
      </c>
      <c r="E11" s="217"/>
      <c r="F11" s="213"/>
      <c r="G11" s="214">
        <f ca="1">IFERROR(__xludf.DUMMYFUNCTION("""COMPUTED_VALUE"""),648463)</f>
        <v>648463</v>
      </c>
      <c r="H11" s="215" t="str">
        <f ca="1">IFERROR(__xludf.DUMMYFUNCTION("""COMPUTED_VALUE"""),"Beginner")</f>
        <v>Beginner</v>
      </c>
      <c r="I11" s="217" t="str">
        <f ca="1">IFERROR(__xludf.DUMMYFUNCTION("""COMPUTED_VALUE"""),"Communiquer en environnement multiculturel")</f>
        <v>Communiquer en environnement multiculturel</v>
      </c>
      <c r="J11" s="217"/>
      <c r="K11" s="213"/>
      <c r="L11" s="215">
        <f ca="1">IFERROR(__xludf.DUMMYFUNCTION("""COMPUTED_VALUE"""),646303)</f>
        <v>646303</v>
      </c>
      <c r="M11" s="215" t="str">
        <f ca="1">IFERROR(__xludf.DUMMYFUNCTION("""COMPUTED_VALUE"""),"All levels")</f>
        <v>All levels</v>
      </c>
      <c r="N11" s="217" t="str">
        <f ca="1">IFERROR(__xludf.DUMMYFUNCTION("""COMPUTED_VALUE"""),"Cómo gestionar a tu superior")</f>
        <v>Cómo gestionar a tu superior</v>
      </c>
      <c r="O11" s="217" t="str">
        <f ca="1">IFERROR(__xludf.DUMMYFUNCTION("""COMPUTED_VALUE"""),"Domina las herramientas de trabajo en equipo colaborativo y digital")</f>
        <v>Domina las herramientas de trabajo en equipo colaborativo y digital</v>
      </c>
      <c r="P11" s="213"/>
      <c r="Q11" s="215">
        <f ca="1">IFERROR(__xludf.DUMMYFUNCTION("""COMPUTED_VALUE"""),563969)</f>
        <v>563969</v>
      </c>
      <c r="R11" s="215" t="str">
        <f ca="1">IFERROR(__xludf.DUMMYFUNCTION("""COMPUTED_VALUE"""),"Intermediate")</f>
        <v>Intermediate</v>
      </c>
      <c r="S11" s="217" t="str">
        <f ca="1">IFERROR(__xludf.DUMMYFUNCTION("""COMPUTED_VALUE"""),"Die Teamkreativität steigern")</f>
        <v>Die Teamkreativität steigern</v>
      </c>
      <c r="T11" s="217"/>
      <c r="U11" s="213"/>
      <c r="V11" s="215">
        <f ca="1">IFERROR(__xludf.DUMMYFUNCTION("""COMPUTED_VALUE"""),765510)</f>
        <v>765510</v>
      </c>
      <c r="W11" s="215" t="str">
        <f ca="1">IFERROR(__xludf.DUMMYFUNCTION("""COMPUTED_VALUE"""),"All levels")</f>
        <v>All levels</v>
      </c>
      <c r="X11" s="217" t="str">
        <f ca="1">IFERROR(__xludf.DUMMYFUNCTION("""COMPUTED_VALUE"""),"良い信頼関係を築くには")</f>
        <v>良い信頼関係を築くには</v>
      </c>
      <c r="Y11" s="217"/>
      <c r="Z11" s="213"/>
      <c r="AA11" s="215">
        <f ca="1">IFERROR(__xludf.DUMMYFUNCTION("""COMPUTED_VALUE"""),2282124)</f>
        <v>2282124</v>
      </c>
      <c r="AB11" s="215" t="str">
        <f ca="1">IFERROR(__xludf.DUMMYFUNCTION("""COMPUTED_VALUE"""),"Beginner")</f>
        <v>Beginner</v>
      </c>
      <c r="AC11" s="217" t="str">
        <f ca="1">IFERROR(__xludf.DUMMYFUNCTION("""COMPUTED_VALUE"""),"Como Desenvolver a Autoconfiança")</f>
        <v>Como Desenvolver a Autoconfiança</v>
      </c>
      <c r="AD11" s="217"/>
      <c r="AE11" s="213"/>
      <c r="AF11" s="215">
        <f ca="1">IFERROR(__xludf.DUMMYFUNCTION("""COMPUTED_VALUE"""),797752)</f>
        <v>797752</v>
      </c>
      <c r="AG11" s="215" t="str">
        <f ca="1">IFERROR(__xludf.DUMMYFUNCTION("""COMPUTED_VALUE"""),"All levels")</f>
        <v>All levels</v>
      </c>
      <c r="AH11" s="217" t="str">
        <f ca="1">IFERROR(__xludf.DUMMYFUNCTION("""COMPUTED_VALUE"""),"向上管理")</f>
        <v>向上管理</v>
      </c>
      <c r="AI11" s="217"/>
      <c r="AJ11" s="213"/>
    </row>
    <row r="12" spans="1:36" ht="33.75" customHeight="1">
      <c r="A12" s="213"/>
      <c r="B12" s="214">
        <f ca="1">IFERROR(__xludf.DUMMYFUNCTION("""COMPUTED_VALUE"""),2241057)</f>
        <v>2241057</v>
      </c>
      <c r="C12" s="215" t="str">
        <f ca="1">IFERROR(__xludf.DUMMYFUNCTION("""COMPUTED_VALUE"""),"General")</f>
        <v>General</v>
      </c>
      <c r="D12" s="216" t="str">
        <f ca="1">IFERROR(__xludf.DUMMYFUNCTION("""COMPUTED_VALUE"""),"What Are Your Blind Spots? (getAbstract Summary)")</f>
        <v>What Are Your Blind Spots? (getAbstract Summary)</v>
      </c>
      <c r="E12" s="217"/>
      <c r="F12" s="213"/>
      <c r="G12" s="214">
        <f ca="1">IFERROR(__xludf.DUMMYFUNCTION("""COMPUTED_VALUE"""),758900)</f>
        <v>758900</v>
      </c>
      <c r="H12" s="215" t="str">
        <f ca="1">IFERROR(__xludf.DUMMYFUNCTION("""COMPUTED_VALUE"""),"Advanced")</f>
        <v>Advanced</v>
      </c>
      <c r="I12" s="217" t="str">
        <f ca="1">IFERROR(__xludf.DUMMYFUNCTION("""COMPUTED_VALUE"""),"Créer un environnement de travail positif et sain")</f>
        <v>Créer un environnement de travail positif et sain</v>
      </c>
      <c r="J12" s="217"/>
      <c r="K12" s="213"/>
      <c r="L12" s="215">
        <f ca="1">IFERROR(__xludf.DUMMYFUNCTION("""COMPUTED_VALUE"""),2924306)</f>
        <v>2924306</v>
      </c>
      <c r="M12" s="215" t="str">
        <f ca="1">IFERROR(__xludf.DUMMYFUNCTION("""COMPUTED_VALUE"""),"All levels")</f>
        <v>All levels</v>
      </c>
      <c r="N12" s="217" t="str">
        <f ca="1">IFERROR(__xludf.DUMMYFUNCTION("""COMPUTED_VALUE"""),"Cómo liderar equipos inclusivos")</f>
        <v>Cómo liderar equipos inclusivos</v>
      </c>
      <c r="O12" s="217" t="str">
        <f ca="1">IFERROR(__xludf.DUMMYFUNCTION("""COMPUTED_VALUE"""),"Trabajo a distancia: Preparándote a ti mismo y a tus equipos para el éxito")</f>
        <v>Trabajo a distancia: Preparándote a ti mismo y a tus equipos para el éxito</v>
      </c>
      <c r="P12" s="213"/>
      <c r="Q12" s="215">
        <f ca="1">IFERROR(__xludf.DUMMYFUNCTION("""COMPUTED_VALUE"""),2883054)</f>
        <v>2883054</v>
      </c>
      <c r="R12" s="215" t="str">
        <f ca="1">IFERROR(__xludf.DUMMYFUNCTION("""COMPUTED_VALUE"""),"Intermediate")</f>
        <v>Intermediate</v>
      </c>
      <c r="S12" s="217" t="str">
        <f ca="1">IFERROR(__xludf.DUMMYFUNCTION("""COMPUTED_VALUE"""),"Digital auf Distanz führen und Ergebnisse erzielen")</f>
        <v>Digital auf Distanz führen und Ergebnisse erzielen</v>
      </c>
      <c r="T12" s="217"/>
      <c r="U12" s="213"/>
      <c r="V12" s="215">
        <f ca="1">IFERROR(__xludf.DUMMYFUNCTION("""COMPUTED_VALUE"""),2886054)</f>
        <v>2886054</v>
      </c>
      <c r="W12" s="215" t="str">
        <f ca="1">IFERROR(__xludf.DUMMYFUNCTION("""COMPUTED_VALUE"""),"All levels")</f>
        <v>All levels</v>
      </c>
      <c r="X12" s="217" t="str">
        <f ca="1">IFERROR(__xludf.DUMMYFUNCTION("""COMPUTED_VALUE"""),"良好な人間関係を築くコミュニケーション")</f>
        <v>良好な人間関係を築くコミュニケーション</v>
      </c>
      <c r="Y12" s="217"/>
      <c r="Z12" s="213"/>
      <c r="AA12" s="215">
        <f ca="1">IFERROR(__xludf.DUMMYFUNCTION("""COMPUTED_VALUE"""),2928582)</f>
        <v>2928582</v>
      </c>
      <c r="AB12" s="215" t="str">
        <f ca="1">IFERROR(__xludf.DUMMYFUNCTION("""COMPUTED_VALUE"""),"Beginner")</f>
        <v>Beginner</v>
      </c>
      <c r="AC12" s="217" t="str">
        <f ca="1">IFERROR(__xludf.DUMMYFUNCTION("""COMPUTED_VALUE"""),"Como Engajar os Colaboradores")</f>
        <v>Como Engajar os Colaboradores</v>
      </c>
      <c r="AD12" s="217"/>
      <c r="AE12" s="213"/>
      <c r="AF12" s="215">
        <f ca="1">IFERROR(__xludf.DUMMYFUNCTION("""COMPUTED_VALUE"""),2825059)</f>
        <v>2825059</v>
      </c>
      <c r="AG12" s="215" t="str">
        <f ca="1">IFERROR(__xludf.DUMMYFUNCTION("""COMPUTED_VALUE"""),"Intermediate")</f>
        <v>Intermediate</v>
      </c>
      <c r="AH12" s="217" t="str">
        <f ca="1">IFERROR(__xludf.DUMMYFUNCTION("""COMPUTED_VALUE"""),"向上管理、向下管理与平行管理")</f>
        <v>向上管理、向下管理与平行管理</v>
      </c>
      <c r="AI12" s="217"/>
      <c r="AJ12" s="213"/>
    </row>
    <row r="13" spans="1:36" ht="33.75" customHeight="1">
      <c r="A13" s="213"/>
      <c r="B13" s="214">
        <f ca="1">IFERROR(__xludf.DUMMYFUNCTION("""COMPUTED_VALUE"""),2243045)</f>
        <v>2243045</v>
      </c>
      <c r="C13" s="215" t="str">
        <f ca="1">IFERROR(__xludf.DUMMYFUNCTION("""COMPUTED_VALUE"""),"General")</f>
        <v>General</v>
      </c>
      <c r="D13" s="216" t="str">
        <f ca="1">IFERROR(__xludf.DUMMYFUNCTION("""COMPUTED_VALUE"""),"The Art of Connection: 7 Relationship-Building Skills Every Leader Needs Now (getAbstract Summary)")</f>
        <v>The Art of Connection: 7 Relationship-Building Skills Every Leader Needs Now (getAbstract Summary)</v>
      </c>
      <c r="E13" s="217"/>
      <c r="F13" s="213"/>
      <c r="G13" s="214">
        <f ca="1">IFERROR(__xludf.DUMMYFUNCTION("""COMPUTED_VALUE"""),606575)</f>
        <v>606575</v>
      </c>
      <c r="H13" s="215" t="str">
        <f ca="1">IFERROR(__xludf.DUMMYFUNCTION("""COMPUTED_VALUE"""),"All levels")</f>
        <v>All levels</v>
      </c>
      <c r="I13" s="217" t="str">
        <f ca="1">IFERROR(__xludf.DUMMYFUNCTION("""COMPUTED_VALUE"""),"Découvrir le réseautage professionnel")</f>
        <v>Découvrir le réseautage professionnel</v>
      </c>
      <c r="J13" s="217"/>
      <c r="K13" s="213"/>
      <c r="L13" s="215">
        <f ca="1">IFERROR(__xludf.DUMMYFUNCTION("""COMPUTED_VALUE"""),2926133)</f>
        <v>2926133</v>
      </c>
      <c r="M13" s="215" t="str">
        <f ca="1">IFERROR(__xludf.DUMMYFUNCTION("""COMPUTED_VALUE"""),"All levels")</f>
        <v>All levels</v>
      </c>
      <c r="N13" s="217" t="str">
        <f ca="1">IFERROR(__xludf.DUMMYFUNCTION("""COMPUTED_VALUE"""),"Cómo liderar reuniones individuales productivas")</f>
        <v>Cómo liderar reuniones individuales productivas</v>
      </c>
      <c r="O13" s="217"/>
      <c r="P13" s="213"/>
      <c r="Q13" s="215">
        <f ca="1">IFERROR(__xludf.DUMMYFUNCTION("""COMPUTED_VALUE"""),2841289)</f>
        <v>2841289</v>
      </c>
      <c r="R13" s="215" t="str">
        <f ca="1">IFERROR(__xludf.DUMMYFUNCTION("""COMPUTED_VALUE"""),"Beginner, Intermediate")</f>
        <v>Beginner, Intermediate</v>
      </c>
      <c r="S13" s="217" t="str">
        <f ca="1">IFERROR(__xludf.DUMMYFUNCTION("""COMPUTED_VALUE"""),"Ein erfolgreiches Teammitglied sein")</f>
        <v>Ein erfolgreiches Teammitglied sein</v>
      </c>
      <c r="T13" s="217"/>
      <c r="U13" s="213"/>
      <c r="V13" s="215">
        <f ca="1">IFERROR(__xludf.DUMMYFUNCTION("""COMPUTED_VALUE"""),2415665)</f>
        <v>2415665</v>
      </c>
      <c r="W13" s="215" t="str">
        <f ca="1">IFERROR(__xludf.DUMMYFUNCTION("""COMPUTED_VALUE"""),"Beginner")</f>
        <v>Beginner</v>
      </c>
      <c r="X13" s="217" t="str">
        <f ca="1">IFERROR(__xludf.DUMMYFUNCTION("""COMPUTED_VALUE"""),"親しみやすい印象を与えるには")</f>
        <v>親しみやすい印象を与えるには</v>
      </c>
      <c r="Y13" s="217"/>
      <c r="Z13" s="213"/>
      <c r="AA13" s="215">
        <f ca="1">IFERROR(__xludf.DUMMYFUNCTION("""COMPUTED_VALUE"""),748851)</f>
        <v>748851</v>
      </c>
      <c r="AB13" s="215" t="str">
        <f ca="1">IFERROR(__xludf.DUMMYFUNCTION("""COMPUTED_VALUE"""),"All levels")</f>
        <v>All levels</v>
      </c>
      <c r="AC13" s="217" t="str">
        <f ca="1">IFERROR(__xludf.DUMMYFUNCTION("""COMPUTED_VALUE"""),"Como Escutar de Forma Eficaz")</f>
        <v>Como Escutar de Forma Eficaz</v>
      </c>
      <c r="AD13" s="217"/>
      <c r="AE13" s="213"/>
      <c r="AF13" s="215">
        <f ca="1">IFERROR(__xludf.DUMMYFUNCTION("""COMPUTED_VALUE"""),780646)</f>
        <v>780646</v>
      </c>
      <c r="AG13" s="215" t="str">
        <f ca="1">IFERROR(__xludf.DUMMYFUNCTION("""COMPUTED_VALUE"""),"All levels")</f>
        <v>All levels</v>
      </c>
      <c r="AH13" s="217" t="str">
        <f ca="1">IFERROR(__xludf.DUMMYFUNCTION("""COMPUTED_VALUE"""),"团队合作基础知识")</f>
        <v>团队合作基础知识</v>
      </c>
      <c r="AI13" s="217"/>
      <c r="AJ13" s="213"/>
    </row>
    <row r="14" spans="1:36" ht="33.75" customHeight="1">
      <c r="A14" s="213"/>
      <c r="B14" s="214">
        <f ca="1">IFERROR(__xludf.DUMMYFUNCTION("""COMPUTED_VALUE"""),2807856)</f>
        <v>2807856</v>
      </c>
      <c r="C14" s="215" t="str">
        <f ca="1">IFERROR(__xludf.DUMMYFUNCTION("""COMPUTED_VALUE"""),"General")</f>
        <v>General</v>
      </c>
      <c r="D14" s="216" t="str">
        <f ca="1">IFERROR(__xludf.DUMMYFUNCTION("""COMPUTED_VALUE"""),"Unlock Your Team's Creativity")</f>
        <v>Unlock Your Team's Creativity</v>
      </c>
      <c r="E14" s="217"/>
      <c r="F14" s="213"/>
      <c r="G14" s="214">
        <f ca="1">IFERROR(__xludf.DUMMYFUNCTION("""COMPUTED_VALUE"""),3143215)</f>
        <v>3143215</v>
      </c>
      <c r="H14" s="215" t="str">
        <f ca="1">IFERROR(__xludf.DUMMYFUNCTION("""COMPUTED_VALUE"""),"All levels")</f>
        <v>All levels</v>
      </c>
      <c r="I14" s="217" t="str">
        <f ca="1">IFERROR(__xludf.DUMMYFUNCTION("""COMPUTED_VALUE"""),"Demander un feedback au travail")</f>
        <v>Demander un feedback au travail</v>
      </c>
      <c r="J14" s="217"/>
      <c r="K14" s="213"/>
      <c r="L14" s="215">
        <f ca="1">IFERROR(__xludf.DUMMYFUNCTION("""COMPUTED_VALUE"""),2996869)</f>
        <v>2996869</v>
      </c>
      <c r="M14" s="215" t="str">
        <f ca="1">IFERROR(__xludf.DUMMYFUNCTION("""COMPUTED_VALUE"""),"All levels")</f>
        <v>All levels</v>
      </c>
      <c r="N14" s="217" t="str">
        <f ca="1">IFERROR(__xludf.DUMMYFUNCTION("""COMPUTED_VALUE"""),"Cómo ser parte de un ambiente de trabajo positivo")</f>
        <v>Cómo ser parte de un ambiente de trabajo positivo</v>
      </c>
      <c r="O14" s="217"/>
      <c r="P14" s="213"/>
      <c r="Q14" s="215">
        <f ca="1">IFERROR(__xludf.DUMMYFUNCTION("""COMPUTED_VALUE"""),5020331)</f>
        <v>5020331</v>
      </c>
      <c r="R14" s="215" t="str">
        <f ca="1">IFERROR(__xludf.DUMMYFUNCTION("""COMPUTED_VALUE"""),"All levels")</f>
        <v>All levels</v>
      </c>
      <c r="S14" s="217" t="str">
        <f ca="1">IFERROR(__xludf.DUMMYFUNCTION("""COMPUTED_VALUE"""),"Emotionale Intelligenz entwickeln")</f>
        <v>Emotionale Intelligenz entwickeln</v>
      </c>
      <c r="T14" s="217"/>
      <c r="U14" s="213"/>
      <c r="V14" s="215"/>
      <c r="W14" s="215"/>
      <c r="X14" s="217"/>
      <c r="Y14" s="217"/>
      <c r="Z14" s="213"/>
      <c r="AA14" s="215">
        <f ca="1">IFERROR(__xludf.DUMMYFUNCTION("""COMPUTED_VALUE"""),2432276)</f>
        <v>2432276</v>
      </c>
      <c r="AB14" s="215" t="str">
        <f ca="1">IFERROR(__xludf.DUMMYFUNCTION("""COMPUTED_VALUE"""),"Intermediate")</f>
        <v>Intermediate</v>
      </c>
      <c r="AC14" s="217" t="str">
        <f ca="1">IFERROR(__xludf.DUMMYFUNCTION("""COMPUTED_VALUE"""),"Como Estimular o Pensamento Criativo da sua Equipe")</f>
        <v>Como Estimular o Pensamento Criativo da sua Equipe</v>
      </c>
      <c r="AD14" s="217"/>
      <c r="AE14" s="213"/>
      <c r="AF14" s="215">
        <f ca="1">IFERROR(__xludf.DUMMYFUNCTION("""COMPUTED_VALUE"""),2823352)</f>
        <v>2823352</v>
      </c>
      <c r="AG14" s="215" t="str">
        <f ca="1">IFERROR(__xludf.DUMMYFUNCTION("""COMPUTED_VALUE"""),"Beginner")</f>
        <v>Beginner</v>
      </c>
      <c r="AH14" s="217" t="str">
        <f ca="1">IFERROR(__xludf.DUMMYFUNCTION("""COMPUTED_VALUE"""),"团队沟通")</f>
        <v>团队沟通</v>
      </c>
      <c r="AI14" s="217"/>
      <c r="AJ14" s="213"/>
    </row>
    <row r="15" spans="1:36" ht="33.75" customHeight="1">
      <c r="A15" s="213"/>
      <c r="B15" s="214">
        <f ca="1">IFERROR(__xludf.DUMMYFUNCTION("""COMPUTED_VALUE"""),784278)</f>
        <v>784278</v>
      </c>
      <c r="C15" s="215" t="str">
        <f ca="1">IFERROR(__xludf.DUMMYFUNCTION("""COMPUTED_VALUE"""),"General")</f>
        <v>General</v>
      </c>
      <c r="D15" s="216" t="str">
        <f ca="1">IFERROR(__xludf.DUMMYFUNCTION("""COMPUTED_VALUE"""),"Managing and Working with a Technical Team for Nontechnical Professionals")</f>
        <v>Managing and Working with a Technical Team for Nontechnical Professionals</v>
      </c>
      <c r="E15" s="217"/>
      <c r="F15" s="213"/>
      <c r="G15" s="214">
        <f ca="1">IFERROR(__xludf.DUMMYFUNCTION("""COMPUTED_VALUE"""),2823305)</f>
        <v>2823305</v>
      </c>
      <c r="H15" s="215" t="str">
        <f ca="1">IFERROR(__xludf.DUMMYFUNCTION("""COMPUTED_VALUE"""),"Intermediate")</f>
        <v>Intermediate</v>
      </c>
      <c r="I15" s="217" t="str">
        <f ca="1">IFERROR(__xludf.DUMMYFUNCTION("""COMPUTED_VALUE"""),"Développer des relations professionnelles")</f>
        <v>Développer des relations professionnelles</v>
      </c>
      <c r="J15" s="217"/>
      <c r="K15" s="213"/>
      <c r="L15" s="215">
        <f ca="1">IFERROR(__xludf.DUMMYFUNCTION("""COMPUTED_VALUE"""),2929353)</f>
        <v>2929353</v>
      </c>
      <c r="M15" s="215" t="str">
        <f ca="1">IFERROR(__xludf.DUMMYFUNCTION("""COMPUTED_VALUE"""),"All levels")</f>
        <v>All levels</v>
      </c>
      <c r="N15" s="217" t="str">
        <f ca="1">IFERROR(__xludf.DUMMYFUNCTION("""COMPUTED_VALUE"""),"Comunicación con atención plena, empatía y compasión")</f>
        <v>Comunicación con atención plena, empatía y compasión</v>
      </c>
      <c r="O15" s="217"/>
      <c r="P15" s="213"/>
      <c r="Q15" s="215">
        <f ca="1">IFERROR(__xludf.DUMMYFUNCTION("""COMPUTED_VALUE"""),2815032)</f>
        <v>2815032</v>
      </c>
      <c r="R15" s="215" t="str">
        <f ca="1">IFERROR(__xludf.DUMMYFUNCTION("""COMPUTED_VALUE"""),"All levels")</f>
        <v>All levels</v>
      </c>
      <c r="S15" s="217" t="str">
        <f ca="1">IFERROR(__xludf.DUMMYFUNCTION("""COMPUTED_VALUE"""),"Empathie und Kreativität als neue Schlüsselkompetenzen")</f>
        <v>Empathie und Kreativität als neue Schlüsselkompetenzen</v>
      </c>
      <c r="T15" s="217"/>
      <c r="U15" s="213"/>
      <c r="V15" s="215"/>
      <c r="W15" s="215"/>
      <c r="X15" s="217"/>
      <c r="Y15" s="217"/>
      <c r="Z15" s="213"/>
      <c r="AA15" s="215">
        <f ca="1">IFERROR(__xludf.DUMMYFUNCTION("""COMPUTED_VALUE"""),2873260)</f>
        <v>2873260</v>
      </c>
      <c r="AB15" s="215" t="str">
        <f ca="1">IFERROR(__xludf.DUMMYFUNCTION("""COMPUTED_VALUE"""),"Intermediate")</f>
        <v>Intermediate</v>
      </c>
      <c r="AC15" s="217" t="str">
        <f ca="1">IFERROR(__xludf.DUMMYFUNCTION("""COMPUTED_VALUE"""),"Como Gerenciar Múltiplas Gerações no Ambiente de Trabalho")</f>
        <v>Como Gerenciar Múltiplas Gerações no Ambiente de Trabalho</v>
      </c>
      <c r="AD15" s="217"/>
      <c r="AE15" s="213"/>
      <c r="AF15" s="215">
        <f ca="1">IFERROR(__xludf.DUMMYFUNCTION("""COMPUTED_VALUE"""),3050237)</f>
        <v>3050237</v>
      </c>
      <c r="AG15" s="215" t="str">
        <f ca="1">IFERROR(__xludf.DUMMYFUNCTION("""COMPUTED_VALUE"""),"Intermediate")</f>
        <v>Intermediate</v>
      </c>
      <c r="AH15" s="217" t="str">
        <f ca="1">IFERROR(__xludf.DUMMYFUNCTION("""COMPUTED_VALUE"""),"团队管理：升级创意与想法")</f>
        <v>团队管理：升级创意与想法</v>
      </c>
      <c r="AI15" s="217"/>
      <c r="AJ15" s="213"/>
    </row>
    <row r="16" spans="1:36" ht="33.75" customHeight="1">
      <c r="A16" s="213"/>
      <c r="B16" s="214">
        <f ca="1">IFERROR(__xludf.DUMMYFUNCTION("""COMPUTED_VALUE"""),656781)</f>
        <v>656781</v>
      </c>
      <c r="C16" s="215" t="str">
        <f ca="1">IFERROR(__xludf.DUMMYFUNCTION("""COMPUTED_VALUE"""),"Intermediate")</f>
        <v>Intermediate</v>
      </c>
      <c r="D16" s="216" t="str">
        <f ca="1">IFERROR(__xludf.DUMMYFUNCTION("""COMPUTED_VALUE"""),"Facilitation Skills for Managers and Leaders")</f>
        <v>Facilitation Skills for Managers and Leaders</v>
      </c>
      <c r="E16" s="217"/>
      <c r="F16" s="213"/>
      <c r="G16" s="214">
        <f ca="1">IFERROR(__xludf.DUMMYFUNCTION("""COMPUTED_VALUE"""),2917547)</f>
        <v>2917547</v>
      </c>
      <c r="H16" s="215" t="str">
        <f ca="1">IFERROR(__xludf.DUMMYFUNCTION("""COMPUTED_VALUE"""),"All levels")</f>
        <v>All levels</v>
      </c>
      <c r="I16" s="217" t="str">
        <f ca="1">IFERROR(__xludf.DUMMYFUNCTION("""COMPUTED_VALUE"""),"Développer son intelligence émotionnelle")</f>
        <v>Développer son intelligence émotionnelle</v>
      </c>
      <c r="J16" s="217"/>
      <c r="K16" s="213"/>
      <c r="L16" s="215">
        <f ca="1">IFERROR(__xludf.DUMMYFUNCTION("""COMPUTED_VALUE"""),609787)</f>
        <v>609787</v>
      </c>
      <c r="M16" s="215" t="str">
        <f ca="1">IFERROR(__xludf.DUMMYFUNCTION("""COMPUTED_VALUE"""),"Beginner")</f>
        <v>Beginner</v>
      </c>
      <c r="N16" s="217" t="str">
        <f ca="1">IFERROR(__xludf.DUMMYFUNCTION("""COMPUTED_VALUE"""),"Comunicación con confianza")</f>
        <v>Comunicación con confianza</v>
      </c>
      <c r="O16" s="217"/>
      <c r="P16" s="213"/>
      <c r="Q16" s="215">
        <f ca="1">IFERROR(__xludf.DUMMYFUNCTION("""COMPUTED_VALUE"""),518927)</f>
        <v>518927</v>
      </c>
      <c r="R16" s="215" t="str">
        <f ca="1">IFERROR(__xludf.DUMMYFUNCTION("""COMPUTED_VALUE"""),"All levels")</f>
        <v>All levels</v>
      </c>
      <c r="S16" s="217" t="str">
        <f ca="1">IFERROR(__xludf.DUMMYFUNCTION("""COMPUTED_VALUE"""),"Erfolgreich zuhören")</f>
        <v>Erfolgreich zuhören</v>
      </c>
      <c r="T16" s="217"/>
      <c r="U16" s="213"/>
      <c r="V16" s="215"/>
      <c r="W16" s="215"/>
      <c r="X16" s="217"/>
      <c r="Y16" s="217"/>
      <c r="Z16" s="213"/>
      <c r="AA16" s="215">
        <f ca="1">IFERROR(__xludf.DUMMYFUNCTION("""COMPUTED_VALUE"""),801463)</f>
        <v>801463</v>
      </c>
      <c r="AB16" s="215" t="str">
        <f ca="1">IFERROR(__xludf.DUMMYFUNCTION("""COMPUTED_VALUE"""),"Intermediate")</f>
        <v>Intermediate</v>
      </c>
      <c r="AC16" s="217" t="str">
        <f ca="1">IFERROR(__xludf.DUMMYFUNCTION("""COMPUTED_VALUE"""),"Como Gerenciar Relacionamentos com Chefes, Colegas e Subordinados")</f>
        <v>Como Gerenciar Relacionamentos com Chefes, Colegas e Subordinados</v>
      </c>
      <c r="AD16" s="217"/>
      <c r="AE16" s="213"/>
      <c r="AF16" s="215">
        <f ca="1">IFERROR(__xludf.DUMMYFUNCTION("""COMPUTED_VALUE"""),3101023)</f>
        <v>3101023</v>
      </c>
      <c r="AG16" s="215" t="str">
        <f ca="1">IFERROR(__xludf.DUMMYFUNCTION("""COMPUTED_VALUE"""),"Beginner")</f>
        <v>Beginner</v>
      </c>
      <c r="AH16" s="217" t="str">
        <f ca="1">IFERROR(__xludf.DUMMYFUNCTION("""COMPUTED_VALUE"""),"培养亲和力")</f>
        <v>培养亲和力</v>
      </c>
      <c r="AI16" s="217"/>
      <c r="AJ16" s="213"/>
    </row>
    <row r="17" spans="1:36" ht="33.75" customHeight="1">
      <c r="A17" s="213"/>
      <c r="B17" s="214">
        <f ca="1">IFERROR(__xludf.DUMMYFUNCTION("""COMPUTED_VALUE"""),126132)</f>
        <v>126132</v>
      </c>
      <c r="C17" s="215" t="str">
        <f ca="1">IFERROR(__xludf.DUMMYFUNCTION("""COMPUTED_VALUE"""),"Intermediate")</f>
        <v>Intermediate</v>
      </c>
      <c r="D17" s="216" t="str">
        <f ca="1">IFERROR(__xludf.DUMMYFUNCTION("""COMPUTED_VALUE"""),"Management Tips")</f>
        <v>Management Tips</v>
      </c>
      <c r="E17" s="217"/>
      <c r="F17" s="213"/>
      <c r="G17" s="214">
        <f ca="1">IFERROR(__xludf.DUMMYFUNCTION("""COMPUTED_VALUE"""),622394)</f>
        <v>622394</v>
      </c>
      <c r="H17" s="215" t="str">
        <f ca="1">IFERROR(__xludf.DUMMYFUNCTION("""COMPUTED_VALUE"""),"All levels")</f>
        <v>All levels</v>
      </c>
      <c r="I17" s="217" t="str">
        <f ca="1">IFERROR(__xludf.DUMMYFUNCTION("""COMPUTED_VALUE"""),"Développer son intelligence interculturelle")</f>
        <v>Développer son intelligence interculturelle</v>
      </c>
      <c r="J17" s="217"/>
      <c r="K17" s="213"/>
      <c r="L17" s="215">
        <f ca="1">IFERROR(__xludf.DUMMYFUNCTION("""COMPUTED_VALUE"""),561639)</f>
        <v>561639</v>
      </c>
      <c r="M17" s="215" t="str">
        <f ca="1">IFERROR(__xludf.DUMMYFUNCTION("""COMPUTED_VALUE"""),"All levels")</f>
        <v>All levels</v>
      </c>
      <c r="N17" s="217" t="str">
        <f ca="1">IFERROR(__xludf.DUMMYFUNCTION("""COMPUTED_VALUE"""),"Comunicación intercultural")</f>
        <v>Comunicación intercultural</v>
      </c>
      <c r="O17" s="217"/>
      <c r="P17" s="213"/>
      <c r="Q17" s="215">
        <f ca="1">IFERROR(__xludf.DUMMYFUNCTION("""COMPUTED_VALUE"""),5033510)</f>
        <v>5033510</v>
      </c>
      <c r="R17" s="215" t="str">
        <f ca="1">IFERROR(__xludf.DUMMYFUNCTION("""COMPUTED_VALUE"""),"All levels")</f>
        <v>All levels</v>
      </c>
      <c r="S17" s="217" t="str">
        <f ca="1">IFERROR(__xludf.DUMMYFUNCTION("""COMPUTED_VALUE"""),"Firmeninterne Gesprächssituationen meistern")</f>
        <v>Firmeninterne Gesprächssituationen meistern</v>
      </c>
      <c r="T17" s="217"/>
      <c r="U17" s="213"/>
      <c r="V17" s="215"/>
      <c r="W17" s="215"/>
      <c r="X17" s="217"/>
      <c r="Y17" s="217"/>
      <c r="Z17" s="213"/>
      <c r="AA17" s="215">
        <f ca="1">IFERROR(__xludf.DUMMYFUNCTION("""COMPUTED_VALUE"""),753211)</f>
        <v>753211</v>
      </c>
      <c r="AB17" s="215" t="str">
        <f ca="1">IFERROR(__xludf.DUMMYFUNCTION("""COMPUTED_VALUE"""),"All levels")</f>
        <v>All levels</v>
      </c>
      <c r="AC17" s="217" t="str">
        <f ca="1">IFERROR(__xludf.DUMMYFUNCTION("""COMPUTED_VALUE"""),"Como Gerenciar sua Chefia")</f>
        <v>Como Gerenciar sua Chefia</v>
      </c>
      <c r="AD17" s="217"/>
      <c r="AE17" s="213"/>
      <c r="AF17" s="215">
        <f ca="1">IFERROR(__xludf.DUMMYFUNCTION("""COMPUTED_VALUE"""),803820)</f>
        <v>803820</v>
      </c>
      <c r="AG17" s="215" t="str">
        <f ca="1">IFERROR(__xludf.DUMMYFUNCTION("""COMPUTED_VALUE"""),"All levels")</f>
        <v>All levels</v>
      </c>
      <c r="AH17" s="217" t="str">
        <f ca="1">IFERROR(__xludf.DUMMYFUNCTION("""COMPUTED_VALUE"""),"培养跨文化智商")</f>
        <v>培养跨文化智商</v>
      </c>
      <c r="AI17" s="217"/>
      <c r="AJ17" s="213"/>
    </row>
    <row r="18" spans="1:36" ht="33.75" customHeight="1">
      <c r="A18" s="213"/>
      <c r="B18" s="214">
        <f ca="1">IFERROR(__xludf.DUMMYFUNCTION("""COMPUTED_VALUE"""),647652)</f>
        <v>647652</v>
      </c>
      <c r="C18" s="215" t="str">
        <f ca="1">IFERROR(__xludf.DUMMYFUNCTION("""COMPUTED_VALUE"""),"Intermediate")</f>
        <v>Intermediate</v>
      </c>
      <c r="D18" s="216" t="str">
        <f ca="1">IFERROR(__xludf.DUMMYFUNCTION("""COMPUTED_VALUE"""),"Igniting Emotional Engagement")</f>
        <v>Igniting Emotional Engagement</v>
      </c>
      <c r="E18" s="217"/>
      <c r="F18" s="213"/>
      <c r="G18" s="214">
        <f ca="1">IFERROR(__xludf.DUMMYFUNCTION("""COMPUTED_VALUE"""),2215100)</f>
        <v>2215100</v>
      </c>
      <c r="H18" s="215" t="str">
        <f ca="1">IFERROR(__xludf.DUMMYFUNCTION("""COMPUTED_VALUE"""),"Intermediate")</f>
        <v>Intermediate</v>
      </c>
      <c r="I18" s="217" t="str">
        <f ca="1">IFERROR(__xludf.DUMMYFUNCTION("""COMPUTED_VALUE"""),"Devenir un manager bienveillant / une manager bienveillante")</f>
        <v>Devenir un manager bienveillant / une manager bienveillante</v>
      </c>
      <c r="J18" s="217"/>
      <c r="K18" s="213"/>
      <c r="L18" s="215">
        <f ca="1">IFERROR(__xludf.DUMMYFUNCTION("""COMPUTED_VALUE"""),544236)</f>
        <v>544236</v>
      </c>
      <c r="M18" s="215" t="str">
        <f ca="1">IFERROR(__xludf.DUMMYFUNCTION("""COMPUTED_VALUE"""),"All levels")</f>
        <v>All levels</v>
      </c>
      <c r="N18" s="217" t="str">
        <f ca="1">IFERROR(__xludf.DUMMYFUNCTION("""COMPUTED_VALUE"""),"Comunicación interpersonal")</f>
        <v>Comunicación interpersonal</v>
      </c>
      <c r="O18" s="217"/>
      <c r="P18" s="213"/>
      <c r="Q18" s="215">
        <f ca="1">IFERROR(__xludf.DUMMYFUNCTION("""COMPUTED_VALUE"""),561054)</f>
        <v>561054</v>
      </c>
      <c r="R18" s="215" t="str">
        <f ca="1">IFERROR(__xludf.DUMMYFUNCTION("""COMPUTED_VALUE"""),"All levels")</f>
        <v>All levels</v>
      </c>
      <c r="S18" s="217" t="str">
        <f ca="1">IFERROR(__xludf.DUMMYFUNCTION("""COMPUTED_VALUE"""),"Fred Kofman über Konfliktmanagement")</f>
        <v>Fred Kofman über Konfliktmanagement</v>
      </c>
      <c r="T18" s="217"/>
      <c r="U18" s="213"/>
      <c r="V18" s="215"/>
      <c r="W18" s="215"/>
      <c r="X18" s="217"/>
      <c r="Y18" s="217"/>
      <c r="Z18" s="213"/>
      <c r="AA18" s="215">
        <f ca="1">IFERROR(__xludf.DUMMYFUNCTION("""COMPUTED_VALUE"""),2841371)</f>
        <v>2841371</v>
      </c>
      <c r="AB18" s="215" t="str">
        <f ca="1">IFERROR(__xludf.DUMMYFUNCTION("""COMPUTED_VALUE"""),"Beginner")</f>
        <v>Beginner</v>
      </c>
      <c r="AC18" s="217" t="str">
        <f ca="1">IFERROR(__xludf.DUMMYFUNCTION("""COMPUTED_VALUE"""),"Como Lidar com Pessoas Difíceis no Trabalho")</f>
        <v>Como Lidar com Pessoas Difíceis no Trabalho</v>
      </c>
      <c r="AD18" s="217"/>
      <c r="AE18" s="213"/>
      <c r="AF18" s="215">
        <f ca="1">IFERROR(__xludf.DUMMYFUNCTION("""COMPUTED_VALUE"""),2823075)</f>
        <v>2823075</v>
      </c>
      <c r="AG18" s="215" t="str">
        <f ca="1">IFERROR(__xludf.DUMMYFUNCTION("""COMPUTED_VALUE"""),"Beginner")</f>
        <v>Beginner</v>
      </c>
      <c r="AH18" s="217" t="str">
        <f ca="1">IFERROR(__xludf.DUMMYFUNCTION("""COMPUTED_VALUE"""),"培养高情商")</f>
        <v>培养高情商</v>
      </c>
      <c r="AI18" s="217"/>
      <c r="AJ18" s="213"/>
    </row>
    <row r="19" spans="1:36" ht="33.75" customHeight="1">
      <c r="A19" s="213"/>
      <c r="B19" s="214">
        <f ca="1">IFERROR(__xludf.DUMMYFUNCTION("""COMPUTED_VALUE"""),711794)</f>
        <v>711794</v>
      </c>
      <c r="C19" s="215" t="str">
        <f ca="1">IFERROR(__xludf.DUMMYFUNCTION("""COMPUTED_VALUE"""),"Intermediate")</f>
        <v>Intermediate</v>
      </c>
      <c r="D19" s="216" t="str">
        <f ca="1">IFERROR(__xludf.DUMMYFUNCTION("""COMPUTED_VALUE"""),"Connecting with Executives")</f>
        <v>Connecting with Executives</v>
      </c>
      <c r="E19" s="217"/>
      <c r="F19" s="213"/>
      <c r="G19" s="214">
        <f ca="1">IFERROR(__xludf.DUMMYFUNCTION("""COMPUTED_VALUE"""),447165)</f>
        <v>447165</v>
      </c>
      <c r="H19" s="215" t="str">
        <f ca="1">IFERROR(__xludf.DUMMYFUNCTION("""COMPUTED_VALUE"""),"Beginner")</f>
        <v>Beginner</v>
      </c>
      <c r="I19" s="217" t="str">
        <f ca="1">IFERROR(__xludf.DUMMYFUNCTION("""COMPUTED_VALUE"""),"Diriger grâce à l’intelligence émotionnelle")</f>
        <v>Diriger grâce à l’intelligence émotionnelle</v>
      </c>
      <c r="J19" s="217"/>
      <c r="K19" s="213"/>
      <c r="L19" s="215">
        <f ca="1">IFERROR(__xludf.DUMMYFUNCTION("""COMPUTED_VALUE"""),2838143)</f>
        <v>2838143</v>
      </c>
      <c r="M19" s="215" t="str">
        <f ca="1">IFERROR(__xludf.DUMMYFUNCTION("""COMPUTED_VALUE"""),"Intermediate")</f>
        <v>Intermediate</v>
      </c>
      <c r="N19" s="217" t="str">
        <f ca="1">IFERROR(__xludf.DUMMYFUNCTION("""COMPUTED_VALUE"""),"Design Thinking: Facilitación de procesos de trabajo")</f>
        <v>Design Thinking: Facilitación de procesos de trabajo</v>
      </c>
      <c r="O19" s="217"/>
      <c r="P19" s="213"/>
      <c r="Q19" s="215">
        <f ca="1">IFERROR(__xludf.DUMMYFUNCTION("""COMPUTED_VALUE"""),3157422)</f>
        <v>3157422</v>
      </c>
      <c r="R19" s="215" t="str">
        <f ca="1">IFERROR(__xludf.DUMMYFUNCTION("""COMPUTED_VALUE"""),"Intermediate")</f>
        <v>Intermediate</v>
      </c>
      <c r="S19" s="217" t="str">
        <f ca="1">IFERROR(__xludf.DUMMYFUNCTION("""COMPUTED_VALUE"""),"Git: Workflows im Team optimieren")</f>
        <v>Git: Workflows im Team optimieren</v>
      </c>
      <c r="T19" s="217"/>
      <c r="U19" s="213"/>
      <c r="V19" s="215"/>
      <c r="W19" s="215"/>
      <c r="X19" s="217"/>
      <c r="Y19" s="217"/>
      <c r="Z19" s="213"/>
      <c r="AA19" s="215">
        <f ca="1">IFERROR(__xludf.DUMMYFUNCTION("""COMPUTED_VALUE"""),753224)</f>
        <v>753224</v>
      </c>
      <c r="AB19" s="215" t="str">
        <f ca="1">IFERROR(__xludf.DUMMYFUNCTION("""COMPUTED_VALUE"""),"All levels")</f>
        <v>All levels</v>
      </c>
      <c r="AC19" s="217" t="str">
        <f ca="1">IFERROR(__xludf.DUMMYFUNCTION("""COMPUTED_VALUE"""),"Como Liderar e Trabalhar em Equipe")</f>
        <v>Como Liderar e Trabalhar em Equipe</v>
      </c>
      <c r="AD19" s="217"/>
      <c r="AE19" s="213"/>
      <c r="AF19" s="215">
        <f ca="1">IFERROR(__xludf.DUMMYFUNCTION("""COMPUTED_VALUE"""),793986)</f>
        <v>793986</v>
      </c>
      <c r="AG19" s="215" t="str">
        <f ca="1">IFERROR(__xludf.DUMMYFUNCTION("""COMPUTED_VALUE"""),"All levels")</f>
        <v>All levels</v>
      </c>
      <c r="AH19" s="217" t="str">
        <f ca="1">IFERROR(__xludf.DUMMYFUNCTION("""COMPUTED_VALUE"""),"如何自信沟通")</f>
        <v>如何自信沟通</v>
      </c>
      <c r="AI19" s="217"/>
      <c r="AJ19" s="213"/>
    </row>
    <row r="20" spans="1:36" ht="33.75" customHeight="1">
      <c r="A20" s="213"/>
      <c r="B20" s="214">
        <f ca="1">IFERROR(__xludf.DUMMYFUNCTION("""COMPUTED_VALUE"""),784283)</f>
        <v>784283</v>
      </c>
      <c r="C20" s="215" t="str">
        <f ca="1">IFERROR(__xludf.DUMMYFUNCTION("""COMPUTED_VALUE"""),"Intermediate")</f>
        <v>Intermediate</v>
      </c>
      <c r="D20" s="216" t="str">
        <f ca="1">IFERROR(__xludf.DUMMYFUNCTION("""COMPUTED_VALUE"""),"Managing in a Matrixed Organization")</f>
        <v>Managing in a Matrixed Organization</v>
      </c>
      <c r="E20" s="217"/>
      <c r="F20" s="213"/>
      <c r="G20" s="214">
        <f ca="1">IFERROR(__xludf.DUMMYFUNCTION("""COMPUTED_VALUE"""),600069)</f>
        <v>600069</v>
      </c>
      <c r="H20" s="215" t="str">
        <f ca="1">IFERROR(__xludf.DUMMYFUNCTION("""COMPUTED_VALUE"""),"Beginner")</f>
        <v>Beginner</v>
      </c>
      <c r="I20" s="217" t="str">
        <f ca="1">IFERROR(__xludf.DUMMYFUNCTION("""COMPUTED_VALUE"""),"Donner des feedbacks aux employés / employées")</f>
        <v>Donner des feedbacks aux employés / employées</v>
      </c>
      <c r="J20" s="217"/>
      <c r="K20" s="213"/>
      <c r="L20" s="215">
        <f ca="1">IFERROR(__xludf.DUMMYFUNCTION("""COMPUTED_VALUE"""),2838142)</f>
        <v>2838142</v>
      </c>
      <c r="M20" s="215" t="str">
        <f ca="1">IFERROR(__xludf.DUMMYFUNCTION("""COMPUTED_VALUE"""),"Advanced")</f>
        <v>Advanced</v>
      </c>
      <c r="N20" s="217" t="str">
        <f ca="1">IFERROR(__xludf.DUMMYFUNCTION("""COMPUTED_VALUE"""),"Design Thinking: Herramientas y técnicas (presenciales y en teletrabajo)")</f>
        <v>Design Thinking: Herramientas y técnicas (presenciales y en teletrabajo)</v>
      </c>
      <c r="O20" s="217"/>
      <c r="P20" s="213"/>
      <c r="Q20" s="215">
        <f ca="1">IFERROR(__xludf.DUMMYFUNCTION("""COMPUTED_VALUE"""),593912)</f>
        <v>593912</v>
      </c>
      <c r="R20" s="215" t="str">
        <f ca="1">IFERROR(__xludf.DUMMYFUNCTION("""COMPUTED_VALUE"""),"All levels")</f>
        <v>All levels</v>
      </c>
      <c r="S20" s="217" t="str">
        <f ca="1">IFERROR(__xludf.DUMMYFUNCTION("""COMPUTED_VALUE"""),"Grundlagen der Mediation")</f>
        <v>Grundlagen der Mediation</v>
      </c>
      <c r="T20" s="217"/>
      <c r="U20" s="213"/>
      <c r="V20" s="215"/>
      <c r="W20" s="215"/>
      <c r="X20" s="217"/>
      <c r="Y20" s="217"/>
      <c r="Z20" s="213"/>
      <c r="AA20" s="215">
        <f ca="1">IFERROR(__xludf.DUMMYFUNCTION("""COMPUTED_VALUE"""),801465)</f>
        <v>801465</v>
      </c>
      <c r="AB20" s="215" t="str">
        <f ca="1">IFERROR(__xludf.DUMMYFUNCTION("""COMPUTED_VALUE"""),"Beginner, Intermediate")</f>
        <v>Beginner, Intermediate</v>
      </c>
      <c r="AC20" s="217" t="str">
        <f ca="1">IFERROR(__xludf.DUMMYFUNCTION("""COMPUTED_VALUE"""),"Como Melhorar suas Competências de Escuta")</f>
        <v>Como Melhorar suas Competências de Escuta</v>
      </c>
      <c r="AD20" s="217"/>
      <c r="AE20" s="213"/>
      <c r="AF20" s="215">
        <f ca="1">IFERROR(__xludf.DUMMYFUNCTION("""COMPUTED_VALUE"""),2808425)</f>
        <v>2808425</v>
      </c>
      <c r="AG20" s="215" t="str">
        <f ca="1">IFERROR(__xludf.DUMMYFUNCTION("""COMPUTED_VALUE"""),"All levels")</f>
        <v>All levels</v>
      </c>
      <c r="AH20" s="217" t="str">
        <f ca="1">IFERROR(__xludf.DUMMYFUNCTION("""COMPUTED_VALUE"""),"学会自信力")</f>
        <v>学会自信力</v>
      </c>
      <c r="AI20" s="217"/>
      <c r="AJ20" s="213"/>
    </row>
    <row r="21" spans="1:36" ht="33.75" customHeight="1">
      <c r="A21" s="213"/>
      <c r="B21" s="214">
        <f ca="1">IFERROR(__xludf.DUMMYFUNCTION("""COMPUTED_VALUE"""),2802466)</f>
        <v>2802466</v>
      </c>
      <c r="C21" s="215" t="str">
        <f ca="1">IFERROR(__xludf.DUMMYFUNCTION("""COMPUTED_VALUE"""),"Intermediate")</f>
        <v>Intermediate</v>
      </c>
      <c r="D21" s="216" t="str">
        <f ca="1">IFERROR(__xludf.DUMMYFUNCTION("""COMPUTED_VALUE"""),"Be a Better Manager by Motivating Your Team")</f>
        <v>Be a Better Manager by Motivating Your Team</v>
      </c>
      <c r="E21" s="217"/>
      <c r="F21" s="213"/>
      <c r="G21" s="214">
        <f ca="1">IFERROR(__xludf.DUMMYFUNCTION("""COMPUTED_VALUE"""),792280)</f>
        <v>792280</v>
      </c>
      <c r="H21" s="215" t="str">
        <f ca="1">IFERROR(__xludf.DUMMYFUNCTION("""COMPUTED_VALUE"""),"Beginner")</f>
        <v>Beginner</v>
      </c>
      <c r="I21" s="217" t="str">
        <f ca="1">IFERROR(__xludf.DUMMYFUNCTION("""COMPUTED_VALUE"""),"Donner et recevoir du feedback")</f>
        <v>Donner et recevoir du feedback</v>
      </c>
      <c r="J21" s="217"/>
      <c r="K21" s="213"/>
      <c r="L21" s="215">
        <f ca="1">IFERROR(__xludf.DUMMYFUNCTION("""COMPUTED_VALUE"""),703862)</f>
        <v>703862</v>
      </c>
      <c r="M21" s="215" t="str">
        <f ca="1">IFERROR(__xludf.DUMMYFUNCTION("""COMPUTED_VALUE"""),"Beginner")</f>
        <v>Beginner</v>
      </c>
      <c r="N21" s="217" t="str">
        <f ca="1">IFERROR(__xludf.DUMMYFUNCTION("""COMPUTED_VALUE"""),"Fundamentos de la gestión de proyectos: Comunicación")</f>
        <v>Fundamentos de la gestión de proyectos: Comunicación</v>
      </c>
      <c r="O21" s="217"/>
      <c r="P21" s="213"/>
      <c r="Q21" s="215">
        <f ca="1">IFERROR(__xludf.DUMMYFUNCTION("""COMPUTED_VALUE"""),593046)</f>
        <v>593046</v>
      </c>
      <c r="R21" s="215" t="str">
        <f ca="1">IFERROR(__xludf.DUMMYFUNCTION("""COMPUTED_VALUE"""),"All levels")</f>
        <v>All levels</v>
      </c>
      <c r="S21" s="217" t="str">
        <f ca="1">IFERROR(__xludf.DUMMYFUNCTION("""COMPUTED_VALUE"""),"Im Team arbeiten")</f>
        <v>Im Team arbeiten</v>
      </c>
      <c r="T21" s="217"/>
      <c r="U21" s="213"/>
      <c r="V21" s="215"/>
      <c r="W21" s="215"/>
      <c r="X21" s="217"/>
      <c r="Y21" s="217"/>
      <c r="Z21" s="213"/>
      <c r="AA21" s="215">
        <f ca="1">IFERROR(__xludf.DUMMYFUNCTION("""COMPUTED_VALUE"""),2928593)</f>
        <v>2928593</v>
      </c>
      <c r="AB21" s="215" t="str">
        <f ca="1">IFERROR(__xludf.DUMMYFUNCTION("""COMPUTED_VALUE"""),"All levels")</f>
        <v>All levels</v>
      </c>
      <c r="AC21" s="217" t="str">
        <f ca="1">IFERROR(__xludf.DUMMYFUNCTION("""COMPUTED_VALUE"""),"Como Prevenir o Assédio no Trabalho e Criar um Ambiente Seguro")</f>
        <v>Como Prevenir o Assédio no Trabalho e Criar um Ambiente Seguro</v>
      </c>
      <c r="AD21" s="217"/>
      <c r="AE21" s="213"/>
      <c r="AF21" s="215">
        <f ca="1">IFERROR(__xludf.DUMMYFUNCTION("""COMPUTED_VALUE"""),762223)</f>
        <v>762223</v>
      </c>
      <c r="AG21" s="215" t="str">
        <f ca="1">IFERROR(__xludf.DUMMYFUNCTION("""COMPUTED_VALUE"""),"All levels")</f>
        <v>All levels</v>
      </c>
      <c r="AH21" s="217" t="str">
        <f ca="1">IFERROR(__xludf.DUMMYFUNCTION("""COMPUTED_VALUE"""),"建立信任")</f>
        <v>建立信任</v>
      </c>
      <c r="AI21" s="217"/>
      <c r="AJ21" s="213"/>
    </row>
    <row r="22" spans="1:36" ht="33.75" customHeight="1">
      <c r="A22" s="213"/>
      <c r="B22" s="214">
        <f ca="1">IFERROR(__xludf.DUMMYFUNCTION("""COMPUTED_VALUE"""),2883003)</f>
        <v>2883003</v>
      </c>
      <c r="C22" s="215" t="str">
        <f ca="1">IFERROR(__xludf.DUMMYFUNCTION("""COMPUTED_VALUE"""),"Intermediate")</f>
        <v>Intermediate</v>
      </c>
      <c r="D22" s="216" t="str">
        <f ca="1">IFERROR(__xludf.DUMMYFUNCTION("""COMPUTED_VALUE"""),"Building Connection and Engagement in Virtual Teams")</f>
        <v>Building Connection and Engagement in Virtual Teams</v>
      </c>
      <c r="E22" s="217"/>
      <c r="F22" s="213"/>
      <c r="G22" s="214">
        <f ca="1">IFERROR(__xludf.DUMMYFUNCTION("""COMPUTED_VALUE"""),547545)</f>
        <v>547545</v>
      </c>
      <c r="H22" s="215" t="str">
        <f ca="1">IFERROR(__xludf.DUMMYFUNCTION("""COMPUTED_VALUE"""),"All levels")</f>
        <v>All levels</v>
      </c>
      <c r="I22" s="217" t="str">
        <f ca="1">IFERROR(__xludf.DUMMYFUNCTION("""COMPUTED_VALUE"""),"Écouter efficacement")</f>
        <v>Écouter efficacement</v>
      </c>
      <c r="J22" s="217"/>
      <c r="K22" s="213"/>
      <c r="L22" s="215">
        <f ca="1">IFERROR(__xludf.DUMMYFUNCTION("""COMPUTED_VALUE"""),587152)</f>
        <v>587152</v>
      </c>
      <c r="M22" s="215" t="str">
        <f ca="1">IFERROR(__xludf.DUMMYFUNCTION("""COMPUTED_VALUE"""),"All levels")</f>
        <v>All levels</v>
      </c>
      <c r="N22" s="217" t="str">
        <f ca="1">IFERROR(__xludf.DUMMYFUNCTION("""COMPUTED_VALUE"""),"Fundamentos del networking profesional")</f>
        <v>Fundamentos del networking profesional</v>
      </c>
      <c r="O22" s="217"/>
      <c r="P22" s="213"/>
      <c r="Q22" s="215">
        <f ca="1">IFERROR(__xludf.DUMMYFUNCTION("""COMPUTED_VALUE"""),5020333)</f>
        <v>5020333</v>
      </c>
      <c r="R22" s="215" t="str">
        <f ca="1">IFERROR(__xludf.DUMMYFUNCTION("""COMPUTED_VALUE"""),"All levels")</f>
        <v>All levels</v>
      </c>
      <c r="S22" s="217" t="str">
        <f ca="1">IFERROR(__xludf.DUMMYFUNCTION("""COMPUTED_VALUE"""),"Im Team kommunizieren")</f>
        <v>Im Team kommunizieren</v>
      </c>
      <c r="T22" s="217"/>
      <c r="U22" s="213"/>
      <c r="V22" s="215"/>
      <c r="W22" s="215"/>
      <c r="X22" s="217"/>
      <c r="Y22" s="217"/>
      <c r="Z22" s="213"/>
      <c r="AA22" s="215">
        <f ca="1">IFERROR(__xludf.DUMMYFUNCTION("""COMPUTED_VALUE"""),2873193)</f>
        <v>2873193</v>
      </c>
      <c r="AB22" s="215" t="str">
        <f ca="1">IFERROR(__xludf.DUMMYFUNCTION("""COMPUTED_VALUE"""),"All levels")</f>
        <v>All levels</v>
      </c>
      <c r="AC22" s="217" t="str">
        <f ca="1">IFERROR(__xludf.DUMMYFUNCTION("""COMPUTED_VALUE"""),"Como Promover o Envolvimento Emocional de seus Colaboradores")</f>
        <v>Como Promover o Envolvimento Emocional de seus Colaboradores</v>
      </c>
      <c r="AD22" s="217"/>
      <c r="AE22" s="213"/>
      <c r="AF22" s="215">
        <f ca="1">IFERROR(__xludf.DUMMYFUNCTION("""COMPUTED_VALUE"""),2994033)</f>
        <v>2994033</v>
      </c>
      <c r="AG22" s="215" t="str">
        <f ca="1">IFERROR(__xludf.DUMMYFUNCTION("""COMPUTED_VALUE"""),"Intermediate")</f>
        <v>Intermediate</v>
      </c>
      <c r="AH22" s="217" t="str">
        <f ca="1">IFERROR(__xludf.DUMMYFUNCTION("""COMPUTED_VALUE"""),"成为思想领袖")</f>
        <v>成为思想领袖</v>
      </c>
      <c r="AI22" s="217"/>
      <c r="AJ22" s="213"/>
    </row>
    <row r="23" spans="1:36" ht="33.75" customHeight="1">
      <c r="A23" s="213"/>
      <c r="B23" s="214">
        <f ca="1">IFERROR(__xludf.DUMMYFUNCTION("""COMPUTED_VALUE"""),2878235)</f>
        <v>2878235</v>
      </c>
      <c r="C23" s="215" t="str">
        <f ca="1">IFERROR(__xludf.DUMMYFUNCTION("""COMPUTED_VALUE"""),"Advanced")</f>
        <v>Advanced</v>
      </c>
      <c r="D23" s="216" t="str">
        <f ca="1">IFERROR(__xludf.DUMMYFUNCTION("""COMPUTED_VALUE"""),"Level Up Your Remote Team Experience")</f>
        <v>Level Up Your Remote Team Experience</v>
      </c>
      <c r="E23" s="217"/>
      <c r="F23" s="213"/>
      <c r="G23" s="214">
        <f ca="1">IFERROR(__xludf.DUMMYFUNCTION("""COMPUTED_VALUE"""),2917866)</f>
        <v>2917866</v>
      </c>
      <c r="H23" s="215" t="str">
        <f ca="1">IFERROR(__xludf.DUMMYFUNCTION("""COMPUTED_VALUE"""),"All levels")</f>
        <v>All levels</v>
      </c>
      <c r="I23" s="217" t="str">
        <f ca="1">IFERROR(__xludf.DUMMYFUNCTION("""COMPUTED_VALUE"""),"Être positif au travail")</f>
        <v>Être positif au travail</v>
      </c>
      <c r="J23" s="217"/>
      <c r="K23" s="213"/>
      <c r="L23" s="215">
        <f ca="1">IFERROR(__xludf.DUMMYFUNCTION("""COMPUTED_VALUE"""),561118)</f>
        <v>561118</v>
      </c>
      <c r="M23" s="215" t="str">
        <f ca="1">IFERROR(__xludf.DUMMYFUNCTION("""COMPUTED_VALUE"""),"All levels")</f>
        <v>All levels</v>
      </c>
      <c r="N23" s="217" t="str">
        <f ca="1">IFERROR(__xludf.DUMMYFUNCTION("""COMPUTED_VALUE"""),"Fundamentos del teletrabajo")</f>
        <v>Fundamentos del teletrabajo</v>
      </c>
      <c r="O23" s="217"/>
      <c r="P23" s="213"/>
      <c r="Q23" s="215">
        <f ca="1">IFERROR(__xludf.DUMMYFUNCTION("""COMPUTED_VALUE"""),2919519)</f>
        <v>2919519</v>
      </c>
      <c r="R23" s="215" t="str">
        <f ca="1">IFERROR(__xludf.DUMMYFUNCTION("""COMPUTED_VALUE"""),"Beginner, Intermediate")</f>
        <v>Beginner, Intermediate</v>
      </c>
      <c r="S23" s="217" t="str">
        <f ca="1">IFERROR(__xludf.DUMMYFUNCTION("""COMPUTED_VALUE"""),"Im Team zusammenarbeiten mit Microsoft Office 365")</f>
        <v>Im Team zusammenarbeiten mit Microsoft Office 365</v>
      </c>
      <c r="T23" s="217"/>
      <c r="U23" s="213"/>
      <c r="V23" s="215"/>
      <c r="W23" s="215"/>
      <c r="X23" s="217"/>
      <c r="Y23" s="217"/>
      <c r="Z23" s="213"/>
      <c r="AA23" s="215">
        <f ca="1">IFERROR(__xludf.DUMMYFUNCTION("""COMPUTED_VALUE"""),753084)</f>
        <v>753084</v>
      </c>
      <c r="AB23" s="215" t="str">
        <f ca="1">IFERROR(__xludf.DUMMYFUNCTION("""COMPUTED_VALUE"""),"All levels")</f>
        <v>All levels</v>
      </c>
      <c r="AC23" s="217" t="str">
        <f ca="1">IFERROR(__xludf.DUMMYFUNCTION("""COMPUTED_VALUE"""),"Como se Comunicar com Confiança")</f>
        <v>Como se Comunicar com Confiança</v>
      </c>
      <c r="AD23" s="217"/>
      <c r="AE23" s="213"/>
      <c r="AF23" s="215">
        <f ca="1">IFERROR(__xludf.DUMMYFUNCTION("""COMPUTED_VALUE"""),5039201)</f>
        <v>5039201</v>
      </c>
      <c r="AG23" s="215" t="str">
        <f ca="1">IFERROR(__xludf.DUMMYFUNCTION("""COMPUTED_VALUE"""),"Beginner")</f>
        <v>Beginner</v>
      </c>
      <c r="AH23" s="217" t="str">
        <f ca="1">IFERROR(__xludf.DUMMYFUNCTION("""COMPUTED_VALUE"""),"打造你的团队")</f>
        <v>打造你的团队</v>
      </c>
      <c r="AI23" s="217"/>
      <c r="AJ23" s="213"/>
    </row>
    <row r="24" spans="1:36" ht="33.75" customHeight="1">
      <c r="A24" s="213"/>
      <c r="B24" s="214">
        <f ca="1">IFERROR(__xludf.DUMMYFUNCTION("""COMPUTED_VALUE"""),2848322)</f>
        <v>2848322</v>
      </c>
      <c r="C24" s="215" t="str">
        <f ca="1">IFERROR(__xludf.DUMMYFUNCTION("""COMPUTED_VALUE"""),"General")</f>
        <v>General</v>
      </c>
      <c r="D24" s="216" t="str">
        <f ca="1">IFERROR(__xludf.DUMMYFUNCTION("""COMPUTED_VALUE"""),"How to Develop Friendships and Connect Meaningfully with Work Colleagues")</f>
        <v>How to Develop Friendships and Connect Meaningfully with Work Colleagues</v>
      </c>
      <c r="E24" s="217"/>
      <c r="F24" s="213"/>
      <c r="G24" s="214">
        <f ca="1">IFERROR(__xludf.DUMMYFUNCTION("""COMPUTED_VALUE"""),5025536)</f>
        <v>5025536</v>
      </c>
      <c r="H24" s="215" t="str">
        <f ca="1">IFERROR(__xludf.DUMMYFUNCTION("""COMPUTED_VALUE"""),"Intermediate")</f>
        <v>Intermediate</v>
      </c>
      <c r="I24" s="217" t="str">
        <f ca="1">IFERROR(__xludf.DUMMYFUNCTION("""COMPUTED_VALUE"""),"Gérer les conflits grâce à la médiation")</f>
        <v>Gérer les conflits grâce à la médiation</v>
      </c>
      <c r="J24" s="217"/>
      <c r="K24" s="213"/>
      <c r="L24" s="215">
        <f ca="1">IFERROR(__xludf.DUMMYFUNCTION("""COMPUTED_VALUE"""),5024266)</f>
        <v>5024266</v>
      </c>
      <c r="M24" s="215" t="str">
        <f ca="1">IFERROR(__xludf.DUMMYFUNCTION("""COMPUTED_VALUE"""),"Intermediate")</f>
        <v>Intermediate</v>
      </c>
      <c r="N24" s="217" t="str">
        <f ca="1">IFERROR(__xludf.DUMMYFUNCTION("""COMPUTED_VALUE"""),"Gestionar en todas las direcciones del organigrama empresarial")</f>
        <v>Gestionar en todas las direcciones del organigrama empresarial</v>
      </c>
      <c r="O24" s="217"/>
      <c r="P24" s="213"/>
      <c r="Q24" s="215">
        <f ca="1">IFERROR(__xludf.DUMMYFUNCTION("""COMPUTED_VALUE"""),397362)</f>
        <v>397362</v>
      </c>
      <c r="R24" s="215" t="str">
        <f ca="1">IFERROR(__xludf.DUMMYFUNCTION("""COMPUTED_VALUE"""),"All levels")</f>
        <v>All levels</v>
      </c>
      <c r="S24" s="217" t="str">
        <f ca="1">IFERROR(__xludf.DUMMYFUNCTION("""COMPUTED_VALUE"""),"Interkulturelle Kompetenz")</f>
        <v>Interkulturelle Kompetenz</v>
      </c>
      <c r="T24" s="217"/>
      <c r="U24" s="213"/>
      <c r="V24" s="215"/>
      <c r="W24" s="215"/>
      <c r="X24" s="217"/>
      <c r="Y24" s="217"/>
      <c r="Z24" s="213"/>
      <c r="AA24" s="215">
        <f ca="1">IFERROR(__xludf.DUMMYFUNCTION("""COMPUTED_VALUE"""),2841359)</f>
        <v>2841359</v>
      </c>
      <c r="AB24" s="215" t="str">
        <f ca="1">IFERROR(__xludf.DUMMYFUNCTION("""COMPUTED_VALUE"""),"Beginner")</f>
        <v>Beginner</v>
      </c>
      <c r="AC24" s="217" t="str">
        <f ca="1">IFERROR(__xludf.DUMMYFUNCTION("""COMPUTED_VALUE"""),"Como se Tornar Mais Acessível aos seus Colaboradores")</f>
        <v>Como se Tornar Mais Acessível aos seus Colaboradores</v>
      </c>
      <c r="AD24" s="217"/>
      <c r="AE24" s="213"/>
      <c r="AF24" s="215">
        <f ca="1">IFERROR(__xludf.DUMMYFUNCTION("""COMPUTED_VALUE"""),2886003)</f>
        <v>2886003</v>
      </c>
      <c r="AG24" s="215" t="str">
        <f ca="1">IFERROR(__xludf.DUMMYFUNCTION("""COMPUTED_VALUE"""),"Beginner")</f>
        <v>Beginner</v>
      </c>
      <c r="AH24" s="217" t="str">
        <f ca="1">IFERROR(__xludf.DUMMYFUNCTION("""COMPUTED_VALUE"""),"打造完美的第一印象")</f>
        <v>打造完美的第一印象</v>
      </c>
      <c r="AI24" s="217"/>
      <c r="AJ24" s="213"/>
    </row>
    <row r="25" spans="1:36" ht="33.75" customHeight="1">
      <c r="A25" s="213"/>
      <c r="B25" s="214">
        <f ca="1">IFERROR(__xludf.DUMMYFUNCTION("""COMPUTED_VALUE"""),2886117)</f>
        <v>2886117</v>
      </c>
      <c r="C25" s="215" t="str">
        <f ca="1">IFERROR(__xludf.DUMMYFUNCTION("""COMPUTED_VALUE"""),"General")</f>
        <v>General</v>
      </c>
      <c r="D25" s="216" t="str">
        <f ca="1">IFERROR(__xludf.DUMMYFUNCTION("""COMPUTED_VALUE"""),"A Guide to ERGs (Employee Resource Groups)")</f>
        <v>A Guide to ERGs (Employee Resource Groups)</v>
      </c>
      <c r="E25" s="217"/>
      <c r="F25" s="213"/>
      <c r="G25" s="214">
        <f ca="1">IFERROR(__xludf.DUMMYFUNCTION("""COMPUTED_VALUE"""),796912)</f>
        <v>796912</v>
      </c>
      <c r="H25" s="215" t="str">
        <f ca="1">IFERROR(__xludf.DUMMYFUNCTION("""COMPUTED_VALUE"""),"Intermediate")</f>
        <v>Intermediate</v>
      </c>
      <c r="I25" s="217" t="str">
        <f ca="1">IFERROR(__xludf.DUMMYFUNCTION("""COMPUTED_VALUE"""),"Gérer ses relations avec son chef / sa cheffe, ses collègues et ses employés / employées")</f>
        <v>Gérer ses relations avec son chef / sa cheffe, ses collègues et ses employés / employées</v>
      </c>
      <c r="J25" s="217"/>
      <c r="K25" s="213"/>
      <c r="L25" s="215">
        <f ca="1">IFERROR(__xludf.DUMMYFUNCTION("""COMPUTED_VALUE"""),756689)</f>
        <v>756689</v>
      </c>
      <c r="M25" s="215" t="str">
        <f ca="1">IFERROR(__xludf.DUMMYFUNCTION("""COMPUTED_VALUE"""),"Beginner")</f>
        <v>Beginner</v>
      </c>
      <c r="N25" s="217" t="str">
        <f ca="1">IFERROR(__xludf.DUMMYFUNCTION("""COMPUTED_VALUE"""),"Habilidades de trabajo fundamentales")</f>
        <v>Habilidades de trabajo fundamentales</v>
      </c>
      <c r="O25" s="217"/>
      <c r="P25" s="213"/>
      <c r="Q25" s="215">
        <f ca="1">IFERROR(__xludf.DUMMYFUNCTION("""COMPUTED_VALUE"""),593919)</f>
        <v>593919</v>
      </c>
      <c r="R25" s="215" t="str">
        <f ca="1">IFERROR(__xludf.DUMMYFUNCTION("""COMPUTED_VALUE"""),"All levels")</f>
        <v>All levels</v>
      </c>
      <c r="S25" s="217" t="str">
        <f ca="1">IFERROR(__xludf.DUMMYFUNCTION("""COMPUTED_VALUE"""),"Jeff Weiner über anteilnehmendes Management")</f>
        <v>Jeff Weiner über anteilnehmendes Management</v>
      </c>
      <c r="T25" s="217"/>
      <c r="U25" s="213"/>
      <c r="V25" s="215"/>
      <c r="W25" s="215"/>
      <c r="X25" s="217"/>
      <c r="Y25" s="217"/>
      <c r="Z25" s="213"/>
      <c r="AA25" s="215">
        <f ca="1">IFERROR(__xludf.DUMMYFUNCTION("""COMPUTED_VALUE"""),5011686)</f>
        <v>5011686</v>
      </c>
      <c r="AB25" s="215" t="str">
        <f ca="1">IFERROR(__xludf.DUMMYFUNCTION("""COMPUTED_VALUE"""),"All levels")</f>
        <v>All levels</v>
      </c>
      <c r="AC25" s="217" t="str">
        <f ca="1">IFERROR(__xludf.DUMMYFUNCTION("""COMPUTED_VALUE"""),"Como Ser uma Pessoa Assertiva")</f>
        <v>Como Ser uma Pessoa Assertiva</v>
      </c>
      <c r="AD25" s="217"/>
      <c r="AE25" s="213"/>
      <c r="AF25" s="215">
        <f ca="1">IFERROR(__xludf.DUMMYFUNCTION("""COMPUTED_VALUE"""),5018430)</f>
        <v>5018430</v>
      </c>
      <c r="AG25" s="215" t="str">
        <f ca="1">IFERROR(__xludf.DUMMYFUNCTION("""COMPUTED_VALUE"""),"Beginner + Intermediate")</f>
        <v>Beginner + Intermediate</v>
      </c>
      <c r="AH25" s="217" t="str">
        <f ca="1">IFERROR(__xludf.DUMMYFUNCTION("""COMPUTED_VALUE"""),"提高倾听技能")</f>
        <v>提高倾听技能</v>
      </c>
      <c r="AI25" s="217"/>
      <c r="AJ25" s="213"/>
    </row>
    <row r="26" spans="1:36" ht="33.75" customHeight="1">
      <c r="A26" s="213"/>
      <c r="B26" s="214">
        <f ca="1">IFERROR(__xludf.DUMMYFUNCTION("""COMPUTED_VALUE"""),2890004)</f>
        <v>2890004</v>
      </c>
      <c r="C26" s="215" t="str">
        <f ca="1">IFERROR(__xludf.DUMMYFUNCTION("""COMPUTED_VALUE"""),"General")</f>
        <v>General</v>
      </c>
      <c r="D26" s="216" t="str">
        <f ca="1">IFERROR(__xludf.DUMMYFUNCTION("""COMPUTED_VALUE"""),"Building a Trustworthy Reputation")</f>
        <v>Building a Trustworthy Reputation</v>
      </c>
      <c r="E26" s="217"/>
      <c r="F26" s="213"/>
      <c r="G26" s="214">
        <f ca="1">IFERROR(__xludf.DUMMYFUNCTION("""COMPUTED_VALUE"""),568986)</f>
        <v>568986</v>
      </c>
      <c r="H26" s="215" t="str">
        <f ca="1">IFERROR(__xludf.DUMMYFUNCTION("""COMPUTED_VALUE"""),"Intermediate")</f>
        <v>Intermediate</v>
      </c>
      <c r="I26" s="217" t="str">
        <f ca="1">IFERROR(__xludf.DUMMYFUNCTION("""COMPUTED_VALUE"""),"Gérer son supérieur / sa supérieure hiérarchique")</f>
        <v>Gérer son supérieur / sa supérieure hiérarchique</v>
      </c>
      <c r="J26" s="217"/>
      <c r="K26" s="213"/>
      <c r="L26" s="215">
        <f ca="1">IFERROR(__xludf.DUMMYFUNCTION("""COMPUTED_VALUE"""),652639)</f>
        <v>652639</v>
      </c>
      <c r="M26" s="215" t="str">
        <f ca="1">IFERROR(__xludf.DUMMYFUNCTION("""COMPUTED_VALUE"""),"Beginner")</f>
        <v>Beginner</v>
      </c>
      <c r="N26" s="217" t="str">
        <f ca="1">IFERROR(__xludf.DUMMYFUNCTION("""COMPUTED_VALUE"""),"Habilidades para teletrabajo: Trucos")</f>
        <v>Habilidades para teletrabajo: Trucos</v>
      </c>
      <c r="O26" s="217"/>
      <c r="P26" s="213"/>
      <c r="Q26" s="215">
        <f ca="1">IFERROR(__xludf.DUMMYFUNCTION("""COMPUTED_VALUE"""),2833029)</f>
        <v>2833029</v>
      </c>
      <c r="R26" s="215" t="str">
        <f ca="1">IFERROR(__xludf.DUMMYFUNCTION("""COMPUTED_VALUE"""),"Intermediate")</f>
        <v>Intermediate</v>
      </c>
      <c r="S26" s="217" t="str">
        <f ca="1">IFERROR(__xludf.DUMMYFUNCTION("""COMPUTED_VALUE"""),"Kollaborative Führung")</f>
        <v>Kollaborative Führung</v>
      </c>
      <c r="T26" s="217"/>
      <c r="U26" s="213"/>
      <c r="V26" s="215"/>
      <c r="W26" s="215"/>
      <c r="X26" s="217"/>
      <c r="Y26" s="217"/>
      <c r="Z26" s="213"/>
      <c r="AA26" s="215">
        <f ca="1">IFERROR(__xludf.DUMMYFUNCTION("""COMPUTED_VALUE"""),2876176)</f>
        <v>2876176</v>
      </c>
      <c r="AB26" s="215" t="str">
        <f ca="1">IFERROR(__xludf.DUMMYFUNCTION("""COMPUTED_VALUE"""),"Beginner")</f>
        <v>Beginner</v>
      </c>
      <c r="AC26" s="217" t="str">
        <f ca="1">IFERROR(__xludf.DUMMYFUNCTION("""COMPUTED_VALUE"""),"Como Trabalhar e Colaborar On-line")</f>
        <v>Como Trabalhar e Colaborar On-line</v>
      </c>
      <c r="AD26" s="217"/>
      <c r="AE26" s="213"/>
      <c r="AF26" s="215">
        <f ca="1">IFERROR(__xludf.DUMMYFUNCTION("""COMPUTED_VALUE"""),762187)</f>
        <v>762187</v>
      </c>
      <c r="AG26" s="215" t="str">
        <f ca="1">IFERROR(__xludf.DUMMYFUNCTION("""COMPUTED_VALUE"""),"All levels")</f>
        <v>All levels</v>
      </c>
      <c r="AH26" s="217" t="str">
        <f ca="1">IFERROR(__xludf.DUMMYFUNCTION("""COMPUTED_VALUE"""),"有效倾听")</f>
        <v>有效倾听</v>
      </c>
      <c r="AI26" s="217"/>
      <c r="AJ26" s="213"/>
    </row>
    <row r="27" spans="1:36" ht="33.75" customHeight="1">
      <c r="A27" s="213"/>
      <c r="B27" s="214">
        <f ca="1">IFERROR(__xludf.DUMMYFUNCTION("""COMPUTED_VALUE"""),2423851)</f>
        <v>2423851</v>
      </c>
      <c r="C27" s="215" t="str">
        <f ca="1">IFERROR(__xludf.DUMMYFUNCTION("""COMPUTED_VALUE"""),"Intermediate")</f>
        <v>Intermediate</v>
      </c>
      <c r="D27" s="216" t="str">
        <f ca="1">IFERROR(__xludf.DUMMYFUNCTION("""COMPUTED_VALUE"""),"Collaborative Workflows for Editors and Designers")</f>
        <v>Collaborative Workflows for Editors and Designers</v>
      </c>
      <c r="E27" s="217"/>
      <c r="F27" s="213"/>
      <c r="G27" s="214">
        <f ca="1">IFERROR(__xludf.DUMMYFUNCTION("""COMPUTED_VALUE"""),604067)</f>
        <v>604067</v>
      </c>
      <c r="H27" s="215" t="str">
        <f ca="1">IFERROR(__xludf.DUMMYFUNCTION("""COMPUTED_VALUE"""),"All levels")</f>
        <v>All levels</v>
      </c>
      <c r="I27" s="217" t="str">
        <f ca="1">IFERROR(__xludf.DUMMYFUNCTION("""COMPUTED_VALUE"""),"Jeff Weiner – Le management compassionnel")</f>
        <v>Jeff Weiner – Le management compassionnel</v>
      </c>
      <c r="J27" s="217"/>
      <c r="K27" s="213"/>
      <c r="L27" s="215">
        <f ca="1">IFERROR(__xludf.DUMMYFUNCTION("""COMPUTED_VALUE"""),2874199)</f>
        <v>2874199</v>
      </c>
      <c r="M27" s="215" t="str">
        <f ca="1">IFERROR(__xludf.DUMMYFUNCTION("""COMPUTED_VALUE"""),"All levels")</f>
        <v>All levels</v>
      </c>
      <c r="N27" s="217" t="str">
        <f ca="1">IFERROR(__xludf.DUMMYFUNCTION("""COMPUTED_VALUE"""),"Herramientas online para teletrabajo: Trucos")</f>
        <v>Herramientas online para teletrabajo: Trucos</v>
      </c>
      <c r="O27" s="217"/>
      <c r="P27" s="213"/>
      <c r="Q27" s="215">
        <f ca="1">IFERROR(__xludf.DUMMYFUNCTION("""COMPUTED_VALUE"""),2997106)</f>
        <v>2997106</v>
      </c>
      <c r="R27" s="215" t="str">
        <f ca="1">IFERROR(__xludf.DUMMYFUNCTION("""COMPUTED_VALUE"""),"Beginner")</f>
        <v>Beginner</v>
      </c>
      <c r="S27" s="217" t="str">
        <f ca="1">IFERROR(__xludf.DUMMYFUNCTION("""COMPUTED_VALUE"""),"Konfliktlösung – Grundlagen")</f>
        <v>Konfliktlösung – Grundlagen</v>
      </c>
      <c r="T27" s="217"/>
      <c r="U27" s="213"/>
      <c r="V27" s="215"/>
      <c r="W27" s="215"/>
      <c r="X27" s="217"/>
      <c r="Y27" s="217"/>
      <c r="Z27" s="213"/>
      <c r="AA27" s="215">
        <f ca="1">IFERROR(__xludf.DUMMYFUNCTION("""COMPUTED_VALUE"""),752458)</f>
        <v>752458</v>
      </c>
      <c r="AB27" s="215" t="str">
        <f ca="1">IFERROR(__xludf.DUMMYFUNCTION("""COMPUTED_VALUE"""),"All levels")</f>
        <v>All levels</v>
      </c>
      <c r="AC27" s="217" t="str">
        <f ca="1">IFERROR(__xludf.DUMMYFUNCTION("""COMPUTED_VALUE"""),"Construindo Confiança")</f>
        <v>Construindo Confiança</v>
      </c>
      <c r="AD27" s="217"/>
      <c r="AE27" s="213"/>
      <c r="AF27" s="215">
        <f ca="1">IFERROR(__xludf.DUMMYFUNCTION("""COMPUTED_VALUE"""),2243990)</f>
        <v>2243990</v>
      </c>
      <c r="AG27" s="215" t="str">
        <f ca="1">IFERROR(__xludf.DUMMYFUNCTION("""COMPUTED_VALUE"""),"Beginner")</f>
        <v>Beginner</v>
      </c>
      <c r="AH27" s="217" t="str">
        <f ca="1">IFERROR(__xludf.DUMMYFUNCTION("""COMPUTED_VALUE"""),"管理员工绩效问题")</f>
        <v>管理员工绩效问题</v>
      </c>
      <c r="AI27" s="217"/>
      <c r="AJ27" s="213"/>
    </row>
    <row r="28" spans="1:36" ht="33.75" customHeight="1">
      <c r="A28" s="213"/>
      <c r="B28" s="214">
        <f ca="1">IFERROR(__xludf.DUMMYFUNCTION("""COMPUTED_VALUE"""),5040389)</f>
        <v>5040389</v>
      </c>
      <c r="C28" s="215" t="str">
        <f ca="1">IFERROR(__xludf.DUMMYFUNCTION("""COMPUTED_VALUE"""),"Advanced")</f>
        <v>Advanced</v>
      </c>
      <c r="D28" s="216" t="str">
        <f ca="1">IFERROR(__xludf.DUMMYFUNCTION("""COMPUTED_VALUE"""),"Cross-Functional Sales Teams")</f>
        <v>Cross-Functional Sales Teams</v>
      </c>
      <c r="E28" s="217"/>
      <c r="F28" s="213"/>
      <c r="G28" s="214">
        <f ca="1">IFERROR(__xludf.DUMMYFUNCTION("""COMPUTED_VALUE"""),2393119)</f>
        <v>2393119</v>
      </c>
      <c r="H28" s="215" t="str">
        <f ca="1">IFERROR(__xludf.DUMMYFUNCTION("""COMPUTED_VALUE"""),"Intermediate")</f>
        <v>Intermediate</v>
      </c>
      <c r="I28" s="217" t="str">
        <f ca="1">IFERROR(__xludf.DUMMYFUNCTION("""COMPUTED_VALUE"""),"La minute de formation : Bien travailler en équipe")</f>
        <v>La minute de formation : Bien travailler en équipe</v>
      </c>
      <c r="J28" s="217"/>
      <c r="K28" s="213"/>
      <c r="L28" s="215">
        <f ca="1">IFERROR(__xludf.DUMMYFUNCTION("""COMPUTED_VALUE"""),514006)</f>
        <v>514006</v>
      </c>
      <c r="M28" s="215" t="str">
        <f ca="1">IFERROR(__xludf.DUMMYFUNCTION("""COMPUTED_VALUE"""),"All levels")</f>
        <v>All levels</v>
      </c>
      <c r="N28" s="217" t="str">
        <f ca="1">IFERROR(__xludf.DUMMYFUNCTION("""COMPUTED_VALUE"""),"La escucha activa")</f>
        <v>La escucha activa</v>
      </c>
      <c r="O28" s="217"/>
      <c r="P28" s="213"/>
      <c r="Q28" s="215">
        <f ca="1">IFERROR(__xludf.DUMMYFUNCTION("""COMPUTED_VALUE"""),761013)</f>
        <v>761013</v>
      </c>
      <c r="R28" s="215" t="str">
        <f ca="1">IFERROR(__xludf.DUMMYFUNCTION("""COMPUTED_VALUE"""),"Intermediate")</f>
        <v>Intermediate</v>
      </c>
      <c r="S28" s="217" t="str">
        <f ca="1">IFERROR(__xludf.DUMMYFUNCTION("""COMPUTED_VALUE"""),"Konfliktmanagement in Projekten")</f>
        <v>Konfliktmanagement in Projekten</v>
      </c>
      <c r="T28" s="217"/>
      <c r="U28" s="213"/>
      <c r="V28" s="215"/>
      <c r="W28" s="215"/>
      <c r="X28" s="217"/>
      <c r="Y28" s="217"/>
      <c r="Z28" s="213"/>
      <c r="AA28" s="215">
        <f ca="1">IFERROR(__xludf.DUMMYFUNCTION("""COMPUTED_VALUE"""),753214)</f>
        <v>753214</v>
      </c>
      <c r="AB28" s="215" t="str">
        <f ca="1">IFERROR(__xludf.DUMMYFUNCTION("""COMPUTED_VALUE"""),"All levels")</f>
        <v>All levels</v>
      </c>
      <c r="AC28" s="217" t="str">
        <f ca="1">IFERROR(__xludf.DUMMYFUNCTION("""COMPUTED_VALUE"""),"Desenvolvimento da Inteligência Intercultural")</f>
        <v>Desenvolvimento da Inteligência Intercultural</v>
      </c>
      <c r="AD28" s="217"/>
      <c r="AE28" s="213"/>
      <c r="AF28" s="215">
        <f ca="1">IFERROR(__xludf.DUMMYFUNCTION("""COMPUTED_VALUE"""),779390)</f>
        <v>779390</v>
      </c>
      <c r="AG28" s="215" t="str">
        <f ca="1">IFERROR(__xludf.DUMMYFUNCTION("""COMPUTED_VALUE"""),"All levels")</f>
        <v>All levels</v>
      </c>
      <c r="AH28" s="217" t="str">
        <f ca="1">IFERROR(__xludf.DUMMYFUNCTION("""COMPUTED_VALUE"""),"职业社交网络")</f>
        <v>职业社交网络</v>
      </c>
      <c r="AI28" s="217"/>
      <c r="AJ28" s="213"/>
    </row>
    <row r="29" spans="1:36" ht="33.75" customHeight="1">
      <c r="A29" s="213"/>
      <c r="B29" s="214">
        <f ca="1">IFERROR(__xludf.DUMMYFUNCTION("""COMPUTED_VALUE"""),2877032)</f>
        <v>2877032</v>
      </c>
      <c r="C29" s="215" t="str">
        <f ca="1">IFERROR(__xludf.DUMMYFUNCTION("""COMPUTED_VALUE"""),"Beginner")</f>
        <v>Beginner</v>
      </c>
      <c r="D29" s="216" t="str">
        <f ca="1">IFERROR(__xludf.DUMMYFUNCTION("""COMPUTED_VALUE"""),"How to Build Rapport Quickly")</f>
        <v>How to Build Rapport Quickly</v>
      </c>
      <c r="E29" s="217"/>
      <c r="F29" s="213"/>
      <c r="G29" s="214">
        <f ca="1">IFERROR(__xludf.DUMMYFUNCTION("""COMPUTED_VALUE"""),3134052)</f>
        <v>3134052</v>
      </c>
      <c r="H29" s="215" t="str">
        <f ca="1">IFERROR(__xludf.DUMMYFUNCTION("""COMPUTED_VALUE"""),"Intermediate")</f>
        <v>Intermediate</v>
      </c>
      <c r="I29" s="217" t="str">
        <f ca="1">IFERROR(__xludf.DUMMYFUNCTION("""COMPUTED_VALUE"""),"La minute de formation : Gérer les problèmes et conflits avec les employés")</f>
        <v>La minute de formation : Gérer les problèmes et conflits avec les employés</v>
      </c>
      <c r="J29" s="217"/>
      <c r="K29" s="213"/>
      <c r="L29" s="215">
        <f ca="1">IFERROR(__xludf.DUMMYFUNCTION("""COMPUTED_VALUE"""),2841604)</f>
        <v>2841604</v>
      </c>
      <c r="M29" s="215" t="str">
        <f ca="1">IFERROR(__xludf.DUMMYFUNCTION("""COMPUTED_VALUE"""),"Advanced")</f>
        <v>Advanced</v>
      </c>
      <c r="N29" s="217" t="str">
        <f ca="1">IFERROR(__xludf.DUMMYFUNCTION("""COMPUTED_VALUE"""),"Liderazgo ágil: Cómo afrontar la nueva normalidad")</f>
        <v>Liderazgo ágil: Cómo afrontar la nueva normalidad</v>
      </c>
      <c r="O29" s="217"/>
      <c r="P29" s="213"/>
      <c r="Q29" s="215">
        <f ca="1">IFERROR(__xludf.DUMMYFUNCTION("""COMPUTED_VALUE"""),761001)</f>
        <v>761001</v>
      </c>
      <c r="R29" s="215" t="str">
        <f ca="1">IFERROR(__xludf.DUMMYFUNCTION("""COMPUTED_VALUE"""),"Intermediate")</f>
        <v>Intermediate</v>
      </c>
      <c r="S29" s="217" t="str">
        <f ca="1">IFERROR(__xludf.DUMMYFUNCTION("""COMPUTED_VALUE"""),"Kreativnetzwerke aufbauen")</f>
        <v>Kreativnetzwerke aufbauen</v>
      </c>
      <c r="T29" s="217"/>
      <c r="U29" s="213"/>
      <c r="V29" s="215"/>
      <c r="W29" s="215"/>
      <c r="X29" s="217"/>
      <c r="Y29" s="217"/>
      <c r="Z29" s="213"/>
      <c r="AA29" s="215">
        <f ca="1">IFERROR(__xludf.DUMMYFUNCTION("""COMPUTED_VALUE"""),2391482)</f>
        <v>2391482</v>
      </c>
      <c r="AB29" s="215" t="str">
        <f ca="1">IFERROR(__xludf.DUMMYFUNCTION("""COMPUTED_VALUE"""),"Beginner")</f>
        <v>Beginner</v>
      </c>
      <c r="AC29" s="217" t="str">
        <f ca="1">IFERROR(__xludf.DUMMYFUNCTION("""COMPUTED_VALUE"""),"Desenvolvimento de Software Remoto: Como Aumentar sua Produtividade")</f>
        <v>Desenvolvimento de Software Remoto: Como Aumentar sua Produtividade</v>
      </c>
      <c r="AD29" s="217"/>
      <c r="AE29" s="213"/>
      <c r="AF29" s="215">
        <f ca="1">IFERROR(__xludf.DUMMYFUNCTION("""COMPUTED_VALUE"""),2825309)</f>
        <v>2825309</v>
      </c>
      <c r="AG29" s="215" t="str">
        <f ca="1">IFERROR(__xludf.DUMMYFUNCTION("""COMPUTED_VALUE"""),"Intermediate")</f>
        <v>Intermediate</v>
      </c>
      <c r="AH29" s="217" t="str">
        <f ca="1">IFERROR(__xludf.DUMMYFUNCTION("""COMPUTED_VALUE"""),"评估团队绩效")</f>
        <v>评估团队绩效</v>
      </c>
      <c r="AI29" s="217"/>
      <c r="AJ29" s="213"/>
    </row>
    <row r="30" spans="1:36" ht="33.75" customHeight="1">
      <c r="A30" s="213"/>
      <c r="B30" s="214">
        <f ca="1">IFERROR(__xludf.DUMMYFUNCTION("""COMPUTED_VALUE"""),2870083)</f>
        <v>2870083</v>
      </c>
      <c r="C30" s="215" t="str">
        <f ca="1">IFERROR(__xludf.DUMMYFUNCTION("""COMPUTED_VALUE"""),"Beginner")</f>
        <v>Beginner</v>
      </c>
      <c r="D30" s="216" t="str">
        <f ca="1">IFERROR(__xludf.DUMMYFUNCTION("""COMPUTED_VALUE"""),"Become a Super-Collaborator")</f>
        <v>Become a Super-Collaborator</v>
      </c>
      <c r="E30" s="217"/>
      <c r="F30" s="213"/>
      <c r="G30" s="214">
        <f ca="1">IFERROR(__xludf.DUMMYFUNCTION("""COMPUTED_VALUE"""),568505)</f>
        <v>568505</v>
      </c>
      <c r="H30" s="215" t="str">
        <f ca="1">IFERROR(__xludf.DUMMYFUNCTION("""COMPUTED_VALUE"""),"All levels")</f>
        <v>All levels</v>
      </c>
      <c r="I30" s="217" t="str">
        <f ca="1">IFERROR(__xludf.DUMMYFUNCTION("""COMPUTED_VALUE"""),"Les fondements de la gestion de projet : La communication")</f>
        <v>Les fondements de la gestion de projet : La communication</v>
      </c>
      <c r="J30" s="217"/>
      <c r="K30" s="213"/>
      <c r="L30" s="215">
        <f ca="1">IFERROR(__xludf.DUMMYFUNCTION("""COMPUTED_VALUE"""),2924305)</f>
        <v>2924305</v>
      </c>
      <c r="M30" s="215" t="str">
        <f ca="1">IFERROR(__xludf.DUMMYFUNCTION("""COMPUTED_VALUE"""),"Beginner, Intermediate")</f>
        <v>Beginner, Intermediate</v>
      </c>
      <c r="N30" s="217" t="str">
        <f ca="1">IFERROR(__xludf.DUMMYFUNCTION("""COMPUTED_VALUE"""),"Liderazgo transformador")</f>
        <v>Liderazgo transformador</v>
      </c>
      <c r="O30" s="217"/>
      <c r="P30" s="213"/>
      <c r="Q30" s="215">
        <f ca="1">IFERROR(__xludf.DUMMYFUNCTION("""COMPUTED_VALUE"""),559570)</f>
        <v>559570</v>
      </c>
      <c r="R30" s="215" t="str">
        <f ca="1">IFERROR(__xludf.DUMMYFUNCTION("""COMPUTED_VALUE"""),"Beginner")</f>
        <v>Beginner</v>
      </c>
      <c r="S30" s="217" t="str">
        <f ca="1">IFERROR(__xludf.DUMMYFUNCTION("""COMPUTED_VALUE"""),"Meine Rechte und Pflichten in sozialen Netzwerken")</f>
        <v>Meine Rechte und Pflichten in sozialen Netzwerken</v>
      </c>
      <c r="T30" s="217"/>
      <c r="U30" s="213"/>
      <c r="V30" s="215"/>
      <c r="W30" s="215"/>
      <c r="X30" s="217"/>
      <c r="Y30" s="217"/>
      <c r="Z30" s="213"/>
      <c r="AA30" s="215">
        <f ca="1">IFERROR(__xludf.DUMMYFUNCTION("""COMPUTED_VALUE"""),2874152)</f>
        <v>2874152</v>
      </c>
      <c r="AB30" s="215" t="str">
        <f ca="1">IFERROR(__xludf.DUMMYFUNCTION("""COMPUTED_VALUE"""),"All levels")</f>
        <v>All levels</v>
      </c>
      <c r="AC30" s="217" t="str">
        <f ca="1">IFERROR(__xludf.DUMMYFUNCTION("""COMPUTED_VALUE"""),"Dicas Rápidas para Gerentes Seniores")</f>
        <v>Dicas Rápidas para Gerentes Seniores</v>
      </c>
      <c r="AD30" s="217"/>
      <c r="AE30" s="213"/>
      <c r="AF30" s="215">
        <f ca="1">IFERROR(__xludf.DUMMYFUNCTION("""COMPUTED_VALUE"""),762258)</f>
        <v>762258</v>
      </c>
      <c r="AG30" s="215" t="str">
        <f ca="1">IFERROR(__xludf.DUMMYFUNCTION("""COMPUTED_VALUE"""),"Beginner")</f>
        <v>Beginner</v>
      </c>
      <c r="AH30" s="217" t="str">
        <f ca="1">IFERROR(__xludf.DUMMYFUNCTION("""COMPUTED_VALUE"""),"项目管理基础知识：团队")</f>
        <v>项目管理基础知识：团队</v>
      </c>
      <c r="AI30" s="217"/>
      <c r="AJ30" s="213"/>
    </row>
    <row r="31" spans="1:36" ht="33.75" customHeight="1">
      <c r="A31" s="213"/>
      <c r="B31" s="214">
        <f ca="1">IFERROR(__xludf.DUMMYFUNCTION("""COMPUTED_VALUE"""),758614)</f>
        <v>758614</v>
      </c>
      <c r="C31" s="215" t="str">
        <f ca="1">IFERROR(__xludf.DUMMYFUNCTION("""COMPUTED_VALUE"""),"Beginner")</f>
        <v>Beginner</v>
      </c>
      <c r="D31" s="216" t="str">
        <f ca="1">IFERROR(__xludf.DUMMYFUNCTION("""COMPUTED_VALUE"""),"Collaboration Principles and Process")</f>
        <v>Collaboration Principles and Process</v>
      </c>
      <c r="E31" s="217"/>
      <c r="F31" s="213"/>
      <c r="G31" s="214">
        <f ca="1">IFERROR(__xludf.DUMMYFUNCTION("""COMPUTED_VALUE"""),568983)</f>
        <v>568983</v>
      </c>
      <c r="H31" s="215" t="str">
        <f ca="1">IFERROR(__xludf.DUMMYFUNCTION("""COMPUTED_VALUE"""),"Beginner")</f>
        <v>Beginner</v>
      </c>
      <c r="I31" s="217" t="str">
        <f ca="1">IFERROR(__xludf.DUMMYFUNCTION("""COMPUTED_VALUE"""),"Les fondements de la gestion de projet : Les équipes")</f>
        <v>Les fondements de la gestion de projet : Les équipes</v>
      </c>
      <c r="J31" s="217"/>
      <c r="K31" s="213"/>
      <c r="L31" s="215">
        <f ca="1">IFERROR(__xludf.DUMMYFUNCTION("""COMPUTED_VALUE"""),608964)</f>
        <v>608964</v>
      </c>
      <c r="M31" s="215" t="str">
        <f ca="1">IFERROR(__xludf.DUMMYFUNCTION("""COMPUTED_VALUE"""),"All levels")</f>
        <v>All levels</v>
      </c>
      <c r="N31" s="217" t="str">
        <f ca="1">IFERROR(__xludf.DUMMYFUNCTION("""COMPUTED_VALUE"""),"Liderazgo y trabajo en equipo")</f>
        <v>Liderazgo y trabajo en equipo</v>
      </c>
      <c r="O31" s="217"/>
      <c r="P31" s="213"/>
      <c r="Q31" s="215">
        <f ca="1">IFERROR(__xludf.DUMMYFUNCTION("""COMPUTED_VALUE"""),593050)</f>
        <v>593050</v>
      </c>
      <c r="R31" s="215" t="str">
        <f ca="1">IFERROR(__xludf.DUMMYFUNCTION("""COMPUTED_VALUE"""),"All levels")</f>
        <v>All levels</v>
      </c>
      <c r="S31" s="217" t="str">
        <f ca="1">IFERROR(__xludf.DUMMYFUNCTION("""COMPUTED_VALUE"""),"Mentor:in werden")</f>
        <v>Mentor:in werden</v>
      </c>
      <c r="T31" s="217"/>
      <c r="U31" s="213"/>
      <c r="V31" s="215"/>
      <c r="W31" s="215"/>
      <c r="X31" s="217"/>
      <c r="Y31" s="217"/>
      <c r="Z31" s="213"/>
      <c r="AA31" s="215">
        <f ca="1">IFERROR(__xludf.DUMMYFUNCTION("""COMPUTED_VALUE"""),753193)</f>
        <v>753193</v>
      </c>
      <c r="AB31" s="215" t="str">
        <f ca="1">IFERROR(__xludf.DUMMYFUNCTION("""COMPUTED_VALUE"""),"All levels")</f>
        <v>All levels</v>
      </c>
      <c r="AC31" s="217" t="str">
        <f ca="1">IFERROR(__xludf.DUMMYFUNCTION("""COMPUTED_VALUE"""),"Fundamentos da Resolução de Conflitos")</f>
        <v>Fundamentos da Resolução de Conflitos</v>
      </c>
      <c r="AD31" s="217"/>
      <c r="AE31" s="213"/>
      <c r="AF31" s="215">
        <f ca="1">IFERROR(__xludf.DUMMYFUNCTION("""COMPUTED_VALUE"""),773660)</f>
        <v>773660</v>
      </c>
      <c r="AG31" s="215" t="str">
        <f ca="1">IFERROR(__xludf.DUMMYFUNCTION("""COMPUTED_VALUE"""),"Beginner")</f>
        <v>Beginner</v>
      </c>
      <c r="AH31" s="217" t="str">
        <f ca="1">IFERROR(__xludf.DUMMYFUNCTION("""COMPUTED_VALUE"""),"项目管理基础知识：沟通")</f>
        <v>项目管理基础知识：沟通</v>
      </c>
      <c r="AI31" s="217"/>
      <c r="AJ31" s="213"/>
    </row>
    <row r="32" spans="1:36" ht="30">
      <c r="A32" s="213"/>
      <c r="B32" s="214">
        <f ca="1">IFERROR(__xludf.DUMMYFUNCTION("""COMPUTED_VALUE"""),534584)</f>
        <v>534584</v>
      </c>
      <c r="C32" s="215" t="str">
        <f ca="1">IFERROR(__xludf.DUMMYFUNCTION("""COMPUTED_VALUE"""),"Beginner")</f>
        <v>Beginner</v>
      </c>
      <c r="D32" s="216" t="str">
        <f ca="1">IFERROR(__xludf.DUMMYFUNCTION("""COMPUTED_VALUE"""),"Communicating with Empathy")</f>
        <v>Communicating with Empathy</v>
      </c>
      <c r="E32" s="217"/>
      <c r="F32" s="213"/>
      <c r="G32" s="214">
        <f ca="1">IFERROR(__xludf.DUMMYFUNCTION("""COMPUTED_VALUE"""),642604)</f>
        <v>642604</v>
      </c>
      <c r="H32" s="215" t="str">
        <f ca="1">IFERROR(__xludf.DUMMYFUNCTION("""COMPUTED_VALUE"""),"All levels")</f>
        <v>All levels</v>
      </c>
      <c r="I32" s="217" t="str">
        <f ca="1">IFERROR(__xludf.DUMMYFUNCTION("""COMPUTED_VALUE"""),"Les fondements de la résolution de conflits")</f>
        <v>Les fondements de la résolution de conflits</v>
      </c>
      <c r="J32" s="217"/>
      <c r="K32" s="213"/>
      <c r="L32" s="215">
        <f ca="1">IFERROR(__xludf.DUMMYFUNCTION("""COMPUTED_VALUE"""),5025694)</f>
        <v>5025694</v>
      </c>
      <c r="M32" s="215" t="str">
        <f ca="1">IFERROR(__xludf.DUMMYFUNCTION("""COMPUTED_VALUE"""),"Beginner, Intermediate")</f>
        <v>Beginner, Intermediate</v>
      </c>
      <c r="N32" s="217" t="str">
        <f ca="1">IFERROR(__xludf.DUMMYFUNCTION("""COMPUTED_VALUE"""),"Mejora tu habilidad de escucha activa")</f>
        <v>Mejora tu habilidad de escucha activa</v>
      </c>
      <c r="O32" s="217"/>
      <c r="P32" s="213"/>
      <c r="Q32" s="215">
        <f ca="1">IFERROR(__xludf.DUMMYFUNCTION("""COMPUTED_VALUE"""),2840000)</f>
        <v>2840000</v>
      </c>
      <c r="R32" s="215" t="str">
        <f ca="1">IFERROR(__xludf.DUMMYFUNCTION("""COMPUTED_VALUE"""),"Beginner")</f>
        <v>Beginner</v>
      </c>
      <c r="S32" s="217" t="str">
        <f ca="1">IFERROR(__xludf.DUMMYFUNCTION("""COMPUTED_VALUE"""),"Microsoft Teams Grundkurs")</f>
        <v>Microsoft Teams Grundkurs</v>
      </c>
      <c r="T32" s="217"/>
      <c r="U32" s="213"/>
      <c r="V32" s="215"/>
      <c r="W32" s="215"/>
      <c r="X32" s="217"/>
      <c r="Y32" s="217"/>
      <c r="Z32" s="213"/>
      <c r="AA32" s="215">
        <f ca="1">IFERROR(__xludf.DUMMYFUNCTION("""COMPUTED_VALUE"""),753082)</f>
        <v>753082</v>
      </c>
      <c r="AB32" s="215" t="str">
        <f ca="1">IFERROR(__xludf.DUMMYFUNCTION("""COMPUTED_VALUE"""),"Beginner")</f>
        <v>Beginner</v>
      </c>
      <c r="AC32" s="217" t="str">
        <f ca="1">IFERROR(__xludf.DUMMYFUNCTION("""COMPUTED_VALUE"""),"Fundamentos de Gestão de Projetos: Comunicação")</f>
        <v>Fundamentos de Gestão de Projetos: Comunicação</v>
      </c>
      <c r="AD32" s="217"/>
      <c r="AE32" s="213"/>
      <c r="AF32" s="215">
        <f ca="1">IFERROR(__xludf.DUMMYFUNCTION("""COMPUTED_VALUE"""),5010370)</f>
        <v>5010370</v>
      </c>
      <c r="AG32" s="215" t="str">
        <f ca="1">IFERROR(__xludf.DUMMYFUNCTION("""COMPUTED_VALUE"""),"All levels")</f>
        <v>All levels</v>
      </c>
      <c r="AH32" s="217" t="str">
        <f ca="1">IFERROR(__xludf.DUMMYFUNCTION("""COMPUTED_VALUE"""),"领导团队和团队合作")</f>
        <v>领导团队和团队合作</v>
      </c>
      <c r="AI32" s="217"/>
      <c r="AJ32" s="213"/>
    </row>
    <row r="33" spans="1:36" ht="33.75" customHeight="1">
      <c r="A33" s="213"/>
      <c r="B33" s="214">
        <f ca="1">IFERROR(__xludf.DUMMYFUNCTION("""COMPUTED_VALUE"""),622054)</f>
        <v>622054</v>
      </c>
      <c r="C33" s="215" t="str">
        <f ca="1">IFERROR(__xludf.DUMMYFUNCTION("""COMPUTED_VALUE"""),"Beginner")</f>
        <v>Beginner</v>
      </c>
      <c r="D33" s="216" t="str">
        <f ca="1">IFERROR(__xludf.DUMMYFUNCTION("""COMPUTED_VALUE"""),"Developing Self-Awareness")</f>
        <v>Developing Self-Awareness</v>
      </c>
      <c r="E33" s="217"/>
      <c r="F33" s="213"/>
      <c r="G33" s="214">
        <f ca="1">IFERROR(__xludf.DUMMYFUNCTION("""COMPUTED_VALUE"""),416387)</f>
        <v>416387</v>
      </c>
      <c r="H33" s="215" t="str">
        <f ca="1">IFERROR(__xludf.DUMMYFUNCTION("""COMPUTED_VALUE"""),"All levels")</f>
        <v>All levels</v>
      </c>
      <c r="I33" s="217" t="str">
        <f ca="1">IFERROR(__xludf.DUMMYFUNCTION("""COMPUTED_VALUE"""),"Mener des conversations difficiles")</f>
        <v>Mener des conversations difficiles</v>
      </c>
      <c r="J33" s="217"/>
      <c r="K33" s="213"/>
      <c r="L33" s="215">
        <f ca="1">IFERROR(__xludf.DUMMYFUNCTION("""COMPUTED_VALUE"""),449379)</f>
        <v>449379</v>
      </c>
      <c r="M33" s="215" t="str">
        <f ca="1">IFERROR(__xludf.DUMMYFUNCTION("""COMPUTED_VALUE"""),"Beginner")</f>
        <v>Beginner</v>
      </c>
      <c r="N33" s="217" t="str">
        <f ca="1">IFERROR(__xludf.DUMMYFUNCTION("""COMPUTED_VALUE"""),"Motivación e implicación en la empresa")</f>
        <v>Motivación e implicación en la empresa</v>
      </c>
      <c r="O33" s="217"/>
      <c r="P33" s="213"/>
      <c r="Q33" s="215">
        <f ca="1">IFERROR(__xludf.DUMMYFUNCTION("""COMPUTED_VALUE"""),2383965)</f>
        <v>2383965</v>
      </c>
      <c r="R33" s="215" t="str">
        <f ca="1">IFERROR(__xludf.DUMMYFUNCTION("""COMPUTED_VALUE"""),"Beginner, Intermediate")</f>
        <v>Beginner, Intermediate</v>
      </c>
      <c r="S33" s="217" t="str">
        <f ca="1">IFERROR(__xludf.DUMMYFUNCTION("""COMPUTED_VALUE"""),"Microsoft Teams: Besprechungen, Webinare, Liveereignisse")</f>
        <v>Microsoft Teams: Besprechungen, Webinare, Liveereignisse</v>
      </c>
      <c r="T33" s="217"/>
      <c r="U33" s="213"/>
      <c r="V33" s="215"/>
      <c r="W33" s="215"/>
      <c r="X33" s="217"/>
      <c r="Y33" s="217"/>
      <c r="Z33" s="213"/>
      <c r="AA33" s="215">
        <f ca="1">IFERROR(__xludf.DUMMYFUNCTION("""COMPUTED_VALUE"""),753093)</f>
        <v>753093</v>
      </c>
      <c r="AB33" s="215" t="str">
        <f ca="1">IFERROR(__xludf.DUMMYFUNCTION("""COMPUTED_VALUE"""),"All levels")</f>
        <v>All levels</v>
      </c>
      <c r="AC33" s="217" t="str">
        <f ca="1">IFERROR(__xludf.DUMMYFUNCTION("""COMPUTED_VALUE"""),"Fundamentos do Trabalho em Equipe")</f>
        <v>Fundamentos do Trabalho em Equipe</v>
      </c>
      <c r="AD33" s="217"/>
      <c r="AE33" s="213"/>
      <c r="AF33" s="215">
        <f ca="1">IFERROR(__xludf.DUMMYFUNCTION("""COMPUTED_VALUE"""),773691)</f>
        <v>773691</v>
      </c>
      <c r="AG33" s="215" t="str">
        <f ca="1">IFERROR(__xludf.DUMMYFUNCTION("""COMPUTED_VALUE"""),"Beginner")</f>
        <v>Beginner</v>
      </c>
      <c r="AH33" s="217" t="str">
        <f ca="1">IFERROR(__xludf.DUMMYFUNCTION("""COMPUTED_VALUE"""),"高情商领导")</f>
        <v>高情商领导</v>
      </c>
      <c r="AI33" s="217"/>
      <c r="AJ33" s="213"/>
    </row>
    <row r="34" spans="1:36" ht="33.75" customHeight="1">
      <c r="A34" s="213"/>
      <c r="B34" s="214">
        <f ca="1">IFERROR(__xludf.DUMMYFUNCTION("""COMPUTED_VALUE"""),570966)</f>
        <v>570966</v>
      </c>
      <c r="C34" s="215" t="str">
        <f ca="1">IFERROR(__xludf.DUMMYFUNCTION("""COMPUTED_VALUE"""),"Beginner")</f>
        <v>Beginner</v>
      </c>
      <c r="D34" s="216" t="str">
        <f ca="1">IFERROR(__xludf.DUMMYFUNCTION("""COMPUTED_VALUE"""),"Developing Your Emotional Intelligence")</f>
        <v>Developing Your Emotional Intelligence</v>
      </c>
      <c r="E34" s="217"/>
      <c r="F34" s="213"/>
      <c r="G34" s="214">
        <f ca="1">IFERROR(__xludf.DUMMYFUNCTION("""COMPUTED_VALUE"""),553205)</f>
        <v>553205</v>
      </c>
      <c r="H34" s="215" t="str">
        <f ca="1">IFERROR(__xludf.DUMMYFUNCTION("""COMPUTED_VALUE"""),"All levels")</f>
        <v>All levels</v>
      </c>
      <c r="I34" s="217" t="str">
        <f ca="1">IFERROR(__xludf.DUMMYFUNCTION("""COMPUTED_VALUE"""),"Mener des réunions productives")</f>
        <v>Mener des réunions productives</v>
      </c>
      <c r="J34" s="217"/>
      <c r="K34" s="213"/>
      <c r="L34" s="215">
        <f ca="1">IFERROR(__xludf.DUMMYFUNCTION("""COMPUTED_VALUE"""),2929355)</f>
        <v>2929355</v>
      </c>
      <c r="M34" s="215" t="str">
        <f ca="1">IFERROR(__xludf.DUMMYFUNCTION("""COMPUTED_VALUE"""),"Intermediate")</f>
        <v>Intermediate</v>
      </c>
      <c r="N34" s="217" t="str">
        <f ca="1">IFERROR(__xludf.DUMMYFUNCTION("""COMPUTED_VALUE"""),"Recursos humanos: Cómo manejar el bullying en el lugar de trabajo")</f>
        <v>Recursos humanos: Cómo manejar el bullying en el lugar de trabajo</v>
      </c>
      <c r="O34" s="217"/>
      <c r="P34" s="213"/>
      <c r="Q34" s="215">
        <f ca="1">IFERROR(__xludf.DUMMYFUNCTION("""COMPUTED_VALUE"""),593045)</f>
        <v>593045</v>
      </c>
      <c r="R34" s="215" t="str">
        <f ca="1">IFERROR(__xludf.DUMMYFUNCTION("""COMPUTED_VALUE"""),"All levels")</f>
        <v>All levels</v>
      </c>
      <c r="S34" s="217" t="str">
        <f ca="1">IFERROR(__xludf.DUMMYFUNCTION("""COMPUTED_VALUE"""),"Mitarbeiter:innen Feedback geben")</f>
        <v>Mitarbeiter:innen Feedback geben</v>
      </c>
      <c r="T34" s="217"/>
      <c r="U34" s="213"/>
      <c r="V34" s="215"/>
      <c r="W34" s="215"/>
      <c r="X34" s="217"/>
      <c r="Y34" s="217"/>
      <c r="Z34" s="213"/>
      <c r="AA34" s="215">
        <f ca="1">IFERROR(__xludf.DUMMYFUNCTION("""COMPUTED_VALUE"""),752459)</f>
        <v>752459</v>
      </c>
      <c r="AB34" s="215" t="str">
        <f ca="1">IFERROR(__xludf.DUMMYFUNCTION("""COMPUTED_VALUE"""),"Beginner")</f>
        <v>Beginner</v>
      </c>
      <c r="AC34" s="217" t="str">
        <f ca="1">IFERROR(__xludf.DUMMYFUNCTION("""COMPUTED_VALUE"""),"Gestão de Equipes de Projetos")</f>
        <v>Gestão de Equipes de Projetos</v>
      </c>
      <c r="AD34" s="217"/>
      <c r="AE34" s="213"/>
      <c r="AF34" s="215">
        <f ca="1">IFERROR(__xludf.DUMMYFUNCTION("""COMPUTED_VALUE"""),2822714)</f>
        <v>2822714</v>
      </c>
      <c r="AG34" s="215" t="str">
        <f ca="1">IFERROR(__xludf.DUMMYFUNCTION("""COMPUTED_VALUE"""),"Beginner + Intermediate")</f>
        <v>Beginner + Intermediate</v>
      </c>
      <c r="AH34" s="217" t="str">
        <f ca="1">IFERROR(__xludf.DUMMYFUNCTION("""COMPUTED_VALUE"""),"高效员工的效率法则")</f>
        <v>高效员工的效率法则</v>
      </c>
      <c r="AI34" s="217"/>
      <c r="AJ34" s="213"/>
    </row>
    <row r="35" spans="1:36" ht="33.75" customHeight="1">
      <c r="A35" s="213"/>
      <c r="B35" s="214">
        <f ca="1">IFERROR(__xludf.DUMMYFUNCTION("""COMPUTED_VALUE"""),580627)</f>
        <v>580627</v>
      </c>
      <c r="C35" s="215" t="str">
        <f ca="1">IFERROR(__xludf.DUMMYFUNCTION("""COMPUTED_VALUE"""),"Beginner")</f>
        <v>Beginner</v>
      </c>
      <c r="D35" s="216" t="str">
        <f ca="1">IFERROR(__xludf.DUMMYFUNCTION("""COMPUTED_VALUE"""),"Interpersonal Communication")</f>
        <v>Interpersonal Communication</v>
      </c>
      <c r="E35" s="217"/>
      <c r="F35" s="213"/>
      <c r="G35" s="214">
        <f ca="1">IFERROR(__xludf.DUMMYFUNCTION("""COMPUTED_VALUE"""),3053270)</f>
        <v>3053270</v>
      </c>
      <c r="H35" s="215" t="str">
        <f ca="1">IFERROR(__xludf.DUMMYFUNCTION("""COMPUTED_VALUE"""),"Beginner, Intermediate")</f>
        <v>Beginner, Intermediate</v>
      </c>
      <c r="I35" s="217" t="str">
        <f ca="1">IFERROR(__xludf.DUMMYFUNCTION("""COMPUTED_VALUE"""),"Microsoft Teams : Utiliser les applications de collaboration")</f>
        <v>Microsoft Teams : Utiliser les applications de collaboration</v>
      </c>
      <c r="J35" s="217"/>
      <c r="K35" s="213"/>
      <c r="L35" s="215">
        <f ca="1">IFERROR(__xludf.DUMMYFUNCTION("""COMPUTED_VALUE"""),464905)</f>
        <v>464905</v>
      </c>
      <c r="M35" s="215" t="str">
        <f ca="1">IFERROR(__xludf.DUMMYFUNCTION("""COMPUTED_VALUE"""),"All levels")</f>
        <v>All levels</v>
      </c>
      <c r="N35" s="217" t="str">
        <f ca="1">IFERROR(__xludf.DUMMYFUNCTION("""COMPUTED_VALUE"""),"Teletrabajo")</f>
        <v>Teletrabajo</v>
      </c>
      <c r="O35" s="217"/>
      <c r="P35" s="213"/>
      <c r="Q35" s="215">
        <f ca="1">IFERROR(__xludf.DUMMYFUNCTION("""COMPUTED_VALUE"""),423478)</f>
        <v>423478</v>
      </c>
      <c r="R35" s="215" t="str">
        <f ca="1">IFERROR(__xludf.DUMMYFUNCTION("""COMPUTED_VALUE"""),"Intermediate")</f>
        <v>Intermediate</v>
      </c>
      <c r="S35" s="217" t="str">
        <f ca="1">IFERROR(__xludf.DUMMYFUNCTION("""COMPUTED_VALUE"""),"Multikulturelle Teams führen")</f>
        <v>Multikulturelle Teams führen</v>
      </c>
      <c r="T35" s="217"/>
      <c r="U35" s="213"/>
      <c r="V35" s="215"/>
      <c r="W35" s="215"/>
      <c r="X35" s="217"/>
      <c r="Y35" s="217"/>
      <c r="Z35" s="213"/>
      <c r="AA35" s="215">
        <f ca="1">IFERROR(__xludf.DUMMYFUNCTION("""COMPUTED_VALUE"""),2210175)</f>
        <v>2210175</v>
      </c>
      <c r="AB35" s="215" t="str">
        <f ca="1">IFERROR(__xludf.DUMMYFUNCTION("""COMPUTED_VALUE"""),"Intermediate")</f>
        <v>Intermediate</v>
      </c>
      <c r="AC35" s="217" t="str">
        <f ca="1">IFERROR(__xludf.DUMMYFUNCTION("""COMPUTED_VALUE"""),"Gestão de Problemas de Desempenho dos Colaboradores")</f>
        <v>Gestão de Problemas de Desempenho dos Colaboradores</v>
      </c>
      <c r="AD35" s="217"/>
      <c r="AE35" s="213"/>
      <c r="AF35" s="215"/>
      <c r="AG35" s="215"/>
      <c r="AH35" s="217"/>
      <c r="AI35" s="217"/>
      <c r="AJ35" s="213"/>
    </row>
    <row r="36" spans="1:36" ht="33.75" customHeight="1">
      <c r="A36" s="213"/>
      <c r="B36" s="214">
        <f ca="1">IFERROR(__xludf.DUMMYFUNCTION("""COMPUTED_VALUE"""),624206)</f>
        <v>624206</v>
      </c>
      <c r="C36" s="215" t="str">
        <f ca="1">IFERROR(__xludf.DUMMYFUNCTION("""COMPUTED_VALUE"""),"Beginner")</f>
        <v>Beginner</v>
      </c>
      <c r="D36" s="216" t="str">
        <f ca="1">IFERROR(__xludf.DUMMYFUNCTION("""COMPUTED_VALUE"""),"Working on a Cross-Functional Team")</f>
        <v>Working on a Cross-Functional Team</v>
      </c>
      <c r="E36" s="217"/>
      <c r="F36" s="213"/>
      <c r="G36" s="214">
        <f ca="1">IFERROR(__xludf.DUMMYFUNCTION("""COMPUTED_VALUE"""),2836006)</f>
        <v>2836006</v>
      </c>
      <c r="H36" s="215" t="str">
        <f ca="1">IFERROR(__xludf.DUMMYFUNCTION("""COMPUTED_VALUE"""),"Intermediate")</f>
        <v>Intermediate</v>
      </c>
      <c r="I36" s="217" t="str">
        <f ca="1">IFERROR(__xludf.DUMMYFUNCTION("""COMPUTED_VALUE"""),"Susciter un engagement émotionnel")</f>
        <v>Susciter un engagement émotionnel</v>
      </c>
      <c r="J36" s="217"/>
      <c r="K36" s="213"/>
      <c r="L36" s="215">
        <f ca="1">IFERROR(__xludf.DUMMYFUNCTION("""COMPUTED_VALUE"""),2841035)</f>
        <v>2841035</v>
      </c>
      <c r="M36" s="215" t="str">
        <f ca="1">IFERROR(__xludf.DUMMYFUNCTION("""COMPUTED_VALUE"""),"Beginner")</f>
        <v>Beginner</v>
      </c>
      <c r="N36" s="217" t="str">
        <f ca="1">IFERROR(__xludf.DUMMYFUNCTION("""COMPUTED_VALUE"""),"Trabajando y colaborando online")</f>
        <v>Trabajando y colaborando online</v>
      </c>
      <c r="O36" s="217"/>
      <c r="P36" s="213"/>
      <c r="Q36" s="215">
        <f ca="1">IFERROR(__xludf.DUMMYFUNCTION("""COMPUTED_VALUE"""),2841287)</f>
        <v>2841287</v>
      </c>
      <c r="R36" s="215" t="str">
        <f ca="1">IFERROR(__xludf.DUMMYFUNCTION("""COMPUTED_VALUE"""),"Beginner")</f>
        <v>Beginner</v>
      </c>
      <c r="S36" s="217" t="str">
        <f ca="1">IFERROR(__xludf.DUMMYFUNCTION("""COMPUTED_VALUE"""),"Offen und ansprechbar für andere sein")</f>
        <v>Offen und ansprechbar für andere sein</v>
      </c>
      <c r="T36" s="217"/>
      <c r="U36" s="213"/>
      <c r="V36" s="215"/>
      <c r="W36" s="215"/>
      <c r="X36" s="217"/>
      <c r="Y36" s="217"/>
      <c r="Z36" s="213"/>
      <c r="AA36" s="215">
        <f ca="1">IFERROR(__xludf.DUMMYFUNCTION("""COMPUTED_VALUE"""),2929563)</f>
        <v>2929563</v>
      </c>
      <c r="AB36" s="215" t="str">
        <f ca="1">IFERROR(__xludf.DUMMYFUNCTION("""COMPUTED_VALUE"""),"All levels")</f>
        <v>All levels</v>
      </c>
      <c r="AC36" s="217" t="str">
        <f ca="1">IFERROR(__xludf.DUMMYFUNCTION("""COMPUTED_VALUE"""),"Gestão de Projetos Internacionais")</f>
        <v>Gestão de Projetos Internacionais</v>
      </c>
      <c r="AD36" s="217"/>
      <c r="AE36" s="213"/>
      <c r="AF36" s="215"/>
      <c r="AG36" s="215"/>
      <c r="AH36" s="217"/>
      <c r="AI36" s="217"/>
      <c r="AJ36" s="213"/>
    </row>
    <row r="37" spans="1:36" ht="33.75" customHeight="1">
      <c r="A37" s="213"/>
      <c r="B37" s="214">
        <f ca="1">IFERROR(__xludf.DUMMYFUNCTION("""COMPUTED_VALUE"""),2808545)</f>
        <v>2808545</v>
      </c>
      <c r="C37" s="215" t="str">
        <f ca="1">IFERROR(__xludf.DUMMYFUNCTION("""COMPUTED_VALUE"""),"Beginner")</f>
        <v>Beginner</v>
      </c>
      <c r="D37" s="216" t="str">
        <f ca="1">IFERROR(__xludf.DUMMYFUNCTION("""COMPUTED_VALUE"""),"Women Transforming Tech: Networking")</f>
        <v>Women Transforming Tech: Networking</v>
      </c>
      <c r="E37" s="217"/>
      <c r="F37" s="213"/>
      <c r="G37" s="214">
        <f ca="1">IFERROR(__xludf.DUMMYFUNCTION("""COMPUTED_VALUE"""),399428)</f>
        <v>399428</v>
      </c>
      <c r="H37" s="215" t="str">
        <f ca="1">IFERROR(__xludf.DUMMYFUNCTION("""COMPUTED_VALUE"""),"All levels")</f>
        <v>All levels</v>
      </c>
      <c r="I37" s="217" t="str">
        <f ca="1">IFERROR(__xludf.DUMMYFUNCTION("""COMPUTED_VALUE"""),"Tisser des liens avec ses collègues de travail")</f>
        <v>Tisser des liens avec ses collègues de travail</v>
      </c>
      <c r="J37" s="217"/>
      <c r="K37" s="213"/>
      <c r="L37" s="215">
        <f ca="1">IFERROR(__xludf.DUMMYFUNCTION("""COMPUTED_VALUE"""),561602)</f>
        <v>561602</v>
      </c>
      <c r="M37" s="215" t="str">
        <f ca="1">IFERROR(__xludf.DUMMYFUNCTION("""COMPUTED_VALUE"""),"All levels")</f>
        <v>All levels</v>
      </c>
      <c r="N37" s="217" t="str">
        <f ca="1">IFERROR(__xludf.DUMMYFUNCTION("""COMPUTED_VALUE"""),"Trabajo en equipo")</f>
        <v>Trabajo en equipo</v>
      </c>
      <c r="O37" s="217"/>
      <c r="P37" s="213"/>
      <c r="Q37" s="215">
        <f ca="1">IFERROR(__xludf.DUMMYFUNCTION("""COMPUTED_VALUE"""),560479)</f>
        <v>560479</v>
      </c>
      <c r="R37" s="215" t="str">
        <f ca="1">IFERROR(__xludf.DUMMYFUNCTION("""COMPUTED_VALUE"""),"Beginner")</f>
        <v>Beginner</v>
      </c>
      <c r="S37" s="217" t="str">
        <f ca="1">IFERROR(__xludf.DUMMYFUNCTION("""COMPUTED_VALUE"""),"OneDrive Grundkurs")</f>
        <v>OneDrive Grundkurs</v>
      </c>
      <c r="T37" s="217"/>
      <c r="U37" s="213"/>
      <c r="V37" s="215"/>
      <c r="W37" s="215"/>
      <c r="X37" s="217"/>
      <c r="Y37" s="217"/>
      <c r="Z37" s="213"/>
      <c r="AA37" s="215">
        <f ca="1">IFERROR(__xludf.DUMMYFUNCTION("""COMPUTED_VALUE"""),2841350)</f>
        <v>2841350</v>
      </c>
      <c r="AB37" s="215" t="str">
        <f ca="1">IFERROR(__xludf.DUMMYFUNCTION("""COMPUTED_VALUE"""),"Intermediate")</f>
        <v>Intermediate</v>
      </c>
      <c r="AC37" s="217" t="str">
        <f ca="1">IFERROR(__xludf.DUMMYFUNCTION("""COMPUTED_VALUE"""),"Liderança Colaborativa")</f>
        <v>Liderança Colaborativa</v>
      </c>
      <c r="AD37" s="217"/>
      <c r="AE37" s="213"/>
      <c r="AF37" s="215"/>
      <c r="AG37" s="215"/>
      <c r="AH37" s="217"/>
      <c r="AI37" s="217"/>
      <c r="AJ37" s="213"/>
    </row>
    <row r="38" spans="1:36" ht="33.75" customHeight="1">
      <c r="A38" s="213"/>
      <c r="B38" s="214">
        <f ca="1">IFERROR(__xludf.DUMMYFUNCTION("""COMPUTED_VALUE"""),2813144)</f>
        <v>2813144</v>
      </c>
      <c r="C38" s="215" t="str">
        <f ca="1">IFERROR(__xludf.DUMMYFUNCTION("""COMPUTED_VALUE"""),"Beginner")</f>
        <v>Beginner</v>
      </c>
      <c r="D38" s="216" t="str">
        <f ca="1">IFERROR(__xludf.DUMMYFUNCTION("""COMPUTED_VALUE"""),"Social Success at Work")</f>
        <v>Social Success at Work</v>
      </c>
      <c r="E38" s="217"/>
      <c r="F38" s="213"/>
      <c r="G38" s="214">
        <f ca="1">IFERROR(__xludf.DUMMYFUNCTION("""COMPUTED_VALUE"""),2825467)</f>
        <v>2825467</v>
      </c>
      <c r="H38" s="215" t="str">
        <f ca="1">IFERROR(__xludf.DUMMYFUNCTION("""COMPUTED_VALUE"""),"Beginner")</f>
        <v>Beginner</v>
      </c>
      <c r="I38" s="217" t="str">
        <f ca="1">IFERROR(__xludf.DUMMYFUNCTION("""COMPUTED_VALUE"""),"Travailler avec des personnes difficiles")</f>
        <v>Travailler avec des personnes difficiles</v>
      </c>
      <c r="J38" s="217"/>
      <c r="K38" s="213"/>
      <c r="L38" s="215"/>
      <c r="M38" s="215"/>
      <c r="N38" s="217"/>
      <c r="O38" s="217"/>
      <c r="P38" s="213"/>
      <c r="Q38" s="215">
        <f ca="1">IFERROR(__xludf.DUMMYFUNCTION("""COMPUTED_VALUE"""),2864305)</f>
        <v>2864305</v>
      </c>
      <c r="R38" s="215" t="str">
        <f ca="1">IFERROR(__xludf.DUMMYFUNCTION("""COMPUTED_VALUE"""),"Beginner")</f>
        <v>Beginner</v>
      </c>
      <c r="S38" s="217" t="str">
        <f ca="1">IFERROR(__xludf.DUMMYFUNCTION("""COMPUTED_VALUE"""),"Online arbeiten: allein und im Team")</f>
        <v>Online arbeiten: allein und im Team</v>
      </c>
      <c r="T38" s="217"/>
      <c r="U38" s="213"/>
      <c r="V38" s="215"/>
      <c r="W38" s="215"/>
      <c r="X38" s="217"/>
      <c r="Y38" s="217"/>
      <c r="Z38" s="213"/>
      <c r="AA38" s="215">
        <f ca="1">IFERROR(__xludf.DUMMYFUNCTION("""COMPUTED_VALUE"""),753076)</f>
        <v>753076</v>
      </c>
      <c r="AB38" s="215" t="str">
        <f ca="1">IFERROR(__xludf.DUMMYFUNCTION("""COMPUTED_VALUE"""),"Beginner")</f>
        <v>Beginner</v>
      </c>
      <c r="AC38" s="217" t="str">
        <f ca="1">IFERROR(__xludf.DUMMYFUNCTION("""COMPUTED_VALUE"""),"Liderança com Inteligência Emocional")</f>
        <v>Liderança com Inteligência Emocional</v>
      </c>
      <c r="AD38" s="217"/>
      <c r="AE38" s="213"/>
      <c r="AF38" s="215"/>
      <c r="AG38" s="215"/>
      <c r="AH38" s="217"/>
      <c r="AI38" s="217"/>
      <c r="AJ38" s="213"/>
    </row>
    <row r="39" spans="1:36" ht="33.75" customHeight="1">
      <c r="A39" s="213"/>
      <c r="B39" s="214">
        <f ca="1">IFERROR(__xludf.DUMMYFUNCTION("""COMPUTED_VALUE"""),2822315)</f>
        <v>2822315</v>
      </c>
      <c r="C39" s="215" t="str">
        <f ca="1">IFERROR(__xludf.DUMMYFUNCTION("""COMPUTED_VALUE"""),"Beginner")</f>
        <v>Beginner</v>
      </c>
      <c r="D39" s="216" t="str">
        <f ca="1">IFERROR(__xludf.DUMMYFUNCTION("""COMPUTED_VALUE"""),"The Surprising Power of Seeing People as People")</f>
        <v>The Surprising Power of Seeing People as People</v>
      </c>
      <c r="E39" s="217"/>
      <c r="F39" s="213"/>
      <c r="G39" s="214">
        <f ca="1">IFERROR(__xludf.DUMMYFUNCTION("""COMPUTED_VALUE"""),568504)</f>
        <v>568504</v>
      </c>
      <c r="H39" s="215" t="str">
        <f ca="1">IFERROR(__xludf.DUMMYFUNCTION("""COMPUTED_VALUE"""),"Intermediate")</f>
        <v>Intermediate</v>
      </c>
      <c r="I39" s="217" t="str">
        <f ca="1">IFERROR(__xludf.DUMMYFUNCTION("""COMPUTED_VALUE"""),"Travailler dans des équipes transverses")</f>
        <v>Travailler dans des équipes transverses</v>
      </c>
      <c r="J39" s="217"/>
      <c r="K39" s="213"/>
      <c r="L39" s="215"/>
      <c r="M39" s="215"/>
      <c r="N39" s="217"/>
      <c r="O39" s="217"/>
      <c r="P39" s="213"/>
      <c r="Q39" s="215">
        <f ca="1">IFERROR(__xludf.DUMMYFUNCTION("""COMPUTED_VALUE"""),2928474)</f>
        <v>2928474</v>
      </c>
      <c r="R39" s="215" t="str">
        <f ca="1">IFERROR(__xludf.DUMMYFUNCTION("""COMPUTED_VALUE"""),"Beginner")</f>
        <v>Beginner</v>
      </c>
      <c r="S39" s="217" t="str">
        <f ca="1">IFERROR(__xludf.DUMMYFUNCTION("""COMPUTED_VALUE"""),"Optimistisch bleiben im Job")</f>
        <v>Optimistisch bleiben im Job</v>
      </c>
      <c r="T39" s="217"/>
      <c r="U39" s="213"/>
      <c r="V39" s="215"/>
      <c r="W39" s="215"/>
      <c r="X39" s="217"/>
      <c r="Y39" s="217"/>
      <c r="Z39" s="213"/>
      <c r="AA39" s="215"/>
      <c r="AB39" s="215"/>
      <c r="AC39" s="217"/>
      <c r="AD39" s="217"/>
      <c r="AE39" s="213"/>
      <c r="AF39" s="215"/>
      <c r="AG39" s="215"/>
      <c r="AH39" s="217"/>
      <c r="AI39" s="217"/>
      <c r="AJ39" s="213"/>
    </row>
    <row r="40" spans="1:36" ht="33.75" customHeight="1">
      <c r="A40" s="213"/>
      <c r="B40" s="214">
        <f ca="1">IFERROR(__xludf.DUMMYFUNCTION("""COMPUTED_VALUE"""),2825494)</f>
        <v>2825494</v>
      </c>
      <c r="C40" s="215" t="str">
        <f ca="1">IFERROR(__xludf.DUMMYFUNCTION("""COMPUTED_VALUE"""),"Beginner")</f>
        <v>Beginner</v>
      </c>
      <c r="D40" s="216" t="str">
        <f ca="1">IFERROR(__xludf.DUMMYFUNCTION("""COMPUTED_VALUE"""),"Creating a Culture of Learning")</f>
        <v>Creating a Culture of Learning</v>
      </c>
      <c r="E40" s="217"/>
      <c r="F40" s="213"/>
      <c r="G40" s="214">
        <f ca="1">IFERROR(__xludf.DUMMYFUNCTION("""COMPUTED_VALUE"""),561102)</f>
        <v>561102</v>
      </c>
      <c r="H40" s="215" t="str">
        <f ca="1">IFERROR(__xludf.DUMMYFUNCTION("""COMPUTED_VALUE"""),"All levels")</f>
        <v>All levels</v>
      </c>
      <c r="I40" s="217" t="str">
        <f ca="1">IFERROR(__xludf.DUMMYFUNCTION("""COMPUTED_VALUE"""),"Travailler en équipe")</f>
        <v>Travailler en équipe</v>
      </c>
      <c r="J40" s="217"/>
      <c r="K40" s="213"/>
      <c r="L40" s="215"/>
      <c r="M40" s="215"/>
      <c r="N40" s="217"/>
      <c r="O40" s="217"/>
      <c r="P40" s="213"/>
      <c r="Q40" s="215">
        <f ca="1">IFERROR(__xludf.DUMMYFUNCTION("""COMPUTED_VALUE"""),5025607)</f>
        <v>5025607</v>
      </c>
      <c r="R40" s="215" t="str">
        <f ca="1">IFERROR(__xludf.DUMMYFUNCTION("""COMPUTED_VALUE"""),"All levels")</f>
        <v>All levels</v>
      </c>
      <c r="S40" s="217" t="str">
        <f ca="1">IFERROR(__xludf.DUMMYFUNCTION("""COMPUTED_VALUE"""),"Ortsunabhängig arbeiten")</f>
        <v>Ortsunabhängig arbeiten</v>
      </c>
      <c r="T40" s="217"/>
      <c r="U40" s="213"/>
      <c r="V40" s="215"/>
      <c r="W40" s="215"/>
      <c r="X40" s="217"/>
      <c r="Y40" s="217"/>
      <c r="Z40" s="213"/>
      <c r="AA40" s="215"/>
      <c r="AB40" s="215"/>
      <c r="AC40" s="217"/>
      <c r="AD40" s="217"/>
      <c r="AE40" s="213"/>
      <c r="AF40" s="215"/>
      <c r="AG40" s="215"/>
      <c r="AH40" s="217"/>
      <c r="AI40" s="217"/>
      <c r="AJ40" s="213"/>
    </row>
    <row r="41" spans="1:36" ht="33.75" customHeight="1">
      <c r="A41" s="213"/>
      <c r="B41" s="214">
        <f ca="1">IFERROR(__xludf.DUMMYFUNCTION("""COMPUTED_VALUE"""),2823195)</f>
        <v>2823195</v>
      </c>
      <c r="C41" s="215" t="str">
        <f ca="1">IFERROR(__xludf.DUMMYFUNCTION("""COMPUTED_VALUE"""),"Beginner")</f>
        <v>Beginner</v>
      </c>
      <c r="D41" s="216" t="str">
        <f ca="1">IFERROR(__xludf.DUMMYFUNCTION("""COMPUTED_VALUE"""),"Teamwork Foundations")</f>
        <v>Teamwork Foundations</v>
      </c>
      <c r="E41" s="217"/>
      <c r="F41" s="213"/>
      <c r="G41" s="214">
        <f ca="1">IFERROR(__xludf.DUMMYFUNCTION("""COMPUTED_VALUE"""),2866078)</f>
        <v>2866078</v>
      </c>
      <c r="H41" s="215" t="str">
        <f ca="1">IFERROR(__xludf.DUMMYFUNCTION("""COMPUTED_VALUE"""),"All levels")</f>
        <v>All levels</v>
      </c>
      <c r="I41" s="217" t="str">
        <f ca="1">IFERROR(__xludf.DUMMYFUNCTION("""COMPUTED_VALUE"""),"Travailler et collaborer en ligne")</f>
        <v>Travailler et collaborer en ligne</v>
      </c>
      <c r="J41" s="217"/>
      <c r="K41" s="213"/>
      <c r="L41" s="215"/>
      <c r="M41" s="215"/>
      <c r="N41" s="217"/>
      <c r="O41" s="217"/>
      <c r="P41" s="213"/>
      <c r="Q41" s="215">
        <f ca="1">IFERROR(__xludf.DUMMYFUNCTION("""COMPUTED_VALUE"""),2839064)</f>
        <v>2839064</v>
      </c>
      <c r="R41" s="215" t="str">
        <f ca="1">IFERROR(__xludf.DUMMYFUNCTION("""COMPUTED_VALUE"""),"Intermediate")</f>
        <v>Intermediate</v>
      </c>
      <c r="S41" s="217" t="str">
        <f ca="1">IFERROR(__xludf.DUMMYFUNCTION("""COMPUTED_VALUE"""),"Premiere Pro: Cloud- und netzwerkbasierte Teamarbeit mit ""Produktion"" und Team Projects")</f>
        <v>Premiere Pro: Cloud- und netzwerkbasierte Teamarbeit mit "Produktion" und Team Projects</v>
      </c>
      <c r="T41" s="217"/>
      <c r="U41" s="213"/>
      <c r="V41" s="215"/>
      <c r="W41" s="215"/>
      <c r="X41" s="217"/>
      <c r="Y41" s="217"/>
      <c r="Z41" s="213"/>
      <c r="AA41" s="215"/>
      <c r="AB41" s="215"/>
      <c r="AC41" s="217"/>
      <c r="AD41" s="217"/>
      <c r="AE41" s="213"/>
      <c r="AF41" s="215"/>
      <c r="AG41" s="215"/>
      <c r="AH41" s="217"/>
      <c r="AI41" s="217"/>
      <c r="AJ41" s="213"/>
    </row>
    <row r="42" spans="1:36" ht="33.75" customHeight="1">
      <c r="A42" s="213"/>
      <c r="B42" s="214">
        <f ca="1">IFERROR(__xludf.DUMMYFUNCTION("""COMPUTED_VALUE"""),2848272)</f>
        <v>2848272</v>
      </c>
      <c r="C42" s="215" t="str">
        <f ca="1">IFERROR(__xludf.DUMMYFUNCTION("""COMPUTED_VALUE"""),"Beginner")</f>
        <v>Beginner</v>
      </c>
      <c r="D42" s="216" t="str">
        <f ca="1">IFERROR(__xludf.DUMMYFUNCTION("""COMPUTED_VALUE"""),"Inclusive Mindset for Committed Allies")</f>
        <v>Inclusive Mindset for Committed Allies</v>
      </c>
      <c r="E42" s="217"/>
      <c r="F42" s="213"/>
      <c r="G42" s="214"/>
      <c r="H42" s="215"/>
      <c r="I42" s="217"/>
      <c r="J42" s="217"/>
      <c r="K42" s="213"/>
      <c r="L42" s="215"/>
      <c r="M42" s="215"/>
      <c r="N42" s="217"/>
      <c r="O42" s="217"/>
      <c r="P42" s="213"/>
      <c r="Q42" s="215">
        <f ca="1">IFERROR(__xludf.DUMMYFUNCTION("""COMPUTED_VALUE"""),654662)</f>
        <v>654662</v>
      </c>
      <c r="R42" s="215" t="str">
        <f ca="1">IFERROR(__xludf.DUMMYFUNCTION("""COMPUTED_VALUE"""),"All levels")</f>
        <v>All levels</v>
      </c>
      <c r="S42" s="217" t="str">
        <f ca="1">IFERROR(__xludf.DUMMYFUNCTION("""COMPUTED_VALUE"""),"Professionell netzwerken")</f>
        <v>Professionell netzwerken</v>
      </c>
      <c r="T42" s="217"/>
      <c r="U42" s="213"/>
      <c r="V42" s="215"/>
      <c r="W42" s="215"/>
      <c r="X42" s="217"/>
      <c r="Y42" s="217"/>
      <c r="Z42" s="213"/>
      <c r="AA42" s="215"/>
      <c r="AB42" s="215"/>
      <c r="AC42" s="217"/>
      <c r="AD42" s="217"/>
      <c r="AE42" s="213"/>
      <c r="AF42" s="215"/>
      <c r="AG42" s="215"/>
      <c r="AH42" s="217"/>
      <c r="AI42" s="217"/>
      <c r="AJ42" s="213"/>
    </row>
    <row r="43" spans="1:36" ht="33.75" customHeight="1">
      <c r="A43" s="213"/>
      <c r="B43" s="214">
        <f ca="1">IFERROR(__xludf.DUMMYFUNCTION("""COMPUTED_VALUE"""),2848245)</f>
        <v>2848245</v>
      </c>
      <c r="C43" s="215" t="str">
        <f ca="1">IFERROR(__xludf.DUMMYFUNCTION("""COMPUTED_VALUE"""),"Beginner")</f>
        <v>Beginner</v>
      </c>
      <c r="D43" s="216" t="str">
        <f ca="1">IFERROR(__xludf.DUMMYFUNCTION("""COMPUTED_VALUE"""),"Leveraging Your Relationship Capital")</f>
        <v>Leveraging Your Relationship Capital</v>
      </c>
      <c r="E43" s="217"/>
      <c r="F43" s="213"/>
      <c r="G43" s="214"/>
      <c r="H43" s="215"/>
      <c r="I43" s="217"/>
      <c r="J43" s="217"/>
      <c r="K43" s="213"/>
      <c r="L43" s="215"/>
      <c r="M43" s="215"/>
      <c r="N43" s="217"/>
      <c r="O43" s="217"/>
      <c r="P43" s="213"/>
      <c r="Q43" s="215">
        <f ca="1">IFERROR(__xludf.DUMMYFUNCTION("""COMPUTED_VALUE"""),2802356)</f>
        <v>2802356</v>
      </c>
      <c r="R43" s="215" t="str">
        <f ca="1">IFERROR(__xludf.DUMMYFUNCTION("""COMPUTED_VALUE"""),"Intermediate")</f>
        <v>Intermediate</v>
      </c>
      <c r="S43" s="217" t="str">
        <f ca="1">IFERROR(__xludf.DUMMYFUNCTION("""COMPUTED_VALUE"""),"Projektmanagement: Ethik und Compliance")</f>
        <v>Projektmanagement: Ethik und Compliance</v>
      </c>
      <c r="T43" s="217"/>
      <c r="U43" s="213"/>
      <c r="V43" s="215"/>
      <c r="W43" s="215"/>
      <c r="X43" s="217"/>
      <c r="Y43" s="217"/>
      <c r="Z43" s="213"/>
      <c r="AA43" s="215"/>
      <c r="AB43" s="215"/>
      <c r="AC43" s="217"/>
      <c r="AD43" s="217"/>
      <c r="AE43" s="213"/>
      <c r="AF43" s="215"/>
      <c r="AG43" s="215"/>
      <c r="AH43" s="217"/>
      <c r="AI43" s="217"/>
      <c r="AJ43" s="213"/>
    </row>
    <row r="44" spans="1:36" ht="33.75" customHeight="1">
      <c r="A44" s="213"/>
      <c r="B44" s="214">
        <f ca="1">IFERROR(__xludf.DUMMYFUNCTION("""COMPUTED_VALUE"""),2848243)</f>
        <v>2848243</v>
      </c>
      <c r="C44" s="215" t="str">
        <f ca="1">IFERROR(__xludf.DUMMYFUNCTION("""COMPUTED_VALUE"""),"Beginner")</f>
        <v>Beginner</v>
      </c>
      <c r="D44" s="216" t="str">
        <f ca="1">IFERROR(__xludf.DUMMYFUNCTION("""COMPUTED_VALUE"""),"The Ultimate Guide to Professional Networking")</f>
        <v>The Ultimate Guide to Professional Networking</v>
      </c>
      <c r="E44" s="217"/>
      <c r="F44" s="213"/>
      <c r="G44" s="214"/>
      <c r="H44" s="215"/>
      <c r="I44" s="217"/>
      <c r="J44" s="217"/>
      <c r="K44" s="213"/>
      <c r="L44" s="215"/>
      <c r="M44" s="215"/>
      <c r="N44" s="217"/>
      <c r="O44" s="217"/>
      <c r="P44" s="213"/>
      <c r="Q44" s="215">
        <f ca="1">IFERROR(__xludf.DUMMYFUNCTION("""COMPUTED_VALUE"""),559538)</f>
        <v>559538</v>
      </c>
      <c r="R44" s="215" t="str">
        <f ca="1">IFERROR(__xludf.DUMMYFUNCTION("""COMPUTED_VALUE"""),"Beginner")</f>
        <v>Beginner</v>
      </c>
      <c r="S44" s="217" t="str">
        <f ca="1">IFERROR(__xludf.DUMMYFUNCTION("""COMPUTED_VALUE"""),"Projektmanagement: Team, Führung, Zusammenarbeit")</f>
        <v>Projektmanagement: Team, Führung, Zusammenarbeit</v>
      </c>
      <c r="T44" s="217"/>
      <c r="U44" s="213"/>
      <c r="V44" s="215"/>
      <c r="W44" s="215"/>
      <c r="X44" s="217"/>
      <c r="Y44" s="217"/>
      <c r="Z44" s="213"/>
      <c r="AA44" s="215"/>
      <c r="AB44" s="215"/>
      <c r="AC44" s="217"/>
      <c r="AD44" s="217"/>
      <c r="AE44" s="213"/>
      <c r="AF44" s="215"/>
      <c r="AG44" s="215"/>
      <c r="AH44" s="217"/>
      <c r="AI44" s="217"/>
      <c r="AJ44" s="213"/>
    </row>
    <row r="45" spans="1:36" ht="33.75" customHeight="1">
      <c r="A45" s="213"/>
      <c r="B45" s="214">
        <f ca="1">IFERROR(__xludf.DUMMYFUNCTION("""COMPUTED_VALUE"""),2849194)</f>
        <v>2849194</v>
      </c>
      <c r="C45" s="215" t="str">
        <f ca="1">IFERROR(__xludf.DUMMYFUNCTION("""COMPUTED_VALUE"""),"Beginner")</f>
        <v>Beginner</v>
      </c>
      <c r="D45" s="216" t="str">
        <f ca="1">IFERROR(__xludf.DUMMYFUNCTION("""COMPUTED_VALUE"""),"21 Opportunities for Better Networking")</f>
        <v>21 Opportunities for Better Networking</v>
      </c>
      <c r="E45" s="217"/>
      <c r="F45" s="213"/>
      <c r="G45" s="214"/>
      <c r="H45" s="215"/>
      <c r="I45" s="217"/>
      <c r="J45" s="217"/>
      <c r="K45" s="213"/>
      <c r="L45" s="215"/>
      <c r="M45" s="215"/>
      <c r="N45" s="217"/>
      <c r="O45" s="217"/>
      <c r="P45" s="213"/>
      <c r="Q45" s="215">
        <f ca="1">IFERROR(__xludf.DUMMYFUNCTION("""COMPUTED_VALUE"""),761012)</f>
        <v>761012</v>
      </c>
      <c r="R45" s="215" t="str">
        <f ca="1">IFERROR(__xludf.DUMMYFUNCTION("""COMPUTED_VALUE"""),"Intermediate")</f>
        <v>Intermediate</v>
      </c>
      <c r="S45" s="217" t="str">
        <f ca="1">IFERROR(__xludf.DUMMYFUNCTION("""COMPUTED_VALUE"""),"Servant Leadership – Dienende Führung")</f>
        <v>Servant Leadership – Dienende Führung</v>
      </c>
      <c r="T45" s="217"/>
      <c r="U45" s="213"/>
      <c r="V45" s="215"/>
      <c r="W45" s="215"/>
      <c r="X45" s="217"/>
      <c r="Y45" s="217"/>
      <c r="Z45" s="213"/>
      <c r="AA45" s="215"/>
      <c r="AB45" s="215"/>
      <c r="AC45" s="217"/>
      <c r="AD45" s="217"/>
      <c r="AE45" s="213"/>
      <c r="AF45" s="215"/>
      <c r="AG45" s="215"/>
      <c r="AH45" s="217"/>
      <c r="AI45" s="217"/>
      <c r="AJ45" s="213"/>
    </row>
    <row r="46" spans="1:36" ht="33.75" customHeight="1">
      <c r="A46" s="213"/>
      <c r="B46" s="214">
        <f ca="1">IFERROR(__xludf.DUMMYFUNCTION("""COMPUTED_VALUE"""),2887217)</f>
        <v>2887217</v>
      </c>
      <c r="C46" s="215" t="str">
        <f ca="1">IFERROR(__xludf.DUMMYFUNCTION("""COMPUTED_VALUE"""),"Beginner")</f>
        <v>Beginner</v>
      </c>
      <c r="D46" s="216" t="str">
        <f ca="1">IFERROR(__xludf.DUMMYFUNCTION("""COMPUTED_VALUE"""),"Embracing Conflict as a Gift")</f>
        <v>Embracing Conflict as a Gift</v>
      </c>
      <c r="E46" s="217"/>
      <c r="F46" s="213"/>
      <c r="G46" s="214"/>
      <c r="H46" s="215"/>
      <c r="I46" s="217"/>
      <c r="J46" s="217"/>
      <c r="K46" s="213"/>
      <c r="L46" s="215"/>
      <c r="M46" s="215"/>
      <c r="N46" s="217"/>
      <c r="O46" s="217"/>
      <c r="P46" s="213"/>
      <c r="Q46" s="215">
        <f ca="1">IFERROR(__xludf.DUMMYFUNCTION("""COMPUTED_VALUE"""),782157)</f>
        <v>782157</v>
      </c>
      <c r="R46" s="215" t="str">
        <f ca="1">IFERROR(__xludf.DUMMYFUNCTION("""COMPUTED_VALUE"""),"Beginner")</f>
        <v>Beginner</v>
      </c>
      <c r="S46" s="217" t="str">
        <f ca="1">IFERROR(__xludf.DUMMYFUNCTION("""COMPUTED_VALUE"""),"SharePoint 2019 Grundkurs")</f>
        <v>SharePoint 2019 Grundkurs</v>
      </c>
      <c r="T46" s="217"/>
      <c r="U46" s="213"/>
      <c r="V46" s="215"/>
      <c r="W46" s="215"/>
      <c r="X46" s="217"/>
      <c r="Y46" s="217"/>
      <c r="Z46" s="213"/>
      <c r="AA46" s="215"/>
      <c r="AB46" s="215"/>
      <c r="AC46" s="217"/>
      <c r="AD46" s="217"/>
      <c r="AE46" s="213"/>
      <c r="AF46" s="215"/>
      <c r="AG46" s="215"/>
      <c r="AH46" s="217"/>
      <c r="AI46" s="217"/>
      <c r="AJ46" s="213"/>
    </row>
    <row r="47" spans="1:36" ht="33.75" customHeight="1">
      <c r="A47" s="213"/>
      <c r="B47" s="214">
        <f ca="1">IFERROR(__xludf.DUMMYFUNCTION("""COMPUTED_VALUE"""),3152728)</f>
        <v>3152728</v>
      </c>
      <c r="C47" s="215" t="str">
        <f ca="1">IFERROR(__xludf.DUMMYFUNCTION("""COMPUTED_VALUE"""),"Beginner")</f>
        <v>Beginner</v>
      </c>
      <c r="D47" s="216" t="str">
        <f ca="1">IFERROR(__xludf.DUMMYFUNCTION("""COMPUTED_VALUE"""),"Mindful Team Building")</f>
        <v>Mindful Team Building</v>
      </c>
      <c r="E47" s="217"/>
      <c r="F47" s="213"/>
      <c r="G47" s="214"/>
      <c r="H47" s="215"/>
      <c r="I47" s="217"/>
      <c r="J47" s="217"/>
      <c r="K47" s="213"/>
      <c r="L47" s="215"/>
      <c r="M47" s="215"/>
      <c r="N47" s="217"/>
      <c r="O47" s="217"/>
      <c r="P47" s="213"/>
      <c r="Q47" s="215">
        <f ca="1">IFERROR(__xludf.DUMMYFUNCTION("""COMPUTED_VALUE"""),5025663)</f>
        <v>5025663</v>
      </c>
      <c r="R47" s="215" t="str">
        <f ca="1">IFERROR(__xludf.DUMMYFUNCTION("""COMPUTED_VALUE"""),"Intermediate")</f>
        <v>Intermediate</v>
      </c>
      <c r="S47" s="217" t="str">
        <f ca="1">IFERROR(__xludf.DUMMYFUNCTION("""COMPUTED_VALUE"""),"SharePoint Online für Power User")</f>
        <v>SharePoint Online für Power User</v>
      </c>
      <c r="T47" s="217"/>
      <c r="U47" s="213"/>
      <c r="V47" s="215"/>
      <c r="W47" s="215"/>
      <c r="X47" s="217"/>
      <c r="Y47" s="217"/>
      <c r="Z47" s="213"/>
      <c r="AA47" s="215"/>
      <c r="AB47" s="215"/>
      <c r="AC47" s="217"/>
      <c r="AD47" s="217"/>
      <c r="AE47" s="213"/>
      <c r="AF47" s="215"/>
      <c r="AG47" s="215"/>
      <c r="AH47" s="217"/>
      <c r="AI47" s="217"/>
      <c r="AJ47" s="213"/>
    </row>
    <row r="48" spans="1:36" ht="33.75" customHeight="1">
      <c r="A48" s="213"/>
      <c r="B48" s="214">
        <f ca="1">IFERROR(__xludf.DUMMYFUNCTION("""COMPUTED_VALUE"""),2427504)</f>
        <v>2427504</v>
      </c>
      <c r="C48" s="215" t="str">
        <f ca="1">IFERROR(__xludf.DUMMYFUNCTION("""COMPUTED_VALUE"""),"Beginner")</f>
        <v>Beginner</v>
      </c>
      <c r="D48" s="216" t="str">
        <f ca="1">IFERROR(__xludf.DUMMYFUNCTION("""COMPUTED_VALUE"""),"The Value of Employee Resource Groups")</f>
        <v>The Value of Employee Resource Groups</v>
      </c>
      <c r="E48" s="217"/>
      <c r="F48" s="213"/>
      <c r="G48" s="214"/>
      <c r="H48" s="215"/>
      <c r="I48" s="217"/>
      <c r="J48" s="217"/>
      <c r="K48" s="213"/>
      <c r="L48" s="215"/>
      <c r="M48" s="215"/>
      <c r="N48" s="217"/>
      <c r="O48" s="217"/>
      <c r="P48" s="213"/>
      <c r="Q48" s="215">
        <f ca="1">IFERROR(__xludf.DUMMYFUNCTION("""COMPUTED_VALUE"""),782156)</f>
        <v>782156</v>
      </c>
      <c r="R48" s="215" t="str">
        <f ca="1">IFERROR(__xludf.DUMMYFUNCTION("""COMPUTED_VALUE"""),"Beginner, Intermediate")</f>
        <v>Beginner, Intermediate</v>
      </c>
      <c r="S48" s="217" t="str">
        <f ca="1">IFERROR(__xludf.DUMMYFUNCTION("""COMPUTED_VALUE"""),"SharePoint Online Grundkurs (Office 365/Microsoft 365)")</f>
        <v>SharePoint Online Grundkurs (Office 365/Microsoft 365)</v>
      </c>
      <c r="T48" s="217"/>
      <c r="U48" s="213"/>
      <c r="V48" s="215"/>
      <c r="W48" s="215"/>
      <c r="X48" s="217"/>
      <c r="Y48" s="217"/>
      <c r="Z48" s="213"/>
      <c r="AA48" s="215"/>
      <c r="AB48" s="215"/>
      <c r="AC48" s="217"/>
      <c r="AD48" s="217"/>
      <c r="AE48" s="213"/>
      <c r="AF48" s="215"/>
      <c r="AG48" s="215"/>
      <c r="AH48" s="217"/>
      <c r="AI48" s="217"/>
      <c r="AJ48" s="213"/>
    </row>
    <row r="49" spans="1:36" ht="33.75" customHeight="1">
      <c r="A49" s="213"/>
      <c r="B49" s="214">
        <f ca="1">IFERROR(__xludf.DUMMYFUNCTION("""COMPUTED_VALUE"""),3006558)</f>
        <v>3006558</v>
      </c>
      <c r="C49" s="215" t="str">
        <f ca="1">IFERROR(__xludf.DUMMYFUNCTION("""COMPUTED_VALUE"""),"Beginner")</f>
        <v>Beginner</v>
      </c>
      <c r="D49" s="216" t="str">
        <f ca="1">IFERROR(__xludf.DUMMYFUNCTION("""COMPUTED_VALUE"""),"Connecting and Collaborating in a Virtual or Hybrid Workplace")</f>
        <v>Connecting and Collaborating in a Virtual or Hybrid Workplace</v>
      </c>
      <c r="E49" s="217"/>
      <c r="F49" s="213"/>
      <c r="G49" s="214"/>
      <c r="H49" s="215"/>
      <c r="I49" s="217"/>
      <c r="J49" s="217"/>
      <c r="K49" s="213"/>
      <c r="L49" s="215"/>
      <c r="M49" s="215"/>
      <c r="N49" s="217"/>
      <c r="O49" s="217"/>
      <c r="P49" s="213"/>
      <c r="Q49" s="215">
        <f ca="1">IFERROR(__xludf.DUMMYFUNCTION("""COMPUTED_VALUE"""),195408)</f>
        <v>195408</v>
      </c>
      <c r="R49" s="215" t="str">
        <f ca="1">IFERROR(__xludf.DUMMYFUNCTION("""COMPUTED_VALUE"""),"All levels")</f>
        <v>All levels</v>
      </c>
      <c r="S49" s="217" t="str">
        <f ca="1">IFERROR(__xludf.DUMMYFUNCTION("""COMPUTED_VALUE"""),"Sich und andere besser verstehen")</f>
        <v>Sich und andere besser verstehen</v>
      </c>
      <c r="T49" s="217"/>
      <c r="U49" s="213"/>
      <c r="V49" s="215"/>
      <c r="W49" s="215"/>
      <c r="X49" s="217"/>
      <c r="Y49" s="217"/>
      <c r="Z49" s="213"/>
      <c r="AA49" s="215"/>
      <c r="AB49" s="215"/>
      <c r="AC49" s="217"/>
      <c r="AD49" s="217"/>
      <c r="AE49" s="213"/>
      <c r="AF49" s="215"/>
      <c r="AG49" s="215"/>
      <c r="AH49" s="217"/>
      <c r="AI49" s="217"/>
      <c r="AJ49" s="213"/>
    </row>
    <row r="50" spans="1:36" ht="33.75" customHeight="1">
      <c r="A50" s="213"/>
      <c r="B50" s="214">
        <f ca="1">IFERROR(__xludf.DUMMYFUNCTION("""COMPUTED_VALUE"""),2818078)</f>
        <v>2818078</v>
      </c>
      <c r="C50" s="215" t="str">
        <f ca="1">IFERROR(__xludf.DUMMYFUNCTION("""COMPUTED_VALUE"""),"Beginner + Intermediate")</f>
        <v>Beginner + Intermediate</v>
      </c>
      <c r="D50" s="216" t="str">
        <f ca="1">IFERROR(__xludf.DUMMYFUNCTION("""COMPUTED_VALUE"""),"How to Work with a Micromanager")</f>
        <v>How to Work with a Micromanager</v>
      </c>
      <c r="E50" s="217"/>
      <c r="F50" s="213"/>
      <c r="G50" s="214"/>
      <c r="H50" s="215"/>
      <c r="I50" s="217"/>
      <c r="J50" s="217"/>
      <c r="K50" s="213"/>
      <c r="L50" s="215"/>
      <c r="M50" s="215"/>
      <c r="N50" s="217"/>
      <c r="O50" s="217"/>
      <c r="P50" s="213"/>
      <c r="Q50" s="215">
        <f ca="1">IFERROR(__xludf.DUMMYFUNCTION("""COMPUTED_VALUE"""),2449260)</f>
        <v>2449260</v>
      </c>
      <c r="R50" s="215" t="str">
        <f ca="1">IFERROR(__xludf.DUMMYFUNCTION("""COMPUTED_VALUE"""),"All levels")</f>
        <v>All levels</v>
      </c>
      <c r="S50" s="217" t="str">
        <f ca="1">IFERROR(__xludf.DUMMYFUNCTION("""COMPUTED_VALUE"""),"Vertrauen aufbauen, aufrechterhalten und wiederherstellen")</f>
        <v>Vertrauen aufbauen, aufrechterhalten und wiederherstellen</v>
      </c>
      <c r="T50" s="217"/>
      <c r="U50" s="213"/>
      <c r="V50" s="215"/>
      <c r="W50" s="215"/>
      <c r="X50" s="217"/>
      <c r="Y50" s="217"/>
      <c r="Z50" s="213"/>
      <c r="AA50" s="215"/>
      <c r="AB50" s="215"/>
      <c r="AC50" s="217"/>
      <c r="AD50" s="217"/>
      <c r="AE50" s="213"/>
      <c r="AF50" s="215"/>
      <c r="AG50" s="215"/>
      <c r="AH50" s="217"/>
      <c r="AI50" s="217"/>
      <c r="AJ50" s="213"/>
    </row>
    <row r="51" spans="1:36" ht="33.75" customHeight="1">
      <c r="A51" s="213"/>
      <c r="B51" s="214">
        <f ca="1">IFERROR(__xludf.DUMMYFUNCTION("""COMPUTED_VALUE"""),2823321)</f>
        <v>2823321</v>
      </c>
      <c r="C51" s="215" t="str">
        <f ca="1">IFERROR(__xludf.DUMMYFUNCTION("""COMPUTED_VALUE"""),"Beginner + Intermediate")</f>
        <v>Beginner + Intermediate</v>
      </c>
      <c r="D51" s="216" t="str">
        <f ca="1">IFERROR(__xludf.DUMMYFUNCTION("""COMPUTED_VALUE"""),"Communicating with Transparency")</f>
        <v>Communicating with Transparency</v>
      </c>
      <c r="E51" s="217"/>
      <c r="F51" s="213"/>
      <c r="G51" s="214"/>
      <c r="H51" s="215"/>
      <c r="I51" s="217"/>
      <c r="J51" s="217"/>
      <c r="K51" s="213"/>
      <c r="L51" s="215"/>
      <c r="M51" s="215"/>
      <c r="N51" s="217"/>
      <c r="O51" s="217"/>
      <c r="P51" s="213"/>
      <c r="Q51" s="215">
        <f ca="1">IFERROR(__xludf.DUMMYFUNCTION("""COMPUTED_VALUE"""),641774)</f>
        <v>641774</v>
      </c>
      <c r="R51" s="215" t="str">
        <f ca="1">IFERROR(__xludf.DUMMYFUNCTION("""COMPUTED_VALUE"""),"Intermediate")</f>
        <v>Intermediate</v>
      </c>
      <c r="S51" s="217" t="str">
        <f ca="1">IFERROR(__xludf.DUMMYFUNCTION("""COMPUTED_VALUE"""),"Werteorientiertes Management")</f>
        <v>Werteorientiertes Management</v>
      </c>
      <c r="T51" s="217"/>
      <c r="U51" s="213"/>
      <c r="V51" s="215"/>
      <c r="W51" s="215"/>
      <c r="X51" s="217"/>
      <c r="Y51" s="217"/>
      <c r="Z51" s="213"/>
      <c r="AA51" s="215"/>
      <c r="AB51" s="215"/>
      <c r="AC51" s="217"/>
      <c r="AD51" s="217"/>
      <c r="AE51" s="213"/>
      <c r="AF51" s="215"/>
      <c r="AG51" s="215"/>
      <c r="AH51" s="217"/>
      <c r="AI51" s="217"/>
      <c r="AJ51" s="213"/>
    </row>
    <row r="52" spans="1:36" ht="33.75" customHeight="1">
      <c r="A52" s="213"/>
      <c r="B52" s="214">
        <f ca="1">IFERROR(__xludf.DUMMYFUNCTION("""COMPUTED_VALUE"""),709833)</f>
        <v>709833</v>
      </c>
      <c r="C52" s="215" t="str">
        <f ca="1">IFERROR(__xludf.DUMMYFUNCTION("""COMPUTED_VALUE"""),"Beginner + Intermediate")</f>
        <v>Beginner + Intermediate</v>
      </c>
      <c r="D52" s="216" t="str">
        <f ca="1">IFERROR(__xludf.DUMMYFUNCTION("""COMPUTED_VALUE"""),"Being an Effective Team Member")</f>
        <v>Being an Effective Team Member</v>
      </c>
      <c r="E52" s="217"/>
      <c r="F52" s="213"/>
      <c r="G52" s="214"/>
      <c r="H52" s="215"/>
      <c r="I52" s="217"/>
      <c r="J52" s="217"/>
      <c r="K52" s="213"/>
      <c r="L52" s="215"/>
      <c r="M52" s="215"/>
      <c r="N52" s="217"/>
      <c r="O52" s="217"/>
      <c r="P52" s="213"/>
      <c r="Q52" s="215">
        <f ca="1">IFERROR(__xludf.DUMMYFUNCTION("""COMPUTED_VALUE"""),3206018)</f>
        <v>3206018</v>
      </c>
      <c r="R52" s="215" t="str">
        <f ca="1">IFERROR(__xludf.DUMMYFUNCTION("""COMPUTED_VALUE"""),"All levels")</f>
        <v>All levels</v>
      </c>
      <c r="S52" s="217" t="str">
        <f ca="1">IFERROR(__xludf.DUMMYFUNCTION("""COMPUTED_VALUE"""),"Probleme konfliktfrei lösen mit Inspektor Columbo (Columbos Regeln®)")</f>
        <v>Probleme konfliktfrei lösen mit Inspektor Columbo (Columbos Regeln®)</v>
      </c>
      <c r="T52" s="217"/>
      <c r="U52" s="213"/>
      <c r="V52" s="215"/>
      <c r="W52" s="215"/>
      <c r="X52" s="217"/>
      <c r="Y52" s="217"/>
      <c r="Z52" s="213"/>
      <c r="AA52" s="215"/>
      <c r="AB52" s="215"/>
      <c r="AC52" s="217"/>
      <c r="AD52" s="217"/>
      <c r="AE52" s="213"/>
      <c r="AF52" s="215"/>
      <c r="AG52" s="215"/>
      <c r="AH52" s="217"/>
      <c r="AI52" s="217"/>
      <c r="AJ52" s="213"/>
    </row>
    <row r="53" spans="1:36" ht="33.75" customHeight="1">
      <c r="A53" s="213"/>
      <c r="B53" s="214">
        <f ca="1">IFERROR(__xludf.DUMMYFUNCTION("""COMPUTED_VALUE"""),700791)</f>
        <v>700791</v>
      </c>
      <c r="C53" s="215" t="str">
        <f ca="1">IFERROR(__xludf.DUMMYFUNCTION("""COMPUTED_VALUE"""),"Beginner + Intermediate")</f>
        <v>Beginner + Intermediate</v>
      </c>
      <c r="D53" s="216" t="str">
        <f ca="1">IFERROR(__xludf.DUMMYFUNCTION("""COMPUTED_VALUE"""),"Building Trust")</f>
        <v>Building Trust</v>
      </c>
      <c r="E53" s="217"/>
      <c r="F53" s="213"/>
      <c r="G53" s="214"/>
      <c r="H53" s="215"/>
      <c r="I53" s="217"/>
      <c r="J53" s="217"/>
      <c r="K53" s="213"/>
      <c r="L53" s="215"/>
      <c r="M53" s="215"/>
      <c r="N53" s="217"/>
      <c r="O53" s="217"/>
      <c r="P53" s="213"/>
      <c r="Q53" s="215"/>
      <c r="R53" s="215"/>
      <c r="S53" s="217"/>
      <c r="T53" s="217"/>
      <c r="U53" s="213"/>
      <c r="V53" s="215"/>
      <c r="W53" s="215"/>
      <c r="X53" s="217"/>
      <c r="Y53" s="217"/>
      <c r="Z53" s="213"/>
      <c r="AA53" s="215"/>
      <c r="AB53" s="215"/>
      <c r="AC53" s="217"/>
      <c r="AD53" s="217"/>
      <c r="AE53" s="213"/>
      <c r="AF53" s="215"/>
      <c r="AG53" s="215"/>
      <c r="AH53" s="217"/>
      <c r="AI53" s="217"/>
      <c r="AJ53" s="213"/>
    </row>
    <row r="54" spans="1:36" ht="33.75" customHeight="1">
      <c r="A54" s="213"/>
      <c r="B54" s="214">
        <f ca="1">IFERROR(__xludf.DUMMYFUNCTION("""COMPUTED_VALUE"""),622053)</f>
        <v>622053</v>
      </c>
      <c r="C54" s="215" t="str">
        <f ca="1">IFERROR(__xludf.DUMMYFUNCTION("""COMPUTED_VALUE"""),"Beginner + Intermediate")</f>
        <v>Beginner + Intermediate</v>
      </c>
      <c r="D54" s="216" t="str">
        <f ca="1">IFERROR(__xludf.DUMMYFUNCTION("""COMPUTED_VALUE"""),"Giving and Receiving Feedback")</f>
        <v>Giving and Receiving Feedback</v>
      </c>
      <c r="E54" s="217"/>
      <c r="F54" s="213"/>
      <c r="G54" s="214"/>
      <c r="H54" s="215"/>
      <c r="I54" s="217"/>
      <c r="J54" s="217"/>
      <c r="K54" s="213"/>
      <c r="L54" s="215"/>
      <c r="M54" s="215"/>
      <c r="N54" s="217"/>
      <c r="O54" s="217"/>
      <c r="P54" s="213"/>
      <c r="Q54" s="215"/>
      <c r="R54" s="215"/>
      <c r="S54" s="217"/>
      <c r="T54" s="217"/>
      <c r="U54" s="213"/>
      <c r="V54" s="215"/>
      <c r="W54" s="215"/>
      <c r="X54" s="217"/>
      <c r="Y54" s="217"/>
      <c r="Z54" s="213"/>
      <c r="AA54" s="215"/>
      <c r="AB54" s="215"/>
      <c r="AC54" s="217"/>
      <c r="AD54" s="217"/>
      <c r="AE54" s="213"/>
      <c r="AF54" s="215"/>
      <c r="AG54" s="215"/>
      <c r="AH54" s="217"/>
      <c r="AI54" s="217"/>
      <c r="AJ54" s="213"/>
    </row>
    <row r="55" spans="1:36" ht="33.75" customHeight="1">
      <c r="A55" s="213"/>
      <c r="B55" s="214">
        <f ca="1">IFERROR(__xludf.DUMMYFUNCTION("""COMPUTED_VALUE"""),653220)</f>
        <v>653220</v>
      </c>
      <c r="C55" s="215" t="str">
        <f ca="1">IFERROR(__xludf.DUMMYFUNCTION("""COMPUTED_VALUE"""),"Beginner + Intermediate")</f>
        <v>Beginner + Intermediate</v>
      </c>
      <c r="D55" s="216" t="str">
        <f ca="1">IFERROR(__xludf.DUMMYFUNCTION("""COMPUTED_VALUE"""),"Improving Your Listening Skills")</f>
        <v>Improving Your Listening Skills</v>
      </c>
      <c r="E55" s="217"/>
      <c r="F55" s="213"/>
      <c r="G55" s="214"/>
      <c r="H55" s="215"/>
      <c r="I55" s="217"/>
      <c r="J55" s="217"/>
      <c r="K55" s="213"/>
      <c r="L55" s="215"/>
      <c r="M55" s="215"/>
      <c r="N55" s="217"/>
      <c r="O55" s="217"/>
      <c r="P55" s="213"/>
      <c r="Q55" s="215"/>
      <c r="R55" s="215"/>
      <c r="S55" s="217"/>
      <c r="T55" s="217"/>
      <c r="U55" s="213"/>
      <c r="V55" s="215"/>
      <c r="W55" s="215"/>
      <c r="X55" s="217"/>
      <c r="Y55" s="217"/>
      <c r="Z55" s="213"/>
      <c r="AA55" s="215"/>
      <c r="AB55" s="215"/>
      <c r="AC55" s="217"/>
      <c r="AD55" s="217"/>
      <c r="AE55" s="213"/>
      <c r="AF55" s="215"/>
      <c r="AG55" s="215"/>
      <c r="AH55" s="217"/>
      <c r="AI55" s="217"/>
      <c r="AJ55" s="213"/>
    </row>
    <row r="56" spans="1:36" ht="33.75" customHeight="1">
      <c r="A56" s="213"/>
      <c r="B56" s="214">
        <f ca="1">IFERROR(__xludf.DUMMYFUNCTION("""COMPUTED_VALUE"""),2886252)</f>
        <v>2886252</v>
      </c>
      <c r="C56" s="215" t="str">
        <f ca="1">IFERROR(__xludf.DUMMYFUNCTION("""COMPUTED_VALUE"""),"Beginner + Intermediate")</f>
        <v>Beginner + Intermediate</v>
      </c>
      <c r="D56" s="216" t="str">
        <f ca="1">IFERROR(__xludf.DUMMYFUNCTION("""COMPUTED_VALUE"""),"Microsoft Viva First Look")</f>
        <v>Microsoft Viva First Look</v>
      </c>
      <c r="E56" s="217"/>
      <c r="F56" s="213"/>
      <c r="G56" s="214"/>
      <c r="H56" s="215"/>
      <c r="I56" s="217"/>
      <c r="J56" s="217"/>
      <c r="K56" s="213"/>
      <c r="L56" s="215"/>
      <c r="M56" s="215"/>
      <c r="N56" s="217"/>
      <c r="O56" s="217"/>
      <c r="P56" s="213"/>
      <c r="Q56" s="215"/>
      <c r="R56" s="215"/>
      <c r="S56" s="217"/>
      <c r="T56" s="217"/>
      <c r="U56" s="213"/>
      <c r="V56" s="215"/>
      <c r="W56" s="215"/>
      <c r="X56" s="217"/>
      <c r="Y56" s="217"/>
      <c r="Z56" s="213"/>
      <c r="AA56" s="215"/>
      <c r="AB56" s="215"/>
      <c r="AC56" s="217"/>
      <c r="AD56" s="217"/>
      <c r="AE56" s="213"/>
      <c r="AF56" s="215"/>
      <c r="AG56" s="215"/>
      <c r="AH56" s="217"/>
      <c r="AI56" s="217"/>
      <c r="AJ56" s="213"/>
    </row>
    <row r="57" spans="1:36" ht="33.75" customHeight="1">
      <c r="A57" s="213"/>
      <c r="B57" s="214">
        <f ca="1">IFERROR(__xludf.DUMMYFUNCTION("""COMPUTED_VALUE"""),2425359)</f>
        <v>2425359</v>
      </c>
      <c r="C57" s="215" t="str">
        <f ca="1">IFERROR(__xludf.DUMMYFUNCTION("""COMPUTED_VALUE"""),"General")</f>
        <v>General</v>
      </c>
      <c r="D57" s="216" t="str">
        <f ca="1">IFERROR(__xludf.DUMMYFUNCTION("""COMPUTED_VALUE"""),"Learning to Say No with Confidence and Grace")</f>
        <v>Learning to Say No with Confidence and Grace</v>
      </c>
      <c r="E57" s="217"/>
      <c r="F57" s="213"/>
      <c r="G57" s="214"/>
      <c r="H57" s="215"/>
      <c r="I57" s="217"/>
      <c r="J57" s="217"/>
      <c r="K57" s="213"/>
      <c r="L57" s="215"/>
      <c r="M57" s="215"/>
      <c r="N57" s="217"/>
      <c r="O57" s="217"/>
      <c r="P57" s="213"/>
      <c r="Q57" s="215"/>
      <c r="R57" s="215"/>
      <c r="S57" s="217"/>
      <c r="T57" s="217"/>
      <c r="U57" s="213"/>
      <c r="V57" s="215"/>
      <c r="W57" s="215"/>
      <c r="X57" s="217"/>
      <c r="Y57" s="217"/>
      <c r="Z57" s="213"/>
      <c r="AA57" s="215"/>
      <c r="AB57" s="215"/>
      <c r="AC57" s="217"/>
      <c r="AD57" s="217"/>
      <c r="AE57" s="213"/>
      <c r="AF57" s="215"/>
      <c r="AG57" s="215"/>
      <c r="AH57" s="217"/>
      <c r="AI57" s="217"/>
      <c r="AJ57" s="213"/>
    </row>
    <row r="58" spans="1:36" ht="33.75" customHeight="1">
      <c r="A58" s="213"/>
      <c r="B58" s="214">
        <f ca="1">IFERROR(__xludf.DUMMYFUNCTION("""COMPUTED_VALUE"""),176760)</f>
        <v>176760</v>
      </c>
      <c r="C58" s="215" t="str">
        <f ca="1">IFERROR(__xludf.DUMMYFUNCTION("""COMPUTED_VALUE"""),"General")</f>
        <v>General</v>
      </c>
      <c r="D58" s="216" t="str">
        <f ca="1">IFERROR(__xludf.DUMMYFUNCTION("""COMPUTED_VALUE"""),"Effective Listening")</f>
        <v>Effective Listening</v>
      </c>
      <c r="E58" s="217"/>
      <c r="F58" s="213"/>
      <c r="G58" s="214"/>
      <c r="H58" s="215"/>
      <c r="I58" s="217"/>
      <c r="J58" s="217"/>
      <c r="K58" s="213"/>
      <c r="L58" s="215"/>
      <c r="M58" s="215"/>
      <c r="N58" s="217"/>
      <c r="O58" s="217"/>
      <c r="P58" s="213"/>
      <c r="Q58" s="215"/>
      <c r="R58" s="215"/>
      <c r="S58" s="217"/>
      <c r="T58" s="217"/>
      <c r="U58" s="213"/>
      <c r="V58" s="215"/>
      <c r="W58" s="215"/>
      <c r="X58" s="217"/>
      <c r="Y58" s="217"/>
      <c r="Z58" s="213"/>
      <c r="AA58" s="215"/>
      <c r="AB58" s="215"/>
      <c r="AC58" s="217"/>
      <c r="AD58" s="217"/>
      <c r="AE58" s="213"/>
      <c r="AF58" s="215"/>
      <c r="AG58" s="215"/>
      <c r="AH58" s="217"/>
      <c r="AI58" s="217"/>
      <c r="AJ58" s="213"/>
    </row>
    <row r="59" spans="1:36" ht="33.75" customHeight="1">
      <c r="A59" s="213"/>
      <c r="B59" s="214">
        <f ca="1">IFERROR(__xludf.DUMMYFUNCTION("""COMPUTED_VALUE"""),570965)</f>
        <v>570965</v>
      </c>
      <c r="C59" s="215" t="str">
        <f ca="1">IFERROR(__xludf.DUMMYFUNCTION("""COMPUTED_VALUE"""),"General")</f>
        <v>General</v>
      </c>
      <c r="D59" s="216" t="str">
        <f ca="1">IFERROR(__xludf.DUMMYFUNCTION("""COMPUTED_VALUE"""),"Developing Your Professional Image")</f>
        <v>Developing Your Professional Image</v>
      </c>
      <c r="E59" s="217"/>
      <c r="F59" s="213"/>
      <c r="G59" s="214"/>
      <c r="H59" s="215"/>
      <c r="I59" s="217"/>
      <c r="J59" s="217"/>
      <c r="K59" s="213"/>
      <c r="L59" s="215"/>
      <c r="M59" s="215"/>
      <c r="N59" s="217"/>
      <c r="O59" s="217"/>
      <c r="P59" s="213"/>
      <c r="Q59" s="215"/>
      <c r="R59" s="215"/>
      <c r="S59" s="217"/>
      <c r="T59" s="217"/>
      <c r="U59" s="213"/>
      <c r="V59" s="215"/>
      <c r="W59" s="215"/>
      <c r="X59" s="217"/>
      <c r="Y59" s="217"/>
      <c r="Z59" s="213"/>
      <c r="AA59" s="215"/>
      <c r="AB59" s="215"/>
      <c r="AC59" s="217"/>
      <c r="AD59" s="217"/>
      <c r="AE59" s="213"/>
      <c r="AF59" s="215"/>
      <c r="AG59" s="215"/>
      <c r="AH59" s="217"/>
      <c r="AI59" s="217"/>
      <c r="AJ59" s="213"/>
    </row>
    <row r="60" spans="1:36" ht="33.75" customHeight="1">
      <c r="A60" s="213"/>
      <c r="B60" s="214">
        <f ca="1">IFERROR(__xludf.DUMMYFUNCTION("""COMPUTED_VALUE"""),466176)</f>
        <v>466176</v>
      </c>
      <c r="C60" s="215" t="str">
        <f ca="1">IFERROR(__xludf.DUMMYFUNCTION("""COMPUTED_VALUE"""),"General")</f>
        <v>General</v>
      </c>
      <c r="D60" s="216" t="str">
        <f ca="1">IFERROR(__xludf.DUMMYFUNCTION("""COMPUTED_VALUE"""),"Professional Networking")</f>
        <v>Professional Networking</v>
      </c>
      <c r="E60" s="217"/>
      <c r="F60" s="213"/>
      <c r="G60" s="214"/>
      <c r="H60" s="215"/>
      <c r="I60" s="217"/>
      <c r="J60" s="217"/>
      <c r="K60" s="213"/>
      <c r="L60" s="215"/>
      <c r="M60" s="215"/>
      <c r="N60" s="217"/>
      <c r="O60" s="217"/>
      <c r="P60" s="213"/>
      <c r="Q60" s="215"/>
      <c r="R60" s="215"/>
      <c r="S60" s="217"/>
      <c r="T60" s="217"/>
      <c r="U60" s="213"/>
      <c r="V60" s="215"/>
      <c r="W60" s="215"/>
      <c r="X60" s="217"/>
      <c r="Y60" s="217"/>
      <c r="Z60" s="213"/>
      <c r="AA60" s="215"/>
      <c r="AB60" s="215"/>
      <c r="AC60" s="217"/>
      <c r="AD60" s="217"/>
      <c r="AE60" s="213"/>
      <c r="AF60" s="215"/>
      <c r="AG60" s="215"/>
      <c r="AH60" s="217"/>
      <c r="AI60" s="217"/>
      <c r="AJ60" s="213"/>
    </row>
    <row r="61" spans="1:36" ht="33.75" customHeight="1">
      <c r="A61" s="213"/>
      <c r="B61" s="214">
        <f ca="1">IFERROR(__xludf.DUMMYFUNCTION("""COMPUTED_VALUE"""),2825258)</f>
        <v>2825258</v>
      </c>
      <c r="C61" s="215" t="str">
        <f ca="1">IFERROR(__xludf.DUMMYFUNCTION("""COMPUTED_VALUE"""),"General")</f>
        <v>General</v>
      </c>
      <c r="D61" s="216" t="str">
        <f ca="1">IFERROR(__xludf.DUMMYFUNCTION("""COMPUTED_VALUE"""),"Why Trust Matters with Rachel Botsman")</f>
        <v>Why Trust Matters with Rachel Botsman</v>
      </c>
      <c r="E61" s="217"/>
      <c r="F61" s="213"/>
      <c r="G61" s="214"/>
      <c r="H61" s="215"/>
      <c r="I61" s="217"/>
      <c r="J61" s="217"/>
      <c r="K61" s="213"/>
      <c r="L61" s="215"/>
      <c r="M61" s="215"/>
      <c r="N61" s="217"/>
      <c r="O61" s="217"/>
      <c r="P61" s="213"/>
      <c r="Q61" s="215"/>
      <c r="R61" s="215"/>
      <c r="S61" s="217"/>
      <c r="T61" s="217"/>
      <c r="U61" s="213"/>
      <c r="V61" s="215"/>
      <c r="W61" s="215"/>
      <c r="X61" s="217"/>
      <c r="Y61" s="217"/>
      <c r="Z61" s="213"/>
      <c r="AA61" s="215"/>
      <c r="AB61" s="215"/>
      <c r="AC61" s="217"/>
      <c r="AD61" s="217"/>
      <c r="AE61" s="213"/>
      <c r="AF61" s="215"/>
      <c r="AG61" s="215"/>
      <c r="AH61" s="217"/>
      <c r="AI61" s="217"/>
      <c r="AJ61" s="213"/>
    </row>
    <row r="62" spans="1:36" ht="33.75" customHeight="1">
      <c r="A62" s="213"/>
      <c r="B62" s="214">
        <f ca="1">IFERROR(__xludf.DUMMYFUNCTION("""COMPUTED_VALUE"""),2313156)</f>
        <v>2313156</v>
      </c>
      <c r="C62" s="215" t="str">
        <f ca="1">IFERROR(__xludf.DUMMYFUNCTION("""COMPUTED_VALUE"""),"General")</f>
        <v>General</v>
      </c>
      <c r="D62" s="216" t="str">
        <f ca="1">IFERROR(__xludf.DUMMYFUNCTION("""COMPUTED_VALUE"""),"Dealing with Grief, Loss, and Change as an Employee")</f>
        <v>Dealing with Grief, Loss, and Change as an Employee</v>
      </c>
      <c r="E62" s="217"/>
      <c r="F62" s="213"/>
      <c r="G62" s="214"/>
      <c r="H62" s="215"/>
      <c r="I62" s="217"/>
      <c r="J62" s="217"/>
      <c r="K62" s="213"/>
      <c r="L62" s="215"/>
      <c r="M62" s="215"/>
      <c r="N62" s="217"/>
      <c r="O62" s="217"/>
      <c r="P62" s="213"/>
      <c r="Q62" s="215"/>
      <c r="R62" s="215"/>
      <c r="S62" s="217"/>
      <c r="T62" s="217"/>
      <c r="U62" s="213"/>
      <c r="V62" s="215"/>
      <c r="W62" s="215"/>
      <c r="X62" s="217"/>
      <c r="Y62" s="217"/>
      <c r="Z62" s="213"/>
      <c r="AA62" s="215"/>
      <c r="AB62" s="215"/>
      <c r="AC62" s="217"/>
      <c r="AD62" s="217"/>
      <c r="AE62" s="213"/>
      <c r="AF62" s="215"/>
      <c r="AG62" s="215"/>
      <c r="AH62" s="217"/>
      <c r="AI62" s="217"/>
      <c r="AJ62" s="213"/>
    </row>
    <row r="63" spans="1:36" ht="33.75" customHeight="1">
      <c r="A63" s="213"/>
      <c r="B63" s="214">
        <f ca="1">IFERROR(__xludf.DUMMYFUNCTION("""COMPUTED_VALUE"""),2801187)</f>
        <v>2801187</v>
      </c>
      <c r="C63" s="215" t="str">
        <f ca="1">IFERROR(__xludf.DUMMYFUNCTION("""COMPUTED_VALUE"""),"General")</f>
        <v>General</v>
      </c>
      <c r="D63" s="216" t="str">
        <f ca="1">IFERROR(__xludf.DUMMYFUNCTION("""COMPUTED_VALUE"""),"Business Ethics")</f>
        <v>Business Ethics</v>
      </c>
      <c r="E63" s="217"/>
      <c r="F63" s="213"/>
      <c r="G63" s="214"/>
      <c r="H63" s="215"/>
      <c r="I63" s="217"/>
      <c r="J63" s="217"/>
      <c r="K63" s="213"/>
      <c r="L63" s="215"/>
      <c r="M63" s="215"/>
      <c r="N63" s="217"/>
      <c r="O63" s="217"/>
      <c r="P63" s="213"/>
      <c r="Q63" s="215"/>
      <c r="R63" s="215"/>
      <c r="S63" s="217"/>
      <c r="T63" s="217"/>
      <c r="U63" s="213"/>
      <c r="V63" s="215"/>
      <c r="W63" s="215"/>
      <c r="X63" s="217"/>
      <c r="Y63" s="217"/>
      <c r="Z63" s="213"/>
      <c r="AA63" s="215"/>
      <c r="AB63" s="215"/>
      <c r="AC63" s="217"/>
      <c r="AD63" s="217"/>
      <c r="AE63" s="213"/>
      <c r="AF63" s="215"/>
      <c r="AG63" s="215"/>
      <c r="AH63" s="217"/>
      <c r="AI63" s="217"/>
      <c r="AJ63" s="213"/>
    </row>
    <row r="64" spans="1:36" ht="33.75" customHeight="1">
      <c r="A64" s="213"/>
      <c r="B64" s="214">
        <f ca="1">IFERROR(__xludf.DUMMYFUNCTION("""COMPUTED_VALUE"""),5025098)</f>
        <v>5025098</v>
      </c>
      <c r="C64" s="215" t="str">
        <f ca="1">IFERROR(__xludf.DUMMYFUNCTION("""COMPUTED_VALUE"""),"General")</f>
        <v>General</v>
      </c>
      <c r="D64" s="216" t="str">
        <f ca="1">IFERROR(__xludf.DUMMYFUNCTION("""COMPUTED_VALUE"""),"Skills for Inclusive Conversations")</f>
        <v>Skills for Inclusive Conversations</v>
      </c>
      <c r="E64" s="217"/>
      <c r="F64" s="213"/>
      <c r="G64" s="214"/>
      <c r="H64" s="215"/>
      <c r="I64" s="217"/>
      <c r="J64" s="217"/>
      <c r="K64" s="213"/>
      <c r="L64" s="215"/>
      <c r="M64" s="215"/>
      <c r="N64" s="217"/>
      <c r="O64" s="217"/>
      <c r="P64" s="213"/>
      <c r="Q64" s="215"/>
      <c r="R64" s="215"/>
      <c r="S64" s="217"/>
      <c r="T64" s="217"/>
      <c r="U64" s="213"/>
      <c r="V64" s="215"/>
      <c r="W64" s="215"/>
      <c r="X64" s="217"/>
      <c r="Y64" s="217"/>
      <c r="Z64" s="213"/>
      <c r="AA64" s="215"/>
      <c r="AB64" s="215"/>
      <c r="AC64" s="217"/>
      <c r="AD64" s="217"/>
      <c r="AE64" s="213"/>
      <c r="AF64" s="215"/>
      <c r="AG64" s="215"/>
      <c r="AH64" s="217"/>
      <c r="AI64" s="217"/>
      <c r="AJ64" s="213"/>
    </row>
    <row r="65" spans="1:36" ht="33.75" customHeight="1">
      <c r="A65" s="213"/>
      <c r="B65" s="214">
        <f ca="1">IFERROR(__xludf.DUMMYFUNCTION("""COMPUTED_VALUE"""),2849185)</f>
        <v>2849185</v>
      </c>
      <c r="C65" s="215" t="str">
        <f ca="1">IFERROR(__xludf.DUMMYFUNCTION("""COMPUTED_VALUE"""),"General")</f>
        <v>General</v>
      </c>
      <c r="D65" s="216" t="str">
        <f ca="1">IFERROR(__xludf.DUMMYFUNCTION("""COMPUTED_VALUE"""),"Building Relationships While Working from Home")</f>
        <v>Building Relationships While Working from Home</v>
      </c>
      <c r="E65" s="217"/>
      <c r="F65" s="213"/>
      <c r="G65" s="214"/>
      <c r="H65" s="215"/>
      <c r="I65" s="217"/>
      <c r="J65" s="217"/>
      <c r="K65" s="213"/>
      <c r="L65" s="215"/>
      <c r="M65" s="215"/>
      <c r="N65" s="217"/>
      <c r="O65" s="217"/>
      <c r="P65" s="213"/>
      <c r="Q65" s="215"/>
      <c r="R65" s="215"/>
      <c r="S65" s="217"/>
      <c r="T65" s="217"/>
      <c r="U65" s="213"/>
      <c r="V65" s="215"/>
      <c r="W65" s="215"/>
      <c r="X65" s="217"/>
      <c r="Y65" s="217"/>
      <c r="Z65" s="213"/>
      <c r="AA65" s="215"/>
      <c r="AB65" s="215"/>
      <c r="AC65" s="217"/>
      <c r="AD65" s="217"/>
      <c r="AE65" s="213"/>
      <c r="AF65" s="215"/>
      <c r="AG65" s="215"/>
      <c r="AH65" s="217"/>
      <c r="AI65" s="217"/>
      <c r="AJ65" s="213"/>
    </row>
    <row r="66" spans="1:36" ht="33.75" customHeight="1">
      <c r="A66" s="213"/>
      <c r="B66" s="214">
        <f ca="1">IFERROR(__xludf.DUMMYFUNCTION("""COMPUTED_VALUE"""),2835113)</f>
        <v>2835113</v>
      </c>
      <c r="C66" s="215" t="str">
        <f ca="1">IFERROR(__xludf.DUMMYFUNCTION("""COMPUTED_VALUE"""),"General")</f>
        <v>General</v>
      </c>
      <c r="D66" s="216" t="str">
        <f ca="1">IFERROR(__xludf.DUMMYFUNCTION("""COMPUTED_VALUE"""),"Essentials of Team Collaboration")</f>
        <v>Essentials of Team Collaboration</v>
      </c>
      <c r="E66" s="217"/>
      <c r="F66" s="213"/>
      <c r="G66" s="214"/>
      <c r="H66" s="215"/>
      <c r="I66" s="217"/>
      <c r="J66" s="217"/>
      <c r="K66" s="213"/>
      <c r="L66" s="215"/>
      <c r="M66" s="215"/>
      <c r="N66" s="217"/>
      <c r="O66" s="217"/>
      <c r="P66" s="213"/>
      <c r="Q66" s="215"/>
      <c r="R66" s="215"/>
      <c r="S66" s="217"/>
      <c r="T66" s="217"/>
      <c r="U66" s="213"/>
      <c r="V66" s="215"/>
      <c r="W66" s="215"/>
      <c r="X66" s="217"/>
      <c r="Y66" s="217"/>
      <c r="Z66" s="213"/>
      <c r="AA66" s="215"/>
      <c r="AB66" s="215"/>
      <c r="AC66" s="217"/>
      <c r="AD66" s="217"/>
      <c r="AE66" s="213"/>
      <c r="AF66" s="215"/>
      <c r="AG66" s="215"/>
      <c r="AH66" s="217"/>
      <c r="AI66" s="217"/>
      <c r="AJ66" s="213"/>
    </row>
    <row r="67" spans="1:36" ht="33.75" customHeight="1">
      <c r="A67" s="213"/>
      <c r="B67" s="214">
        <f ca="1">IFERROR(__xludf.DUMMYFUNCTION("""COMPUTED_VALUE"""),2300009)</f>
        <v>2300009</v>
      </c>
      <c r="C67" s="215" t="str">
        <f ca="1">IFERROR(__xludf.DUMMYFUNCTION("""COMPUTED_VALUE"""),"General")</f>
        <v>General</v>
      </c>
      <c r="D67" s="216" t="str">
        <f ca="1">IFERROR(__xludf.DUMMYFUNCTION("""COMPUTED_VALUE"""),"Managing Up as an Employee")</f>
        <v>Managing Up as an Employee</v>
      </c>
      <c r="E67" s="217"/>
      <c r="F67" s="213"/>
      <c r="G67" s="214"/>
      <c r="H67" s="215"/>
      <c r="I67" s="217"/>
      <c r="J67" s="217"/>
      <c r="K67" s="213"/>
      <c r="L67" s="215"/>
      <c r="M67" s="215"/>
      <c r="N67" s="217"/>
      <c r="O67" s="217"/>
      <c r="P67" s="213"/>
      <c r="Q67" s="215"/>
      <c r="R67" s="215"/>
      <c r="S67" s="217"/>
      <c r="T67" s="217"/>
      <c r="U67" s="213"/>
      <c r="V67" s="215"/>
      <c r="W67" s="215"/>
      <c r="X67" s="217"/>
      <c r="Y67" s="217"/>
      <c r="Z67" s="213"/>
      <c r="AA67" s="215"/>
      <c r="AB67" s="215"/>
      <c r="AC67" s="217"/>
      <c r="AD67" s="217"/>
      <c r="AE67" s="213"/>
      <c r="AF67" s="215"/>
      <c r="AG67" s="215"/>
      <c r="AH67" s="217"/>
      <c r="AI67" s="217"/>
      <c r="AJ67" s="213"/>
    </row>
    <row r="68" spans="1:36" ht="33.75" customHeight="1">
      <c r="A68" s="213"/>
      <c r="B68" s="214">
        <f ca="1">IFERROR(__xludf.DUMMYFUNCTION("""COMPUTED_VALUE"""),2894042)</f>
        <v>2894042</v>
      </c>
      <c r="C68" s="215" t="str">
        <f ca="1">IFERROR(__xludf.DUMMYFUNCTION("""COMPUTED_VALUE"""),"General")</f>
        <v>General</v>
      </c>
      <c r="D68" s="216" t="str">
        <f ca="1">IFERROR(__xludf.DUMMYFUNCTION("""COMPUTED_VALUE"""),"Redesigning How We Work in 2021")</f>
        <v>Redesigning How We Work in 2021</v>
      </c>
      <c r="E68" s="217"/>
      <c r="F68" s="213"/>
      <c r="G68" s="214"/>
      <c r="H68" s="215"/>
      <c r="I68" s="217"/>
      <c r="J68" s="217"/>
      <c r="K68" s="213"/>
      <c r="L68" s="215"/>
      <c r="M68" s="215"/>
      <c r="N68" s="217"/>
      <c r="O68" s="217"/>
      <c r="P68" s="213"/>
      <c r="Q68" s="215"/>
      <c r="R68" s="215"/>
      <c r="S68" s="217"/>
      <c r="T68" s="217"/>
      <c r="U68" s="213"/>
      <c r="V68" s="215"/>
      <c r="W68" s="215"/>
      <c r="X68" s="217"/>
      <c r="Y68" s="217"/>
      <c r="Z68" s="213"/>
      <c r="AA68" s="215"/>
      <c r="AB68" s="215"/>
      <c r="AC68" s="217"/>
      <c r="AD68" s="217"/>
      <c r="AE68" s="213"/>
      <c r="AF68" s="215"/>
      <c r="AG68" s="215"/>
      <c r="AH68" s="217"/>
      <c r="AI68" s="217"/>
      <c r="AJ68" s="213"/>
    </row>
    <row r="69" spans="1:36" ht="33.75" customHeight="1">
      <c r="A69" s="213"/>
      <c r="B69" s="214">
        <f ca="1">IFERROR(__xludf.DUMMYFUNCTION("""COMPUTED_VALUE"""),2825601)</f>
        <v>2825601</v>
      </c>
      <c r="C69" s="215" t="str">
        <f ca="1">IFERROR(__xludf.DUMMYFUNCTION("""COMPUTED_VALUE"""),"Intermediate")</f>
        <v>Intermediate</v>
      </c>
      <c r="D69" s="216" t="str">
        <f ca="1">IFERROR(__xludf.DUMMYFUNCTION("""COMPUTED_VALUE"""),"Creating a Connection Culture")</f>
        <v>Creating a Connection Culture</v>
      </c>
      <c r="E69" s="217"/>
      <c r="F69" s="213"/>
      <c r="G69" s="214"/>
      <c r="H69" s="215"/>
      <c r="I69" s="217"/>
      <c r="J69" s="217"/>
      <c r="K69" s="213"/>
      <c r="L69" s="215"/>
      <c r="M69" s="215"/>
      <c r="N69" s="217"/>
      <c r="O69" s="217"/>
      <c r="P69" s="213"/>
      <c r="Q69" s="215"/>
      <c r="R69" s="215"/>
      <c r="S69" s="217"/>
      <c r="T69" s="217"/>
      <c r="U69" s="213"/>
      <c r="V69" s="215"/>
      <c r="W69" s="215"/>
      <c r="X69" s="217"/>
      <c r="Y69" s="217"/>
      <c r="Z69" s="213"/>
      <c r="AA69" s="215"/>
      <c r="AB69" s="215"/>
      <c r="AC69" s="217"/>
      <c r="AD69" s="217"/>
      <c r="AE69" s="213"/>
      <c r="AF69" s="215"/>
      <c r="AG69" s="215"/>
      <c r="AH69" s="217"/>
      <c r="AI69" s="217"/>
      <c r="AJ69" s="213"/>
    </row>
    <row r="70" spans="1:36" ht="33.75" customHeight="1">
      <c r="A70" s="213"/>
      <c r="B70" s="214">
        <f ca="1">IFERROR(__xludf.DUMMYFUNCTION("""COMPUTED_VALUE"""),699245)</f>
        <v>699245</v>
      </c>
      <c r="C70" s="215" t="str">
        <f ca="1">IFERROR(__xludf.DUMMYFUNCTION("""COMPUTED_VALUE"""),"Intermediate")</f>
        <v>Intermediate</v>
      </c>
      <c r="D70" s="216" t="str">
        <f ca="1">IFERROR(__xludf.DUMMYFUNCTION("""COMPUTED_VALUE"""),"Business Collaboration in the Modern Workplace")</f>
        <v>Business Collaboration in the Modern Workplace</v>
      </c>
      <c r="E70" s="217"/>
      <c r="F70" s="213"/>
      <c r="G70" s="214"/>
      <c r="H70" s="215"/>
      <c r="I70" s="217"/>
      <c r="J70" s="217"/>
      <c r="K70" s="213"/>
      <c r="L70" s="215"/>
      <c r="M70" s="215"/>
      <c r="N70" s="217"/>
      <c r="O70" s="217"/>
      <c r="P70" s="213"/>
      <c r="Q70" s="215"/>
      <c r="R70" s="215"/>
      <c r="S70" s="217"/>
      <c r="T70" s="217"/>
      <c r="U70" s="213"/>
      <c r="V70" s="215"/>
      <c r="W70" s="215"/>
      <c r="X70" s="217"/>
      <c r="Y70" s="217"/>
      <c r="Z70" s="213"/>
      <c r="AA70" s="215"/>
      <c r="AB70" s="215"/>
      <c r="AC70" s="217"/>
      <c r="AD70" s="217"/>
      <c r="AE70" s="213"/>
      <c r="AF70" s="215"/>
      <c r="AG70" s="215"/>
      <c r="AH70" s="217"/>
      <c r="AI70" s="217"/>
      <c r="AJ70" s="213"/>
    </row>
    <row r="71" spans="1:36" ht="33.75" customHeight="1">
      <c r="A71" s="213"/>
      <c r="B71" s="214">
        <f ca="1">IFERROR(__xludf.DUMMYFUNCTION("""COMPUTED_VALUE"""),612162)</f>
        <v>612162</v>
      </c>
      <c r="C71" s="215" t="str">
        <f ca="1">IFERROR(__xludf.DUMMYFUNCTION("""COMPUTED_VALUE"""),"Intermediate")</f>
        <v>Intermediate</v>
      </c>
      <c r="D71" s="216" t="str">
        <f ca="1">IFERROR(__xludf.DUMMYFUNCTION("""COMPUTED_VALUE"""),"Communicating with Diplomacy and Tact")</f>
        <v>Communicating with Diplomacy and Tact</v>
      </c>
      <c r="E71" s="217"/>
      <c r="F71" s="213"/>
      <c r="G71" s="214"/>
      <c r="H71" s="215"/>
      <c r="I71" s="217"/>
      <c r="J71" s="217"/>
      <c r="K71" s="213"/>
      <c r="L71" s="215"/>
      <c r="M71" s="215"/>
      <c r="N71" s="217"/>
      <c r="O71" s="217"/>
      <c r="P71" s="213"/>
      <c r="Q71" s="215"/>
      <c r="R71" s="215"/>
      <c r="S71" s="217"/>
      <c r="T71" s="217"/>
      <c r="U71" s="213"/>
      <c r="V71" s="215"/>
      <c r="W71" s="215"/>
      <c r="X71" s="217"/>
      <c r="Y71" s="217"/>
      <c r="Z71" s="213"/>
      <c r="AA71" s="215"/>
      <c r="AB71" s="215"/>
      <c r="AC71" s="217"/>
      <c r="AD71" s="217"/>
      <c r="AE71" s="213"/>
      <c r="AF71" s="215"/>
      <c r="AG71" s="215"/>
      <c r="AH71" s="217"/>
      <c r="AI71" s="217"/>
      <c r="AJ71" s="213"/>
    </row>
    <row r="72" spans="1:36" ht="33.75" customHeight="1">
      <c r="A72" s="213"/>
      <c r="B72" s="214">
        <f ca="1">IFERROR(__xludf.DUMMYFUNCTION("""COMPUTED_VALUE"""),2813182)</f>
        <v>2813182</v>
      </c>
      <c r="C72" s="215" t="str">
        <f ca="1">IFERROR(__xludf.DUMMYFUNCTION("""COMPUTED_VALUE"""),"Intermediate")</f>
        <v>Intermediate</v>
      </c>
      <c r="D72" s="216" t="str">
        <f ca="1">IFERROR(__xludf.DUMMYFUNCTION("""COMPUTED_VALUE"""),"Grit: How Teams Persevere to Accomplish Great Goals")</f>
        <v>Grit: How Teams Persevere to Accomplish Great Goals</v>
      </c>
      <c r="E72" s="217"/>
      <c r="F72" s="213"/>
      <c r="G72" s="214"/>
      <c r="H72" s="215"/>
      <c r="I72" s="217"/>
      <c r="J72" s="217"/>
      <c r="K72" s="213"/>
      <c r="L72" s="215"/>
      <c r="M72" s="215"/>
      <c r="N72" s="217"/>
      <c r="O72" s="217"/>
      <c r="P72" s="213"/>
      <c r="Q72" s="215"/>
      <c r="R72" s="215"/>
      <c r="S72" s="217"/>
      <c r="T72" s="217"/>
      <c r="U72" s="213"/>
      <c r="V72" s="215"/>
      <c r="W72" s="215"/>
      <c r="X72" s="217"/>
      <c r="Y72" s="217"/>
      <c r="Z72" s="213"/>
      <c r="AA72" s="215"/>
      <c r="AB72" s="215"/>
      <c r="AC72" s="217"/>
      <c r="AD72" s="217"/>
      <c r="AE72" s="213"/>
      <c r="AF72" s="215"/>
      <c r="AG72" s="215"/>
      <c r="AH72" s="217"/>
      <c r="AI72" s="217"/>
      <c r="AJ72" s="213"/>
    </row>
    <row r="73" spans="1:36" ht="33.75" customHeight="1">
      <c r="A73" s="213"/>
      <c r="B73" s="214">
        <f ca="1">IFERROR(__xludf.DUMMYFUNCTION("""COMPUTED_VALUE"""),2822684)</f>
        <v>2822684</v>
      </c>
      <c r="C73" s="215" t="str">
        <f ca="1">IFERROR(__xludf.DUMMYFUNCTION("""COMPUTED_VALUE"""),"General")</f>
        <v>General</v>
      </c>
      <c r="D73" s="216" t="str">
        <f ca="1">IFERROR(__xludf.DUMMYFUNCTION("""COMPUTED_VALUE"""),"Empathy at Work")</f>
        <v>Empathy at Work</v>
      </c>
      <c r="E73" s="217"/>
      <c r="F73" s="213"/>
      <c r="G73" s="214"/>
      <c r="H73" s="215"/>
      <c r="I73" s="217"/>
      <c r="J73" s="217"/>
      <c r="K73" s="213"/>
      <c r="L73" s="215"/>
      <c r="M73" s="215"/>
      <c r="N73" s="217"/>
      <c r="O73" s="217"/>
      <c r="P73" s="213"/>
      <c r="Q73" s="215"/>
      <c r="R73" s="215"/>
      <c r="S73" s="217"/>
      <c r="T73" s="217"/>
      <c r="U73" s="213"/>
      <c r="V73" s="215"/>
      <c r="W73" s="215"/>
      <c r="X73" s="217"/>
      <c r="Y73" s="217"/>
      <c r="Z73" s="213"/>
      <c r="AA73" s="215"/>
      <c r="AB73" s="215"/>
      <c r="AC73" s="217"/>
      <c r="AD73" s="217"/>
      <c r="AE73" s="213"/>
      <c r="AF73" s="215"/>
      <c r="AG73" s="215"/>
      <c r="AH73" s="217"/>
      <c r="AI73" s="217"/>
      <c r="AJ73" s="213"/>
    </row>
    <row r="74" spans="1:36" ht="33.75" customHeight="1">
      <c r="A74" s="213"/>
      <c r="B74" s="214">
        <f ca="1">IFERROR(__xludf.DUMMYFUNCTION("""COMPUTED_VALUE"""),2895101)</f>
        <v>2895101</v>
      </c>
      <c r="C74" s="215" t="str">
        <f ca="1">IFERROR(__xludf.DUMMYFUNCTION("""COMPUTED_VALUE"""),"Intermediate")</f>
        <v>Intermediate</v>
      </c>
      <c r="D74" s="216" t="str">
        <f ca="1">IFERROR(__xludf.DUMMYFUNCTION("""COMPUTED_VALUE"""),"Developing Business Partnerships")</f>
        <v>Developing Business Partnerships</v>
      </c>
      <c r="E74" s="217"/>
      <c r="F74" s="213"/>
      <c r="G74" s="214"/>
      <c r="H74" s="215"/>
      <c r="I74" s="217"/>
      <c r="J74" s="217"/>
      <c r="K74" s="213"/>
      <c r="L74" s="215"/>
      <c r="M74" s="215"/>
      <c r="N74" s="217"/>
      <c r="O74" s="217"/>
      <c r="P74" s="213"/>
      <c r="Q74" s="215"/>
      <c r="R74" s="215"/>
      <c r="S74" s="217"/>
      <c r="T74" s="217"/>
      <c r="U74" s="213"/>
      <c r="V74" s="215"/>
      <c r="W74" s="215"/>
      <c r="X74" s="217"/>
      <c r="Y74" s="217"/>
      <c r="Z74" s="213"/>
      <c r="AA74" s="215"/>
      <c r="AB74" s="215"/>
      <c r="AC74" s="217"/>
      <c r="AD74" s="217"/>
      <c r="AE74" s="213"/>
      <c r="AF74" s="215"/>
      <c r="AG74" s="215"/>
      <c r="AH74" s="217"/>
      <c r="AI74" s="217"/>
      <c r="AJ74" s="213"/>
    </row>
    <row r="75" spans="1:36" ht="33.75" customHeight="1">
      <c r="A75" s="213"/>
      <c r="B75" s="214"/>
      <c r="C75" s="215"/>
      <c r="D75" s="216"/>
      <c r="E75" s="217"/>
      <c r="F75" s="213"/>
      <c r="G75" s="214"/>
      <c r="H75" s="215"/>
      <c r="I75" s="217"/>
      <c r="J75" s="217"/>
      <c r="K75" s="213"/>
      <c r="L75" s="215"/>
      <c r="M75" s="215"/>
      <c r="N75" s="217"/>
      <c r="O75" s="217"/>
      <c r="P75" s="213"/>
      <c r="Q75" s="215"/>
      <c r="R75" s="215"/>
      <c r="S75" s="217"/>
      <c r="T75" s="217"/>
      <c r="U75" s="213"/>
      <c r="V75" s="215"/>
      <c r="W75" s="215"/>
      <c r="X75" s="217"/>
      <c r="Y75" s="217"/>
      <c r="Z75" s="213"/>
      <c r="AA75" s="215"/>
      <c r="AB75" s="215"/>
      <c r="AC75" s="217"/>
      <c r="AD75" s="217"/>
      <c r="AE75" s="213"/>
      <c r="AF75" s="215"/>
      <c r="AG75" s="215"/>
      <c r="AH75" s="217"/>
      <c r="AI75" s="217"/>
      <c r="AJ75" s="213"/>
    </row>
    <row r="76" spans="1:36" ht="33.75" customHeight="1">
      <c r="A76" s="213"/>
      <c r="B76" s="214"/>
      <c r="C76" s="215"/>
      <c r="D76" s="216"/>
      <c r="E76" s="217"/>
      <c r="F76" s="213"/>
      <c r="G76" s="214"/>
      <c r="H76" s="215"/>
      <c r="I76" s="217"/>
      <c r="J76" s="217"/>
      <c r="K76" s="213"/>
      <c r="L76" s="215"/>
      <c r="M76" s="215"/>
      <c r="N76" s="217"/>
      <c r="O76" s="217"/>
      <c r="P76" s="213"/>
      <c r="Q76" s="215"/>
      <c r="R76" s="215"/>
      <c r="S76" s="217"/>
      <c r="T76" s="217"/>
      <c r="U76" s="213"/>
      <c r="V76" s="215"/>
      <c r="W76" s="215"/>
      <c r="X76" s="217"/>
      <c r="Y76" s="217"/>
      <c r="Z76" s="213"/>
      <c r="AA76" s="215"/>
      <c r="AB76" s="215"/>
      <c r="AC76" s="217"/>
      <c r="AD76" s="217"/>
      <c r="AE76" s="213"/>
      <c r="AF76" s="215"/>
      <c r="AG76" s="215"/>
      <c r="AH76" s="217"/>
      <c r="AI76" s="217"/>
      <c r="AJ76" s="213"/>
    </row>
    <row r="77" spans="1:36" ht="33.75" customHeight="1">
      <c r="A77" s="213"/>
      <c r="B77" s="214"/>
      <c r="C77" s="215"/>
      <c r="D77" s="216"/>
      <c r="E77" s="217"/>
      <c r="F77" s="213"/>
      <c r="G77" s="214"/>
      <c r="H77" s="215"/>
      <c r="I77" s="217"/>
      <c r="J77" s="217"/>
      <c r="K77" s="213"/>
      <c r="L77" s="215"/>
      <c r="M77" s="215"/>
      <c r="N77" s="217"/>
      <c r="O77" s="217"/>
      <c r="P77" s="213"/>
      <c r="Q77" s="215"/>
      <c r="R77" s="215"/>
      <c r="S77" s="217"/>
      <c r="T77" s="217"/>
      <c r="U77" s="213"/>
      <c r="V77" s="215"/>
      <c r="W77" s="215"/>
      <c r="X77" s="217"/>
      <c r="Y77" s="217"/>
      <c r="Z77" s="213"/>
      <c r="AA77" s="215"/>
      <c r="AB77" s="215"/>
      <c r="AC77" s="217"/>
      <c r="AD77" s="217"/>
      <c r="AE77" s="213"/>
      <c r="AF77" s="215"/>
      <c r="AG77" s="215"/>
      <c r="AH77" s="217"/>
      <c r="AI77" s="217"/>
      <c r="AJ77" s="213"/>
    </row>
    <row r="78" spans="1:36" ht="33.75" customHeight="1">
      <c r="A78" s="213"/>
      <c r="B78" s="214"/>
      <c r="C78" s="215"/>
      <c r="D78" s="216"/>
      <c r="E78" s="217"/>
      <c r="F78" s="213"/>
      <c r="G78" s="214"/>
      <c r="H78" s="215"/>
      <c r="I78" s="217"/>
      <c r="J78" s="217"/>
      <c r="K78" s="213"/>
      <c r="L78" s="215"/>
      <c r="M78" s="215"/>
      <c r="N78" s="217"/>
      <c r="O78" s="217"/>
      <c r="P78" s="213"/>
      <c r="Q78" s="215"/>
      <c r="R78" s="215"/>
      <c r="S78" s="217"/>
      <c r="T78" s="217"/>
      <c r="U78" s="213"/>
      <c r="V78" s="215"/>
      <c r="W78" s="215"/>
      <c r="X78" s="217"/>
      <c r="Y78" s="217"/>
      <c r="Z78" s="213"/>
      <c r="AA78" s="215"/>
      <c r="AB78" s="215"/>
      <c r="AC78" s="217"/>
      <c r="AD78" s="217"/>
      <c r="AE78" s="213"/>
      <c r="AF78" s="215"/>
      <c r="AG78" s="215"/>
      <c r="AH78" s="217"/>
      <c r="AI78" s="217"/>
      <c r="AJ78" s="213"/>
    </row>
    <row r="79" spans="1:36" ht="33.75" customHeight="1">
      <c r="A79" s="213"/>
      <c r="B79" s="214"/>
      <c r="C79" s="215"/>
      <c r="D79" s="216"/>
      <c r="E79" s="217"/>
      <c r="F79" s="213"/>
      <c r="G79" s="214"/>
      <c r="H79" s="215"/>
      <c r="I79" s="217"/>
      <c r="J79" s="217"/>
      <c r="K79" s="213"/>
      <c r="L79" s="215"/>
      <c r="M79" s="215"/>
      <c r="N79" s="217"/>
      <c r="O79" s="217"/>
      <c r="P79" s="213"/>
      <c r="Q79" s="215"/>
      <c r="R79" s="215"/>
      <c r="S79" s="217"/>
      <c r="T79" s="217"/>
      <c r="U79" s="213"/>
      <c r="V79" s="215"/>
      <c r="W79" s="215"/>
      <c r="X79" s="217"/>
      <c r="Y79" s="217"/>
      <c r="Z79" s="213"/>
      <c r="AA79" s="215"/>
      <c r="AB79" s="215"/>
      <c r="AC79" s="217"/>
      <c r="AD79" s="217"/>
      <c r="AE79" s="213"/>
      <c r="AF79" s="215"/>
      <c r="AG79" s="215"/>
      <c r="AH79" s="217"/>
      <c r="AI79" s="217"/>
      <c r="AJ79" s="213"/>
    </row>
    <row r="80" spans="1:36" ht="33.75" customHeight="1">
      <c r="A80" s="213"/>
      <c r="B80" s="214"/>
      <c r="C80" s="215"/>
      <c r="D80" s="216"/>
      <c r="E80" s="217"/>
      <c r="F80" s="213"/>
      <c r="G80" s="214"/>
      <c r="H80" s="215"/>
      <c r="I80" s="217"/>
      <c r="J80" s="217"/>
      <c r="K80" s="213"/>
      <c r="L80" s="215"/>
      <c r="M80" s="215"/>
      <c r="N80" s="217"/>
      <c r="O80" s="217"/>
      <c r="P80" s="213"/>
      <c r="Q80" s="215"/>
      <c r="R80" s="215"/>
      <c r="S80" s="217"/>
      <c r="T80" s="217"/>
      <c r="U80" s="213"/>
      <c r="V80" s="215"/>
      <c r="W80" s="215"/>
      <c r="X80" s="217"/>
      <c r="Y80" s="217"/>
      <c r="Z80" s="213"/>
      <c r="AA80" s="215"/>
      <c r="AB80" s="215"/>
      <c r="AC80" s="217"/>
      <c r="AD80" s="217"/>
      <c r="AE80" s="213"/>
      <c r="AF80" s="215"/>
      <c r="AG80" s="215"/>
      <c r="AH80" s="217"/>
      <c r="AI80" s="217"/>
      <c r="AJ80" s="213"/>
    </row>
    <row r="81" spans="1:36" ht="33.75" customHeight="1">
      <c r="A81" s="213"/>
      <c r="B81" s="214"/>
      <c r="C81" s="215"/>
      <c r="D81" s="216"/>
      <c r="E81" s="217"/>
      <c r="F81" s="213"/>
      <c r="G81" s="214"/>
      <c r="H81" s="215"/>
      <c r="I81" s="217"/>
      <c r="J81" s="217"/>
      <c r="K81" s="213"/>
      <c r="L81" s="215"/>
      <c r="M81" s="215"/>
      <c r="N81" s="217"/>
      <c r="O81" s="217"/>
      <c r="P81" s="213"/>
      <c r="Q81" s="215"/>
      <c r="R81" s="215"/>
      <c r="S81" s="217"/>
      <c r="T81" s="217"/>
      <c r="U81" s="213"/>
      <c r="V81" s="215"/>
      <c r="W81" s="215"/>
      <c r="X81" s="217"/>
      <c r="Y81" s="217"/>
      <c r="Z81" s="213"/>
      <c r="AA81" s="215"/>
      <c r="AB81" s="215"/>
      <c r="AC81" s="217"/>
      <c r="AD81" s="217"/>
      <c r="AE81" s="213"/>
      <c r="AF81" s="215"/>
      <c r="AG81" s="215"/>
      <c r="AH81" s="217"/>
      <c r="AI81" s="217"/>
      <c r="AJ81" s="213"/>
    </row>
    <row r="82" spans="1:36" ht="33.75" customHeight="1">
      <c r="A82" s="213"/>
      <c r="B82" s="214"/>
      <c r="C82" s="215"/>
      <c r="D82" s="216"/>
      <c r="E82" s="217"/>
      <c r="F82" s="213"/>
      <c r="G82" s="214"/>
      <c r="H82" s="215"/>
      <c r="I82" s="217"/>
      <c r="J82" s="217"/>
      <c r="K82" s="213"/>
      <c r="L82" s="215"/>
      <c r="M82" s="215"/>
      <c r="N82" s="217"/>
      <c r="O82" s="217"/>
      <c r="P82" s="213"/>
      <c r="Q82" s="215"/>
      <c r="R82" s="215"/>
      <c r="S82" s="217"/>
      <c r="T82" s="217"/>
      <c r="U82" s="213"/>
      <c r="V82" s="215"/>
      <c r="W82" s="215"/>
      <c r="X82" s="217"/>
      <c r="Y82" s="217"/>
      <c r="Z82" s="213"/>
      <c r="AA82" s="215"/>
      <c r="AB82" s="215"/>
      <c r="AC82" s="217"/>
      <c r="AD82" s="217"/>
      <c r="AE82" s="213"/>
      <c r="AF82" s="215"/>
      <c r="AG82" s="215"/>
      <c r="AH82" s="217"/>
      <c r="AI82" s="217"/>
      <c r="AJ82" s="213"/>
    </row>
    <row r="83" spans="1:36" ht="33.75" customHeight="1">
      <c r="A83" s="213"/>
      <c r="B83" s="214"/>
      <c r="C83" s="215"/>
      <c r="D83" s="216"/>
      <c r="E83" s="217"/>
      <c r="F83" s="213"/>
      <c r="G83" s="214"/>
      <c r="H83" s="215"/>
      <c r="I83" s="217"/>
      <c r="J83" s="217"/>
      <c r="K83" s="213"/>
      <c r="L83" s="215"/>
      <c r="M83" s="215"/>
      <c r="N83" s="217"/>
      <c r="O83" s="217"/>
      <c r="P83" s="213"/>
      <c r="Q83" s="215"/>
      <c r="R83" s="215"/>
      <c r="S83" s="217"/>
      <c r="T83" s="217"/>
      <c r="U83" s="213"/>
      <c r="V83" s="215"/>
      <c r="W83" s="215"/>
      <c r="X83" s="217"/>
      <c r="Y83" s="217"/>
      <c r="Z83" s="213"/>
      <c r="AA83" s="215"/>
      <c r="AB83" s="215"/>
      <c r="AC83" s="217"/>
      <c r="AD83" s="217"/>
      <c r="AE83" s="213"/>
      <c r="AF83" s="215"/>
      <c r="AG83" s="215"/>
      <c r="AH83" s="217"/>
      <c r="AI83" s="217"/>
      <c r="AJ83" s="213"/>
    </row>
    <row r="84" spans="1:36" ht="33.75" customHeight="1">
      <c r="A84" s="213"/>
      <c r="B84" s="214"/>
      <c r="C84" s="215"/>
      <c r="D84" s="216"/>
      <c r="E84" s="217"/>
      <c r="F84" s="213"/>
      <c r="G84" s="214"/>
      <c r="H84" s="215"/>
      <c r="I84" s="217"/>
      <c r="J84" s="217"/>
      <c r="K84" s="213"/>
      <c r="L84" s="215"/>
      <c r="M84" s="215"/>
      <c r="N84" s="217"/>
      <c r="O84" s="217"/>
      <c r="P84" s="213"/>
      <c r="Q84" s="215"/>
      <c r="R84" s="215"/>
      <c r="S84" s="217"/>
      <c r="T84" s="217"/>
      <c r="U84" s="213"/>
      <c r="V84" s="215"/>
      <c r="W84" s="215"/>
      <c r="X84" s="217"/>
      <c r="Y84" s="217"/>
      <c r="Z84" s="213"/>
      <c r="AA84" s="215"/>
      <c r="AB84" s="215"/>
      <c r="AC84" s="217"/>
      <c r="AD84" s="217"/>
      <c r="AE84" s="213"/>
      <c r="AF84" s="215"/>
      <c r="AG84" s="215"/>
      <c r="AH84" s="217"/>
      <c r="AI84" s="217"/>
      <c r="AJ84" s="213"/>
    </row>
    <row r="85" spans="1:36" ht="33.75" customHeight="1">
      <c r="A85" s="213"/>
      <c r="B85" s="214"/>
      <c r="C85" s="215"/>
      <c r="D85" s="216"/>
      <c r="E85" s="217"/>
      <c r="F85" s="213"/>
      <c r="G85" s="214"/>
      <c r="H85" s="215"/>
      <c r="I85" s="217"/>
      <c r="J85" s="217"/>
      <c r="K85" s="213"/>
      <c r="L85" s="215"/>
      <c r="M85" s="215"/>
      <c r="N85" s="217"/>
      <c r="O85" s="217"/>
      <c r="P85" s="213"/>
      <c r="Q85" s="215"/>
      <c r="R85" s="215"/>
      <c r="S85" s="217"/>
      <c r="T85" s="217"/>
      <c r="U85" s="213"/>
      <c r="V85" s="215"/>
      <c r="W85" s="215"/>
      <c r="X85" s="217"/>
      <c r="Y85" s="217"/>
      <c r="Z85" s="213"/>
      <c r="AA85" s="215"/>
      <c r="AB85" s="215"/>
      <c r="AC85" s="217"/>
      <c r="AD85" s="217"/>
      <c r="AE85" s="213"/>
      <c r="AF85" s="215"/>
      <c r="AG85" s="215"/>
      <c r="AH85" s="217"/>
      <c r="AI85" s="217"/>
      <c r="AJ85" s="213"/>
    </row>
    <row r="86" spans="1:36" ht="33.75" customHeight="1">
      <c r="A86" s="213"/>
      <c r="B86" s="214"/>
      <c r="C86" s="215"/>
      <c r="D86" s="216"/>
      <c r="E86" s="217"/>
      <c r="F86" s="213"/>
      <c r="G86" s="214"/>
      <c r="H86" s="215"/>
      <c r="I86" s="217"/>
      <c r="J86" s="217"/>
      <c r="K86" s="213"/>
      <c r="L86" s="215"/>
      <c r="M86" s="215"/>
      <c r="N86" s="217"/>
      <c r="O86" s="217"/>
      <c r="P86" s="213"/>
      <c r="Q86" s="215"/>
      <c r="R86" s="215"/>
      <c r="S86" s="217"/>
      <c r="T86" s="217"/>
      <c r="U86" s="213"/>
      <c r="V86" s="215"/>
      <c r="W86" s="215"/>
      <c r="X86" s="217"/>
      <c r="Y86" s="217"/>
      <c r="Z86" s="213"/>
      <c r="AA86" s="215"/>
      <c r="AB86" s="215"/>
      <c r="AC86" s="217"/>
      <c r="AD86" s="217"/>
      <c r="AE86" s="213"/>
      <c r="AF86" s="215"/>
      <c r="AG86" s="215"/>
      <c r="AH86" s="217"/>
      <c r="AI86" s="217"/>
      <c r="AJ86" s="213"/>
    </row>
    <row r="87" spans="1:36" ht="33.75" customHeight="1">
      <c r="A87" s="213"/>
      <c r="B87" s="214"/>
      <c r="C87" s="215"/>
      <c r="D87" s="216"/>
      <c r="E87" s="217"/>
      <c r="F87" s="213"/>
      <c r="G87" s="214"/>
      <c r="H87" s="215"/>
      <c r="I87" s="217"/>
      <c r="J87" s="217"/>
      <c r="K87" s="213"/>
      <c r="L87" s="215"/>
      <c r="M87" s="215"/>
      <c r="N87" s="217"/>
      <c r="O87" s="217"/>
      <c r="P87" s="213"/>
      <c r="Q87" s="215"/>
      <c r="R87" s="215"/>
      <c r="S87" s="217"/>
      <c r="T87" s="217"/>
      <c r="U87" s="213"/>
      <c r="V87" s="215"/>
      <c r="W87" s="215"/>
      <c r="X87" s="217"/>
      <c r="Y87" s="217"/>
      <c r="Z87" s="213"/>
      <c r="AA87" s="215"/>
      <c r="AB87" s="215"/>
      <c r="AC87" s="217"/>
      <c r="AD87" s="217"/>
      <c r="AE87" s="213"/>
      <c r="AF87" s="215"/>
      <c r="AG87" s="215"/>
      <c r="AH87" s="217"/>
      <c r="AI87" s="217"/>
      <c r="AJ87" s="213"/>
    </row>
    <row r="88" spans="1:36" ht="33.75" customHeight="1">
      <c r="A88" s="213"/>
      <c r="B88" s="214"/>
      <c r="C88" s="215"/>
      <c r="D88" s="217"/>
      <c r="E88" s="217"/>
      <c r="F88" s="213"/>
      <c r="G88" s="214"/>
      <c r="H88" s="215"/>
      <c r="I88" s="217"/>
      <c r="J88" s="217"/>
      <c r="K88" s="213"/>
      <c r="L88" s="215"/>
      <c r="M88" s="215"/>
      <c r="N88" s="217"/>
      <c r="O88" s="217"/>
      <c r="P88" s="213"/>
      <c r="Q88" s="215"/>
      <c r="R88" s="215"/>
      <c r="S88" s="217"/>
      <c r="T88" s="217"/>
      <c r="U88" s="213"/>
      <c r="V88" s="215"/>
      <c r="W88" s="215"/>
      <c r="X88" s="217"/>
      <c r="Y88" s="217"/>
      <c r="Z88" s="213"/>
      <c r="AA88" s="215"/>
      <c r="AB88" s="215"/>
      <c r="AC88" s="217"/>
      <c r="AD88" s="217"/>
      <c r="AE88" s="213"/>
      <c r="AF88" s="215"/>
      <c r="AG88" s="215"/>
      <c r="AH88" s="217"/>
      <c r="AI88" s="217"/>
      <c r="AJ88" s="213"/>
    </row>
    <row r="89" spans="1:36" ht="16">
      <c r="A89" s="213"/>
      <c r="B89" s="214"/>
      <c r="C89" s="215"/>
      <c r="D89" s="216"/>
      <c r="E89" s="217"/>
      <c r="F89" s="213"/>
      <c r="G89" s="214"/>
      <c r="H89" s="215"/>
      <c r="I89" s="217"/>
      <c r="J89" s="217"/>
      <c r="K89" s="213"/>
      <c r="L89" s="215"/>
      <c r="M89" s="215"/>
      <c r="N89" s="217"/>
      <c r="O89" s="217"/>
      <c r="P89" s="213"/>
      <c r="Q89" s="215"/>
      <c r="R89" s="215"/>
      <c r="S89" s="217"/>
      <c r="T89" s="217"/>
      <c r="U89" s="213"/>
      <c r="V89" s="215"/>
      <c r="W89" s="215"/>
      <c r="X89" s="217"/>
      <c r="Y89" s="217"/>
      <c r="Z89" s="213"/>
      <c r="AA89" s="215"/>
      <c r="AB89" s="215"/>
      <c r="AC89" s="217"/>
      <c r="AD89" s="217"/>
      <c r="AE89" s="213"/>
      <c r="AF89" s="215"/>
      <c r="AG89" s="215"/>
      <c r="AH89" s="217"/>
      <c r="AI89" s="217"/>
      <c r="AJ89" s="213"/>
    </row>
    <row r="90" spans="1:36" ht="16">
      <c r="A90" s="213"/>
      <c r="B90" s="214"/>
      <c r="C90" s="215"/>
      <c r="D90" s="216"/>
      <c r="E90" s="217"/>
      <c r="F90" s="213"/>
      <c r="G90" s="214"/>
      <c r="H90" s="215"/>
      <c r="I90" s="217"/>
      <c r="J90" s="217"/>
      <c r="K90" s="213"/>
      <c r="L90" s="215"/>
      <c r="M90" s="215"/>
      <c r="N90" s="217"/>
      <c r="O90" s="217"/>
      <c r="P90" s="213"/>
      <c r="Q90" s="215"/>
      <c r="R90" s="215"/>
      <c r="S90" s="217"/>
      <c r="T90" s="217"/>
      <c r="U90" s="213"/>
      <c r="V90" s="215"/>
      <c r="W90" s="215"/>
      <c r="X90" s="217"/>
      <c r="Y90" s="217"/>
      <c r="Z90" s="213"/>
      <c r="AA90" s="215"/>
      <c r="AB90" s="215"/>
      <c r="AC90" s="217"/>
      <c r="AD90" s="217"/>
      <c r="AE90" s="213"/>
      <c r="AF90" s="215"/>
      <c r="AG90" s="215"/>
      <c r="AH90" s="217"/>
      <c r="AI90" s="217"/>
      <c r="AJ90" s="213"/>
    </row>
    <row r="91" spans="1:36" ht="16">
      <c r="A91" s="213"/>
      <c r="B91" s="214"/>
      <c r="C91" s="215"/>
      <c r="D91" s="216"/>
      <c r="E91" s="217"/>
      <c r="F91" s="213"/>
      <c r="G91" s="214"/>
      <c r="H91" s="215"/>
      <c r="I91" s="217"/>
      <c r="J91" s="217"/>
      <c r="K91" s="213"/>
      <c r="L91" s="215"/>
      <c r="M91" s="215"/>
      <c r="N91" s="217"/>
      <c r="O91" s="217"/>
      <c r="P91" s="213"/>
      <c r="Q91" s="215"/>
      <c r="R91" s="215"/>
      <c r="S91" s="217"/>
      <c r="T91" s="217"/>
      <c r="U91" s="213"/>
      <c r="V91" s="215"/>
      <c r="W91" s="215"/>
      <c r="X91" s="217"/>
      <c r="Y91" s="217"/>
      <c r="Z91" s="213"/>
      <c r="AA91" s="215"/>
      <c r="AB91" s="215"/>
      <c r="AC91" s="217"/>
      <c r="AD91" s="217"/>
      <c r="AE91" s="213"/>
      <c r="AF91" s="215"/>
      <c r="AG91" s="215"/>
      <c r="AH91" s="217"/>
      <c r="AI91" s="217"/>
      <c r="AJ91" s="213"/>
    </row>
    <row r="92" spans="1:36" ht="16">
      <c r="A92" s="213"/>
      <c r="B92" s="214"/>
      <c r="C92" s="215"/>
      <c r="D92" s="216"/>
      <c r="E92" s="217"/>
      <c r="F92" s="213"/>
      <c r="G92" s="214"/>
      <c r="H92" s="215"/>
      <c r="I92" s="217"/>
      <c r="J92" s="217"/>
      <c r="K92" s="213"/>
      <c r="L92" s="215"/>
      <c r="M92" s="215"/>
      <c r="N92" s="217"/>
      <c r="O92" s="217"/>
      <c r="P92" s="213"/>
      <c r="Q92" s="215"/>
      <c r="R92" s="215"/>
      <c r="S92" s="217"/>
      <c r="T92" s="217"/>
      <c r="U92" s="213"/>
      <c r="V92" s="215"/>
      <c r="W92" s="215"/>
      <c r="X92" s="217"/>
      <c r="Y92" s="217"/>
      <c r="Z92" s="213"/>
      <c r="AA92" s="215"/>
      <c r="AB92" s="215"/>
      <c r="AC92" s="217"/>
      <c r="AD92" s="217"/>
      <c r="AE92" s="213"/>
      <c r="AF92" s="215"/>
      <c r="AG92" s="215"/>
      <c r="AH92" s="217"/>
      <c r="AI92" s="217"/>
      <c r="AJ92" s="213"/>
    </row>
    <row r="93" spans="1:36" ht="16">
      <c r="A93" s="213"/>
      <c r="B93" s="214"/>
      <c r="C93" s="215"/>
      <c r="D93" s="216"/>
      <c r="E93" s="217"/>
      <c r="F93" s="213"/>
      <c r="G93" s="214"/>
      <c r="H93" s="215"/>
      <c r="I93" s="217"/>
      <c r="J93" s="217"/>
      <c r="K93" s="213"/>
      <c r="L93" s="215"/>
      <c r="M93" s="215"/>
      <c r="N93" s="217"/>
      <c r="O93" s="217"/>
      <c r="P93" s="213"/>
      <c r="Q93" s="215"/>
      <c r="R93" s="215"/>
      <c r="S93" s="217"/>
      <c r="T93" s="217"/>
      <c r="U93" s="213"/>
      <c r="V93" s="215"/>
      <c r="W93" s="215"/>
      <c r="X93" s="217"/>
      <c r="Y93" s="217"/>
      <c r="Z93" s="213"/>
      <c r="AA93" s="215"/>
      <c r="AB93" s="215"/>
      <c r="AC93" s="217"/>
      <c r="AD93" s="217"/>
      <c r="AE93" s="213"/>
      <c r="AF93" s="215"/>
      <c r="AG93" s="215"/>
      <c r="AH93" s="217"/>
      <c r="AI93" s="217"/>
      <c r="AJ93" s="213"/>
    </row>
    <row r="94" spans="1:36" ht="16">
      <c r="A94" s="213"/>
      <c r="B94" s="214"/>
      <c r="C94" s="215"/>
      <c r="D94" s="216"/>
      <c r="E94" s="217"/>
      <c r="F94" s="213"/>
      <c r="G94" s="214"/>
      <c r="H94" s="215"/>
      <c r="I94" s="217"/>
      <c r="J94" s="217"/>
      <c r="K94" s="213"/>
      <c r="L94" s="215"/>
      <c r="M94" s="215"/>
      <c r="N94" s="217"/>
      <c r="O94" s="217"/>
      <c r="P94" s="213"/>
      <c r="Q94" s="215"/>
      <c r="R94" s="215"/>
      <c r="S94" s="217"/>
      <c r="T94" s="217"/>
      <c r="U94" s="213"/>
      <c r="V94" s="215"/>
      <c r="W94" s="215"/>
      <c r="X94" s="217"/>
      <c r="Y94" s="217"/>
      <c r="Z94" s="213"/>
      <c r="AA94" s="215"/>
      <c r="AB94" s="215"/>
      <c r="AC94" s="217"/>
      <c r="AD94" s="217"/>
      <c r="AE94" s="213"/>
      <c r="AF94" s="215"/>
      <c r="AG94" s="215"/>
      <c r="AH94" s="217"/>
      <c r="AI94" s="217"/>
      <c r="AJ94" s="213"/>
    </row>
    <row r="95" spans="1:36" ht="16">
      <c r="A95" s="213"/>
      <c r="B95" s="214"/>
      <c r="C95" s="215"/>
      <c r="D95" s="216"/>
      <c r="E95" s="217"/>
      <c r="F95" s="213"/>
      <c r="G95" s="214"/>
      <c r="H95" s="215"/>
      <c r="I95" s="217"/>
      <c r="J95" s="217"/>
      <c r="K95" s="213"/>
      <c r="L95" s="215"/>
      <c r="M95" s="215"/>
      <c r="N95" s="217"/>
      <c r="O95" s="217"/>
      <c r="P95" s="213"/>
      <c r="Q95" s="215"/>
      <c r="R95" s="215"/>
      <c r="S95" s="217"/>
      <c r="T95" s="217"/>
      <c r="U95" s="213"/>
      <c r="V95" s="215"/>
      <c r="W95" s="215"/>
      <c r="X95" s="217"/>
      <c r="Y95" s="217"/>
      <c r="Z95" s="213"/>
      <c r="AA95" s="215"/>
      <c r="AB95" s="215"/>
      <c r="AC95" s="217"/>
      <c r="AD95" s="217"/>
      <c r="AE95" s="213"/>
      <c r="AF95" s="215"/>
      <c r="AG95" s="215"/>
      <c r="AH95" s="217"/>
      <c r="AI95" s="217"/>
      <c r="AJ95" s="213"/>
    </row>
    <row r="96" spans="1:36" ht="16">
      <c r="A96" s="213"/>
      <c r="B96" s="214"/>
      <c r="C96" s="215"/>
      <c r="D96" s="217"/>
      <c r="E96" s="217"/>
      <c r="F96" s="213"/>
      <c r="G96" s="214"/>
      <c r="H96" s="215"/>
      <c r="I96" s="217"/>
      <c r="J96" s="217"/>
      <c r="K96" s="213"/>
      <c r="L96" s="215"/>
      <c r="M96" s="215"/>
      <c r="N96" s="217"/>
      <c r="O96" s="217"/>
      <c r="P96" s="213"/>
      <c r="Q96" s="215"/>
      <c r="R96" s="215"/>
      <c r="S96" s="217"/>
      <c r="T96" s="217"/>
      <c r="U96" s="213"/>
      <c r="V96" s="215"/>
      <c r="W96" s="215"/>
      <c r="X96" s="217"/>
      <c r="Y96" s="217"/>
      <c r="Z96" s="213"/>
      <c r="AA96" s="215"/>
      <c r="AB96" s="215"/>
      <c r="AC96" s="217"/>
      <c r="AD96" s="217"/>
      <c r="AE96" s="213"/>
      <c r="AF96" s="215"/>
      <c r="AG96" s="215"/>
      <c r="AH96" s="217"/>
      <c r="AI96" s="217"/>
      <c r="AJ96" s="213"/>
    </row>
    <row r="97" spans="1:36" ht="16">
      <c r="A97" s="213"/>
      <c r="B97" s="214"/>
      <c r="C97" s="215"/>
      <c r="D97" s="217"/>
      <c r="E97" s="217"/>
      <c r="F97" s="213"/>
      <c r="G97" s="214"/>
      <c r="H97" s="215"/>
      <c r="I97" s="217"/>
      <c r="J97" s="217"/>
      <c r="K97" s="213"/>
      <c r="L97" s="215"/>
      <c r="M97" s="215"/>
      <c r="N97" s="217"/>
      <c r="O97" s="217"/>
      <c r="P97" s="213"/>
      <c r="Q97" s="215"/>
      <c r="R97" s="215"/>
      <c r="S97" s="217"/>
      <c r="T97" s="217"/>
      <c r="U97" s="213"/>
      <c r="V97" s="215"/>
      <c r="W97" s="215"/>
      <c r="X97" s="217"/>
      <c r="Y97" s="217"/>
      <c r="Z97" s="213"/>
      <c r="AA97" s="215"/>
      <c r="AB97" s="215"/>
      <c r="AC97" s="217"/>
      <c r="AD97" s="217"/>
      <c r="AE97" s="213"/>
      <c r="AF97" s="215"/>
      <c r="AG97" s="215"/>
      <c r="AH97" s="217"/>
      <c r="AI97" s="217"/>
      <c r="AJ97" s="213"/>
    </row>
    <row r="98" spans="1:36" ht="16">
      <c r="A98" s="213"/>
      <c r="B98" s="214"/>
      <c r="C98" s="215"/>
      <c r="D98" s="217"/>
      <c r="E98" s="217"/>
      <c r="F98" s="213"/>
      <c r="G98" s="214"/>
      <c r="H98" s="215"/>
      <c r="I98" s="217"/>
      <c r="J98" s="217"/>
      <c r="K98" s="213"/>
      <c r="L98" s="215"/>
      <c r="M98" s="215"/>
      <c r="N98" s="217"/>
      <c r="O98" s="217"/>
      <c r="P98" s="213"/>
      <c r="Q98" s="215"/>
      <c r="R98" s="215"/>
      <c r="S98" s="217"/>
      <c r="T98" s="217"/>
      <c r="U98" s="213"/>
      <c r="V98" s="215"/>
      <c r="W98" s="215"/>
      <c r="X98" s="217"/>
      <c r="Y98" s="217"/>
      <c r="Z98" s="213"/>
      <c r="AA98" s="215"/>
      <c r="AB98" s="215"/>
      <c r="AC98" s="217"/>
      <c r="AD98" s="217"/>
      <c r="AE98" s="213"/>
      <c r="AF98" s="215"/>
      <c r="AG98" s="215"/>
      <c r="AH98" s="217"/>
      <c r="AI98" s="217"/>
      <c r="AJ98" s="213"/>
    </row>
    <row r="99" spans="1:36" ht="16">
      <c r="A99" s="213"/>
      <c r="B99" s="214"/>
      <c r="C99" s="215"/>
      <c r="D99" s="217"/>
      <c r="E99" s="217"/>
      <c r="F99" s="213"/>
      <c r="G99" s="214"/>
      <c r="H99" s="215"/>
      <c r="I99" s="218"/>
      <c r="J99" s="219"/>
      <c r="K99" s="213"/>
      <c r="L99" s="215"/>
      <c r="M99" s="215"/>
      <c r="N99" s="220"/>
      <c r="O99" s="220"/>
      <c r="P99" s="213"/>
      <c r="Q99" s="215"/>
      <c r="R99" s="215"/>
      <c r="S99" s="220"/>
      <c r="T99" s="220"/>
      <c r="U99" s="213"/>
      <c r="V99" s="215"/>
      <c r="W99" s="215"/>
      <c r="X99" s="220"/>
      <c r="Y99" s="220"/>
      <c r="Z99" s="213"/>
      <c r="AA99" s="215"/>
      <c r="AB99" s="215"/>
      <c r="AC99" s="221"/>
      <c r="AD99" s="221"/>
      <c r="AE99" s="213"/>
      <c r="AF99" s="215"/>
      <c r="AG99" s="215"/>
      <c r="AH99" s="220"/>
      <c r="AI99" s="220"/>
      <c r="AJ99" s="213"/>
    </row>
    <row r="113" customFormat="1" ht="15" customHeight="1"/>
    <row r="114" customFormat="1" ht="15" customHeight="1"/>
    <row r="115" customFormat="1" ht="15" customHeight="1"/>
    <row r="116" customFormat="1" ht="15" customHeight="1"/>
    <row r="117" customFormat="1" ht="15" customHeight="1"/>
    <row r="118" customFormat="1" ht="15" customHeight="1"/>
    <row r="119" customFormat="1" ht="15" customHeight="1"/>
    <row r="120" customFormat="1" ht="15" customHeight="1"/>
    <row r="121" customFormat="1" ht="15" customHeight="1"/>
    <row r="122" customFormat="1" ht="15" customHeight="1"/>
    <row r="123" customFormat="1" ht="15" customHeight="1"/>
    <row r="124" customFormat="1" ht="15" customHeight="1"/>
    <row r="125" customFormat="1" ht="15" customHeight="1"/>
    <row r="126" customFormat="1" ht="15" customHeight="1"/>
    <row r="127" customFormat="1" ht="15" customHeight="1"/>
    <row r="128" customFormat="1" ht="15" customHeight="1"/>
    <row r="129" customFormat="1" ht="15" customHeight="1"/>
    <row r="130" customFormat="1" ht="15" customHeight="1"/>
    <row r="131" customFormat="1" ht="15" customHeight="1"/>
    <row r="132" customFormat="1" ht="15" customHeight="1"/>
    <row r="133" customFormat="1" ht="15" customHeight="1"/>
    <row r="134" customFormat="1" ht="15" customHeight="1"/>
    <row r="135" customFormat="1" ht="15" customHeight="1"/>
    <row r="136" customFormat="1" ht="15" customHeight="1"/>
    <row r="137" customFormat="1" ht="15" customHeight="1"/>
    <row r="138" customFormat="1" ht="15" customHeight="1"/>
    <row r="139" customFormat="1" ht="15" customHeight="1"/>
    <row r="140" customFormat="1" ht="15" customHeight="1"/>
    <row r="141" customFormat="1" ht="15" customHeight="1"/>
    <row r="142" customFormat="1" ht="15" customHeight="1"/>
    <row r="143" customFormat="1" ht="15" customHeight="1"/>
    <row r="144" customFormat="1" ht="15" customHeight="1"/>
    <row r="145" customFormat="1" ht="15" customHeight="1"/>
    <row r="146" customFormat="1" ht="15" customHeight="1"/>
    <row r="147" customFormat="1" ht="15" customHeight="1"/>
    <row r="148" customFormat="1" ht="15" customHeight="1"/>
    <row r="149" customFormat="1" ht="15" customHeight="1"/>
    <row r="150" customFormat="1" ht="15" customHeight="1"/>
    <row r="151" customFormat="1" ht="15" customHeight="1"/>
    <row r="152" customFormat="1" ht="15" customHeight="1"/>
    <row r="153" customFormat="1" ht="15" customHeight="1"/>
    <row r="154" customFormat="1" ht="15" customHeight="1"/>
    <row r="155" customFormat="1" ht="15" customHeight="1"/>
    <row r="156" customFormat="1" ht="15" customHeight="1"/>
    <row r="157" customFormat="1" ht="15" customHeight="1"/>
    <row r="158" customFormat="1" ht="15" customHeight="1"/>
    <row r="159" customFormat="1" ht="15" customHeight="1"/>
    <row r="160" customFormat="1" ht="15" customHeight="1"/>
    <row r="161" customFormat="1" ht="15" customHeight="1"/>
    <row r="162" customFormat="1" ht="15" customHeight="1"/>
    <row r="163" customFormat="1" ht="15" customHeight="1"/>
    <row r="164" customFormat="1" ht="15" customHeight="1"/>
    <row r="165" customFormat="1" ht="15" customHeight="1"/>
    <row r="166" customFormat="1" ht="15" customHeight="1"/>
    <row r="167" customFormat="1" ht="15" customHeight="1"/>
    <row r="168" customFormat="1" ht="15" customHeight="1"/>
    <row r="169" customFormat="1" ht="15" customHeight="1"/>
    <row r="170" customFormat="1" ht="15" customHeight="1"/>
    <row r="171" customFormat="1" ht="15" customHeight="1"/>
    <row r="172" customFormat="1" ht="15" customHeight="1"/>
    <row r="173" customFormat="1" ht="15" customHeight="1"/>
    <row r="174" customFormat="1" ht="15" customHeight="1"/>
    <row r="175" customFormat="1" ht="15" customHeight="1"/>
    <row r="176" customFormat="1" ht="15" customHeight="1"/>
    <row r="177" customFormat="1" ht="15" customHeight="1"/>
    <row r="178" customFormat="1" ht="15" customHeight="1"/>
    <row r="179" customFormat="1" ht="15" customHeight="1"/>
    <row r="180" customFormat="1" ht="15" customHeight="1"/>
    <row r="181" customFormat="1" ht="15" customHeight="1"/>
    <row r="182" customFormat="1" ht="15" customHeight="1"/>
    <row r="183" customFormat="1" ht="15" customHeight="1"/>
    <row r="184" customFormat="1" ht="15" customHeight="1"/>
    <row r="185" customFormat="1" ht="15" customHeight="1"/>
    <row r="186" customFormat="1" ht="15" customHeight="1"/>
    <row r="187" customFormat="1" ht="15" customHeight="1"/>
    <row r="188" customFormat="1" ht="15" customHeight="1"/>
    <row r="189" customFormat="1" ht="15" customHeight="1"/>
    <row r="190" customFormat="1" ht="15" customHeight="1"/>
    <row r="191" customFormat="1" ht="15" customHeight="1"/>
    <row r="192" customFormat="1" ht="15" customHeight="1"/>
    <row r="193" customFormat="1" ht="15" customHeight="1"/>
    <row r="194" customFormat="1" ht="15" customHeight="1"/>
    <row r="195" customFormat="1" ht="15" customHeight="1"/>
    <row r="196" customFormat="1" ht="15" customHeight="1"/>
    <row r="197" customFormat="1" ht="15" customHeight="1"/>
    <row r="198" customFormat="1" ht="15" customHeight="1"/>
    <row r="199" customFormat="1" ht="15" customHeight="1"/>
    <row r="200" customFormat="1" ht="15" customHeight="1"/>
    <row r="201" customFormat="1" ht="15" customHeight="1"/>
    <row r="202" customFormat="1" ht="15" customHeight="1"/>
    <row r="203" customFormat="1" ht="15" customHeight="1"/>
    <row r="204" customFormat="1" ht="15" customHeight="1"/>
    <row r="205" customFormat="1" ht="15" customHeight="1"/>
    <row r="206" customFormat="1" ht="15" customHeight="1"/>
    <row r="207" customFormat="1" ht="15" customHeight="1"/>
    <row r="208" customFormat="1" ht="15" customHeight="1"/>
    <row r="209" customFormat="1" ht="15" customHeight="1"/>
    <row r="210" customFormat="1" ht="15" customHeight="1"/>
    <row r="211" customFormat="1" ht="15" customHeight="1"/>
    <row r="212" customFormat="1" ht="15" customHeight="1"/>
    <row r="213" customFormat="1" ht="15" customHeight="1"/>
    <row r="214" customFormat="1" ht="15" customHeight="1"/>
    <row r="215" customFormat="1" ht="15" customHeight="1"/>
    <row r="216" customFormat="1" ht="15" customHeight="1"/>
    <row r="217" customFormat="1" ht="15" customHeight="1"/>
    <row r="218" customFormat="1" ht="15" customHeight="1"/>
    <row r="219" customFormat="1" ht="15" customHeight="1"/>
    <row r="220" customFormat="1" ht="15" customHeight="1"/>
    <row r="221" customFormat="1" ht="15" customHeight="1"/>
    <row r="222" customFormat="1" ht="15" customHeight="1"/>
    <row r="223" customFormat="1" ht="15" customHeight="1"/>
    <row r="224" customFormat="1" ht="15" customHeight="1"/>
    <row r="225" customFormat="1" ht="15" customHeight="1"/>
    <row r="226" customFormat="1" ht="15" customHeight="1"/>
    <row r="227" customFormat="1" ht="15" customHeight="1"/>
    <row r="228" customFormat="1" ht="15" customHeight="1"/>
    <row r="229" customFormat="1" ht="15" customHeight="1"/>
    <row r="230" customFormat="1" ht="15" customHeight="1"/>
    <row r="231" customFormat="1" ht="15" customHeight="1"/>
    <row r="232" customFormat="1" ht="15" customHeight="1"/>
    <row r="233" customFormat="1" ht="15" customHeight="1"/>
    <row r="234" customFormat="1" ht="15" customHeight="1"/>
    <row r="235" customFormat="1" ht="15" customHeight="1"/>
    <row r="236" customFormat="1" ht="15" customHeight="1"/>
    <row r="237" customFormat="1" ht="15" customHeight="1"/>
    <row r="238" customFormat="1" ht="15" customHeight="1"/>
    <row r="239" customFormat="1" ht="15" customHeight="1"/>
    <row r="240" customFormat="1" ht="15" customHeight="1"/>
    <row r="241" customFormat="1" ht="15" customHeight="1"/>
    <row r="242" customFormat="1" ht="15" customHeight="1"/>
    <row r="243" customFormat="1" ht="15" customHeight="1"/>
    <row r="244" customFormat="1" ht="15" customHeight="1"/>
    <row r="245" customFormat="1" ht="15" customHeight="1"/>
    <row r="246" customFormat="1" ht="15" customHeight="1"/>
    <row r="247" customFormat="1" ht="15" customHeight="1"/>
    <row r="248" customFormat="1" ht="15" customHeight="1"/>
    <row r="249" customFormat="1" ht="15" customHeight="1"/>
    <row r="250" customFormat="1" ht="15" customHeight="1"/>
    <row r="251" customFormat="1" ht="15" customHeight="1"/>
    <row r="252" customFormat="1" ht="15" customHeight="1"/>
    <row r="253" customFormat="1" ht="15" customHeight="1"/>
    <row r="254" customFormat="1" ht="15" customHeight="1"/>
    <row r="255" customFormat="1" ht="15" customHeight="1"/>
    <row r="256" customFormat="1" ht="15" customHeight="1"/>
    <row r="257" customFormat="1" ht="15" customHeight="1"/>
    <row r="258" customFormat="1" ht="15" customHeight="1"/>
    <row r="259" customFormat="1" ht="15" customHeight="1"/>
    <row r="260" customFormat="1" ht="15" customHeight="1"/>
    <row r="261" customFormat="1" ht="15" customHeight="1"/>
    <row r="262" customFormat="1" ht="15" customHeight="1"/>
    <row r="263" customFormat="1" ht="15" customHeight="1"/>
    <row r="264" customFormat="1" ht="15" customHeight="1"/>
    <row r="265" customFormat="1" ht="15" customHeight="1"/>
    <row r="266" customFormat="1" ht="15" customHeight="1"/>
    <row r="267" customFormat="1" ht="15" customHeight="1"/>
    <row r="268" customFormat="1" ht="15" customHeight="1"/>
    <row r="269" customFormat="1" ht="15" customHeight="1"/>
    <row r="270" customFormat="1" ht="15" customHeight="1"/>
    <row r="271" customFormat="1" ht="15" customHeight="1"/>
    <row r="272" customFormat="1" ht="15" customHeight="1"/>
    <row r="273" customFormat="1" ht="15" customHeight="1"/>
    <row r="274" customFormat="1" ht="15" customHeight="1"/>
    <row r="275" customFormat="1" ht="15" customHeight="1"/>
    <row r="276" customFormat="1" ht="15" customHeight="1"/>
    <row r="277" customFormat="1" ht="15" customHeight="1"/>
    <row r="278" customFormat="1" ht="15" customHeight="1"/>
    <row r="279" customFormat="1" ht="15" customHeight="1"/>
    <row r="280" customFormat="1" ht="15" customHeight="1"/>
    <row r="281" customFormat="1" ht="15" customHeight="1"/>
    <row r="282" customFormat="1" ht="15" customHeight="1"/>
    <row r="283" customFormat="1" ht="15" customHeight="1"/>
    <row r="284" customFormat="1" ht="15" customHeight="1"/>
    <row r="285" customFormat="1" ht="15" customHeight="1"/>
    <row r="286" customFormat="1" ht="15" customHeight="1"/>
    <row r="287" customFormat="1" ht="15" customHeight="1"/>
    <row r="288" customFormat="1" ht="15" customHeight="1"/>
    <row r="289" customFormat="1" ht="15" customHeight="1"/>
    <row r="290" customFormat="1" ht="15" customHeight="1"/>
    <row r="291" customFormat="1" ht="15" customHeight="1"/>
    <row r="292" customFormat="1" ht="15" customHeight="1"/>
    <row r="293" customFormat="1" ht="15" customHeight="1"/>
    <row r="294" customFormat="1" ht="15" customHeight="1"/>
    <row r="295" customFormat="1" ht="15" customHeight="1"/>
    <row r="296" customFormat="1" ht="15" customHeight="1"/>
    <row r="297" customFormat="1" ht="15" customHeight="1"/>
    <row r="298" customFormat="1" ht="15" customHeight="1"/>
    <row r="299" customFormat="1" ht="15" customHeight="1"/>
    <row r="300" customFormat="1" ht="15" customHeight="1"/>
    <row r="301" customFormat="1" ht="15" customHeight="1"/>
    <row r="302" customFormat="1" ht="15" customHeight="1"/>
    <row r="303" customFormat="1" ht="15" customHeight="1"/>
    <row r="304" customFormat="1" ht="15" customHeight="1"/>
    <row r="305" customFormat="1" ht="15" customHeight="1"/>
    <row r="306" customFormat="1" ht="15" customHeight="1"/>
    <row r="307" customFormat="1" ht="15" customHeight="1"/>
    <row r="308" customFormat="1" ht="15" customHeight="1"/>
    <row r="309" customFormat="1" ht="15" customHeight="1"/>
    <row r="310" customFormat="1" ht="15" customHeight="1"/>
    <row r="311" customFormat="1" ht="15" customHeight="1"/>
    <row r="312" customFormat="1" ht="15" customHeight="1"/>
    <row r="313" customFormat="1" ht="15" customHeight="1"/>
    <row r="314" customFormat="1" ht="15" customHeight="1"/>
    <row r="315" customFormat="1" ht="15" customHeight="1"/>
    <row r="316" customFormat="1" ht="15" customHeight="1"/>
    <row r="317" customFormat="1" ht="15" customHeight="1"/>
    <row r="318" customFormat="1" ht="15" customHeight="1"/>
    <row r="319" customFormat="1" ht="15" customHeight="1"/>
    <row r="320" customFormat="1" ht="15" customHeight="1"/>
    <row r="321" customFormat="1" ht="15" customHeight="1"/>
    <row r="322" customFormat="1" ht="15" customHeight="1"/>
    <row r="323" customFormat="1" ht="15" customHeight="1"/>
    <row r="324" customFormat="1" ht="15" customHeight="1"/>
    <row r="325" customFormat="1" ht="15" customHeight="1"/>
    <row r="326" customFormat="1" ht="15" customHeight="1"/>
    <row r="327" customFormat="1" ht="15" customHeight="1"/>
    <row r="328" customFormat="1" ht="15" customHeight="1"/>
    <row r="329" customFormat="1" ht="15" customHeight="1"/>
    <row r="330" customFormat="1" ht="15" customHeight="1"/>
    <row r="331" customFormat="1" ht="15" customHeight="1"/>
    <row r="332" customFormat="1" ht="15" customHeight="1"/>
    <row r="333" customFormat="1" ht="15" customHeight="1"/>
    <row r="334" customFormat="1" ht="15" customHeight="1"/>
    <row r="335" customFormat="1" ht="15" customHeight="1"/>
    <row r="336" customFormat="1" ht="15" customHeight="1"/>
    <row r="337" customFormat="1" ht="15" customHeight="1"/>
    <row r="338" customFormat="1" ht="15" customHeight="1"/>
    <row r="339" customFormat="1" ht="15" customHeight="1"/>
    <row r="340" customFormat="1" ht="15" customHeight="1"/>
    <row r="341" customFormat="1" ht="15" customHeight="1"/>
    <row r="342" customFormat="1" ht="15" customHeight="1"/>
    <row r="343" customFormat="1" ht="15" customHeight="1"/>
    <row r="344" customFormat="1" ht="15" customHeight="1"/>
    <row r="345" customFormat="1" ht="15" customHeight="1"/>
    <row r="346" customFormat="1" ht="15" customHeight="1"/>
    <row r="347" customFormat="1" ht="15" customHeight="1"/>
    <row r="348" customFormat="1" ht="15" customHeight="1"/>
    <row r="349" customFormat="1" ht="15" customHeight="1"/>
    <row r="350" customFormat="1" ht="15" customHeight="1"/>
    <row r="351" customFormat="1" ht="15" customHeight="1"/>
    <row r="352" customFormat="1" ht="15" customHeight="1"/>
    <row r="353" customFormat="1" ht="15" customHeight="1"/>
    <row r="354" customFormat="1" ht="15" customHeight="1"/>
    <row r="355" customFormat="1" ht="15" customHeight="1"/>
    <row r="356" customFormat="1" ht="15" customHeight="1"/>
    <row r="357" customFormat="1" ht="15" customHeight="1"/>
    <row r="358" customFormat="1" ht="15" customHeight="1"/>
    <row r="359" customFormat="1" ht="15" customHeight="1"/>
    <row r="360" customFormat="1" ht="15" customHeight="1"/>
    <row r="361" customFormat="1" ht="15" customHeight="1"/>
    <row r="362" customFormat="1" ht="15" customHeight="1"/>
    <row r="363" customFormat="1" ht="15" customHeight="1"/>
    <row r="364" customFormat="1" ht="15" customHeight="1"/>
    <row r="365" customFormat="1" ht="15" customHeight="1"/>
    <row r="366" customFormat="1" ht="15" customHeight="1"/>
    <row r="367" customFormat="1" ht="15" customHeight="1"/>
    <row r="368" customFormat="1" ht="15" customHeight="1"/>
    <row r="369" customFormat="1" ht="15" customHeight="1"/>
    <row r="370" customFormat="1" ht="15" customHeight="1"/>
    <row r="371" customFormat="1" ht="15" customHeight="1"/>
    <row r="372" customFormat="1" ht="15" customHeight="1"/>
    <row r="373" customFormat="1" ht="15" customHeight="1"/>
    <row r="374" customFormat="1" ht="15" customHeight="1"/>
    <row r="375" customFormat="1" ht="15" customHeight="1"/>
    <row r="376" customFormat="1" ht="15" customHeight="1"/>
    <row r="377" customFormat="1" ht="15" customHeight="1"/>
    <row r="378" customFormat="1" ht="15" customHeight="1"/>
    <row r="379" customFormat="1" ht="15" customHeight="1"/>
    <row r="380" customFormat="1" ht="15" customHeight="1"/>
    <row r="381" customFormat="1" ht="15" customHeight="1"/>
    <row r="382" customFormat="1" ht="15" customHeight="1"/>
    <row r="383" customFormat="1" ht="15" customHeight="1"/>
    <row r="384" customFormat="1" ht="15" customHeight="1"/>
    <row r="385" customFormat="1" ht="15" customHeight="1"/>
    <row r="386" customFormat="1" ht="15" customHeight="1"/>
    <row r="387" customFormat="1" ht="15" customHeight="1"/>
    <row r="388" customFormat="1" ht="15" customHeight="1"/>
    <row r="389" customFormat="1" ht="15" customHeight="1"/>
    <row r="390" customFormat="1" ht="15" customHeight="1"/>
    <row r="391" customFormat="1" ht="15" customHeight="1"/>
    <row r="392" customFormat="1" ht="15" customHeight="1"/>
    <row r="393" customFormat="1" ht="15" customHeight="1"/>
    <row r="394" customFormat="1" ht="15" customHeight="1"/>
    <row r="395" customFormat="1" ht="15" customHeight="1"/>
    <row r="396" customFormat="1" ht="15" customHeight="1"/>
    <row r="397" customFormat="1" ht="15" customHeight="1"/>
    <row r="398" customFormat="1" ht="15" customHeight="1"/>
    <row r="399" customFormat="1" ht="15" customHeight="1"/>
    <row r="400" customFormat="1" ht="15" customHeight="1"/>
    <row r="401" customFormat="1" ht="15" customHeight="1"/>
    <row r="402" customFormat="1" ht="15" customHeight="1"/>
    <row r="403" customFormat="1" ht="15" customHeight="1"/>
    <row r="404" customFormat="1" ht="15" customHeight="1"/>
    <row r="405" customFormat="1" ht="15" customHeight="1"/>
    <row r="406" customFormat="1" ht="15" customHeight="1"/>
    <row r="407" customFormat="1" ht="15" customHeight="1"/>
    <row r="408" customFormat="1" ht="15" customHeight="1"/>
    <row r="409" customFormat="1" ht="15" customHeight="1"/>
    <row r="410" customFormat="1" ht="15" customHeight="1"/>
    <row r="411" customFormat="1" ht="15" customHeight="1"/>
    <row r="412" customFormat="1" ht="15" customHeight="1"/>
    <row r="413" customFormat="1" ht="15" customHeight="1"/>
    <row r="414" customFormat="1" ht="15" customHeight="1"/>
    <row r="415" customFormat="1" ht="15" customHeight="1"/>
    <row r="416" customFormat="1" ht="15" customHeight="1"/>
    <row r="417" customFormat="1" ht="15" customHeight="1"/>
    <row r="418" customFormat="1" ht="15" customHeight="1"/>
    <row r="419" customFormat="1" ht="15" customHeight="1"/>
    <row r="420" customFormat="1" ht="15" customHeight="1"/>
    <row r="421" customFormat="1" ht="15" customHeight="1"/>
    <row r="422" customFormat="1" ht="15" customHeight="1"/>
    <row r="423" customFormat="1" ht="15" customHeight="1"/>
    <row r="424" customFormat="1" ht="15" customHeight="1"/>
    <row r="425" customFormat="1" ht="15" customHeight="1"/>
    <row r="426" customFormat="1" ht="15" customHeight="1"/>
    <row r="427" customFormat="1" ht="15" customHeight="1"/>
    <row r="428" customFormat="1" ht="15" customHeight="1"/>
    <row r="429" customFormat="1" ht="15" customHeight="1"/>
    <row r="430" customFormat="1" ht="15" customHeight="1"/>
    <row r="431" customFormat="1" ht="15" customHeight="1"/>
    <row r="432" customFormat="1" ht="15" customHeight="1"/>
    <row r="433" customFormat="1" ht="15" customHeight="1"/>
    <row r="434" customFormat="1" ht="15" customHeight="1"/>
    <row r="435" customFormat="1" ht="15" customHeight="1"/>
    <row r="436" customFormat="1" ht="15" customHeight="1"/>
    <row r="437" customFormat="1" ht="15" customHeight="1"/>
    <row r="438" customFormat="1" ht="15" customHeight="1"/>
    <row r="439" customFormat="1" ht="15" customHeight="1"/>
    <row r="440" customFormat="1" ht="15" customHeight="1"/>
    <row r="441" customFormat="1" ht="15" customHeight="1"/>
    <row r="442" customFormat="1" ht="15" customHeight="1"/>
    <row r="443" customFormat="1" ht="15" customHeight="1"/>
    <row r="444" customFormat="1" ht="15" customHeight="1"/>
    <row r="445" customFormat="1" ht="15" customHeight="1"/>
    <row r="446" customFormat="1" ht="15" customHeight="1"/>
    <row r="447" customFormat="1" ht="15" customHeight="1"/>
    <row r="448" customFormat="1" ht="15" customHeight="1"/>
    <row r="449" customFormat="1" ht="15" customHeight="1"/>
    <row r="450" customFormat="1" ht="15" customHeight="1"/>
    <row r="451" customFormat="1" ht="15" customHeight="1"/>
    <row r="452" customFormat="1" ht="15" customHeight="1"/>
    <row r="453" customFormat="1" ht="15" customHeight="1"/>
    <row r="454" customFormat="1" ht="15" customHeight="1"/>
    <row r="455" customFormat="1" ht="15" customHeight="1"/>
    <row r="456" customFormat="1" ht="15" customHeight="1"/>
    <row r="457" customFormat="1" ht="15" customHeight="1"/>
    <row r="458" customFormat="1" ht="15" customHeight="1"/>
    <row r="459" customFormat="1" ht="15" customHeight="1"/>
    <row r="460" customFormat="1" ht="15" customHeight="1"/>
    <row r="461" customFormat="1" ht="15" customHeight="1"/>
    <row r="462" customFormat="1" ht="15" customHeight="1"/>
    <row r="463" customFormat="1" ht="15" customHeight="1"/>
    <row r="464" customFormat="1" ht="15" customHeight="1"/>
    <row r="465" customFormat="1" ht="15" customHeight="1"/>
    <row r="466" customFormat="1" ht="15" customHeight="1"/>
    <row r="467" customFormat="1" ht="15" customHeight="1"/>
    <row r="468" customFormat="1" ht="15" customHeight="1"/>
    <row r="469" customFormat="1" ht="15" customHeight="1"/>
    <row r="470" customFormat="1" ht="15" customHeight="1"/>
    <row r="471" customFormat="1" ht="15" customHeight="1"/>
    <row r="472" customFormat="1" ht="15" customHeight="1"/>
    <row r="473" customFormat="1" ht="15" customHeight="1"/>
    <row r="474" customFormat="1" ht="15" customHeight="1"/>
    <row r="475" customFormat="1" ht="15" customHeight="1"/>
    <row r="476" customFormat="1" ht="15" customHeight="1"/>
    <row r="477" customFormat="1" ht="15" customHeight="1"/>
    <row r="478" customFormat="1" ht="15" customHeight="1"/>
    <row r="479" customFormat="1" ht="15" customHeight="1"/>
    <row r="480" customFormat="1" ht="15" customHeight="1"/>
    <row r="481" customFormat="1" ht="15" customHeight="1"/>
    <row r="482" customFormat="1" ht="15" customHeight="1"/>
    <row r="483" customFormat="1" ht="15" customHeight="1"/>
    <row r="484" customFormat="1" ht="15" customHeight="1"/>
    <row r="485" customFormat="1" ht="15" customHeight="1"/>
    <row r="486" customFormat="1" ht="15" customHeight="1"/>
    <row r="487" customFormat="1" ht="15" customHeight="1"/>
    <row r="488" customFormat="1" ht="15" customHeight="1"/>
    <row r="489" customFormat="1" ht="15" customHeight="1"/>
    <row r="490" customFormat="1" ht="15" customHeight="1"/>
    <row r="491" customFormat="1" ht="15" customHeight="1"/>
    <row r="492" customFormat="1" ht="15" customHeight="1"/>
    <row r="493" customFormat="1" ht="15" customHeight="1"/>
    <row r="494" customFormat="1" ht="15" customHeight="1"/>
    <row r="495" customFormat="1" ht="15" customHeight="1"/>
    <row r="496" customFormat="1" ht="15" customHeight="1"/>
    <row r="497" customFormat="1" ht="15" customHeight="1"/>
    <row r="498" customFormat="1" ht="15" customHeight="1"/>
    <row r="499" customFormat="1" ht="15" customHeight="1"/>
    <row r="500" customFormat="1" ht="15" customHeight="1"/>
    <row r="501" customFormat="1" ht="15" customHeight="1"/>
    <row r="502" customFormat="1" ht="15" customHeight="1"/>
    <row r="503" customFormat="1" ht="15" customHeight="1"/>
    <row r="504" customFormat="1" ht="15" customHeight="1"/>
    <row r="505" customFormat="1" ht="15" customHeight="1"/>
    <row r="506" customFormat="1" ht="15" customHeight="1"/>
    <row r="507" customFormat="1" ht="15" customHeight="1"/>
    <row r="508" customFormat="1" ht="15" customHeight="1"/>
    <row r="509" customFormat="1" ht="15" customHeight="1"/>
    <row r="510" customFormat="1" ht="15" customHeight="1"/>
    <row r="511" customFormat="1" ht="15" customHeight="1"/>
    <row r="512" customFormat="1" ht="15" customHeight="1"/>
    <row r="513" customFormat="1" ht="15" customHeight="1"/>
    <row r="514" customFormat="1" ht="15" customHeight="1"/>
    <row r="515" customFormat="1" ht="15" customHeight="1"/>
    <row r="516" customFormat="1" ht="15" customHeight="1"/>
    <row r="517" customFormat="1" ht="15" customHeight="1"/>
    <row r="518" customFormat="1" ht="15" customHeight="1"/>
    <row r="519" customFormat="1" ht="15" customHeight="1"/>
    <row r="520" customFormat="1" ht="15" customHeight="1"/>
    <row r="521" customFormat="1" ht="15" customHeight="1"/>
    <row r="522" customFormat="1" ht="15" customHeight="1"/>
    <row r="523" customFormat="1" ht="15" customHeight="1"/>
    <row r="524" customFormat="1" ht="15" customHeight="1"/>
    <row r="525" customFormat="1" ht="15" customHeight="1"/>
    <row r="526" customFormat="1" ht="15" customHeight="1"/>
    <row r="527" customFormat="1" ht="15" customHeight="1"/>
    <row r="528" customFormat="1" ht="15" customHeight="1"/>
    <row r="529" customFormat="1" ht="15" customHeight="1"/>
    <row r="530" customFormat="1" ht="15" customHeight="1"/>
    <row r="531" customFormat="1" ht="15" customHeight="1"/>
    <row r="532" customFormat="1" ht="15" customHeight="1"/>
    <row r="533" customFormat="1" ht="15" customHeight="1"/>
    <row r="534" customFormat="1" ht="15" customHeight="1"/>
    <row r="535" customFormat="1" ht="15" customHeight="1"/>
    <row r="536" customFormat="1" ht="15" customHeight="1"/>
    <row r="537" customFormat="1" ht="15" customHeight="1"/>
    <row r="538" customFormat="1" ht="15" customHeight="1"/>
    <row r="539" customFormat="1" ht="15" customHeight="1"/>
    <row r="540" customFormat="1" ht="15" customHeight="1"/>
    <row r="541" customFormat="1" ht="15" customHeight="1"/>
    <row r="542" customFormat="1" ht="15" customHeight="1"/>
    <row r="543" customFormat="1" ht="15" customHeight="1"/>
    <row r="544" customFormat="1" ht="15" customHeight="1"/>
    <row r="545" customFormat="1" ht="15" customHeight="1"/>
    <row r="546" customFormat="1" ht="15" customHeight="1"/>
    <row r="547" customFormat="1" ht="15" customHeight="1"/>
    <row r="548" customFormat="1" ht="15" customHeight="1"/>
    <row r="549" customFormat="1" ht="15" customHeight="1"/>
    <row r="550" customFormat="1" ht="15" customHeight="1"/>
    <row r="551" customFormat="1" ht="15" customHeight="1"/>
    <row r="552" customFormat="1" ht="15" customHeight="1"/>
    <row r="553" customFormat="1" ht="15" customHeight="1"/>
    <row r="554" customFormat="1" ht="15" customHeight="1"/>
    <row r="555" customFormat="1" ht="15" customHeight="1"/>
    <row r="556" customFormat="1" ht="15" customHeight="1"/>
    <row r="557" customFormat="1" ht="15" customHeight="1"/>
    <row r="558" customFormat="1" ht="15" customHeight="1"/>
    <row r="559" customFormat="1" ht="15" customHeight="1"/>
    <row r="560" customFormat="1" ht="15" customHeight="1"/>
    <row r="561" customFormat="1" ht="15" customHeight="1"/>
    <row r="562" customFormat="1" ht="15" customHeight="1"/>
    <row r="563" customFormat="1" ht="15" customHeight="1"/>
    <row r="564" customFormat="1" ht="15" customHeight="1"/>
    <row r="565" customFormat="1" ht="15" customHeight="1"/>
    <row r="566" customFormat="1" ht="15" customHeight="1"/>
    <row r="567" customFormat="1" ht="15" customHeight="1"/>
    <row r="568" customFormat="1" ht="15" customHeight="1"/>
    <row r="569" customFormat="1" ht="15" customHeight="1"/>
    <row r="570" customFormat="1" ht="15" customHeight="1"/>
    <row r="571" customFormat="1" ht="15" customHeight="1"/>
    <row r="572" customFormat="1" ht="15" customHeight="1"/>
    <row r="573" customFormat="1" ht="15" customHeight="1"/>
    <row r="574" customFormat="1" ht="15" customHeight="1"/>
    <row r="575" customFormat="1" ht="15" customHeight="1"/>
    <row r="576" customFormat="1" ht="15" customHeight="1"/>
    <row r="577" customFormat="1" ht="15" customHeight="1"/>
    <row r="578" customFormat="1" ht="15" customHeight="1"/>
    <row r="579" customFormat="1" ht="15" customHeight="1"/>
    <row r="580" customFormat="1" ht="15" customHeight="1"/>
    <row r="581" customFormat="1" ht="15" customHeight="1"/>
    <row r="582" customFormat="1" ht="15" customHeight="1"/>
    <row r="583" customFormat="1" ht="15" customHeight="1"/>
    <row r="584" customFormat="1" ht="15" customHeight="1"/>
    <row r="585" customFormat="1" ht="15" customHeight="1"/>
    <row r="586" customFormat="1" ht="15" customHeight="1"/>
    <row r="587" customFormat="1" ht="15" customHeight="1"/>
    <row r="588" customFormat="1" ht="15" customHeight="1"/>
    <row r="589" customFormat="1" ht="15" customHeight="1"/>
    <row r="590" customFormat="1" ht="15" customHeight="1"/>
    <row r="591" customFormat="1" ht="15" customHeight="1"/>
    <row r="592" customFormat="1" ht="15" customHeight="1"/>
    <row r="593" customFormat="1" ht="15" customHeight="1"/>
    <row r="594" customFormat="1" ht="15" customHeight="1"/>
    <row r="595" customFormat="1" ht="15" customHeight="1"/>
    <row r="596" customFormat="1" ht="15" customHeight="1"/>
    <row r="597" customFormat="1" ht="15" customHeight="1"/>
    <row r="598" customFormat="1" ht="15" customHeight="1"/>
    <row r="599" customFormat="1" ht="15" customHeight="1"/>
    <row r="600" customFormat="1" ht="15" customHeight="1"/>
    <row r="601" customFormat="1" ht="15" customHeight="1"/>
    <row r="602" customFormat="1" ht="15" customHeight="1"/>
    <row r="603" customFormat="1" ht="15" customHeight="1"/>
    <row r="604" customFormat="1" ht="15" customHeight="1"/>
    <row r="605" customFormat="1" ht="15" customHeight="1"/>
    <row r="606" customFormat="1" ht="15" customHeight="1"/>
    <row r="607" customFormat="1" ht="15" customHeight="1"/>
    <row r="608" customFormat="1" ht="15" customHeight="1"/>
    <row r="609" customFormat="1" ht="15" customHeight="1"/>
    <row r="610" customFormat="1" ht="15" customHeight="1"/>
    <row r="611" customFormat="1" ht="15" customHeight="1"/>
    <row r="612" customFormat="1" ht="15" customHeight="1"/>
    <row r="613" customFormat="1" ht="15" customHeight="1"/>
    <row r="614" customFormat="1" ht="15" customHeight="1"/>
    <row r="615" customFormat="1" ht="15" customHeight="1"/>
    <row r="616" customFormat="1" ht="15" customHeight="1"/>
    <row r="617" customFormat="1" ht="15" customHeight="1"/>
    <row r="618" customFormat="1" ht="15" customHeight="1"/>
    <row r="619" customFormat="1" ht="15" customHeight="1"/>
    <row r="620" customFormat="1" ht="15" customHeight="1"/>
    <row r="621" customFormat="1" ht="15" customHeight="1"/>
    <row r="622" customFormat="1" ht="15" customHeight="1"/>
  </sheetData>
  <mergeCells count="14">
    <mergeCell ref="B1:E1"/>
    <mergeCell ref="L1:O1"/>
    <mergeCell ref="V1:Y1"/>
    <mergeCell ref="AF1:AI1"/>
    <mergeCell ref="B2:E2"/>
    <mergeCell ref="L2:O2"/>
    <mergeCell ref="V2:Y2"/>
    <mergeCell ref="AF2:AI2"/>
    <mergeCell ref="G1:J1"/>
    <mergeCell ref="G2:J2"/>
    <mergeCell ref="Q1:T1"/>
    <mergeCell ref="Q2:T2"/>
    <mergeCell ref="AA1:AD1"/>
    <mergeCell ref="AA2:AD2"/>
  </mergeCells>
  <hyperlinks>
    <hyperlink ref="D4" r:id="rId1" display="https://www.linkedin.com/learning/inclusive-leadership?trk=ondemandfile" xr:uid="{00000000-0004-0000-0D00-000000000000}"/>
    <hyperlink ref="E4" r:id="rId2" display="https://www.linkedin.com/learning/paths/advance-your-skills-as-an-individual-contributor?trk=ondemandfile" xr:uid="{00000000-0004-0000-0D00-000001000000}"/>
    <hyperlink ref="I4" r:id="rId3" display="https://www.linkedin.com/learning/accroitre-la-securite-psychologique-de-votre-equipe?trk=contentmappingfile" xr:uid="{00000000-0004-0000-0D00-000002000000}"/>
    <hyperlink ref="N4" r:id="rId4" display="https://www.linkedin.com/learning/aprende-google-drive-2?trk=ondemandfile" xr:uid="{00000000-0004-0000-0D00-000003000000}"/>
    <hyperlink ref="O4" r:id="rId5" display="https://www.linkedin.com/learning/paths/crea-una-atmosfera-de-trabajo-productiva?trk=ondemandfile" xr:uid="{00000000-0004-0000-0D00-000004000000}"/>
    <hyperlink ref="S4" r:id="rId6" display="https://www.linkedin.com/learning/als-fuhrungskraft-das-agile-lernen-im-team-unterstutzen?trk=ondemandfile" xr:uid="{00000000-0004-0000-0D00-000005000000}"/>
    <hyperlink ref="T4" r:id="rId7" display="https://www.linkedin.com/learning/paths/die-zusammenarbeit-fordern?trk=ondemandfile" xr:uid="{00000000-0004-0000-0D00-000006000000}"/>
    <hyperlink ref="X4" r:id="rId8" display="https://www.linkedin.com/learning/leading-with-emotional-intelligence?trk=ondemandfile" xr:uid="{00000000-0004-0000-0D00-000007000000}"/>
    <hyperlink ref="Y4" r:id="rId9" display="https://www.linkedin.com/learning/paths/31070ed0-b901-3bf1-af9c-de2667146e4d?trk=ondemandfile" xr:uid="{00000000-0004-0000-0D00-000008000000}"/>
    <hyperlink ref="AD4" r:id="rId10" display="https://www.linkedin.com/learning/paths/trabalho-remoto-colaboracao-foco-e-produtividade?trk=ondemandfile" xr:uid="{00000000-0004-0000-0D00-000009000000}"/>
    <hyperlink ref="AH4" r:id="rId11" display="https://www.linkedin.com/learning/delivering-employee-feedback-3?trk=ondemandfile" xr:uid="{00000000-0004-0000-0D00-00000A000000}"/>
    <hyperlink ref="AI4" r:id="rId12" display="https://www.linkedin.com/learning/paths/07304244-eccf-3d14-923a-8ca64b7fb518?trk=ondemandfile" xr:uid="{00000000-0004-0000-0D00-00000B000000}"/>
    <hyperlink ref="D5" r:id="rId13" display="https://www.linkedin.com/learning/creating-a-culture-of-collaboration?trk=ondemandfile" xr:uid="{00000000-0004-0000-0D00-00000C000000}"/>
    <hyperlink ref="E5" r:id="rId14" display="https://www.linkedin.com/learning/paths/become-an-inclusive-leader?trk=ondemandfile" xr:uid="{00000000-0004-0000-0D00-00000D000000}"/>
    <hyperlink ref="N5" r:id="rId15" display="https://www.linkedin.com/learning/aprende-trabajo-colaborativo-con-android?trk=ondemandfile" xr:uid="{00000000-0004-0000-0D00-00000E000000}"/>
    <hyperlink ref="O5" r:id="rId16" display="https://www.linkedin.com/learning/paths/profundiza-en-tus-habilidades-de-comunicacion-en-la-empresa?trk=ondemandfile" xr:uid="{00000000-0004-0000-0D00-00000F000000}"/>
    <hyperlink ref="S5" r:id="rId17" display="https://www.linkedin.com/learning/825ea799-d58c-3ea0-99eb-6890487e8958?trk=ondemandfile" xr:uid="{00000000-0004-0000-0D00-000010000000}"/>
    <hyperlink ref="T5" r:id="rId18" display="https://de.linkedin.com/learning/paths/digitaler-arbeitsplatz-tools-fur-die-zusammenarbeit" xr:uid="{00000000-0004-0000-0D00-000011000000}"/>
    <hyperlink ref="X5" r:id="rId19" display="https://www.linkedin.com/learning/fostering-cooperative-relationship-within-teams?trk=ondemandfile" xr:uid="{00000000-0004-0000-0D00-000012000000}"/>
    <hyperlink ref="AD5" r:id="rId20" display="https://www.linkedin.com/learning/paths/como-desenvolver-a-colaboracao-entre-a-equipe?trk=ondemandfile" xr:uid="{00000000-0004-0000-0D00-000013000000}"/>
    <hyperlink ref="AH5" r:id="rId21" display="https://www.linkedin.com/learning/interpersonal-communication-2?trk=ondemandfile" xr:uid="{00000000-0004-0000-0D00-000014000000}"/>
    <hyperlink ref="AI5" r:id="rId22" display="https://www.linkedin.com/learning/paths/6844219d-129d-3432-be7a-4c32e6eaf336?trk=ondemandfile" xr:uid="{00000000-0004-0000-0D00-000015000000}"/>
    <hyperlink ref="D6" r:id="rId23" display="https://www.linkedin.com/learning/reid-hoffman-and-chris-yeh-on-creating-an-alliance-with-employees?trk=ondemandfile" xr:uid="{00000000-0004-0000-0D00-000016000000}"/>
    <hyperlink ref="E6" r:id="rId24" display="https://www.linkedin.com/learning/paths/digital-transformation-in-practice-virtual-collaboration-tools?trk=ondemandfile" xr:uid="{00000000-0004-0000-0D00-000017000000}"/>
    <hyperlink ref="N6" r:id="rId25" display="https://www.linkedin.com/learning/00-bill-george-sobre-self-awareness-autenticidad-y-liderazgo?trk=ondemandfile" xr:uid="{00000000-0004-0000-0D00-000018000000}"/>
    <hyperlink ref="O6" r:id="rId26" display="https://www.linkedin.com/learning/paths/mejora-la-comunicacion-en-el-ambito-empresarial?trk=ondemandfile" xr:uid="{00000000-0004-0000-0D00-000019000000}"/>
    <hyperlink ref="S6" r:id="rId27" display="https://www.linkedin.com/learning/besprechungen-moderieren?trk=ondemandfile" xr:uid="{00000000-0004-0000-0D00-00001A000000}"/>
    <hyperlink ref="X6" r:id="rId28" display="https://www.linkedin.com/learning/being-a-good-mentor-2?trk=ondemandfile" xr:uid="{00000000-0004-0000-0D00-00001B000000}"/>
    <hyperlink ref="AH6" r:id="rId29" display="https://www.linkedin.com/learning/conflict-resolution-foundations-3?trk=ondemandfile" xr:uid="{00000000-0004-0000-0D00-00001C000000}"/>
    <hyperlink ref="AI6" r:id="rId30" display="https://www.linkedin.com/learning/paths/87c473ed-01ce-32f8-90ac-61be15e449c9?trk=ondemandfile" xr:uid="{00000000-0004-0000-0D00-00001D000000}"/>
    <hyperlink ref="D7" r:id="rId31" display="https://www.linkedin.com/learning/employee-experience?trk=ondemandfile" xr:uid="{00000000-0004-0000-0D00-00001E000000}"/>
    <hyperlink ref="E7" r:id="rId32" display="https://www.linkedin.com/learning/paths/fostering-collaboration?trk=ondemandfile" xr:uid="{00000000-0004-0000-0D00-00001F000000}"/>
    <hyperlink ref="N7" r:id="rId33" display="https://www.linkedin.com/learning/00-dar-y-recibir-feedback?trk=ondemandfile" xr:uid="{00000000-0004-0000-0D00-000020000000}"/>
    <hyperlink ref="O7" r:id="rId34" display="https://www.linkedin.com/learning/paths/fomenta-la-colaboracion-en-tu-equipo?trk=ondemandfile" xr:uid="{00000000-0004-0000-0D00-000021000000}"/>
    <hyperlink ref="S7" r:id="rId35" display="https://www.linkedin.com/learning/besser-zuhoren?trk=ondemandfile" xr:uid="{00000000-0004-0000-0D00-000022000000}"/>
    <hyperlink ref="X7" r:id="rId36" display="https://www.linkedin.com/learning/managing-up-2?trk=ondemandfile" xr:uid="{00000000-0004-0000-0D00-000023000000}"/>
    <hyperlink ref="AC7" r:id="rId37" display="https://www.linkedin.com/learning/como-colaborar-de-forma-eficaz-com-sua-equipe?trk=contentmappingfile" xr:uid="{00000000-0004-0000-0D00-000024000000}"/>
    <hyperlink ref="AH7" r:id="rId38" display="https://www.linkedin.com/learning/creating-a-high-performance-culture-4?trk=ondemandfile" xr:uid="{00000000-0004-0000-0D00-000025000000}"/>
    <hyperlink ref="D8" r:id="rId39" display="https://www.linkedin.com/learning/communicating-values?trk=ondemandfile" xr:uid="{00000000-0004-0000-0D00-000026000000}"/>
    <hyperlink ref="E8" r:id="rId40" display="https://www.linkedin.com/learning/paths/improve-your-teamwork-skills?trk=ondemandfile" xr:uid="{00000000-0004-0000-0D00-000027000000}"/>
    <hyperlink ref="N8" r:id="rId41" display="https://www.linkedin.com/learning/00-developing-emotional-intelligence?trk=ondemandfile" xr:uid="{00000000-0004-0000-0D00-000028000000}"/>
    <hyperlink ref="O8" r:id="rId42" display="https://www.linkedin.com/learning/paths/domina-las-habilidades-de-vida-sociales?trk=ondemandfile" xr:uid="{00000000-0004-0000-0D00-000029000000}"/>
    <hyperlink ref="S8" r:id="rId43" display="https://www.linkedin.com/learning/das-homeoffice-sicher-machen?trk=ondemandfile" xr:uid="{00000000-0004-0000-0D00-00002A000000}"/>
    <hyperlink ref="X8" r:id="rId44" display="https://www.linkedin.com/learning/professional-networking-2?trk=ondemandfile" xr:uid="{00000000-0004-0000-0D00-00002B000000}"/>
    <hyperlink ref="AH8" r:id="rId45" display="https://www.linkedin.com/learning/inclusive-leadership-2?trk=ondemandfile" xr:uid="{00000000-0004-0000-0D00-00002C000000}"/>
    <hyperlink ref="D9" r:id="rId46" display="https://www.linkedin.com/learning/humble-leadership-the-power-of-relationships-openness-and-trust-getabstract-summary?trk=ondemandfile" xr:uid="{00000000-0004-0000-0D00-00002D000000}"/>
    <hyperlink ref="E9" r:id="rId47" display="https://www.linkedin.com/learning/paths/building-trust-and-collaborating-with-others-2?trk=ondemandfile" xr:uid="{00000000-0004-0000-0D00-00002E000000}"/>
    <hyperlink ref="N9" r:id="rId48" display="https://www.linkedin.com/learning/como-encontrar-un-trabajo-a-distancia?trk=ondemandfile" xr:uid="{00000000-0004-0000-0D00-00002F000000}"/>
    <hyperlink ref="O9" r:id="rId49" display="https://www.linkedin.com/learning/paths/mejora-tu-capacidad-para-comunicar-con-las-personas?trk=ondemandfile" xr:uid="{00000000-0004-0000-0D00-000030000000}"/>
    <hyperlink ref="S9" r:id="rId50" display="https://www.linkedin.com/learning/die-10-stufen-des-zuhorens-die-eigene-zuhorkompetenz-ausbauen?trk=ondemandfile" xr:uid="{00000000-0004-0000-0D00-000031000000}"/>
    <hyperlink ref="X9" r:id="rId51" display="https://www.linkedin.com/learning/effective-listening-3?trk=ondemandfile" xr:uid="{00000000-0004-0000-0D00-000032000000}"/>
    <hyperlink ref="AH9" r:id="rId52" display="https://www.linkedin.com/learning/giving-and-receiving-feedback-4?trk=ondemandfile" xr:uid="{00000000-0004-0000-0D00-000033000000}"/>
    <hyperlink ref="D10" r:id="rId53" display="https://www.linkedin.com/learning/supporting-a-grieving-employee-a-manager-s-guide?trk=ondemandfile" xr:uid="{00000000-0004-0000-0D00-000034000000}"/>
    <hyperlink ref="N10" r:id="rId54" display="https://www.linkedin.com/learning/building-trust-2?trk=ondemandfile" xr:uid="{00000000-0004-0000-0D00-000035000000}"/>
    <hyperlink ref="O10" r:id="rId55" display="https://www.linkedin.com/learning/paths/amplia-tus-competencias-de-trabajo-en-equipo-colaborativo-y-digital?trk=ondemandfile" xr:uid="{00000000-0004-0000-0D00-000036000000}"/>
    <hyperlink ref="S10" r:id="rId56" display="https://www.linkedin.com/learning/die-assistenz-der-zukunft-schlusselkompetenzen-fur-das-moderne-office-management?trk=ondemandfile" xr:uid="{00000000-0004-0000-0D00-000037000000}"/>
    <hyperlink ref="X10" r:id="rId57" display="https://www.linkedin.com/learning/ten-steps-of-listening-improving-your-listening-skills?trk=contentmappingfile" xr:uid="{00000000-0004-0000-0D00-000038000000}"/>
    <hyperlink ref="AC10" r:id="rId58" display="https://www.linkedin.com/learning/como-dar-feedback-aos-colaboradores?trk=contentmappingfile" xr:uid="{00000000-0004-0000-0D00-000039000000}"/>
    <hyperlink ref="AH10" r:id="rId59" display="https://www.linkedin.com/learning/communicating-with-empathy-2?trk=ondemandfile" xr:uid="{00000000-0004-0000-0D00-00003A000000}"/>
    <hyperlink ref="D11" r:id="rId60" display="https://www.linkedin.com/learning/leading-inclusive-teams?trk=ondemandfile" xr:uid="{00000000-0004-0000-0D00-00003B000000}"/>
    <hyperlink ref="N11" r:id="rId61" display="https://www.linkedin.com/learning/como-gestionar-a-tu-superior?trk=contentmappingfile" xr:uid="{00000000-0004-0000-0D00-00003C000000}"/>
    <hyperlink ref="O11" r:id="rId62" display="https://www.linkedin.com/learning/paths/domina-las-herramientas-de-trabajo-en-equipo-colaborativo-y-digital?trk=ondemandfile" xr:uid="{00000000-0004-0000-0D00-00003D000000}"/>
    <hyperlink ref="S11" r:id="rId63" display="https://www.linkedin.com/learning/00-teamkreativitat?trk=ondemandfile" xr:uid="{00000000-0004-0000-0D00-00003E000000}"/>
    <hyperlink ref="X11" r:id="rId64" display="https://www.linkedin.com/learning/building-trust-5?trk=ondemandfile" xr:uid="{00000000-0004-0000-0D00-00003F000000}"/>
    <hyperlink ref="AH11" r:id="rId65" display="https://www.linkedin.com/learning/98373539-7768-37d9-bfa1-0425382fc5b8?trk=ondemandfile" xr:uid="{00000000-0004-0000-0D00-000040000000}"/>
    <hyperlink ref="D12" r:id="rId66" display="https://www.linkedin.com/learning/what-are-your-blind-spots-getabstract-summary?trk=ondemandfile" xr:uid="{00000000-0004-0000-0D00-000041000000}"/>
    <hyperlink ref="N12" r:id="rId67" display="https://www.linkedin.com/learning/como-liderar-equipos-inclusivos?trk=ondemandfile" xr:uid="{00000000-0004-0000-0D00-000042000000}"/>
    <hyperlink ref="O12" r:id="rId68" display="https://www.linkedin.com/learning/paths/trabajo-a-distancia-preparandote-a-ti-mismo-y-a-tus-equipos-para-el-exito?trk=ondemandfile" xr:uid="{00000000-0004-0000-0D00-000043000000}"/>
    <hyperlink ref="S12" r:id="rId69" display="https://www.linkedin.com/learning/digital-auf-distanz-fuhren-und-ergebnisse-erzielen?trk=contentmappingfile" xr:uid="{00000000-0004-0000-0D00-000044000000}"/>
    <hyperlink ref="X12" r:id="rId70" display="https://www.linkedin.com/learning/communicating-with-trust?trk=contentmappingfile" xr:uid="{00000000-0004-0000-0D00-000045000000}"/>
    <hyperlink ref="AH12" r:id="rId71" display="https://www.linkedin.com/learning/managing-up-down-and-across-the-organization-3?trk=ondemandfile" xr:uid="{00000000-0004-0000-0D00-000046000000}"/>
    <hyperlink ref="D13" r:id="rId72" display="https://www.linkedin.com/learning/the-art-of-connection-7-relationship-building-skills-every-leader-needs-now-getabstract-summary?trk=ondemandfile" xr:uid="{00000000-0004-0000-0D00-000047000000}"/>
    <hyperlink ref="N13" r:id="rId73" display="https://www.linkedin.com/learning/como-liderar-reuniones-individuales-productivas?trk=ondemandfile" xr:uid="{00000000-0004-0000-0D00-000048000000}"/>
    <hyperlink ref="S13" r:id="rId74" display="https://www.linkedin.com/learning/ein-erfolgreiches-teammitglied-sein?trk=ondemandfile" xr:uid="{00000000-0004-0000-0D00-000049000000}"/>
    <hyperlink ref="X13" r:id="rId75" display="https://www.linkedin.com/learning/learning-to-be-approachable-14599142?trk=contentmappingfile" xr:uid="{00000000-0004-0000-0D00-00004A000000}"/>
    <hyperlink ref="AH13" r:id="rId76" display="https://www.linkedin.com/learning/teamwork-foundations-3?trk=ondemandfile" xr:uid="{00000000-0004-0000-0D00-00004B000000}"/>
    <hyperlink ref="D14" r:id="rId77" display="https://www.linkedin.com/learning/unleash-your-team-s-creativity?trk=ondemandfile" xr:uid="{00000000-0004-0000-0D00-00004C000000}"/>
    <hyperlink ref="N14" r:id="rId78" display="https://www.linkedin.com/learning/como-ser-parte-de-un-ambiente-de-trabajo-positivo?trk=ondemandfile" xr:uid="{00000000-0004-0000-0D00-00004D000000}"/>
    <hyperlink ref="S14" r:id="rId79" display="https://www.linkedin.com/learning/emotionale-intelligenz-entwickeln?trk=ondemandfile" xr:uid="{00000000-0004-0000-0D00-00004E000000}"/>
    <hyperlink ref="AC14" r:id="rId80" display="https://www.linkedin.com/learning/como-estimular-o-pensamento-criativo-da-sua-equipe?trk=contentmappingfile" xr:uid="{00000000-0004-0000-0D00-00004F000000}"/>
    <hyperlink ref="AH14" r:id="rId81" display="https://www.linkedin.com/learning/communication-within-teams-3?trk=ondemandfile" xr:uid="{00000000-0004-0000-0D00-000050000000}"/>
    <hyperlink ref="D15" r:id="rId82" display="https://www.linkedin.com/learning/managing-and-working-with-a-technical-team-for-nontechnical-professionals?trk=ondemandfile" xr:uid="{00000000-0004-0000-0D00-000051000000}"/>
    <hyperlink ref="N15" r:id="rId83" display="https://www.linkedin.com/learning/comunicacion-con-atencion-plena-empatia-y-compasion?trk=ondemandfile" xr:uid="{00000000-0004-0000-0D00-000052000000}"/>
    <hyperlink ref="S15" r:id="rId84" display="https://www.linkedin.com/learning/empathie-und-kreativitat-als-neue-schlusselkompetenzen?trk=ondemandfile" xr:uid="{00000000-0004-0000-0D00-000053000000}"/>
    <hyperlink ref="AH15" r:id="rId85" display="https://www.linkedin.com/learning/managing-for-better-ideas-14547440?trk=contentmappingfile" xr:uid="{00000000-0004-0000-0D00-000054000000}"/>
    <hyperlink ref="D16" r:id="rId86" display="https://www.linkedin.com/learning/facilitation-skills-for-managers-and-leaders?trk=ondemandfile" xr:uid="{00000000-0004-0000-0D00-000055000000}"/>
    <hyperlink ref="N16" r:id="rId87" display="https://www.linkedin.com/learning/00-communicating-with-confidence?trk=ondemandfile" xr:uid="{00000000-0004-0000-0D00-000056000000}"/>
    <hyperlink ref="S16" r:id="rId88" display="https://www.linkedin.com/learning/effective-listening-2?trk=ondemandfile" xr:uid="{00000000-0004-0000-0D00-000057000000}"/>
    <hyperlink ref="AC16" r:id="rId89" display="https://www.linkedin.com/learning/como-gerenciar-relacionamentos-com-chefes-colegas-e-subordinados?trk=contentmappingfile" xr:uid="{00000000-0004-0000-0D00-000058000000}"/>
    <hyperlink ref="AH16" r:id="rId90" display="https://www.linkedin.com/learning/learning-to-be-approachable-2?trk=ondemandfile" xr:uid="{00000000-0004-0000-0D00-000059000000}"/>
    <hyperlink ref="D17" r:id="rId91" display="https://www.linkedin.com/learning/management-tips?trk=ondemandfile" xr:uid="{00000000-0004-0000-0D00-00005A000000}"/>
    <hyperlink ref="N17" r:id="rId92" display="https://www.linkedin.com/learning/00-comunicacion-intercultural?trk=ondemandfile" xr:uid="{00000000-0004-0000-0D00-00005B000000}"/>
    <hyperlink ref="S17" r:id="rId93" display="https://www.linkedin.com/learning/firmeninterne-gesprachssituationen-meistern?trk=ondemandfile" xr:uid="{00000000-0004-0000-0D00-00005C000000}"/>
    <hyperlink ref="AC17" r:id="rId94" display="https://www.linkedin.com/learning/como-gerenciar-sua-chefia?trk=contentmappingfile" xr:uid="{00000000-0004-0000-0D00-00005D000000}"/>
    <hyperlink ref="AH17" r:id="rId95" display="https://www.linkedin.com/learning/developing-cross-cultural-intelligence-4?trk=ondemandfile" xr:uid="{00000000-0004-0000-0D00-00005E000000}"/>
    <hyperlink ref="D18" r:id="rId96" display="https://www.linkedin.com/learning/igniting-emotional-engagement?trk=ondemandfile" xr:uid="{00000000-0004-0000-0D00-00005F000000}"/>
    <hyperlink ref="I18" r:id="rId97" display="https://www.linkedin.com/learning/devenir-un-manager-bienveillant-une-manager-bienveillante?trk=contentmappingfile" xr:uid="{00000000-0004-0000-0D00-000060000000}"/>
    <hyperlink ref="N18" r:id="rId98" display="https://www.linkedin.com/learning/comunicacion-interpersonal?trk=ondemandfile" xr:uid="{00000000-0004-0000-0D00-000061000000}"/>
    <hyperlink ref="S18" r:id="rId99" display="https://www.linkedin.com/learning/fred-kofman-uber-konfliktmanagement?trk=ondemandfile" xr:uid="{00000000-0004-0000-0D00-000062000000}"/>
    <hyperlink ref="AH18" r:id="rId100" display="https://www.linkedin.com/learning/developing-your-emotional-intelligence-2?trk=ondemandfile" xr:uid="{00000000-0004-0000-0D00-000063000000}"/>
    <hyperlink ref="D19" r:id="rId101" display="https://www.linkedin.com/learning/connecting-to-executives-2018?trk=ondemandfile" xr:uid="{00000000-0004-0000-0D00-000064000000}"/>
    <hyperlink ref="N19" r:id="rId102" display="https://www.linkedin.com/learning/design-thinking-facilitacion-de-procesos-de-trabajo?trk=ondemandfile" xr:uid="{00000000-0004-0000-0D00-000065000000}"/>
    <hyperlink ref="S19" r:id="rId103" display="https://www.linkedin.com/learning/git-workflows-im-team-optimieren?trk=contentmappingfile" xr:uid="{00000000-0004-0000-0D00-000066000000}"/>
    <hyperlink ref="AH19" r:id="rId104" display="https://www.linkedin.com/learning/4bddab10-145f-3bdb-9cc3-b64313f38564?trk=ondemandfile" xr:uid="{00000000-0004-0000-0D00-000067000000}"/>
    <hyperlink ref="D20" r:id="rId105" display="https://www.linkedin.com/learning/managing-in-a-matrixed-organization?trk=ondemandfile" xr:uid="{00000000-0004-0000-0D00-000068000000}"/>
    <hyperlink ref="I20" r:id="rId106" display="https://www.linkedin.com/learning/donner-des-feedbacks-aux-employes-employees?trk=contentmappingfile" xr:uid="{00000000-0004-0000-0D00-000069000000}"/>
    <hyperlink ref="N20" r:id="rId107" display="https://www.linkedin.com/learning/design-thinking-herramientas-y-tecnicas-presenciales-y-en-teletrabajo?trk=ondemandfile" xr:uid="{00000000-0004-0000-0D00-00006A000000}"/>
    <hyperlink ref="S20" r:id="rId108" display="https://www.linkedin.com/learning/00-mediation?trk=ondemandfile" xr:uid="{00000000-0004-0000-0D00-00006B000000}"/>
    <hyperlink ref="AC20" r:id="rId109" display="https://www.linkedin.com/learning/como-melhorar-suas-competencias-de-escuta?trk=contentmappingfile" xr:uid="{00000000-0004-0000-0D00-00006C000000}"/>
    <hyperlink ref="AH20" r:id="rId110" display="https://www.linkedin.com/learning/learning-to-be-assertive-3?trk=ondemandfile" xr:uid="{00000000-0004-0000-0D00-00006D000000}"/>
    <hyperlink ref="D21" r:id="rId111" display="https://www.linkedin.com/learning/be-a-better-manager-by-motivating-your-team?trk=ondemandfile" xr:uid="{00000000-0004-0000-0D00-00006E000000}"/>
    <hyperlink ref="I21" r:id="rId112" display="https://www.linkedin.com/learning/donner-et-recevoir-du-feedback?trk=contentmappingfile" xr:uid="{00000000-0004-0000-0D00-00006F000000}"/>
    <hyperlink ref="N21" r:id="rId113" display="https://www.linkedin.com/learning/00-fundamentos-de-la-gestion-de-proyectos-comunicacion?trk=ondemandfile" xr:uid="{00000000-0004-0000-0D00-000070000000}"/>
    <hyperlink ref="S21" r:id="rId114" display="https://www.linkedin.com/learning/00-teamarbeit?trk=ondemandfile" xr:uid="{00000000-0004-0000-0D00-000071000000}"/>
    <hyperlink ref="AC21" r:id="rId115" display="https://www.linkedin.com/learning/como-prevenir-o-assedio-no-trabalho-e-criar-um-ambiente-seguro?trk=contentmappingfile" xr:uid="{00000000-0004-0000-0D00-000072000000}"/>
    <hyperlink ref="AH21" r:id="rId116" display="https://www.linkedin.com/learning/building-trust-3?trk=ondemandfile" xr:uid="{00000000-0004-0000-0D00-000073000000}"/>
    <hyperlink ref="D22" r:id="rId117" display="https://www.linkedin.com/learning/building-connection-and-engagement-in-virtual-teams?trk=ondemandfile" xr:uid="{00000000-0004-0000-0D00-000074000000}"/>
    <hyperlink ref="N22" r:id="rId118" display="https://www.linkedin.com/learning/00-professional-networking-fundamentals?trk=ondemandfile" xr:uid="{00000000-0004-0000-0D00-000075000000}"/>
    <hyperlink ref="S22" r:id="rId119" display="https://www.linkedin.com/learning/im-team-kommunizieren?trk=ondemandfile" xr:uid="{00000000-0004-0000-0D00-000076000000}"/>
    <hyperlink ref="AH22" r:id="rId120" display="https://www.linkedin.com/learning/becoming-a-thought-leader?trk=ondemandfile" xr:uid="{00000000-0004-0000-0D00-000077000000}"/>
    <hyperlink ref="D23" r:id="rId121" display="https://www.linkedin.com/learning/advanced-remote-work-strategies?trk=ondemandfile" xr:uid="{00000000-0004-0000-0D00-000078000000}"/>
    <hyperlink ref="N23" r:id="rId122" display="https://www.linkedin.com/learning/00-teletrabajo-trucos-y-consejos?trk=ondemandfile" xr:uid="{00000000-0004-0000-0D00-000079000000}"/>
    <hyperlink ref="S23" r:id="rId123" display="https://www.linkedin.com/learning/im-team-zusammenarbeiten-mit-microsoft-office-365?trk=ondemandfile" xr:uid="{00000000-0004-0000-0D00-00007A000000}"/>
    <hyperlink ref="AH23" r:id="rId124" display="https://www.linkedin.com/learning/building-your-team-4?trk=ondemandfile" xr:uid="{00000000-0004-0000-0D00-00007B000000}"/>
    <hyperlink ref="D24" r:id="rId125" display="https://www.linkedin.com/learning/how-to-develop-friendships-and-connect-meaningfully-with-work-colleagues?trk=ondemandfile" xr:uid="{00000000-0004-0000-0D00-00007C000000}"/>
    <hyperlink ref="N24" r:id="rId126" display="https://www.linkedin.com/learning/gestionar-en-todas-las-direcciones-del-organigrama-empresarial?trk=ondemandfile" xr:uid="{00000000-0004-0000-0D00-00007D000000}"/>
    <hyperlink ref="S24" r:id="rId127" display="https://www.linkedin.com/learning/interkulturelle-kompetenz?trk=ondemandfile" xr:uid="{00000000-0004-0000-0D00-00007E000000}"/>
    <hyperlink ref="AH24" r:id="rId128" display="https://www.linkedin.com/learning/creating-great-first-impressions-2?trk=ondemandfile" xr:uid="{00000000-0004-0000-0D00-00007F000000}"/>
    <hyperlink ref="D25" r:id="rId129" display="https://www.linkedin.com/learning/a-guide-to-ergs-employee-resource-groups?trk=ondemandfile" xr:uid="{00000000-0004-0000-0D00-000080000000}"/>
    <hyperlink ref="I25" r:id="rId130" display="https://www.linkedin.com/learning/gerer-ses-relations-avec-son-chef-sa-cheffe-ses-collegues-et-ses-employes-employees?trk=contentmappingfile" xr:uid="{00000000-0004-0000-0D00-000081000000}"/>
    <hyperlink ref="N25" r:id="rId131" display="https://www.linkedin.com/learning/habilidades-de-trabajo-fundamentales?trk=ondemandfile" xr:uid="{00000000-0004-0000-0D00-000082000000}"/>
    <hyperlink ref="S25" r:id="rId132" display="https://www.linkedin.com/learning/00-anteilmanag?trk=ondemandfile" xr:uid="{00000000-0004-0000-0D00-000083000000}"/>
    <hyperlink ref="AC25" r:id="rId133" display="https://www.linkedin.com/learning/como-ser-uma-pessoa-assertiva?trk=contentmappingfile" xr:uid="{00000000-0004-0000-0D00-000084000000}"/>
    <hyperlink ref="AH25" r:id="rId134" display="https://www.linkedin.com/learning/improving-your-listening-skills-2?trk=ondemandfile" xr:uid="{00000000-0004-0000-0D00-000085000000}"/>
    <hyperlink ref="D26" r:id="rId135" display="https://www.linkedin.com/learning/build-a-trustworthy-reputation?trk=ondemandfile" xr:uid="{00000000-0004-0000-0D00-000086000000}"/>
    <hyperlink ref="I26" r:id="rId136" display="https://www.linkedin.com/learning/gerer-son-superieur-sa-superieure-hierarchique?trk=contentmappingfile" xr:uid="{00000000-0004-0000-0D00-000087000000}"/>
    <hyperlink ref="N26" r:id="rId137" display="https://www.linkedin.com/learning/00-consejos-para-trabajar-a-distancia?trk=ondemandfile" xr:uid="{00000000-0004-0000-0D00-000088000000}"/>
    <hyperlink ref="S26" r:id="rId138" display="https://www.linkedin.com/learning/kollaborative-fuhrung?trk=contentmappingfile" xr:uid="{00000000-0004-0000-0D00-000089000000}"/>
    <hyperlink ref="AH26" r:id="rId139" display="https://www.linkedin.com/learning/86d80f76-f728-332c-a87d-dc1fddaa0c91?trk=ondemandfile" xr:uid="{00000000-0004-0000-0D00-00008A000000}"/>
    <hyperlink ref="D27" r:id="rId140" display="https://www.linkedin.com/learning/collaborative-workflows-for-editors-and-designers?trk=contentmappingfile" xr:uid="{00000000-0004-0000-0D00-00008B000000}"/>
    <hyperlink ref="N27" r:id="rId141" display="https://www.linkedin.com/learning/herramientas-online-para-teletrabajo-trucos?trk=ondemandfile" xr:uid="{00000000-0004-0000-0D00-00008C000000}"/>
    <hyperlink ref="S27" r:id="rId142" display="https://www.linkedin.com/learning/konfliktlosung-grundlagen?trk=ondemandfile" xr:uid="{00000000-0004-0000-0D00-00008D000000}"/>
    <hyperlink ref="AH27" r:id="rId143" display="https://www.linkedin.com/learning/managing-employee-performance-problems-5?trk=ondemandfile" xr:uid="{00000000-0004-0000-0D00-00008E000000}"/>
    <hyperlink ref="D28" r:id="rId144" display="https://www.linkedin.com/learning/cross-functional-sales-teams?trk=ondemandfile" xr:uid="{00000000-0004-0000-0D00-00008F000000}"/>
    <hyperlink ref="N28" r:id="rId145" display="https://www.linkedin.com/learning/la-escucha-activa?trk=ondemandfile" xr:uid="{00000000-0004-0000-0D00-000090000000}"/>
    <hyperlink ref="S28" r:id="rId146" display="https://www.linkedin.com/learning/konfliktmanagement-in-projekten?trk=ondemandfile" xr:uid="{00000000-0004-0000-0D00-000091000000}"/>
    <hyperlink ref="AH28" r:id="rId147" display="https://www.linkedin.com/learning/professional-networking-3?trk=ondemandfile" xr:uid="{00000000-0004-0000-0D00-000092000000}"/>
    <hyperlink ref="D29" r:id="rId148" display="https://www.linkedin.com/learning/how-to-build-rapport-quickly?trk=ondemandfile" xr:uid="{00000000-0004-0000-0D00-000093000000}"/>
    <hyperlink ref="N29" r:id="rId149" display="https://www.linkedin.com/learning/liderazgo-agil-como-afrontar-la-nueva-normalidad?trk=ondemandfile" xr:uid="{00000000-0004-0000-0D00-000094000000}"/>
    <hyperlink ref="S29" r:id="rId150" display="https://www.linkedin.com/learning/kreativnetzwerk?trk=ondemandfile" xr:uid="{00000000-0004-0000-0D00-000095000000}"/>
    <hyperlink ref="AH29" r:id="rId151" display="https://www.linkedin.com/learning/measuring-team-performance-5?trk=ondemandfile" xr:uid="{00000000-0004-0000-0D00-000096000000}"/>
    <hyperlink ref="D30" r:id="rId152" display="https://www.linkedin.com/learning/become-a-super-collaborator?trk=ondemandfile" xr:uid="{00000000-0004-0000-0D00-000097000000}"/>
    <hyperlink ref="N30" r:id="rId153" display="https://www.linkedin.com/learning/liderazgo-transformador?trk=ondemandfile" xr:uid="{00000000-0004-0000-0D00-000098000000}"/>
    <hyperlink ref="S30" r:id="rId154" display="https://www.linkedin.com/learning/00-rechte-in-sozialen-netzwerken?trk=ondemandfile" xr:uid="{00000000-0004-0000-0D00-000099000000}"/>
    <hyperlink ref="AH30" r:id="rId155" display="https://www.linkedin.com/learning/project-management-foundations-teams-2?trk=ondemandfile" xr:uid="{00000000-0004-0000-0D00-00009A000000}"/>
    <hyperlink ref="D31" r:id="rId156" display="https://www.linkedin.com/learning/collaboration-principles-and-process?trk=ondemandfile" xr:uid="{00000000-0004-0000-0D00-00009B000000}"/>
    <hyperlink ref="N31" r:id="rId157" display="https://www.linkedin.com/learning/00-liderazgo-y-trabajo-en-equipo?trk=ondemandfile" xr:uid="{00000000-0004-0000-0D00-00009C000000}"/>
    <hyperlink ref="S31" r:id="rId158" display="https://www.linkedin.com/learning/00-mentoring?trk=ondemandfile" xr:uid="{00000000-0004-0000-0D00-00009D000000}"/>
    <hyperlink ref="AH31" r:id="rId159" display="https://www.linkedin.com/learning/779ed34b-4bd3-393b-bda7-0163601fbcc8?trk=ondemandfile" xr:uid="{00000000-0004-0000-0D00-00009E000000}"/>
    <hyperlink ref="D32" r:id="rId160" display="https://www.linkedin.com/learning/communicating-with-empathy?trk=ondemandfile" xr:uid="{00000000-0004-0000-0D00-00009F000000}"/>
    <hyperlink ref="N32" r:id="rId161" display="https://www.linkedin.com/learning/improving-your-listening-skills-3?trk=ondemandfile" xr:uid="{00000000-0004-0000-0D00-0000A0000000}"/>
    <hyperlink ref="S32" r:id="rId162" display="https://www.linkedin.com/learning/microsoft-teams-grundkurs?trk=ondemandfile" xr:uid="{00000000-0004-0000-0D00-0000A1000000}"/>
    <hyperlink ref="AH32" r:id="rId163" display="https://www.linkedin.com/learning/leading-and-working-in-teams-3?trk=ondemandfile" xr:uid="{00000000-0004-0000-0D00-0000A2000000}"/>
    <hyperlink ref="D33" r:id="rId164" display="https://www.linkedin.com/learning/developing-self-awareness?trk=ondemandfile" xr:uid="{00000000-0004-0000-0D00-0000A3000000}"/>
    <hyperlink ref="N33" r:id="rId165" display="https://www.linkedin.com/learning/motivaci-n-e-implicaci-n-en-la-empresa?trk=ondemandfile" xr:uid="{00000000-0004-0000-0D00-0000A4000000}"/>
    <hyperlink ref="S33" r:id="rId166" display="https://www.linkedin.com/learning/microsoft-teams-besprechungen-webinare-liveereignisse?trk=contentmappingfile" xr:uid="{00000000-0004-0000-0D00-0000A5000000}"/>
    <hyperlink ref="AH33" r:id="rId167" display="https://www.linkedin.com/learning/leading-with-emotional-intelligence-2?trk=ondemandfile" xr:uid="{00000000-0004-0000-0D00-0000A6000000}"/>
    <hyperlink ref="D34" r:id="rId168" display="https://www.linkedin.com/learning/developing-your-emotional-intelligence?trk=ondemandfile" xr:uid="{00000000-0004-0000-0D00-0000A7000000}"/>
    <hyperlink ref="N34" r:id="rId169" display="https://www.linkedin.com/learning/recursos-humanos-como-manejar-el-bullying-en-el-lugar-de-trabajo?trk=ondemandfile" xr:uid="{00000000-0004-0000-0D00-0000A8000000}"/>
    <hyperlink ref="S34" r:id="rId170" display="https://www.linkedin.com/learning/00-feedback?trk=ondemandfile" xr:uid="{00000000-0004-0000-0D00-0000A9000000}"/>
    <hyperlink ref="AH34" r:id="rId171" display="https://www.linkedin.com/learning/being-an-effective-team-member-2?trk=ondemandfile" xr:uid="{00000000-0004-0000-0D00-0000AA000000}"/>
    <hyperlink ref="D35" r:id="rId172" display="https://www.linkedin.com/learning/interpersonal-communication?trk=ondemandfile" xr:uid="{00000000-0004-0000-0D00-0000AB000000}"/>
    <hyperlink ref="I35" r:id="rId173" display="https://www.linkedin.com/learning/microsoft-teams-utiliser-les-applications-de-collaboration?trk=contentmappingfile" xr:uid="{00000000-0004-0000-0D00-0000AC000000}"/>
    <hyperlink ref="N35" r:id="rId174" display="https://www.linkedin.com/learning/teletrabajo?trk=ondemandfile" xr:uid="{00000000-0004-0000-0D00-0000AD000000}"/>
    <hyperlink ref="S35" r:id="rId175" display="https://www.linkedin.com/learning/multikulturelle-teams-f-hren?trk=ondemandfile" xr:uid="{00000000-0004-0000-0D00-0000AE000000}"/>
    <hyperlink ref="D36" r:id="rId176" display="https://www.linkedin.com/learning/working-on-a-cross-functional-team?trk=ondemandfile" xr:uid="{00000000-0004-0000-0D00-0000AF000000}"/>
    <hyperlink ref="N36" r:id="rId177" display="https://www.linkedin.com/learning/trabajando-y-colaborando-online?trk=ondemandfile" xr:uid="{00000000-0004-0000-0D00-0000B0000000}"/>
    <hyperlink ref="S36" r:id="rId178" display="https://www.linkedin.com/learning/lernen-ansprechbar-zu-sein?trk=ondemandfile" xr:uid="{00000000-0004-0000-0D00-0000B1000000}"/>
    <hyperlink ref="D37" r:id="rId179" display="https://www.linkedin.com/learning/women-transforming-tech-networking?trk=ondemandfile" xr:uid="{00000000-0004-0000-0D00-0000B2000000}"/>
    <hyperlink ref="N37" r:id="rId180" display="https://www.linkedin.com/learning/00-fundamentos-del-trabajo-en-equipo?trk=ondemandfile" xr:uid="{00000000-0004-0000-0D00-0000B3000000}"/>
    <hyperlink ref="S37" r:id="rId181" display="https://www.linkedin.com/learning/onedrive-grundkurs?trk=ondemandfile" xr:uid="{00000000-0004-0000-0D00-0000B4000000}"/>
    <hyperlink ref="D38" r:id="rId182" display="https://www.linkedin.com/learning/social-success-at-work?trk=ondemandfile" xr:uid="{00000000-0004-0000-0D00-0000B5000000}"/>
    <hyperlink ref="S38" r:id="rId183" display="https://www.linkedin.com/learning/online-arbeiten-allein-und-im-team?trk=contentmappingfile" xr:uid="{00000000-0004-0000-0D00-0000B6000000}"/>
    <hyperlink ref="D39" r:id="rId184" display="https://www.linkedin.com/learning/the-surprising-power-of-seeing-people-as-people?trk=ondemandfile" xr:uid="{00000000-0004-0000-0D00-0000B7000000}"/>
    <hyperlink ref="S39" r:id="rId185" display="https://www.linkedin.com/learning/optimistisch-bleiben-im-job?trk=ondemandfile" xr:uid="{00000000-0004-0000-0D00-0000B8000000}"/>
    <hyperlink ref="D40" r:id="rId186" display="https://www.linkedin.com/learning/creating-a-culture-of-learning-2?trk=ondemandfile" xr:uid="{00000000-0004-0000-0D00-0000B9000000}"/>
    <hyperlink ref="S40" r:id="rId187" display="https://www.linkedin.com/learning/ortsunabhangig-arbeiten?trk=ondemandfile" xr:uid="{00000000-0004-0000-0D00-0000BA000000}"/>
    <hyperlink ref="D41" r:id="rId188" display="https://www.linkedin.com/learning/teamwork-foundations-2020?trk=ondemandfile" xr:uid="{00000000-0004-0000-0D00-0000BB000000}"/>
    <hyperlink ref="S41" r:id="rId189" display="https://www.linkedin.com/learning/premiere-pro-cloud-und-netzwerkbasierte-teamarbeit-mit-produktion-und-team-projects?trk=contentmappingfile" xr:uid="{00000000-0004-0000-0D00-0000BC000000}"/>
    <hyperlink ref="D42" r:id="rId190" display="https://www.linkedin.com/learning/allyship-for-all?trk=ondemandfile" xr:uid="{00000000-0004-0000-0D00-0000BD000000}"/>
    <hyperlink ref="S42" r:id="rId191" display="https://www.linkedin.com/learning/professionell-netzwerken?trk=ondemandfile" xr:uid="{00000000-0004-0000-0D00-0000BE000000}"/>
    <hyperlink ref="D43" r:id="rId192" display="https://www.linkedin.com/learning/leveraging-your-relationship-capital?trk=ondemandfile" xr:uid="{00000000-0004-0000-0D00-0000BF000000}"/>
    <hyperlink ref="S43" r:id="rId193" display="https://www.linkedin.com/learning/projektmanagement-ethik-und-compliance?trk=ondemandfile" xr:uid="{00000000-0004-0000-0D00-0000C0000000}"/>
    <hyperlink ref="D44" r:id="rId194" display="https://www.linkedin.com/learning/the-ultimate-guide-to-networking?trk=ondemandfile" xr:uid="{00000000-0004-0000-0D00-0000C1000000}"/>
    <hyperlink ref="S44" r:id="rId195" display="https://www.linkedin.com/learning/00-projektmanagement-teamfuhrung?trk=ondemandfile" xr:uid="{00000000-0004-0000-0D00-0000C2000000}"/>
    <hyperlink ref="D45" r:id="rId196" display="https://www.linkedin.com/learning/21-opportunities-for-better-networking?trk=ondemandfile" xr:uid="{00000000-0004-0000-0D00-0000C3000000}"/>
    <hyperlink ref="S45" r:id="rId197" display="https://www.linkedin.com/learning/servant-leadership-dienende-fuhrung?trk=ondemandfile" xr:uid="{00000000-0004-0000-0D00-0000C4000000}"/>
    <hyperlink ref="D46" r:id="rId198" display="https://www.linkedin.com/learning/embracing-conflict-as-a-gift?trk=ondemandfile" xr:uid="{00000000-0004-0000-0D00-0000C5000000}"/>
    <hyperlink ref="S46" r:id="rId199" display="https://www.linkedin.com/learning/sharepoint-2019-grundkurs?trk=ondemandfile" xr:uid="{00000000-0004-0000-0D00-0000C6000000}"/>
    <hyperlink ref="D47" r:id="rId200" display="https://www.linkedin.com/learning/mindful-team-building?trk=ondemandfile" xr:uid="{00000000-0004-0000-0D00-0000C7000000}"/>
    <hyperlink ref="S47" r:id="rId201" display="https://www.linkedin.com/learning/sharepoint-fur-power-user?trk=ondemandfile" xr:uid="{00000000-0004-0000-0D00-0000C8000000}"/>
    <hyperlink ref="D48" r:id="rId202" display="https://www.linkedin.com/learning/the-value-of-employee-resource-groups?trk=ondemandfile" xr:uid="{00000000-0004-0000-0D00-0000C9000000}"/>
    <hyperlink ref="S48" r:id="rId203" display="https://www.linkedin.com/learning/sharepoint-online-grundkurs-2?trk=ondemandfile" xr:uid="{00000000-0004-0000-0D00-0000CA000000}"/>
    <hyperlink ref="D49" r:id="rId204" display="https://www.linkedin.com/learning/connecting-and-collaborating-in-a-virtual-or-hybrid-workplace?trk=ondemandfile" xr:uid="{00000000-0004-0000-0D00-0000CB000000}"/>
    <hyperlink ref="S49" r:id="rId205" display="https://www.linkedin.com/learning/sich-und-andere-besser-verstehen?trk=ondemandfile" xr:uid="{00000000-0004-0000-0D00-0000CC000000}"/>
    <hyperlink ref="D50" r:id="rId206" display="https://www.linkedin.com/learning/how-to-work-with-a-micromanager?trk=ondemandfile" xr:uid="{00000000-0004-0000-0D00-0000CD000000}"/>
    <hyperlink ref="S50" r:id="rId207" display="https://www.linkedin.com/learning/vertrauen-aufbauen-aufrechterhalten-und-wiederherstellen?trk=contentmappingfile" xr:uid="{00000000-0004-0000-0D00-0000CE000000}"/>
    <hyperlink ref="D51" r:id="rId208" display="https://www.linkedin.com/learning/communicating-with-transparency?trk=ondemandfile" xr:uid="{00000000-0004-0000-0D00-0000CF000000}"/>
    <hyperlink ref="S51" r:id="rId209" display="https://www.linkedin.com/learning/werteorientiertes-management?trk=ondemandfile" xr:uid="{00000000-0004-0000-0D00-0000D0000000}"/>
    <hyperlink ref="D52" r:id="rId210" display="https://www.linkedin.com/learning/being-an-effective-team-member?trk=ondemandfile" xr:uid="{00000000-0004-0000-0D00-0000D1000000}"/>
    <hyperlink ref="S52" r:id="rId211" display="https://www.linkedin.com/learning/probleme-konfliktfrei-losen-mit-inspektor-columbo-columbos-regeln?trk=contentmappingfile" xr:uid="{00000000-0004-0000-0D00-0000D2000000}"/>
    <hyperlink ref="D53" r:id="rId212" display="https://www.linkedin.com/learning/building-trust-2018?trk=ondemandfile" xr:uid="{00000000-0004-0000-0D00-0000D3000000}"/>
    <hyperlink ref="D54" r:id="rId213" display="https://www.linkedin.com/learning/giving-and-receiving-feedback?trk=ondemandfile" xr:uid="{00000000-0004-0000-0D00-0000D4000000}"/>
    <hyperlink ref="D55" r:id="rId214" display="https://www.linkedin.com/learning/improving-your-listening-skills?trk=ondemandfile" xr:uid="{00000000-0004-0000-0D00-0000D5000000}"/>
    <hyperlink ref="D56" r:id="rId215" display="https://www.linkedin.com/learning/microsoft-viva-first-look?trk=ondemandfile" xr:uid="{00000000-0004-0000-0D00-0000D6000000}"/>
    <hyperlink ref="D57" r:id="rId216" display="https://www.linkedin.com/learning/learning-to-say-no-with-confidence-and-grace?trk=ondemandfile" xr:uid="{00000000-0004-0000-0D00-0000D7000000}"/>
    <hyperlink ref="D58" r:id="rId217" display="https://www.linkedin.com/learning/effective-listening?trk=ondemandfile" xr:uid="{00000000-0004-0000-0D00-0000D8000000}"/>
    <hyperlink ref="D59" r:id="rId218" display="https://www.linkedin.com/learning/developing-your-professional-image?trk=ondemandfile" xr:uid="{00000000-0004-0000-0D00-0000D9000000}"/>
    <hyperlink ref="D60" r:id="rId219" display="https://www.linkedin.com/learning/professional-networking?trk=ondemandfile" xr:uid="{00000000-0004-0000-0D00-0000DA000000}"/>
    <hyperlink ref="D61" r:id="rId220" display="https://www.linkedin.com/learning/why-trust-matters-with-rachel-botsman?trk=ondemandfile" xr:uid="{00000000-0004-0000-0D00-0000DB000000}"/>
    <hyperlink ref="D62" r:id="rId221" display="https://www.linkedin.com/learning/dealing-with-grief-loss-and-change-as-an-employee?trk=ondemandfile" xr:uid="{00000000-0004-0000-0D00-0000DC000000}"/>
    <hyperlink ref="D63" r:id="rId222" display="https://www.linkedin.com/learning/business-ethics-2?trk=ondemandfile" xr:uid="{00000000-0004-0000-0D00-0000DD000000}"/>
    <hyperlink ref="D64" r:id="rId223" display="https://www.linkedin.com/learning/having-bold-and-inclusive-conversations?trk=ondemandfile" xr:uid="{00000000-0004-0000-0D00-0000DE000000}"/>
    <hyperlink ref="D65" r:id="rId224" display="https://www.linkedin.com/learning/building-relationships-while-working-from-home?trk=ondemandfile" xr:uid="{00000000-0004-0000-0D00-0000DF000000}"/>
    <hyperlink ref="D66" r:id="rId225" display="https://www.linkedin.com/learning/essentials-of-team-collaboration?trk=ondemandfile" xr:uid="{00000000-0004-0000-0D00-0000E0000000}"/>
    <hyperlink ref="D67" r:id="rId226" display="https://www.linkedin.com/learning/managing-up-as-an-employee?trk=ondemandfile" xr:uid="{00000000-0004-0000-0D00-0000E1000000}"/>
    <hyperlink ref="D68" r:id="rId227" display="https://www.linkedin.com/learning/redesigning-how-we-work-in-2021?trk=ondemandfile" xr:uid="{00000000-0004-0000-0D00-0000E2000000}"/>
    <hyperlink ref="D69" r:id="rId228" display="https://www.linkedin.com/learning/creating-a-connection-culture?trk=ondemandfile" xr:uid="{00000000-0004-0000-0D00-0000E3000000}"/>
    <hyperlink ref="D70" r:id="rId229" display="https://www.linkedin.com/learning/business-collaboration-in-the-modern-workplace?trk=ondemandfile" xr:uid="{00000000-0004-0000-0D00-0000E4000000}"/>
    <hyperlink ref="D71" r:id="rId230" display="https://www.linkedin.com/learning/communicating-with-diplomacy-and-tact?trk=ondemandfile" xr:uid="{00000000-0004-0000-0D00-0000E5000000}"/>
    <hyperlink ref="D72" r:id="rId231" display="https://www.linkedin.com/learning/cultivating-grit-and-embracing-adversity-on-your-team?trk=ondemandfile" xr:uid="{00000000-0004-0000-0D00-0000E6000000}"/>
    <hyperlink ref="D73" r:id="rId232" display="https://www.linkedin.com/learning/empathy-at-work?trk=ondemandfile" xr:uid="{00000000-0004-0000-0D00-0000E7000000}"/>
    <hyperlink ref="D74" r:id="rId233" display="https://www.linkedin.com/learning/developing-business-partnerships?trk=ondemandfile" xr:uid="{00000000-0004-0000-0D00-0000E8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Click and enter a value from range 'Competency Titles'!A1:A27" xr:uid="{00000000-0002-0000-0D00-000000000000}">
          <x14:formula1>
            <xm:f>#REF!</xm:f>
          </x14:formula1>
          <xm:sqref>B1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45818E"/>
    <outlinePr summaryBelow="0" summaryRight="0"/>
  </sheetPr>
  <dimension ref="A1:AJ122"/>
  <sheetViews>
    <sheetView showGridLines="0" workbookViewId="0">
      <pane ySplit="3" topLeftCell="A4" activePane="bottomLeft" state="frozen"/>
      <selection pane="bottomLeft" sqref="A1:XFD1048576"/>
    </sheetView>
  </sheetViews>
  <sheetFormatPr baseColWidth="10" defaultColWidth="11.1640625" defaultRowHeight="15" customHeight="1"/>
  <cols>
    <col min="1" max="1" width="1.1640625" customWidth="1"/>
    <col min="2" max="2" width="11.1640625" customWidth="1"/>
    <col min="3" max="3" width="18.5" customWidth="1"/>
    <col min="4" max="5" width="44.5" customWidth="1"/>
    <col min="6" max="6" width="1.1640625" customWidth="1"/>
    <col min="7" max="7" width="11.1640625" customWidth="1"/>
    <col min="8" max="8" width="19.33203125" customWidth="1"/>
    <col min="9" max="10" width="44.5" customWidth="1"/>
    <col min="11" max="11" width="1.1640625" customWidth="1"/>
    <col min="12" max="12" width="11.1640625" customWidth="1"/>
    <col min="13" max="13" width="20.83203125" customWidth="1"/>
    <col min="14" max="15" width="44.5" customWidth="1"/>
    <col min="16" max="16" width="1.1640625" customWidth="1"/>
    <col min="17" max="17" width="11.1640625" customWidth="1"/>
    <col min="18" max="18" width="19.6640625" customWidth="1"/>
    <col min="19" max="20" width="44.5" customWidth="1"/>
    <col min="21" max="21" width="1.1640625" customWidth="1"/>
    <col min="23" max="23" width="18.6640625" customWidth="1"/>
    <col min="24" max="25" width="44.5" customWidth="1"/>
    <col min="26" max="26" width="1.1640625" customWidth="1"/>
    <col min="27" max="27" width="11.1640625" customWidth="1"/>
    <col min="28" max="28" width="26.6640625" customWidth="1"/>
    <col min="29" max="30" width="44.5" customWidth="1"/>
    <col min="31" max="31" width="1.1640625" customWidth="1"/>
    <col min="32" max="32" width="11.1640625" customWidth="1"/>
    <col min="33" max="33" width="21" customWidth="1"/>
    <col min="34" max="35" width="44.5" customWidth="1"/>
    <col min="36" max="36" width="1.1640625" customWidth="1"/>
  </cols>
  <sheetData>
    <row r="1" spans="1:36" ht="34.5" customHeight="1">
      <c r="A1" s="208"/>
      <c r="B1" s="230" t="s">
        <v>4</v>
      </c>
      <c r="C1" s="222"/>
      <c r="D1" s="222"/>
      <c r="E1" s="222"/>
      <c r="F1" s="208"/>
      <c r="G1" s="230" t="str">
        <f ca="1">IFERROR(__xludf.DUMMYFUNCTION("IFERROR(UNIQUE(FILTER(French!B:B,French!A:A=B1)))"),"Communication et influence interpersonnelle")</f>
        <v>Communication et influence interpersonnelle</v>
      </c>
      <c r="H1" s="222"/>
      <c r="I1" s="222"/>
      <c r="J1" s="222"/>
      <c r="K1" s="208"/>
      <c r="L1" s="230" t="str">
        <f ca="1">IFERROR(__xludf.DUMMYFUNCTION("IFERROR((UNIQUE(FILTER(Spanish!B:B,Spanish!A:A=B1))))"),"Comunicación e influencia interpersonal")</f>
        <v>Comunicación e influencia interpersonal</v>
      </c>
      <c r="M1" s="222"/>
      <c r="N1" s="222"/>
      <c r="O1" s="222"/>
      <c r="P1" s="208"/>
      <c r="Q1" s="230" t="str">
        <f ca="1">IFERROR(__xludf.DUMMYFUNCTION("IFERROR(UNIQUE(FILTER(German!B:B,German!A:A=B1)))"),"Kommunikation und Einfluss auf andere")</f>
        <v>Kommunikation und Einfluss auf andere</v>
      </c>
      <c r="R1" s="222"/>
      <c r="S1" s="222"/>
      <c r="T1" s="222"/>
      <c r="U1" s="208"/>
      <c r="V1" s="230" t="str">
        <f ca="1">IFERROR(__xludf.DUMMYFUNCTION("IFERROR(UNIQUE(FILTER(Japanese!B:B,Japanese!A:A=B1)))"),"コミュニケーションと対人的影響")</f>
        <v>コミュニケーションと対人的影響</v>
      </c>
      <c r="W1" s="222"/>
      <c r="X1" s="222"/>
      <c r="Y1" s="222"/>
      <c r="Z1" s="208"/>
      <c r="AA1" s="230" t="str">
        <f ca="1">IFERROR(__xludf.DUMMYFUNCTION("IFERROR(UNIQUE(FILTER(Portuguese!B:B,Portuguese!A:A=B1)))"),"Comunicação e influência interpessoal")</f>
        <v>Comunicação e influência interpessoal</v>
      </c>
      <c r="AB1" s="222"/>
      <c r="AC1" s="222"/>
      <c r="AD1" s="222"/>
      <c r="AE1" s="208"/>
      <c r="AF1" s="230" t="str">
        <f ca="1">IFERROR(__xludf.DUMMYFUNCTION("IFERROR(UNIQUE(FILTER(Mandarin!B:B,Mandarin!A:A=B1)))"),"沟通交流与影响他人")</f>
        <v>沟通交流与影响他人</v>
      </c>
      <c r="AG1" s="222"/>
      <c r="AH1" s="222"/>
      <c r="AI1" s="222"/>
      <c r="AJ1" s="208"/>
    </row>
    <row r="2" spans="1:36" ht="28" customHeight="1">
      <c r="A2" s="209"/>
      <c r="B2" s="234" t="s">
        <v>4713</v>
      </c>
      <c r="C2" s="222"/>
      <c r="D2" s="222"/>
      <c r="E2" s="222"/>
      <c r="F2" s="209"/>
      <c r="G2" s="231" t="s">
        <v>4714</v>
      </c>
      <c r="H2" s="222"/>
      <c r="I2" s="222"/>
      <c r="J2" s="222"/>
      <c r="K2" s="209"/>
      <c r="L2" s="235" t="s">
        <v>4715</v>
      </c>
      <c r="M2" s="222"/>
      <c r="N2" s="222"/>
      <c r="O2" s="222"/>
      <c r="P2" s="209"/>
      <c r="Q2" s="232" t="s">
        <v>4716</v>
      </c>
      <c r="R2" s="222"/>
      <c r="S2" s="222"/>
      <c r="T2" s="222"/>
      <c r="U2" s="209"/>
      <c r="V2" s="236" t="s">
        <v>4717</v>
      </c>
      <c r="W2" s="222"/>
      <c r="X2" s="222"/>
      <c r="Y2" s="222"/>
      <c r="Z2" s="209"/>
      <c r="AA2" s="233" t="s">
        <v>4718</v>
      </c>
      <c r="AB2" s="222"/>
      <c r="AC2" s="222"/>
      <c r="AD2" s="222"/>
      <c r="AE2" s="209"/>
      <c r="AF2" s="237" t="s">
        <v>4719</v>
      </c>
      <c r="AG2" s="222"/>
      <c r="AH2" s="222"/>
      <c r="AI2" s="222"/>
      <c r="AJ2" s="209"/>
    </row>
    <row r="3" spans="1:36" ht="26" customHeight="1">
      <c r="A3" s="210"/>
      <c r="B3" s="211" t="str">
        <f ca="1">IFERROR(__xludf.DUMMYFUNCTION("FILTER(English!B:B,English!A:A=B1)"),"Course IDs")</f>
        <v>Course IDs</v>
      </c>
      <c r="C3" s="211" t="str">
        <f ca="1">IFERROR(__xludf.DUMMYFUNCTION("FILTER(English!C:C,English!A:A=B1)"),"Levels")</f>
        <v>Levels</v>
      </c>
      <c r="D3" s="211" t="str">
        <f ca="1">IFERROR(__xludf.DUMMYFUNCTION("FILTER(English!D:D,English!A:A=B1)"),"Courses")</f>
        <v>Courses</v>
      </c>
      <c r="E3" s="212" t="str">
        <f ca="1">IFERROR(__xludf.DUMMYFUNCTION("FILTER(English!E:E,English!A:A=B1)"),"Learning Paths")</f>
        <v>Learning Paths</v>
      </c>
      <c r="F3" s="210"/>
      <c r="G3" s="211" t="str">
        <f ca="1">IFERROR(__xludf.DUMMYFUNCTION("FILTER(French!C:C,French!B:B=G1)"),"Course IDs")</f>
        <v>Course IDs</v>
      </c>
      <c r="H3" s="211" t="str">
        <f ca="1">IFERROR(__xludf.DUMMYFUNCTION("FILTER(French!D:D,French!B:B=G1)"),"Levels")</f>
        <v>Levels</v>
      </c>
      <c r="I3" s="211" t="str">
        <f ca="1">IFERROR(__xludf.DUMMYFUNCTION("FILTER(French!E:E,French!B:B=G1)"),"Courses")</f>
        <v>Courses</v>
      </c>
      <c r="J3" s="212" t="str">
        <f ca="1">IFERROR(__xludf.DUMMYFUNCTION("FILTER(French!G:G,French!B:B=G1)"),"Learning Paths")</f>
        <v>Learning Paths</v>
      </c>
      <c r="K3" s="210"/>
      <c r="L3" s="211" t="str">
        <f ca="1">IFERROR(__xludf.DUMMYFUNCTION("FILTER(Spanish!C:C,Spanish!B:B=L1)"),"Course IDs")</f>
        <v>Course IDs</v>
      </c>
      <c r="M3" s="211" t="str">
        <f ca="1">IFERROR(__xludf.DUMMYFUNCTION("FILTER(Spanish!D:D,Spanish!B:B=L1)"),"Levels")</f>
        <v>Levels</v>
      </c>
      <c r="N3" s="211" t="str">
        <f ca="1">IFERROR(__xludf.DUMMYFUNCTION("FILTER(Spanish!E:E,Spanish!B:B=L1)"),"Courses")</f>
        <v>Courses</v>
      </c>
      <c r="O3" s="212" t="str">
        <f ca="1">IFERROR(__xludf.DUMMYFUNCTION("FILTER(Spanish!G:G,Spanish!B:B=L1)"),"Learning Paths")</f>
        <v>Learning Paths</v>
      </c>
      <c r="P3" s="210"/>
      <c r="Q3" s="211" t="str">
        <f ca="1">IFERROR(__xludf.DUMMYFUNCTION("FILTER(German!C:C,German!B:B=Q1)"),"Course IDs")</f>
        <v>Course IDs</v>
      </c>
      <c r="R3" s="211" t="str">
        <f ca="1">IFERROR(__xludf.DUMMYFUNCTION("FILTER(German!D:D,German!B:B=Q1)"),"Levels")</f>
        <v>Levels</v>
      </c>
      <c r="S3" s="211" t="str">
        <f ca="1">IFERROR(__xludf.DUMMYFUNCTION("FILTER(German!E:E,German!B:B=Q1)"),"Courses")</f>
        <v>Courses</v>
      </c>
      <c r="T3" s="212" t="str">
        <f ca="1">IFERROR(__xludf.DUMMYFUNCTION("FILTER(German!G:G,German!B:B=Q1)"),"Learning Paths")</f>
        <v>Learning Paths</v>
      </c>
      <c r="U3" s="210"/>
      <c r="V3" s="211" t="str">
        <f ca="1">IFERROR(__xludf.DUMMYFUNCTION("FILTER(Japanese!C:C,Japanese!B:B=V1)"),"Course IDs")</f>
        <v>Course IDs</v>
      </c>
      <c r="W3" s="211" t="str">
        <f ca="1">IFERROR(__xludf.DUMMYFUNCTION("FILTER(Japanese!D:D,Japanese!B:B=V1)"),"Levels")</f>
        <v>Levels</v>
      </c>
      <c r="X3" s="211" t="str">
        <f ca="1">IFERROR(__xludf.DUMMYFUNCTION("FILTER(Japanese!E:E,Japanese!B:B=V1)"),"Courses")</f>
        <v>Courses</v>
      </c>
      <c r="Y3" s="212" t="str">
        <f ca="1">IFERROR(__xludf.DUMMYFUNCTION("FILTER(Japanese!G:G,Japanese!B:B=V1)"),"Learning Paths")</f>
        <v>Learning Paths</v>
      </c>
      <c r="Z3" s="210"/>
      <c r="AA3" s="211" t="str">
        <f ca="1">IFERROR(__xludf.DUMMYFUNCTION("FILTER(Portuguese!C:C,Portuguese!B:B=AA1)"),"Course IDs")</f>
        <v>Course IDs</v>
      </c>
      <c r="AB3" s="211" t="str">
        <f ca="1">IFERROR(__xludf.DUMMYFUNCTION("FILTER(Portuguese!D:D,Portuguese!B:B=AA1)"),"Levels")</f>
        <v>Levels</v>
      </c>
      <c r="AC3" s="211" t="str">
        <f ca="1">IFERROR(__xludf.DUMMYFUNCTION("FILTER(Portuguese!E:E,Portuguese!B:B=AA1)"),"Courses")</f>
        <v>Courses</v>
      </c>
      <c r="AD3" s="212" t="str">
        <f ca="1">IFERROR(__xludf.DUMMYFUNCTION("FILTER(Portuguese!G:G,Portuguese!B:B=AA1)"),"Learning Paths")</f>
        <v>Learning Paths</v>
      </c>
      <c r="AE3" s="210"/>
      <c r="AF3" s="211" t="str">
        <f ca="1">IFERROR(__xludf.DUMMYFUNCTION("FILTER(Mandarin!C:C,Mandarin!B:B=AF1)"),"Course IDs")</f>
        <v>Course IDs</v>
      </c>
      <c r="AG3" s="211" t="str">
        <f ca="1">IFERROR(__xludf.DUMMYFUNCTION("FILTER(Mandarin!D:D,Mandarin!B:B=AF1)"),"Levels")</f>
        <v>Levels</v>
      </c>
      <c r="AH3" s="211" t="str">
        <f ca="1">IFERROR(__xludf.DUMMYFUNCTION("FILTER(Mandarin!E:E,Mandarin!B:B=AF1)"),"Courses")</f>
        <v>Courses</v>
      </c>
      <c r="AI3" s="212" t="str">
        <f ca="1">IFERROR(__xludf.DUMMYFUNCTION("FILTER(Mandarin!G:G,Mandarin!B:B=AF1)"),"Learning Paths")</f>
        <v>Learning Paths</v>
      </c>
      <c r="AJ3" s="210"/>
    </row>
    <row r="4" spans="1:36" ht="33.75" customHeight="1">
      <c r="A4" s="213"/>
      <c r="B4" s="214">
        <f ca="1">IFERROR(__xludf.DUMMYFUNCTION("""COMPUTED_VALUE"""),797722)</f>
        <v>797722</v>
      </c>
      <c r="C4" s="215" t="str">
        <f ca="1">IFERROR(__xludf.DUMMYFUNCTION("""COMPUTED_VALUE"""),"Intermediate")</f>
        <v>Intermediate</v>
      </c>
      <c r="D4" s="216" t="str">
        <f ca="1">IFERROR(__xludf.DUMMYFUNCTION("""COMPUTED_VALUE"""),"Doing Good to Build a Profitable Business")</f>
        <v>Doing Good to Build a Profitable Business</v>
      </c>
      <c r="E4" s="217" t="str">
        <f ca="1">IFERROR(__xludf.DUMMYFUNCTION("""COMPUTED_VALUE"""),"Communicating during Times of Change")</f>
        <v>Communicating during Times of Change</v>
      </c>
      <c r="F4" s="213"/>
      <c r="G4" s="214">
        <f ca="1">IFERROR(__xludf.DUMMYFUNCTION("""COMPUTED_VALUE"""),2809486)</f>
        <v>2809486</v>
      </c>
      <c r="H4" s="215" t="str">
        <f ca="1">IFERROR(__xludf.DUMMYFUNCTION("""COMPUTED_VALUE"""),"Intermediate")</f>
        <v>Intermediate</v>
      </c>
      <c r="I4" s="217" t="str">
        <f ca="1">IFERROR(__xludf.DUMMYFUNCTION("""COMPUTED_VALUE"""),"Améliorer sa capacité d'écoute")</f>
        <v>Améliorer sa capacité d'écoute</v>
      </c>
      <c r="J4" s="217" t="str">
        <f ca="1">IFERROR(__xludf.DUMMYFUNCTION("""COMPUTED_VALUE"""),"Améliorer sa communication en entreprise")</f>
        <v>Améliorer sa communication en entreprise</v>
      </c>
      <c r="K4" s="213"/>
      <c r="L4" s="215">
        <f ca="1">IFERROR(__xludf.DUMMYFUNCTION("""COMPUTED_VALUE"""),5025692)</f>
        <v>5025692</v>
      </c>
      <c r="M4" s="215" t="str">
        <f ca="1">IFERROR(__xludf.DUMMYFUNCTION("""COMPUTED_VALUE"""),"Beginner, Intermediate")</f>
        <v>Beginner, Intermediate</v>
      </c>
      <c r="N4" s="217" t="str">
        <f ca="1">IFERROR(__xludf.DUMMYFUNCTION("""COMPUTED_VALUE"""),"Agile en acción: Impulsar reuniones ágiles y productivas")</f>
        <v>Agile en acción: Impulsar reuniones ágiles y productivas</v>
      </c>
      <c r="O4" s="217" t="str">
        <f ca="1">IFERROR(__xludf.DUMMYFUNCTION("""COMPUTED_VALUE"""),"Mejora los diseños de tus presentaciones")</f>
        <v>Mejora los diseños de tus presentaciones</v>
      </c>
      <c r="P4" s="213"/>
      <c r="Q4" s="215">
        <f ca="1">IFERROR(__xludf.DUMMYFUNCTION("""COMPUTED_VALUE"""),2931542)</f>
        <v>2931542</v>
      </c>
      <c r="R4" s="215" t="str">
        <f ca="1">IFERROR(__xludf.DUMMYFUNCTION("""COMPUTED_VALUE"""),"All levels")</f>
        <v>All levels</v>
      </c>
      <c r="S4" s="217" t="str">
        <f ca="1">IFERROR(__xludf.DUMMYFUNCTION("""COMPUTED_VALUE"""),"Andere beeinflussen und überzeugen")</f>
        <v>Andere beeinflussen und überzeugen</v>
      </c>
      <c r="T4" s="217" t="str">
        <f ca="1">IFERROR(__xludf.DUMMYFUNCTION("""COMPUTED_VALUE"""),"Besser kommunizieren")</f>
        <v>Besser kommunizieren</v>
      </c>
      <c r="U4" s="213"/>
      <c r="V4" s="215">
        <f ca="1">IFERROR(__xludf.DUMMYFUNCTION("""COMPUTED_VALUE"""),2915224)</f>
        <v>2915224</v>
      </c>
      <c r="W4" s="215" t="str">
        <f ca="1">IFERROR(__xludf.DUMMYFUNCTION("""COMPUTED_VALUE"""),"Beginner, Intermediate")</f>
        <v>Beginner, Intermediate</v>
      </c>
      <c r="X4" s="217" t="str">
        <f ca="1">IFERROR(__xludf.DUMMYFUNCTION("""COMPUTED_VALUE"""),"こころの知能指数（EQ）の高め方")</f>
        <v>こころの知能指数（EQ）の高め方</v>
      </c>
      <c r="Y4" s="217" t="str">
        <f ca="1">IFERROR(__xludf.DUMMYFUNCTION("""COMPUTED_VALUE"""),"困難な時期に自身を高めて問題を乗り切るには")</f>
        <v>困難な時期に自身を高めて問題を乗り切るには</v>
      </c>
      <c r="Z4" s="213"/>
      <c r="AA4" s="215">
        <f ca="1">IFERROR(__xludf.DUMMYFUNCTION("""COMPUTED_VALUE"""),2931603)</f>
        <v>2931603</v>
      </c>
      <c r="AB4" s="215" t="str">
        <f ca="1">IFERROR(__xludf.DUMMYFUNCTION("""COMPUTED_VALUE"""),"All levels")</f>
        <v>All levels</v>
      </c>
      <c r="AC4" s="217" t="str">
        <f ca="1">IFERROR(__xludf.DUMMYFUNCTION("""COMPUTED_VALUE"""),"A Comunicação entre Equipes Multiculturais")</f>
        <v>A Comunicação entre Equipes Multiculturais</v>
      </c>
      <c r="AD4" s="217" t="str">
        <f ca="1">IFERROR(__xludf.DUMMYFUNCTION("""COMPUTED_VALUE"""),"Melhore suas Habilidades de Comunicação")</f>
        <v>Melhore suas Habilidades de Comunicação</v>
      </c>
      <c r="AE4" s="213"/>
      <c r="AF4" s="215">
        <f ca="1">IFERROR(__xludf.DUMMYFUNCTION("""COMPUTED_VALUE"""),3102032)</f>
        <v>3102032</v>
      </c>
      <c r="AG4" s="215" t="str">
        <f ca="1">IFERROR(__xludf.DUMMYFUNCTION("""COMPUTED_VALUE"""),"Beginner")</f>
        <v>Beginner</v>
      </c>
      <c r="AH4" s="217" t="str">
        <f ca="1">IFERROR(__xludf.DUMMYFUNCTION("""COMPUTED_VALUE"""),"与难缠者共事")</f>
        <v>与难缠者共事</v>
      </c>
      <c r="AI4" s="217" t="str">
        <f ca="1">IFERROR(__xludf.DUMMYFUNCTION("""COMPUTED_VALUE"""),"掌握职场中的人际关系软技能")</f>
        <v>掌握职场中的人际关系软技能</v>
      </c>
      <c r="AJ4" s="213"/>
    </row>
    <row r="5" spans="1:36" ht="30">
      <c r="A5" s="213"/>
      <c r="B5" s="214">
        <f ca="1">IFERROR(__xludf.DUMMYFUNCTION("""COMPUTED_VALUE"""),693111)</f>
        <v>693111</v>
      </c>
      <c r="C5" s="215" t="str">
        <f ca="1">IFERROR(__xludf.DUMMYFUNCTION("""COMPUTED_VALUE"""),"Advanced")</f>
        <v>Advanced</v>
      </c>
      <c r="D5" s="216" t="str">
        <f ca="1">IFERROR(__xludf.DUMMYFUNCTION("""COMPUTED_VALUE"""),"CMO Foundations: Creating a Marketing Culture")</f>
        <v>CMO Foundations: Creating a Marketing Culture</v>
      </c>
      <c r="E5" s="217" t="str">
        <f ca="1">IFERROR(__xludf.DUMMYFUNCTION("""COMPUTED_VALUE"""),"Create a Successful Pitch for Investors")</f>
        <v>Create a Successful Pitch for Investors</v>
      </c>
      <c r="F5" s="213"/>
      <c r="G5" s="214">
        <f ca="1">IFERROR(__xludf.DUMMYFUNCTION("""COMPUTED_VALUE"""),620028)</f>
        <v>620028</v>
      </c>
      <c r="H5" s="215" t="str">
        <f ca="1">IFERROR(__xludf.DUMMYFUNCTION("""COMPUTED_VALUE"""),"All levels")</f>
        <v>All levels</v>
      </c>
      <c r="I5" s="217" t="str">
        <f ca="1">IFERROR(__xludf.DUMMYFUNCTION("""COMPUTED_VALUE"""),"Bâtir la confiance")</f>
        <v>Bâtir la confiance</v>
      </c>
      <c r="J5" s="217" t="str">
        <f ca="1">IFERROR(__xludf.DUMMYFUNCTION("""COMPUTED_VALUE"""),"Rester à l'écoute")</f>
        <v>Rester à l'écoute</v>
      </c>
      <c r="K5" s="213"/>
      <c r="L5" s="215">
        <f ca="1">IFERROR(__xludf.DUMMYFUNCTION("""COMPUTED_VALUE"""),424855)</f>
        <v>424855</v>
      </c>
      <c r="M5" s="215" t="str">
        <f ca="1">IFERROR(__xludf.DUMMYFUNCTION("""COMPUTED_VALUE"""),"All levels")</f>
        <v>All levels</v>
      </c>
      <c r="N5" s="217" t="str">
        <f ca="1">IFERROR(__xludf.DUMMYFUNCTION("""COMPUTED_VALUE"""),"Cómo comunicar de forma efectiva en la empresa")</f>
        <v>Cómo comunicar de forma efectiva en la empresa</v>
      </c>
      <c r="O5" s="217" t="str">
        <f ca="1">IFERROR(__xludf.DUMMYFUNCTION("""COMPUTED_VALUE"""),"Mejora tus dotes de presentación orales en público")</f>
        <v>Mejora tus dotes de presentación orales en público</v>
      </c>
      <c r="P5" s="213"/>
      <c r="Q5" s="215">
        <f ca="1">IFERROR(__xludf.DUMMYFUNCTION("""COMPUTED_VALUE"""),2837223)</f>
        <v>2837223</v>
      </c>
      <c r="R5" s="215" t="str">
        <f ca="1">IFERROR(__xludf.DUMMYFUNCTION("""COMPUTED_VALUE"""),"All levels")</f>
        <v>All levels</v>
      </c>
      <c r="S5" s="217" t="str">
        <f ca="1">IFERROR(__xludf.DUMMYFUNCTION("""COMPUTED_VALUE"""),"Argumentative Rhetorik, manipulative Rhetorik – zwei Wege, Menschen zu beeinflussen")</f>
        <v>Argumentative Rhetorik, manipulative Rhetorik – zwei Wege, Menschen zu beeinflussen</v>
      </c>
      <c r="T5" s="217" t="str">
        <f ca="1">IFERROR(__xludf.DUMMYFUNCTION("""COMPUTED_VALUE"""),"Bessere Texte schreiben")</f>
        <v>Bessere Texte schreiben</v>
      </c>
      <c r="U5" s="213"/>
      <c r="V5" s="215">
        <f ca="1">IFERROR(__xludf.DUMMYFUNCTION("""COMPUTED_VALUE"""),3006396)</f>
        <v>3006396</v>
      </c>
      <c r="W5" s="215" t="str">
        <f ca="1">IFERROR(__xludf.DUMMYFUNCTION("""COMPUTED_VALUE"""),"Beginner")</f>
        <v>Beginner</v>
      </c>
      <c r="X5" s="217" t="str">
        <f ca="1">IFERROR(__xludf.DUMMYFUNCTION("""COMPUTED_VALUE"""),"ジョハリの窓とは")</f>
        <v>ジョハリの窓とは</v>
      </c>
      <c r="Y5" s="217"/>
      <c r="Z5" s="213"/>
      <c r="AA5" s="215">
        <f ca="1">IFERROR(__xludf.DUMMYFUNCTION("""COMPUTED_VALUE"""),2908957)</f>
        <v>2908957</v>
      </c>
      <c r="AB5" s="215" t="str">
        <f ca="1">IFERROR(__xludf.DUMMYFUNCTION("""COMPUTED_VALUE"""),"Beginner")</f>
        <v>Beginner</v>
      </c>
      <c r="AC5" s="217" t="str">
        <f ca="1">IFERROR(__xludf.DUMMYFUNCTION("""COMPUTED_VALUE"""),"A Comunicação no Trabalho em Equipe")</f>
        <v>A Comunicação no Trabalho em Equipe</v>
      </c>
      <c r="AD5" s="217"/>
      <c r="AE5" s="213"/>
      <c r="AF5" s="215">
        <f ca="1">IFERROR(__xludf.DUMMYFUNCTION("""COMPUTED_VALUE"""),2222433)</f>
        <v>2222433</v>
      </c>
      <c r="AG5" s="215" t="str">
        <f ca="1">IFERROR(__xludf.DUMMYFUNCTION("""COMPUTED_VALUE"""),"Beginner")</f>
        <v>Beginner</v>
      </c>
      <c r="AH5" s="217" t="str">
        <f ca="1">IFERROR(__xludf.DUMMYFUNCTION("""COMPUTED_VALUE"""),"人际沟通")</f>
        <v>人际沟通</v>
      </c>
      <c r="AI5" s="217" t="str">
        <f ca="1">IFERROR(__xludf.DUMMYFUNCTION("""COMPUTED_VALUE"""),"提高沟通技能")</f>
        <v>提高沟通技能</v>
      </c>
      <c r="AJ5" s="213"/>
    </row>
    <row r="6" spans="1:36" ht="30">
      <c r="A6" s="213"/>
      <c r="B6" s="214">
        <f ca="1">IFERROR(__xludf.DUMMYFUNCTION("""COMPUTED_VALUE"""),693107)</f>
        <v>693107</v>
      </c>
      <c r="C6" s="215" t="str">
        <f ca="1">IFERROR(__xludf.DUMMYFUNCTION("""COMPUTED_VALUE"""),"Advanced")</f>
        <v>Advanced</v>
      </c>
      <c r="D6" s="216" t="str">
        <f ca="1">IFERROR(__xludf.DUMMYFUNCTION("""COMPUTED_VALUE"""),"CMO Foundations: Working with Leadership and Board-of-Directors")</f>
        <v>CMO Foundations: Working with Leadership and Board-of-Directors</v>
      </c>
      <c r="E6" s="217" t="str">
        <f ca="1">IFERROR(__xludf.DUMMYFUNCTION("""COMPUTED_VALUE"""),"Create and Deliver Engaging Presentations")</f>
        <v>Create and Deliver Engaging Presentations</v>
      </c>
      <c r="F6" s="213"/>
      <c r="G6" s="214">
        <f ca="1">IFERROR(__xludf.DUMMYFUNCTION("""COMPUTED_VALUE"""),2810524)</f>
        <v>2810524</v>
      </c>
      <c r="H6" s="215" t="str">
        <f ca="1">IFERROR(__xludf.DUMMYFUNCTION("""COMPUTED_VALUE"""),"Intermediate")</f>
        <v>Intermediate</v>
      </c>
      <c r="I6" s="217" t="str">
        <f ca="1">IFERROR(__xludf.DUMMYFUNCTION("""COMPUTED_VALUE"""),"Communiquer au sein d'une équipe")</f>
        <v>Communiquer au sein d'une équipe</v>
      </c>
      <c r="J6" s="217"/>
      <c r="K6" s="213"/>
      <c r="L6" s="215">
        <f ca="1">IFERROR(__xludf.DUMMYFUNCTION("""COMPUTED_VALUE"""),496129)</f>
        <v>496129</v>
      </c>
      <c r="M6" s="215" t="str">
        <f ca="1">IFERROR(__xludf.DUMMYFUNCTION("""COMPUTED_VALUE"""),"All levels")</f>
        <v>All levels</v>
      </c>
      <c r="N6" s="217" t="str">
        <f ca="1">IFERROR(__xludf.DUMMYFUNCTION("""COMPUTED_VALUE"""),"Cómo comunicar de forma efectiva por email")</f>
        <v>Cómo comunicar de forma efectiva por email</v>
      </c>
      <c r="O6" s="217" t="str">
        <f ca="1">IFERROR(__xludf.DUMMYFUNCTION("""COMPUTED_VALUE"""),"Profundiza en tus habilidades de comunicación en la empresa")</f>
        <v>Profundiza en tus habilidades de comunicación en la empresa</v>
      </c>
      <c r="P6" s="213"/>
      <c r="Q6" s="215">
        <f ca="1">IFERROR(__xludf.DUMMYFUNCTION("""COMPUTED_VALUE"""),533419)</f>
        <v>533419</v>
      </c>
      <c r="R6" s="215" t="str">
        <f ca="1">IFERROR(__xludf.DUMMYFUNCTION("""COMPUTED_VALUE"""),"All levels")</f>
        <v>All levels</v>
      </c>
      <c r="S6" s="217" t="str">
        <f ca="1">IFERROR(__xludf.DUMMYFUNCTION("""COMPUTED_VALUE"""),"Berichte schreiben")</f>
        <v>Berichte schreiben</v>
      </c>
      <c r="T6" s="217" t="str">
        <f ca="1">IFERROR(__xludf.DUMMYFUNCTION("""COMPUTED_VALUE"""),"Besser präsentieren")</f>
        <v>Besser präsentieren</v>
      </c>
      <c r="U6" s="213"/>
      <c r="V6" s="215">
        <f ca="1">IFERROR(__xludf.DUMMYFUNCTION("""COMPUTED_VALUE"""),3158167)</f>
        <v>3158167</v>
      </c>
      <c r="W6" s="215" t="str">
        <f ca="1">IFERROR(__xludf.DUMMYFUNCTION("""COMPUTED_VALUE"""),"All levels")</f>
        <v>All levels</v>
      </c>
      <c r="X6" s="217" t="str">
        <f ca="1">IFERROR(__xludf.DUMMYFUNCTION("""COMPUTED_VALUE"""),"スマートに断るには")</f>
        <v>スマートに断るには</v>
      </c>
      <c r="Y6" s="217"/>
      <c r="Z6" s="213"/>
      <c r="AA6" s="215">
        <f ca="1">IFERROR(__xludf.DUMMYFUNCTION("""COMPUTED_VALUE"""),2929559)</f>
        <v>2929559</v>
      </c>
      <c r="AB6" s="215" t="str">
        <f ca="1">IFERROR(__xludf.DUMMYFUNCTION("""COMPUTED_VALUE"""),"All levels")</f>
        <v>All levels</v>
      </c>
      <c r="AC6" s="217" t="str">
        <f ca="1">IFERROR(__xludf.DUMMYFUNCTION("""COMPUTED_VALUE"""),"Boas Práticas para o Sucesso em Projetos Internacionais")</f>
        <v>Boas Práticas para o Sucesso em Projetos Internacionais</v>
      </c>
      <c r="AD6" s="217"/>
      <c r="AE6" s="213"/>
      <c r="AF6" s="215">
        <f ca="1">IFERROR(__xludf.DUMMYFUNCTION("""COMPUTED_VALUE"""),3131293)</f>
        <v>3131293</v>
      </c>
      <c r="AG6" s="215" t="str">
        <f ca="1">IFERROR(__xludf.DUMMYFUNCTION("""COMPUTED_VALUE"""),"All levels")</f>
        <v>All levels</v>
      </c>
      <c r="AH6" s="217" t="str">
        <f ca="1">IFERROR(__xludf.DUMMYFUNCTION("""COMPUTED_VALUE"""),"从旁观者转变为发声者")</f>
        <v>从旁观者转变为发声者</v>
      </c>
      <c r="AI6" s="217"/>
      <c r="AJ6" s="213"/>
    </row>
    <row r="7" spans="1:36" ht="33.75" customHeight="1">
      <c r="A7" s="213"/>
      <c r="B7" s="214">
        <f ca="1">IFERROR(__xludf.DUMMYFUNCTION("""COMPUTED_VALUE"""),2975163)</f>
        <v>2975163</v>
      </c>
      <c r="C7" s="215" t="str">
        <f ca="1">IFERROR(__xludf.DUMMYFUNCTION("""COMPUTED_VALUE"""),"Advanced")</f>
        <v>Advanced</v>
      </c>
      <c r="D7" s="216" t="str">
        <f ca="1">IFERROR(__xludf.DUMMYFUNCTION("""COMPUTED_VALUE"""),"Crisis Communication for HR")</f>
        <v>Crisis Communication for HR</v>
      </c>
      <c r="E7" s="217" t="str">
        <f ca="1">IFERROR(__xludf.DUMMYFUNCTION("""COMPUTED_VALUE"""),"Develop Conflict Management and Resolution Skills")</f>
        <v>Develop Conflict Management and Resolution Skills</v>
      </c>
      <c r="F7" s="213"/>
      <c r="G7" s="214">
        <f ca="1">IFERROR(__xludf.DUMMYFUNCTION("""COMPUTED_VALUE"""),641777)</f>
        <v>641777</v>
      </c>
      <c r="H7" s="215" t="str">
        <f ca="1">IFERROR(__xludf.DUMMYFUNCTION("""COMPUTED_VALUE"""),"Beginner")</f>
        <v>Beginner</v>
      </c>
      <c r="I7" s="217" t="str">
        <f ca="1">IFERROR(__xludf.DUMMYFUNCTION("""COMPUTED_VALUE"""),"Communiquer avec confiance")</f>
        <v>Communiquer avec confiance</v>
      </c>
      <c r="J7" s="217"/>
      <c r="K7" s="213"/>
      <c r="L7" s="215">
        <f ca="1">IFERROR(__xludf.DUMMYFUNCTION("""COMPUTED_VALUE"""),5025690)</f>
        <v>5025690</v>
      </c>
      <c r="M7" s="215" t="str">
        <f ca="1">IFERROR(__xludf.DUMMYFUNCTION("""COMPUTED_VALUE"""),"Beginner")</f>
        <v>Beginner</v>
      </c>
      <c r="N7" s="217" t="str">
        <f ca="1">IFERROR(__xludf.DUMMYFUNCTION("""COMPUTED_VALUE"""),"Cómo comunicar dentro del equipo")</f>
        <v>Cómo comunicar dentro del equipo</v>
      </c>
      <c r="O7" s="217" t="str">
        <f ca="1">IFERROR(__xludf.DUMMYFUNCTION("""COMPUTED_VALUE"""),"Mejora la comunicación en el ámbito empresarial")</f>
        <v>Mejora la comunicación en el ámbito empresarial</v>
      </c>
      <c r="P7" s="213"/>
      <c r="Q7" s="215">
        <f ca="1">IFERROR(__xludf.DUMMYFUNCTION("""COMPUTED_VALUE"""),195515)</f>
        <v>195515</v>
      </c>
      <c r="R7" s="215" t="str">
        <f ca="1">IFERROR(__xludf.DUMMYFUNCTION("""COMPUTED_VALUE"""),"All levels")</f>
        <v>All levels</v>
      </c>
      <c r="S7" s="217" t="str">
        <f ca="1">IFERROR(__xludf.DUMMYFUNCTION("""COMPUTED_VALUE"""),"Besprechungen moderieren")</f>
        <v>Besprechungen moderieren</v>
      </c>
      <c r="T7" s="217" t="str">
        <f ca="1">IFERROR(__xludf.DUMMYFUNCTION("""COMPUTED_VALUE"""),"Überzeugend auftreten")</f>
        <v>Überzeugend auftreten</v>
      </c>
      <c r="U7" s="213"/>
      <c r="V7" s="215">
        <f ca="1">IFERROR(__xludf.DUMMYFUNCTION("""COMPUTED_VALUE"""),3155193)</f>
        <v>3155193</v>
      </c>
      <c r="W7" s="215" t="str">
        <f ca="1">IFERROR(__xludf.DUMMYFUNCTION("""COMPUTED_VALUE"""),"All levels")</f>
        <v>All levels</v>
      </c>
      <c r="X7" s="217" t="str">
        <f ca="1">IFERROR(__xludf.DUMMYFUNCTION("""COMPUTED_VALUE"""),"はっきりと自己を主張するには")</f>
        <v>はっきりと自己を主張するには</v>
      </c>
      <c r="Y7" s="217"/>
      <c r="Z7" s="213"/>
      <c r="AA7" s="215">
        <f ca="1">IFERROR(__xludf.DUMMYFUNCTION("""COMPUTED_VALUE"""),2929565)</f>
        <v>2929565</v>
      </c>
      <c r="AB7" s="215" t="str">
        <f ca="1">IFERROR(__xludf.DUMMYFUNCTION("""COMPUTED_VALUE"""),"Beginner")</f>
        <v>Beginner</v>
      </c>
      <c r="AC7" s="217" t="str">
        <f ca="1">IFERROR(__xludf.DUMMYFUNCTION("""COMPUTED_VALUE"""),"Como Comunicar Más Notícias aos Clientes")</f>
        <v>Como Comunicar Más Notícias aos Clientes</v>
      </c>
      <c r="AD7" s="217"/>
      <c r="AE7" s="213"/>
      <c r="AF7" s="215">
        <f ca="1">IFERROR(__xludf.DUMMYFUNCTION("""COMPUTED_VALUE"""),2823606)</f>
        <v>2823606</v>
      </c>
      <c r="AG7" s="215" t="str">
        <f ca="1">IFERROR(__xludf.DUMMYFUNCTION("""COMPUTED_VALUE"""),"Intermediate")</f>
        <v>Intermediate</v>
      </c>
      <c r="AH7" s="217" t="str">
        <f ca="1">IFERROR(__xludf.DUMMYFUNCTION("""COMPUTED_VALUE"""),"全球项目：共识缔造成功")</f>
        <v>全球项目：共识缔造成功</v>
      </c>
      <c r="AI7" s="217"/>
      <c r="AJ7" s="213"/>
    </row>
    <row r="8" spans="1:36" ht="33.75" customHeight="1">
      <c r="A8" s="213"/>
      <c r="B8" s="214">
        <f ca="1">IFERROR(__xludf.DUMMYFUNCTION("""COMPUTED_VALUE"""),5028627)</f>
        <v>5028627</v>
      </c>
      <c r="C8" s="215" t="str">
        <f ca="1">IFERROR(__xludf.DUMMYFUNCTION("""COMPUTED_VALUE"""),"Advanced")</f>
        <v>Advanced</v>
      </c>
      <c r="D8" s="216" t="str">
        <f ca="1">IFERROR(__xludf.DUMMYFUNCTION("""COMPUTED_VALUE"""),"Organizational Thought Leadership")</f>
        <v>Organizational Thought Leadership</v>
      </c>
      <c r="E8" s="217" t="str">
        <f ca="1">IFERROR(__xludf.DUMMYFUNCTION("""COMPUTED_VALUE"""),"Develop, Motivate, and Retain Employees")</f>
        <v>Develop, Motivate, and Retain Employees</v>
      </c>
      <c r="F8" s="213"/>
      <c r="G8" s="214">
        <f ca="1">IFERROR(__xludf.DUMMYFUNCTION("""COMPUTED_VALUE"""),2915420)</f>
        <v>2915420</v>
      </c>
      <c r="H8" s="215" t="str">
        <f ca="1">IFERROR(__xludf.DUMMYFUNCTION("""COMPUTED_VALUE"""),"Intermediate")</f>
        <v>Intermediate</v>
      </c>
      <c r="I8" s="217" t="str">
        <f ca="1">IFERROR(__xludf.DUMMYFUNCTION("""COMPUTED_VALUE"""),"Communiquer avec diplomatie et tact")</f>
        <v>Communiquer avec diplomatie et tact</v>
      </c>
      <c r="J8" s="217"/>
      <c r="K8" s="213"/>
      <c r="L8" s="215">
        <f ca="1">IFERROR(__xludf.DUMMYFUNCTION("""COMPUTED_VALUE"""),432503)</f>
        <v>432503</v>
      </c>
      <c r="M8" s="215" t="str">
        <f ca="1">IFERROR(__xludf.DUMMYFUNCTION("""COMPUTED_VALUE"""),"All levels")</f>
        <v>All levels</v>
      </c>
      <c r="N8" s="217" t="str">
        <f ca="1">IFERROR(__xludf.DUMMYFUNCTION("""COMPUTED_VALUE"""),"Cómo contactar con la gente (y que te responda)")</f>
        <v>Cómo contactar con la gente (y que te responda)</v>
      </c>
      <c r="O8" s="217" t="str">
        <f ca="1">IFERROR(__xludf.DUMMYFUNCTION("""COMPUTED_VALUE"""),"Domina las habilidades de vida sociales")</f>
        <v>Domina las habilidades de vida sociales</v>
      </c>
      <c r="P8" s="213"/>
      <c r="Q8" s="215">
        <f ca="1">IFERROR(__xludf.DUMMYFUNCTION("""COMPUTED_VALUE"""),2925267)</f>
        <v>2925267</v>
      </c>
      <c r="R8" s="215" t="str">
        <f ca="1">IFERROR(__xludf.DUMMYFUNCTION("""COMPUTED_VALUE"""),"All levels")</f>
        <v>All levels</v>
      </c>
      <c r="S8" s="217" t="str">
        <f ca="1">IFERROR(__xludf.DUMMYFUNCTION("""COMPUTED_VALUE"""),"Besser zuhören")</f>
        <v>Besser zuhören</v>
      </c>
      <c r="T8" s="217"/>
      <c r="U8" s="213"/>
      <c r="V8" s="215">
        <f ca="1">IFERROR(__xludf.DUMMYFUNCTION("""COMPUTED_VALUE"""),3104034)</f>
        <v>3104034</v>
      </c>
      <c r="W8" s="215" t="str">
        <f ca="1">IFERROR(__xludf.DUMMYFUNCTION("""COMPUTED_VALUE"""),"Beginner")</f>
        <v>Beginner</v>
      </c>
      <c r="X8" s="217" t="str">
        <f ca="1">IFERROR(__xludf.DUMMYFUNCTION("""COMPUTED_VALUE"""),"ビジネスマナーの基礎：会話")</f>
        <v>ビジネスマナーの基礎：会話</v>
      </c>
      <c r="Y8" s="217"/>
      <c r="Z8" s="213"/>
      <c r="AA8" s="215">
        <f ca="1">IFERROR(__xludf.DUMMYFUNCTION("""COMPUTED_VALUE"""),2928600)</f>
        <v>2928600</v>
      </c>
      <c r="AB8" s="215" t="str">
        <f ca="1">IFERROR(__xludf.DUMMYFUNCTION("""COMPUTED_VALUE"""),"All levels")</f>
        <v>All levels</v>
      </c>
      <c r="AC8" s="217" t="str">
        <f ca="1">IFERROR(__xludf.DUMMYFUNCTION("""COMPUTED_VALUE"""),"Como Conduzir Conversas Difíceis")</f>
        <v>Como Conduzir Conversas Difíceis</v>
      </c>
      <c r="AD8" s="217"/>
      <c r="AE8" s="213"/>
      <c r="AF8" s="215">
        <f ca="1">IFERROR(__xludf.DUMMYFUNCTION("""COMPUTED_VALUE"""),2878195)</f>
        <v>2878195</v>
      </c>
      <c r="AG8" s="215" t="str">
        <f ca="1">IFERROR(__xludf.DUMMYFUNCTION("""COMPUTED_VALUE"""),"All levels")</f>
        <v>All levels</v>
      </c>
      <c r="AH8" s="217" t="str">
        <f ca="1">IFERROR(__xludf.DUMMYFUNCTION("""COMPUTED_VALUE"""),"包容性沟通技巧")</f>
        <v>包容性沟通技巧</v>
      </c>
      <c r="AI8" s="217"/>
      <c r="AJ8" s="213"/>
    </row>
    <row r="9" spans="1:36" ht="33.75" customHeight="1">
      <c r="A9" s="213"/>
      <c r="B9" s="214">
        <f ca="1">IFERROR(__xludf.DUMMYFUNCTION("""COMPUTED_VALUE"""),2819025)</f>
        <v>2819025</v>
      </c>
      <c r="C9" s="215" t="str">
        <f ca="1">IFERROR(__xludf.DUMMYFUNCTION("""COMPUTED_VALUE"""),"Beginner + Intermediate")</f>
        <v>Beginner + Intermediate</v>
      </c>
      <c r="D9" s="216" t="str">
        <f ca="1">IFERROR(__xludf.DUMMYFUNCTION("""COMPUTED_VALUE"""),"Communicating to Drive People to Take Action")</f>
        <v>Communicating to Drive People to Take Action</v>
      </c>
      <c r="E9" s="217" t="str">
        <f ca="1">IFERROR(__xludf.DUMMYFUNCTION("""COMPUTED_VALUE"""),"Develop Your Communication and Interpersonal Influence Skills")</f>
        <v>Develop Your Communication and Interpersonal Influence Skills</v>
      </c>
      <c r="F9" s="213"/>
      <c r="G9" s="214">
        <f ca="1">IFERROR(__xludf.DUMMYFUNCTION("""COMPUTED_VALUE"""),2822434)</f>
        <v>2822434</v>
      </c>
      <c r="H9" s="215" t="str">
        <f ca="1">IFERROR(__xludf.DUMMYFUNCTION("""COMPUTED_VALUE"""),"Beginner")</f>
        <v>Beginner</v>
      </c>
      <c r="I9" s="217" t="str">
        <f ca="1">IFERROR(__xludf.DUMMYFUNCTION("""COMPUTED_VALUE"""),"Communiquer avec empathie")</f>
        <v>Communiquer avec empathie</v>
      </c>
      <c r="J9" s="217"/>
      <c r="K9" s="213"/>
      <c r="L9" s="215">
        <f ca="1">IFERROR(__xludf.DUMMYFUNCTION("""COMPUTED_VALUE"""),425104)</f>
        <v>425104</v>
      </c>
      <c r="M9" s="215" t="str">
        <f ca="1">IFERROR(__xludf.DUMMYFUNCTION("""COMPUTED_VALUE"""),"All levels")</f>
        <v>All levels</v>
      </c>
      <c r="N9" s="217" t="str">
        <f ca="1">IFERROR(__xludf.DUMMYFUNCTION("""COMPUTED_VALUE"""),"Cómo desarrollar tu elevator pitch")</f>
        <v>Cómo desarrollar tu elevator pitch</v>
      </c>
      <c r="O9" s="217" t="str">
        <f ca="1">IFERROR(__xludf.DUMMYFUNCTION("""COMPUTED_VALUE"""),"Domina el arte del email con Outlook 216")</f>
        <v>Domina el arte del email con Outlook 216</v>
      </c>
      <c r="P9" s="213"/>
      <c r="Q9" s="215">
        <f ca="1">IFERROR(__xludf.DUMMYFUNCTION("""COMPUTED_VALUE"""),3104044)</f>
        <v>3104044</v>
      </c>
      <c r="R9" s="215" t="str">
        <f ca="1">IFERROR(__xludf.DUMMYFUNCTION("""COMPUTED_VALUE"""),"Intermediate")</f>
        <v>Intermediate</v>
      </c>
      <c r="S9" s="217" t="str">
        <f ca="1">IFERROR(__xludf.DUMMYFUNCTION("""COMPUTED_VALUE"""),"Business Englisch: Erfolgreiche E-Mails verfassen")</f>
        <v>Business Englisch: Erfolgreiche E-Mails verfassen</v>
      </c>
      <c r="T9" s="217"/>
      <c r="U9" s="213"/>
      <c r="V9" s="215">
        <f ca="1">IFERROR(__xludf.DUMMYFUNCTION("""COMPUTED_VALUE"""),3100029)</f>
        <v>3100029</v>
      </c>
      <c r="W9" s="215" t="str">
        <f ca="1">IFERROR(__xludf.DUMMYFUNCTION("""COMPUTED_VALUE"""),"Beginner")</f>
        <v>Beginner</v>
      </c>
      <c r="X9" s="217" t="str">
        <f ca="1">IFERROR(__xludf.DUMMYFUNCTION("""COMPUTED_VALUE"""),"ビジネスマナーの基礎：基本")</f>
        <v>ビジネスマナーの基礎：基本</v>
      </c>
      <c r="Y9" s="217"/>
      <c r="Z9" s="213"/>
      <c r="AA9" s="215">
        <f ca="1">IFERROR(__xludf.DUMMYFUNCTION("""COMPUTED_VALUE"""),2901333)</f>
        <v>2901333</v>
      </c>
      <c r="AB9" s="215" t="str">
        <f ca="1">IFERROR(__xludf.DUMMYFUNCTION("""COMPUTED_VALUE"""),"Beginner, Intermediate")</f>
        <v>Beginner, Intermediate</v>
      </c>
      <c r="AC9" s="217" t="str">
        <f ca="1">IFERROR(__xludf.DUMMYFUNCTION("""COMPUTED_VALUE"""),"Como Conduzir Reuniões Produtivas")</f>
        <v>Como Conduzir Reuniões Produtivas</v>
      </c>
      <c r="AD9" s="217"/>
      <c r="AE9" s="213"/>
      <c r="AF9" s="215">
        <f ca="1">IFERROR(__xludf.DUMMYFUNCTION("""COMPUTED_VALUE"""),2825734)</f>
        <v>2825734</v>
      </c>
      <c r="AG9" s="215" t="str">
        <f ca="1">IFERROR(__xludf.DUMMYFUNCTION("""COMPUTED_VALUE"""),"Intermediate")</f>
        <v>Intermediate</v>
      </c>
      <c r="AH9" s="217" t="str">
        <f ca="1">IFERROR(__xludf.DUMMYFUNCTION("""COMPUTED_VALUE"""),"变革时期的沟通策略")</f>
        <v>变革时期的沟通策略</v>
      </c>
      <c r="AI9" s="217"/>
      <c r="AJ9" s="213"/>
    </row>
    <row r="10" spans="1:36" ht="33.75" customHeight="1">
      <c r="A10" s="213"/>
      <c r="B10" s="214">
        <f ca="1">IFERROR(__xludf.DUMMYFUNCTION("""COMPUTED_VALUE"""),370569)</f>
        <v>370569</v>
      </c>
      <c r="C10" s="215" t="str">
        <f ca="1">IFERROR(__xludf.DUMMYFUNCTION("""COMPUTED_VALUE"""),"General")</f>
        <v>General</v>
      </c>
      <c r="D10" s="216" t="str">
        <f ca="1">IFERROR(__xludf.DUMMYFUNCTION("""COMPUTED_VALUE"""),"Organization Communication")</f>
        <v>Organization Communication</v>
      </c>
      <c r="E10" s="217" t="str">
        <f ca="1">IFERROR(__xludf.DUMMYFUNCTION("""COMPUTED_VALUE"""),"Fostering Collaboration")</f>
        <v>Fostering Collaboration</v>
      </c>
      <c r="F10" s="213"/>
      <c r="G10" s="214">
        <f ca="1">IFERROR(__xludf.DUMMYFUNCTION("""COMPUTED_VALUE"""),2982070)</f>
        <v>2982070</v>
      </c>
      <c r="H10" s="215" t="str">
        <f ca="1">IFERROR(__xludf.DUMMYFUNCTION("""COMPUTED_VALUE"""),"Intermediate")</f>
        <v>Intermediate</v>
      </c>
      <c r="I10" s="217" t="str">
        <f ca="1">IFERROR(__xludf.DUMMYFUNCTION("""COMPUTED_VALUE"""),"Communiquer en situation de crise")</f>
        <v>Communiquer en situation de crise</v>
      </c>
      <c r="J10" s="217"/>
      <c r="K10" s="213"/>
      <c r="L10" s="215">
        <f ca="1">IFERROR(__xludf.DUMMYFUNCTION("""COMPUTED_VALUE"""),561656)</f>
        <v>561656</v>
      </c>
      <c r="M10" s="215" t="str">
        <f ca="1">IFERROR(__xludf.DUMMYFUNCTION("""COMPUTED_VALUE"""),"All levels")</f>
        <v>All levels</v>
      </c>
      <c r="N10" s="217" t="str">
        <f ca="1">IFERROR(__xludf.DUMMYFUNCTION("""COMPUTED_VALUE"""),"Cómo ejercer tu influencia")</f>
        <v>Cómo ejercer tu influencia</v>
      </c>
      <c r="O10" s="217" t="str">
        <f ca="1">IFERROR(__xludf.DUMMYFUNCTION("""COMPUTED_VALUE"""),"Mejora tu capacidad para comunicar con las personas")</f>
        <v>Mejora tu capacidad para comunicar con las personas</v>
      </c>
      <c r="P10" s="213"/>
      <c r="Q10" s="215">
        <f ca="1">IFERROR(__xludf.DUMMYFUNCTION("""COMPUTED_VALUE"""),3103517)</f>
        <v>3103517</v>
      </c>
      <c r="R10" s="215" t="str">
        <f ca="1">IFERROR(__xludf.DUMMYFUNCTION("""COMPUTED_VALUE"""),"Intermediate")</f>
        <v>Intermediate</v>
      </c>
      <c r="S10" s="217" t="str">
        <f ca="1">IFERROR(__xludf.DUMMYFUNCTION("""COMPUTED_VALUE"""),"Business Englisch: Online-Vorstellungsgespräche meistern")</f>
        <v>Business Englisch: Online-Vorstellungsgespräche meistern</v>
      </c>
      <c r="T10" s="217"/>
      <c r="U10" s="213"/>
      <c r="V10" s="215">
        <f ca="1">IFERROR(__xludf.DUMMYFUNCTION("""COMPUTED_VALUE"""),748560)</f>
        <v>748560</v>
      </c>
      <c r="W10" s="215" t="str">
        <f ca="1">IFERROR(__xludf.DUMMYFUNCTION("""COMPUTED_VALUE"""),"All levels")</f>
        <v>All levels</v>
      </c>
      <c r="X10" s="217" t="str">
        <f ca="1">IFERROR(__xludf.DUMMYFUNCTION("""COMPUTED_VALUE"""),"上司と良い関係を築くには")</f>
        <v>上司と良い関係を築くには</v>
      </c>
      <c r="Y10" s="217"/>
      <c r="Z10" s="213"/>
      <c r="AA10" s="215">
        <f ca="1">IFERROR(__xludf.DUMMYFUNCTION("""COMPUTED_VALUE"""),2282124)</f>
        <v>2282124</v>
      </c>
      <c r="AB10" s="215" t="str">
        <f ca="1">IFERROR(__xludf.DUMMYFUNCTION("""COMPUTED_VALUE"""),"Beginner")</f>
        <v>Beginner</v>
      </c>
      <c r="AC10" s="217" t="str">
        <f ca="1">IFERROR(__xludf.DUMMYFUNCTION("""COMPUTED_VALUE"""),"Como Desenvolver a Autoconfiança")</f>
        <v>Como Desenvolver a Autoconfiança</v>
      </c>
      <c r="AD10" s="217"/>
      <c r="AE10" s="213"/>
      <c r="AF10" s="215">
        <f ca="1">IFERROR(__xludf.DUMMYFUNCTION("""COMPUTED_VALUE"""),2862023)</f>
        <v>2862023</v>
      </c>
      <c r="AG10" s="215" t="str">
        <f ca="1">IFERROR(__xludf.DUMMYFUNCTION("""COMPUTED_VALUE"""),"Beginner")</f>
        <v>Beginner</v>
      </c>
      <c r="AH10" s="217" t="str">
        <f ca="1">IFERROR(__xludf.DUMMYFUNCTION("""COMPUTED_VALUE"""),"同理心沟通")</f>
        <v>同理心沟通</v>
      </c>
      <c r="AI10" s="217"/>
      <c r="AJ10" s="213"/>
    </row>
    <row r="11" spans="1:36" ht="33.75" customHeight="1">
      <c r="A11" s="213"/>
      <c r="B11" s="214">
        <f ca="1">IFERROR(__xludf.DUMMYFUNCTION("""COMPUTED_VALUE"""),376381)</f>
        <v>376381</v>
      </c>
      <c r="C11" s="215" t="str">
        <f ca="1">IFERROR(__xludf.DUMMYFUNCTION("""COMPUTED_VALUE"""),"General")</f>
        <v>General</v>
      </c>
      <c r="D11" s="216" t="str">
        <f ca="1">IFERROR(__xludf.DUMMYFUNCTION("""COMPUTED_VALUE"""),"Strategic Negotiation")</f>
        <v>Strategic Negotiation</v>
      </c>
      <c r="E11" s="217" t="str">
        <f ca="1">IFERROR(__xludf.DUMMYFUNCTION("""COMPUTED_VALUE"""),"How to Engage Meaningfully in Allyship and Anti-Racism")</f>
        <v>How to Engage Meaningfully in Allyship and Anti-Racism</v>
      </c>
      <c r="F11" s="213"/>
      <c r="G11" s="214">
        <f ca="1">IFERROR(__xludf.DUMMYFUNCTION("""COMPUTED_VALUE"""),2874200)</f>
        <v>2874200</v>
      </c>
      <c r="H11" s="215" t="str">
        <f ca="1">IFERROR(__xludf.DUMMYFUNCTION("""COMPUTED_VALUE"""),"Beginner, Intermediate")</f>
        <v>Beginner, Intermediate</v>
      </c>
      <c r="I11" s="217" t="str">
        <f ca="1">IFERROR(__xludf.DUMMYFUNCTION("""COMPUTED_VALUE"""),"Communiquer sur des sujets culturellement sensibles")</f>
        <v>Communiquer sur des sujets culturellement sensibles</v>
      </c>
      <c r="J11" s="217"/>
      <c r="K11" s="213"/>
      <c r="L11" s="215">
        <f ca="1">IFERROR(__xludf.DUMMYFUNCTION("""COMPUTED_VALUE"""),555153)</f>
        <v>555153</v>
      </c>
      <c r="M11" s="215" t="str">
        <f ca="1">IFERROR(__xludf.DUMMYFUNCTION("""COMPUTED_VALUE"""),"All levels")</f>
        <v>All levels</v>
      </c>
      <c r="N11" s="217" t="str">
        <f ca="1">IFERROR(__xludf.DUMMYFUNCTION("""COMPUTED_VALUE"""),"Cómo generar confianza")</f>
        <v>Cómo generar confianza</v>
      </c>
      <c r="O11" s="217" t="str">
        <f ca="1">IFERROR(__xludf.DUMMYFUNCTION("""COMPUTED_VALUE"""),"Domina el arte de las presentaciones con PowerPoint 216")</f>
        <v>Domina el arte de las presentaciones con PowerPoint 216</v>
      </c>
      <c r="P11" s="213"/>
      <c r="Q11" s="215">
        <f ca="1">IFERROR(__xludf.DUMMYFUNCTION("""COMPUTED_VALUE"""),759350)</f>
        <v>759350</v>
      </c>
      <c r="R11" s="215" t="str">
        <f ca="1">IFERROR(__xludf.DUMMYFUNCTION("""COMPUTED_VALUE"""),"All levels")</f>
        <v>All levels</v>
      </c>
      <c r="S11" s="217" t="str">
        <f ca="1">IFERROR(__xludf.DUMMYFUNCTION("""COMPUTED_VALUE"""),"Business Visualisierung – agil und kreativ")</f>
        <v>Business Visualisierung – agil und kreativ</v>
      </c>
      <c r="T11" s="217"/>
      <c r="U11" s="213"/>
      <c r="V11" s="215">
        <f ca="1">IFERROR(__xludf.DUMMYFUNCTION("""COMPUTED_VALUE"""),643735)</f>
        <v>643735</v>
      </c>
      <c r="W11" s="215" t="str">
        <f ca="1">IFERROR(__xludf.DUMMYFUNCTION("""COMPUTED_VALUE"""),"All levels")</f>
        <v>All levels</v>
      </c>
      <c r="X11" s="217" t="str">
        <f ca="1">IFERROR(__xludf.DUMMYFUNCTION("""COMPUTED_VALUE"""),"人を動かすには")</f>
        <v>人を動かすには</v>
      </c>
      <c r="Y11" s="217"/>
      <c r="Z11" s="213"/>
      <c r="AA11" s="215">
        <f ca="1">IFERROR(__xludf.DUMMYFUNCTION("""COMPUTED_VALUE"""),2841349)</f>
        <v>2841349</v>
      </c>
      <c r="AB11" s="215" t="str">
        <f ca="1">IFERROR(__xludf.DUMMYFUNCTION("""COMPUTED_VALUE"""),"Intermediate")</f>
        <v>Intermediate</v>
      </c>
      <c r="AC11" s="217" t="str">
        <f ca="1">IFERROR(__xludf.DUMMYFUNCTION("""COMPUTED_VALUE"""),"Como Desenvolver a Liderança de Pensamento")</f>
        <v>Como Desenvolver a Liderança de Pensamento</v>
      </c>
      <c r="AD11" s="217"/>
      <c r="AE11" s="213"/>
      <c r="AF11" s="215">
        <f ca="1">IFERROR(__xludf.DUMMYFUNCTION("""COMPUTED_VALUE"""),3051195)</f>
        <v>3051195</v>
      </c>
      <c r="AG11" s="215" t="str">
        <f ca="1">IFERROR(__xludf.DUMMYFUNCTION("""COMPUTED_VALUE"""),"Intermediate")</f>
        <v>Intermediate</v>
      </c>
      <c r="AH11" s="217" t="str">
        <f ca="1">IFERROR(__xludf.DUMMYFUNCTION("""COMPUTED_VALUE"""),"商务英语：远程面试")</f>
        <v>商务英语：远程面试</v>
      </c>
      <c r="AI11" s="217"/>
      <c r="AJ11" s="213"/>
    </row>
    <row r="12" spans="1:36" ht="33.75" customHeight="1">
      <c r="A12" s="213"/>
      <c r="B12" s="214">
        <f ca="1">IFERROR(__xludf.DUMMYFUNCTION("""COMPUTED_VALUE"""),2811020)</f>
        <v>2811020</v>
      </c>
      <c r="C12" s="215" t="str">
        <f ca="1">IFERROR(__xludf.DUMMYFUNCTION("""COMPUTED_VALUE"""),"Intermediate")</f>
        <v>Intermediate</v>
      </c>
      <c r="D12" s="216" t="str">
        <f ca="1">IFERROR(__xludf.DUMMYFUNCTION("""COMPUTED_VALUE"""),"Navigating Politics as a Senior Leader")</f>
        <v>Navigating Politics as a Senior Leader</v>
      </c>
      <c r="E12" s="217" t="str">
        <f ca="1">IFERROR(__xludf.DUMMYFUNCTION("""COMPUTED_VALUE"""),"Improve Your Interoffice Politics Skills")</f>
        <v>Improve Your Interoffice Politics Skills</v>
      </c>
      <c r="F12" s="213"/>
      <c r="G12" s="214">
        <f ca="1">IFERROR(__xludf.DUMMYFUNCTION("""COMPUTED_VALUE"""),2825465)</f>
        <v>2825465</v>
      </c>
      <c r="H12" s="215" t="str">
        <f ca="1">IFERROR(__xludf.DUMMYFUNCTION("""COMPUTED_VALUE"""),"All levels")</f>
        <v>All levels</v>
      </c>
      <c r="I12" s="217" t="str">
        <f ca="1">IFERROR(__xludf.DUMMYFUNCTION("""COMPUTED_VALUE"""),"Conduire une négociation")</f>
        <v>Conduire une négociation</v>
      </c>
      <c r="J12" s="217"/>
      <c r="K12" s="213"/>
      <c r="L12" s="215">
        <f ca="1">IFERROR(__xludf.DUMMYFUNCTION("""COMPUTED_VALUE"""),2926133)</f>
        <v>2926133</v>
      </c>
      <c r="M12" s="215" t="str">
        <f ca="1">IFERROR(__xludf.DUMMYFUNCTION("""COMPUTED_VALUE"""),"All levels")</f>
        <v>All levels</v>
      </c>
      <c r="N12" s="217" t="str">
        <f ca="1">IFERROR(__xludf.DUMMYFUNCTION("""COMPUTED_VALUE"""),"Cómo liderar reuniones individuales productivas")</f>
        <v>Cómo liderar reuniones individuales productivas</v>
      </c>
      <c r="O12" s="217" t="str">
        <f ca="1">IFERROR(__xludf.DUMMYFUNCTION("""COMPUTED_VALUE"""),"Domina el arte del email con Outlook 216 para Mac")</f>
        <v>Domina el arte del email con Outlook 216 para Mac</v>
      </c>
      <c r="P12" s="213"/>
      <c r="Q12" s="215">
        <f ca="1">IFERROR(__xludf.DUMMYFUNCTION("""COMPUTED_VALUE"""),2919496)</f>
        <v>2919496</v>
      </c>
      <c r="R12" s="215" t="str">
        <f ca="1">IFERROR(__xludf.DUMMYFUNCTION("""COMPUTED_VALUE"""),"Beginner, Intermediate")</f>
        <v>Beginner, Intermediate</v>
      </c>
      <c r="S12" s="217" t="str">
        <f ca="1">IFERROR(__xludf.DUMMYFUNCTION("""COMPUTED_VALUE"""),"Corporate Blogs – Grundlagen")</f>
        <v>Corporate Blogs – Grundlagen</v>
      </c>
      <c r="T12" s="217"/>
      <c r="U12" s="213"/>
      <c r="V12" s="215">
        <f ca="1">IFERROR(__xludf.DUMMYFUNCTION("""COMPUTED_VALUE"""),747274)</f>
        <v>747274</v>
      </c>
      <c r="W12" s="215" t="str">
        <f ca="1">IFERROR(__xludf.DUMMYFUNCTION("""COMPUTED_VALUE"""),"All levels")</f>
        <v>All levels</v>
      </c>
      <c r="X12" s="217" t="str">
        <f ca="1">IFERROR(__xludf.DUMMYFUNCTION("""COMPUTED_VALUE"""),"人脈の広げ方")</f>
        <v>人脈の広げ方</v>
      </c>
      <c r="Y12" s="217"/>
      <c r="Z12" s="213"/>
      <c r="AA12" s="215">
        <f ca="1">IFERROR(__xludf.DUMMYFUNCTION("""COMPUTED_VALUE"""),748851)</f>
        <v>748851</v>
      </c>
      <c r="AB12" s="215" t="str">
        <f ca="1">IFERROR(__xludf.DUMMYFUNCTION("""COMPUTED_VALUE"""),"All levels")</f>
        <v>All levels</v>
      </c>
      <c r="AC12" s="217" t="str">
        <f ca="1">IFERROR(__xludf.DUMMYFUNCTION("""COMPUTED_VALUE"""),"Como Escutar de Forma Eficaz")</f>
        <v>Como Escutar de Forma Eficaz</v>
      </c>
      <c r="AD12" s="217"/>
      <c r="AE12" s="213"/>
      <c r="AF12" s="215">
        <f ca="1">IFERROR(__xludf.DUMMYFUNCTION("""COMPUTED_VALUE"""),780646)</f>
        <v>780646</v>
      </c>
      <c r="AG12" s="215" t="str">
        <f ca="1">IFERROR(__xludf.DUMMYFUNCTION("""COMPUTED_VALUE"""),"All levels")</f>
        <v>All levels</v>
      </c>
      <c r="AH12" s="217" t="str">
        <f ca="1">IFERROR(__xludf.DUMMYFUNCTION("""COMPUTED_VALUE"""),"团队合作基础知识")</f>
        <v>团队合作基础知识</v>
      </c>
      <c r="AI12" s="217"/>
      <c r="AJ12" s="213"/>
    </row>
    <row r="13" spans="1:36" ht="33.75" customHeight="1">
      <c r="A13" s="213"/>
      <c r="B13" s="214">
        <f ca="1">IFERROR(__xludf.DUMMYFUNCTION("""COMPUTED_VALUE"""),2252216)</f>
        <v>2252216</v>
      </c>
      <c r="C13" s="215" t="str">
        <f ca="1">IFERROR(__xludf.DUMMYFUNCTION("""COMPUTED_VALUE"""),"Intermediate")</f>
        <v>Intermediate</v>
      </c>
      <c r="D13" s="216" t="str">
        <f ca="1">IFERROR(__xludf.DUMMYFUNCTION("""COMPUTED_VALUE"""),"Leading from the Middle")</f>
        <v>Leading from the Middle</v>
      </c>
      <c r="E13" s="217" t="str">
        <f ca="1">IFERROR(__xludf.DUMMYFUNCTION("""COMPUTED_VALUE"""),"Improve Your Teamwork Skills")</f>
        <v>Improve Your Teamwork Skills</v>
      </c>
      <c r="F13" s="213"/>
      <c r="G13" s="214">
        <f ca="1">IFERROR(__xludf.DUMMYFUNCTION("""COMPUTED_VALUE"""),3175198)</f>
        <v>3175198</v>
      </c>
      <c r="H13" s="215" t="str">
        <f ca="1">IFERROR(__xludf.DUMMYFUNCTION("""COMPUTED_VALUE"""),"Intermediate")</f>
        <v>Intermediate</v>
      </c>
      <c r="I13" s="217" t="str">
        <f ca="1">IFERROR(__xludf.DUMMYFUNCTION("""COMPUTED_VALUE"""),"Conseils d’experte : Manager la Génération Z")</f>
        <v>Conseils d’experte : Manager la Génération Z</v>
      </c>
      <c r="J13" s="217"/>
      <c r="K13" s="213"/>
      <c r="L13" s="215">
        <f ca="1">IFERROR(__xludf.DUMMYFUNCTION("""COMPUTED_VALUE"""),2926134)</f>
        <v>2926134</v>
      </c>
      <c r="M13" s="215" t="str">
        <f ca="1">IFERROR(__xludf.DUMMYFUNCTION("""COMPUTED_VALUE"""),"Beginner, Intermediate")</f>
        <v>Beginner, Intermediate</v>
      </c>
      <c r="N13" s="217" t="str">
        <f ca="1">IFERROR(__xludf.DUMMYFUNCTION("""COMPUTED_VALUE"""),"Cómo liderar reuniones productivas")</f>
        <v>Cómo liderar reuniones productivas</v>
      </c>
      <c r="O13" s="217" t="str">
        <f ca="1">IFERROR(__xludf.DUMMYFUNCTION("""COMPUTED_VALUE"""),"Domina las habilidades de vida a nivel de liderazgo")</f>
        <v>Domina las habilidades de vida a nivel de liderazgo</v>
      </c>
      <c r="P13" s="213"/>
      <c r="Q13" s="215">
        <f ca="1">IFERROR(__xludf.DUMMYFUNCTION("""COMPUTED_VALUE"""),800554)</f>
        <v>800554</v>
      </c>
      <c r="R13" s="215" t="str">
        <f ca="1">IFERROR(__xludf.DUMMYFUNCTION("""COMPUTED_VALUE"""),"Beginner")</f>
        <v>Beginner</v>
      </c>
      <c r="S13" s="217" t="str">
        <f ca="1">IFERROR(__xludf.DUMMYFUNCTION("""COMPUTED_VALUE"""),"Data Science lernen: Storytelling mit Daten")</f>
        <v>Data Science lernen: Storytelling mit Daten</v>
      </c>
      <c r="T13" s="217"/>
      <c r="U13" s="213"/>
      <c r="V13" s="215">
        <f ca="1">IFERROR(__xludf.DUMMYFUNCTION("""COMPUTED_VALUE"""),724509)</f>
        <v>724509</v>
      </c>
      <c r="W13" s="215" t="str">
        <f ca="1">IFERROR(__xludf.DUMMYFUNCTION("""COMPUTED_VALUE"""),"Intermediate")</f>
        <v>Intermediate</v>
      </c>
      <c r="X13" s="217" t="str">
        <f ca="1">IFERROR(__xludf.DUMMYFUNCTION("""COMPUTED_VALUE"""),"優れた聴き手になるには")</f>
        <v>優れた聴き手になるには</v>
      </c>
      <c r="Y13" s="217"/>
      <c r="Z13" s="213"/>
      <c r="AA13" s="215">
        <f ca="1">IFERROR(__xludf.DUMMYFUNCTION("""COMPUTED_VALUE"""),801473)</f>
        <v>801473</v>
      </c>
      <c r="AB13" s="215" t="str">
        <f ca="1">IFERROR(__xludf.DUMMYFUNCTION("""COMPUTED_VALUE"""),"Intermediate")</f>
        <v>Intermediate</v>
      </c>
      <c r="AC13" s="217" t="str">
        <f ca="1">IFERROR(__xludf.DUMMYFUNCTION("""COMPUTED_VALUE"""),"Como Fazer Perguntas Poderosas para Vendas")</f>
        <v>Como Fazer Perguntas Poderosas para Vendas</v>
      </c>
      <c r="AD13" s="217"/>
      <c r="AE13" s="213"/>
      <c r="AF13" s="215">
        <f ca="1">IFERROR(__xludf.DUMMYFUNCTION("""COMPUTED_VALUE"""),2823352)</f>
        <v>2823352</v>
      </c>
      <c r="AG13" s="215" t="str">
        <f ca="1">IFERROR(__xludf.DUMMYFUNCTION("""COMPUTED_VALUE"""),"Beginner")</f>
        <v>Beginner</v>
      </c>
      <c r="AH13" s="217" t="str">
        <f ca="1">IFERROR(__xludf.DUMMYFUNCTION("""COMPUTED_VALUE"""),"团队沟通")</f>
        <v>团队沟通</v>
      </c>
      <c r="AI13" s="217"/>
      <c r="AJ13" s="213"/>
    </row>
    <row r="14" spans="1:36" ht="33.75" customHeight="1">
      <c r="A14" s="213"/>
      <c r="B14" s="214">
        <f ca="1">IFERROR(__xludf.DUMMYFUNCTION("""COMPUTED_VALUE"""),5028617)</f>
        <v>5028617</v>
      </c>
      <c r="C14" s="215" t="str">
        <f ca="1">IFERROR(__xludf.DUMMYFUNCTION("""COMPUTED_VALUE"""),"Intermediate")</f>
        <v>Intermediate</v>
      </c>
      <c r="D14" s="216" t="str">
        <f ca="1">IFERROR(__xludf.DUMMYFUNCTION("""COMPUTED_VALUE"""),"Communicating Values")</f>
        <v>Communicating Values</v>
      </c>
      <c r="E14" s="217" t="str">
        <f ca="1">IFERROR(__xludf.DUMMYFUNCTION("""COMPUTED_VALUE"""),"Master In-Demand Professional Soft Skills")</f>
        <v>Master In-Demand Professional Soft Skills</v>
      </c>
      <c r="F14" s="213"/>
      <c r="G14" s="214">
        <f ca="1">IFERROR(__xludf.DUMMYFUNCTION("""COMPUTED_VALUE"""),2250561)</f>
        <v>2250561</v>
      </c>
      <c r="H14" s="215" t="str">
        <f ca="1">IFERROR(__xludf.DUMMYFUNCTION("""COMPUTED_VALUE"""),"Intermediate")</f>
        <v>Intermediate</v>
      </c>
      <c r="I14" s="217" t="str">
        <f ca="1">IFERROR(__xludf.DUMMYFUNCTION("""COMPUTED_VALUE"""),"Créer des conversations constructives avec des clients exigeants / clientes exigeantes")</f>
        <v>Créer des conversations constructives avec des clients exigeants / clientes exigeantes</v>
      </c>
      <c r="J14" s="217"/>
      <c r="K14" s="213"/>
      <c r="L14" s="215">
        <f ca="1">IFERROR(__xludf.DUMMYFUNCTION("""COMPUTED_VALUE"""),5025680)</f>
        <v>5025680</v>
      </c>
      <c r="M14" s="215" t="str">
        <f ca="1">IFERROR(__xludf.DUMMYFUNCTION("""COMPUTED_VALUE"""),"Intermediate")</f>
        <v>Intermediate</v>
      </c>
      <c r="N14" s="217" t="str">
        <f ca="1">IFERROR(__xludf.DUMMYFUNCTION("""COMPUTED_VALUE"""),"Cómo medir el rendimiento de tu equipo")</f>
        <v>Cómo medir el rendimiento de tu equipo</v>
      </c>
      <c r="O14" s="217"/>
      <c r="P14" s="213"/>
      <c r="Q14" s="215">
        <f ca="1">IFERROR(__xludf.DUMMYFUNCTION("""COMPUTED_VALUE"""),2837222)</f>
        <v>2837222</v>
      </c>
      <c r="R14" s="215" t="str">
        <f ca="1">IFERROR(__xludf.DUMMYFUNCTION("""COMPUTED_VALUE"""),"All levels")</f>
        <v>All levels</v>
      </c>
      <c r="S14" s="217" t="str">
        <f ca="1">IFERROR(__xludf.DUMMYFUNCTION("""COMPUTED_VALUE"""),"Die 10 Stufen des Zuhörens: Die eigene Zuhörkompetenz ausbauen")</f>
        <v>Die 10 Stufen des Zuhörens: Die eigene Zuhörkompetenz ausbauen</v>
      </c>
      <c r="T14" s="217"/>
      <c r="U14" s="213"/>
      <c r="V14" s="215">
        <f ca="1">IFERROR(__xludf.DUMMYFUNCTION("""COMPUTED_VALUE"""),2909721)</f>
        <v>2909721</v>
      </c>
      <c r="W14" s="215" t="str">
        <f ca="1">IFERROR(__xludf.DUMMYFUNCTION("""COMPUTED_VALUE"""),"All levels")</f>
        <v>All levels</v>
      </c>
      <c r="X14" s="217" t="str">
        <f ca="1">IFERROR(__xludf.DUMMYFUNCTION("""COMPUTED_VALUE"""),"戦略的な交渉術")</f>
        <v>戦略的な交渉術</v>
      </c>
      <c r="Y14" s="217"/>
      <c r="Z14" s="213"/>
      <c r="AA14" s="215">
        <f ca="1">IFERROR(__xludf.DUMMYFUNCTION("""COMPUTED_VALUE"""),733879)</f>
        <v>733879</v>
      </c>
      <c r="AB14" s="215" t="str">
        <f ca="1">IFERROR(__xludf.DUMMYFUNCTION("""COMPUTED_VALUE"""),"All levels")</f>
        <v>All levels</v>
      </c>
      <c r="AC14" s="217" t="str">
        <f ca="1">IFERROR(__xludf.DUMMYFUNCTION("""COMPUTED_VALUE"""),"Como Influenciar as Pessoas")</f>
        <v>Como Influenciar as Pessoas</v>
      </c>
      <c r="AD14" s="217"/>
      <c r="AE14" s="213"/>
      <c r="AF14" s="215">
        <f ca="1">IFERROR(__xludf.DUMMYFUNCTION("""COMPUTED_VALUE"""),3026292)</f>
        <v>3026292</v>
      </c>
      <c r="AG14" s="215" t="str">
        <f ca="1">IFERROR(__xludf.DUMMYFUNCTION("""COMPUTED_VALUE"""),"All levels")</f>
        <v>All levels</v>
      </c>
      <c r="AH14" s="217" t="str">
        <f ca="1">IFERROR(__xludf.DUMMYFUNCTION("""COMPUTED_VALUE"""),"在工作中勇敢发声")</f>
        <v>在工作中勇敢发声</v>
      </c>
      <c r="AI14" s="217"/>
      <c r="AJ14" s="213"/>
    </row>
    <row r="15" spans="1:36" ht="33.75" customHeight="1">
      <c r="A15" s="213"/>
      <c r="B15" s="214">
        <f ca="1">IFERROR(__xludf.DUMMYFUNCTION("""COMPUTED_VALUE"""),743145)</f>
        <v>743145</v>
      </c>
      <c r="C15" s="215" t="str">
        <f ca="1">IFERROR(__xludf.DUMMYFUNCTION("""COMPUTED_VALUE"""),"Intermediate")</f>
        <v>Intermediate</v>
      </c>
      <c r="D15" s="216" t="str">
        <f ca="1">IFERROR(__xludf.DUMMYFUNCTION("""COMPUTED_VALUE"""),"Reputation Risk Management")</f>
        <v>Reputation Risk Management</v>
      </c>
      <c r="E15" s="217" t="str">
        <f ca="1">IFERROR(__xludf.DUMMYFUNCTION("""COMPUTED_VALUE"""),"Navigating Election Season at Work")</f>
        <v>Navigating Election Season at Work</v>
      </c>
      <c r="F15" s="213"/>
      <c r="G15" s="214">
        <f ca="1">IFERROR(__xludf.DUMMYFUNCTION("""COMPUTED_VALUE"""),2822435)</f>
        <v>2822435</v>
      </c>
      <c r="H15" s="215" t="str">
        <f ca="1">IFERROR(__xludf.DUMMYFUNCTION("""COMPUTED_VALUE"""),"Intermediate")</f>
        <v>Intermediate</v>
      </c>
      <c r="I15" s="217" t="str">
        <f ca="1">IFERROR(__xludf.DUMMYFUNCTION("""COMPUTED_VALUE"""),"Développer son image professionnelle")</f>
        <v>Développer son image professionnelle</v>
      </c>
      <c r="J15" s="217"/>
      <c r="K15" s="213"/>
      <c r="L15" s="215">
        <f ca="1">IFERROR(__xludf.DUMMYFUNCTION("""COMPUTED_VALUE"""),2929356)</f>
        <v>2929356</v>
      </c>
      <c r="M15" s="215" t="str">
        <f ca="1">IFERROR(__xludf.DUMMYFUNCTION("""COMPUTED_VALUE"""),"All levels")</f>
        <v>All levels</v>
      </c>
      <c r="N15" s="217" t="str">
        <f ca="1">IFERROR(__xludf.DUMMYFUNCTION("""COMPUTED_VALUE"""),"Cómo negociar tu oferta de trabajo")</f>
        <v>Cómo negociar tu oferta de trabajo</v>
      </c>
      <c r="O15" s="217"/>
      <c r="P15" s="213"/>
      <c r="Q15" s="215">
        <f ca="1">IFERROR(__xludf.DUMMYFUNCTION("""COMPUTED_VALUE"""),3205094)</f>
        <v>3205094</v>
      </c>
      <c r="R15" s="215" t="str">
        <f ca="1">IFERROR(__xludf.DUMMYFUNCTION("""COMPUTED_VALUE"""),"All levels")</f>
        <v>All levels</v>
      </c>
      <c r="S15" s="217" t="str">
        <f ca="1">IFERROR(__xludf.DUMMYFUNCTION("""COMPUTED_VALUE"""),"Die 7 schlimmsten Kommunikationsfehler")</f>
        <v>Die 7 schlimmsten Kommunikationsfehler</v>
      </c>
      <c r="T15" s="217"/>
      <c r="U15" s="213"/>
      <c r="V15" s="215">
        <f ca="1">IFERROR(__xludf.DUMMYFUNCTION("""COMPUTED_VALUE"""),2917522)</f>
        <v>2917522</v>
      </c>
      <c r="W15" s="215" t="str">
        <f ca="1">IFERROR(__xludf.DUMMYFUNCTION("""COMPUTED_VALUE"""),"All levels")</f>
        <v>All levels</v>
      </c>
      <c r="X15" s="217" t="str">
        <f ca="1">IFERROR(__xludf.DUMMYFUNCTION("""COMPUTED_VALUE"""),"異文化理解能力を高めるには")</f>
        <v>異文化理解能力を高めるには</v>
      </c>
      <c r="Y15" s="217"/>
      <c r="Z15" s="213"/>
      <c r="AA15" s="215">
        <f ca="1">IFERROR(__xludf.DUMMYFUNCTION("""COMPUTED_VALUE"""),753224)</f>
        <v>753224</v>
      </c>
      <c r="AB15" s="215" t="str">
        <f ca="1">IFERROR(__xludf.DUMMYFUNCTION("""COMPUTED_VALUE"""),"All levels")</f>
        <v>All levels</v>
      </c>
      <c r="AC15" s="217" t="str">
        <f ca="1">IFERROR(__xludf.DUMMYFUNCTION("""COMPUTED_VALUE"""),"Como Liderar e Trabalhar em Equipe")</f>
        <v>Como Liderar e Trabalhar em Equipe</v>
      </c>
      <c r="AD15" s="217"/>
      <c r="AE15" s="213"/>
      <c r="AF15" s="215">
        <f ca="1">IFERROR(__xludf.DUMMYFUNCTION("""COMPUTED_VALUE"""),2811194)</f>
        <v>2811194</v>
      </c>
      <c r="AG15" s="215" t="str">
        <f ca="1">IFERROR(__xludf.DUMMYFUNCTION("""COMPUTED_VALUE"""),"Intermediate")</f>
        <v>Intermediate</v>
      </c>
      <c r="AH15" s="217" t="str">
        <f ca="1">IFERROR(__xludf.DUMMYFUNCTION("""COMPUTED_VALUE"""),"处理客户投诉")</f>
        <v>处理客户投诉</v>
      </c>
      <c r="AI15" s="217"/>
      <c r="AJ15" s="213"/>
    </row>
    <row r="16" spans="1:36" ht="33.75" customHeight="1">
      <c r="A16" s="213"/>
      <c r="B16" s="214">
        <f ca="1">IFERROR(__xludf.DUMMYFUNCTION("""COMPUTED_VALUE"""),791342)</f>
        <v>791342</v>
      </c>
      <c r="C16" s="215" t="str">
        <f ca="1">IFERROR(__xludf.DUMMYFUNCTION("""COMPUTED_VALUE"""),"Intermediate")</f>
        <v>Intermediate</v>
      </c>
      <c r="D16" s="216" t="str">
        <f ca="1">IFERROR(__xludf.DUMMYFUNCTION("""COMPUTED_VALUE"""),"Negotiating with Agility")</f>
        <v>Negotiating with Agility</v>
      </c>
      <c r="E16" s="217" t="str">
        <f ca="1">IFERROR(__xludf.DUMMYFUNCTION("""COMPUTED_VALUE"""),"Visual Communication for Business Professionals")</f>
        <v>Visual Communication for Business Professionals</v>
      </c>
      <c r="F16" s="213"/>
      <c r="G16" s="214">
        <f ca="1">IFERROR(__xludf.DUMMYFUNCTION("""COMPUTED_VALUE"""),2917547)</f>
        <v>2917547</v>
      </c>
      <c r="H16" s="215" t="str">
        <f ca="1">IFERROR(__xludf.DUMMYFUNCTION("""COMPUTED_VALUE"""),"All levels")</f>
        <v>All levels</v>
      </c>
      <c r="I16" s="217" t="str">
        <f ca="1">IFERROR(__xludf.DUMMYFUNCTION("""COMPUTED_VALUE"""),"Développer son intelligence émotionnelle")</f>
        <v>Développer son intelligence émotionnelle</v>
      </c>
      <c r="J16" s="217"/>
      <c r="K16" s="213"/>
      <c r="L16" s="215">
        <f ca="1">IFERROR(__xludf.DUMMYFUNCTION("""COMPUTED_VALUE"""),2929357)</f>
        <v>2929357</v>
      </c>
      <c r="M16" s="215" t="str">
        <f ca="1">IFERROR(__xludf.DUMMYFUNCTION("""COMPUTED_VALUE"""),"Intermediate")</f>
        <v>Intermediate</v>
      </c>
      <c r="N16" s="217" t="str">
        <f ca="1">IFERROR(__xludf.DUMMYFUNCTION("""COMPUTED_VALUE"""),"Cómo negociar tu salario")</f>
        <v>Cómo negociar tu salario</v>
      </c>
      <c r="O16" s="217"/>
      <c r="P16" s="213"/>
      <c r="Q16" s="215">
        <f ca="1">IFERROR(__xludf.DUMMYFUNCTION("""COMPUTED_VALUE"""),2808707)</f>
        <v>2808707</v>
      </c>
      <c r="R16" s="215" t="str">
        <f ca="1">IFERROR(__xludf.DUMMYFUNCTION("""COMPUTED_VALUE"""),"Beginner, Intermediate")</f>
        <v>Beginner, Intermediate</v>
      </c>
      <c r="S16" s="217" t="str">
        <f ca="1">IFERROR(__xludf.DUMMYFUNCTION("""COMPUTED_VALUE"""),"Digital Nudging: User Experience positiv beeinflussen")</f>
        <v>Digital Nudging: User Experience positiv beeinflussen</v>
      </c>
      <c r="T16" s="217"/>
      <c r="U16" s="213"/>
      <c r="V16" s="215">
        <f ca="1">IFERROR(__xludf.DUMMYFUNCTION("""COMPUTED_VALUE"""),3158166)</f>
        <v>3158166</v>
      </c>
      <c r="W16" s="215" t="str">
        <f ca="1">IFERROR(__xludf.DUMMYFUNCTION("""COMPUTED_VALUE"""),"Beginner, Intermediate")</f>
        <v>Beginner, Intermediate</v>
      </c>
      <c r="X16" s="217" t="str">
        <f ca="1">IFERROR(__xludf.DUMMYFUNCTION("""COMPUTED_VALUE"""),"聞き上手になるには")</f>
        <v>聞き上手になるには</v>
      </c>
      <c r="Y16" s="217"/>
      <c r="Z16" s="213"/>
      <c r="AA16" s="215">
        <f ca="1">IFERROR(__xludf.DUMMYFUNCTION("""COMPUTED_VALUE"""),801465)</f>
        <v>801465</v>
      </c>
      <c r="AB16" s="215" t="str">
        <f ca="1">IFERROR(__xludf.DUMMYFUNCTION("""COMPUTED_VALUE"""),"Beginner, Intermediate")</f>
        <v>Beginner, Intermediate</v>
      </c>
      <c r="AC16" s="217" t="str">
        <f ca="1">IFERROR(__xludf.DUMMYFUNCTION("""COMPUTED_VALUE"""),"Como Melhorar suas Competências de Escuta")</f>
        <v>Como Melhorar suas Competências de Escuta</v>
      </c>
      <c r="AD16" s="217"/>
      <c r="AE16" s="213"/>
      <c r="AF16" s="215">
        <f ca="1">IFERROR(__xludf.DUMMYFUNCTION("""COMPUTED_VALUE"""),2825755)</f>
        <v>2825755</v>
      </c>
      <c r="AG16" s="215" t="str">
        <f ca="1">IFERROR(__xludf.DUMMYFUNCTION("""COMPUTED_VALUE"""),"All levels")</f>
        <v>All levels</v>
      </c>
      <c r="AH16" s="217" t="str">
        <f ca="1">IFERROR(__xludf.DUMMYFUNCTION("""COMPUTED_VALUE"""),"女性领导气质")</f>
        <v>女性领导气质</v>
      </c>
      <c r="AI16" s="217"/>
      <c r="AJ16" s="213"/>
    </row>
    <row r="17" spans="1:36" ht="33.75" customHeight="1">
      <c r="A17" s="213"/>
      <c r="B17" s="214">
        <f ca="1">IFERROR(__xludf.DUMMYFUNCTION("""COMPUTED_VALUE"""),5022326)</f>
        <v>5022326</v>
      </c>
      <c r="C17" s="215" t="str">
        <f ca="1">IFERROR(__xludf.DUMMYFUNCTION("""COMPUTED_VALUE"""),"Intermediate")</f>
        <v>Intermediate</v>
      </c>
      <c r="D17" s="216" t="str">
        <f ca="1">IFERROR(__xludf.DUMMYFUNCTION("""COMPUTED_VALUE"""),"Stories Every Leader Should Tell")</f>
        <v>Stories Every Leader Should Tell</v>
      </c>
      <c r="E17" s="217"/>
      <c r="F17" s="213"/>
      <c r="G17" s="214">
        <f ca="1">IFERROR(__xludf.DUMMYFUNCTION("""COMPUTED_VALUE"""),2833062)</f>
        <v>2833062</v>
      </c>
      <c r="H17" s="215" t="str">
        <f ca="1">IFERROR(__xludf.DUMMYFUNCTION("""COMPUTED_VALUE"""),"Intermediate")</f>
        <v>Intermediate</v>
      </c>
      <c r="I17" s="217" t="str">
        <f ca="1">IFERROR(__xludf.DUMMYFUNCTION("""COMPUTED_VALUE"""),"Devenir un leader d'opinion")</f>
        <v>Devenir un leader d'opinion</v>
      </c>
      <c r="J17" s="217"/>
      <c r="K17" s="213"/>
      <c r="L17" s="215">
        <f ca="1">IFERROR(__xludf.DUMMYFUNCTION("""COMPUTED_VALUE"""),561568)</f>
        <v>561568</v>
      </c>
      <c r="M17" s="215" t="str">
        <f ca="1">IFERROR(__xludf.DUMMYFUNCTION("""COMPUTED_VALUE"""),"Intermediate")</f>
        <v>Intermediate</v>
      </c>
      <c r="N17" s="217" t="str">
        <f ca="1">IFERROR(__xludf.DUMMYFUNCTION("""COMPUTED_VALUE"""),"Cómo potenciar tus conversaciones de ventas")</f>
        <v>Cómo potenciar tus conversaciones de ventas</v>
      </c>
      <c r="O17" s="217"/>
      <c r="P17" s="213"/>
      <c r="Q17" s="215">
        <f ca="1">IFERROR(__xludf.DUMMYFUNCTION("""COMPUTED_VALUE"""),461917)</f>
        <v>461917</v>
      </c>
      <c r="R17" s="215" t="str">
        <f ca="1">IFERROR(__xludf.DUMMYFUNCTION("""COMPUTED_VALUE"""),"All levels")</f>
        <v>All levels</v>
      </c>
      <c r="S17" s="217" t="str">
        <f ca="1">IFERROR(__xludf.DUMMYFUNCTION("""COMPUTED_VALUE"""),"E-Mails schreiben")</f>
        <v>E-Mails schreiben</v>
      </c>
      <c r="T17" s="217"/>
      <c r="U17" s="213"/>
      <c r="V17" s="215">
        <f ca="1">IFERROR(__xludf.DUMMYFUNCTION("""COMPUTED_VALUE"""),2891000)</f>
        <v>2891000</v>
      </c>
      <c r="W17" s="215" t="str">
        <f ca="1">IFERROR(__xludf.DUMMYFUNCTION("""COMPUTED_VALUE"""),"All levels")</f>
        <v>All levels</v>
      </c>
      <c r="X17" s="217" t="str">
        <f ca="1">IFERROR(__xludf.DUMMYFUNCTION("""COMPUTED_VALUE"""),"聞く力：聞き上手になるための10ステップ")</f>
        <v>聞く力：聞き上手になるための10ステップ</v>
      </c>
      <c r="Y17" s="217"/>
      <c r="Z17" s="213"/>
      <c r="AA17" s="215">
        <f ca="1">IFERROR(__xludf.DUMMYFUNCTION("""COMPUTED_VALUE"""),2908964)</f>
        <v>2908964</v>
      </c>
      <c r="AB17" s="215" t="str">
        <f ca="1">IFERROR(__xludf.DUMMYFUNCTION("""COMPUTED_VALUE"""),"Intermediate")</f>
        <v>Intermediate</v>
      </c>
      <c r="AC17" s="217" t="str">
        <f ca="1">IFERROR(__xludf.DUMMYFUNCTION("""COMPUTED_VALUE"""),"Como Planejar a Comunicação em Tempos de Mudança")</f>
        <v>Como Planejar a Comunicação em Tempos de Mudança</v>
      </c>
      <c r="AD17" s="217"/>
      <c r="AE17" s="213"/>
      <c r="AF17" s="215">
        <f ca="1">IFERROR(__xludf.DUMMYFUNCTION("""COMPUTED_VALUE"""),793986)</f>
        <v>793986</v>
      </c>
      <c r="AG17" s="215" t="str">
        <f ca="1">IFERROR(__xludf.DUMMYFUNCTION("""COMPUTED_VALUE"""),"All levels")</f>
        <v>All levels</v>
      </c>
      <c r="AH17" s="217" t="str">
        <f ca="1">IFERROR(__xludf.DUMMYFUNCTION("""COMPUTED_VALUE"""),"如何自信沟通")</f>
        <v>如何自信沟通</v>
      </c>
      <c r="AI17" s="217"/>
      <c r="AJ17" s="213"/>
    </row>
    <row r="18" spans="1:36" ht="33.75" customHeight="1">
      <c r="A18" s="213"/>
      <c r="B18" s="214">
        <f ca="1">IFERROR(__xludf.DUMMYFUNCTION("""COMPUTED_VALUE"""),696326)</f>
        <v>696326</v>
      </c>
      <c r="C18" s="215" t="str">
        <f ca="1">IFERROR(__xludf.DUMMYFUNCTION("""COMPUTED_VALUE"""),"Intermediate")</f>
        <v>Intermediate</v>
      </c>
      <c r="D18" s="216" t="str">
        <f ca="1">IFERROR(__xludf.DUMMYFUNCTION("""COMPUTED_VALUE"""),"Becoming a Thought Leader")</f>
        <v>Becoming a Thought Leader</v>
      </c>
      <c r="E18" s="217"/>
      <c r="F18" s="213"/>
      <c r="G18" s="214">
        <f ca="1">IFERROR(__xludf.DUMMYFUNCTION("""COMPUTED_VALUE"""),3166463)</f>
        <v>3166463</v>
      </c>
      <c r="H18" s="215" t="str">
        <f ca="1">IFERROR(__xludf.DUMMYFUNCTION("""COMPUTED_VALUE"""),"All levels")</f>
        <v>All levels</v>
      </c>
      <c r="I18" s="217" t="str">
        <f ca="1">IFERROR(__xludf.DUMMYFUNCTION("""COMPUTED_VALUE"""),"Devenir une personne charismatique et influente")</f>
        <v>Devenir une personne charismatique et influente</v>
      </c>
      <c r="J18" s="217"/>
      <c r="K18" s="213"/>
      <c r="L18" s="215">
        <f ca="1">IFERROR(__xludf.DUMMYFUNCTION("""COMPUTED_VALUE"""),774932)</f>
        <v>774932</v>
      </c>
      <c r="M18" s="215" t="str">
        <f ca="1">IFERROR(__xludf.DUMMYFUNCTION("""COMPUTED_VALUE"""),"Advanced")</f>
        <v>Advanced</v>
      </c>
      <c r="N18" s="217" t="str">
        <f ca="1">IFERROR(__xludf.DUMMYFUNCTION("""COMPUTED_VALUE"""),"Cómo tener conversaciones difíciles")</f>
        <v>Cómo tener conversaciones difíciles</v>
      </c>
      <c r="O18" s="217"/>
      <c r="P18" s="213"/>
      <c r="Q18" s="215">
        <f ca="1">IFERROR(__xludf.DUMMYFUNCTION("""COMPUTED_VALUE"""),2815032)</f>
        <v>2815032</v>
      </c>
      <c r="R18" s="215" t="str">
        <f ca="1">IFERROR(__xludf.DUMMYFUNCTION("""COMPUTED_VALUE"""),"All levels")</f>
        <v>All levels</v>
      </c>
      <c r="S18" s="217" t="str">
        <f ca="1">IFERROR(__xludf.DUMMYFUNCTION("""COMPUTED_VALUE"""),"Empathie und Kreativität als neue Schlüsselkompetenzen")</f>
        <v>Empathie und Kreativität als neue Schlüsselkompetenzen</v>
      </c>
      <c r="T18" s="217"/>
      <c r="U18" s="213"/>
      <c r="V18" s="215">
        <f ca="1">IFERROR(__xludf.DUMMYFUNCTION("""COMPUTED_VALUE"""),676648)</f>
        <v>676648</v>
      </c>
      <c r="W18" s="215" t="str">
        <f ca="1">IFERROR(__xludf.DUMMYFUNCTION("""COMPUTED_VALUE"""),"Beginner")</f>
        <v>Beginner</v>
      </c>
      <c r="X18" s="217" t="str">
        <f ca="1">IFERROR(__xludf.DUMMYFUNCTION("""COMPUTED_VALUE"""),"自信をもって話すには")</f>
        <v>自信をもって話すには</v>
      </c>
      <c r="Y18" s="217"/>
      <c r="Z18" s="213"/>
      <c r="AA18" s="215">
        <f ca="1">IFERROR(__xludf.DUMMYFUNCTION("""COMPUTED_VALUE"""),2928593)</f>
        <v>2928593</v>
      </c>
      <c r="AB18" s="215" t="str">
        <f ca="1">IFERROR(__xludf.DUMMYFUNCTION("""COMPUTED_VALUE"""),"All levels")</f>
        <v>All levels</v>
      </c>
      <c r="AC18" s="217" t="str">
        <f ca="1">IFERROR(__xludf.DUMMYFUNCTION("""COMPUTED_VALUE"""),"Como Prevenir o Assédio no Trabalho e Criar um Ambiente Seguro")</f>
        <v>Como Prevenir o Assédio no Trabalho e Criar um Ambiente Seguro</v>
      </c>
      <c r="AD18" s="217"/>
      <c r="AE18" s="213"/>
      <c r="AF18" s="215">
        <f ca="1">IFERROR(__xludf.DUMMYFUNCTION("""COMPUTED_VALUE"""),2808425)</f>
        <v>2808425</v>
      </c>
      <c r="AG18" s="215" t="str">
        <f ca="1">IFERROR(__xludf.DUMMYFUNCTION("""COMPUTED_VALUE"""),"All levels")</f>
        <v>All levels</v>
      </c>
      <c r="AH18" s="217" t="str">
        <f ca="1">IFERROR(__xludf.DUMMYFUNCTION("""COMPUTED_VALUE"""),"学会自信力")</f>
        <v>学会自信力</v>
      </c>
      <c r="AI18" s="217"/>
      <c r="AJ18" s="213"/>
    </row>
    <row r="19" spans="1:36" ht="33.75" customHeight="1">
      <c r="A19" s="213"/>
      <c r="B19" s="214">
        <f ca="1">IFERROR(__xludf.DUMMYFUNCTION("""COMPUTED_VALUE"""),2875304)</f>
        <v>2875304</v>
      </c>
      <c r="C19" s="215" t="str">
        <f ca="1">IFERROR(__xludf.DUMMYFUNCTION("""COMPUTED_VALUE"""),"Intermediate")</f>
        <v>Intermediate</v>
      </c>
      <c r="D19" s="216" t="str">
        <f ca="1">IFERROR(__xludf.DUMMYFUNCTION("""COMPUTED_VALUE"""),"Taking Charge of Your Leadership Conversations")</f>
        <v>Taking Charge of Your Leadership Conversations</v>
      </c>
      <c r="E19" s="217"/>
      <c r="F19" s="213"/>
      <c r="G19" s="214">
        <f ca="1">IFERROR(__xludf.DUMMYFUNCTION("""COMPUTED_VALUE"""),447165)</f>
        <v>447165</v>
      </c>
      <c r="H19" s="215" t="str">
        <f ca="1">IFERROR(__xludf.DUMMYFUNCTION("""COMPUTED_VALUE"""),"Beginner")</f>
        <v>Beginner</v>
      </c>
      <c r="I19" s="217" t="str">
        <f ca="1">IFERROR(__xludf.DUMMYFUNCTION("""COMPUTED_VALUE"""),"Diriger grâce à l’intelligence émotionnelle")</f>
        <v>Diriger grâce à l’intelligence émotionnelle</v>
      </c>
      <c r="J19" s="217"/>
      <c r="K19" s="213"/>
      <c r="L19" s="215">
        <f ca="1">IFERROR(__xludf.DUMMYFUNCTION("""COMPUTED_VALUE"""),2929353)</f>
        <v>2929353</v>
      </c>
      <c r="M19" s="215" t="str">
        <f ca="1">IFERROR(__xludf.DUMMYFUNCTION("""COMPUTED_VALUE"""),"All levels")</f>
        <v>All levels</v>
      </c>
      <c r="N19" s="217" t="str">
        <f ca="1">IFERROR(__xludf.DUMMYFUNCTION("""COMPUTED_VALUE"""),"Comunicación con atención plena, empatía y compasión")</f>
        <v>Comunicación con atención plena, empatía y compasión</v>
      </c>
      <c r="O19" s="217"/>
      <c r="P19" s="213"/>
      <c r="Q19" s="215">
        <f ca="1">IFERROR(__xludf.DUMMYFUNCTION("""COMPUTED_VALUE"""),2837220)</f>
        <v>2837220</v>
      </c>
      <c r="R19" s="215" t="str">
        <f ca="1">IFERROR(__xludf.DUMMYFUNCTION("""COMPUTED_VALUE"""),"Beginner")</f>
        <v>Beginner</v>
      </c>
      <c r="S19" s="217" t="str">
        <f ca="1">IFERROR(__xludf.DUMMYFUNCTION("""COMPUTED_VALUE"""),"Erfolgreich verhandeln mit dem Harvard-Konzept")</f>
        <v>Erfolgreich verhandeln mit dem Harvard-Konzept</v>
      </c>
      <c r="T19" s="217"/>
      <c r="U19" s="213"/>
      <c r="V19" s="215">
        <f ca="1">IFERROR(__xludf.DUMMYFUNCTION("""COMPUTED_VALUE"""),765510)</f>
        <v>765510</v>
      </c>
      <c r="W19" s="215" t="str">
        <f ca="1">IFERROR(__xludf.DUMMYFUNCTION("""COMPUTED_VALUE"""),"All levels")</f>
        <v>All levels</v>
      </c>
      <c r="X19" s="217" t="str">
        <f ca="1">IFERROR(__xludf.DUMMYFUNCTION("""COMPUTED_VALUE"""),"良い信頼関係を築くには")</f>
        <v>良い信頼関係を築くには</v>
      </c>
      <c r="Y19" s="217"/>
      <c r="Z19" s="213"/>
      <c r="AA19" s="215">
        <f ca="1">IFERROR(__xludf.DUMMYFUNCTION("""COMPUTED_VALUE"""),3166657)</f>
        <v>3166657</v>
      </c>
      <c r="AB19" s="215" t="str">
        <f ca="1">IFERROR(__xludf.DUMMYFUNCTION("""COMPUTED_VALUE"""),"All levels")</f>
        <v>All levels</v>
      </c>
      <c r="AC19" s="217" t="str">
        <f ca="1">IFERROR(__xludf.DUMMYFUNCTION("""COMPUTED_VALUE"""),"Como Responder a Microagressões no Trabalho")</f>
        <v>Como Responder a Microagressões no Trabalho</v>
      </c>
      <c r="AD19" s="217"/>
      <c r="AE19" s="213"/>
      <c r="AF19" s="215">
        <f ca="1">IFERROR(__xludf.DUMMYFUNCTION("""COMPUTED_VALUE"""),762223)</f>
        <v>762223</v>
      </c>
      <c r="AG19" s="215" t="str">
        <f ca="1">IFERROR(__xludf.DUMMYFUNCTION("""COMPUTED_VALUE"""),"All levels")</f>
        <v>All levels</v>
      </c>
      <c r="AH19" s="217" t="str">
        <f ca="1">IFERROR(__xludf.DUMMYFUNCTION("""COMPUTED_VALUE"""),"建立信任")</f>
        <v>建立信任</v>
      </c>
      <c r="AI19" s="217"/>
      <c r="AJ19" s="213"/>
    </row>
    <row r="20" spans="1:36" ht="33.75" customHeight="1">
      <c r="A20" s="213"/>
      <c r="B20" s="214">
        <f ca="1">IFERROR(__xludf.DUMMYFUNCTION("""COMPUTED_VALUE"""),2881075)</f>
        <v>2881075</v>
      </c>
      <c r="C20" s="215" t="str">
        <f ca="1">IFERROR(__xludf.DUMMYFUNCTION("""COMPUTED_VALUE"""),"Advanced")</f>
        <v>Advanced</v>
      </c>
      <c r="D20" s="216" t="str">
        <f ca="1">IFERROR(__xludf.DUMMYFUNCTION("""COMPUTED_VALUE"""),"Critical Thinking for More Effective Communication")</f>
        <v>Critical Thinking for More Effective Communication</v>
      </c>
      <c r="E20" s="217"/>
      <c r="F20" s="213"/>
      <c r="G20" s="214">
        <f ca="1">IFERROR(__xludf.DUMMYFUNCTION("""COMPUTED_VALUE"""),547545)</f>
        <v>547545</v>
      </c>
      <c r="H20" s="215" t="str">
        <f ca="1">IFERROR(__xludf.DUMMYFUNCTION("""COMPUTED_VALUE"""),"All levels")</f>
        <v>All levels</v>
      </c>
      <c r="I20" s="217" t="str">
        <f ca="1">IFERROR(__xludf.DUMMYFUNCTION("""COMPUTED_VALUE"""),"Écouter efficacement")</f>
        <v>Écouter efficacement</v>
      </c>
      <c r="J20" s="217"/>
      <c r="K20" s="213"/>
      <c r="L20" s="215">
        <f ca="1">IFERROR(__xludf.DUMMYFUNCTION("""COMPUTED_VALUE"""),609787)</f>
        <v>609787</v>
      </c>
      <c r="M20" s="215" t="str">
        <f ca="1">IFERROR(__xludf.DUMMYFUNCTION("""COMPUTED_VALUE"""),"Beginner")</f>
        <v>Beginner</v>
      </c>
      <c r="N20" s="217" t="str">
        <f ca="1">IFERROR(__xludf.DUMMYFUNCTION("""COMPUTED_VALUE"""),"Comunicación con confianza")</f>
        <v>Comunicación con confianza</v>
      </c>
      <c r="O20" s="217"/>
      <c r="P20" s="213"/>
      <c r="Q20" s="215">
        <f ca="1">IFERROR(__xludf.DUMMYFUNCTION("""COMPUTED_VALUE"""),518927)</f>
        <v>518927</v>
      </c>
      <c r="R20" s="215" t="str">
        <f ca="1">IFERROR(__xludf.DUMMYFUNCTION("""COMPUTED_VALUE"""),"All levels")</f>
        <v>All levels</v>
      </c>
      <c r="S20" s="217" t="str">
        <f ca="1">IFERROR(__xludf.DUMMYFUNCTION("""COMPUTED_VALUE"""),"Erfolgreich zuhören")</f>
        <v>Erfolgreich zuhören</v>
      </c>
      <c r="T20" s="217"/>
      <c r="U20" s="213"/>
      <c r="V20" s="215">
        <f ca="1">IFERROR(__xludf.DUMMYFUNCTION("""COMPUTED_VALUE"""),2415665)</f>
        <v>2415665</v>
      </c>
      <c r="W20" s="215" t="str">
        <f ca="1">IFERROR(__xludf.DUMMYFUNCTION("""COMPUTED_VALUE"""),"Beginner")</f>
        <v>Beginner</v>
      </c>
      <c r="X20" s="217" t="str">
        <f ca="1">IFERROR(__xludf.DUMMYFUNCTION("""COMPUTED_VALUE"""),"親しみやすい印象を与えるには")</f>
        <v>親しみやすい印象を与えるには</v>
      </c>
      <c r="Y20" s="217"/>
      <c r="Z20" s="213"/>
      <c r="AA20" s="215">
        <f ca="1">IFERROR(__xludf.DUMMYFUNCTION("""COMPUTED_VALUE"""),753084)</f>
        <v>753084</v>
      </c>
      <c r="AB20" s="215" t="str">
        <f ca="1">IFERROR(__xludf.DUMMYFUNCTION("""COMPUTED_VALUE"""),"All levels")</f>
        <v>All levels</v>
      </c>
      <c r="AC20" s="217" t="str">
        <f ca="1">IFERROR(__xludf.DUMMYFUNCTION("""COMPUTED_VALUE"""),"Como se Comunicar com Confiança")</f>
        <v>Como se Comunicar com Confiança</v>
      </c>
      <c r="AD20" s="217"/>
      <c r="AE20" s="213"/>
      <c r="AF20" s="215">
        <f ca="1">IFERROR(__xludf.DUMMYFUNCTION("""COMPUTED_VALUE"""),2822703)</f>
        <v>2822703</v>
      </c>
      <c r="AG20" s="215" t="str">
        <f ca="1">IFERROR(__xludf.DUMMYFUNCTION("""COMPUTED_VALUE"""),"Beginner")</f>
        <v>Beginner</v>
      </c>
      <c r="AH20" s="217" t="str">
        <f ca="1">IFERROR(__xludf.DUMMYFUNCTION("""COMPUTED_VALUE"""),"建立自信")</f>
        <v>建立自信</v>
      </c>
      <c r="AI20" s="217"/>
      <c r="AJ20" s="213"/>
    </row>
    <row r="21" spans="1:36" ht="33.75" customHeight="1">
      <c r="A21" s="213"/>
      <c r="B21" s="214">
        <f ca="1">IFERROR(__xludf.DUMMYFUNCTION("""COMPUTED_VALUE"""),2428601)</f>
        <v>2428601</v>
      </c>
      <c r="C21" s="215" t="str">
        <f ca="1">IFERROR(__xludf.DUMMYFUNCTION("""COMPUTED_VALUE"""),"Beginner")</f>
        <v>Beginner</v>
      </c>
      <c r="D21" s="216" t="str">
        <f ca="1">IFERROR(__xludf.DUMMYFUNCTION("""COMPUTED_VALUE"""),"Creating a Culture That Inspires Your Employees")</f>
        <v>Creating a Culture That Inspires Your Employees</v>
      </c>
      <c r="E21" s="217"/>
      <c r="F21" s="213"/>
      <c r="G21" s="214">
        <f ca="1">IFERROR(__xludf.DUMMYFUNCTION("""COMPUTED_VALUE"""),2917866)</f>
        <v>2917866</v>
      </c>
      <c r="H21" s="215" t="str">
        <f ca="1">IFERROR(__xludf.DUMMYFUNCTION("""COMPUTED_VALUE"""),"All levels")</f>
        <v>All levels</v>
      </c>
      <c r="I21" s="217" t="str">
        <f ca="1">IFERROR(__xludf.DUMMYFUNCTION("""COMPUTED_VALUE"""),"Être positif au travail")</f>
        <v>Être positif au travail</v>
      </c>
      <c r="J21" s="217"/>
      <c r="K21" s="213"/>
      <c r="L21" s="215">
        <f ca="1">IFERROR(__xludf.DUMMYFUNCTION("""COMPUTED_VALUE"""),714719)</f>
        <v>714719</v>
      </c>
      <c r="M21" s="215" t="str">
        <f ca="1">IFERROR(__xludf.DUMMYFUNCTION("""COMPUTED_VALUE"""),"All levels")</f>
        <v>All levels</v>
      </c>
      <c r="N21" s="217" t="str">
        <f ca="1">IFERROR(__xludf.DUMMYFUNCTION("""COMPUTED_VALUE"""),"Comunicación en momentos de cambio")</f>
        <v>Comunicación en momentos de cambio</v>
      </c>
      <c r="O21" s="217"/>
      <c r="P21" s="213"/>
      <c r="Q21" s="215">
        <f ca="1">IFERROR(__xludf.DUMMYFUNCTION("""COMPUTED_VALUE"""),2922309)</f>
        <v>2922309</v>
      </c>
      <c r="R21" s="215" t="str">
        <f ca="1">IFERROR(__xludf.DUMMYFUNCTION("""COMPUTED_VALUE"""),"All levels")</f>
        <v>All levels</v>
      </c>
      <c r="S21" s="217" t="str">
        <f ca="1">IFERROR(__xludf.DUMMYFUNCTION("""COMPUTED_VALUE"""),"Erfolgreiche Einzelgespräche führen")</f>
        <v>Erfolgreiche Einzelgespräche führen</v>
      </c>
      <c r="T21" s="217"/>
      <c r="U21" s="213"/>
      <c r="V21" s="215"/>
      <c r="W21" s="215"/>
      <c r="X21" s="217"/>
      <c r="Y21" s="217"/>
      <c r="Z21" s="213"/>
      <c r="AA21" s="215">
        <f ca="1">IFERROR(__xludf.DUMMYFUNCTION("""COMPUTED_VALUE"""),2841351)</f>
        <v>2841351</v>
      </c>
      <c r="AB21" s="215" t="str">
        <f ca="1">IFERROR(__xludf.DUMMYFUNCTION("""COMPUTED_VALUE"""),"Beginner")</f>
        <v>Beginner</v>
      </c>
      <c r="AC21" s="217" t="str">
        <f ca="1">IFERROR(__xludf.DUMMYFUNCTION("""COMPUTED_VALUE"""),"Como se Comunicar com Empatia")</f>
        <v>Como se Comunicar com Empatia</v>
      </c>
      <c r="AD21" s="217"/>
      <c r="AE21" s="213"/>
      <c r="AF21" s="215">
        <f ca="1">IFERROR(__xludf.DUMMYFUNCTION("""COMPUTED_VALUE"""),730570)</f>
        <v>730570</v>
      </c>
      <c r="AG21" s="215" t="str">
        <f ca="1">IFERROR(__xludf.DUMMYFUNCTION("""COMPUTED_VALUE"""),"All levels")</f>
        <v>All levels</v>
      </c>
      <c r="AH21" s="217" t="str">
        <f ca="1">IFERROR(__xludf.DUMMYFUNCTION("""COMPUTED_VALUE"""),"影响他人")</f>
        <v>影响他人</v>
      </c>
      <c r="AI21" s="217"/>
      <c r="AJ21" s="213"/>
    </row>
    <row r="22" spans="1:36" ht="33.75" customHeight="1">
      <c r="A22" s="213"/>
      <c r="B22" s="214">
        <f ca="1">IFERROR(__xludf.DUMMYFUNCTION("""COMPUTED_VALUE"""),2824175)</f>
        <v>2824175</v>
      </c>
      <c r="C22" s="215" t="str">
        <f ca="1">IFERROR(__xludf.DUMMYFUNCTION("""COMPUTED_VALUE"""),"Beginner")</f>
        <v>Beginner</v>
      </c>
      <c r="D22" s="216" t="str">
        <f ca="1">IFERROR(__xludf.DUMMYFUNCTION("""COMPUTED_VALUE"""),"Communicating In the Language of Leadership")</f>
        <v>Communicating In the Language of Leadership</v>
      </c>
      <c r="E22" s="217"/>
      <c r="F22" s="213"/>
      <c r="G22" s="214">
        <f ca="1">IFERROR(__xludf.DUMMYFUNCTION("""COMPUTED_VALUE"""),3165494)</f>
        <v>3165494</v>
      </c>
      <c r="H22" s="215" t="str">
        <f ca="1">IFERROR(__xludf.DUMMYFUNCTION("""COMPUTED_VALUE"""),"All levels")</f>
        <v>All levels</v>
      </c>
      <c r="I22" s="217" t="str">
        <f ca="1">IFERROR(__xludf.DUMMYFUNCTION("""COMPUTED_VALUE"""),"Faire preuve d'humour au travail")</f>
        <v>Faire preuve d'humour au travail</v>
      </c>
      <c r="J22" s="217"/>
      <c r="K22" s="213"/>
      <c r="L22" s="215">
        <f ca="1">IFERROR(__xludf.DUMMYFUNCTION("""COMPUTED_VALUE"""),561639)</f>
        <v>561639</v>
      </c>
      <c r="M22" s="215" t="str">
        <f ca="1">IFERROR(__xludf.DUMMYFUNCTION("""COMPUTED_VALUE"""),"All levels")</f>
        <v>All levels</v>
      </c>
      <c r="N22" s="217" t="str">
        <f ca="1">IFERROR(__xludf.DUMMYFUNCTION("""COMPUTED_VALUE"""),"Comunicación intercultural")</f>
        <v>Comunicación intercultural</v>
      </c>
      <c r="O22" s="217"/>
      <c r="P22" s="213"/>
      <c r="Q22" s="215">
        <f ca="1">IFERROR(__xludf.DUMMYFUNCTION("""COMPUTED_VALUE"""),195336)</f>
        <v>195336</v>
      </c>
      <c r="R22" s="215" t="str">
        <f ca="1">IFERROR(__xludf.DUMMYFUNCTION("""COMPUTED_VALUE"""),"All levels")</f>
        <v>All levels</v>
      </c>
      <c r="S22" s="217" t="str">
        <f ca="1">IFERROR(__xludf.DUMMYFUNCTION("""COMPUTED_VALUE"""),"Erfolgreiche Kommunikation")</f>
        <v>Erfolgreiche Kommunikation</v>
      </c>
      <c r="T22" s="217"/>
      <c r="U22" s="213"/>
      <c r="V22" s="215"/>
      <c r="W22" s="215"/>
      <c r="X22" s="217"/>
      <c r="Y22" s="217"/>
      <c r="Z22" s="213"/>
      <c r="AA22" s="215">
        <f ca="1">IFERROR(__xludf.DUMMYFUNCTION("""COMPUTED_VALUE"""),5011686)</f>
        <v>5011686</v>
      </c>
      <c r="AB22" s="215" t="str">
        <f ca="1">IFERROR(__xludf.DUMMYFUNCTION("""COMPUTED_VALUE"""),"All levels")</f>
        <v>All levels</v>
      </c>
      <c r="AC22" s="217" t="str">
        <f ca="1">IFERROR(__xludf.DUMMYFUNCTION("""COMPUTED_VALUE"""),"Como Ser uma Pessoa Assertiva")</f>
        <v>Como Ser uma Pessoa Assertiva</v>
      </c>
      <c r="AD22" s="217"/>
      <c r="AE22" s="213"/>
      <c r="AF22" s="215">
        <f ca="1">IFERROR(__xludf.DUMMYFUNCTION("""COMPUTED_VALUE"""),2994033)</f>
        <v>2994033</v>
      </c>
      <c r="AG22" s="215" t="str">
        <f ca="1">IFERROR(__xludf.DUMMYFUNCTION("""COMPUTED_VALUE"""),"Intermediate")</f>
        <v>Intermediate</v>
      </c>
      <c r="AH22" s="217" t="str">
        <f ca="1">IFERROR(__xludf.DUMMYFUNCTION("""COMPUTED_VALUE"""),"成为思想领袖")</f>
        <v>成为思想领袖</v>
      </c>
      <c r="AI22" s="217"/>
      <c r="AJ22" s="213"/>
    </row>
    <row r="23" spans="1:36" ht="33.75" customHeight="1">
      <c r="A23" s="213"/>
      <c r="B23" s="214">
        <f ca="1">IFERROR(__xludf.DUMMYFUNCTION("""COMPUTED_VALUE"""),2315934)</f>
        <v>2315934</v>
      </c>
      <c r="C23" s="215" t="str">
        <f ca="1">IFERROR(__xludf.DUMMYFUNCTION("""COMPUTED_VALUE"""),"Beginner + Intermediate")</f>
        <v>Beginner + Intermediate</v>
      </c>
      <c r="D23" s="216" t="str">
        <f ca="1">IFERROR(__xludf.DUMMYFUNCTION("""COMPUTED_VALUE"""),"Supporting a Grieving Employee: A Manager's Guide")</f>
        <v>Supporting a Grieving Employee: A Manager's Guide</v>
      </c>
      <c r="E23" s="217"/>
      <c r="F23" s="213"/>
      <c r="G23" s="214">
        <f ca="1">IFERROR(__xludf.DUMMYFUNCTION("""COMPUTED_VALUE"""),5025536)</f>
        <v>5025536</v>
      </c>
      <c r="H23" s="215" t="str">
        <f ca="1">IFERROR(__xludf.DUMMYFUNCTION("""COMPUTED_VALUE"""),"Intermediate")</f>
        <v>Intermediate</v>
      </c>
      <c r="I23" s="217" t="str">
        <f ca="1">IFERROR(__xludf.DUMMYFUNCTION("""COMPUTED_VALUE"""),"Gérer les conflits grâce à la médiation")</f>
        <v>Gérer les conflits grâce à la médiation</v>
      </c>
      <c r="J23" s="217"/>
      <c r="K23" s="213"/>
      <c r="L23" s="215">
        <f ca="1">IFERROR(__xludf.DUMMYFUNCTION("""COMPUTED_VALUE"""),544236)</f>
        <v>544236</v>
      </c>
      <c r="M23" s="215" t="str">
        <f ca="1">IFERROR(__xludf.DUMMYFUNCTION("""COMPUTED_VALUE"""),"All levels")</f>
        <v>All levels</v>
      </c>
      <c r="N23" s="217" t="str">
        <f ca="1">IFERROR(__xludf.DUMMYFUNCTION("""COMPUTED_VALUE"""),"Comunicación interpersonal")</f>
        <v>Comunicación interpersonal</v>
      </c>
      <c r="O23" s="217"/>
      <c r="P23" s="213"/>
      <c r="Q23" s="215">
        <f ca="1">IFERROR(__xludf.DUMMYFUNCTION("""COMPUTED_VALUE"""),2895135)</f>
        <v>2895135</v>
      </c>
      <c r="R23" s="215" t="str">
        <f ca="1">IFERROR(__xludf.DUMMYFUNCTION("""COMPUTED_VALUE"""),"All levels")</f>
        <v>All levels</v>
      </c>
      <c r="S23" s="217" t="str">
        <f ca="1">IFERROR(__xludf.DUMMYFUNCTION("""COMPUTED_VALUE"""),"Female Empowerment: Selbstbewusstes Auftreten")</f>
        <v>Female Empowerment: Selbstbewusstes Auftreten</v>
      </c>
      <c r="T23" s="217"/>
      <c r="U23" s="213"/>
      <c r="V23" s="215"/>
      <c r="W23" s="215"/>
      <c r="X23" s="217"/>
      <c r="Y23" s="217"/>
      <c r="Z23" s="213"/>
      <c r="AA23" s="215">
        <f ca="1">IFERROR(__xludf.DUMMYFUNCTION("""COMPUTED_VALUE"""),752458)</f>
        <v>752458</v>
      </c>
      <c r="AB23" s="215" t="str">
        <f ca="1">IFERROR(__xludf.DUMMYFUNCTION("""COMPUTED_VALUE"""),"All levels")</f>
        <v>All levels</v>
      </c>
      <c r="AC23" s="217" t="str">
        <f ca="1">IFERROR(__xludf.DUMMYFUNCTION("""COMPUTED_VALUE"""),"Construindo Confiança")</f>
        <v>Construindo Confiança</v>
      </c>
      <c r="AD23" s="217"/>
      <c r="AE23" s="213"/>
      <c r="AF23" s="215">
        <f ca="1">IFERROR(__xludf.DUMMYFUNCTION("""COMPUTED_VALUE"""),5042385)</f>
        <v>5042385</v>
      </c>
      <c r="AG23" s="215" t="str">
        <f ca="1">IFERROR(__xludf.DUMMYFUNCTION("""COMPUTED_VALUE"""),"Intermediate")</f>
        <v>Intermediate</v>
      </c>
      <c r="AH23" s="217" t="str">
        <f ca="1">IFERROR(__xludf.DUMMYFUNCTION("""COMPUTED_VALUE"""),"成功销售的提问策略")</f>
        <v>成功销售的提问策略</v>
      </c>
      <c r="AI23" s="217"/>
      <c r="AJ23" s="213"/>
    </row>
    <row r="24" spans="1:36" ht="33.75" customHeight="1">
      <c r="A24" s="213"/>
      <c r="B24" s="214">
        <f ca="1">IFERROR(__xludf.DUMMYFUNCTION("""COMPUTED_VALUE"""),2809355)</f>
        <v>2809355</v>
      </c>
      <c r="C24" s="215" t="str">
        <f ca="1">IFERROR(__xludf.DUMMYFUNCTION("""COMPUTED_VALUE"""),"General")</f>
        <v>General</v>
      </c>
      <c r="D24" s="216" t="str">
        <f ca="1">IFERROR(__xludf.DUMMYFUNCTION("""COMPUTED_VALUE"""),"Body Language for Leaders")</f>
        <v>Body Language for Leaders</v>
      </c>
      <c r="E24" s="217"/>
      <c r="F24" s="213"/>
      <c r="G24" s="214">
        <f ca="1">IFERROR(__xludf.DUMMYFUNCTION("""COMPUTED_VALUE"""),561059)</f>
        <v>561059</v>
      </c>
      <c r="H24" s="215" t="str">
        <f ca="1">IFERROR(__xludf.DUMMYFUNCTION("""COMPUTED_VALUE"""),"All levels")</f>
        <v>All levels</v>
      </c>
      <c r="I24" s="217" t="str">
        <f ca="1">IFERROR(__xludf.DUMMYFUNCTION("""COMPUTED_VALUE"""),"Influencer les autres")</f>
        <v>Influencer les autres</v>
      </c>
      <c r="J24" s="217"/>
      <c r="K24" s="213"/>
      <c r="L24" s="215">
        <f ca="1">IFERROR(__xludf.DUMMYFUNCTION("""COMPUTED_VALUE"""),559607)</f>
        <v>559607</v>
      </c>
      <c r="M24" s="215" t="str">
        <f ca="1">IFERROR(__xludf.DUMMYFUNCTION("""COMPUTED_VALUE"""),"Beginner, Intermediate")</f>
        <v>Beginner, Intermediate</v>
      </c>
      <c r="N24" s="217" t="str">
        <f ca="1">IFERROR(__xludf.DUMMYFUNCTION("""COMPUTED_VALUE"""),"Comunicación y prensa: Trucos")</f>
        <v>Comunicación y prensa: Trucos</v>
      </c>
      <c r="O24" s="217"/>
      <c r="P24" s="213"/>
      <c r="Q24" s="215">
        <f ca="1">IFERROR(__xludf.DUMMYFUNCTION("""COMPUTED_VALUE"""),5033510)</f>
        <v>5033510</v>
      </c>
      <c r="R24" s="215" t="str">
        <f ca="1">IFERROR(__xludf.DUMMYFUNCTION("""COMPUTED_VALUE"""),"All levels")</f>
        <v>All levels</v>
      </c>
      <c r="S24" s="217" t="str">
        <f ca="1">IFERROR(__xludf.DUMMYFUNCTION("""COMPUTED_VALUE"""),"Firmeninterne Gesprächssituationen meistern")</f>
        <v>Firmeninterne Gesprächssituationen meistern</v>
      </c>
      <c r="T24" s="217"/>
      <c r="U24" s="213"/>
      <c r="V24" s="215"/>
      <c r="W24" s="215"/>
      <c r="X24" s="217"/>
      <c r="Y24" s="217"/>
      <c r="Z24" s="213"/>
      <c r="AA24" s="215">
        <f ca="1">IFERROR(__xludf.DUMMYFUNCTION("""COMPUTED_VALUE"""),2909980)</f>
        <v>2909980</v>
      </c>
      <c r="AB24" s="215" t="str">
        <f ca="1">IFERROR(__xludf.DUMMYFUNCTION("""COMPUTED_VALUE"""),"Beginner")</f>
        <v>Beginner</v>
      </c>
      <c r="AC24" s="217" t="str">
        <f ca="1">IFERROR(__xludf.DUMMYFUNCTION("""COMPUTED_VALUE"""),"Fundamentos de Comunicação")</f>
        <v>Fundamentos de Comunicação</v>
      </c>
      <c r="AD24" s="217"/>
      <c r="AE24" s="213"/>
      <c r="AF24" s="215">
        <f ca="1">IFERROR(__xludf.DUMMYFUNCTION("""COMPUTED_VALUE"""),797751)</f>
        <v>797751</v>
      </c>
      <c r="AG24" s="215" t="str">
        <f ca="1">IFERROR(__xludf.DUMMYFUNCTION("""COMPUTED_VALUE"""),"All levels")</f>
        <v>All levels</v>
      </c>
      <c r="AH24" s="217" t="str">
        <f ca="1">IFERROR(__xludf.DUMMYFUNCTION("""COMPUTED_VALUE"""),"战略谈判")</f>
        <v>战略谈判</v>
      </c>
      <c r="AI24" s="217"/>
      <c r="AJ24" s="213"/>
    </row>
    <row r="25" spans="1:36" ht="33.75" customHeight="1">
      <c r="A25" s="213"/>
      <c r="B25" s="214">
        <f ca="1">IFERROR(__xludf.DUMMYFUNCTION("""COMPUTED_VALUE"""),2841066)</f>
        <v>2841066</v>
      </c>
      <c r="C25" s="215" t="str">
        <f ca="1">IFERROR(__xludf.DUMMYFUNCTION("""COMPUTED_VALUE"""),"General")</f>
        <v>General</v>
      </c>
      <c r="D25" s="216" t="str">
        <f ca="1">IFERROR(__xludf.DUMMYFUNCTION("""COMPUTED_VALUE"""),"Communicating Internally during Times of Uncertainty")</f>
        <v>Communicating Internally during Times of Uncertainty</v>
      </c>
      <c r="E25" s="217"/>
      <c r="F25" s="213"/>
      <c r="G25" s="214">
        <f ca="1">IFERROR(__xludf.DUMMYFUNCTION("""COMPUTED_VALUE"""),2823090)</f>
        <v>2823090</v>
      </c>
      <c r="H25" s="215" t="str">
        <f ca="1">IFERROR(__xludf.DUMMYFUNCTION("""COMPUTED_VALUE"""),"Beginner, Intermediate")</f>
        <v>Beginner, Intermediate</v>
      </c>
      <c r="I25" s="217" t="str">
        <f ca="1">IFERROR(__xludf.DUMMYFUNCTION("""COMPUTED_VALUE"""),"La communication : Série")</f>
        <v>La communication : Série</v>
      </c>
      <c r="J25" s="217"/>
      <c r="K25" s="213"/>
      <c r="L25" s="215">
        <f ca="1">IFERROR(__xludf.DUMMYFUNCTION("""COMPUTED_VALUE"""),593068)</f>
        <v>593068</v>
      </c>
      <c r="M25" s="215" t="str">
        <f ca="1">IFERROR(__xludf.DUMMYFUNCTION("""COMPUTED_VALUE"""),"All levels")</f>
        <v>All levels</v>
      </c>
      <c r="N25" s="217" t="str">
        <f ca="1">IFERROR(__xludf.DUMMYFUNCTION("""COMPUTED_VALUE"""),"Etiqueta empresarial: Teléfono, email y mensajes")</f>
        <v>Etiqueta empresarial: Teléfono, email y mensajes</v>
      </c>
      <c r="O25" s="217"/>
      <c r="P25" s="213"/>
      <c r="Q25" s="215">
        <f ca="1">IFERROR(__xludf.DUMMYFUNCTION("""COMPUTED_VALUE"""),3157120)</f>
        <v>3157120</v>
      </c>
      <c r="R25" s="215" t="str">
        <f ca="1">IFERROR(__xludf.DUMMYFUNCTION("""COMPUTED_VALUE"""),"All levels")</f>
        <v>All levels</v>
      </c>
      <c r="S25" s="217" t="str">
        <f ca="1">IFERROR(__xludf.DUMMYFUNCTION("""COMPUTED_VALUE"""),"Führen mit emotionaler Intelligenz")</f>
        <v>Führen mit emotionaler Intelligenz</v>
      </c>
      <c r="T25" s="217"/>
      <c r="U25" s="213"/>
      <c r="V25" s="215"/>
      <c r="W25" s="215"/>
      <c r="X25" s="217"/>
      <c r="Y25" s="217"/>
      <c r="Z25" s="213"/>
      <c r="AA25" s="215">
        <f ca="1">IFERROR(__xludf.DUMMYFUNCTION("""COMPUTED_VALUE"""),753082)</f>
        <v>753082</v>
      </c>
      <c r="AB25" s="215" t="str">
        <f ca="1">IFERROR(__xludf.DUMMYFUNCTION("""COMPUTED_VALUE"""),"Beginner")</f>
        <v>Beginner</v>
      </c>
      <c r="AC25" s="217" t="str">
        <f ca="1">IFERROR(__xludf.DUMMYFUNCTION("""COMPUTED_VALUE"""),"Fundamentos de Gestão de Projetos: Comunicação")</f>
        <v>Fundamentos de Gestão de Projetos: Comunicação</v>
      </c>
      <c r="AD25" s="217"/>
      <c r="AE25" s="213"/>
      <c r="AF25" s="215">
        <f ca="1">IFERROR(__xludf.DUMMYFUNCTION("""COMPUTED_VALUE"""),5018430)</f>
        <v>5018430</v>
      </c>
      <c r="AG25" s="215" t="str">
        <f ca="1">IFERROR(__xludf.DUMMYFUNCTION("""COMPUTED_VALUE"""),"Beginner, Intermediate")</f>
        <v>Beginner, Intermediate</v>
      </c>
      <c r="AH25" s="217" t="str">
        <f ca="1">IFERROR(__xludf.DUMMYFUNCTION("""COMPUTED_VALUE"""),"提高倾听技能")</f>
        <v>提高倾听技能</v>
      </c>
      <c r="AI25" s="217"/>
      <c r="AJ25" s="213"/>
    </row>
    <row r="26" spans="1:36" ht="33.75" customHeight="1">
      <c r="A26" s="213"/>
      <c r="B26" s="214">
        <f ca="1">IFERROR(__xludf.DUMMYFUNCTION("""COMPUTED_VALUE"""),656781)</f>
        <v>656781</v>
      </c>
      <c r="C26" s="215" t="str">
        <f ca="1">IFERROR(__xludf.DUMMYFUNCTION("""COMPUTED_VALUE"""),"Intermediate")</f>
        <v>Intermediate</v>
      </c>
      <c r="D26" s="216" t="str">
        <f ca="1">IFERROR(__xludf.DUMMYFUNCTION("""COMPUTED_VALUE"""),"Facilitation Skills for Managers and Leaders")</f>
        <v>Facilitation Skills for Managers and Leaders</v>
      </c>
      <c r="E26" s="217"/>
      <c r="F26" s="213"/>
      <c r="G26" s="214">
        <f ca="1">IFERROR(__xludf.DUMMYFUNCTION("""COMPUTED_VALUE"""),2393119)</f>
        <v>2393119</v>
      </c>
      <c r="H26" s="215" t="str">
        <f ca="1">IFERROR(__xludf.DUMMYFUNCTION("""COMPUTED_VALUE"""),"Intermediate")</f>
        <v>Intermediate</v>
      </c>
      <c r="I26" s="217" t="str">
        <f ca="1">IFERROR(__xludf.DUMMYFUNCTION("""COMPUTED_VALUE"""),"La minute de formation : Bien travailler en équipe")</f>
        <v>La minute de formation : Bien travailler en équipe</v>
      </c>
      <c r="J26" s="217"/>
      <c r="K26" s="213"/>
      <c r="L26" s="215">
        <f ca="1">IFERROR(__xludf.DUMMYFUNCTION("""COMPUTED_VALUE"""),5025685)</f>
        <v>5025685</v>
      </c>
      <c r="M26" s="215" t="str">
        <f ca="1">IFERROR(__xludf.DUMMYFUNCTION("""COMPUTED_VALUE"""),"Beginner")</f>
        <v>Beginner</v>
      </c>
      <c r="N26" s="217" t="str">
        <f ca="1">IFERROR(__xludf.DUMMYFUNCTION("""COMPUTED_VALUE"""),"Fundamentos de la comunicación")</f>
        <v>Fundamentos de la comunicación</v>
      </c>
      <c r="O26" s="217"/>
      <c r="P26" s="213"/>
      <c r="Q26" s="215">
        <f ca="1">IFERROR(__xludf.DUMMYFUNCTION("""COMPUTED_VALUE"""),412450)</f>
        <v>412450</v>
      </c>
      <c r="R26" s="215" t="str">
        <f ca="1">IFERROR(__xludf.DUMMYFUNCTION("""COMPUTED_VALUE"""),"All levels")</f>
        <v>All levels</v>
      </c>
      <c r="S26" s="217" t="str">
        <f ca="1">IFERROR(__xludf.DUMMYFUNCTION("""COMPUTED_VALUE"""),"Ihr persönlicher Elevator Pitch")</f>
        <v>Ihr persönlicher Elevator Pitch</v>
      </c>
      <c r="T26" s="217"/>
      <c r="U26" s="213"/>
      <c r="V26" s="215"/>
      <c r="W26" s="215"/>
      <c r="X26" s="217"/>
      <c r="Y26" s="217"/>
      <c r="Z26" s="213"/>
      <c r="AA26" s="215">
        <f ca="1">IFERROR(__xludf.DUMMYFUNCTION("""COMPUTED_VALUE"""),3154987)</f>
        <v>3154987</v>
      </c>
      <c r="AB26" s="215" t="str">
        <f ca="1">IFERROR(__xludf.DUMMYFUNCTION("""COMPUTED_VALUE"""),"All levels")</f>
        <v>All levels</v>
      </c>
      <c r="AC26" s="217" t="str">
        <f ca="1">IFERROR(__xludf.DUMMYFUNCTION("""COMPUTED_VALUE"""),"Kwame Christian Responde Sobre Como Abordar Assuntos Raciais")</f>
        <v>Kwame Christian Responde Sobre Como Abordar Assuntos Raciais</v>
      </c>
      <c r="AD26" s="217"/>
      <c r="AE26" s="213"/>
      <c r="AF26" s="215">
        <f ca="1">IFERROR(__xludf.DUMMYFUNCTION("""COMPUTED_VALUE"""),2428727)</f>
        <v>2428727</v>
      </c>
      <c r="AG26" s="215" t="str">
        <f ca="1">IFERROR(__xludf.DUMMYFUNCTION("""COMPUTED_VALUE"""),"All levels")</f>
        <v>All levels</v>
      </c>
      <c r="AH26" s="217" t="str">
        <f ca="1">IFERROR(__xludf.DUMMYFUNCTION("""COMPUTED_VALUE"""),"数字肢体语言")</f>
        <v>数字肢体语言</v>
      </c>
      <c r="AI26" s="217"/>
      <c r="AJ26" s="213"/>
    </row>
    <row r="27" spans="1:36" ht="33.75" customHeight="1">
      <c r="A27" s="213"/>
      <c r="B27" s="214">
        <f ca="1">IFERROR(__xludf.DUMMYFUNCTION("""COMPUTED_VALUE"""),174923)</f>
        <v>174923</v>
      </c>
      <c r="C27" s="215" t="str">
        <f ca="1">IFERROR(__xludf.DUMMYFUNCTION("""COMPUTED_VALUE"""),"Intermediate")</f>
        <v>Intermediate</v>
      </c>
      <c r="D27" s="216" t="str">
        <f ca="1">IFERROR(__xludf.DUMMYFUNCTION("""COMPUTED_VALUE"""),"Leading with Applied Improv")</f>
        <v>Leading with Applied Improv</v>
      </c>
      <c r="E27" s="217"/>
      <c r="F27" s="213"/>
      <c r="G27" s="214">
        <f ca="1">IFERROR(__xludf.DUMMYFUNCTION("""COMPUTED_VALUE"""),568505)</f>
        <v>568505</v>
      </c>
      <c r="H27" s="215" t="str">
        <f ca="1">IFERROR(__xludf.DUMMYFUNCTION("""COMPUTED_VALUE"""),"All levels")</f>
        <v>All levels</v>
      </c>
      <c r="I27" s="217" t="str">
        <f ca="1">IFERROR(__xludf.DUMMYFUNCTION("""COMPUTED_VALUE"""),"Les fondements de la gestion de projet : La communication")</f>
        <v>Les fondements de la gestion de projet : La communication</v>
      </c>
      <c r="J27" s="217"/>
      <c r="K27" s="213"/>
      <c r="L27" s="215">
        <f ca="1">IFERROR(__xludf.DUMMYFUNCTION("""COMPUTED_VALUE"""),703862)</f>
        <v>703862</v>
      </c>
      <c r="M27" s="215" t="str">
        <f ca="1">IFERROR(__xludf.DUMMYFUNCTION("""COMPUTED_VALUE"""),"Beginner")</f>
        <v>Beginner</v>
      </c>
      <c r="N27" s="217" t="str">
        <f ca="1">IFERROR(__xludf.DUMMYFUNCTION("""COMPUTED_VALUE"""),"Fundamentos de la gestión de proyectos: Comunicación")</f>
        <v>Fundamentos de la gestión de proyectos: Comunicación</v>
      </c>
      <c r="O27" s="217"/>
      <c r="P27" s="213"/>
      <c r="Q27" s="215">
        <f ca="1">IFERROR(__xludf.DUMMYFUNCTION("""COMPUTED_VALUE"""),645723)</f>
        <v>645723</v>
      </c>
      <c r="R27" s="215" t="str">
        <f ca="1">IFERROR(__xludf.DUMMYFUNCTION("""COMPUTED_VALUE"""),"All levels")</f>
        <v>All levels</v>
      </c>
      <c r="S27" s="217" t="str">
        <f ca="1">IFERROR(__xludf.DUMMYFUNCTION("""COMPUTED_VALUE"""),"Ihre Ideen durchsetzen")</f>
        <v>Ihre Ideen durchsetzen</v>
      </c>
      <c r="T27" s="217"/>
      <c r="U27" s="213"/>
      <c r="V27" s="215"/>
      <c r="W27" s="215"/>
      <c r="X27" s="217"/>
      <c r="Y27" s="217"/>
      <c r="Z27" s="213"/>
      <c r="AA27" s="215">
        <f ca="1">IFERROR(__xludf.DUMMYFUNCTION("""COMPUTED_VALUE"""),753076)</f>
        <v>753076</v>
      </c>
      <c r="AB27" s="215" t="str">
        <f ca="1">IFERROR(__xludf.DUMMYFUNCTION("""COMPUTED_VALUE"""),"Beginner")</f>
        <v>Beginner</v>
      </c>
      <c r="AC27" s="217" t="str">
        <f ca="1">IFERROR(__xludf.DUMMYFUNCTION("""COMPUTED_VALUE"""),"Liderança com Inteligência Emocional")</f>
        <v>Liderança com Inteligência Emocional</v>
      </c>
      <c r="AD27" s="217"/>
      <c r="AE27" s="213"/>
      <c r="AF27" s="215">
        <f ca="1">IFERROR(__xludf.DUMMYFUNCTION("""COMPUTED_VALUE"""),762187)</f>
        <v>762187</v>
      </c>
      <c r="AG27" s="215" t="str">
        <f ca="1">IFERROR(__xludf.DUMMYFUNCTION("""COMPUTED_VALUE"""),"All levels")</f>
        <v>All levels</v>
      </c>
      <c r="AH27" s="217" t="str">
        <f ca="1">IFERROR(__xludf.DUMMYFUNCTION("""COMPUTED_VALUE"""),"有效倾听")</f>
        <v>有效倾听</v>
      </c>
      <c r="AI27" s="217"/>
      <c r="AJ27" s="213"/>
    </row>
    <row r="28" spans="1:36" ht="33.75" customHeight="1">
      <c r="A28" s="213"/>
      <c r="B28" s="214">
        <f ca="1">IFERROR(__xludf.DUMMYFUNCTION("""COMPUTED_VALUE"""),647652)</f>
        <v>647652</v>
      </c>
      <c r="C28" s="215" t="str">
        <f ca="1">IFERROR(__xludf.DUMMYFUNCTION("""COMPUTED_VALUE"""),"Intermediate")</f>
        <v>Intermediate</v>
      </c>
      <c r="D28" s="216" t="str">
        <f ca="1">IFERROR(__xludf.DUMMYFUNCTION("""COMPUTED_VALUE"""),"Igniting Emotional Engagement")</f>
        <v>Igniting Emotional Engagement</v>
      </c>
      <c r="E28" s="217"/>
      <c r="F28" s="213"/>
      <c r="G28" s="214">
        <f ca="1">IFERROR(__xludf.DUMMYFUNCTION("""COMPUTED_VALUE"""),416387)</f>
        <v>416387</v>
      </c>
      <c r="H28" s="215" t="str">
        <f ca="1">IFERROR(__xludf.DUMMYFUNCTION("""COMPUTED_VALUE"""),"All levels")</f>
        <v>All levels</v>
      </c>
      <c r="I28" s="217" t="str">
        <f ca="1">IFERROR(__xludf.DUMMYFUNCTION("""COMPUTED_VALUE"""),"Mener des conversations difficiles")</f>
        <v>Mener des conversations difficiles</v>
      </c>
      <c r="J28" s="217"/>
      <c r="K28" s="213"/>
      <c r="L28" s="215">
        <f ca="1">IFERROR(__xludf.DUMMYFUNCTION("""COMPUTED_VALUE"""),593066)</f>
        <v>593066</v>
      </c>
      <c r="M28" s="215" t="str">
        <f ca="1">IFERROR(__xludf.DUMMYFUNCTION("""COMPUTED_VALUE"""),"Beginner")</f>
        <v>Beginner</v>
      </c>
      <c r="N28" s="217" t="str">
        <f ca="1">IFERROR(__xludf.DUMMYFUNCTION("""COMPUTED_VALUE"""),"Fundamentos de la negociación")</f>
        <v>Fundamentos de la negociación</v>
      </c>
      <c r="O28" s="217"/>
      <c r="P28" s="213"/>
      <c r="Q28" s="215">
        <f ca="1">IFERROR(__xludf.DUMMYFUNCTION("""COMPUTED_VALUE"""),793651)</f>
        <v>793651</v>
      </c>
      <c r="R28" s="215" t="str">
        <f ca="1">IFERROR(__xludf.DUMMYFUNCTION("""COMPUTED_VALUE"""),"All levels")</f>
        <v>All levels</v>
      </c>
      <c r="S28" s="217" t="str">
        <f ca="1">IFERROR(__xludf.DUMMYFUNCTION("""COMPUTED_VALUE"""),"Ihre Kompetenz sichtbar machen")</f>
        <v>Ihre Kompetenz sichtbar machen</v>
      </c>
      <c r="T28" s="217"/>
      <c r="U28" s="213"/>
      <c r="V28" s="215"/>
      <c r="W28" s="215"/>
      <c r="X28" s="217"/>
      <c r="Y28" s="217"/>
      <c r="Z28" s="213"/>
      <c r="AA28" s="215">
        <f ca="1">IFERROR(__xludf.DUMMYFUNCTION("""COMPUTED_VALUE"""),753209)</f>
        <v>753209</v>
      </c>
      <c r="AB28" s="215" t="str">
        <f ca="1">IFERROR(__xludf.DUMMYFUNCTION("""COMPUTED_VALUE"""),"All levels")</f>
        <v>All levels</v>
      </c>
      <c r="AC28" s="217" t="str">
        <f ca="1">IFERROR(__xludf.DUMMYFUNCTION("""COMPUTED_VALUE"""),"Negociação Estratégica")</f>
        <v>Negociação Estratégica</v>
      </c>
      <c r="AD28" s="217"/>
      <c r="AE28" s="213"/>
      <c r="AF28" s="215">
        <f ca="1">IFERROR(__xludf.DUMMYFUNCTION("""COMPUTED_VALUE"""),2875233)</f>
        <v>2875233</v>
      </c>
      <c r="AG28" s="215" t="str">
        <f ca="1">IFERROR(__xludf.DUMMYFUNCTION("""COMPUTED_VALUE"""),"Intermediate")</f>
        <v>Intermediate</v>
      </c>
      <c r="AH28" s="217" t="str">
        <f ca="1">IFERROR(__xludf.DUMMYFUNCTION("""COMPUTED_VALUE"""),"有礼有智沟通法")</f>
        <v>有礼有智沟通法</v>
      </c>
      <c r="AI28" s="217"/>
      <c r="AJ28" s="213"/>
    </row>
    <row r="29" spans="1:36" ht="33.75" customHeight="1">
      <c r="A29" s="213"/>
      <c r="B29" s="214">
        <f ca="1">IFERROR(__xludf.DUMMYFUNCTION("""COMPUTED_VALUE"""),778180)</f>
        <v>778180</v>
      </c>
      <c r="C29" s="215" t="str">
        <f ca="1">IFERROR(__xludf.DUMMYFUNCTION("""COMPUTED_VALUE"""),"Intermediate")</f>
        <v>Intermediate</v>
      </c>
      <c r="D29" s="216" t="str">
        <f ca="1">IFERROR(__xludf.DUMMYFUNCTION("""COMPUTED_VALUE"""),"Leading with Intelligent Disobedience")</f>
        <v>Leading with Intelligent Disobedience</v>
      </c>
      <c r="E29" s="217"/>
      <c r="F29" s="213"/>
      <c r="G29" s="214">
        <f ca="1">IFERROR(__xludf.DUMMYFUNCTION("""COMPUTED_VALUE"""),633697)</f>
        <v>633697</v>
      </c>
      <c r="H29" s="215" t="str">
        <f ca="1">IFERROR(__xludf.DUMMYFUNCTION("""COMPUTED_VALUE"""),"All levels")</f>
        <v>All levels</v>
      </c>
      <c r="I29" s="217" t="str">
        <f ca="1">IFERROR(__xludf.DUMMYFUNCTION("""COMPUTED_VALUE"""),"Mener des négociations stratégiques")</f>
        <v>Mener des négociations stratégiques</v>
      </c>
      <c r="J29" s="217"/>
      <c r="K29" s="213"/>
      <c r="L29" s="215">
        <f ca="1">IFERROR(__xludf.DUMMYFUNCTION("""COMPUTED_VALUE"""),2841606)</f>
        <v>2841606</v>
      </c>
      <c r="M29" s="215" t="str">
        <f ca="1">IFERROR(__xludf.DUMMYFUNCTION("""COMPUTED_VALUE"""),"Beginner")</f>
        <v>Beginner</v>
      </c>
      <c r="N29" s="217" t="str">
        <f ca="1">IFERROR(__xludf.DUMMYFUNCTION("""COMPUTED_VALUE"""),"Gestiona tu entrevista de trabajo en videoconferencia")</f>
        <v>Gestiona tu entrevista de trabajo en videoconferencia</v>
      </c>
      <c r="O29" s="217"/>
      <c r="P29" s="213"/>
      <c r="Q29" s="215">
        <f ca="1">IFERROR(__xludf.DUMMYFUNCTION("""COMPUTED_VALUE"""),593046)</f>
        <v>593046</v>
      </c>
      <c r="R29" s="215" t="str">
        <f ca="1">IFERROR(__xludf.DUMMYFUNCTION("""COMPUTED_VALUE"""),"All levels")</f>
        <v>All levels</v>
      </c>
      <c r="S29" s="217" t="str">
        <f ca="1">IFERROR(__xludf.DUMMYFUNCTION("""COMPUTED_VALUE"""),"Im Team arbeiten")</f>
        <v>Im Team arbeiten</v>
      </c>
      <c r="T29" s="217"/>
      <c r="U29" s="213"/>
      <c r="V29" s="215"/>
      <c r="W29" s="215"/>
      <c r="X29" s="217"/>
      <c r="Y29" s="217"/>
      <c r="Z29" s="213"/>
      <c r="AA29" s="215">
        <f ca="1">IFERROR(__xludf.DUMMYFUNCTION("""COMPUTED_VALUE"""),2900318)</f>
        <v>2900318</v>
      </c>
      <c r="AB29" s="215" t="str">
        <f ca="1">IFERROR(__xludf.DUMMYFUNCTION("""COMPUTED_VALUE"""),"Beginner")</f>
        <v>Beginner</v>
      </c>
      <c r="AC29" s="217" t="str">
        <f ca="1">IFERROR(__xludf.DUMMYFUNCTION("""COMPUTED_VALUE"""),"Técnicas de Comunicação Interpessoal")</f>
        <v>Técnicas de Comunicação Interpessoal</v>
      </c>
      <c r="AD29" s="217"/>
      <c r="AE29" s="213"/>
      <c r="AF29" s="215">
        <f ca="1">IFERROR(__xludf.DUMMYFUNCTION("""COMPUTED_VALUE"""),3032392)</f>
        <v>3032392</v>
      </c>
      <c r="AG29" s="215" t="str">
        <f ca="1">IFERROR(__xludf.DUMMYFUNCTION("""COMPUTED_VALUE"""),"All levels")</f>
        <v>All levels</v>
      </c>
      <c r="AH29" s="217" t="str">
        <f ca="1">IFERROR(__xludf.DUMMYFUNCTION("""COMPUTED_VALUE"""),"有策略地推销自己的想法")</f>
        <v>有策略地推销自己的想法</v>
      </c>
      <c r="AI29" s="217"/>
      <c r="AJ29" s="213"/>
    </row>
    <row r="30" spans="1:36" ht="33.75" customHeight="1">
      <c r="A30" s="213"/>
      <c r="B30" s="214">
        <f ca="1">IFERROR(__xludf.DUMMYFUNCTION("""COMPUTED_VALUE"""),711794)</f>
        <v>711794</v>
      </c>
      <c r="C30" s="215" t="str">
        <f ca="1">IFERROR(__xludf.DUMMYFUNCTION("""COMPUTED_VALUE"""),"Intermediate")</f>
        <v>Intermediate</v>
      </c>
      <c r="D30" s="216" t="str">
        <f ca="1">IFERROR(__xludf.DUMMYFUNCTION("""COMPUTED_VALUE"""),"Connecting with Executives")</f>
        <v>Connecting with Executives</v>
      </c>
      <c r="E30" s="217"/>
      <c r="F30" s="213"/>
      <c r="G30" s="214">
        <f ca="1">IFERROR(__xludf.DUMMYFUNCTION("""COMPUTED_VALUE"""),2805369)</f>
        <v>2805369</v>
      </c>
      <c r="H30" s="215" t="str">
        <f ca="1">IFERROR(__xludf.DUMMYFUNCTION("""COMPUTED_VALUE"""),"All levels")</f>
        <v>All levels</v>
      </c>
      <c r="I30" s="217" t="str">
        <f ca="1">IFERROR(__xludf.DUMMYFUNCTION("""COMPUTED_VALUE"""),"Pause-café : La communication interpersonnelle")</f>
        <v>Pause-café : La communication interpersonnelle</v>
      </c>
      <c r="J30" s="217"/>
      <c r="K30" s="213"/>
      <c r="L30" s="215">
        <f ca="1">IFERROR(__xludf.DUMMYFUNCTION("""COMPUTED_VALUE"""),2375090)</f>
        <v>2375090</v>
      </c>
      <c r="M30" s="215" t="str">
        <f ca="1">IFERROR(__xludf.DUMMYFUNCTION("""COMPUTED_VALUE"""),"Beginner, Intermediate")</f>
        <v>Beginner, Intermediate</v>
      </c>
      <c r="N30" s="217" t="str">
        <f ca="1">IFERROR(__xludf.DUMMYFUNCTION("""COMPUTED_VALUE"""),"Habilidades de conversación inclusiva")</f>
        <v>Habilidades de conversación inclusiva</v>
      </c>
      <c r="O30" s="217"/>
      <c r="P30" s="213"/>
      <c r="Q30" s="215">
        <f ca="1">IFERROR(__xludf.DUMMYFUNCTION("""COMPUTED_VALUE"""),5020333)</f>
        <v>5020333</v>
      </c>
      <c r="R30" s="215" t="str">
        <f ca="1">IFERROR(__xludf.DUMMYFUNCTION("""COMPUTED_VALUE"""),"All levels")</f>
        <v>All levels</v>
      </c>
      <c r="S30" s="217" t="str">
        <f ca="1">IFERROR(__xludf.DUMMYFUNCTION("""COMPUTED_VALUE"""),"Im Team kommunizieren")</f>
        <v>Im Team kommunizieren</v>
      </c>
      <c r="T30" s="217"/>
      <c r="U30" s="213"/>
      <c r="V30" s="215"/>
      <c r="W30" s="215"/>
      <c r="X30" s="217"/>
      <c r="Y30" s="217"/>
      <c r="Z30" s="213"/>
      <c r="AA30" s="215">
        <f ca="1">IFERROR(__xludf.DUMMYFUNCTION("""COMPUTED_VALUE"""),2931592)</f>
        <v>2931592</v>
      </c>
      <c r="AB30" s="215" t="str">
        <f ca="1">IFERROR(__xludf.DUMMYFUNCTION("""COMPUTED_VALUE"""),"Beginner")</f>
        <v>Beginner</v>
      </c>
      <c r="AC30" s="217" t="str">
        <f ca="1">IFERROR(__xludf.DUMMYFUNCTION("""COMPUTED_VALUE"""),"Técnicas de Entrevista para um Recrutamento de Sucesso")</f>
        <v>Técnicas de Entrevista para um Recrutamento de Sucesso</v>
      </c>
      <c r="AD30" s="217"/>
      <c r="AE30" s="213"/>
      <c r="AF30" s="215">
        <f ca="1">IFERROR(__xludf.DUMMYFUNCTION("""COMPUTED_VALUE"""),2822631)</f>
        <v>2822631</v>
      </c>
      <c r="AG30" s="215" t="str">
        <f ca="1">IFERROR(__xludf.DUMMYFUNCTION("""COMPUTED_VALUE"""),"Beginner")</f>
        <v>Beginner</v>
      </c>
      <c r="AH30" s="217" t="str">
        <f ca="1">IFERROR(__xludf.DUMMYFUNCTION("""COMPUTED_VALUE"""),"沟通基础知识")</f>
        <v>沟通基础知识</v>
      </c>
      <c r="AI30" s="217"/>
      <c r="AJ30" s="213"/>
    </row>
    <row r="31" spans="1:36" ht="33.75" customHeight="1">
      <c r="A31" s="213"/>
      <c r="B31" s="214">
        <f ca="1">IFERROR(__xludf.DUMMYFUNCTION("""COMPUTED_VALUE"""),797723)</f>
        <v>797723</v>
      </c>
      <c r="C31" s="215" t="str">
        <f ca="1">IFERROR(__xludf.DUMMYFUNCTION("""COMPUTED_VALUE"""),"Intermediate")</f>
        <v>Intermediate</v>
      </c>
      <c r="D31" s="216" t="str">
        <f ca="1">IFERROR(__xludf.DUMMYFUNCTION("""COMPUTED_VALUE"""),"Executive Presence on Video Conference Calls")</f>
        <v>Executive Presence on Video Conference Calls</v>
      </c>
      <c r="E31" s="217"/>
      <c r="F31" s="213"/>
      <c r="G31" s="214">
        <f ca="1">IFERROR(__xludf.DUMMYFUNCTION("""COMPUTED_VALUE"""),2892367)</f>
        <v>2892367</v>
      </c>
      <c r="H31" s="215" t="str">
        <f ca="1">IFERROR(__xludf.DUMMYFUNCTION("""COMPUTED_VALUE"""),"All levels")</f>
        <v>All levels</v>
      </c>
      <c r="I31" s="217" t="str">
        <f ca="1">IFERROR(__xludf.DUMMYFUNCTION("""COMPUTED_VALUE"""),"Persuader et convaincre : Mieux communiquer avec les autres grâce à l'outil DISC")</f>
        <v>Persuader et convaincre : Mieux communiquer avec les autres grâce à l'outil DISC</v>
      </c>
      <c r="J31" s="217"/>
      <c r="K31" s="213"/>
      <c r="L31" s="215">
        <f ca="1">IFERROR(__xludf.DUMMYFUNCTION("""COMPUTED_VALUE"""),514006)</f>
        <v>514006</v>
      </c>
      <c r="M31" s="215" t="str">
        <f ca="1">IFERROR(__xludf.DUMMYFUNCTION("""COMPUTED_VALUE"""),"All levels")</f>
        <v>All levels</v>
      </c>
      <c r="N31" s="217" t="str">
        <f ca="1">IFERROR(__xludf.DUMMYFUNCTION("""COMPUTED_VALUE"""),"La escucha activa")</f>
        <v>La escucha activa</v>
      </c>
      <c r="O31" s="217"/>
      <c r="P31" s="213"/>
      <c r="Q31" s="215">
        <f ca="1">IFERROR(__xludf.DUMMYFUNCTION("""COMPUTED_VALUE"""),2974198)</f>
        <v>2974198</v>
      </c>
      <c r="R31" s="215" t="str">
        <f ca="1">IFERROR(__xludf.DUMMYFUNCTION("""COMPUTED_VALUE"""),"All levels")</f>
        <v>All levels</v>
      </c>
      <c r="S31" s="217" t="str">
        <f ca="1">IFERROR(__xludf.DUMMYFUNCTION("""COMPUTED_VALUE"""),"In der Videokonferenz souverän auftreten")</f>
        <v>In der Videokonferenz souverän auftreten</v>
      </c>
      <c r="T31" s="217"/>
      <c r="U31" s="213"/>
      <c r="V31" s="215"/>
      <c r="W31" s="215"/>
      <c r="X31" s="217"/>
      <c r="Y31" s="217"/>
      <c r="Z31" s="213"/>
      <c r="AA31" s="215">
        <f ca="1">IFERROR(__xludf.DUMMYFUNCTION("""COMPUTED_VALUE"""),2910530)</f>
        <v>2910530</v>
      </c>
      <c r="AB31" s="215" t="str">
        <f ca="1">IFERROR(__xludf.DUMMYFUNCTION("""COMPUTED_VALUE"""),"Intermediate")</f>
        <v>Intermediate</v>
      </c>
      <c r="AC31" s="217" t="str">
        <f ca="1">IFERROR(__xludf.DUMMYFUNCTION("""COMPUTED_VALUE"""),"Técnicas de Persuasão em Vendas")</f>
        <v>Técnicas de Persuasão em Vendas</v>
      </c>
      <c r="AD31" s="217"/>
      <c r="AE31" s="213"/>
      <c r="AF31" s="215">
        <f ca="1">IFERROR(__xludf.DUMMYFUNCTION("""COMPUTED_VALUE"""),2824425)</f>
        <v>2824425</v>
      </c>
      <c r="AG31" s="215" t="str">
        <f ca="1">IFERROR(__xludf.DUMMYFUNCTION("""COMPUTED_VALUE"""),"Intermediate")</f>
        <v>Intermediate</v>
      </c>
      <c r="AH31" s="217" t="str">
        <f ca="1">IFERROR(__xludf.DUMMYFUNCTION("""COMPUTED_VALUE"""),"用故事销售 2：优秀销售员都在讲的故事")</f>
        <v>用故事销售 2：优秀销售员都在讲的故事</v>
      </c>
      <c r="AI31" s="217"/>
      <c r="AJ31" s="213"/>
    </row>
    <row r="32" spans="1:36" ht="30">
      <c r="A32" s="213"/>
      <c r="B32" s="214">
        <f ca="1">IFERROR(__xludf.DUMMYFUNCTION("""COMPUTED_VALUE"""),2895001)</f>
        <v>2895001</v>
      </c>
      <c r="C32" s="215" t="str">
        <f ca="1">IFERROR(__xludf.DUMMYFUNCTION("""COMPUTED_VALUE"""),"Intermediate")</f>
        <v>Intermediate</v>
      </c>
      <c r="D32" s="216" t="str">
        <f ca="1">IFERROR(__xludf.DUMMYFUNCTION("""COMPUTED_VALUE"""),"Improving Your Leadership Communications")</f>
        <v>Improving Your Leadership Communications</v>
      </c>
      <c r="E32" s="217"/>
      <c r="F32" s="213"/>
      <c r="G32" s="214">
        <f ca="1">IFERROR(__xludf.DUMMYFUNCTION("""COMPUTED_VALUE"""),561046)</f>
        <v>561046</v>
      </c>
      <c r="H32" s="215" t="str">
        <f ca="1">IFERROR(__xludf.DUMMYFUNCTION("""COMPUTED_VALUE"""),"Intermediate")</f>
        <v>Intermediate</v>
      </c>
      <c r="I32" s="217" t="str">
        <f ca="1">IFERROR(__xludf.DUMMYFUNCTION("""COMPUTED_VALUE"""),"Poser des questions de vente pertinentes")</f>
        <v>Poser des questions de vente pertinentes</v>
      </c>
      <c r="J32" s="217"/>
      <c r="K32" s="213"/>
      <c r="L32" s="215">
        <f ca="1">IFERROR(__xludf.DUMMYFUNCTION("""COMPUTED_VALUE"""),5025694)</f>
        <v>5025694</v>
      </c>
      <c r="M32" s="215" t="str">
        <f ca="1">IFERROR(__xludf.DUMMYFUNCTION("""COMPUTED_VALUE"""),"Beginner, Intermediate")</f>
        <v>Beginner, Intermediate</v>
      </c>
      <c r="N32" s="217" t="str">
        <f ca="1">IFERROR(__xludf.DUMMYFUNCTION("""COMPUTED_VALUE"""),"Mejora tu habilidad de escucha activa")</f>
        <v>Mejora tu habilidad de escucha activa</v>
      </c>
      <c r="O32" s="217"/>
      <c r="P32" s="213"/>
      <c r="Q32" s="215">
        <f ca="1">IFERROR(__xludf.DUMMYFUNCTION("""COMPUTED_VALUE"""),2884223)</f>
        <v>2884223</v>
      </c>
      <c r="R32" s="215" t="str">
        <f ca="1">IFERROR(__xludf.DUMMYFUNCTION("""COMPUTED_VALUE"""),"All levels")</f>
        <v>All levels</v>
      </c>
      <c r="S32" s="217" t="str">
        <f ca="1">IFERROR(__xludf.DUMMYFUNCTION("""COMPUTED_VALUE"""),"In der Videokonferenz überzeugen")</f>
        <v>In der Videokonferenz überzeugen</v>
      </c>
      <c r="T32" s="217"/>
      <c r="U32" s="213"/>
      <c r="V32" s="215"/>
      <c r="W32" s="215"/>
      <c r="X32" s="217"/>
      <c r="Y32" s="217"/>
      <c r="Z32" s="213"/>
      <c r="AA32" s="215"/>
      <c r="AB32" s="215"/>
      <c r="AC32" s="217"/>
      <c r="AD32" s="217"/>
      <c r="AE32" s="213"/>
      <c r="AF32" s="215">
        <f ca="1">IFERROR(__xludf.DUMMYFUNCTION("""COMPUTED_VALUE"""),2824442)</f>
        <v>2824442</v>
      </c>
      <c r="AG32" s="215" t="str">
        <f ca="1">IFERROR(__xludf.DUMMYFUNCTION("""COMPUTED_VALUE"""),"Intermediate")</f>
        <v>Intermediate</v>
      </c>
      <c r="AH32" s="217" t="str">
        <f ca="1">IFERROR(__xludf.DUMMYFUNCTION("""COMPUTED_VALUE"""),"管理多元化团队")</f>
        <v>管理多元化团队</v>
      </c>
      <c r="AI32" s="217"/>
      <c r="AJ32" s="213"/>
    </row>
    <row r="33" spans="1:36" ht="33.75" customHeight="1">
      <c r="A33" s="213"/>
      <c r="B33" s="214">
        <f ca="1">IFERROR(__xludf.DUMMYFUNCTION("""COMPUTED_VALUE"""),2893004)</f>
        <v>2893004</v>
      </c>
      <c r="C33" s="215" t="str">
        <f ca="1">IFERROR(__xludf.DUMMYFUNCTION("""COMPUTED_VALUE"""),"Intermediate")</f>
        <v>Intermediate</v>
      </c>
      <c r="D33" s="216" t="str">
        <f ca="1">IFERROR(__xludf.DUMMYFUNCTION("""COMPUTED_VALUE"""),"Compassionate Leadership")</f>
        <v>Compassionate Leadership</v>
      </c>
      <c r="E33" s="217"/>
      <c r="F33" s="213"/>
      <c r="G33" s="214">
        <f ca="1">IFERROR(__xludf.DUMMYFUNCTION("""COMPUTED_VALUE"""),3165495)</f>
        <v>3165495</v>
      </c>
      <c r="H33" s="215" t="str">
        <f ca="1">IFERROR(__xludf.DUMMYFUNCTION("""COMPUTED_VALUE"""),"All levels")</f>
        <v>All levels</v>
      </c>
      <c r="I33" s="217" t="str">
        <f ca="1">IFERROR(__xludf.DUMMYFUNCTION("""COMPUTED_VALUE"""),"Repérer et gérer des personnes toxiques")</f>
        <v>Repérer et gérer des personnes toxiques</v>
      </c>
      <c r="J33" s="217"/>
      <c r="K33" s="213"/>
      <c r="L33" s="215">
        <f ca="1">IFERROR(__xludf.DUMMYFUNCTION("""COMPUTED_VALUE"""),598072)</f>
        <v>598072</v>
      </c>
      <c r="M33" s="215" t="str">
        <f ca="1">IFERROR(__xludf.DUMMYFUNCTION("""COMPUTED_VALUE"""),"Beginner")</f>
        <v>Beginner</v>
      </c>
      <c r="N33" s="217" t="str">
        <f ca="1">IFERROR(__xludf.DUMMYFUNCTION("""COMPUTED_VALUE"""),"Negociación estratégica")</f>
        <v>Negociación estratégica</v>
      </c>
      <c r="O33" s="217"/>
      <c r="P33" s="213"/>
      <c r="Q33" s="215">
        <f ca="1">IFERROR(__xludf.DUMMYFUNCTION("""COMPUTED_VALUE"""),2210961)</f>
        <v>2210961</v>
      </c>
      <c r="R33" s="215" t="str">
        <f ca="1">IFERROR(__xludf.DUMMYFUNCTION("""COMPUTED_VALUE"""),"All levels")</f>
        <v>All levels</v>
      </c>
      <c r="S33" s="217" t="str">
        <f ca="1">IFERROR(__xludf.DUMMYFUNCTION("""COMPUTED_VALUE"""),"In Medieninterviews überzeugen")</f>
        <v>In Medieninterviews überzeugen</v>
      </c>
      <c r="T33" s="217"/>
      <c r="U33" s="213"/>
      <c r="V33" s="215"/>
      <c r="W33" s="215"/>
      <c r="X33" s="217"/>
      <c r="Y33" s="217"/>
      <c r="Z33" s="213"/>
      <c r="AA33" s="215"/>
      <c r="AB33" s="215"/>
      <c r="AC33" s="217"/>
      <c r="AD33" s="217"/>
      <c r="AE33" s="213"/>
      <c r="AF33" s="215">
        <f ca="1">IFERROR(__xludf.DUMMYFUNCTION("""COMPUTED_VALUE"""),2825758)</f>
        <v>2825758</v>
      </c>
      <c r="AG33" s="215" t="str">
        <f ca="1">IFERROR(__xludf.DUMMYFUNCTION("""COMPUTED_VALUE"""),"Beginner, Intermediate")</f>
        <v>Beginner, Intermediate</v>
      </c>
      <c r="AH33" s="217" t="str">
        <f ca="1">IFERROR(__xludf.DUMMYFUNCTION("""COMPUTED_VALUE"""),"谈判基础知识")</f>
        <v>谈判基础知识</v>
      </c>
      <c r="AI33" s="217"/>
      <c r="AJ33" s="213"/>
    </row>
    <row r="34" spans="1:36" ht="33.75" customHeight="1">
      <c r="A34" s="213"/>
      <c r="B34" s="214">
        <f ca="1">IFERROR(__xludf.DUMMYFUNCTION("""COMPUTED_VALUE"""),2888051)</f>
        <v>2888051</v>
      </c>
      <c r="C34" s="215" t="str">
        <f ca="1">IFERROR(__xludf.DUMMYFUNCTION("""COMPUTED_VALUE"""),"Beginner")</f>
        <v>Beginner</v>
      </c>
      <c r="D34" s="216" t="str">
        <f ca="1">IFERROR(__xludf.DUMMYFUNCTION("""COMPUTED_VALUE"""),"Integrated Marketing Communication Strategies")</f>
        <v>Integrated Marketing Communication Strategies</v>
      </c>
      <c r="E34" s="217"/>
      <c r="F34" s="213"/>
      <c r="G34" s="214">
        <f ca="1">IFERROR(__xludf.DUMMYFUNCTION("""COMPUTED_VALUE"""),544966)</f>
        <v>544966</v>
      </c>
      <c r="H34" s="215" t="str">
        <f ca="1">IFERROR(__xludf.DUMMYFUNCTION("""COMPUTED_VALUE"""),"Intermediate")</f>
        <v>Intermediate</v>
      </c>
      <c r="I34" s="217" t="str">
        <f ca="1">IFERROR(__xludf.DUMMYFUNCTION("""COMPUTED_VALUE"""),"Répondre aux objections de ses clients / clientes")</f>
        <v>Répondre aux objections de ses clients / clientes</v>
      </c>
      <c r="J34" s="217"/>
      <c r="K34" s="213"/>
      <c r="L34" s="215">
        <f ca="1">IFERROR(__xludf.DUMMYFUNCTION("""COMPUTED_VALUE"""),680859)</f>
        <v>680859</v>
      </c>
      <c r="M34" s="215" t="str">
        <f ca="1">IFERROR(__xludf.DUMMYFUNCTION("""COMPUTED_VALUE"""),"Beginner")</f>
        <v>Beginner</v>
      </c>
      <c r="N34" s="217" t="str">
        <f ca="1">IFERROR(__xludf.DUMMYFUNCTION("""COMPUTED_VALUE"""),"Persuadir a los demás")</f>
        <v>Persuadir a los demás</v>
      </c>
      <c r="O34" s="217"/>
      <c r="P34" s="213"/>
      <c r="Q34" s="215">
        <f ca="1">IFERROR(__xludf.DUMMYFUNCTION("""COMPUTED_VALUE"""),2940444)</f>
        <v>2940444</v>
      </c>
      <c r="R34" s="215" t="str">
        <f ca="1">IFERROR(__xludf.DUMMYFUNCTION("""COMPUTED_VALUE"""),"Beginner")</f>
        <v>Beginner</v>
      </c>
      <c r="S34" s="217" t="str">
        <f ca="1">IFERROR(__xludf.DUMMYFUNCTION("""COMPUTED_VALUE"""),"Influencer-Marketing – Grundlagen")</f>
        <v>Influencer-Marketing – Grundlagen</v>
      </c>
      <c r="T34" s="217"/>
      <c r="U34" s="213"/>
      <c r="V34" s="215"/>
      <c r="W34" s="215"/>
      <c r="X34" s="217"/>
      <c r="Y34" s="217"/>
      <c r="Z34" s="213"/>
      <c r="AA34" s="215"/>
      <c r="AB34" s="215"/>
      <c r="AC34" s="217"/>
      <c r="AD34" s="217"/>
      <c r="AE34" s="213"/>
      <c r="AF34" s="215">
        <f ca="1">IFERROR(__xludf.DUMMYFUNCTION("""COMPUTED_VALUE"""),2873251)</f>
        <v>2873251</v>
      </c>
      <c r="AG34" s="215" t="str">
        <f ca="1">IFERROR(__xludf.DUMMYFUNCTION("""COMPUTED_VALUE"""),"Beginner")</f>
        <v>Beginner</v>
      </c>
      <c r="AH34" s="217" t="str">
        <f ca="1">IFERROR(__xludf.DUMMYFUNCTION("""COMPUTED_VALUE"""),"谈判技能")</f>
        <v>谈判技能</v>
      </c>
      <c r="AI34" s="217"/>
      <c r="AJ34" s="213"/>
    </row>
    <row r="35" spans="1:36" ht="33.75" customHeight="1">
      <c r="A35" s="213"/>
      <c r="B35" s="214">
        <f ca="1">IFERROR(__xludf.DUMMYFUNCTION("""COMPUTED_VALUE"""),2848322)</f>
        <v>2848322</v>
      </c>
      <c r="C35" s="215" t="str">
        <f ca="1">IFERROR(__xludf.DUMMYFUNCTION("""COMPUTED_VALUE"""),"General")</f>
        <v>General</v>
      </c>
      <c r="D35" s="216" t="str">
        <f ca="1">IFERROR(__xludf.DUMMYFUNCTION("""COMPUTED_VALUE"""),"How to Develop Friendships and Connect Meaningfully with Work Colleagues")</f>
        <v>How to Develop Friendships and Connect Meaningfully with Work Colleagues</v>
      </c>
      <c r="E35" s="217"/>
      <c r="F35" s="213"/>
      <c r="G35" s="214">
        <f ca="1">IFERROR(__xludf.DUMMYFUNCTION("""COMPUTED_VALUE"""),5025542)</f>
        <v>5025542</v>
      </c>
      <c r="H35" s="215" t="str">
        <f ca="1">IFERROR(__xludf.DUMMYFUNCTION("""COMPUTED_VALUE"""),"Intermediate")</f>
        <v>Intermediate</v>
      </c>
      <c r="I35" s="217" t="str">
        <f ca="1">IFERROR(__xludf.DUMMYFUNCTION("""COMPUTED_VALUE"""),"S'affirmer par le travail de la voix")</f>
        <v>S'affirmer par le travail de la voix</v>
      </c>
      <c r="J35" s="217"/>
      <c r="K35" s="213"/>
      <c r="L35" s="215">
        <f ca="1">IFERROR(__xludf.DUMMYFUNCTION("""COMPUTED_VALUE"""),2988448)</f>
        <v>2988448</v>
      </c>
      <c r="M35" s="215" t="str">
        <f ca="1">IFERROR(__xludf.DUMMYFUNCTION("""COMPUTED_VALUE"""),"Intermediate")</f>
        <v>Intermediate</v>
      </c>
      <c r="N35" s="217" t="str">
        <f ca="1">IFERROR(__xludf.DUMMYFUNCTION("""COMPUTED_VALUE"""),"Refresca tus conocimientos de la lengua española: Uso de las tildes")</f>
        <v>Refresca tus conocimientos de la lengua española: Uso de las tildes</v>
      </c>
      <c r="O35" s="217"/>
      <c r="P35" s="213"/>
      <c r="Q35" s="215">
        <f ca="1">IFERROR(__xludf.DUMMYFUNCTION("""COMPUTED_VALUE"""),397362)</f>
        <v>397362</v>
      </c>
      <c r="R35" s="215" t="str">
        <f ca="1">IFERROR(__xludf.DUMMYFUNCTION("""COMPUTED_VALUE"""),"All levels")</f>
        <v>All levels</v>
      </c>
      <c r="S35" s="217" t="str">
        <f ca="1">IFERROR(__xludf.DUMMYFUNCTION("""COMPUTED_VALUE"""),"Interkulturelle Kompetenz")</f>
        <v>Interkulturelle Kompetenz</v>
      </c>
      <c r="T35" s="217"/>
      <c r="U35" s="213"/>
      <c r="V35" s="215"/>
      <c r="W35" s="215"/>
      <c r="X35" s="217"/>
      <c r="Y35" s="217"/>
      <c r="Z35" s="213"/>
      <c r="AA35" s="215"/>
      <c r="AB35" s="215"/>
      <c r="AC35" s="217"/>
      <c r="AD35" s="217"/>
      <c r="AE35" s="213"/>
      <c r="AF35" s="215">
        <f ca="1">IFERROR(__xludf.DUMMYFUNCTION("""COMPUTED_VALUE"""),2823607)</f>
        <v>2823607</v>
      </c>
      <c r="AG35" s="215" t="str">
        <f ca="1">IFERROR(__xludf.DUMMYFUNCTION("""COMPUTED_VALUE"""),"All levels")</f>
        <v>All levels</v>
      </c>
      <c r="AH35" s="217" t="str">
        <f ca="1">IFERROR(__xludf.DUMMYFUNCTION("""COMPUTED_VALUE"""),"跨国团队的社交规则")</f>
        <v>跨国团队的社交规则</v>
      </c>
      <c r="AI35" s="217"/>
      <c r="AJ35" s="213"/>
    </row>
    <row r="36" spans="1:36" ht="33.75" customHeight="1">
      <c r="A36" s="213"/>
      <c r="B36" s="214">
        <f ca="1">IFERROR(__xludf.DUMMYFUNCTION("""COMPUTED_VALUE"""),2875147)</f>
        <v>2875147</v>
      </c>
      <c r="C36" s="215" t="str">
        <f ca="1">IFERROR(__xludf.DUMMYFUNCTION("""COMPUTED_VALUE"""),"General")</f>
        <v>General</v>
      </c>
      <c r="D36" s="216" t="str">
        <f ca="1">IFERROR(__xludf.DUMMYFUNCTION("""COMPUTED_VALUE"""),"How to Speak Up Against Racism at Work")</f>
        <v>How to Speak Up Against Racism at Work</v>
      </c>
      <c r="E36" s="217"/>
      <c r="F36" s="213"/>
      <c r="G36" s="214">
        <f ca="1">IFERROR(__xludf.DUMMYFUNCTION("""COMPUTED_VALUE"""),399428)</f>
        <v>399428</v>
      </c>
      <c r="H36" s="215" t="str">
        <f ca="1">IFERROR(__xludf.DUMMYFUNCTION("""COMPUTED_VALUE"""),"All levels")</f>
        <v>All levels</v>
      </c>
      <c r="I36" s="217" t="str">
        <f ca="1">IFERROR(__xludf.DUMMYFUNCTION("""COMPUTED_VALUE"""),"Tisser des liens avec ses collègues de travail")</f>
        <v>Tisser des liens avec ses collègues de travail</v>
      </c>
      <c r="J36" s="217"/>
      <c r="K36" s="213"/>
      <c r="L36" s="215">
        <f ca="1">IFERROR(__xludf.DUMMYFUNCTION("""COMPUTED_VALUE"""),428124)</f>
        <v>428124</v>
      </c>
      <c r="M36" s="215" t="str">
        <f ca="1">IFERROR(__xludf.DUMMYFUNCTION("""COMPUTED_VALUE"""),"All levels")</f>
        <v>All levels</v>
      </c>
      <c r="N36" s="217" t="str">
        <f ca="1">IFERROR(__xludf.DUMMYFUNCTION("""COMPUTED_VALUE"""),"Reuniones eficaces")</f>
        <v>Reuniones eficaces</v>
      </c>
      <c r="O36" s="217"/>
      <c r="P36" s="213"/>
      <c r="Q36" s="215">
        <f ca="1">IFERROR(__xludf.DUMMYFUNCTION("""COMPUTED_VALUE"""),3130124)</f>
        <v>3130124</v>
      </c>
      <c r="R36" s="215" t="str">
        <f ca="1">IFERROR(__xludf.DUMMYFUNCTION("""COMPUTED_VALUE"""),"All levels")</f>
        <v>All levels</v>
      </c>
      <c r="S36" s="217" t="str">
        <f ca="1">IFERROR(__xludf.DUMMYFUNCTION("""COMPUTED_VALUE"""),"Intros und Extros (Blinkist Kernaussagen)")</f>
        <v>Intros und Extros (Blinkist Kernaussagen)</v>
      </c>
      <c r="T36" s="217"/>
      <c r="U36" s="213"/>
      <c r="V36" s="215"/>
      <c r="W36" s="215"/>
      <c r="X36" s="217"/>
      <c r="Y36" s="217"/>
      <c r="Z36" s="213"/>
      <c r="AA36" s="215"/>
      <c r="AB36" s="215"/>
      <c r="AC36" s="217"/>
      <c r="AD36" s="217"/>
      <c r="AE36" s="213"/>
      <c r="AF36" s="215">
        <f ca="1">IFERROR(__xludf.DUMMYFUNCTION("""COMPUTED_VALUE"""),773660)</f>
        <v>773660</v>
      </c>
      <c r="AG36" s="215" t="str">
        <f ca="1">IFERROR(__xludf.DUMMYFUNCTION("""COMPUTED_VALUE"""),"Beginner")</f>
        <v>Beginner</v>
      </c>
      <c r="AH36" s="217" t="str">
        <f ca="1">IFERROR(__xludf.DUMMYFUNCTION("""COMPUTED_VALUE"""),"项目管理基础知识：沟通")</f>
        <v>项目管理基础知识：沟通</v>
      </c>
      <c r="AI36" s="217"/>
      <c r="AJ36" s="213"/>
    </row>
    <row r="37" spans="1:36" ht="33.75" customHeight="1">
      <c r="A37" s="213"/>
      <c r="B37" s="214">
        <f ca="1">IFERROR(__xludf.DUMMYFUNCTION("""COMPUTED_VALUE"""),534584)</f>
        <v>534584</v>
      </c>
      <c r="C37" s="215" t="str">
        <f ca="1">IFERROR(__xludf.DUMMYFUNCTION("""COMPUTED_VALUE"""),"Beginner")</f>
        <v>Beginner</v>
      </c>
      <c r="D37" s="216" t="str">
        <f ca="1">IFERROR(__xludf.DUMMYFUNCTION("""COMPUTED_VALUE"""),"Communicating with Empathy")</f>
        <v>Communicating with Empathy</v>
      </c>
      <c r="E37" s="217"/>
      <c r="F37" s="213"/>
      <c r="G37" s="214">
        <f ca="1">IFERROR(__xludf.DUMMYFUNCTION("""COMPUTED_VALUE"""),561102)</f>
        <v>561102</v>
      </c>
      <c r="H37" s="215" t="str">
        <f ca="1">IFERROR(__xludf.DUMMYFUNCTION("""COMPUTED_VALUE"""),"All levels")</f>
        <v>All levels</v>
      </c>
      <c r="I37" s="217" t="str">
        <f ca="1">IFERROR(__xludf.DUMMYFUNCTION("""COMPUTED_VALUE"""),"Travailler en équipe")</f>
        <v>Travailler en équipe</v>
      </c>
      <c r="J37" s="217"/>
      <c r="K37" s="213"/>
      <c r="L37" s="215">
        <f ca="1">IFERROR(__xludf.DUMMYFUNCTION("""COMPUTED_VALUE"""),2432007)</f>
        <v>2432007</v>
      </c>
      <c r="M37" s="215" t="str">
        <f ca="1">IFERROR(__xludf.DUMMYFUNCTION("""COMPUTED_VALUE"""),"All levels")</f>
        <v>All levels</v>
      </c>
      <c r="N37" s="217" t="str">
        <f ca="1">IFERROR(__xludf.DUMMYFUNCTION("""COMPUTED_VALUE"""),"Storytelling para comunicación de proyectos de ingeniería")</f>
        <v>Storytelling para comunicación de proyectos de ingeniería</v>
      </c>
      <c r="O37" s="217"/>
      <c r="P37" s="213"/>
      <c r="Q37" s="215">
        <f ca="1">IFERROR(__xludf.DUMMYFUNCTION("""COMPUTED_VALUE"""),2215003)</f>
        <v>2215003</v>
      </c>
      <c r="R37" s="215" t="str">
        <f ca="1">IFERROR(__xludf.DUMMYFUNCTION("""COMPUTED_VALUE"""),"Intermediate")</f>
        <v>Intermediate</v>
      </c>
      <c r="S37" s="217" t="str">
        <f ca="1">IFERROR(__xludf.DUMMYFUNCTION("""COMPUTED_VALUE"""),"Kommunikation in Zeiten der Veränderung")</f>
        <v>Kommunikation in Zeiten der Veränderung</v>
      </c>
      <c r="T37" s="217"/>
      <c r="U37" s="213"/>
      <c r="V37" s="215"/>
      <c r="W37" s="215"/>
      <c r="X37" s="217"/>
      <c r="Y37" s="217"/>
      <c r="Z37" s="213"/>
      <c r="AA37" s="215"/>
      <c r="AB37" s="215"/>
      <c r="AC37" s="217"/>
      <c r="AD37" s="217"/>
      <c r="AE37" s="213"/>
      <c r="AF37" s="215">
        <f ca="1">IFERROR(__xludf.DUMMYFUNCTION("""COMPUTED_VALUE"""),5010370)</f>
        <v>5010370</v>
      </c>
      <c r="AG37" s="215" t="str">
        <f ca="1">IFERROR(__xludf.DUMMYFUNCTION("""COMPUTED_VALUE"""),"All levels")</f>
        <v>All levels</v>
      </c>
      <c r="AH37" s="217" t="str">
        <f ca="1">IFERROR(__xludf.DUMMYFUNCTION("""COMPUTED_VALUE"""),"领导团队和团队合作")</f>
        <v>领导团队和团队合作</v>
      </c>
      <c r="AI37" s="217"/>
      <c r="AJ37" s="213"/>
    </row>
    <row r="38" spans="1:36" ht="33.75" customHeight="1">
      <c r="A38" s="213"/>
      <c r="B38" s="214">
        <f ca="1">IFERROR(__xludf.DUMMYFUNCTION("""COMPUTED_VALUE"""),700790)</f>
        <v>700790</v>
      </c>
      <c r="C38" s="215" t="str">
        <f ca="1">IFERROR(__xludf.DUMMYFUNCTION("""COMPUTED_VALUE"""),"Beginner")</f>
        <v>Beginner</v>
      </c>
      <c r="D38" s="216" t="str">
        <f ca="1">IFERROR(__xludf.DUMMYFUNCTION("""COMPUTED_VALUE"""),"Communication Foundations")</f>
        <v>Communication Foundations</v>
      </c>
      <c r="E38" s="217"/>
      <c r="F38" s="213"/>
      <c r="G38" s="214">
        <f ca="1">IFERROR(__xludf.DUMMYFUNCTION("""COMPUTED_VALUE"""),3156478)</f>
        <v>3156478</v>
      </c>
      <c r="H38" s="215" t="str">
        <f ca="1">IFERROR(__xludf.DUMMYFUNCTION("""COMPUTED_VALUE"""),"Intermediate")</f>
        <v>Intermediate</v>
      </c>
      <c r="I38" s="217" t="str">
        <f ca="1">IFERROR(__xludf.DUMMYFUNCTION("""COMPUTED_VALUE"""),"Travailler sa répartie")</f>
        <v>Travailler sa répartie</v>
      </c>
      <c r="J38" s="217"/>
      <c r="K38" s="213"/>
      <c r="L38" s="215">
        <f ca="1">IFERROR(__xludf.DUMMYFUNCTION("""COMPUTED_VALUE"""),561602)</f>
        <v>561602</v>
      </c>
      <c r="M38" s="215" t="str">
        <f ca="1">IFERROR(__xludf.DUMMYFUNCTION("""COMPUTED_VALUE"""),"All levels")</f>
        <v>All levels</v>
      </c>
      <c r="N38" s="217" t="str">
        <f ca="1">IFERROR(__xludf.DUMMYFUNCTION("""COMPUTED_VALUE"""),"Trabajo en equipo")</f>
        <v>Trabajo en equipo</v>
      </c>
      <c r="O38" s="217"/>
      <c r="P38" s="213"/>
      <c r="Q38" s="215">
        <f ca="1">IFERROR(__xludf.DUMMYFUNCTION("""COMPUTED_VALUE"""),2435035)</f>
        <v>2435035</v>
      </c>
      <c r="R38" s="215" t="str">
        <f ca="1">IFERROR(__xludf.DUMMYFUNCTION("""COMPUTED_VALUE"""),"All levels")</f>
        <v>All levels</v>
      </c>
      <c r="S38" s="217" t="str">
        <f ca="1">IFERROR(__xludf.DUMMYFUNCTION("""COMPUTED_VALUE"""),"Kommunikation mit Empathie")</f>
        <v>Kommunikation mit Empathie</v>
      </c>
      <c r="T38" s="217"/>
      <c r="U38" s="213"/>
      <c r="V38" s="215"/>
      <c r="W38" s="215"/>
      <c r="X38" s="217"/>
      <c r="Y38" s="217"/>
      <c r="Z38" s="213"/>
      <c r="AA38" s="215"/>
      <c r="AB38" s="215"/>
      <c r="AC38" s="217"/>
      <c r="AD38" s="217"/>
      <c r="AE38" s="213"/>
      <c r="AF38" s="215">
        <f ca="1">IFERROR(__xludf.DUMMYFUNCTION("""COMPUTED_VALUE"""),2823600)</f>
        <v>2823600</v>
      </c>
      <c r="AG38" s="215" t="str">
        <f ca="1">IFERROR(__xludf.DUMMYFUNCTION("""COMPUTED_VALUE"""),"All levels")</f>
        <v>All levels</v>
      </c>
      <c r="AH38" s="217" t="str">
        <f ca="1">IFERROR(__xludf.DUMMYFUNCTION("""COMPUTED_VALUE"""),"领导者的肢体语言")</f>
        <v>领导者的肢体语言</v>
      </c>
      <c r="AI38" s="217"/>
      <c r="AJ38" s="213"/>
    </row>
    <row r="39" spans="1:36" ht="33.75" customHeight="1">
      <c r="A39" s="213"/>
      <c r="B39" s="214">
        <f ca="1">IFERROR(__xludf.DUMMYFUNCTION("""COMPUTED_VALUE"""),580627)</f>
        <v>580627</v>
      </c>
      <c r="C39" s="215" t="str">
        <f ca="1">IFERROR(__xludf.DUMMYFUNCTION("""COMPUTED_VALUE"""),"Beginner")</f>
        <v>Beginner</v>
      </c>
      <c r="D39" s="216" t="str">
        <f ca="1">IFERROR(__xludf.DUMMYFUNCTION("""COMPUTED_VALUE"""),"Interpersonal Communication")</f>
        <v>Interpersonal Communication</v>
      </c>
      <c r="E39" s="217"/>
      <c r="F39" s="213"/>
      <c r="G39" s="214">
        <f ca="1">IFERROR(__xludf.DUMMYFUNCTION("""COMPUTED_VALUE"""),2921392)</f>
        <v>2921392</v>
      </c>
      <c r="H39" s="215" t="str">
        <f ca="1">IFERROR(__xludf.DUMMYFUNCTION("""COMPUTED_VALUE"""),"Intermediate")</f>
        <v>Intermediate</v>
      </c>
      <c r="I39" s="217" t="str">
        <f ca="1">IFERROR(__xludf.DUMMYFUNCTION("""COMPUTED_VALUE"""),"Vendre à des cadres supérieurs / supérieures")</f>
        <v>Vendre à des cadres supérieurs / supérieures</v>
      </c>
      <c r="J39" s="217"/>
      <c r="K39" s="213"/>
      <c r="L39" s="215"/>
      <c r="M39" s="215"/>
      <c r="N39" s="217"/>
      <c r="O39" s="217"/>
      <c r="P39" s="213"/>
      <c r="Q39" s="215">
        <f ca="1">IFERROR(__xludf.DUMMYFUNCTION("""COMPUTED_VALUE"""),561235)</f>
        <v>561235</v>
      </c>
      <c r="R39" s="215" t="str">
        <f ca="1">IFERROR(__xludf.DUMMYFUNCTION("""COMPUTED_VALUE"""),"All levels")</f>
        <v>All levels</v>
      </c>
      <c r="S39" s="217" t="str">
        <f ca="1">IFERROR(__xludf.DUMMYFUNCTION("""COMPUTED_VALUE"""),"Kommunikation verstehen")</f>
        <v>Kommunikation verstehen</v>
      </c>
      <c r="T39" s="217"/>
      <c r="U39" s="213"/>
      <c r="V39" s="215"/>
      <c r="W39" s="215"/>
      <c r="X39" s="217"/>
      <c r="Y39" s="217"/>
      <c r="Z39" s="213"/>
      <c r="AA39" s="215"/>
      <c r="AB39" s="215"/>
      <c r="AC39" s="217"/>
      <c r="AD39" s="217"/>
      <c r="AE39" s="213"/>
      <c r="AF39" s="215">
        <f ca="1">IFERROR(__xludf.DUMMYFUNCTION("""COMPUTED_VALUE"""),2819189)</f>
        <v>2819189</v>
      </c>
      <c r="AG39" s="215" t="str">
        <f ca="1">IFERROR(__xludf.DUMMYFUNCTION("""COMPUTED_VALUE"""),"Beginner, Intermediate")</f>
        <v>Beginner, Intermediate</v>
      </c>
      <c r="AH39" s="217" t="str">
        <f ca="1">IFERROR(__xludf.DUMMYFUNCTION("""COMPUTED_VALUE"""),"领导高效的会议")</f>
        <v>领导高效的会议</v>
      </c>
      <c r="AI39" s="217"/>
      <c r="AJ39" s="213"/>
    </row>
    <row r="40" spans="1:36" ht="33.75" customHeight="1">
      <c r="A40" s="213"/>
      <c r="B40" s="214">
        <f ca="1">IFERROR(__xludf.DUMMYFUNCTION("""COMPUTED_VALUE"""),653219)</f>
        <v>653219</v>
      </c>
      <c r="C40" s="215" t="str">
        <f ca="1">IFERROR(__xludf.DUMMYFUNCTION("""COMPUTED_VALUE"""),"Beginner")</f>
        <v>Beginner</v>
      </c>
      <c r="D40" s="216" t="str">
        <f ca="1">IFERROR(__xludf.DUMMYFUNCTION("""COMPUTED_VALUE"""),"Learning to Be Approachable")</f>
        <v>Learning to Be Approachable</v>
      </c>
      <c r="E40" s="217"/>
      <c r="F40" s="213"/>
      <c r="G40" s="214"/>
      <c r="H40" s="215"/>
      <c r="I40" s="217"/>
      <c r="J40" s="217"/>
      <c r="K40" s="213"/>
      <c r="L40" s="215"/>
      <c r="M40" s="215"/>
      <c r="N40" s="217"/>
      <c r="O40" s="217"/>
      <c r="P40" s="213"/>
      <c r="Q40" s="215">
        <f ca="1">IFERROR(__xludf.DUMMYFUNCTION("""COMPUTED_VALUE"""),593051)</f>
        <v>593051</v>
      </c>
      <c r="R40" s="215" t="str">
        <f ca="1">IFERROR(__xludf.DUMMYFUNCTION("""COMPUTED_VALUE"""),"Intermediate")</f>
        <v>Intermediate</v>
      </c>
      <c r="S40" s="217" t="str">
        <f ca="1">IFERROR(__xludf.DUMMYFUNCTION("""COMPUTED_VALUE"""),"Kommunikationstipps")</f>
        <v>Kommunikationstipps</v>
      </c>
      <c r="T40" s="217"/>
      <c r="U40" s="213"/>
      <c r="V40" s="215"/>
      <c r="W40" s="215"/>
      <c r="X40" s="217"/>
      <c r="Y40" s="217"/>
      <c r="Z40" s="213"/>
      <c r="AA40" s="215"/>
      <c r="AB40" s="215"/>
      <c r="AC40" s="217"/>
      <c r="AD40" s="217"/>
      <c r="AE40" s="213"/>
      <c r="AF40" s="215">
        <f ca="1">IFERROR(__xludf.DUMMYFUNCTION("""COMPUTED_VALUE"""),773691)</f>
        <v>773691</v>
      </c>
      <c r="AG40" s="215" t="str">
        <f ca="1">IFERROR(__xludf.DUMMYFUNCTION("""COMPUTED_VALUE"""),"Beginner")</f>
        <v>Beginner</v>
      </c>
      <c r="AH40" s="217" t="str">
        <f ca="1">IFERROR(__xludf.DUMMYFUNCTION("""COMPUTED_VALUE"""),"高情商领导")</f>
        <v>高情商领导</v>
      </c>
      <c r="AI40" s="217"/>
      <c r="AJ40" s="213"/>
    </row>
    <row r="41" spans="1:36" ht="33.75" customHeight="1">
      <c r="A41" s="213"/>
      <c r="B41" s="214">
        <f ca="1">IFERROR(__xludf.DUMMYFUNCTION("""COMPUTED_VALUE"""),553701)</f>
        <v>553701</v>
      </c>
      <c r="C41" s="215" t="str">
        <f ca="1">IFERROR(__xludf.DUMMYFUNCTION("""COMPUTED_VALUE"""),"Beginner")</f>
        <v>Beginner</v>
      </c>
      <c r="D41" s="216" t="str">
        <f ca="1">IFERROR(__xludf.DUMMYFUNCTION("""COMPUTED_VALUE"""),"Negotiation Skills")</f>
        <v>Negotiation Skills</v>
      </c>
      <c r="E41" s="217"/>
      <c r="F41" s="213"/>
      <c r="G41" s="214"/>
      <c r="H41" s="215"/>
      <c r="I41" s="217"/>
      <c r="J41" s="217"/>
      <c r="K41" s="213"/>
      <c r="L41" s="215"/>
      <c r="M41" s="215"/>
      <c r="N41" s="217"/>
      <c r="O41" s="217"/>
      <c r="P41" s="213"/>
      <c r="Q41" s="215">
        <f ca="1">IFERROR(__xludf.DUMMYFUNCTION("""COMPUTED_VALUE"""),2823401)</f>
        <v>2823401</v>
      </c>
      <c r="R41" s="215" t="str">
        <f ca="1">IFERROR(__xludf.DUMMYFUNCTION("""COMPUTED_VALUE"""),"All levels")</f>
        <v>All levels</v>
      </c>
      <c r="S41" s="217" t="str">
        <f ca="1">IFERROR(__xludf.DUMMYFUNCTION("""COMPUTED_VALUE"""),"Körpersprache für Frauen")</f>
        <v>Körpersprache für Frauen</v>
      </c>
      <c r="T41" s="217"/>
      <c r="U41" s="213"/>
      <c r="V41" s="215"/>
      <c r="W41" s="215"/>
      <c r="X41" s="217"/>
      <c r="Y41" s="217"/>
      <c r="Z41" s="213"/>
      <c r="AA41" s="215"/>
      <c r="AB41" s="215"/>
      <c r="AC41" s="217"/>
      <c r="AD41" s="217"/>
      <c r="AE41" s="213"/>
      <c r="AF41" s="215"/>
      <c r="AG41" s="215"/>
      <c r="AH41" s="217"/>
      <c r="AI41" s="217"/>
      <c r="AJ41" s="213"/>
    </row>
    <row r="42" spans="1:36" ht="33.75" customHeight="1">
      <c r="A42" s="213"/>
      <c r="B42" s="214">
        <f ca="1">IFERROR(__xludf.DUMMYFUNCTION("""COMPUTED_VALUE"""),578056)</f>
        <v>578056</v>
      </c>
      <c r="C42" s="215" t="str">
        <f ca="1">IFERROR(__xludf.DUMMYFUNCTION("""COMPUTED_VALUE"""),"Beginner")</f>
        <v>Beginner</v>
      </c>
      <c r="D42" s="216" t="str">
        <f ca="1">IFERROR(__xludf.DUMMYFUNCTION("""COMPUTED_VALUE"""),"Persuading Others")</f>
        <v>Persuading Others</v>
      </c>
      <c r="E42" s="217"/>
      <c r="F42" s="213"/>
      <c r="G42" s="214"/>
      <c r="H42" s="215"/>
      <c r="I42" s="217"/>
      <c r="J42" s="217"/>
      <c r="K42" s="213"/>
      <c r="L42" s="215"/>
      <c r="M42" s="215"/>
      <c r="N42" s="217"/>
      <c r="O42" s="217"/>
      <c r="P42" s="213"/>
      <c r="Q42" s="215">
        <f ca="1">IFERROR(__xludf.DUMMYFUNCTION("""COMPUTED_VALUE"""),593043)</f>
        <v>593043</v>
      </c>
      <c r="R42" s="215" t="str">
        <f ca="1">IFERROR(__xludf.DUMMYFUNCTION("""COMPUTED_VALUE"""),"All levels")</f>
        <v>All levels</v>
      </c>
      <c r="S42" s="217" t="str">
        <f ca="1">IFERROR(__xludf.DUMMYFUNCTION("""COMPUTED_VALUE"""),"Körpersprache für Führungskräfte")</f>
        <v>Körpersprache für Führungskräfte</v>
      </c>
      <c r="T42" s="217"/>
      <c r="U42" s="213"/>
      <c r="V42" s="215"/>
      <c r="W42" s="215"/>
      <c r="X42" s="217"/>
      <c r="Y42" s="217"/>
      <c r="Z42" s="213"/>
      <c r="AA42" s="215"/>
      <c r="AB42" s="215"/>
      <c r="AC42" s="217"/>
      <c r="AD42" s="217"/>
      <c r="AE42" s="213"/>
      <c r="AF42" s="215"/>
      <c r="AG42" s="215"/>
      <c r="AH42" s="217"/>
      <c r="AI42" s="217"/>
      <c r="AJ42" s="213"/>
    </row>
    <row r="43" spans="1:36" ht="33.75" customHeight="1">
      <c r="A43" s="213"/>
      <c r="B43" s="214">
        <f ca="1">IFERROR(__xludf.DUMMYFUNCTION("""COMPUTED_VALUE"""),2805907)</f>
        <v>2805907</v>
      </c>
      <c r="C43" s="215" t="str">
        <f ca="1">IFERROR(__xludf.DUMMYFUNCTION("""COMPUTED_VALUE"""),"Beginner")</f>
        <v>Beginner</v>
      </c>
      <c r="D43" s="216" t="str">
        <f ca="1">IFERROR(__xludf.DUMMYFUNCTION("""COMPUTED_VALUE"""),"Women Transforming Tech: Finding Sponsors")</f>
        <v>Women Transforming Tech: Finding Sponsors</v>
      </c>
      <c r="E43" s="217"/>
      <c r="F43" s="213"/>
      <c r="G43" s="214"/>
      <c r="H43" s="215"/>
      <c r="I43" s="217"/>
      <c r="J43" s="217"/>
      <c r="K43" s="213"/>
      <c r="L43" s="215"/>
      <c r="M43" s="215"/>
      <c r="N43" s="217"/>
      <c r="O43" s="217"/>
      <c r="P43" s="213"/>
      <c r="Q43" s="215">
        <f ca="1">IFERROR(__xludf.DUMMYFUNCTION("""COMPUTED_VALUE"""),2921359)</f>
        <v>2921359</v>
      </c>
      <c r="R43" s="215" t="str">
        <f ca="1">IFERROR(__xludf.DUMMYFUNCTION("""COMPUTED_VALUE"""),"Beginner")</f>
        <v>Beginner</v>
      </c>
      <c r="S43" s="217" t="str">
        <f ca="1">IFERROR(__xludf.DUMMYFUNCTION("""COMPUTED_VALUE"""),"Kreatives Texten: Wortspiele, Metaphern &amp; Co.")</f>
        <v>Kreatives Texten: Wortspiele, Metaphern &amp; Co.</v>
      </c>
      <c r="T43" s="217"/>
      <c r="U43" s="213"/>
      <c r="V43" s="215"/>
      <c r="W43" s="215"/>
      <c r="X43" s="217"/>
      <c r="Y43" s="217"/>
      <c r="Z43" s="213"/>
      <c r="AA43" s="215"/>
      <c r="AB43" s="215"/>
      <c r="AC43" s="217"/>
      <c r="AD43" s="217"/>
      <c r="AE43" s="213"/>
      <c r="AF43" s="215"/>
      <c r="AG43" s="215"/>
      <c r="AH43" s="217"/>
      <c r="AI43" s="217"/>
      <c r="AJ43" s="213"/>
    </row>
    <row r="44" spans="1:36" ht="33.75" customHeight="1">
      <c r="A44" s="213"/>
      <c r="B44" s="214">
        <f ca="1">IFERROR(__xludf.DUMMYFUNCTION("""COMPUTED_VALUE"""),2807858)</f>
        <v>2807858</v>
      </c>
      <c r="C44" s="215" t="str">
        <f ca="1">IFERROR(__xludf.DUMMYFUNCTION("""COMPUTED_VALUE"""),"Beginner")</f>
        <v>Beginner</v>
      </c>
      <c r="D44" s="216" t="str">
        <f ca="1">IFERROR(__xludf.DUMMYFUNCTION("""COMPUTED_VALUE"""),"Women Transforming Tech: Getting Strategic with Your Career")</f>
        <v>Women Transforming Tech: Getting Strategic with Your Career</v>
      </c>
      <c r="E44" s="217"/>
      <c r="F44" s="213"/>
      <c r="G44" s="214"/>
      <c r="H44" s="215"/>
      <c r="I44" s="217"/>
      <c r="J44" s="217"/>
      <c r="K44" s="213"/>
      <c r="L44" s="215"/>
      <c r="M44" s="215"/>
      <c r="N44" s="217"/>
      <c r="O44" s="217"/>
      <c r="P44" s="213"/>
      <c r="Q44" s="215">
        <f ca="1">IFERROR(__xludf.DUMMYFUNCTION("""COMPUTED_VALUE"""),559540)</f>
        <v>559540</v>
      </c>
      <c r="R44" s="215" t="str">
        <f ca="1">IFERROR(__xludf.DUMMYFUNCTION("""COMPUTED_VALUE"""),"Advanced")</f>
        <v>Advanced</v>
      </c>
      <c r="S44" s="217" t="str">
        <f ca="1">IFERROR(__xludf.DUMMYFUNCTION("""COMPUTED_VALUE"""),"Krisenkommunikation")</f>
        <v>Krisenkommunikation</v>
      </c>
      <c r="T44" s="217"/>
      <c r="U44" s="213"/>
      <c r="V44" s="215"/>
      <c r="W44" s="215"/>
      <c r="X44" s="217"/>
      <c r="Y44" s="217"/>
      <c r="Z44" s="213"/>
      <c r="AA44" s="215"/>
      <c r="AB44" s="215"/>
      <c r="AC44" s="217"/>
      <c r="AD44" s="217"/>
      <c r="AE44" s="213"/>
      <c r="AF44" s="215"/>
      <c r="AG44" s="215"/>
      <c r="AH44" s="217"/>
      <c r="AI44" s="217"/>
      <c r="AJ44" s="213"/>
    </row>
    <row r="45" spans="1:36" ht="33.75" customHeight="1">
      <c r="A45" s="213"/>
      <c r="B45" s="214">
        <f ca="1">IFERROR(__xludf.DUMMYFUNCTION("""COMPUTED_VALUE"""),2807859)</f>
        <v>2807859</v>
      </c>
      <c r="C45" s="215" t="str">
        <f ca="1">IFERROR(__xludf.DUMMYFUNCTION("""COMPUTED_VALUE"""),"Beginner")</f>
        <v>Beginner</v>
      </c>
      <c r="D45" s="216" t="str">
        <f ca="1">IFERROR(__xludf.DUMMYFUNCTION("""COMPUTED_VALUE"""),"Women Transforming Tech: Voices from the Field")</f>
        <v>Women Transforming Tech: Voices from the Field</v>
      </c>
      <c r="E45" s="217"/>
      <c r="F45" s="213"/>
      <c r="G45" s="214"/>
      <c r="H45" s="215"/>
      <c r="I45" s="217"/>
      <c r="J45" s="217"/>
      <c r="K45" s="213"/>
      <c r="L45" s="215"/>
      <c r="M45" s="215"/>
      <c r="N45" s="217"/>
      <c r="O45" s="217"/>
      <c r="P45" s="213"/>
      <c r="Q45" s="215">
        <f ca="1">IFERROR(__xludf.DUMMYFUNCTION("""COMPUTED_VALUE"""),734560)</f>
        <v>734560</v>
      </c>
      <c r="R45" s="215" t="str">
        <f ca="1">IFERROR(__xludf.DUMMYFUNCTION("""COMPUTED_VALUE"""),"Beginner")</f>
        <v>Beginner</v>
      </c>
      <c r="S45" s="217" t="str">
        <f ca="1">IFERROR(__xludf.DUMMYFUNCTION("""COMPUTED_VALUE"""),"Kundenkommunikation mit WhatsApp Business")</f>
        <v>Kundenkommunikation mit WhatsApp Business</v>
      </c>
      <c r="T45" s="217"/>
      <c r="U45" s="213"/>
      <c r="V45" s="215"/>
      <c r="W45" s="215"/>
      <c r="X45" s="217"/>
      <c r="Y45" s="217"/>
      <c r="Z45" s="213"/>
      <c r="AA45" s="215"/>
      <c r="AB45" s="215"/>
      <c r="AC45" s="217"/>
      <c r="AD45" s="217"/>
      <c r="AE45" s="213"/>
      <c r="AF45" s="215"/>
      <c r="AG45" s="215"/>
      <c r="AH45" s="217"/>
      <c r="AI45" s="217"/>
      <c r="AJ45" s="213"/>
    </row>
    <row r="46" spans="1:36" ht="33.75" customHeight="1">
      <c r="A46" s="213"/>
      <c r="B46" s="214">
        <f ca="1">IFERROR(__xludf.DUMMYFUNCTION("""COMPUTED_VALUE"""),2808545)</f>
        <v>2808545</v>
      </c>
      <c r="C46" s="215" t="str">
        <f ca="1">IFERROR(__xludf.DUMMYFUNCTION("""COMPUTED_VALUE"""),"Beginner")</f>
        <v>Beginner</v>
      </c>
      <c r="D46" s="216" t="str">
        <f ca="1">IFERROR(__xludf.DUMMYFUNCTION("""COMPUTED_VALUE"""),"Women Transforming Tech: Networking")</f>
        <v>Women Transforming Tech: Networking</v>
      </c>
      <c r="E46" s="217"/>
      <c r="F46" s="213"/>
      <c r="G46" s="214"/>
      <c r="H46" s="215"/>
      <c r="I46" s="217"/>
      <c r="J46" s="217"/>
      <c r="K46" s="213"/>
      <c r="L46" s="215"/>
      <c r="M46" s="215"/>
      <c r="N46" s="217"/>
      <c r="O46" s="217"/>
      <c r="P46" s="213"/>
      <c r="Q46" s="215">
        <f ca="1">IFERROR(__xludf.DUMMYFUNCTION("""COMPUTED_VALUE"""),2824227)</f>
        <v>2824227</v>
      </c>
      <c r="R46" s="215" t="str">
        <f ca="1">IFERROR(__xludf.DUMMYFUNCTION("""COMPUTED_VALUE"""),"Beginner")</f>
        <v>Beginner</v>
      </c>
      <c r="S46" s="217" t="str">
        <f ca="1">IFERROR(__xludf.DUMMYFUNCTION("""COMPUTED_VALUE"""),"Künstliche Intelligenz: Strategie und Kommunikation im Unternehmen")</f>
        <v>Künstliche Intelligenz: Strategie und Kommunikation im Unternehmen</v>
      </c>
      <c r="T46" s="217"/>
      <c r="U46" s="213"/>
      <c r="V46" s="215"/>
      <c r="W46" s="215"/>
      <c r="X46" s="217"/>
      <c r="Y46" s="217"/>
      <c r="Z46" s="213"/>
      <c r="AA46" s="215"/>
      <c r="AB46" s="215"/>
      <c r="AC46" s="217"/>
      <c r="AD46" s="217"/>
      <c r="AE46" s="213"/>
      <c r="AF46" s="215"/>
      <c r="AG46" s="215"/>
      <c r="AH46" s="217"/>
      <c r="AI46" s="217"/>
      <c r="AJ46" s="213"/>
    </row>
    <row r="47" spans="1:36" ht="33.75" customHeight="1">
      <c r="A47" s="213"/>
      <c r="B47" s="214">
        <f ca="1">IFERROR(__xludf.DUMMYFUNCTION("""COMPUTED_VALUE"""),2812533)</f>
        <v>2812533</v>
      </c>
      <c r="C47" s="215" t="str">
        <f ca="1">IFERROR(__xludf.DUMMYFUNCTION("""COMPUTED_VALUE"""),"Beginner")</f>
        <v>Beginner</v>
      </c>
      <c r="D47" s="216" t="str">
        <f ca="1">IFERROR(__xludf.DUMMYFUNCTION("""COMPUTED_VALUE"""),"Own Your Voice: Improve Presentations and Executive Presence")</f>
        <v>Own Your Voice: Improve Presentations and Executive Presence</v>
      </c>
      <c r="E47" s="217"/>
      <c r="F47" s="213"/>
      <c r="G47" s="214"/>
      <c r="H47" s="215"/>
      <c r="I47" s="217"/>
      <c r="J47" s="217"/>
      <c r="K47" s="213"/>
      <c r="L47" s="215"/>
      <c r="M47" s="215"/>
      <c r="N47" s="217"/>
      <c r="O47" s="217"/>
      <c r="P47" s="213"/>
      <c r="Q47" s="215">
        <f ca="1">IFERROR(__xludf.DUMMYFUNCTION("""COMPUTED_VALUE"""),2837221)</f>
        <v>2837221</v>
      </c>
      <c r="R47" s="215" t="str">
        <f ca="1">IFERROR(__xludf.DUMMYFUNCTION("""COMPUTED_VALUE"""),"All levels")</f>
        <v>All levels</v>
      </c>
      <c r="S47" s="217" t="str">
        <f ca="1">IFERROR(__xludf.DUMMYFUNCTION("""COMPUTED_VALUE"""),"Manipulation erkennen und abwehren")</f>
        <v>Manipulation erkennen und abwehren</v>
      </c>
      <c r="T47" s="217"/>
      <c r="U47" s="213"/>
      <c r="V47" s="215"/>
      <c r="W47" s="215"/>
      <c r="X47" s="217"/>
      <c r="Y47" s="217"/>
      <c r="Z47" s="213"/>
      <c r="AA47" s="215"/>
      <c r="AB47" s="215"/>
      <c r="AC47" s="217"/>
      <c r="AD47" s="217"/>
      <c r="AE47" s="213"/>
      <c r="AF47" s="215"/>
      <c r="AG47" s="215"/>
      <c r="AH47" s="217"/>
      <c r="AI47" s="217"/>
      <c r="AJ47" s="213"/>
    </row>
    <row r="48" spans="1:36" ht="33.75" customHeight="1">
      <c r="A48" s="213"/>
      <c r="B48" s="214">
        <f ca="1">IFERROR(__xludf.DUMMYFUNCTION("""COMPUTED_VALUE"""),2813144)</f>
        <v>2813144</v>
      </c>
      <c r="C48" s="215" t="str">
        <f ca="1">IFERROR(__xludf.DUMMYFUNCTION("""COMPUTED_VALUE"""),"Beginner")</f>
        <v>Beginner</v>
      </c>
      <c r="D48" s="216" t="str">
        <f ca="1">IFERROR(__xludf.DUMMYFUNCTION("""COMPUTED_VALUE"""),"Social Success at Work")</f>
        <v>Social Success at Work</v>
      </c>
      <c r="E48" s="217"/>
      <c r="F48" s="213"/>
      <c r="G48" s="214"/>
      <c r="H48" s="215"/>
      <c r="I48" s="217"/>
      <c r="J48" s="217"/>
      <c r="K48" s="213"/>
      <c r="L48" s="215"/>
      <c r="M48" s="215"/>
      <c r="N48" s="217"/>
      <c r="O48" s="217"/>
      <c r="P48" s="213"/>
      <c r="Q48" s="215">
        <f ca="1">IFERROR(__xludf.DUMMYFUNCTION("""COMPUTED_VALUE"""),2920399)</f>
        <v>2920399</v>
      </c>
      <c r="R48" s="215" t="str">
        <f ca="1">IFERROR(__xludf.DUMMYFUNCTION("""COMPUTED_VALUE"""),"All levels")</f>
        <v>All levels</v>
      </c>
      <c r="S48" s="217" t="str">
        <f ca="1">IFERROR(__xludf.DUMMYFUNCTION("""COMPUTED_VALUE"""),"Mehr Ausstrahlung mit dem Charisma-Code")</f>
        <v>Mehr Ausstrahlung mit dem Charisma-Code</v>
      </c>
      <c r="T48" s="217"/>
      <c r="U48" s="213"/>
      <c r="V48" s="215"/>
      <c r="W48" s="215"/>
      <c r="X48" s="217"/>
      <c r="Y48" s="217"/>
      <c r="Z48" s="213"/>
      <c r="AA48" s="215"/>
      <c r="AB48" s="215"/>
      <c r="AC48" s="217"/>
      <c r="AD48" s="217"/>
      <c r="AE48" s="213"/>
      <c r="AF48" s="215"/>
      <c r="AG48" s="215"/>
      <c r="AH48" s="217"/>
      <c r="AI48" s="217"/>
      <c r="AJ48" s="213"/>
    </row>
    <row r="49" spans="1:36" ht="33.75" customHeight="1">
      <c r="A49" s="213"/>
      <c r="B49" s="214">
        <f ca="1">IFERROR(__xludf.DUMMYFUNCTION("""COMPUTED_VALUE"""),2243047)</f>
        <v>2243047</v>
      </c>
      <c r="C49" s="215" t="str">
        <f ca="1">IFERROR(__xludf.DUMMYFUNCTION("""COMPUTED_VALUE"""),"Beginner")</f>
        <v>Beginner</v>
      </c>
      <c r="D49" s="216" t="str">
        <f ca="1">IFERROR(__xludf.DUMMYFUNCTION("""COMPUTED_VALUE"""),"Top of Mind: Use Content to Unleash Your Influence (getAbstract Summary)")</f>
        <v>Top of Mind: Use Content to Unleash Your Influence (getAbstract Summary)</v>
      </c>
      <c r="E49" s="217"/>
      <c r="F49" s="213"/>
      <c r="G49" s="214"/>
      <c r="H49" s="215"/>
      <c r="I49" s="217"/>
      <c r="J49" s="217"/>
      <c r="K49" s="213"/>
      <c r="L49" s="215"/>
      <c r="M49" s="215"/>
      <c r="N49" s="217"/>
      <c r="O49" s="217"/>
      <c r="P49" s="213"/>
      <c r="Q49" s="215">
        <f ca="1">IFERROR(__xludf.DUMMYFUNCTION("""COMPUTED_VALUE"""),3103740)</f>
        <v>3103740</v>
      </c>
      <c r="R49" s="215" t="str">
        <f ca="1">IFERROR(__xludf.DUMMYFUNCTION("""COMPUTED_VALUE"""),"Intermediate")</f>
        <v>Intermediate</v>
      </c>
      <c r="S49" s="217" t="str">
        <f ca="1">IFERROR(__xludf.DUMMYFUNCTION("""COMPUTED_VALUE"""),"Meinungsführer:in werden")</f>
        <v>Meinungsführer:in werden</v>
      </c>
      <c r="T49" s="217"/>
      <c r="U49" s="213"/>
      <c r="V49" s="215"/>
      <c r="W49" s="215"/>
      <c r="X49" s="217"/>
      <c r="Y49" s="217"/>
      <c r="Z49" s="213"/>
      <c r="AA49" s="215"/>
      <c r="AB49" s="215"/>
      <c r="AC49" s="217"/>
      <c r="AD49" s="217"/>
      <c r="AE49" s="213"/>
      <c r="AF49" s="215"/>
      <c r="AG49" s="215"/>
      <c r="AH49" s="217"/>
      <c r="AI49" s="217"/>
      <c r="AJ49" s="213"/>
    </row>
    <row r="50" spans="1:36" ht="33.75" customHeight="1">
      <c r="A50" s="213"/>
      <c r="B50" s="214">
        <f ca="1">IFERROR(__xludf.DUMMYFUNCTION("""COMPUTED_VALUE"""),2834027)</f>
        <v>2834027</v>
      </c>
      <c r="C50" s="215" t="str">
        <f ca="1">IFERROR(__xludf.DUMMYFUNCTION("""COMPUTED_VALUE"""),"Beginner")</f>
        <v>Beginner</v>
      </c>
      <c r="D50" s="216" t="str">
        <f ca="1">IFERROR(__xludf.DUMMYFUNCTION("""COMPUTED_VALUE"""),"Learning Webex Meetings")</f>
        <v>Learning Webex Meetings</v>
      </c>
      <c r="E50" s="217"/>
      <c r="F50" s="213"/>
      <c r="G50" s="214"/>
      <c r="H50" s="215"/>
      <c r="I50" s="217"/>
      <c r="J50" s="217"/>
      <c r="K50" s="213"/>
      <c r="L50" s="215"/>
      <c r="M50" s="215"/>
      <c r="N50" s="217"/>
      <c r="O50" s="217"/>
      <c r="P50" s="213"/>
      <c r="Q50" s="215">
        <f ca="1">IFERROR(__xludf.DUMMYFUNCTION("""COMPUTED_VALUE"""),2822577)</f>
        <v>2822577</v>
      </c>
      <c r="R50" s="215" t="str">
        <f ca="1">IFERROR(__xludf.DUMMYFUNCTION("""COMPUTED_VALUE"""),"Beginner, Intermediate")</f>
        <v>Beginner, Intermediate</v>
      </c>
      <c r="S50" s="217" t="str">
        <f ca="1">IFERROR(__xludf.DUMMYFUNCTION("""COMPUTED_VALUE"""),"Mit dem ersten Eindruck überzeugen")</f>
        <v>Mit dem ersten Eindruck überzeugen</v>
      </c>
      <c r="T50" s="217"/>
      <c r="U50" s="213"/>
      <c r="V50" s="215"/>
      <c r="W50" s="215"/>
      <c r="X50" s="217"/>
      <c r="Y50" s="217"/>
      <c r="Z50" s="213"/>
      <c r="AA50" s="215"/>
      <c r="AB50" s="215"/>
      <c r="AC50" s="217"/>
      <c r="AD50" s="217"/>
      <c r="AE50" s="213"/>
      <c r="AF50" s="215"/>
      <c r="AG50" s="215"/>
      <c r="AH50" s="217"/>
      <c r="AI50" s="217"/>
      <c r="AJ50" s="213"/>
    </row>
    <row r="51" spans="1:36" ht="33.75" customHeight="1">
      <c r="A51" s="213"/>
      <c r="B51" s="214">
        <f ca="1">IFERROR(__xludf.DUMMYFUNCTION("""COMPUTED_VALUE"""),2299019)</f>
        <v>2299019</v>
      </c>
      <c r="C51" s="215" t="str">
        <f ca="1">IFERROR(__xludf.DUMMYFUNCTION("""COMPUTED_VALUE"""),"Beginner")</f>
        <v>Beginner</v>
      </c>
      <c r="D51" s="216" t="str">
        <f ca="1">IFERROR(__xludf.DUMMYFUNCTION("""COMPUTED_VALUE"""),"Find Your Passion: How Padma Lakshmi Found Hers")</f>
        <v>Find Your Passion: How Padma Lakshmi Found Hers</v>
      </c>
      <c r="E51" s="217"/>
      <c r="F51" s="213"/>
      <c r="G51" s="214"/>
      <c r="H51" s="215"/>
      <c r="I51" s="217"/>
      <c r="J51" s="217"/>
      <c r="K51" s="213"/>
      <c r="L51" s="215"/>
      <c r="M51" s="215"/>
      <c r="N51" s="217"/>
      <c r="O51" s="217"/>
      <c r="P51" s="213"/>
      <c r="Q51" s="215">
        <f ca="1">IFERROR(__xludf.DUMMYFUNCTION("""COMPUTED_VALUE"""),3164219)</f>
        <v>3164219</v>
      </c>
      <c r="R51" s="215" t="str">
        <f ca="1">IFERROR(__xludf.DUMMYFUNCTION("""COMPUTED_VALUE"""),"All levels")</f>
        <v>All levels</v>
      </c>
      <c r="S51" s="217" t="str">
        <f ca="1">IFERROR(__xludf.DUMMYFUNCTION("""COMPUTED_VALUE"""),"Nein sagen und gesunde Grenzen setzen")</f>
        <v>Nein sagen und gesunde Grenzen setzen</v>
      </c>
      <c r="T51" s="217"/>
      <c r="U51" s="213"/>
      <c r="V51" s="215"/>
      <c r="W51" s="215"/>
      <c r="X51" s="217"/>
      <c r="Y51" s="217"/>
      <c r="Z51" s="213"/>
      <c r="AA51" s="215"/>
      <c r="AB51" s="215"/>
      <c r="AC51" s="217"/>
      <c r="AD51" s="217"/>
      <c r="AE51" s="213"/>
      <c r="AF51" s="215"/>
      <c r="AG51" s="215"/>
      <c r="AH51" s="217"/>
      <c r="AI51" s="217"/>
      <c r="AJ51" s="213"/>
    </row>
    <row r="52" spans="1:36" ht="33.75" customHeight="1">
      <c r="A52" s="213"/>
      <c r="B52" s="214">
        <f ca="1">IFERROR(__xludf.DUMMYFUNCTION("""COMPUTED_VALUE"""),2837268)</f>
        <v>2837268</v>
      </c>
      <c r="C52" s="215" t="str">
        <f ca="1">IFERROR(__xludf.DUMMYFUNCTION("""COMPUTED_VALUE"""),"Beginner")</f>
        <v>Beginner</v>
      </c>
      <c r="D52" s="216" t="str">
        <f ca="1">IFERROR(__xludf.DUMMYFUNCTION("""COMPUTED_VALUE"""),"Jeffrey Gitomer’s Little Red Book of Sales Answers (getAbstract Summary)")</f>
        <v>Jeffrey Gitomer’s Little Red Book of Sales Answers (getAbstract Summary)</v>
      </c>
      <c r="E52" s="217"/>
      <c r="F52" s="213"/>
      <c r="G52" s="214"/>
      <c r="H52" s="215"/>
      <c r="I52" s="217"/>
      <c r="J52" s="217"/>
      <c r="K52" s="213"/>
      <c r="L52" s="215"/>
      <c r="M52" s="215"/>
      <c r="N52" s="217"/>
      <c r="O52" s="217"/>
      <c r="P52" s="213"/>
      <c r="Q52" s="215">
        <f ca="1">IFERROR(__xludf.DUMMYFUNCTION("""COMPUTED_VALUE"""),2948172)</f>
        <v>2948172</v>
      </c>
      <c r="R52" s="215" t="str">
        <f ca="1">IFERROR(__xludf.DUMMYFUNCTION("""COMPUTED_VALUE"""),"Beginner")</f>
        <v>Beginner</v>
      </c>
      <c r="S52" s="217" t="str">
        <f ca="1">IFERROR(__xludf.DUMMYFUNCTION("""COMPUTED_VALUE"""),"Neuro-Linguistisches Programmieren (NLP) für Einsteiger und Neugierige")</f>
        <v>Neuro-Linguistisches Programmieren (NLP) für Einsteiger und Neugierige</v>
      </c>
      <c r="T52" s="217"/>
      <c r="U52" s="213"/>
      <c r="V52" s="215"/>
      <c r="W52" s="215"/>
      <c r="X52" s="217"/>
      <c r="Y52" s="217"/>
      <c r="Z52" s="213"/>
      <c r="AA52" s="215"/>
      <c r="AB52" s="215"/>
      <c r="AC52" s="217"/>
      <c r="AD52" s="217"/>
      <c r="AE52" s="213"/>
      <c r="AF52" s="215"/>
      <c r="AG52" s="215"/>
      <c r="AH52" s="217"/>
      <c r="AI52" s="217"/>
      <c r="AJ52" s="213"/>
    </row>
    <row r="53" spans="1:36" ht="33.75" customHeight="1">
      <c r="A53" s="213"/>
      <c r="B53" s="214">
        <f ca="1">IFERROR(__xludf.DUMMYFUNCTION("""COMPUTED_VALUE"""),2836031)</f>
        <v>2836031</v>
      </c>
      <c r="C53" s="215" t="str">
        <f ca="1">IFERROR(__xludf.DUMMYFUNCTION("""COMPUTED_VALUE"""),"Beginner")</f>
        <v>Beginner</v>
      </c>
      <c r="D53" s="216" t="str">
        <f ca="1">IFERROR(__xludf.DUMMYFUNCTION("""COMPUTED_VALUE"""),"Crucial Conversations (getAbstract Summary)")</f>
        <v>Crucial Conversations (getAbstract Summary)</v>
      </c>
      <c r="E53" s="217"/>
      <c r="F53" s="213"/>
      <c r="G53" s="214"/>
      <c r="H53" s="215"/>
      <c r="I53" s="217"/>
      <c r="J53" s="217"/>
      <c r="K53" s="213"/>
      <c r="L53" s="215"/>
      <c r="M53" s="215"/>
      <c r="N53" s="217"/>
      <c r="O53" s="217"/>
      <c r="P53" s="213"/>
      <c r="Q53" s="215">
        <f ca="1">IFERROR(__xludf.DUMMYFUNCTION("""COMPUTED_VALUE"""),2951128)</f>
        <v>2951128</v>
      </c>
      <c r="R53" s="215" t="str">
        <f ca="1">IFERROR(__xludf.DUMMYFUNCTION("""COMPUTED_VALUE"""),"Beginner")</f>
        <v>Beginner</v>
      </c>
      <c r="S53" s="217" t="str">
        <f ca="1">IFERROR(__xludf.DUMMYFUNCTION("""COMPUTED_VALUE"""),"Presse- und Öffentlichkeitsarbeit für kleine und mittlere Unternehmen")</f>
        <v>Presse- und Öffentlichkeitsarbeit für kleine und mittlere Unternehmen</v>
      </c>
      <c r="T53" s="217"/>
      <c r="U53" s="213"/>
      <c r="V53" s="215"/>
      <c r="W53" s="215"/>
      <c r="X53" s="217"/>
      <c r="Y53" s="217"/>
      <c r="Z53" s="213"/>
      <c r="AA53" s="215"/>
      <c r="AB53" s="215"/>
      <c r="AC53" s="217"/>
      <c r="AD53" s="217"/>
      <c r="AE53" s="213"/>
      <c r="AF53" s="215"/>
      <c r="AG53" s="215"/>
      <c r="AH53" s="217"/>
      <c r="AI53" s="217"/>
      <c r="AJ53" s="213"/>
    </row>
    <row r="54" spans="1:36" ht="33.75" customHeight="1">
      <c r="A54" s="213"/>
      <c r="B54" s="214">
        <f ca="1">IFERROR(__xludf.DUMMYFUNCTION("""COMPUTED_VALUE"""),2873069)</f>
        <v>2873069</v>
      </c>
      <c r="C54" s="215" t="str">
        <f ca="1">IFERROR(__xludf.DUMMYFUNCTION("""COMPUTED_VALUE"""),"Beginner")</f>
        <v>Beginner</v>
      </c>
      <c r="D54" s="216" t="str">
        <f ca="1">IFERROR(__xludf.DUMMYFUNCTION("""COMPUTED_VALUE"""),"How to Crush Self-Doubt and Build Self-Confidence")</f>
        <v>How to Crush Self-Doubt and Build Self-Confidence</v>
      </c>
      <c r="E54" s="217"/>
      <c r="F54" s="213"/>
      <c r="G54" s="214"/>
      <c r="H54" s="215"/>
      <c r="I54" s="217"/>
      <c r="J54" s="217"/>
      <c r="K54" s="213"/>
      <c r="L54" s="215"/>
      <c r="M54" s="215"/>
      <c r="N54" s="217"/>
      <c r="O54" s="217"/>
      <c r="P54" s="213"/>
      <c r="Q54" s="215">
        <f ca="1">IFERROR(__xludf.DUMMYFUNCTION("""COMPUTED_VALUE"""),3206018)</f>
        <v>3206018</v>
      </c>
      <c r="R54" s="215" t="str">
        <f ca="1">IFERROR(__xludf.DUMMYFUNCTION("""COMPUTED_VALUE"""),"All levels")</f>
        <v>All levels</v>
      </c>
      <c r="S54" s="217" t="str">
        <f ca="1">IFERROR(__xludf.DUMMYFUNCTION("""COMPUTED_VALUE"""),"Probleme konfliktfrei lösen mit Inspektor Columbo (Columbos Regeln®)")</f>
        <v>Probleme konfliktfrei lösen mit Inspektor Columbo (Columbos Regeln®)</v>
      </c>
      <c r="T54" s="217"/>
      <c r="U54" s="213"/>
      <c r="V54" s="215"/>
      <c r="W54" s="215"/>
      <c r="X54" s="217"/>
      <c r="Y54" s="217"/>
      <c r="Z54" s="213"/>
      <c r="AA54" s="215"/>
      <c r="AB54" s="215"/>
      <c r="AC54" s="217"/>
      <c r="AD54" s="217"/>
      <c r="AE54" s="213"/>
      <c r="AF54" s="215"/>
      <c r="AG54" s="215"/>
      <c r="AH54" s="217"/>
      <c r="AI54" s="217"/>
      <c r="AJ54" s="213"/>
    </row>
    <row r="55" spans="1:36" ht="33.75" customHeight="1">
      <c r="A55" s="213"/>
      <c r="B55" s="214">
        <f ca="1">IFERROR(__xludf.DUMMYFUNCTION("""COMPUTED_VALUE"""),2877030)</f>
        <v>2877030</v>
      </c>
      <c r="C55" s="215" t="str">
        <f ca="1">IFERROR(__xludf.DUMMYFUNCTION("""COMPUTED_VALUE"""),"Beginner")</f>
        <v>Beginner</v>
      </c>
      <c r="D55" s="216" t="str">
        <f ca="1">IFERROR(__xludf.DUMMYFUNCTION("""COMPUTED_VALUE"""),"Becoming an Impactful and Influential Leader")</f>
        <v>Becoming an Impactful and Influential Leader</v>
      </c>
      <c r="E55" s="217"/>
      <c r="F55" s="213"/>
      <c r="G55" s="214"/>
      <c r="H55" s="215"/>
      <c r="I55" s="217"/>
      <c r="J55" s="217"/>
      <c r="K55" s="213"/>
      <c r="L55" s="215"/>
      <c r="M55" s="215"/>
      <c r="N55" s="217"/>
      <c r="O55" s="217"/>
      <c r="P55" s="213"/>
      <c r="Q55" s="215">
        <f ca="1">IFERROR(__xludf.DUMMYFUNCTION("""COMPUTED_VALUE"""),593927)</f>
        <v>593927</v>
      </c>
      <c r="R55" s="215" t="str">
        <f ca="1">IFERROR(__xludf.DUMMYFUNCTION("""COMPUTED_VALUE"""),"Intermediate")</f>
        <v>Intermediate</v>
      </c>
      <c r="S55" s="217" t="str">
        <f ca="1">IFERROR(__xludf.DUMMYFUNCTION("""COMPUTED_VALUE"""),"Projektmanagement: Kommunikation")</f>
        <v>Projektmanagement: Kommunikation</v>
      </c>
      <c r="T55" s="217"/>
      <c r="U55" s="213"/>
      <c r="V55" s="215"/>
      <c r="W55" s="215"/>
      <c r="X55" s="217"/>
      <c r="Y55" s="217"/>
      <c r="Z55" s="213"/>
      <c r="AA55" s="215"/>
      <c r="AB55" s="215"/>
      <c r="AC55" s="217"/>
      <c r="AD55" s="217"/>
      <c r="AE55" s="213"/>
      <c r="AF55" s="215"/>
      <c r="AG55" s="215"/>
      <c r="AH55" s="217"/>
      <c r="AI55" s="217"/>
      <c r="AJ55" s="213"/>
    </row>
    <row r="56" spans="1:36" ht="33.75" customHeight="1">
      <c r="A56" s="213"/>
      <c r="B56" s="214">
        <f ca="1">IFERROR(__xludf.DUMMYFUNCTION("""COMPUTED_VALUE"""),2865036)</f>
        <v>2865036</v>
      </c>
      <c r="C56" s="215" t="str">
        <f ca="1">IFERROR(__xludf.DUMMYFUNCTION("""COMPUTED_VALUE"""),"Beginner")</f>
        <v>Beginner</v>
      </c>
      <c r="D56" s="216" t="str">
        <f ca="1">IFERROR(__xludf.DUMMYFUNCTION("""COMPUTED_VALUE"""),"The Power of Introverts")</f>
        <v>The Power of Introverts</v>
      </c>
      <c r="E56" s="217"/>
      <c r="F56" s="213"/>
      <c r="G56" s="214"/>
      <c r="H56" s="215"/>
      <c r="I56" s="217"/>
      <c r="J56" s="217"/>
      <c r="K56" s="213"/>
      <c r="L56" s="215"/>
      <c r="M56" s="215"/>
      <c r="N56" s="217"/>
      <c r="O56" s="217"/>
      <c r="P56" s="213"/>
      <c r="Q56" s="215">
        <f ca="1">IFERROR(__xludf.DUMMYFUNCTION("""COMPUTED_VALUE"""),782094)</f>
        <v>782094</v>
      </c>
      <c r="R56" s="215" t="str">
        <f ca="1">IFERROR(__xludf.DUMMYFUNCTION("""COMPUTED_VALUE"""),"All levels")</f>
        <v>All levels</v>
      </c>
      <c r="S56" s="217" t="str">
        <f ca="1">IFERROR(__xludf.DUMMYFUNCTION("""COMPUTED_VALUE"""),"Rhetorik: Mit guten Argumenten überzeugen")</f>
        <v>Rhetorik: Mit guten Argumenten überzeugen</v>
      </c>
      <c r="T56" s="217"/>
      <c r="U56" s="213"/>
      <c r="V56" s="215"/>
      <c r="W56" s="215"/>
      <c r="X56" s="217"/>
      <c r="Y56" s="217"/>
      <c r="Z56" s="213"/>
      <c r="AA56" s="215"/>
      <c r="AB56" s="215"/>
      <c r="AC56" s="217"/>
      <c r="AD56" s="217"/>
      <c r="AE56" s="213"/>
      <c r="AF56" s="215"/>
      <c r="AG56" s="215"/>
      <c r="AH56" s="217"/>
      <c r="AI56" s="217"/>
      <c r="AJ56" s="213"/>
    </row>
    <row r="57" spans="1:36" ht="33.75" customHeight="1">
      <c r="A57" s="213"/>
      <c r="B57" s="214">
        <f ca="1">IFERROR(__xludf.DUMMYFUNCTION("""COMPUTED_VALUE"""),2877078)</f>
        <v>2877078</v>
      </c>
      <c r="C57" s="215" t="str">
        <f ca="1">IFERROR(__xludf.DUMMYFUNCTION("""COMPUTED_VALUE"""),"Beginner")</f>
        <v>Beginner</v>
      </c>
      <c r="D57" s="216" t="str">
        <f ca="1">IFERROR(__xludf.DUMMYFUNCTION("""COMPUTED_VALUE"""),"The Upward Spiral of Compassion")</f>
        <v>The Upward Spiral of Compassion</v>
      </c>
      <c r="E57" s="217"/>
      <c r="F57" s="213"/>
      <c r="G57" s="214"/>
      <c r="H57" s="215"/>
      <c r="I57" s="217"/>
      <c r="J57" s="217"/>
      <c r="K57" s="213"/>
      <c r="L57" s="215"/>
      <c r="M57" s="215"/>
      <c r="N57" s="217"/>
      <c r="O57" s="217"/>
      <c r="P57" s="213"/>
      <c r="Q57" s="215">
        <f ca="1">IFERROR(__xludf.DUMMYFUNCTION("""COMPUTED_VALUE"""),782095)</f>
        <v>782095</v>
      </c>
      <c r="R57" s="215" t="str">
        <f ca="1">IFERROR(__xludf.DUMMYFUNCTION("""COMPUTED_VALUE"""),"All levels")</f>
        <v>All levels</v>
      </c>
      <c r="S57" s="217" t="str">
        <f ca="1">IFERROR(__xludf.DUMMYFUNCTION("""COMPUTED_VALUE"""),"Schlagfertigkeit: Nie wieder sprachlos")</f>
        <v>Schlagfertigkeit: Nie wieder sprachlos</v>
      </c>
      <c r="T57" s="217"/>
      <c r="U57" s="213"/>
      <c r="V57" s="215"/>
      <c r="W57" s="215"/>
      <c r="X57" s="217"/>
      <c r="Y57" s="217"/>
      <c r="Z57" s="213"/>
      <c r="AA57" s="215"/>
      <c r="AB57" s="215"/>
      <c r="AC57" s="217"/>
      <c r="AD57" s="217"/>
      <c r="AE57" s="213"/>
      <c r="AF57" s="215"/>
      <c r="AG57" s="215"/>
      <c r="AH57" s="217"/>
      <c r="AI57" s="217"/>
      <c r="AJ57" s="213"/>
    </row>
    <row r="58" spans="1:36" ht="33.75" customHeight="1">
      <c r="A58" s="213"/>
      <c r="B58" s="214">
        <f ca="1">IFERROR(__xludf.DUMMYFUNCTION("""COMPUTED_VALUE"""),2877077)</f>
        <v>2877077</v>
      </c>
      <c r="C58" s="215" t="str">
        <f ca="1">IFERROR(__xludf.DUMMYFUNCTION("""COMPUTED_VALUE"""),"Beginner")</f>
        <v>Beginner</v>
      </c>
      <c r="D58" s="216" t="str">
        <f ca="1">IFERROR(__xludf.DUMMYFUNCTION("""COMPUTED_VALUE"""),"The Science of Compassion: An Introduction")</f>
        <v>The Science of Compassion: An Introduction</v>
      </c>
      <c r="E58" s="217"/>
      <c r="F58" s="213"/>
      <c r="G58" s="214"/>
      <c r="H58" s="215"/>
      <c r="I58" s="217"/>
      <c r="J58" s="217"/>
      <c r="K58" s="213"/>
      <c r="L58" s="215"/>
      <c r="M58" s="215"/>
      <c r="N58" s="217"/>
      <c r="O58" s="217"/>
      <c r="P58" s="213"/>
      <c r="Q58" s="215">
        <f ca="1">IFERROR(__xludf.DUMMYFUNCTION("""COMPUTED_VALUE"""),2822415)</f>
        <v>2822415</v>
      </c>
      <c r="R58" s="215" t="str">
        <f ca="1">IFERROR(__xludf.DUMMYFUNCTION("""COMPUTED_VALUE"""),"All levels")</f>
        <v>All levels</v>
      </c>
      <c r="S58" s="217" t="str">
        <f ca="1">IFERROR(__xludf.DUMMYFUNCTION("""COMPUTED_VALUE"""),"Schwierige Sachverhalte einfach vermitteln")</f>
        <v>Schwierige Sachverhalte einfach vermitteln</v>
      </c>
      <c r="T58" s="217"/>
      <c r="U58" s="213"/>
      <c r="V58" s="215"/>
      <c r="W58" s="215"/>
      <c r="X58" s="217"/>
      <c r="Y58" s="217"/>
      <c r="Z58" s="213"/>
      <c r="AA58" s="215"/>
      <c r="AB58" s="215"/>
      <c r="AC58" s="217"/>
      <c r="AD58" s="217"/>
      <c r="AE58" s="213"/>
      <c r="AF58" s="215"/>
      <c r="AG58" s="215"/>
      <c r="AH58" s="217"/>
      <c r="AI58" s="217"/>
      <c r="AJ58" s="213"/>
    </row>
    <row r="59" spans="1:36" ht="33.75" customHeight="1">
      <c r="A59" s="213"/>
      <c r="B59" s="214">
        <f ca="1">IFERROR(__xludf.DUMMYFUNCTION("""COMPUTED_VALUE"""),2974329)</f>
        <v>2974329</v>
      </c>
      <c r="C59" s="215" t="str">
        <f ca="1">IFERROR(__xludf.DUMMYFUNCTION("""COMPUTED_VALUE"""),"Beginner")</f>
        <v>Beginner</v>
      </c>
      <c r="D59" s="216" t="str">
        <f ca="1">IFERROR(__xludf.DUMMYFUNCTION("""COMPUTED_VALUE"""),"Inspirational Leadership Skills: Practical Motivational Leadership")</f>
        <v>Inspirational Leadership Skills: Practical Motivational Leadership</v>
      </c>
      <c r="E59" s="217"/>
      <c r="F59" s="213"/>
      <c r="G59" s="214"/>
      <c r="H59" s="215"/>
      <c r="I59" s="217"/>
      <c r="J59" s="217"/>
      <c r="K59" s="213"/>
      <c r="L59" s="215"/>
      <c r="M59" s="215"/>
      <c r="N59" s="217"/>
      <c r="O59" s="217"/>
      <c r="P59" s="213"/>
      <c r="Q59" s="215">
        <f ca="1">IFERROR(__xludf.DUMMYFUNCTION("""COMPUTED_VALUE"""),2437219)</f>
        <v>2437219</v>
      </c>
      <c r="R59" s="215" t="str">
        <f ca="1">IFERROR(__xludf.DUMMYFUNCTION("""COMPUTED_VALUE"""),"All levels")</f>
        <v>All levels</v>
      </c>
      <c r="S59" s="217" t="str">
        <f ca="1">IFERROR(__xludf.DUMMYFUNCTION("""COMPUTED_VALUE"""),"Souverän auftreten und überzeugend kommunizieren")</f>
        <v>Souverän auftreten und überzeugend kommunizieren</v>
      </c>
      <c r="T59" s="217"/>
      <c r="U59" s="213"/>
      <c r="V59" s="215"/>
      <c r="W59" s="215"/>
      <c r="X59" s="217"/>
      <c r="Y59" s="217"/>
      <c r="Z59" s="213"/>
      <c r="AA59" s="215"/>
      <c r="AB59" s="215"/>
      <c r="AC59" s="217"/>
      <c r="AD59" s="217"/>
      <c r="AE59" s="213"/>
      <c r="AF59" s="215"/>
      <c r="AG59" s="215"/>
      <c r="AH59" s="217"/>
      <c r="AI59" s="217"/>
      <c r="AJ59" s="213"/>
    </row>
    <row r="60" spans="1:36" ht="33.75" customHeight="1">
      <c r="A60" s="213"/>
      <c r="B60" s="214">
        <f ca="1">IFERROR(__xludf.DUMMYFUNCTION("""COMPUTED_VALUE"""),2834039)</f>
        <v>2834039</v>
      </c>
      <c r="C60" s="215" t="str">
        <f ca="1">IFERROR(__xludf.DUMMYFUNCTION("""COMPUTED_VALUE"""),"Beginner")</f>
        <v>Beginner</v>
      </c>
      <c r="D60" s="216" t="str">
        <f ca="1">IFERROR(__xludf.DUMMYFUNCTION("""COMPUTED_VALUE"""),"Communication within Teams")</f>
        <v>Communication within Teams</v>
      </c>
      <c r="E60" s="217"/>
      <c r="F60" s="213"/>
      <c r="G60" s="214"/>
      <c r="H60" s="215"/>
      <c r="I60" s="217"/>
      <c r="J60" s="217"/>
      <c r="K60" s="213"/>
      <c r="L60" s="215"/>
      <c r="M60" s="215"/>
      <c r="N60" s="217"/>
      <c r="O60" s="217"/>
      <c r="P60" s="213"/>
      <c r="Q60" s="215">
        <f ca="1">IFERROR(__xludf.DUMMYFUNCTION("""COMPUTED_VALUE"""),676841)</f>
        <v>676841</v>
      </c>
      <c r="R60" s="215" t="str">
        <f ca="1">IFERROR(__xludf.DUMMYFUNCTION("""COMPUTED_VALUE"""),"All levels")</f>
        <v>All levels</v>
      </c>
      <c r="S60" s="217" t="str">
        <f ca="1">IFERROR(__xludf.DUMMYFUNCTION("""COMPUTED_VALUE"""),"Storytelling für Führungskräfte")</f>
        <v>Storytelling für Führungskräfte</v>
      </c>
      <c r="T60" s="217"/>
      <c r="U60" s="213"/>
      <c r="V60" s="215"/>
      <c r="W60" s="215"/>
      <c r="X60" s="217"/>
      <c r="Y60" s="217"/>
      <c r="Z60" s="213"/>
      <c r="AA60" s="215"/>
      <c r="AB60" s="215"/>
      <c r="AC60" s="217"/>
      <c r="AD60" s="217"/>
      <c r="AE60" s="213"/>
      <c r="AF60" s="215"/>
      <c r="AG60" s="215"/>
      <c r="AH60" s="217"/>
      <c r="AI60" s="217"/>
      <c r="AJ60" s="213"/>
    </row>
    <row r="61" spans="1:36" ht="33.75" customHeight="1">
      <c r="A61" s="213"/>
      <c r="B61" s="214">
        <f ca="1">IFERROR(__xludf.DUMMYFUNCTION("""COMPUTED_VALUE"""),2877282)</f>
        <v>2877282</v>
      </c>
      <c r="C61" s="215" t="str">
        <f ca="1">IFERROR(__xludf.DUMMYFUNCTION("""COMPUTED_VALUE"""),"Beginner")</f>
        <v>Beginner</v>
      </c>
      <c r="D61" s="216" t="str">
        <f ca="1">IFERROR(__xludf.DUMMYFUNCTION("""COMPUTED_VALUE"""),"Constructive Candor: Important Conversations with Coworkers, Family, and Friends")</f>
        <v>Constructive Candor: Important Conversations with Coworkers, Family, and Friends</v>
      </c>
      <c r="E61" s="217"/>
      <c r="F61" s="213"/>
      <c r="G61" s="214"/>
      <c r="H61" s="215"/>
      <c r="I61" s="217"/>
      <c r="J61" s="217"/>
      <c r="K61" s="213"/>
      <c r="L61" s="215"/>
      <c r="M61" s="215"/>
      <c r="N61" s="217"/>
      <c r="O61" s="217"/>
      <c r="P61" s="213"/>
      <c r="Q61" s="215">
        <f ca="1">IFERROR(__xludf.DUMMYFUNCTION("""COMPUTED_VALUE"""),529916)</f>
        <v>529916</v>
      </c>
      <c r="R61" s="215" t="str">
        <f ca="1">IFERROR(__xludf.DUMMYFUNCTION("""COMPUTED_VALUE"""),"All levels")</f>
        <v>All levels</v>
      </c>
      <c r="S61" s="217" t="str">
        <f ca="1">IFERROR(__xludf.DUMMYFUNCTION("""COMPUTED_VALUE"""),"Storytelling für Marketing und PR")</f>
        <v>Storytelling für Marketing und PR</v>
      </c>
      <c r="T61" s="217"/>
      <c r="U61" s="213"/>
      <c r="V61" s="215"/>
      <c r="W61" s="215"/>
      <c r="X61" s="217"/>
      <c r="Y61" s="217"/>
      <c r="Z61" s="213"/>
      <c r="AA61" s="215"/>
      <c r="AB61" s="215"/>
      <c r="AC61" s="217"/>
      <c r="AD61" s="217"/>
      <c r="AE61" s="213"/>
      <c r="AF61" s="215"/>
      <c r="AG61" s="215"/>
      <c r="AH61" s="217"/>
      <c r="AI61" s="217"/>
      <c r="AJ61" s="213"/>
    </row>
    <row r="62" spans="1:36" ht="33.75" customHeight="1">
      <c r="A62" s="213"/>
      <c r="B62" s="214">
        <f ca="1">IFERROR(__xludf.DUMMYFUNCTION("""COMPUTED_VALUE"""),2882168)</f>
        <v>2882168</v>
      </c>
      <c r="C62" s="215" t="str">
        <f ca="1">IFERROR(__xludf.DUMMYFUNCTION("""COMPUTED_VALUE"""),"Beginner")</f>
        <v>Beginner</v>
      </c>
      <c r="D62" s="216" t="str">
        <f ca="1">IFERROR(__xludf.DUMMYFUNCTION("""COMPUTED_VALUE"""),"How to Win Arguments")</f>
        <v>How to Win Arguments</v>
      </c>
      <c r="E62" s="217"/>
      <c r="F62" s="213"/>
      <c r="G62" s="214"/>
      <c r="H62" s="215"/>
      <c r="I62" s="217"/>
      <c r="J62" s="217"/>
      <c r="K62" s="213"/>
      <c r="L62" s="215"/>
      <c r="M62" s="215"/>
      <c r="N62" s="217"/>
      <c r="O62" s="217"/>
      <c r="P62" s="213"/>
      <c r="Q62" s="215">
        <f ca="1">IFERROR(__xludf.DUMMYFUNCTION("""COMPUTED_VALUE"""),674652)</f>
        <v>674652</v>
      </c>
      <c r="R62" s="215" t="str">
        <f ca="1">IFERROR(__xludf.DUMMYFUNCTION("""COMPUTED_VALUE"""),"All levels")</f>
        <v>All levels</v>
      </c>
      <c r="S62" s="217" t="str">
        <f ca="1">IFERROR(__xludf.DUMMYFUNCTION("""COMPUTED_VALUE"""),"Strategisch verhandeln")</f>
        <v>Strategisch verhandeln</v>
      </c>
      <c r="T62" s="217"/>
      <c r="U62" s="213"/>
      <c r="V62" s="215"/>
      <c r="W62" s="215"/>
      <c r="X62" s="217"/>
      <c r="Y62" s="217"/>
      <c r="Z62" s="213"/>
      <c r="AA62" s="215"/>
      <c r="AB62" s="215"/>
      <c r="AC62" s="217"/>
      <c r="AD62" s="217"/>
      <c r="AE62" s="213"/>
      <c r="AF62" s="215"/>
      <c r="AG62" s="215"/>
      <c r="AH62" s="217"/>
      <c r="AI62" s="217"/>
      <c r="AJ62" s="213"/>
    </row>
    <row r="63" spans="1:36" ht="33.75" customHeight="1">
      <c r="A63" s="213"/>
      <c r="B63" s="214">
        <f ca="1">IFERROR(__xludf.DUMMYFUNCTION("""COMPUTED_VALUE"""),2823588)</f>
        <v>2823588</v>
      </c>
      <c r="C63" s="215" t="str">
        <f ca="1">IFERROR(__xludf.DUMMYFUNCTION("""COMPUTED_VALUE"""),"Beginner")</f>
        <v>Beginner</v>
      </c>
      <c r="D63" s="216" t="str">
        <f ca="1">IFERROR(__xludf.DUMMYFUNCTION("""COMPUTED_VALUE"""),"Media Relations Foundations")</f>
        <v>Media Relations Foundations</v>
      </c>
      <c r="E63" s="217"/>
      <c r="F63" s="213"/>
      <c r="G63" s="214"/>
      <c r="H63" s="215"/>
      <c r="I63" s="217"/>
      <c r="J63" s="217"/>
      <c r="K63" s="213"/>
      <c r="L63" s="215"/>
      <c r="M63" s="215"/>
      <c r="N63" s="217"/>
      <c r="O63" s="217"/>
      <c r="P63" s="213"/>
      <c r="Q63" s="215">
        <f ca="1">IFERROR(__xludf.DUMMYFUNCTION("""COMPUTED_VALUE"""),195157)</f>
        <v>195157</v>
      </c>
      <c r="R63" s="215" t="str">
        <f ca="1">IFERROR(__xludf.DUMMYFUNCTION("""COMPUTED_VALUE"""),"All levels")</f>
        <v>All levels</v>
      </c>
      <c r="S63" s="217" t="str">
        <f ca="1">IFERROR(__xludf.DUMMYFUNCTION("""COMPUTED_VALUE"""),"Treffende Texte")</f>
        <v>Treffende Texte</v>
      </c>
      <c r="T63" s="217"/>
      <c r="U63" s="213"/>
      <c r="V63" s="215"/>
      <c r="W63" s="215"/>
      <c r="X63" s="217"/>
      <c r="Y63" s="217"/>
      <c r="Z63" s="213"/>
      <c r="AA63" s="215"/>
      <c r="AB63" s="215"/>
      <c r="AC63" s="217"/>
      <c r="AD63" s="217"/>
      <c r="AE63" s="213"/>
      <c r="AF63" s="215"/>
      <c r="AG63" s="215"/>
      <c r="AH63" s="217"/>
      <c r="AI63" s="217"/>
      <c r="AJ63" s="213"/>
    </row>
    <row r="64" spans="1:36" ht="33.75" customHeight="1">
      <c r="A64" s="213"/>
      <c r="B64" s="214">
        <f ca="1">IFERROR(__xludf.DUMMYFUNCTION("""COMPUTED_VALUE"""),2881187)</f>
        <v>2881187</v>
      </c>
      <c r="C64" s="215" t="str">
        <f ca="1">IFERROR(__xludf.DUMMYFUNCTION("""COMPUTED_VALUE"""),"Beginner")</f>
        <v>Beginner</v>
      </c>
      <c r="D64" s="216" t="str">
        <f ca="1">IFERROR(__xludf.DUMMYFUNCTION("""COMPUTED_VALUE"""),"Practical Influencing Techniques")</f>
        <v>Practical Influencing Techniques</v>
      </c>
      <c r="E64" s="217"/>
      <c r="F64" s="213"/>
      <c r="G64" s="214"/>
      <c r="H64" s="215"/>
      <c r="I64" s="217"/>
      <c r="J64" s="217"/>
      <c r="K64" s="213"/>
      <c r="L64" s="215"/>
      <c r="M64" s="215"/>
      <c r="N64" s="217"/>
      <c r="O64" s="217"/>
      <c r="P64" s="213"/>
      <c r="Q64" s="215">
        <f ca="1">IFERROR(__xludf.DUMMYFUNCTION("""COMPUTED_VALUE"""),559544)</f>
        <v>559544</v>
      </c>
      <c r="R64" s="215" t="str">
        <f ca="1">IFERROR(__xludf.DUMMYFUNCTION("""COMPUTED_VALUE"""),"All levels")</f>
        <v>All levels</v>
      </c>
      <c r="S64" s="217" t="str">
        <f ca="1">IFERROR(__xludf.DUMMYFUNCTION("""COMPUTED_VALUE"""),"Überzeugend auftreten: Selbstbewusstsein, Selbstvertrauen, Selbstsicherheit")</f>
        <v>Überzeugend auftreten: Selbstbewusstsein, Selbstvertrauen, Selbstsicherheit</v>
      </c>
      <c r="T64" s="217"/>
      <c r="U64" s="213"/>
      <c r="V64" s="215"/>
      <c r="W64" s="215"/>
      <c r="X64" s="217"/>
      <c r="Y64" s="217"/>
      <c r="Z64" s="213"/>
      <c r="AA64" s="215"/>
      <c r="AB64" s="215"/>
      <c r="AC64" s="217"/>
      <c r="AD64" s="217"/>
      <c r="AE64" s="213"/>
      <c r="AF64" s="215"/>
      <c r="AG64" s="215"/>
      <c r="AH64" s="217"/>
      <c r="AI64" s="217"/>
      <c r="AJ64" s="213"/>
    </row>
    <row r="65" spans="1:36" ht="33.75" customHeight="1">
      <c r="A65" s="213"/>
      <c r="B65" s="214">
        <f ca="1">IFERROR(__xludf.DUMMYFUNCTION("""COMPUTED_VALUE"""),2885185)</f>
        <v>2885185</v>
      </c>
      <c r="C65" s="215" t="str">
        <f ca="1">IFERROR(__xludf.DUMMYFUNCTION("""COMPUTED_VALUE"""),"Beginner")</f>
        <v>Beginner</v>
      </c>
      <c r="D65" s="216" t="str">
        <f ca="1">IFERROR(__xludf.DUMMYFUNCTION("""COMPUTED_VALUE"""),"Becoming Assertive: Advocate for Your Interests")</f>
        <v>Becoming Assertive: Advocate for Your Interests</v>
      </c>
      <c r="E65" s="217"/>
      <c r="F65" s="213"/>
      <c r="G65" s="214"/>
      <c r="H65" s="215"/>
      <c r="I65" s="217"/>
      <c r="J65" s="217"/>
      <c r="K65" s="213"/>
      <c r="L65" s="215"/>
      <c r="M65" s="215"/>
      <c r="N65" s="217"/>
      <c r="O65" s="217"/>
      <c r="P65" s="213"/>
      <c r="Q65" s="215">
        <f ca="1">IFERROR(__xludf.DUMMYFUNCTION("""COMPUTED_VALUE"""),584354)</f>
        <v>584354</v>
      </c>
      <c r="R65" s="215" t="str">
        <f ca="1">IFERROR(__xludf.DUMMYFUNCTION("""COMPUTED_VALUE"""),"Beginner, Intermediate")</f>
        <v>Beginner, Intermediate</v>
      </c>
      <c r="S65" s="217" t="str">
        <f ca="1">IFERROR(__xludf.DUMMYFUNCTION("""COMPUTED_VALUE"""),"Visual Storytelling für Marketing und PR")</f>
        <v>Visual Storytelling für Marketing und PR</v>
      </c>
      <c r="T65" s="217"/>
      <c r="U65" s="213"/>
      <c r="V65" s="215"/>
      <c r="W65" s="215"/>
      <c r="X65" s="217"/>
      <c r="Y65" s="217"/>
      <c r="Z65" s="213"/>
      <c r="AA65" s="215"/>
      <c r="AB65" s="215"/>
      <c r="AC65" s="217"/>
      <c r="AD65" s="217"/>
      <c r="AE65" s="213"/>
      <c r="AF65" s="215"/>
      <c r="AG65" s="215"/>
      <c r="AH65" s="217"/>
      <c r="AI65" s="217"/>
      <c r="AJ65" s="213"/>
    </row>
    <row r="66" spans="1:36" ht="33.75" customHeight="1">
      <c r="A66" s="213"/>
      <c r="B66" s="214">
        <f ca="1">IFERROR(__xludf.DUMMYFUNCTION("""COMPUTED_VALUE"""),2886207)</f>
        <v>2886207</v>
      </c>
      <c r="C66" s="215" t="str">
        <f ca="1">IFERROR(__xludf.DUMMYFUNCTION("""COMPUTED_VALUE"""),"Beginner")</f>
        <v>Beginner</v>
      </c>
      <c r="D66" s="216" t="str">
        <f ca="1">IFERROR(__xludf.DUMMYFUNCTION("""COMPUTED_VALUE"""),"Centered Communication: Get Better Results from Your Conversations")</f>
        <v>Centered Communication: Get Better Results from Your Conversations</v>
      </c>
      <c r="E66" s="217"/>
      <c r="F66" s="213"/>
      <c r="G66" s="214"/>
      <c r="H66" s="215"/>
      <c r="I66" s="217"/>
      <c r="J66" s="217"/>
      <c r="K66" s="213"/>
      <c r="L66" s="215"/>
      <c r="M66" s="215"/>
      <c r="N66" s="217"/>
      <c r="O66" s="217"/>
      <c r="P66" s="213"/>
      <c r="Q66" s="215">
        <f ca="1">IFERROR(__xludf.DUMMYFUNCTION("""COMPUTED_VALUE"""),2434087)</f>
        <v>2434087</v>
      </c>
      <c r="R66" s="215" t="str">
        <f ca="1">IFERROR(__xludf.DUMMYFUNCTION("""COMPUTED_VALUE"""),"Beginner")</f>
        <v>Beginner</v>
      </c>
      <c r="S66" s="217" t="str">
        <f ca="1">IFERROR(__xludf.DUMMYFUNCTION("""COMPUTED_VALUE"""),"Wertschätzende Kommunikation – Trotz Unterschieden erfolgreich kommunizieren")</f>
        <v>Wertschätzende Kommunikation – Trotz Unterschieden erfolgreich kommunizieren</v>
      </c>
      <c r="T66" s="217"/>
      <c r="U66" s="213"/>
      <c r="V66" s="215"/>
      <c r="W66" s="215"/>
      <c r="X66" s="217"/>
      <c r="Y66" s="217"/>
      <c r="Z66" s="213"/>
      <c r="AA66" s="215"/>
      <c r="AB66" s="215"/>
      <c r="AC66" s="217"/>
      <c r="AD66" s="217"/>
      <c r="AE66" s="213"/>
      <c r="AF66" s="215"/>
      <c r="AG66" s="215"/>
      <c r="AH66" s="217"/>
      <c r="AI66" s="217"/>
      <c r="AJ66" s="213"/>
    </row>
    <row r="67" spans="1:36" ht="33.75" customHeight="1">
      <c r="A67" s="213"/>
      <c r="B67" s="214">
        <f ca="1">IFERROR(__xludf.DUMMYFUNCTION("""COMPUTED_VALUE"""),2881291)</f>
        <v>2881291</v>
      </c>
      <c r="C67" s="215" t="str">
        <f ca="1">IFERROR(__xludf.DUMMYFUNCTION("""COMPUTED_VALUE"""),"Beginner")</f>
        <v>Beginner</v>
      </c>
      <c r="D67" s="216" t="str">
        <f ca="1">IFERROR(__xludf.DUMMYFUNCTION("""COMPUTED_VALUE"""),"Three Tips for Managing Egos and Difficult Emotions")</f>
        <v>Three Tips for Managing Egos and Difficult Emotions</v>
      </c>
      <c r="E67" s="217"/>
      <c r="F67" s="213"/>
      <c r="G67" s="214"/>
      <c r="H67" s="215"/>
      <c r="I67" s="217"/>
      <c r="J67" s="217"/>
      <c r="K67" s="213"/>
      <c r="L67" s="215"/>
      <c r="M67" s="215"/>
      <c r="N67" s="217"/>
      <c r="O67" s="217"/>
      <c r="P67" s="213"/>
      <c r="Q67" s="215">
        <f ca="1">IFERROR(__xludf.DUMMYFUNCTION("""COMPUTED_VALUE"""),593896)</f>
        <v>593896</v>
      </c>
      <c r="R67" s="215" t="str">
        <f ca="1">IFERROR(__xludf.DUMMYFUNCTION("""COMPUTED_VALUE"""),"Intermediate")</f>
        <v>Intermediate</v>
      </c>
      <c r="S67" s="217" t="str">
        <f ca="1">IFERROR(__xludf.DUMMYFUNCTION("""COMPUTED_VALUE"""),"Zielvereinbarungsgespräche führen")</f>
        <v>Zielvereinbarungsgespräche führen</v>
      </c>
      <c r="T67" s="217"/>
      <c r="U67" s="213"/>
      <c r="V67" s="215"/>
      <c r="W67" s="215"/>
      <c r="X67" s="217"/>
      <c r="Y67" s="217"/>
      <c r="Z67" s="213"/>
      <c r="AA67" s="215"/>
      <c r="AB67" s="215"/>
      <c r="AC67" s="217"/>
      <c r="AD67" s="217"/>
      <c r="AE67" s="213"/>
      <c r="AF67" s="215"/>
      <c r="AG67" s="215"/>
      <c r="AH67" s="217"/>
      <c r="AI67" s="217"/>
      <c r="AJ67" s="213"/>
    </row>
    <row r="68" spans="1:36" ht="33.75" customHeight="1">
      <c r="A68" s="213"/>
      <c r="B68" s="214">
        <f ca="1">IFERROR(__xludf.DUMMYFUNCTION("""COMPUTED_VALUE"""),2887335)</f>
        <v>2887335</v>
      </c>
      <c r="C68" s="215" t="str">
        <f ca="1">IFERROR(__xludf.DUMMYFUNCTION("""COMPUTED_VALUE"""),"Beginner")</f>
        <v>Beginner</v>
      </c>
      <c r="D68" s="216" t="str">
        <f ca="1">IFERROR(__xludf.DUMMYFUNCTION("""COMPUTED_VALUE"""),"How to Be Both Assertive and Likable")</f>
        <v>How to Be Both Assertive and Likable</v>
      </c>
      <c r="E68" s="217"/>
      <c r="F68" s="213"/>
      <c r="G68" s="214"/>
      <c r="H68" s="215"/>
      <c r="I68" s="217"/>
      <c r="J68" s="217"/>
      <c r="K68" s="213"/>
      <c r="L68" s="215"/>
      <c r="M68" s="215"/>
      <c r="N68" s="217"/>
      <c r="O68" s="217"/>
      <c r="P68" s="213"/>
      <c r="Q68" s="215"/>
      <c r="R68" s="215"/>
      <c r="S68" s="217"/>
      <c r="T68" s="217"/>
      <c r="U68" s="213"/>
      <c r="V68" s="215"/>
      <c r="W68" s="215"/>
      <c r="X68" s="217"/>
      <c r="Y68" s="217"/>
      <c r="Z68" s="213"/>
      <c r="AA68" s="215"/>
      <c r="AB68" s="215"/>
      <c r="AC68" s="217"/>
      <c r="AD68" s="217"/>
      <c r="AE68" s="213"/>
      <c r="AF68" s="215"/>
      <c r="AG68" s="215"/>
      <c r="AH68" s="217"/>
      <c r="AI68" s="217"/>
      <c r="AJ68" s="213"/>
    </row>
    <row r="69" spans="1:36" ht="33.75" customHeight="1">
      <c r="A69" s="213"/>
      <c r="B69" s="214">
        <f ca="1">IFERROR(__xludf.DUMMYFUNCTION("""COMPUTED_VALUE"""),2423654)</f>
        <v>2423654</v>
      </c>
      <c r="C69" s="215" t="str">
        <f ca="1">IFERROR(__xludf.DUMMYFUNCTION("""COMPUTED_VALUE"""),"Beginner")</f>
        <v>Beginner</v>
      </c>
      <c r="D69" s="216" t="str">
        <f ca="1">IFERROR(__xludf.DUMMYFUNCTION("""COMPUTED_VALUE"""),"Influence Without Authority (getAbstract Summary)")</f>
        <v>Influence Without Authority (getAbstract Summary)</v>
      </c>
      <c r="E69" s="217"/>
      <c r="F69" s="213"/>
      <c r="G69" s="214"/>
      <c r="H69" s="215"/>
      <c r="I69" s="217"/>
      <c r="J69" s="217"/>
      <c r="K69" s="213"/>
      <c r="L69" s="215"/>
      <c r="M69" s="215"/>
      <c r="N69" s="217"/>
      <c r="O69" s="217"/>
      <c r="P69" s="213"/>
      <c r="Q69" s="215"/>
      <c r="R69" s="215"/>
      <c r="S69" s="217"/>
      <c r="T69" s="217"/>
      <c r="U69" s="213"/>
      <c r="V69" s="215"/>
      <c r="W69" s="215"/>
      <c r="X69" s="217"/>
      <c r="Y69" s="217"/>
      <c r="Z69" s="213"/>
      <c r="AA69" s="215"/>
      <c r="AB69" s="215"/>
      <c r="AC69" s="217"/>
      <c r="AD69" s="217"/>
      <c r="AE69" s="213"/>
      <c r="AF69" s="215"/>
      <c r="AG69" s="215"/>
      <c r="AH69" s="217"/>
      <c r="AI69" s="217"/>
      <c r="AJ69" s="213"/>
    </row>
    <row r="70" spans="1:36" ht="33.75" customHeight="1">
      <c r="A70" s="213"/>
      <c r="B70" s="214">
        <f ca="1">IFERROR(__xludf.DUMMYFUNCTION("""COMPUTED_VALUE"""),2426603)</f>
        <v>2426603</v>
      </c>
      <c r="C70" s="215" t="str">
        <f ca="1">IFERROR(__xludf.DUMMYFUNCTION("""COMPUTED_VALUE"""),"Beginner")</f>
        <v>Beginner</v>
      </c>
      <c r="D70" s="216" t="str">
        <f ca="1">IFERROR(__xludf.DUMMYFUNCTION("""COMPUTED_VALUE"""),"Articulating Your Value")</f>
        <v>Articulating Your Value</v>
      </c>
      <c r="E70" s="217"/>
      <c r="F70" s="213"/>
      <c r="G70" s="214"/>
      <c r="H70" s="215"/>
      <c r="I70" s="217"/>
      <c r="J70" s="217"/>
      <c r="K70" s="213"/>
      <c r="L70" s="215"/>
      <c r="M70" s="215"/>
      <c r="N70" s="217"/>
      <c r="O70" s="217"/>
      <c r="P70" s="213"/>
      <c r="Q70" s="215"/>
      <c r="R70" s="215"/>
      <c r="S70" s="217"/>
      <c r="T70" s="217"/>
      <c r="U70" s="213"/>
      <c r="V70" s="215"/>
      <c r="W70" s="215"/>
      <c r="X70" s="217"/>
      <c r="Y70" s="217"/>
      <c r="Z70" s="213"/>
      <c r="AA70" s="215"/>
      <c r="AB70" s="215"/>
      <c r="AC70" s="217"/>
      <c r="AD70" s="217"/>
      <c r="AE70" s="213"/>
      <c r="AF70" s="215"/>
      <c r="AG70" s="215"/>
      <c r="AH70" s="217"/>
      <c r="AI70" s="217"/>
      <c r="AJ70" s="213"/>
    </row>
    <row r="71" spans="1:36" ht="33.75" customHeight="1">
      <c r="A71" s="213"/>
      <c r="B71" s="214">
        <f ca="1">IFERROR(__xludf.DUMMYFUNCTION("""COMPUTED_VALUE"""),3006797)</f>
        <v>3006797</v>
      </c>
      <c r="C71" s="215" t="str">
        <f ca="1">IFERROR(__xludf.DUMMYFUNCTION("""COMPUTED_VALUE"""),"Beginner")</f>
        <v>Beginner</v>
      </c>
      <c r="D71" s="216" t="str">
        <f ca="1">IFERROR(__xludf.DUMMYFUNCTION("""COMPUTED_VALUE"""),"How to Persuade When Facts Don't Seem to Matter")</f>
        <v>How to Persuade When Facts Don't Seem to Matter</v>
      </c>
      <c r="E71" s="217"/>
      <c r="F71" s="213"/>
      <c r="G71" s="214"/>
      <c r="H71" s="215"/>
      <c r="I71" s="217"/>
      <c r="J71" s="217"/>
      <c r="K71" s="213"/>
      <c r="L71" s="215"/>
      <c r="M71" s="215"/>
      <c r="N71" s="217"/>
      <c r="O71" s="217"/>
      <c r="P71" s="213"/>
      <c r="Q71" s="215"/>
      <c r="R71" s="215"/>
      <c r="S71" s="217"/>
      <c r="T71" s="217"/>
      <c r="U71" s="213"/>
      <c r="V71" s="215"/>
      <c r="W71" s="215"/>
      <c r="X71" s="217"/>
      <c r="Y71" s="217"/>
      <c r="Z71" s="213"/>
      <c r="AA71" s="215"/>
      <c r="AB71" s="215"/>
      <c r="AC71" s="217"/>
      <c r="AD71" s="217"/>
      <c r="AE71" s="213"/>
      <c r="AF71" s="215"/>
      <c r="AG71" s="215"/>
      <c r="AH71" s="217"/>
      <c r="AI71" s="217"/>
      <c r="AJ71" s="213"/>
    </row>
    <row r="72" spans="1:36" ht="33.75" customHeight="1">
      <c r="A72" s="213"/>
      <c r="B72" s="214">
        <f ca="1">IFERROR(__xludf.DUMMYFUNCTION("""COMPUTED_VALUE"""),3010188)</f>
        <v>3010188</v>
      </c>
      <c r="C72" s="215" t="str">
        <f ca="1">IFERROR(__xludf.DUMMYFUNCTION("""COMPUTED_VALUE"""),"Beginner")</f>
        <v>Beginner</v>
      </c>
      <c r="D72" s="216" t="str">
        <f ca="1">IFERROR(__xludf.DUMMYFUNCTION("""COMPUTED_VALUE"""),"How to Listen and How to Be Heard (getAbstract Summary)")</f>
        <v>How to Listen and How to Be Heard (getAbstract Summary)</v>
      </c>
      <c r="E72" s="217"/>
      <c r="F72" s="213"/>
      <c r="G72" s="214"/>
      <c r="H72" s="215"/>
      <c r="I72" s="217"/>
      <c r="J72" s="217"/>
      <c r="K72" s="213"/>
      <c r="L72" s="215"/>
      <c r="M72" s="215"/>
      <c r="N72" s="217"/>
      <c r="O72" s="217"/>
      <c r="P72" s="213"/>
      <c r="Q72" s="215"/>
      <c r="R72" s="215"/>
      <c r="S72" s="217"/>
      <c r="T72" s="217"/>
      <c r="U72" s="213"/>
      <c r="V72" s="215"/>
      <c r="W72" s="215"/>
      <c r="X72" s="217"/>
      <c r="Y72" s="217"/>
      <c r="Z72" s="213"/>
      <c r="AA72" s="215"/>
      <c r="AB72" s="215"/>
      <c r="AC72" s="217"/>
      <c r="AD72" s="217"/>
      <c r="AE72" s="213"/>
      <c r="AF72" s="215"/>
      <c r="AG72" s="215"/>
      <c r="AH72" s="217"/>
      <c r="AI72" s="217"/>
      <c r="AJ72" s="213"/>
    </row>
    <row r="73" spans="1:36" ht="33.75" customHeight="1">
      <c r="A73" s="213"/>
      <c r="B73" s="214">
        <f ca="1">IFERROR(__xludf.DUMMYFUNCTION("""COMPUTED_VALUE"""),3011746)</f>
        <v>3011746</v>
      </c>
      <c r="C73" s="215" t="str">
        <f ca="1">IFERROR(__xludf.DUMMYFUNCTION("""COMPUTED_VALUE"""),"Beginner")</f>
        <v>Beginner</v>
      </c>
      <c r="D73" s="216" t="str">
        <f ca="1">IFERROR(__xludf.DUMMYFUNCTION("""COMPUTED_VALUE"""),"How to Speak So People Want to Listen")</f>
        <v>How to Speak So People Want to Listen</v>
      </c>
      <c r="E73" s="217"/>
      <c r="F73" s="213"/>
      <c r="G73" s="214"/>
      <c r="H73" s="215"/>
      <c r="I73" s="217"/>
      <c r="J73" s="217"/>
      <c r="K73" s="213"/>
      <c r="L73" s="215"/>
      <c r="M73" s="215"/>
      <c r="N73" s="217"/>
      <c r="O73" s="217"/>
      <c r="P73" s="213"/>
      <c r="Q73" s="215"/>
      <c r="R73" s="215"/>
      <c r="S73" s="217"/>
      <c r="T73" s="217"/>
      <c r="U73" s="213"/>
      <c r="V73" s="215"/>
      <c r="W73" s="215"/>
      <c r="X73" s="217"/>
      <c r="Y73" s="217"/>
      <c r="Z73" s="213"/>
      <c r="AA73" s="215"/>
      <c r="AB73" s="215"/>
      <c r="AC73" s="217"/>
      <c r="AD73" s="217"/>
      <c r="AE73" s="213"/>
      <c r="AF73" s="215"/>
      <c r="AG73" s="215"/>
      <c r="AH73" s="217"/>
      <c r="AI73" s="217"/>
      <c r="AJ73" s="213"/>
    </row>
    <row r="74" spans="1:36" ht="33.75" customHeight="1">
      <c r="A74" s="213"/>
      <c r="B74" s="214">
        <f ca="1">IFERROR(__xludf.DUMMYFUNCTION("""COMPUTED_VALUE"""),3013334)</f>
        <v>3013334</v>
      </c>
      <c r="C74" s="215" t="str">
        <f ca="1">IFERROR(__xludf.DUMMYFUNCTION("""COMPUTED_VALUE"""),"Beginner")</f>
        <v>Beginner</v>
      </c>
      <c r="D74" s="216" t="str">
        <f ca="1">IFERROR(__xludf.DUMMYFUNCTION("""COMPUTED_VALUE"""),"Becoming a Great Conversationalist")</f>
        <v>Becoming a Great Conversationalist</v>
      </c>
      <c r="E74" s="217"/>
      <c r="F74" s="213"/>
      <c r="G74" s="214"/>
      <c r="H74" s="215"/>
      <c r="I74" s="217"/>
      <c r="J74" s="217"/>
      <c r="K74" s="213"/>
      <c r="L74" s="215"/>
      <c r="M74" s="215"/>
      <c r="N74" s="217"/>
      <c r="O74" s="217"/>
      <c r="P74" s="213"/>
      <c r="Q74" s="215"/>
      <c r="R74" s="215"/>
      <c r="S74" s="217"/>
      <c r="T74" s="217"/>
      <c r="U74" s="213"/>
      <c r="V74" s="215"/>
      <c r="W74" s="215"/>
      <c r="X74" s="217"/>
      <c r="Y74" s="217"/>
      <c r="Z74" s="213"/>
      <c r="AA74" s="215"/>
      <c r="AB74" s="215"/>
      <c r="AC74" s="217"/>
      <c r="AD74" s="217"/>
      <c r="AE74" s="213"/>
      <c r="AF74" s="215"/>
      <c r="AG74" s="215"/>
      <c r="AH74" s="217"/>
      <c r="AI74" s="217"/>
      <c r="AJ74" s="213"/>
    </row>
    <row r="75" spans="1:36" ht="33.75" customHeight="1">
      <c r="A75" s="213"/>
      <c r="B75" s="214">
        <f ca="1">IFERROR(__xludf.DUMMYFUNCTION("""COMPUTED_VALUE"""),3007730)</f>
        <v>3007730</v>
      </c>
      <c r="C75" s="215" t="str">
        <f ca="1">IFERROR(__xludf.DUMMYFUNCTION("""COMPUTED_VALUE"""),"Beginner")</f>
        <v>Beginner</v>
      </c>
      <c r="D75" s="216" t="str">
        <f ca="1">IFERROR(__xludf.DUMMYFUNCTION("""COMPUTED_VALUE"""),"Talking Boldly: When Inclusion Meets Politics at the Office")</f>
        <v>Talking Boldly: When Inclusion Meets Politics at the Office</v>
      </c>
      <c r="E75" s="217"/>
      <c r="F75" s="213"/>
      <c r="G75" s="214"/>
      <c r="H75" s="215"/>
      <c r="I75" s="217"/>
      <c r="J75" s="217"/>
      <c r="K75" s="213"/>
      <c r="L75" s="215"/>
      <c r="M75" s="215"/>
      <c r="N75" s="217"/>
      <c r="O75" s="217"/>
      <c r="P75" s="213"/>
      <c r="Q75" s="215"/>
      <c r="R75" s="215"/>
      <c r="S75" s="217"/>
      <c r="T75" s="217"/>
      <c r="U75" s="213"/>
      <c r="V75" s="215"/>
      <c r="W75" s="215"/>
      <c r="X75" s="217"/>
      <c r="Y75" s="217"/>
      <c r="Z75" s="213"/>
      <c r="AA75" s="215"/>
      <c r="AB75" s="215"/>
      <c r="AC75" s="217"/>
      <c r="AD75" s="217"/>
      <c r="AE75" s="213"/>
      <c r="AF75" s="215"/>
      <c r="AG75" s="215"/>
      <c r="AH75" s="217"/>
      <c r="AI75" s="217"/>
      <c r="AJ75" s="213"/>
    </row>
    <row r="76" spans="1:36" ht="33.75" customHeight="1">
      <c r="A76" s="213"/>
      <c r="B76" s="214">
        <f ca="1">IFERROR(__xludf.DUMMYFUNCTION("""COMPUTED_VALUE"""),3009566)</f>
        <v>3009566</v>
      </c>
      <c r="C76" s="215" t="str">
        <f ca="1">IFERROR(__xludf.DUMMYFUNCTION("""COMPUTED_VALUE"""),"Beginner")</f>
        <v>Beginner</v>
      </c>
      <c r="D76" s="216" t="str">
        <f ca="1">IFERROR(__xludf.DUMMYFUNCTION("""COMPUTED_VALUE"""),"Building Inclusive Work Communities")</f>
        <v>Building Inclusive Work Communities</v>
      </c>
      <c r="E76" s="217"/>
      <c r="F76" s="213"/>
      <c r="G76" s="214"/>
      <c r="H76" s="215"/>
      <c r="I76" s="217"/>
      <c r="J76" s="217"/>
      <c r="K76" s="213"/>
      <c r="L76" s="215"/>
      <c r="M76" s="215"/>
      <c r="N76" s="217"/>
      <c r="O76" s="217"/>
      <c r="P76" s="213"/>
      <c r="Q76" s="215"/>
      <c r="R76" s="215"/>
      <c r="S76" s="217"/>
      <c r="T76" s="217"/>
      <c r="U76" s="213"/>
      <c r="V76" s="215"/>
      <c r="W76" s="215"/>
      <c r="X76" s="217"/>
      <c r="Y76" s="217"/>
      <c r="Z76" s="213"/>
      <c r="AA76" s="215"/>
      <c r="AB76" s="215"/>
      <c r="AC76" s="217"/>
      <c r="AD76" s="217"/>
      <c r="AE76" s="213"/>
      <c r="AF76" s="215"/>
      <c r="AG76" s="215"/>
      <c r="AH76" s="217"/>
      <c r="AI76" s="217"/>
      <c r="AJ76" s="213"/>
    </row>
    <row r="77" spans="1:36" ht="33.75" customHeight="1">
      <c r="A77" s="213"/>
      <c r="B77" s="214">
        <f ca="1">IFERROR(__xludf.DUMMYFUNCTION("""COMPUTED_VALUE"""),693068)</f>
        <v>693068</v>
      </c>
      <c r="C77" s="215" t="str">
        <f ca="1">IFERROR(__xludf.DUMMYFUNCTION("""COMPUTED_VALUE"""),"Beginner + Intermediate")</f>
        <v>Beginner + Intermediate</v>
      </c>
      <c r="D77" s="216" t="str">
        <f ca="1">IFERROR(__xludf.DUMMYFUNCTION("""COMPUTED_VALUE"""),"Negotiation Foundations")</f>
        <v>Negotiation Foundations</v>
      </c>
      <c r="E77" s="217"/>
      <c r="F77" s="213"/>
      <c r="G77" s="214"/>
      <c r="H77" s="215"/>
      <c r="I77" s="217"/>
      <c r="J77" s="217"/>
      <c r="K77" s="213"/>
      <c r="L77" s="215"/>
      <c r="M77" s="215"/>
      <c r="N77" s="217"/>
      <c r="O77" s="217"/>
      <c r="P77" s="213"/>
      <c r="Q77" s="215"/>
      <c r="R77" s="215"/>
      <c r="S77" s="217"/>
      <c r="T77" s="217"/>
      <c r="U77" s="213"/>
      <c r="V77" s="215"/>
      <c r="W77" s="215"/>
      <c r="X77" s="217"/>
      <c r="Y77" s="217"/>
      <c r="Z77" s="213"/>
      <c r="AA77" s="215"/>
      <c r="AB77" s="215"/>
      <c r="AC77" s="217"/>
      <c r="AD77" s="217"/>
      <c r="AE77" s="213"/>
      <c r="AF77" s="215"/>
      <c r="AG77" s="215"/>
      <c r="AH77" s="217"/>
      <c r="AI77" s="217"/>
      <c r="AJ77" s="213"/>
    </row>
    <row r="78" spans="1:36" ht="33.75" customHeight="1">
      <c r="A78" s="213"/>
      <c r="B78" s="214">
        <f ca="1">IFERROR(__xludf.DUMMYFUNCTION("""COMPUTED_VALUE"""),2823321)</f>
        <v>2823321</v>
      </c>
      <c r="C78" s="215" t="str">
        <f ca="1">IFERROR(__xludf.DUMMYFUNCTION("""COMPUTED_VALUE"""),"Beginner + Intermediate")</f>
        <v>Beginner + Intermediate</v>
      </c>
      <c r="D78" s="216" t="str">
        <f ca="1">IFERROR(__xludf.DUMMYFUNCTION("""COMPUTED_VALUE"""),"Communicating with Transparency")</f>
        <v>Communicating with Transparency</v>
      </c>
      <c r="E78" s="217"/>
      <c r="F78" s="213"/>
      <c r="G78" s="214"/>
      <c r="H78" s="215"/>
      <c r="I78" s="217"/>
      <c r="J78" s="217"/>
      <c r="K78" s="213"/>
      <c r="L78" s="215"/>
      <c r="M78" s="215"/>
      <c r="N78" s="217"/>
      <c r="O78" s="217"/>
      <c r="P78" s="213"/>
      <c r="Q78" s="215"/>
      <c r="R78" s="215"/>
      <c r="S78" s="217"/>
      <c r="T78" s="217"/>
      <c r="U78" s="213"/>
      <c r="V78" s="215"/>
      <c r="W78" s="215"/>
      <c r="X78" s="217"/>
      <c r="Y78" s="217"/>
      <c r="Z78" s="213"/>
      <c r="AA78" s="215"/>
      <c r="AB78" s="215"/>
      <c r="AC78" s="217"/>
      <c r="AD78" s="217"/>
      <c r="AE78" s="213"/>
      <c r="AF78" s="215"/>
      <c r="AG78" s="215"/>
      <c r="AH78" s="217"/>
      <c r="AI78" s="217"/>
      <c r="AJ78" s="213"/>
    </row>
    <row r="79" spans="1:36" ht="33.75" customHeight="1">
      <c r="A79" s="213"/>
      <c r="B79" s="214">
        <f ca="1">IFERROR(__xludf.DUMMYFUNCTION("""COMPUTED_VALUE"""),2816032)</f>
        <v>2816032</v>
      </c>
      <c r="C79" s="215" t="str">
        <f ca="1">IFERROR(__xludf.DUMMYFUNCTION("""COMPUTED_VALUE"""),"Beginner + Intermediate")</f>
        <v>Beginner + Intermediate</v>
      </c>
      <c r="D79" s="216" t="str">
        <f ca="1">IFERROR(__xludf.DUMMYFUNCTION("""COMPUTED_VALUE"""),"Presenting Technical Information with Stories")</f>
        <v>Presenting Technical Information with Stories</v>
      </c>
      <c r="E79" s="217"/>
      <c r="F79" s="213"/>
      <c r="G79" s="214"/>
      <c r="H79" s="215"/>
      <c r="I79" s="217"/>
      <c r="J79" s="217"/>
      <c r="K79" s="213"/>
      <c r="L79" s="215"/>
      <c r="M79" s="215"/>
      <c r="N79" s="217"/>
      <c r="O79" s="217"/>
      <c r="P79" s="213"/>
      <c r="Q79" s="215"/>
      <c r="R79" s="215"/>
      <c r="S79" s="217"/>
      <c r="T79" s="217"/>
      <c r="U79" s="213"/>
      <c r="V79" s="215"/>
      <c r="W79" s="215"/>
      <c r="X79" s="217"/>
      <c r="Y79" s="217"/>
      <c r="Z79" s="213"/>
      <c r="AA79" s="215"/>
      <c r="AB79" s="215"/>
      <c r="AC79" s="217"/>
      <c r="AD79" s="217"/>
      <c r="AE79" s="213"/>
      <c r="AF79" s="215"/>
      <c r="AG79" s="215"/>
      <c r="AH79" s="217"/>
      <c r="AI79" s="217"/>
      <c r="AJ79" s="213"/>
    </row>
    <row r="80" spans="1:36" ht="33.75" customHeight="1">
      <c r="A80" s="213"/>
      <c r="B80" s="214">
        <f ca="1">IFERROR(__xludf.DUMMYFUNCTION("""COMPUTED_VALUE"""),808669)</f>
        <v>808669</v>
      </c>
      <c r="C80" s="215" t="str">
        <f ca="1">IFERROR(__xludf.DUMMYFUNCTION("""COMPUTED_VALUE"""),"Beginner + Intermediate")</f>
        <v>Beginner + Intermediate</v>
      </c>
      <c r="D80" s="216" t="str">
        <f ca="1">IFERROR(__xludf.DUMMYFUNCTION("""COMPUTED_VALUE"""),"Building Business Relationships")</f>
        <v>Building Business Relationships</v>
      </c>
      <c r="E80" s="217"/>
      <c r="F80" s="213"/>
      <c r="G80" s="214"/>
      <c r="H80" s="215"/>
      <c r="I80" s="217"/>
      <c r="J80" s="217"/>
      <c r="K80" s="213"/>
      <c r="L80" s="215"/>
      <c r="M80" s="215"/>
      <c r="N80" s="217"/>
      <c r="O80" s="217"/>
      <c r="P80" s="213"/>
      <c r="Q80" s="215"/>
      <c r="R80" s="215"/>
      <c r="S80" s="217"/>
      <c r="T80" s="217"/>
      <c r="U80" s="213"/>
      <c r="V80" s="215"/>
      <c r="W80" s="215"/>
      <c r="X80" s="217"/>
      <c r="Y80" s="217"/>
      <c r="Z80" s="213"/>
      <c r="AA80" s="215"/>
      <c r="AB80" s="215"/>
      <c r="AC80" s="217"/>
      <c r="AD80" s="217"/>
      <c r="AE80" s="213"/>
      <c r="AF80" s="215"/>
      <c r="AG80" s="215"/>
      <c r="AH80" s="217"/>
      <c r="AI80" s="217"/>
      <c r="AJ80" s="213"/>
    </row>
    <row r="81" spans="1:36" ht="33.75" customHeight="1">
      <c r="A81" s="213"/>
      <c r="B81" s="214">
        <f ca="1">IFERROR(__xludf.DUMMYFUNCTION("""COMPUTED_VALUE"""),700791)</f>
        <v>700791</v>
      </c>
      <c r="C81" s="215" t="str">
        <f ca="1">IFERROR(__xludf.DUMMYFUNCTION("""COMPUTED_VALUE"""),"Beginner + Intermediate")</f>
        <v>Beginner + Intermediate</v>
      </c>
      <c r="D81" s="216" t="str">
        <f ca="1">IFERROR(__xludf.DUMMYFUNCTION("""COMPUTED_VALUE"""),"Building Trust")</f>
        <v>Building Trust</v>
      </c>
      <c r="E81" s="217"/>
      <c r="F81" s="213"/>
      <c r="G81" s="214"/>
      <c r="H81" s="215"/>
      <c r="I81" s="217"/>
      <c r="J81" s="217"/>
      <c r="K81" s="213"/>
      <c r="L81" s="215"/>
      <c r="M81" s="215"/>
      <c r="N81" s="217"/>
      <c r="O81" s="217"/>
      <c r="P81" s="213"/>
      <c r="Q81" s="215"/>
      <c r="R81" s="215"/>
      <c r="S81" s="217"/>
      <c r="T81" s="217"/>
      <c r="U81" s="213"/>
      <c r="V81" s="215"/>
      <c r="W81" s="215"/>
      <c r="X81" s="217"/>
      <c r="Y81" s="217"/>
      <c r="Z81" s="213"/>
      <c r="AA81" s="215"/>
      <c r="AB81" s="215"/>
      <c r="AC81" s="217"/>
      <c r="AD81" s="217"/>
      <c r="AE81" s="213"/>
      <c r="AF81" s="215"/>
      <c r="AG81" s="215"/>
      <c r="AH81" s="217"/>
      <c r="AI81" s="217"/>
      <c r="AJ81" s="213"/>
    </row>
    <row r="82" spans="1:36" ht="33.75" customHeight="1">
      <c r="A82" s="213"/>
      <c r="B82" s="214">
        <f ca="1">IFERROR(__xludf.DUMMYFUNCTION("""COMPUTED_VALUE"""),653220)</f>
        <v>653220</v>
      </c>
      <c r="C82" s="215" t="str">
        <f ca="1">IFERROR(__xludf.DUMMYFUNCTION("""COMPUTED_VALUE"""),"Beginner + Intermediate")</f>
        <v>Beginner + Intermediate</v>
      </c>
      <c r="D82" s="216" t="str">
        <f ca="1">IFERROR(__xludf.DUMMYFUNCTION("""COMPUTED_VALUE"""),"Improving Your Listening Skills")</f>
        <v>Improving Your Listening Skills</v>
      </c>
      <c r="E82" s="217"/>
      <c r="F82" s="213"/>
      <c r="G82" s="214"/>
      <c r="H82" s="215"/>
      <c r="I82" s="217"/>
      <c r="J82" s="217"/>
      <c r="K82" s="213"/>
      <c r="L82" s="215"/>
      <c r="M82" s="215"/>
      <c r="N82" s="217"/>
      <c r="O82" s="217"/>
      <c r="P82" s="213"/>
      <c r="Q82" s="215"/>
      <c r="R82" s="215"/>
      <c r="S82" s="217"/>
      <c r="T82" s="217"/>
      <c r="U82" s="213"/>
      <c r="V82" s="215"/>
      <c r="W82" s="215"/>
      <c r="X82" s="217"/>
      <c r="Y82" s="217"/>
      <c r="Z82" s="213"/>
      <c r="AA82" s="215"/>
      <c r="AB82" s="215"/>
      <c r="AC82" s="217"/>
      <c r="AD82" s="217"/>
      <c r="AE82" s="213"/>
      <c r="AF82" s="215"/>
      <c r="AG82" s="215"/>
      <c r="AH82" s="217"/>
      <c r="AI82" s="217"/>
      <c r="AJ82" s="213"/>
    </row>
    <row r="83" spans="1:36" ht="33.75" customHeight="1">
      <c r="A83" s="213"/>
      <c r="B83" s="214">
        <f ca="1">IFERROR(__xludf.DUMMYFUNCTION("""COMPUTED_VALUE"""),612173)</f>
        <v>612173</v>
      </c>
      <c r="C83" s="215" t="str">
        <f ca="1">IFERROR(__xludf.DUMMYFUNCTION("""COMPUTED_VALUE"""),"Beginner + Intermediate")</f>
        <v>Beginner + Intermediate</v>
      </c>
      <c r="D83" s="216" t="str">
        <f ca="1">IFERROR(__xludf.DUMMYFUNCTION("""COMPUTED_VALUE"""),"Selling to Executives")</f>
        <v>Selling to Executives</v>
      </c>
      <c r="E83" s="217"/>
      <c r="F83" s="213"/>
      <c r="G83" s="214"/>
      <c r="H83" s="215"/>
      <c r="I83" s="217"/>
      <c r="J83" s="217"/>
      <c r="K83" s="213"/>
      <c r="L83" s="215"/>
      <c r="M83" s="215"/>
      <c r="N83" s="217"/>
      <c r="O83" s="217"/>
      <c r="P83" s="213"/>
      <c r="Q83" s="215"/>
      <c r="R83" s="215"/>
      <c r="S83" s="217"/>
      <c r="T83" s="217"/>
      <c r="U83" s="213"/>
      <c r="V83" s="215"/>
      <c r="W83" s="215"/>
      <c r="X83" s="217"/>
      <c r="Y83" s="217"/>
      <c r="Z83" s="213"/>
      <c r="AA83" s="215"/>
      <c r="AB83" s="215"/>
      <c r="AC83" s="217"/>
      <c r="AD83" s="217"/>
      <c r="AE83" s="213"/>
      <c r="AF83" s="215"/>
      <c r="AG83" s="215"/>
      <c r="AH83" s="217"/>
      <c r="AI83" s="217"/>
      <c r="AJ83" s="213"/>
    </row>
    <row r="84" spans="1:36" ht="33.75" customHeight="1">
      <c r="A84" s="213"/>
      <c r="B84" s="214">
        <f ca="1">IFERROR(__xludf.DUMMYFUNCTION("""COMPUTED_VALUE"""),612162)</f>
        <v>612162</v>
      </c>
      <c r="C84" s="215" t="str">
        <f ca="1">IFERROR(__xludf.DUMMYFUNCTION("""COMPUTED_VALUE"""),"Intermediate")</f>
        <v>Intermediate</v>
      </c>
      <c r="D84" s="216" t="str">
        <f ca="1">IFERROR(__xludf.DUMMYFUNCTION("""COMPUTED_VALUE"""),"Communicating with Diplomacy and Tact")</f>
        <v>Communicating with Diplomacy and Tact</v>
      </c>
      <c r="E84" s="217"/>
      <c r="F84" s="213"/>
      <c r="G84" s="214"/>
      <c r="H84" s="215"/>
      <c r="I84" s="217"/>
      <c r="J84" s="217"/>
      <c r="K84" s="213"/>
      <c r="L84" s="215"/>
      <c r="M84" s="215"/>
      <c r="N84" s="217"/>
      <c r="O84" s="217"/>
      <c r="P84" s="213"/>
      <c r="Q84" s="215"/>
      <c r="R84" s="215"/>
      <c r="S84" s="217"/>
      <c r="T84" s="217"/>
      <c r="U84" s="213"/>
      <c r="V84" s="215"/>
      <c r="W84" s="215"/>
      <c r="X84" s="217"/>
      <c r="Y84" s="217"/>
      <c r="Z84" s="213"/>
      <c r="AA84" s="215"/>
      <c r="AB84" s="215"/>
      <c r="AC84" s="217"/>
      <c r="AD84" s="217"/>
      <c r="AE84" s="213"/>
      <c r="AF84" s="215"/>
      <c r="AG84" s="215"/>
      <c r="AH84" s="217"/>
      <c r="AI84" s="217"/>
      <c r="AJ84" s="213"/>
    </row>
    <row r="85" spans="1:36" ht="33.75" customHeight="1">
      <c r="A85" s="213"/>
      <c r="B85" s="214">
        <f ca="1">IFERROR(__xludf.DUMMYFUNCTION("""COMPUTED_VALUE"""),743144)</f>
        <v>743144</v>
      </c>
      <c r="C85" s="215" t="str">
        <f ca="1">IFERROR(__xludf.DUMMYFUNCTION("""COMPUTED_VALUE"""),"Intermediate")</f>
        <v>Intermediate</v>
      </c>
      <c r="D85" s="216" t="str">
        <f ca="1">IFERROR(__xludf.DUMMYFUNCTION("""COMPUTED_VALUE"""),"Preparing for Successful Communication")</f>
        <v>Preparing for Successful Communication</v>
      </c>
      <c r="E85" s="217"/>
      <c r="F85" s="213"/>
      <c r="G85" s="214"/>
      <c r="H85" s="215"/>
      <c r="I85" s="217"/>
      <c r="J85" s="217"/>
      <c r="K85" s="213"/>
      <c r="L85" s="215"/>
      <c r="M85" s="215"/>
      <c r="N85" s="217"/>
      <c r="O85" s="217"/>
      <c r="P85" s="213"/>
      <c r="Q85" s="215"/>
      <c r="R85" s="215"/>
      <c r="S85" s="217"/>
      <c r="T85" s="217"/>
      <c r="U85" s="213"/>
      <c r="V85" s="215"/>
      <c r="W85" s="215"/>
      <c r="X85" s="217"/>
      <c r="Y85" s="217"/>
      <c r="Z85" s="213"/>
      <c r="AA85" s="215"/>
      <c r="AB85" s="215"/>
      <c r="AC85" s="217"/>
      <c r="AD85" s="217"/>
      <c r="AE85" s="213"/>
      <c r="AF85" s="215"/>
      <c r="AG85" s="215"/>
      <c r="AH85" s="217"/>
      <c r="AI85" s="217"/>
      <c r="AJ85" s="213"/>
    </row>
    <row r="86" spans="1:36" ht="33.75" customHeight="1">
      <c r="A86" s="213"/>
      <c r="B86" s="214">
        <f ca="1">IFERROR(__xludf.DUMMYFUNCTION("""COMPUTED_VALUE"""),2814066)</f>
        <v>2814066</v>
      </c>
      <c r="C86" s="215" t="str">
        <f ca="1">IFERROR(__xludf.DUMMYFUNCTION("""COMPUTED_VALUE"""),"Intermediate")</f>
        <v>Intermediate</v>
      </c>
      <c r="D86" s="216" t="str">
        <f ca="1">IFERROR(__xludf.DUMMYFUNCTION("""COMPUTED_VALUE"""),"Leading with Kindness and Strength")</f>
        <v>Leading with Kindness and Strength</v>
      </c>
      <c r="E86" s="217"/>
      <c r="F86" s="213"/>
      <c r="G86" s="214"/>
      <c r="H86" s="215"/>
      <c r="I86" s="217"/>
      <c r="J86" s="217"/>
      <c r="K86" s="213"/>
      <c r="L86" s="215"/>
      <c r="M86" s="215"/>
      <c r="N86" s="217"/>
      <c r="O86" s="217"/>
      <c r="P86" s="213"/>
      <c r="Q86" s="215"/>
      <c r="R86" s="215"/>
      <c r="S86" s="217"/>
      <c r="T86" s="217"/>
      <c r="U86" s="213"/>
      <c r="V86" s="215"/>
      <c r="W86" s="215"/>
      <c r="X86" s="217"/>
      <c r="Y86" s="217"/>
      <c r="Z86" s="213"/>
      <c r="AA86" s="215"/>
      <c r="AB86" s="215"/>
      <c r="AC86" s="217"/>
      <c r="AD86" s="217"/>
      <c r="AE86" s="213"/>
      <c r="AF86" s="215"/>
      <c r="AG86" s="215"/>
      <c r="AH86" s="217"/>
      <c r="AI86" s="217"/>
      <c r="AJ86" s="213"/>
    </row>
    <row r="87" spans="1:36" ht="33.75" customHeight="1">
      <c r="A87" s="213"/>
      <c r="B87" s="214">
        <f ca="1">IFERROR(__xludf.DUMMYFUNCTION("""COMPUTED_VALUE"""),2839042)</f>
        <v>2839042</v>
      </c>
      <c r="C87" s="215" t="str">
        <f ca="1">IFERROR(__xludf.DUMMYFUNCTION("""COMPUTED_VALUE"""),"Intermediate")</f>
        <v>Intermediate</v>
      </c>
      <c r="D87" s="216" t="str">
        <f ca="1">IFERROR(__xludf.DUMMYFUNCTION("""COMPUTED_VALUE"""),"Successful Networking")</f>
        <v>Successful Networking</v>
      </c>
      <c r="E87" s="217"/>
      <c r="F87" s="213"/>
      <c r="G87" s="214"/>
      <c r="H87" s="215"/>
      <c r="I87" s="217"/>
      <c r="J87" s="217"/>
      <c r="K87" s="213"/>
      <c r="L87" s="215"/>
      <c r="M87" s="215"/>
      <c r="N87" s="217"/>
      <c r="O87" s="217"/>
      <c r="P87" s="213"/>
      <c r="Q87" s="215"/>
      <c r="R87" s="215"/>
      <c r="S87" s="217"/>
      <c r="T87" s="217"/>
      <c r="U87" s="213"/>
      <c r="V87" s="215"/>
      <c r="W87" s="215"/>
      <c r="X87" s="217"/>
      <c r="Y87" s="217"/>
      <c r="Z87" s="213"/>
      <c r="AA87" s="215"/>
      <c r="AB87" s="215"/>
      <c r="AC87" s="217"/>
      <c r="AD87" s="217"/>
      <c r="AE87" s="213"/>
      <c r="AF87" s="215"/>
      <c r="AG87" s="215"/>
      <c r="AH87" s="217"/>
      <c r="AI87" s="217"/>
      <c r="AJ87" s="213"/>
    </row>
    <row r="88" spans="1:36" ht="33.75" customHeight="1">
      <c r="A88" s="213"/>
      <c r="B88" s="214">
        <f ca="1">IFERROR(__xludf.DUMMYFUNCTION("""COMPUTED_VALUE"""),2825490)</f>
        <v>2825490</v>
      </c>
      <c r="C88" s="215" t="str">
        <f ca="1">IFERROR(__xludf.DUMMYFUNCTION("""COMPUTED_VALUE"""),"Intermediate")</f>
        <v>Intermediate</v>
      </c>
      <c r="D88" s="217" t="str">
        <f ca="1">IFERROR(__xludf.DUMMYFUNCTION("""COMPUTED_VALUE"""),"Building Your Visibility as a Leader")</f>
        <v>Building Your Visibility as a Leader</v>
      </c>
      <c r="E88" s="217"/>
      <c r="F88" s="213"/>
      <c r="G88" s="214"/>
      <c r="H88" s="215"/>
      <c r="I88" s="217"/>
      <c r="J88" s="217"/>
      <c r="K88" s="213"/>
      <c r="L88" s="215"/>
      <c r="M88" s="215"/>
      <c r="N88" s="217"/>
      <c r="O88" s="217"/>
      <c r="P88" s="213"/>
      <c r="Q88" s="215"/>
      <c r="R88" s="215"/>
      <c r="S88" s="217"/>
      <c r="T88" s="217"/>
      <c r="U88" s="213"/>
      <c r="V88" s="215"/>
      <c r="W88" s="215"/>
      <c r="X88" s="217"/>
      <c r="Y88" s="217"/>
      <c r="Z88" s="213"/>
      <c r="AA88" s="215"/>
      <c r="AB88" s="215"/>
      <c r="AC88" s="217"/>
      <c r="AD88" s="217"/>
      <c r="AE88" s="213"/>
      <c r="AF88" s="215"/>
      <c r="AG88" s="215"/>
      <c r="AH88" s="217"/>
      <c r="AI88" s="217"/>
      <c r="AJ88" s="213"/>
    </row>
    <row r="89" spans="1:36" ht="16">
      <c r="A89" s="213"/>
      <c r="B89" s="214">
        <f ca="1">IFERROR(__xludf.DUMMYFUNCTION("""COMPUTED_VALUE"""),2829007)</f>
        <v>2829007</v>
      </c>
      <c r="C89" s="215" t="str">
        <f ca="1">IFERROR(__xludf.DUMMYFUNCTION("""COMPUTED_VALUE"""),"Intermediate")</f>
        <v>Intermediate</v>
      </c>
      <c r="D89" s="216" t="str">
        <f ca="1">IFERROR(__xludf.DUMMYFUNCTION("""COMPUTED_VALUE"""),"Media Training Essentials")</f>
        <v>Media Training Essentials</v>
      </c>
      <c r="E89" s="217"/>
      <c r="F89" s="213"/>
      <c r="G89" s="214"/>
      <c r="H89" s="215"/>
      <c r="I89" s="217"/>
      <c r="J89" s="217"/>
      <c r="K89" s="213"/>
      <c r="L89" s="215"/>
      <c r="M89" s="215"/>
      <c r="N89" s="217"/>
      <c r="O89" s="217"/>
      <c r="P89" s="213"/>
      <c r="Q89" s="215"/>
      <c r="R89" s="215"/>
      <c r="S89" s="217"/>
      <c r="T89" s="217"/>
      <c r="U89" s="213"/>
      <c r="V89" s="215"/>
      <c r="W89" s="215"/>
      <c r="X89" s="217"/>
      <c r="Y89" s="217"/>
      <c r="Z89" s="213"/>
      <c r="AA89" s="215"/>
      <c r="AB89" s="215"/>
      <c r="AC89" s="217"/>
      <c r="AD89" s="217"/>
      <c r="AE89" s="213"/>
      <c r="AF89" s="215"/>
      <c r="AG89" s="215"/>
      <c r="AH89" s="217"/>
      <c r="AI89" s="217"/>
      <c r="AJ89" s="213"/>
    </row>
    <row r="90" spans="1:36" ht="30">
      <c r="A90" s="213"/>
      <c r="B90" s="214">
        <f ca="1">IFERROR(__xludf.DUMMYFUNCTION("""COMPUTED_VALUE"""),711805)</f>
        <v>711805</v>
      </c>
      <c r="C90" s="215" t="str">
        <f ca="1">IFERROR(__xludf.DUMMYFUNCTION("""COMPUTED_VALUE"""),"Advanced")</f>
        <v>Advanced</v>
      </c>
      <c r="D90" s="216" t="str">
        <f ca="1">IFERROR(__xludf.DUMMYFUNCTION("""COMPUTED_VALUE"""),"Advanced Business Development: Communication and Negotiation")</f>
        <v>Advanced Business Development: Communication and Negotiation</v>
      </c>
      <c r="E90" s="217"/>
      <c r="F90" s="213"/>
      <c r="G90" s="214"/>
      <c r="H90" s="215"/>
      <c r="I90" s="217"/>
      <c r="J90" s="217"/>
      <c r="K90" s="213"/>
      <c r="L90" s="215"/>
      <c r="M90" s="215"/>
      <c r="N90" s="217"/>
      <c r="O90" s="217"/>
      <c r="P90" s="213"/>
      <c r="Q90" s="215"/>
      <c r="R90" s="215"/>
      <c r="S90" s="217"/>
      <c r="T90" s="217"/>
      <c r="U90" s="213"/>
      <c r="V90" s="215"/>
      <c r="W90" s="215"/>
      <c r="X90" s="217"/>
      <c r="Y90" s="217"/>
      <c r="Z90" s="213"/>
      <c r="AA90" s="215"/>
      <c r="AB90" s="215"/>
      <c r="AC90" s="217"/>
      <c r="AD90" s="217"/>
      <c r="AE90" s="213"/>
      <c r="AF90" s="215"/>
      <c r="AG90" s="215"/>
      <c r="AH90" s="217"/>
      <c r="AI90" s="217"/>
      <c r="AJ90" s="213"/>
    </row>
    <row r="91" spans="1:36" ht="16">
      <c r="A91" s="213"/>
      <c r="B91" s="214">
        <f ca="1">IFERROR(__xludf.DUMMYFUNCTION("""COMPUTED_VALUE"""),482051)</f>
        <v>482051</v>
      </c>
      <c r="C91" s="215" t="str">
        <f ca="1">IFERROR(__xludf.DUMMYFUNCTION("""COMPUTED_VALUE"""),"General")</f>
        <v>General</v>
      </c>
      <c r="D91" s="216" t="str">
        <f ca="1">IFERROR(__xludf.DUMMYFUNCTION("""COMPUTED_VALUE"""),"Managing Office Politics")</f>
        <v>Managing Office Politics</v>
      </c>
      <c r="E91" s="217"/>
      <c r="F91" s="213"/>
      <c r="G91" s="214"/>
      <c r="H91" s="215"/>
      <c r="I91" s="217"/>
      <c r="J91" s="217"/>
      <c r="K91" s="213"/>
      <c r="L91" s="215"/>
      <c r="M91" s="215"/>
      <c r="N91" s="217"/>
      <c r="O91" s="217"/>
      <c r="P91" s="213"/>
      <c r="Q91" s="215"/>
      <c r="R91" s="215"/>
      <c r="S91" s="217"/>
      <c r="T91" s="217"/>
      <c r="U91" s="213"/>
      <c r="V91" s="215"/>
      <c r="W91" s="215"/>
      <c r="X91" s="217"/>
      <c r="Y91" s="217"/>
      <c r="Z91" s="213"/>
      <c r="AA91" s="215"/>
      <c r="AB91" s="215"/>
      <c r="AC91" s="217"/>
      <c r="AD91" s="217"/>
      <c r="AE91" s="213"/>
      <c r="AF91" s="215"/>
      <c r="AG91" s="215"/>
      <c r="AH91" s="217"/>
      <c r="AI91" s="217"/>
      <c r="AJ91" s="213"/>
    </row>
    <row r="92" spans="1:36" ht="16">
      <c r="A92" s="213"/>
      <c r="B92" s="214">
        <f ca="1">IFERROR(__xludf.DUMMYFUNCTION("""COMPUTED_VALUE"""),359601)</f>
        <v>359601</v>
      </c>
      <c r="C92" s="215" t="str">
        <f ca="1">IFERROR(__xludf.DUMMYFUNCTION("""COMPUTED_VALUE"""),"General")</f>
        <v>General</v>
      </c>
      <c r="D92" s="216" t="str">
        <f ca="1">IFERROR(__xludf.DUMMYFUNCTION("""COMPUTED_VALUE"""),"Communicating with Confidence")</f>
        <v>Communicating with Confidence</v>
      </c>
      <c r="E92" s="217"/>
      <c r="F92" s="213"/>
      <c r="G92" s="214"/>
      <c r="H92" s="215"/>
      <c r="I92" s="217"/>
      <c r="J92" s="217"/>
      <c r="K92" s="213"/>
      <c r="L92" s="215"/>
      <c r="M92" s="215"/>
      <c r="N92" s="217"/>
      <c r="O92" s="217"/>
      <c r="P92" s="213"/>
      <c r="Q92" s="215"/>
      <c r="R92" s="215"/>
      <c r="S92" s="217"/>
      <c r="T92" s="217"/>
      <c r="U92" s="213"/>
      <c r="V92" s="215"/>
      <c r="W92" s="215"/>
      <c r="X92" s="217"/>
      <c r="Y92" s="217"/>
      <c r="Z92" s="213"/>
      <c r="AA92" s="215"/>
      <c r="AB92" s="215"/>
      <c r="AC92" s="217"/>
      <c r="AD92" s="217"/>
      <c r="AE92" s="213"/>
      <c r="AF92" s="215"/>
      <c r="AG92" s="215"/>
      <c r="AH92" s="217"/>
      <c r="AI92" s="217"/>
      <c r="AJ92" s="213"/>
    </row>
    <row r="93" spans="1:36" ht="16">
      <c r="A93" s="213"/>
      <c r="B93" s="214">
        <f ca="1">IFERROR(__xludf.DUMMYFUNCTION("""COMPUTED_VALUE"""),2825076)</f>
        <v>2825076</v>
      </c>
      <c r="C93" s="215" t="str">
        <f ca="1">IFERROR(__xludf.DUMMYFUNCTION("""COMPUTED_VALUE"""),"General")</f>
        <v>General</v>
      </c>
      <c r="D93" s="216" t="str">
        <f ca="1">IFERROR(__xludf.DUMMYFUNCTION("""COMPUTED_VALUE"""),"Starting a Memorable Conversation")</f>
        <v>Starting a Memorable Conversation</v>
      </c>
      <c r="E93" s="217"/>
      <c r="F93" s="213"/>
      <c r="G93" s="214"/>
      <c r="H93" s="215"/>
      <c r="I93" s="217"/>
      <c r="J93" s="217"/>
      <c r="K93" s="213"/>
      <c r="L93" s="215"/>
      <c r="M93" s="215"/>
      <c r="N93" s="217"/>
      <c r="O93" s="217"/>
      <c r="P93" s="213"/>
      <c r="Q93" s="215"/>
      <c r="R93" s="215"/>
      <c r="S93" s="217"/>
      <c r="T93" s="217"/>
      <c r="U93" s="213"/>
      <c r="V93" s="215"/>
      <c r="W93" s="215"/>
      <c r="X93" s="217"/>
      <c r="Y93" s="217"/>
      <c r="Z93" s="213"/>
      <c r="AA93" s="215"/>
      <c r="AB93" s="215"/>
      <c r="AC93" s="217"/>
      <c r="AD93" s="217"/>
      <c r="AE93" s="213"/>
      <c r="AF93" s="215"/>
      <c r="AG93" s="215"/>
      <c r="AH93" s="217"/>
      <c r="AI93" s="217"/>
      <c r="AJ93" s="213"/>
    </row>
    <row r="94" spans="1:36" ht="16">
      <c r="A94" s="213"/>
      <c r="B94" s="214">
        <f ca="1">IFERROR(__xludf.DUMMYFUNCTION("""COMPUTED_VALUE"""),2825261)</f>
        <v>2825261</v>
      </c>
      <c r="C94" s="215" t="str">
        <f ca="1">IFERROR(__xludf.DUMMYFUNCTION("""COMPUTED_VALUE"""),"General")</f>
        <v>General</v>
      </c>
      <c r="D94" s="216" t="str">
        <f ca="1">IFERROR(__xludf.DUMMYFUNCTION("""COMPUTED_VALUE"""),"Asserting Yourself, an Empowered Choice")</f>
        <v>Asserting Yourself, an Empowered Choice</v>
      </c>
      <c r="E94" s="217"/>
      <c r="F94" s="213"/>
      <c r="G94" s="214"/>
      <c r="H94" s="215"/>
      <c r="I94" s="217"/>
      <c r="J94" s="217"/>
      <c r="K94" s="213"/>
      <c r="L94" s="215"/>
      <c r="M94" s="215"/>
      <c r="N94" s="217"/>
      <c r="O94" s="217"/>
      <c r="P94" s="213"/>
      <c r="Q94" s="215"/>
      <c r="R94" s="215"/>
      <c r="S94" s="217"/>
      <c r="T94" s="217"/>
      <c r="U94" s="213"/>
      <c r="V94" s="215"/>
      <c r="W94" s="215"/>
      <c r="X94" s="217"/>
      <c r="Y94" s="217"/>
      <c r="Z94" s="213"/>
      <c r="AA94" s="215"/>
      <c r="AB94" s="215"/>
      <c r="AC94" s="217"/>
      <c r="AD94" s="217"/>
      <c r="AE94" s="213"/>
      <c r="AF94" s="215"/>
      <c r="AG94" s="215"/>
      <c r="AH94" s="217"/>
      <c r="AI94" s="217"/>
      <c r="AJ94" s="213"/>
    </row>
    <row r="95" spans="1:36" ht="30">
      <c r="A95" s="213"/>
      <c r="B95" s="214">
        <f ca="1">IFERROR(__xludf.DUMMYFUNCTION("""COMPUTED_VALUE"""),2836016)</f>
        <v>2836016</v>
      </c>
      <c r="C95" s="215" t="str">
        <f ca="1">IFERROR(__xludf.DUMMYFUNCTION("""COMPUTED_VALUE"""),"General")</f>
        <v>General</v>
      </c>
      <c r="D95" s="216" t="str">
        <f ca="1">IFERROR(__xludf.DUMMYFUNCTION("""COMPUTED_VALUE"""),"How to Create and Run a Brilliant Remote Workshop")</f>
        <v>How to Create and Run a Brilliant Remote Workshop</v>
      </c>
      <c r="E95" s="217"/>
      <c r="F95" s="213"/>
      <c r="G95" s="214"/>
      <c r="H95" s="215"/>
      <c r="I95" s="217"/>
      <c r="J95" s="217"/>
      <c r="K95" s="213"/>
      <c r="L95" s="215"/>
      <c r="M95" s="215"/>
      <c r="N95" s="217"/>
      <c r="O95" s="217"/>
      <c r="P95" s="213"/>
      <c r="Q95" s="215"/>
      <c r="R95" s="215"/>
      <c r="S95" s="217"/>
      <c r="T95" s="217"/>
      <c r="U95" s="213"/>
      <c r="V95" s="215"/>
      <c r="W95" s="215"/>
      <c r="X95" s="217"/>
      <c r="Y95" s="217"/>
      <c r="Z95" s="213"/>
      <c r="AA95" s="215"/>
      <c r="AB95" s="215"/>
      <c r="AC95" s="217"/>
      <c r="AD95" s="217"/>
      <c r="AE95" s="213"/>
      <c r="AF95" s="215"/>
      <c r="AG95" s="215"/>
      <c r="AH95" s="217"/>
      <c r="AI95" s="217"/>
      <c r="AJ95" s="213"/>
    </row>
    <row r="96" spans="1:36" ht="16">
      <c r="A96" s="213"/>
      <c r="B96" s="214">
        <f ca="1">IFERROR(__xludf.DUMMYFUNCTION("""COMPUTED_VALUE"""),2976136)</f>
        <v>2976136</v>
      </c>
      <c r="C96" s="215" t="str">
        <f ca="1">IFERROR(__xludf.DUMMYFUNCTION("""COMPUTED_VALUE"""),"General")</f>
        <v>General</v>
      </c>
      <c r="D96" s="217" t="str">
        <f ca="1">IFERROR(__xludf.DUMMYFUNCTION("""COMPUTED_VALUE"""),"Zoom: Leading Effective and Engaging Calls")</f>
        <v>Zoom: Leading Effective and Engaging Calls</v>
      </c>
      <c r="E96" s="217"/>
      <c r="F96" s="213"/>
      <c r="G96" s="214"/>
      <c r="H96" s="215"/>
      <c r="I96" s="217"/>
      <c r="J96" s="217"/>
      <c r="K96" s="213"/>
      <c r="L96" s="215"/>
      <c r="M96" s="215"/>
      <c r="N96" s="217"/>
      <c r="O96" s="217"/>
      <c r="P96" s="213"/>
      <c r="Q96" s="215"/>
      <c r="R96" s="215"/>
      <c r="S96" s="217"/>
      <c r="T96" s="217"/>
      <c r="U96" s="213"/>
      <c r="V96" s="215"/>
      <c r="W96" s="215"/>
      <c r="X96" s="217"/>
      <c r="Y96" s="217"/>
      <c r="Z96" s="213"/>
      <c r="AA96" s="215"/>
      <c r="AB96" s="215"/>
      <c r="AC96" s="217"/>
      <c r="AD96" s="217"/>
      <c r="AE96" s="213"/>
      <c r="AF96" s="215"/>
      <c r="AG96" s="215"/>
      <c r="AH96" s="217"/>
      <c r="AI96" s="217"/>
      <c r="AJ96" s="213"/>
    </row>
    <row r="97" spans="1:36" ht="16">
      <c r="A97" s="213"/>
      <c r="B97" s="214">
        <f ca="1">IFERROR(__xludf.DUMMYFUNCTION("""COMPUTED_VALUE"""),5025098)</f>
        <v>5025098</v>
      </c>
      <c r="C97" s="215" t="str">
        <f ca="1">IFERROR(__xludf.DUMMYFUNCTION("""COMPUTED_VALUE"""),"General")</f>
        <v>General</v>
      </c>
      <c r="D97" s="217" t="str">
        <f ca="1">IFERROR(__xludf.DUMMYFUNCTION("""COMPUTED_VALUE"""),"Skills for Inclusive Conversations")</f>
        <v>Skills for Inclusive Conversations</v>
      </c>
      <c r="E97" s="217"/>
      <c r="F97" s="213"/>
      <c r="G97" s="214"/>
      <c r="H97" s="215"/>
      <c r="I97" s="217"/>
      <c r="J97" s="217"/>
      <c r="K97" s="213"/>
      <c r="L97" s="215"/>
      <c r="M97" s="215"/>
      <c r="N97" s="217"/>
      <c r="O97" s="217"/>
      <c r="P97" s="213"/>
      <c r="Q97" s="215"/>
      <c r="R97" s="215"/>
      <c r="S97" s="217"/>
      <c r="T97" s="217"/>
      <c r="U97" s="213"/>
      <c r="V97" s="215"/>
      <c r="W97" s="215"/>
      <c r="X97" s="217"/>
      <c r="Y97" s="217"/>
      <c r="Z97" s="213"/>
      <c r="AA97" s="215"/>
      <c r="AB97" s="215"/>
      <c r="AC97" s="217"/>
      <c r="AD97" s="217"/>
      <c r="AE97" s="213"/>
      <c r="AF97" s="215"/>
      <c r="AG97" s="215"/>
      <c r="AH97" s="217"/>
      <c r="AI97" s="217"/>
      <c r="AJ97" s="213"/>
    </row>
    <row r="98" spans="1:36" ht="16">
      <c r="A98" s="213"/>
      <c r="B98" s="214">
        <f ca="1">IFERROR(__xludf.DUMMYFUNCTION("""COMPUTED_VALUE"""),2825731)</f>
        <v>2825731</v>
      </c>
      <c r="C98" s="215" t="str">
        <f ca="1">IFERROR(__xludf.DUMMYFUNCTION("""COMPUTED_VALUE"""),"General")</f>
        <v>General</v>
      </c>
      <c r="D98" s="217" t="str">
        <f ca="1">IFERROR(__xludf.DUMMYFUNCTION("""COMPUTED_VALUE"""),"Complete Confidence in Minutes: Weekly")</f>
        <v>Complete Confidence in Minutes: Weekly</v>
      </c>
      <c r="E98" s="217"/>
      <c r="F98" s="213"/>
      <c r="G98" s="214"/>
      <c r="H98" s="215"/>
      <c r="I98" s="217"/>
      <c r="J98" s="217"/>
      <c r="K98" s="213"/>
      <c r="L98" s="215"/>
      <c r="M98" s="215"/>
      <c r="N98" s="217"/>
      <c r="O98" s="217"/>
      <c r="P98" s="213"/>
      <c r="Q98" s="215"/>
      <c r="R98" s="215"/>
      <c r="S98" s="217"/>
      <c r="T98" s="217"/>
      <c r="U98" s="213"/>
      <c r="V98" s="215"/>
      <c r="W98" s="215"/>
      <c r="X98" s="217"/>
      <c r="Y98" s="217"/>
      <c r="Z98" s="213"/>
      <c r="AA98" s="215"/>
      <c r="AB98" s="215"/>
      <c r="AC98" s="217"/>
      <c r="AD98" s="217"/>
      <c r="AE98" s="213"/>
      <c r="AF98" s="215"/>
      <c r="AG98" s="215"/>
      <c r="AH98" s="217"/>
      <c r="AI98" s="217"/>
      <c r="AJ98" s="213"/>
    </row>
    <row r="99" spans="1:36" ht="30">
      <c r="A99" s="213"/>
      <c r="B99" s="214">
        <f ca="1">IFERROR(__xludf.DUMMYFUNCTION("""COMPUTED_VALUE"""),2313156)</f>
        <v>2313156</v>
      </c>
      <c r="C99" s="215" t="str">
        <f ca="1">IFERROR(__xludf.DUMMYFUNCTION("""COMPUTED_VALUE"""),"General")</f>
        <v>General</v>
      </c>
      <c r="D99" s="217" t="str">
        <f ca="1">IFERROR(__xludf.DUMMYFUNCTION("""COMPUTED_VALUE"""),"Dealing with Grief, Loss, and Change as an Employee")</f>
        <v>Dealing with Grief, Loss, and Change as an Employee</v>
      </c>
      <c r="E99" s="217"/>
      <c r="F99" s="213"/>
      <c r="G99" s="214"/>
      <c r="H99" s="215"/>
      <c r="I99" s="218"/>
      <c r="J99" s="219"/>
      <c r="K99" s="213"/>
      <c r="L99" s="215"/>
      <c r="M99" s="215"/>
      <c r="N99" s="220"/>
      <c r="O99" s="220"/>
      <c r="P99" s="213"/>
      <c r="Q99" s="215"/>
      <c r="R99" s="215"/>
      <c r="S99" s="220"/>
      <c r="T99" s="220"/>
      <c r="U99" s="213"/>
      <c r="V99" s="215"/>
      <c r="W99" s="215"/>
      <c r="X99" s="220"/>
      <c r="Y99" s="220"/>
      <c r="Z99" s="213"/>
      <c r="AA99" s="215"/>
      <c r="AB99" s="215"/>
      <c r="AC99" s="221"/>
      <c r="AD99" s="221"/>
      <c r="AE99" s="213"/>
      <c r="AF99" s="215"/>
      <c r="AG99" s="215"/>
      <c r="AH99" s="220"/>
      <c r="AI99" s="220"/>
      <c r="AJ99" s="213"/>
    </row>
    <row r="100" spans="1:36" ht="15" customHeight="1">
      <c r="B100">
        <f ca="1">IFERROR(__xludf.DUMMYFUNCTION("""COMPUTED_VALUE"""),5019837)</f>
        <v>5019837</v>
      </c>
      <c r="C100" t="str">
        <f ca="1">IFERROR(__xludf.DUMMYFUNCTION("""COMPUTED_VALUE"""),"General")</f>
        <v>General</v>
      </c>
      <c r="D100" t="str">
        <f ca="1">IFERROR(__xludf.DUMMYFUNCTION("""COMPUTED_VALUE"""),"Preparing to Interview for a Creative Role")</f>
        <v>Preparing to Interview for a Creative Role</v>
      </c>
    </row>
    <row r="101" spans="1:36" ht="15" customHeight="1">
      <c r="B101">
        <f ca="1">IFERROR(__xludf.DUMMYFUNCTION("""COMPUTED_VALUE"""),2353949)</f>
        <v>2353949</v>
      </c>
      <c r="C101" t="str">
        <f ca="1">IFERROR(__xludf.DUMMYFUNCTION("""COMPUTED_VALUE"""),"General")</f>
        <v>General</v>
      </c>
      <c r="D101" t="str">
        <f ca="1">IFERROR(__xludf.DUMMYFUNCTION("""COMPUTED_VALUE"""),"How to Own a Room")</f>
        <v>How to Own a Room</v>
      </c>
    </row>
    <row r="102" spans="1:36" ht="15" customHeight="1">
      <c r="B102">
        <f ca="1">IFERROR(__xludf.DUMMYFUNCTION("""COMPUTED_VALUE"""),2849185)</f>
        <v>2849185</v>
      </c>
      <c r="C102" t="str">
        <f ca="1">IFERROR(__xludf.DUMMYFUNCTION("""COMPUTED_VALUE"""),"General")</f>
        <v>General</v>
      </c>
      <c r="D102" t="str">
        <f ca="1">IFERROR(__xludf.DUMMYFUNCTION("""COMPUTED_VALUE"""),"Building Relationships While Working from Home")</f>
        <v>Building Relationships While Working from Home</v>
      </c>
    </row>
    <row r="103" spans="1:36" ht="15" customHeight="1">
      <c r="B103">
        <f ca="1">IFERROR(__xludf.DUMMYFUNCTION("""COMPUTED_VALUE"""),2848321)</f>
        <v>2848321</v>
      </c>
      <c r="C103" t="str">
        <f ca="1">IFERROR(__xludf.DUMMYFUNCTION("""COMPUTED_VALUE"""),"General")</f>
        <v>General</v>
      </c>
      <c r="D103" t="str">
        <f ca="1">IFERROR(__xludf.DUMMYFUNCTION("""COMPUTED_VALUE"""),"Difficult Conversations: Talking About Race at Work")</f>
        <v>Difficult Conversations: Talking About Race at Work</v>
      </c>
    </row>
    <row r="104" spans="1:36" ht="15" customHeight="1">
      <c r="B104">
        <f ca="1">IFERROR(__xludf.DUMMYFUNCTION("""COMPUTED_VALUE"""),2825696)</f>
        <v>2825696</v>
      </c>
      <c r="C104" t="str">
        <f ca="1">IFERROR(__xludf.DUMMYFUNCTION("""COMPUTED_VALUE"""),"General")</f>
        <v>General</v>
      </c>
      <c r="D104" t="str">
        <f ca="1">IFERROR(__xludf.DUMMYFUNCTION("""COMPUTED_VALUE"""),"Speaking Up At Work")</f>
        <v>Speaking Up At Work</v>
      </c>
    </row>
    <row r="105" spans="1:36" ht="15" customHeight="1">
      <c r="B105">
        <f ca="1">IFERROR(__xludf.DUMMYFUNCTION("""COMPUTED_VALUE"""),2878126)</f>
        <v>2878126</v>
      </c>
      <c r="C105" t="str">
        <f ca="1">IFERROR(__xludf.DUMMYFUNCTION("""COMPUTED_VALUE"""),"General")</f>
        <v>General</v>
      </c>
      <c r="D105" t="str">
        <f ca="1">IFERROR(__xludf.DUMMYFUNCTION("""COMPUTED_VALUE"""),"Difficult Conversations about Politics at Work")</f>
        <v>Difficult Conversations about Politics at Work</v>
      </c>
    </row>
    <row r="106" spans="1:36" ht="15" customHeight="1">
      <c r="B106">
        <f ca="1">IFERROR(__xludf.DUMMYFUNCTION("""COMPUTED_VALUE"""),2857061)</f>
        <v>2857061</v>
      </c>
      <c r="C106" t="str">
        <f ca="1">IFERROR(__xludf.DUMMYFUNCTION("""COMPUTED_VALUE"""),"General")</f>
        <v>General</v>
      </c>
      <c r="D106" t="str">
        <f ca="1">IFERROR(__xludf.DUMMYFUNCTION("""COMPUTED_VALUE"""),"17 PR Mistakes to Avoid")</f>
        <v>17 PR Mistakes to Avoid</v>
      </c>
    </row>
    <row r="107" spans="1:36" ht="15" customHeight="1">
      <c r="B107">
        <f ca="1">IFERROR(__xludf.DUMMYFUNCTION("""COMPUTED_VALUE"""),2824373)</f>
        <v>2824373</v>
      </c>
      <c r="C107" t="str">
        <f ca="1">IFERROR(__xludf.DUMMYFUNCTION("""COMPUTED_VALUE"""),"General")</f>
        <v>General</v>
      </c>
      <c r="D107" t="str">
        <f ca="1">IFERROR(__xludf.DUMMYFUNCTION("""COMPUTED_VALUE"""),"The Step-by-Step Guide to Building your Thought Leadership on LinkedIn")</f>
        <v>The Step-by-Step Guide to Building your Thought Leadership on LinkedIn</v>
      </c>
    </row>
    <row r="108" spans="1:36" ht="15" customHeight="1">
      <c r="B108">
        <f ca="1">IFERROR(__xludf.DUMMYFUNCTION("""COMPUTED_VALUE"""),2874051)</f>
        <v>2874051</v>
      </c>
      <c r="C108" t="str">
        <f ca="1">IFERROR(__xludf.DUMMYFUNCTION("""COMPUTED_VALUE"""),"General")</f>
        <v>General</v>
      </c>
      <c r="D108" t="str">
        <f ca="1">IFERROR(__xludf.DUMMYFUNCTION("""COMPUTED_VALUE"""),"Listen to Lead")</f>
        <v>Listen to Lead</v>
      </c>
    </row>
    <row r="109" spans="1:36" ht="15" customHeight="1">
      <c r="B109">
        <f ca="1">IFERROR(__xludf.DUMMYFUNCTION("""COMPUTED_VALUE"""),2874052)</f>
        <v>2874052</v>
      </c>
      <c r="C109" t="str">
        <f ca="1">IFERROR(__xludf.DUMMYFUNCTION("""COMPUTED_VALUE"""),"General")</f>
        <v>General</v>
      </c>
      <c r="D109" t="str">
        <f ca="1">IFERROR(__xludf.DUMMYFUNCTION("""COMPUTED_VALUE"""),"Having Powerful, Advanced Conversations")</f>
        <v>Having Powerful, Advanced Conversations</v>
      </c>
    </row>
    <row r="110" spans="1:36" ht="15" customHeight="1">
      <c r="B110">
        <f ca="1">IFERROR(__xludf.DUMMYFUNCTION("""COMPUTED_VALUE"""),2829004)</f>
        <v>2829004</v>
      </c>
      <c r="C110" t="str">
        <f ca="1">IFERROR(__xludf.DUMMYFUNCTION("""COMPUTED_VALUE"""),"General")</f>
        <v>General</v>
      </c>
      <c r="D110" t="str">
        <f ca="1">IFERROR(__xludf.DUMMYFUNCTION("""COMPUTED_VALUE"""),"Managing Your Emotions at Work")</f>
        <v>Managing Your Emotions at Work</v>
      </c>
    </row>
    <row r="111" spans="1:36" ht="15" customHeight="1">
      <c r="B111">
        <f ca="1">IFERROR(__xludf.DUMMYFUNCTION("""COMPUTED_VALUE"""),2825738)</f>
        <v>2825738</v>
      </c>
      <c r="C111" t="str">
        <f ca="1">IFERROR(__xludf.DUMMYFUNCTION("""COMPUTED_VALUE"""),"General")</f>
        <v>General</v>
      </c>
      <c r="D111" t="str">
        <f ca="1">IFERROR(__xludf.DUMMYFUNCTION("""COMPUTED_VALUE"""),"Complex Negotiation Tips")</f>
        <v>Complex Negotiation Tips</v>
      </c>
    </row>
    <row r="112" spans="1:36" ht="15" customHeight="1">
      <c r="B112">
        <f ca="1">IFERROR(__xludf.DUMMYFUNCTION("""COMPUTED_VALUE"""),2401226)</f>
        <v>2401226</v>
      </c>
      <c r="C112" t="str">
        <f ca="1">IFERROR(__xludf.DUMMYFUNCTION("""COMPUTED_VALUE"""),"General")</f>
        <v>General</v>
      </c>
      <c r="D112" t="str">
        <f ca="1">IFERROR(__xludf.DUMMYFUNCTION("""COMPUTED_VALUE"""),"Backgrounder: Netiquette")</f>
        <v>Backgrounder: Netiquette</v>
      </c>
    </row>
    <row r="113" spans="2:4" ht="15" customHeight="1">
      <c r="B113">
        <f ca="1">IFERROR(__xludf.DUMMYFUNCTION("""COMPUTED_VALUE"""),2833082)</f>
        <v>2833082</v>
      </c>
      <c r="C113" t="str">
        <f ca="1">IFERROR(__xludf.DUMMYFUNCTION("""COMPUTED_VALUE"""),"General")</f>
        <v>General</v>
      </c>
      <c r="D113" t="str">
        <f ca="1">IFERROR(__xludf.DUMMYFUNCTION("""COMPUTED_VALUE"""),"The 10 Essentials of Influence and Persuasion")</f>
        <v>The 10 Essentials of Influence and Persuasion</v>
      </c>
    </row>
    <row r="114" spans="2:4" ht="15" customHeight="1">
      <c r="B114">
        <f ca="1">IFERROR(__xludf.DUMMYFUNCTION("""COMPUTED_VALUE"""),2825739)</f>
        <v>2825739</v>
      </c>
      <c r="C114" t="str">
        <f ca="1">IFERROR(__xludf.DUMMYFUNCTION("""COMPUTED_VALUE"""),"General")</f>
        <v>General</v>
      </c>
      <c r="D114" t="str">
        <f ca="1">IFERROR(__xludf.DUMMYFUNCTION("""COMPUTED_VALUE"""),"Writing and Delivering Speeches")</f>
        <v>Writing and Delivering Speeches</v>
      </c>
    </row>
    <row r="115" spans="2:4" ht="15" customHeight="1">
      <c r="B115">
        <f ca="1">IFERROR(__xludf.DUMMYFUNCTION("""COMPUTED_VALUE"""),2894005)</f>
        <v>2894005</v>
      </c>
      <c r="C115" t="str">
        <f ca="1">IFERROR(__xludf.DUMMYFUNCTION("""COMPUTED_VALUE"""),"General")</f>
        <v>General</v>
      </c>
      <c r="D115" t="str">
        <f ca="1">IFERROR(__xludf.DUMMYFUNCTION("""COMPUTED_VALUE"""),"How to Stand Out Remotely")</f>
        <v>How to Stand Out Remotely</v>
      </c>
    </row>
    <row r="116" spans="2:4" ht="15" customHeight="1">
      <c r="B116">
        <f ca="1">IFERROR(__xludf.DUMMYFUNCTION("""COMPUTED_VALUE"""),2825372)</f>
        <v>2825372</v>
      </c>
      <c r="C116" t="str">
        <f ca="1">IFERROR(__xludf.DUMMYFUNCTION("""COMPUTED_VALUE"""),"General")</f>
        <v>General</v>
      </c>
      <c r="D116" t="str">
        <f ca="1">IFERROR(__xludf.DUMMYFUNCTION("""COMPUTED_VALUE"""),"Communicating with Emotional Intelligence")</f>
        <v>Communicating with Emotional Intelligence</v>
      </c>
    </row>
    <row r="117" spans="2:4" ht="15" customHeight="1">
      <c r="B117">
        <f ca="1">IFERROR(__xludf.DUMMYFUNCTION("""COMPUTED_VALUE"""),2835067)</f>
        <v>2835067</v>
      </c>
      <c r="C117" t="str">
        <f ca="1">IFERROR(__xludf.DUMMYFUNCTION("""COMPUTED_VALUE"""),"General")</f>
        <v>General</v>
      </c>
      <c r="D117" t="str">
        <f ca="1">IFERROR(__xludf.DUMMYFUNCTION("""COMPUTED_VALUE"""),"Uncovering Your Authentic Self at Work")</f>
        <v>Uncovering Your Authentic Self at Work</v>
      </c>
    </row>
    <row r="118" spans="2:4" ht="15" customHeight="1">
      <c r="B118">
        <f ca="1">IFERROR(__xludf.DUMMYFUNCTION("""COMPUTED_VALUE"""),176760)</f>
        <v>176760</v>
      </c>
      <c r="C118" t="str">
        <f ca="1">IFERROR(__xludf.DUMMYFUNCTION("""COMPUTED_VALUE"""),"General")</f>
        <v>General</v>
      </c>
      <c r="D118" t="str">
        <f ca="1">IFERROR(__xludf.DUMMYFUNCTION("""COMPUTED_VALUE"""),"Effective Listening")</f>
        <v>Effective Listening</v>
      </c>
    </row>
    <row r="119" spans="2:4" ht="15" customHeight="1">
      <c r="B119">
        <f ca="1">IFERROR(__xludf.DUMMYFUNCTION("""COMPUTED_VALUE"""),148625)</f>
        <v>148625</v>
      </c>
      <c r="C119" t="str">
        <f ca="1">IFERROR(__xludf.DUMMYFUNCTION("""COMPUTED_VALUE"""),"General")</f>
        <v>General</v>
      </c>
      <c r="D119" t="str">
        <f ca="1">IFERROR(__xludf.DUMMYFUNCTION("""COMPUTED_VALUE"""),"Influencing Others")</f>
        <v>Influencing Others</v>
      </c>
    </row>
    <row r="120" spans="2:4" ht="15" customHeight="1">
      <c r="B120">
        <f ca="1">IFERROR(__xludf.DUMMYFUNCTION("""COMPUTED_VALUE"""),2424508)</f>
        <v>2424508</v>
      </c>
      <c r="C120" t="str">
        <f ca="1">IFERROR(__xludf.DUMMYFUNCTION("""COMPUTED_VALUE"""),"General")</f>
        <v>General</v>
      </c>
      <c r="D120" t="str">
        <f ca="1">IFERROR(__xludf.DUMMYFUNCTION("""COMPUTED_VALUE"""),"Communicating Across Cultures Virtually")</f>
        <v>Communicating Across Cultures Virtually</v>
      </c>
    </row>
    <row r="121" spans="2:4" ht="15" customHeight="1">
      <c r="B121">
        <f ca="1">IFERROR(__xludf.DUMMYFUNCTION("""COMPUTED_VALUE"""),2425282)</f>
        <v>2425282</v>
      </c>
      <c r="C121" t="str">
        <f ca="1">IFERROR(__xludf.DUMMYFUNCTION("""COMPUTED_VALUE"""),"General")</f>
        <v>General</v>
      </c>
      <c r="D121" t="str">
        <f ca="1">IFERROR(__xludf.DUMMYFUNCTION("""COMPUTED_VALUE"""),"Unlocking Authentic Communication in a Culturally-Diverse Workplace")</f>
        <v>Unlocking Authentic Communication in a Culturally-Diverse Workplace</v>
      </c>
    </row>
    <row r="122" spans="2:4" ht="15" customHeight="1">
      <c r="B122">
        <f ca="1">IFERROR(__xludf.DUMMYFUNCTION("""COMPUTED_VALUE"""),2425359)</f>
        <v>2425359</v>
      </c>
      <c r="C122" t="str">
        <f ca="1">IFERROR(__xludf.DUMMYFUNCTION("""COMPUTED_VALUE"""),"General")</f>
        <v>General</v>
      </c>
      <c r="D122" t="str">
        <f ca="1">IFERROR(__xludf.DUMMYFUNCTION("""COMPUTED_VALUE"""),"Learning to Say No with Confidence and Grace")</f>
        <v>Learning to Say No with Confidence and Grace</v>
      </c>
    </row>
  </sheetData>
  <mergeCells count="14">
    <mergeCell ref="B1:E1"/>
    <mergeCell ref="L1:O1"/>
    <mergeCell ref="V1:Y1"/>
    <mergeCell ref="AF1:AI1"/>
    <mergeCell ref="B2:E2"/>
    <mergeCell ref="L2:O2"/>
    <mergeCell ref="V2:Y2"/>
    <mergeCell ref="AF2:AI2"/>
    <mergeCell ref="G1:J1"/>
    <mergeCell ref="G2:J2"/>
    <mergeCell ref="Q1:T1"/>
    <mergeCell ref="Q2:T2"/>
    <mergeCell ref="AA1:AD1"/>
    <mergeCell ref="AA2:AD2"/>
  </mergeCells>
  <hyperlinks>
    <hyperlink ref="D4" r:id="rId1" display="https://www.linkedin.com/learning/doing-good-to-build-a-profitable-business?trk=ondemandfile" xr:uid="{00000000-0004-0000-0E00-000000000000}"/>
    <hyperlink ref="E4" r:id="rId2" display="https://www.linkedin.com/learning/paths/communicating-during-times-of-change?trk=ondemandfile" xr:uid="{00000000-0004-0000-0E00-000001000000}"/>
    <hyperlink ref="N4" r:id="rId3" display="https://www.linkedin.com/learning/agile-en-accion-impulsar-reuniones-agiles-y-productivas?trk=ondemandfile" xr:uid="{00000000-0004-0000-0E00-000002000000}"/>
    <hyperlink ref="O4" r:id="rId4" display="https://www.linkedin.com/learning/paths/mejora-los-disenos-de-tus-presentaciones?trk=ondemandfile" xr:uid="{00000000-0004-0000-0E00-000003000000}"/>
    <hyperlink ref="S4" r:id="rId5" display="https://www.linkedin.com/learning/andere-beeinflussen-und-uberzeugen?trk=ondemandfile" xr:uid="{00000000-0004-0000-0E00-000004000000}"/>
    <hyperlink ref="T4" r:id="rId6" display="https://www.linkedin.com/learning/paths/besser-kommunizieren?trk=ondemandfile" xr:uid="{00000000-0004-0000-0E00-000005000000}"/>
    <hyperlink ref="X4" r:id="rId7" display="https://www.linkedin.com/learning/leading-with-emotional-intelligence?trk=ondemandfile" xr:uid="{00000000-0004-0000-0E00-000006000000}"/>
    <hyperlink ref="Y4" r:id="rId8" display="https://www.linkedin.com/learning/paths/31070ed0-b901-3bf1-af9c-de2667146e4d?trk=ondemandfile" xr:uid="{00000000-0004-0000-0E00-000007000000}"/>
    <hyperlink ref="AD4" r:id="rId9" display="https://www.linkedin.com/learning/paths/melhore-suas-habilidades-de-comunicacao?trk=ondemandfile" xr:uid="{00000000-0004-0000-0E00-000008000000}"/>
    <hyperlink ref="AH4" r:id="rId10" display="https://www.linkedin.com/learning/working-with-difficult-people-3?trk=ondemandfile" xr:uid="{00000000-0004-0000-0E00-000009000000}"/>
    <hyperlink ref="AI4" r:id="rId11" display="https://www.linkedin.com/learning/paths/87c473ed-01ce-32f8-90ac-61be15e449c9?trk=ondemandfile" xr:uid="{00000000-0004-0000-0E00-00000A000000}"/>
    <hyperlink ref="D5" r:id="rId12" display="https://www.linkedin.com/learning/cmo-foundations-creating-a-marketing-culture?trk=ondemandfile" xr:uid="{00000000-0004-0000-0E00-00000B000000}"/>
    <hyperlink ref="E5" r:id="rId13" display="https://www.linkedin.com/learning/paths/create-a-successful-pitch-for-investors?trk=ondemandfile" xr:uid="{00000000-0004-0000-0E00-00000C000000}"/>
    <hyperlink ref="N5" r:id="rId14" display="https://www.linkedin.com/learning/como-comunicar-de-forma-efectiva-en-la-empresa?trk=ondemandfile" xr:uid="{00000000-0004-0000-0E00-00000D000000}"/>
    <hyperlink ref="O5" r:id="rId15" display="https://www.linkedin.com/learning/paths/mejora-tus-dotes-de-presentacion-orales-en-publico?trk=ondemandfile" xr:uid="{00000000-0004-0000-0E00-00000E000000}"/>
    <hyperlink ref="S5" r:id="rId16" display="https://www.linkedin.com/learning/argumentative-rhetorik-manipulative-rhetorik-zwei-wege-menschen-zu-beeinflussen?trk=ondemandfile" xr:uid="{00000000-0004-0000-0E00-00000F000000}"/>
    <hyperlink ref="T5" r:id="rId17" display="https://www.linkedin.com/learning/paths/bessere-texte-schreiben?trk=ondemandfile" xr:uid="{00000000-0004-0000-0E00-000010000000}"/>
    <hyperlink ref="X5" r:id="rId18" display="https://www.linkedin.com/learning/what-is-johari-window?trk=contentmappingfile" xr:uid="{00000000-0004-0000-0E00-000011000000}"/>
    <hyperlink ref="AH5" r:id="rId19" display="https://www.linkedin.com/learning/interpersonal-communication-2?trk=ondemandfile" xr:uid="{00000000-0004-0000-0E00-000012000000}"/>
    <hyperlink ref="AI5" r:id="rId20" display="https://www.linkedin.com/learning/paths/5b7cccc4-df82-3651-b51f-d409c2437e2a?trk=ondemandfile" xr:uid="{00000000-0004-0000-0E00-000013000000}"/>
    <hyperlink ref="D6" r:id="rId21" display="https://www.linkedin.com/learning/cmo-foundations-working-with-leadership-and-board-of-directors?trk=ondemandfile" xr:uid="{00000000-0004-0000-0E00-000014000000}"/>
    <hyperlink ref="E6" r:id="rId22" display="https://www.linkedin.com/learning/paths/create-and-deliver-engaging-presentations?trk=ondemandfile" xr:uid="{00000000-0004-0000-0E00-000015000000}"/>
    <hyperlink ref="N6" r:id="rId23" display="https://www.linkedin.com/learning/como-comunicar-de-forma-efectiva-por-email?trk=ondemandfile" xr:uid="{00000000-0004-0000-0E00-000016000000}"/>
    <hyperlink ref="O6" r:id="rId24" display="https://www.linkedin.com/learning/paths/profundiza-en-tus-habilidades-de-comunicacion-en-la-empresa?trk=ondemandfile" xr:uid="{00000000-0004-0000-0E00-000017000000}"/>
    <hyperlink ref="S6" r:id="rId25" display="https://www.linkedin.com/learning/berichte-schreiben?trk=ondemandfile" xr:uid="{00000000-0004-0000-0E00-000018000000}"/>
    <hyperlink ref="T6" r:id="rId26" display="https://www.linkedin.com/learning/paths/besser-prasentieren?trk=ondemandfile" xr:uid="{00000000-0004-0000-0E00-000019000000}"/>
    <hyperlink ref="X6" r:id="rId27" display="https://www.linkedin.com/learning/learning-to-say-no-16410576?trk=contentmappingfile" xr:uid="{00000000-0004-0000-0E00-00001A000000}"/>
    <hyperlink ref="AH6" r:id="rId28" display="https://www.linkedin.com/learning/bystander-training-from-bystander-to-upstander-2?trk=ondemandfile" xr:uid="{00000000-0004-0000-0E00-00001B000000}"/>
    <hyperlink ref="D7" r:id="rId29" display="https://www.linkedin.com/learning/crisis-communication-for-hr?trk=ondemandfile" xr:uid="{00000000-0004-0000-0E00-00001C000000}"/>
    <hyperlink ref="E7" r:id="rId30" display="https://www.linkedin.com/learning/paths/develop-conflict-management-and-resolution-skills?trk=ondemandfile" xr:uid="{00000000-0004-0000-0E00-00001D000000}"/>
    <hyperlink ref="N7" r:id="rId31" display="https://www.linkedin.com/learning/communication-within-teams-2?trk=ondemandfile" xr:uid="{00000000-0004-0000-0E00-00001E000000}"/>
    <hyperlink ref="O7" r:id="rId32" display="https://www.linkedin.com/learning/paths/mejora-la-comunicacion-en-el-ambito-empresarial?trk=ondemandfile" xr:uid="{00000000-0004-0000-0E00-00001F000000}"/>
    <hyperlink ref="S7" r:id="rId33" display="https://www.linkedin.com/learning/besprechungen-moderieren?trk=ondemandfile" xr:uid="{00000000-0004-0000-0E00-000020000000}"/>
    <hyperlink ref="T7" r:id="rId34" display="https://www.linkedin.com/learning/paths/ueberzeugend-auftreten" xr:uid="{00000000-0004-0000-0E00-000021000000}"/>
    <hyperlink ref="X7" r:id="rId35" display="https://www.linkedin.com/learning/learning-to-be-assertive-14827737?trk=contentmappingfile" xr:uid="{00000000-0004-0000-0E00-000022000000}"/>
    <hyperlink ref="AC7" r:id="rId36" display="https://www.linkedin.com/learning/como-comunicar-mas-noticias-aos-clientes?trk=contentmappingfile" xr:uid="{00000000-0004-0000-0E00-000023000000}"/>
    <hyperlink ref="AH7" r:id="rId37" display="https://www.linkedin.com/learning/agreements-for-success-in-global-projects-2?trk=ondemandfile" xr:uid="{00000000-0004-0000-0E00-000024000000}"/>
    <hyperlink ref="D8" r:id="rId38" display="https://www.linkedin.com/learning/organizational-thought-leadership?trk=ondemandfile" xr:uid="{00000000-0004-0000-0E00-000025000000}"/>
    <hyperlink ref="E8" r:id="rId39" display="https://www.linkedin.com/learning/paths/develop-motivate-and-retain-employees?trk=ondemandfile" xr:uid="{00000000-0004-0000-0E00-000026000000}"/>
    <hyperlink ref="N8" r:id="rId40" display="https://www.linkedin.com/learning/c-mo-contactar-con-la-gente-y-que-te-respondan?trk=ondemandfile" xr:uid="{00000000-0004-0000-0E00-000027000000}"/>
    <hyperlink ref="O8" r:id="rId41" display="https://www.linkedin.com/learning/paths/domina-las-habilidades-de-vida-sociales?trk=ondemandfile" xr:uid="{00000000-0004-0000-0E00-000028000000}"/>
    <hyperlink ref="S8" r:id="rId42" display="https://www.linkedin.com/learning/besser-zuhoren?trk=ondemandfile" xr:uid="{00000000-0004-0000-0E00-000029000000}"/>
    <hyperlink ref="X8" r:id="rId43" display="https://www.linkedin.com/learning/business-etiquette-foundations-conversation?trk=ondemandfile" xr:uid="{00000000-0004-0000-0E00-00002A000000}"/>
    <hyperlink ref="AH8" r:id="rId44" display="https://www.linkedin.com/learning/skills-for-inclusive-conversations-2?trk=ondemandfile" xr:uid="{00000000-0004-0000-0E00-00002B000000}"/>
    <hyperlink ref="D9" r:id="rId45" display="https://www.linkedin.com/learning/communicating-to-drive-people-to-take-action?trk=ondemandfile" xr:uid="{00000000-0004-0000-0E00-00002C000000}"/>
    <hyperlink ref="E9" r:id="rId46" display="https://www.linkedin.com/learning/paths/develop-your-communication-skills-and-interpersonal-influence?trk=ondemandfile" xr:uid="{00000000-0004-0000-0E00-00002D000000}"/>
    <hyperlink ref="N9" r:id="rId47" display="https://www.linkedin.com/learning/como-desarrollar-tu-elevator-pitch?trk=ondemandfile" xr:uid="{00000000-0004-0000-0E00-00002E000000}"/>
    <hyperlink ref="O9" r:id="rId48" display="https://www.linkedin.com/learning/paths/domina-el-arte-del-email-con-outlook-2016?trk=ondemandfile" xr:uid="{00000000-0004-0000-0E00-00002F000000}"/>
    <hyperlink ref="S9" r:id="rId49" display="https://www.linkedin.com/learning/business-englisch-erfolgreiche-e-mails-verfassen?trk=ondemandfile" xr:uid="{00000000-0004-0000-0E00-000030000000}"/>
    <hyperlink ref="X9" r:id="rId50" display="https://www.linkedin.com/learning/business-etiquette-foundations-fundamentals?trk=ondemandfile" xr:uid="{00000000-0004-0000-0E00-000031000000}"/>
    <hyperlink ref="AH9" r:id="rId51" display="https://www.linkedin.com/learning/communicating-in-times-of-change-3?trk=ondemandfile" xr:uid="{00000000-0004-0000-0E00-000032000000}"/>
    <hyperlink ref="D10" r:id="rId52" display="https://www.linkedin.com/learning/organization-communication?trk=ondemandfile" xr:uid="{00000000-0004-0000-0E00-000033000000}"/>
    <hyperlink ref="E10" r:id="rId53" display="https://www.linkedin.com/learning/paths/fostering-collaboration?trk=ondemandfile" xr:uid="{00000000-0004-0000-0E00-000034000000}"/>
    <hyperlink ref="N10" r:id="rId54" display="https://www.linkedin.com/learning/00-influencing-others?trk=ondemandfile" xr:uid="{00000000-0004-0000-0E00-000035000000}"/>
    <hyperlink ref="O10" r:id="rId55" display="https://www.linkedin.com/learning/paths/mejora-tu-capacidad-para-comunicar-con-las-personas?trk=ondemandfile" xr:uid="{00000000-0004-0000-0E00-000036000000}"/>
    <hyperlink ref="S10" r:id="rId56" display="https://www.linkedin.com/learning/business-englisch-online-vorstellungsgesprache-meistern?trk=ondemandfile" xr:uid="{00000000-0004-0000-0E00-000037000000}"/>
    <hyperlink ref="X10" r:id="rId57" display="https://www.linkedin.com/learning/managing-up-2?trk=ondemandfile" xr:uid="{00000000-0004-0000-0E00-000038000000}"/>
    <hyperlink ref="AH10" r:id="rId58" display="https://www.linkedin.com/learning/communicating-with-empathy-2?trk=ondemandfile" xr:uid="{00000000-0004-0000-0E00-000039000000}"/>
    <hyperlink ref="D11" r:id="rId59" display="https://www.linkedin.com/learning/strategic-negotiation?trk=ondemandfile" xr:uid="{00000000-0004-0000-0E00-00003A000000}"/>
    <hyperlink ref="E11" r:id="rId60" display="https://www.linkedin.com/learning/paths/how-to-engage-meaningfully-in-allyship-and-anti-racism?trk=ondemandfile" xr:uid="{00000000-0004-0000-0E00-00003B000000}"/>
    <hyperlink ref="N11" r:id="rId61" display="https://www.linkedin.com/learning/building-trust-2?trk=ondemandfile" xr:uid="{00000000-0004-0000-0E00-00003C000000}"/>
    <hyperlink ref="O11" r:id="rId62" display="https://www.linkedin.com/learning/paths/domina-el-arte-de-las-presentaciones-con-powerpoint-2016?trk=ondemandfile" xr:uid="{00000000-0004-0000-0E00-00003D000000}"/>
    <hyperlink ref="S11" r:id="rId63" display="https://www.linkedin.com/learning/business-visualisierung-agil-und-kreativ?trk=ondemandfile" xr:uid="{00000000-0004-0000-0E00-00003E000000}"/>
    <hyperlink ref="X11" r:id="rId64" display="https://www.linkedin.com/learning/influencing-others-3?trk=contentmappingfile" xr:uid="{00000000-0004-0000-0E00-00003F000000}"/>
    <hyperlink ref="AC11" r:id="rId65" display="https://www.linkedin.com/learning/como-desenvolver-a-lideranca-de-pensamento?trk=contentmappingfile" xr:uid="{00000000-0004-0000-0E00-000040000000}"/>
    <hyperlink ref="AH11" r:id="rId66" display="https://www.linkedin.com/learning/business-english-mastering-your-online-interview-15813399?trk=contentmappingfile" xr:uid="{00000000-0004-0000-0E00-000041000000}"/>
    <hyperlink ref="D12" r:id="rId67" display="https://www.linkedin.com/learning/navigating-executive-politics?trk=ondemandfile" xr:uid="{00000000-0004-0000-0E00-000042000000}"/>
    <hyperlink ref="E12" r:id="rId68" display="https://www.linkedin.com/learning/paths/improve-your-interoffice-politics-skills?trk=ondemandfile" xr:uid="{00000000-0004-0000-0E00-000043000000}"/>
    <hyperlink ref="N12" r:id="rId69" display="https://www.linkedin.com/learning/como-liderar-reuniones-individuales-productivas?trk=ondemandfile" xr:uid="{00000000-0004-0000-0E00-000044000000}"/>
    <hyperlink ref="O12" r:id="rId70" display="https://www.linkedin.com/learning/paths/domina-el-arte-del-email-con-outlook-2016-para-mac?trk=ondemandfile" xr:uid="{00000000-0004-0000-0E00-000045000000}"/>
    <hyperlink ref="S12" r:id="rId71" display="https://www.linkedin.com/learning/corporate-blogs-grundlagen-2?trk=ondemandfile" xr:uid="{00000000-0004-0000-0E00-000046000000}"/>
    <hyperlink ref="X12" r:id="rId72" display="https://www.linkedin.com/learning/professional-networking-2?trk=ondemandfile" xr:uid="{00000000-0004-0000-0E00-000047000000}"/>
    <hyperlink ref="AH12" r:id="rId73" display="https://www.linkedin.com/learning/teamwork-foundations-3?trk=ondemandfile" xr:uid="{00000000-0004-0000-0E00-000048000000}"/>
    <hyperlink ref="D13" r:id="rId74" display="https://www.linkedin.com/learning/leading-from-the-middle?trk=ondemandfile" xr:uid="{00000000-0004-0000-0E00-000049000000}"/>
    <hyperlink ref="E13" r:id="rId75" display="https://www.linkedin.com/learning/paths/improve-your-teamwork-skills?trk=ondemandfile" xr:uid="{00000000-0004-0000-0E00-00004A000000}"/>
    <hyperlink ref="I13" r:id="rId76" display="https://www.linkedin.com/learning/conseils-d-experte-manager-la-generation-z?trk=contentmappingfile" xr:uid="{00000000-0004-0000-0E00-00004B000000}"/>
    <hyperlink ref="N13" r:id="rId77" display="https://www.linkedin.com/learning/como-liderar-reuniones-productivas?trk=ondemandfile" xr:uid="{00000000-0004-0000-0E00-00004C000000}"/>
    <hyperlink ref="O13" r:id="rId78" display="https://www.linkedin.com/learning/paths/domina-las-habilidades-de-vida-a-nivel-de-liderazgo?trk=ondemandfile" xr:uid="{00000000-0004-0000-0E00-00004D000000}"/>
    <hyperlink ref="S13" r:id="rId79" display="https://www.linkedin.com/learning/data-science-lernen-storytelling-mit-daten?trk=ondemandfile" xr:uid="{00000000-0004-0000-0E00-00004E000000}"/>
    <hyperlink ref="X13" r:id="rId80" display="https://www.linkedin.com/learning/effective-listening-3?trk=ondemandfile" xr:uid="{00000000-0004-0000-0E00-00004F000000}"/>
    <hyperlink ref="AH13" r:id="rId81" display="https://www.linkedin.com/learning/communication-within-teams-3?trk=ondemandfile" xr:uid="{00000000-0004-0000-0E00-000050000000}"/>
    <hyperlink ref="D14" r:id="rId82" display="https://www.linkedin.com/learning/communicating-values?trk=ondemandfile" xr:uid="{00000000-0004-0000-0E00-000051000000}"/>
    <hyperlink ref="E14" r:id="rId83" display="https://www.linkedin.com/learning/paths/master-in-demand-professional-soft-skills?trk=ondemandfile" xr:uid="{00000000-0004-0000-0E00-000052000000}"/>
    <hyperlink ref="I14" r:id="rId84" display="https://www.linkedin.com/learning/creer-des-conversations-constructives-avec-des-clients-exigeants-clientes-exigeantes?trk=contentmappingfile" xr:uid="{00000000-0004-0000-0E00-000053000000}"/>
    <hyperlink ref="N14" r:id="rId85" display="https://www.linkedin.com/learning/como-medir-el-rendimiento-de-tu-equipo?trk=contentmappingfile" xr:uid="{00000000-0004-0000-0E00-000054000000}"/>
    <hyperlink ref="S14" r:id="rId86" display="https://www.linkedin.com/learning/die-10-stufen-des-zuhorens-die-eigene-zuhorkompetenz-ausbauen?trk=ondemandfile" xr:uid="{00000000-0004-0000-0E00-000055000000}"/>
    <hyperlink ref="X14" r:id="rId87" display="https://www.linkedin.com/learning/strategic-negotiation-3?trk=ondemandfile" xr:uid="{00000000-0004-0000-0E00-000056000000}"/>
    <hyperlink ref="AH14" r:id="rId88" display="https://www.linkedin.com/learning/speaking-up-at-work-16234873?trk=contentmappingfile" xr:uid="{00000000-0004-0000-0E00-000057000000}"/>
    <hyperlink ref="D15" r:id="rId89" display="https://www.linkedin.com/learning/reputation-risk-management?trk=ondemandfile" xr:uid="{00000000-0004-0000-0E00-000058000000}"/>
    <hyperlink ref="E15" r:id="rId90" display="https://www.linkedin.com/learning/paths/navigating-election-season-at-work?trk=ondemandfile" xr:uid="{00000000-0004-0000-0E00-000059000000}"/>
    <hyperlink ref="N15" r:id="rId91" display="https://www.linkedin.com/learning/como-negociar-tu-oferta-de-trabajo?trk=ondemandfile" xr:uid="{00000000-0004-0000-0E00-00005A000000}"/>
    <hyperlink ref="S15" r:id="rId92" display="https://www.linkedin.com/learning/die-7-schlimmsten-kommunikationsfehler?trk=contentmappingfile" xr:uid="{00000000-0004-0000-0E00-00005B000000}"/>
    <hyperlink ref="X15" r:id="rId93" display="https://www.linkedin.com/learning/3b9a9e9f-36fd-3413-8e43-080652af9039?trk=ondemandfile" xr:uid="{00000000-0004-0000-0E00-00005C000000}"/>
    <hyperlink ref="AH15" r:id="rId94" display="https://www.linkedin.com/learning/working-with-upset-customers-2?trk=ondemandfile" xr:uid="{00000000-0004-0000-0E00-00005D000000}"/>
    <hyperlink ref="D16" r:id="rId95" display="https://www.linkedin.com/learning/agile-negotiation?trk=ondemandfile" xr:uid="{00000000-0004-0000-0E00-00005E000000}"/>
    <hyperlink ref="E16" r:id="rId96" display="https://www.linkedin.com/learning/paths/visual-communication-for-business-professionals?trk=ondemandfile" xr:uid="{00000000-0004-0000-0E00-00005F000000}"/>
    <hyperlink ref="N16" r:id="rId97" display="https://www.linkedin.com/learning/como-negociar-tu-salario?trk=ondemandfile" xr:uid="{00000000-0004-0000-0E00-000060000000}"/>
    <hyperlink ref="S16" r:id="rId98" display="https://www.linkedin.com/learning/digital-nudging-nutzererfahrung-und-nutzerentscheidungen-positiv-beeinflussen?trk=ondemandfile" xr:uid="{00000000-0004-0000-0E00-000061000000}"/>
    <hyperlink ref="X16" r:id="rId99" display="https://www.linkedin.com/learning/improving-your-listening-skills-14598134?trk=contentmappingfile" xr:uid="{00000000-0004-0000-0E00-000062000000}"/>
    <hyperlink ref="AC16" r:id="rId100" display="https://www.linkedin.com/learning/como-melhorar-suas-competencias-de-escuta?trk=contentmappingfile" xr:uid="{00000000-0004-0000-0E00-000063000000}"/>
    <hyperlink ref="AH16" r:id="rId101" display="https://www.linkedin.com/learning/executive-presence-for-women-3?trk=ondemandfile" xr:uid="{00000000-0004-0000-0E00-000064000000}"/>
    <hyperlink ref="D17" r:id="rId102" display="https://www.linkedin.com/learning/stories-every-leader-should-tell?trk=ondemandfile" xr:uid="{00000000-0004-0000-0E00-000065000000}"/>
    <hyperlink ref="N17" r:id="rId103" display="https://www.linkedin.com/learning/00-asking-great-sales-questions?trk=ondemandfile" xr:uid="{00000000-0004-0000-0E00-000066000000}"/>
    <hyperlink ref="S17" r:id="rId104" display="https://www.linkedin.com/learning/e-mails-schreiben?trk=ondemandfile" xr:uid="{00000000-0004-0000-0E00-000067000000}"/>
    <hyperlink ref="X17" r:id="rId105" display="https://www.linkedin.com/learning/ten-steps-of-listening-improving-your-listening-skills?trk=contentmappingfile" xr:uid="{00000000-0004-0000-0E00-000068000000}"/>
    <hyperlink ref="AH17" r:id="rId106" display="https://www.linkedin.com/learning/4bddab10-145f-3bdb-9cc3-b64313f38564?trk=ondemandfile" xr:uid="{00000000-0004-0000-0E00-000069000000}"/>
    <hyperlink ref="D18" r:id="rId107" display="https://www.linkedin.com/learning/becoming-a-thought-leader-2?trk=ondemandfile" xr:uid="{00000000-0004-0000-0E00-00006A000000}"/>
    <hyperlink ref="I18" r:id="rId108" display="https://www.linkedin.com/learning/devenir-une-personne-charismatique-et-influente?trk=contentmappingfile" xr:uid="{00000000-0004-0000-0E00-00006B000000}"/>
    <hyperlink ref="N18" r:id="rId109" display="https://www.linkedin.com/learning/00-tener-conversaciones-dificiles?trk=ondemandfile" xr:uid="{00000000-0004-0000-0E00-00006C000000}"/>
    <hyperlink ref="S18" r:id="rId110" display="https://www.linkedin.com/learning/empathie-und-kreativitat-als-neue-schlusselkompetenzen?trk=ondemandfile" xr:uid="{00000000-0004-0000-0E00-00006D000000}"/>
    <hyperlink ref="X18" r:id="rId111" display="https://www.linkedin.com/learning/communicating-with-confidence-2?trk=ondemandfile" xr:uid="{00000000-0004-0000-0E00-00006E000000}"/>
    <hyperlink ref="AC18" r:id="rId112" display="https://www.linkedin.com/learning/como-prevenir-o-assedio-no-trabalho-e-criar-um-ambiente-seguro?trk=contentmappingfile" xr:uid="{00000000-0004-0000-0E00-00006F000000}"/>
    <hyperlink ref="AH18" r:id="rId113" display="https://www.linkedin.com/learning/learning-to-be-assertive-3?trk=ondemandfile" xr:uid="{00000000-0004-0000-0E00-000070000000}"/>
    <hyperlink ref="D19" r:id="rId114" display="https://www.linkedin.com/learning/taking-charge-of-your-leadership-conversations?trk=ondemandfile" xr:uid="{00000000-0004-0000-0E00-000071000000}"/>
    <hyperlink ref="N19" r:id="rId115" display="https://www.linkedin.com/learning/comunicacion-con-atencion-plena-empatia-y-compasion?trk=ondemandfile" xr:uid="{00000000-0004-0000-0E00-000072000000}"/>
    <hyperlink ref="S19" r:id="rId116" display="https://www.linkedin.com/learning/erfolgreich-verhandeln-mit-dem-harvard-konzept?trk=ondemandfile" xr:uid="{00000000-0004-0000-0E00-000073000000}"/>
    <hyperlink ref="X19" r:id="rId117" display="https://www.linkedin.com/learning/building-trust-5?trk=ondemandfile" xr:uid="{00000000-0004-0000-0E00-000074000000}"/>
    <hyperlink ref="AC19" r:id="rId118" display="https://www.linkedin.com/learning/como-responder-a-microagressoes-no-trabalho?trk=contentmappingfile" xr:uid="{00000000-0004-0000-0E00-000075000000}"/>
    <hyperlink ref="AH19" r:id="rId119" display="https://www.linkedin.com/learning/building-trust-3?trk=ondemandfile" xr:uid="{00000000-0004-0000-0E00-000076000000}"/>
    <hyperlink ref="D20" r:id="rId120" display="https://www.linkedin.com/learning/applying-critical-thinking-strategies-to-communicate-effectively?trk=ondemandfile" xr:uid="{00000000-0004-0000-0E00-000077000000}"/>
    <hyperlink ref="N20" r:id="rId121" display="https://www.linkedin.com/learning/00-communicating-with-confidence?trk=ondemandfile" xr:uid="{00000000-0004-0000-0E00-000078000000}"/>
    <hyperlink ref="S20" r:id="rId122" display="https://www.linkedin.com/learning/effective-listening-2?trk=ondemandfile" xr:uid="{00000000-0004-0000-0E00-000079000000}"/>
    <hyperlink ref="X20" r:id="rId123" display="https://www.linkedin.com/learning/learning-to-be-approachable-14599142?trk=contentmappingfile" xr:uid="{00000000-0004-0000-0E00-00007A000000}"/>
    <hyperlink ref="AH20" r:id="rId124" display="https://www.linkedin.com/learning/building-self-confidence?trk=ondemandfile" xr:uid="{00000000-0004-0000-0E00-00007B000000}"/>
    <hyperlink ref="D21" r:id="rId125" display="https://www.linkedin.com/learning/creating-a-culture-that-inspires-your-employees?trk=ondemandfile" xr:uid="{00000000-0004-0000-0E00-00007C000000}"/>
    <hyperlink ref="N21" r:id="rId126" display="https://www.linkedin.com/learning/00-comunicacion-de-la-gestion-del-cambio?trk=ondemandfile" xr:uid="{00000000-0004-0000-0E00-00007D000000}"/>
    <hyperlink ref="S21" r:id="rId127" display="https://www.linkedin.com/learning/erfolgreiche-einzelgesprache-fuhren?trk=ondemandfile" xr:uid="{00000000-0004-0000-0E00-00007E000000}"/>
    <hyperlink ref="AH21" r:id="rId128" display="https://www.linkedin.com/learning/influencing-others-4?trk=ondemandfile" xr:uid="{00000000-0004-0000-0E00-00007F000000}"/>
    <hyperlink ref="D22" r:id="rId129" display="https://www.linkedin.com/learning/communicating-in-the-lan-guage-of-leadership?trk=ondemandfile" xr:uid="{00000000-0004-0000-0E00-000080000000}"/>
    <hyperlink ref="I22" r:id="rId130" display="https://www.linkedin.com/learning/faire-preuve-d-humour-au-travail?trk=contentmappingfile" xr:uid="{00000000-0004-0000-0E00-000081000000}"/>
    <hyperlink ref="N22" r:id="rId131" display="https://www.linkedin.com/learning/00-comunicacion-intercultural?trk=ondemandfile" xr:uid="{00000000-0004-0000-0E00-000082000000}"/>
    <hyperlink ref="S22" r:id="rId132" display="https://www.linkedin.com/learning/erfolgreiche-kommunikation?trk=ondemandfile" xr:uid="{00000000-0004-0000-0E00-000083000000}"/>
    <hyperlink ref="AC22" r:id="rId133" display="https://www.linkedin.com/learning/como-ser-uma-pessoa-assertiva?trk=contentmappingfile" xr:uid="{00000000-0004-0000-0E00-000084000000}"/>
    <hyperlink ref="AH22" r:id="rId134" display="https://www.linkedin.com/learning/becoming-a-thought-leader?trk=ondemandfile" xr:uid="{00000000-0004-0000-0E00-000085000000}"/>
    <hyperlink ref="D23" r:id="rId135" display="https://www.linkedin.com/learning/supporting-a-grieving-employee-a-manager-s-guide?trk=ondemandfile" xr:uid="{00000000-0004-0000-0E00-000086000000}"/>
    <hyperlink ref="N23" r:id="rId136" display="https://www.linkedin.com/learning/comunicacion-interpersonal?trk=ondemandfile" xr:uid="{00000000-0004-0000-0E00-000087000000}"/>
    <hyperlink ref="S23" r:id="rId137" display="https://www.linkedin.com/learning/female-empowerment-selbstbewusstes-auftreten?trk=ondemandfile" xr:uid="{00000000-0004-0000-0E00-000088000000}"/>
    <hyperlink ref="AH23" r:id="rId138" display="https://www.linkedin.com/learning/asking-great-sales-questions-4?trk=ondemandfile" xr:uid="{00000000-0004-0000-0E00-000089000000}"/>
    <hyperlink ref="D24" r:id="rId139" display="https://www.linkedin.com/learning/body-language-for-leaders-2?trk=ondemandfile" xr:uid="{00000000-0004-0000-0E00-00008A000000}"/>
    <hyperlink ref="N24" r:id="rId140" display="https://www.linkedin.com/learning/comunicacion-y-prensa?trk=ondemandfile" xr:uid="{00000000-0004-0000-0E00-00008B000000}"/>
    <hyperlink ref="S24" r:id="rId141" display="https://www.linkedin.com/learning/firmeninterne-gesprachssituationen-meistern?trk=ondemandfile" xr:uid="{00000000-0004-0000-0E00-00008C000000}"/>
    <hyperlink ref="AC24" r:id="rId142" display="https://www.linkedin.com/learning/fundamentos-de-comunicacao?trk=contentmappingfile" xr:uid="{00000000-0004-0000-0E00-00008D000000}"/>
    <hyperlink ref="AH24" r:id="rId143" display="https://www.linkedin.com/learning/50f9d422-7963-3225-82ac-1304ac6d7671?trk=ondemandfile" xr:uid="{00000000-0004-0000-0E00-00008E000000}"/>
    <hyperlink ref="D25" r:id="rId144" display="https://www.linkedin.com/learning/communicating-internally-during-times-of-uncertainty?trk=ondemandfile" xr:uid="{00000000-0004-0000-0E00-00008F000000}"/>
    <hyperlink ref="I25" r:id="rId145" display="https://www.linkedin.com/learning/la-communication-serie?trk=contentmappingfile" xr:uid="{00000000-0004-0000-0E00-000090000000}"/>
    <hyperlink ref="N25" r:id="rId146" display="https://www.linkedin.com/learning/00-etiqueta-profesional?trk=ondemandfile" xr:uid="{00000000-0004-0000-0E00-000091000000}"/>
    <hyperlink ref="S25" r:id="rId147" display="https://www.linkedin.com/learning/fuhren-mit-emotionaler-intelligenz-16505108?trk=contentmappingfile" xr:uid="{00000000-0004-0000-0E00-000092000000}"/>
    <hyperlink ref="AH25" r:id="rId148" display="https://www.linkedin.com/learning/improving-your-listening-skills-2?trk=ondemandfile" xr:uid="{00000000-0004-0000-0E00-000093000000}"/>
    <hyperlink ref="D26" r:id="rId149" display="https://www.linkedin.com/learning/facilitation-skills-for-managers-and-leaders?trk=ondemandfile" xr:uid="{00000000-0004-0000-0E00-000094000000}"/>
    <hyperlink ref="N26" r:id="rId150" display="https://www.linkedin.com/learning/communication-foundations-3?trk=ondemandfile" xr:uid="{00000000-0004-0000-0E00-000095000000}"/>
    <hyperlink ref="S26" r:id="rId151" display="https://www.linkedin.com/learning/ihr-pers-nlicher-elevator-pitch?trk=ondemandfile" xr:uid="{00000000-0004-0000-0E00-000096000000}"/>
    <hyperlink ref="AC26" r:id="rId152" display="https://www.linkedin.com/learning/kwame-christian-responde-sobre-como-abordar-assuntos-raciais?trk=contentmappingfile" xr:uid="{00000000-0004-0000-0E00-000097000000}"/>
    <hyperlink ref="AH26" r:id="rId153" display="https://www.linkedin.com/learning/digital-body-language-9622362?trk=contentmappingfile" xr:uid="{00000000-0004-0000-0E00-000098000000}"/>
    <hyperlink ref="D27" r:id="rId154" display="https://www.linkedin.com/learning/leading-with-applied-improv?trk=ondemandfile" xr:uid="{00000000-0004-0000-0E00-000099000000}"/>
    <hyperlink ref="N27" r:id="rId155" display="https://www.linkedin.com/learning/00-fundamentos-de-la-gestion-de-proyectos-comunicacion?trk=ondemandfile" xr:uid="{00000000-0004-0000-0E00-00009A000000}"/>
    <hyperlink ref="S27" r:id="rId156" display="https://www.linkedin.com/learning/ihre-ideen-durchsetzen?trk=ondemandfile" xr:uid="{00000000-0004-0000-0E00-00009B000000}"/>
    <hyperlink ref="AH27" r:id="rId157" display="https://www.linkedin.com/learning/86d80f76-f728-332c-a87d-dc1fddaa0c91?trk=ondemandfile" xr:uid="{00000000-0004-0000-0E00-00009C000000}"/>
    <hyperlink ref="D28" r:id="rId158" display="https://www.linkedin.com/learning/igniting-emotional-engagement?trk=ondemandfile" xr:uid="{00000000-0004-0000-0E00-00009D000000}"/>
    <hyperlink ref="N28" r:id="rId159" display="https://www.linkedin.com/learning/00-negociacion-fundamentos?trk=ondemandfile" xr:uid="{00000000-0004-0000-0E00-00009E000000}"/>
    <hyperlink ref="S28" r:id="rId160" display="https://www.linkedin.com/learning/ihre-kompetenz-sichtbar-machen?trk=ondemandfile" xr:uid="{00000000-0004-0000-0E00-00009F000000}"/>
    <hyperlink ref="AH28" r:id="rId161" display="https://www.linkedin.com/learning/communicating-with-diplomacy-and-tact-2?trk=ondemandfile" xr:uid="{00000000-0004-0000-0E00-0000A0000000}"/>
    <hyperlink ref="D29" r:id="rId162" display="https://www.linkedin.com/learning/2020-vlog-leading-with-intelligent-disobedience?trk=ondemandfile" xr:uid="{00000000-0004-0000-0E00-0000A1000000}"/>
    <hyperlink ref="N29" r:id="rId163" display="https://www.linkedin.com/learning/gestiona-tu-entrevista-de-trabajo-en-videoconferencia?trk=ondemandfile" xr:uid="{00000000-0004-0000-0E00-0000A2000000}"/>
    <hyperlink ref="S29" r:id="rId164" display="https://www.linkedin.com/learning/00-teamarbeit?trk=ondemandfile" xr:uid="{00000000-0004-0000-0E00-0000A3000000}"/>
    <hyperlink ref="AH29" r:id="rId165" display="https://www.linkedin.com/learning/pitching-your-ideas-strategically-17477395?trk=contentmappingfile" xr:uid="{00000000-0004-0000-0E00-0000A4000000}"/>
    <hyperlink ref="D30" r:id="rId166" display="https://www.linkedin.com/learning/connecting-to-executives-2018?trk=ondemandfile" xr:uid="{00000000-0004-0000-0E00-0000A5000000}"/>
    <hyperlink ref="N30" r:id="rId167" display="https://www.linkedin.com/learning/habilidades-de-conversacion-inclusiva?trk=ondemandfile" xr:uid="{00000000-0004-0000-0E00-0000A6000000}"/>
    <hyperlink ref="S30" r:id="rId168" display="https://www.linkedin.com/learning/im-team-kommunizieren?trk=ondemandfile" xr:uid="{00000000-0004-0000-0E00-0000A7000000}"/>
    <hyperlink ref="AH30" r:id="rId169" display="https://www.linkedin.com/learning/communication-foundations-4?trk=ondemandfile" xr:uid="{00000000-0004-0000-0E00-0000A8000000}"/>
    <hyperlink ref="D31" r:id="rId170" display="https://www.linkedin.com/learning/executive-presence-on-video-conference-calls?trk=ondemandfile" xr:uid="{00000000-0004-0000-0E00-0000A9000000}"/>
    <hyperlink ref="N31" r:id="rId171" display="https://www.linkedin.com/learning/la-escucha-activa?trk=ondemandfile" xr:uid="{00000000-0004-0000-0E00-0000AA000000}"/>
    <hyperlink ref="S31" r:id="rId172" display="https://www.linkedin.com/learning/in-der-videokonferenz-souveran-auftreten?trk=ondemandfile" xr:uid="{00000000-0004-0000-0E00-0000AB000000}"/>
    <hyperlink ref="AH31" r:id="rId173" display="https://www.linkedin.com/learning/selling-with-stories-part-2-stories-great-sales-people-tell-2?trk=ondemandfile" xr:uid="{00000000-0004-0000-0E00-0000AC000000}"/>
    <hyperlink ref="D32" r:id="rId174" display="https://www.linkedin.com/learning/improving-your-leadership-communications?trk=ondemandfile" xr:uid="{00000000-0004-0000-0E00-0000AD000000}"/>
    <hyperlink ref="N32" r:id="rId175" display="https://www.linkedin.com/learning/improving-your-listening-skills-3?trk=ondemandfile" xr:uid="{00000000-0004-0000-0E00-0000AE000000}"/>
    <hyperlink ref="S32" r:id="rId176" display="https://www.linkedin.com/learning/in-der-videokonferenz-uberzeugen?trk=ondemandfile" xr:uid="{00000000-0004-0000-0E00-0000AF000000}"/>
    <hyperlink ref="AH32" r:id="rId177" display="https://www.linkedin.com/learning/managing-a-diverse-team-2?trk=ondemandfile" xr:uid="{00000000-0004-0000-0E00-0000B0000000}"/>
    <hyperlink ref="D33" r:id="rId178" display="https://www.linkedin.com/learning/compassionate-leadership?trk=ondemandfile" xr:uid="{00000000-0004-0000-0E00-0000B1000000}"/>
    <hyperlink ref="I33" r:id="rId179" display="https://www.linkedin.com/learning/reperer-et-gerer-des-personnes-toxiques?trk=contentmappingfile" xr:uid="{00000000-0004-0000-0E00-0000B2000000}"/>
    <hyperlink ref="N33" r:id="rId180" display="https://www.linkedin.com/learning/00-strategic-negotiation?trk=ondemandfile" xr:uid="{00000000-0004-0000-0E00-0000B3000000}"/>
    <hyperlink ref="S33" r:id="rId181" display="https://www.linkedin.com/learning/in-medieninterviews-uberzeugen?trk=ondemandfile" xr:uid="{00000000-0004-0000-0E00-0000B4000000}"/>
    <hyperlink ref="AH33" r:id="rId182" display="https://www.linkedin.com/learning/negotiation-foundations-2?trk=ondemandfile" xr:uid="{00000000-0004-0000-0E00-0000B5000000}"/>
    <hyperlink ref="D34" r:id="rId183" display="https://www.linkedin.com/learning/integrated-marketing-communication-strategies?trk=ondemandfile" xr:uid="{00000000-0004-0000-0E00-0000B6000000}"/>
    <hyperlink ref="I34" r:id="rId184" display="https://www.linkedin.com/learning/repondre-aux-objections-de-ses-clients-clientes?trk=contentmappingfile" xr:uid="{00000000-0004-0000-0E00-0000B7000000}"/>
    <hyperlink ref="N34" r:id="rId185" display="https://www.linkedin.com/learning/00-persuadir-a-los-demas?trk=ondemandfile" xr:uid="{00000000-0004-0000-0E00-0000B8000000}"/>
    <hyperlink ref="S34" r:id="rId186" display="https://www.linkedin.com/learning/influencer-marketing-grundlagen-2?trk=ondemandfile" xr:uid="{00000000-0004-0000-0E00-0000B9000000}"/>
    <hyperlink ref="AH34" r:id="rId187" display="https://www.linkedin.com/learning/negotiation-skills-2?trk=ondemandfile" xr:uid="{00000000-0004-0000-0E00-0000BA000000}"/>
    <hyperlink ref="D35" r:id="rId188" display="https://www.linkedin.com/learning/how-to-develop-friendships-and-connect-meaningfully-with-work-colleagues?trk=ondemandfile" xr:uid="{00000000-0004-0000-0E00-0000BB000000}"/>
    <hyperlink ref="N35" r:id="rId189" display="https://www.linkedin.com/learning/profundiza-la-lengua-espanola-uso-de-las-tildes?trk=ondemandfile" xr:uid="{00000000-0004-0000-0E00-0000BC000000}"/>
    <hyperlink ref="S35" r:id="rId190" display="https://www.linkedin.com/learning/interkulturelle-kompetenz?trk=ondemandfile" xr:uid="{00000000-0004-0000-0E00-0000BD000000}"/>
    <hyperlink ref="AH35" r:id="rId191" display="https://www.linkedin.com/learning/social-interactions-for-multinational-teams-2?trk=ondemandfile" xr:uid="{00000000-0004-0000-0E00-0000BE000000}"/>
    <hyperlink ref="D36" r:id="rId192" display="https://www.linkedin.com/learning/how-to-speak-up-against-racism-at-work?trk=ondemandfile" xr:uid="{00000000-0004-0000-0E00-0000BF000000}"/>
    <hyperlink ref="N36" r:id="rId193" display="https://www.linkedin.com/learning/reuniones-eficaces?trk=ondemandfile" xr:uid="{00000000-0004-0000-0E00-0000C0000000}"/>
    <hyperlink ref="S36" r:id="rId194" display="https://www.linkedin.com/learning/intros-und-extros-blinkist-kernaussagen?trk=ondemandfile" xr:uid="{00000000-0004-0000-0E00-0000C1000000}"/>
    <hyperlink ref="AH36" r:id="rId195" display="https://www.linkedin.com/learning/779ed34b-4bd3-393b-bda7-0163601fbcc8?trk=ondemandfile" xr:uid="{00000000-0004-0000-0E00-0000C2000000}"/>
    <hyperlink ref="D37" r:id="rId196" display="https://www.linkedin.com/learning/communicating-with-empathy?trk=ondemandfile" xr:uid="{00000000-0004-0000-0E00-0000C3000000}"/>
    <hyperlink ref="N37" r:id="rId197" display="https://www.linkedin.com/learning/storytelling-para-comunicacion-de-proyectos-de-ingenieria?trk=contentmappingfile" xr:uid="{00000000-0004-0000-0E00-0000C4000000}"/>
    <hyperlink ref="S37" r:id="rId198" display="https://www.linkedin.com/learning/kommunikation-in-zeiten-der-veranderung?trk=ondemandfile" xr:uid="{00000000-0004-0000-0E00-0000C5000000}"/>
    <hyperlink ref="AH37" r:id="rId199" display="https://www.linkedin.com/learning/leading-and-working-in-teams-3?trk=ondemandfile" xr:uid="{00000000-0004-0000-0E00-0000C6000000}"/>
    <hyperlink ref="D38" r:id="rId200" display="https://www.linkedin.com/learning/communication-foundations-2?trk=ondemandfile" xr:uid="{00000000-0004-0000-0E00-0000C7000000}"/>
    <hyperlink ref="I38" r:id="rId201" display="https://www.linkedin.com/learning/travailler-sa-repartie?trk=contentmappingfile" xr:uid="{00000000-0004-0000-0E00-0000C8000000}"/>
    <hyperlink ref="N38" r:id="rId202" display="https://www.linkedin.com/learning/00-fundamentos-del-trabajo-en-equipo?trk=ondemandfile" xr:uid="{00000000-0004-0000-0E00-0000C9000000}"/>
    <hyperlink ref="S38" r:id="rId203" display="https://www.linkedin.com/learning/kommunikation-mit-empathie?trk=contentmappingfile" xr:uid="{00000000-0004-0000-0E00-0000CA000000}"/>
    <hyperlink ref="AH38" r:id="rId204" display="https://www.linkedin.com/learning/body-language-for-leaders?trk=ondemandfile" xr:uid="{00000000-0004-0000-0E00-0000CB000000}"/>
    <hyperlink ref="D39" r:id="rId205" display="https://www.linkedin.com/learning/interpersonal-communication?trk=ondemandfile" xr:uid="{00000000-0004-0000-0E00-0000CC000000}"/>
    <hyperlink ref="I39" r:id="rId206" display="https://www.linkedin.com/learning/vendre-a-des-cadres-superieurs-superieures?trk=contentmappingfile" xr:uid="{00000000-0004-0000-0E00-0000CD000000}"/>
    <hyperlink ref="S39" r:id="rId207" display="https://www.linkedin.com/learning/00-angularjs-best-practices?trk=ondemandfile" xr:uid="{00000000-0004-0000-0E00-0000CE000000}"/>
    <hyperlink ref="AH39" r:id="rId208" display="https://www.linkedin.com/learning/leading-productive-meetings-4?trk=ondemandfile" xr:uid="{00000000-0004-0000-0E00-0000CF000000}"/>
    <hyperlink ref="D40" r:id="rId209" display="https://www.linkedin.com/learning/learning-to-be-approachable?trk=ondemandfile" xr:uid="{00000000-0004-0000-0E00-0000D0000000}"/>
    <hyperlink ref="S40" r:id="rId210" display="https://www.linkedin.com/learning/00-kommtipps?trk=ondemandfile" xr:uid="{00000000-0004-0000-0E00-0000D1000000}"/>
    <hyperlink ref="AH40" r:id="rId211" display="https://www.linkedin.com/learning/leading-with-emotional-intelligence-2?trk=ondemandfile" xr:uid="{00000000-0004-0000-0E00-0000D2000000}"/>
    <hyperlink ref="D41" r:id="rId212" display="https://www.linkedin.com/learning/negotiation-skills?trk=ondemandfile" xr:uid="{00000000-0004-0000-0E00-0000D3000000}"/>
    <hyperlink ref="S41" r:id="rId213" display="https://www.linkedin.com/learning/korpersprache-fur-frauen?trk=ondemandfile" xr:uid="{00000000-0004-0000-0E00-0000D4000000}"/>
    <hyperlink ref="D42" r:id="rId214" display="https://www.linkedin.com/learning/persuading-others?trk=ondemandfile" xr:uid="{00000000-0004-0000-0E00-0000D5000000}"/>
    <hyperlink ref="S42" r:id="rId215" display="https://www.linkedin.com/learning/00-korpersprache?trk=ondemandfile" xr:uid="{00000000-0004-0000-0E00-0000D6000000}"/>
    <hyperlink ref="D43" r:id="rId216" display="https://www.linkedin.com/learning/women-transforming-tech-finding-a-mentor?trk=ondemandfile" xr:uid="{00000000-0004-0000-0E00-0000D7000000}"/>
    <hyperlink ref="S43" r:id="rId217" display="https://www.linkedin.com/learning/kreatives-texten-wortspiele-metaphern-co?trk=ondemandfile" xr:uid="{00000000-0004-0000-0E00-0000D8000000}"/>
    <hyperlink ref="D44" r:id="rId218" display="https://www.linkedin.com/learning/women-transforming-tech-breaking-in-and-staying-in-the-industry?trk=ondemandfile" xr:uid="{00000000-0004-0000-0E00-0000D9000000}"/>
    <hyperlink ref="S44" r:id="rId219" display="https://www.linkedin.com/learning/00-krisenkommunikation?trk=ondemandfile" xr:uid="{00000000-0004-0000-0E00-0000DA000000}"/>
    <hyperlink ref="D45" r:id="rId220" display="https://www.linkedin.com/learning/women-transforming-tech-round-table-discussion?trk=ondemandfile" xr:uid="{00000000-0004-0000-0E00-0000DB000000}"/>
    <hyperlink ref="S45" r:id="rId221" display="https://www.linkedin.com/learning/kundenkommunikation-mit-whatsapp-business?trk=ondemandfile" xr:uid="{00000000-0004-0000-0E00-0000DC000000}"/>
    <hyperlink ref="D46" r:id="rId222" display="https://www.linkedin.com/learning/women-transforming-tech-networking?trk=ondemandfile" xr:uid="{00000000-0004-0000-0E00-0000DD000000}"/>
    <hyperlink ref="S46" r:id="rId223" display="https://www.linkedin.com/learning/kunstliche-intelligenz-strategie-und-kommunikation-im-unternehmen?trk=ondemandfile" xr:uid="{00000000-0004-0000-0E00-0000DE000000}"/>
    <hyperlink ref="D47" r:id="rId224" display="https://www.linkedin.com/learning/own-your-voice-improve-presentations-and-executive-presence?trk=ondemandfile" xr:uid="{00000000-0004-0000-0E00-0000DF000000}"/>
    <hyperlink ref="S47" r:id="rId225" display="https://www.linkedin.com/learning/manipulation-abwehren-wie-sie-sprachtricks-erkennen?trk=ondemandfile" xr:uid="{00000000-0004-0000-0E00-0000E0000000}"/>
    <hyperlink ref="D48" r:id="rId226" display="https://www.linkedin.com/learning/social-success-at-work?trk=ondemandfile" xr:uid="{00000000-0004-0000-0E00-0000E1000000}"/>
    <hyperlink ref="S48" r:id="rId227" display="https://www.linkedin.com/learning/mehr-ausstrahlung-mit-dem-charisma-code?trk=ondemandfile" xr:uid="{00000000-0004-0000-0E00-0000E2000000}"/>
    <hyperlink ref="D49" r:id="rId228" display="https://www.linkedin.com/learning/the-ideal-team-player-getabstract-summary?trk=ondemandfile" xr:uid="{00000000-0004-0000-0E00-0000E3000000}"/>
    <hyperlink ref="S49" r:id="rId229" display="https://www.linkedin.com/learning/meinungsfuhrer-in-werden?trk=ondemandfile" xr:uid="{00000000-0004-0000-0E00-0000E4000000}"/>
    <hyperlink ref="D50" r:id="rId230" display="https://www.linkedin.com/learning/learning-webex-meetings-2?trk=ondemandfile" xr:uid="{00000000-0004-0000-0E00-0000E5000000}"/>
    <hyperlink ref="S50" r:id="rId231" display="https://www.linkedin.com/learning/mit-dem-ersten-eindruck-uberzeugen?trk=ondemandfile" xr:uid="{00000000-0004-0000-0E00-0000E6000000}"/>
    <hyperlink ref="D51" r:id="rId232" display="https://www.linkedin.com/learning/find-your-passion-how-padma-lakshmi-found-hers?trk=ondemandfile" xr:uid="{00000000-0004-0000-0E00-0000E7000000}"/>
    <hyperlink ref="S51" r:id="rId233" display="https://www.linkedin.com/learning/nein-sagen-und-gesunde-grenzen-setzen?trk=contentmappingfile" xr:uid="{00000000-0004-0000-0E00-0000E8000000}"/>
    <hyperlink ref="D52" r:id="rId234" display="https://www.linkedin.com/learning/jeffrey-gitomer-s-little-red-book-of-sales-answers-getabstract-summary?trk=ondemandfile" xr:uid="{00000000-0004-0000-0E00-0000E9000000}"/>
    <hyperlink ref="S52" r:id="rId235" display="https://www.linkedin.com/learning/neuro-linguistisches-programmieren-nlp-fur-einsteiger-und-neugierige?trk=ondemandfile" xr:uid="{00000000-0004-0000-0E00-0000EA000000}"/>
    <hyperlink ref="D53" r:id="rId236" display="https://www.linkedin.com/learning/crucial-conversations-getabstract-summary?trk=ondemandfile" xr:uid="{00000000-0004-0000-0E00-0000EB000000}"/>
    <hyperlink ref="S53" r:id="rId237" display="https://www.linkedin.com/learning/presse-und-offentlichkeitsarbeit-fur-kleine-und-mittlere-unternehmen?trk=ondemandfile" xr:uid="{00000000-0004-0000-0E00-0000EC000000}"/>
    <hyperlink ref="D54" r:id="rId238" display="https://www.linkedin.com/learning/how-to-crush-self-doubt-and-build-self-confidence?trk=ondemandfile" xr:uid="{00000000-0004-0000-0E00-0000ED000000}"/>
    <hyperlink ref="S54" r:id="rId239" display="https://www.linkedin.com/learning/probleme-konfliktfrei-losen-mit-inspektor-columbo-columbos-regeln?trk=contentmappingfile" xr:uid="{00000000-0004-0000-0E00-0000EE000000}"/>
    <hyperlink ref="D55" r:id="rId240" display="https://www.linkedin.com/learning/becoming-an-impactful-and-influential-leader?trk=ondemandfile" xr:uid="{00000000-0004-0000-0E00-0000EF000000}"/>
    <hyperlink ref="S55" r:id="rId241" display="https://www.linkedin.com/learning/00-pm-komm?trk=ondemandfile" xr:uid="{00000000-0004-0000-0E00-0000F0000000}"/>
    <hyperlink ref="D56" r:id="rId242" display="https://www.linkedin.com/learning/the-power-of-introverts?trk=ondemandfile" xr:uid="{00000000-0004-0000-0E00-0000F1000000}"/>
    <hyperlink ref="S56" r:id="rId243" display="https://www.linkedin.com/learning/rhetorik-mit-argumenten-uberzeugen?trk=ondemandfile" xr:uid="{00000000-0004-0000-0E00-0000F2000000}"/>
    <hyperlink ref="D57" r:id="rId244" display="https://www.linkedin.com/learning/the-science-of-compassion-the-upward-spiral-of-compassion?trk=ondemandfile" xr:uid="{00000000-0004-0000-0E00-0000F3000000}"/>
    <hyperlink ref="S57" r:id="rId245" display="https://www.linkedin.com/learning/schlagfertigkeit-nie-wieder-sprachlos?trk=ondemandfile" xr:uid="{00000000-0004-0000-0E00-0000F4000000}"/>
    <hyperlink ref="D58" r:id="rId246" display="https://www.linkedin.com/learning/the-science-of-compassion-an-introduction?trk=ondemandfile" xr:uid="{00000000-0004-0000-0E00-0000F5000000}"/>
    <hyperlink ref="S58" r:id="rId247" display="https://www.linkedin.com/learning/schwierige-sachverhalte-einfach-vermitteln?trk=contentmappingfile" xr:uid="{00000000-0004-0000-0E00-0000F6000000}"/>
    <hyperlink ref="D59" r:id="rId248" display="https://www.linkedin.com/learning/inspirational-leadership-skills-practical-motivational-leadership?trk=ondemandfile" xr:uid="{00000000-0004-0000-0E00-0000F7000000}"/>
    <hyperlink ref="S59" r:id="rId249" display="https://www.linkedin.com/learning/souveran-auftreten-und-uberzeugend-kommunizieren?trk=contentmappingfile" xr:uid="{00000000-0004-0000-0E00-0000F8000000}"/>
    <hyperlink ref="D60" r:id="rId250" display="https://www.linkedin.com/learning/communication-within-teams?trk=ondemandfile" xr:uid="{00000000-0004-0000-0E00-0000F9000000}"/>
    <hyperlink ref="S60" r:id="rId251" display="https://www.linkedin.com/learning/storytelling-fur-fuhrungskrafte?trk=ondemandfile" xr:uid="{00000000-0004-0000-0E00-0000FA000000}"/>
    <hyperlink ref="D61" r:id="rId252" display="https://www.linkedin.com/learning/constructive-candor-important-conversations-with-coworkers-family-and-friends?trk=ondemandfile" xr:uid="{00000000-0004-0000-0E00-0000FB000000}"/>
    <hyperlink ref="S61" r:id="rId253" display="https://www.linkedin.com/learning/storytelling?trk=ondemandfile" xr:uid="{00000000-0004-0000-0E00-0000FC000000}"/>
    <hyperlink ref="D62" r:id="rId254" display="https://www.linkedin.com/learning/how-to-win-arguments?trk=ondemandfile" xr:uid="{00000000-0004-0000-0E00-0000FD000000}"/>
    <hyperlink ref="S62" r:id="rId255" display="https://www.linkedin.com/learning/strategisch-verhandeln?trk=ondemandfile" xr:uid="{00000000-0004-0000-0E00-0000FE000000}"/>
    <hyperlink ref="D63" r:id="rId256" display="https://www.linkedin.com/learning/media-relations-foundations?trk=ondemandfile" xr:uid="{00000000-0004-0000-0E00-0000FF000000}"/>
    <hyperlink ref="S63" r:id="rId257" display="https://www.linkedin.com/learning/treffende-texte?trk=ondemandfile" xr:uid="{00000000-0004-0000-0E00-000000010000}"/>
    <hyperlink ref="D64" r:id="rId258" display="https://www.linkedin.com/learning/practical-influencing-techniques?trk=ondemandfile" xr:uid="{00000000-0004-0000-0E00-000001010000}"/>
    <hyperlink ref="S64" r:id="rId259" display="https://www.linkedin.com/learning/00-uberzeugend-auftreten?trk=ondemandfile" xr:uid="{00000000-0004-0000-0E00-000002010000}"/>
    <hyperlink ref="D65" r:id="rId260" display="https://www.linkedin.com/learning/becoming-assertive?trk=ondemandfile" xr:uid="{00000000-0004-0000-0E00-000003010000}"/>
    <hyperlink ref="S65" r:id="rId261" display="https://www.linkedin.com/learning/00-visuelles-storytelling?trk=ondemandfile" xr:uid="{00000000-0004-0000-0E00-000004010000}"/>
    <hyperlink ref="D66" r:id="rId262" display="https://www.linkedin.com/learning/centered-communication-get-better-results-from-your-conversations?trk=ondemandfile" xr:uid="{00000000-0004-0000-0E00-000005010000}"/>
    <hyperlink ref="S66" r:id="rId263" display="https://www.linkedin.com/learning/wertschatzende-kommunikation-trotz-unterschieden-erfolgreich-kommunizieren?trk=contentmappingfile" xr:uid="{00000000-0004-0000-0E00-000006010000}"/>
    <hyperlink ref="D67" r:id="rId264" display="https://www.linkedin.com/learning/three-tips-for-managing-egos-and-difficult-emotions?trk=ondemandfile" xr:uid="{00000000-0004-0000-0E00-000007010000}"/>
    <hyperlink ref="S67" r:id="rId265" display="https://www.linkedin.com/learning/00-zielvereinbarung?trk=ondemandfile" xr:uid="{00000000-0004-0000-0E00-000008010000}"/>
    <hyperlink ref="D68" r:id="rId266" display="https://www.linkedin.com/learning/how-to-be-both-assertive-and-likable?trk=ondemandfile" xr:uid="{00000000-0004-0000-0E00-000009010000}"/>
    <hyperlink ref="D69" r:id="rId267" display="https://www.linkedin.com/learning/influence-without-authority-getabstract-summary?trk=ondemandfile" xr:uid="{00000000-0004-0000-0E00-00000A010000}"/>
    <hyperlink ref="D70" r:id="rId268" display="https://www.linkedin.com/learning/articulating-your-value?trk=ondemandfile" xr:uid="{00000000-0004-0000-0E00-00000B010000}"/>
    <hyperlink ref="D71" r:id="rId269" display="https://www.linkedin.com/learning/how-to-persuade-when-facts-don-t-seem-to-matter?trk=ondemandfile" xr:uid="{00000000-0004-0000-0E00-00000C010000}"/>
    <hyperlink ref="D72" r:id="rId270" display="https://www.linkedin.com/learning/how-to-listen-and-how-to-be-heard-getabstract-summary?trk=ondemandfile" xr:uid="{00000000-0004-0000-0E00-00000D010000}"/>
    <hyperlink ref="D73" r:id="rId271" display="https://www.linkedin.com/learning/how-to-speak-so-people-want-to-listen?trk=ondemandfile" xr:uid="{00000000-0004-0000-0E00-00000E010000}"/>
    <hyperlink ref="D74" r:id="rId272" display="https://www.linkedin.com/learning/becoming-a-great-conversationalist?trk=ondemandfile" xr:uid="{00000000-0004-0000-0E00-00000F010000}"/>
    <hyperlink ref="D75" r:id="rId273" display="https://www.linkedin.com/learning/talking-boldly-when-inclusion-meets-politics-at-the-office?trk=ondemandfile" xr:uid="{00000000-0004-0000-0E00-000010010000}"/>
    <hyperlink ref="D76" r:id="rId274" display="https://www.linkedin.com/learning/building-inclusive-work-communities?trk=ondemandfile" xr:uid="{00000000-0004-0000-0E00-000011010000}"/>
    <hyperlink ref="D77" r:id="rId275" display="https://www.linkedin.com/learning/negotiation-foundations?trk=ondemandfile" xr:uid="{00000000-0004-0000-0E00-000012010000}"/>
    <hyperlink ref="D78" r:id="rId276" display="https://www.linkedin.com/learning/communicating-with-transparency?trk=ondemandfile" xr:uid="{00000000-0004-0000-0E00-000013010000}"/>
    <hyperlink ref="D79" r:id="rId277" display="https://www.linkedin.com/learning/present-a-techie-s-guide-to-public-speaking?trk=ondemandfile" xr:uid="{00000000-0004-0000-0E00-000014010000}"/>
    <hyperlink ref="D80" r:id="rId278" display="https://www.linkedin.com/learning/building-business-relationships-2?trk=ondemandfile" xr:uid="{00000000-0004-0000-0E00-000015010000}"/>
    <hyperlink ref="D81" r:id="rId279" display="https://www.linkedin.com/learning/building-trust-2018?trk=ondemandfile" xr:uid="{00000000-0004-0000-0E00-000016010000}"/>
    <hyperlink ref="D82" r:id="rId280" display="https://www.linkedin.com/learning/improving-your-listening-skills?trk=ondemandfile" xr:uid="{00000000-0004-0000-0E00-000017010000}"/>
    <hyperlink ref="D83" r:id="rId281" display="https://www.linkedin.com/learning/creating-the-ideal-sales-culture?trk=ondemandfile" xr:uid="{00000000-0004-0000-0E00-000018010000}"/>
    <hyperlink ref="D84" r:id="rId282" display="https://www.linkedin.com/learning/communicating-with-diplomacy-and-tact?trk=ondemandfile" xr:uid="{00000000-0004-0000-0E00-000019010000}"/>
    <hyperlink ref="D85" r:id="rId283" display="https://www.linkedin.com/learning/preparing-for-successful-communication?trk=ondemandfile" xr:uid="{00000000-0004-0000-0E00-00001A010000}"/>
    <hyperlink ref="D86" r:id="rId284" display="https://www.linkedin.com/learning/leading-with-kindness-and-strength?trk=ondemandfile" xr:uid="{00000000-0004-0000-0E00-00001B010000}"/>
    <hyperlink ref="D87" r:id="rId285" display="https://www.linkedin.com/learning/successful-networking?trk=ondemandfile" xr:uid="{00000000-0004-0000-0E00-00001C010000}"/>
    <hyperlink ref="D88" r:id="rId286" display="https://www.linkedin.com/learning/building-your-visibility-as-a-leader?trk=ondemandfile" xr:uid="{00000000-0004-0000-0E00-00001D010000}"/>
    <hyperlink ref="D89" r:id="rId287" display="https://www.linkedin.com/learning/media-training-essentials?trk=ondemandfile" xr:uid="{00000000-0004-0000-0E00-00001E010000}"/>
    <hyperlink ref="D90" r:id="rId288" display="https://www.linkedin.com/learning/advanced-business-development-communication-and-negotiation?trk=ondemandfile" xr:uid="{00000000-0004-0000-0E00-00001F010000}"/>
    <hyperlink ref="D91" r:id="rId289" display="https://www.linkedin.com/learning/how-to-manage-office-politics?trk=ondemandfile" xr:uid="{00000000-0004-0000-0E00-000020010000}"/>
    <hyperlink ref="D92" r:id="rId290" display="https://www.linkedin.com/learning/communicating-with-confidence?trk=ondemandfile" xr:uid="{00000000-0004-0000-0E00-000021010000}"/>
    <hyperlink ref="D93" r:id="rId291" display="https://www.linkedin.com/learning/starting-a-memorable-conversation?trk=ondemandfile" xr:uid="{00000000-0004-0000-0E00-000022010000}"/>
    <hyperlink ref="D94" r:id="rId292" display="https://www.linkedin.com/learning/asserting-yourself-an-empowered-choice?trk=ondemandfile" xr:uid="{00000000-0004-0000-0E00-000023010000}"/>
    <hyperlink ref="D95" r:id="rId293" display="https://www.linkedin.com/learning/how-to-create-and-run-a-brilliant-remote-workshop?trk=ondemandfile" xr:uid="{00000000-0004-0000-0E00-000024010000}"/>
    <hyperlink ref="D96" r:id="rId294" display="https://www.linkedin.com/learning/zoom-leading-effective-and-engaging-calls?trk=ondemandfile" xr:uid="{00000000-0004-0000-0E00-000025010000}"/>
    <hyperlink ref="D97" r:id="rId295" display="https://www.linkedin.com/learning/having-bold-and-inclusive-conversations?trk=ondemandfile" xr:uid="{00000000-0004-0000-0E00-000026010000}"/>
    <hyperlink ref="D98" r:id="rId296" display="https://www.linkedin.com/learning/complete-confidence-in-minutes-weekly?trk=ondemandfile" xr:uid="{00000000-0004-0000-0E00-000027010000}"/>
    <hyperlink ref="D99" r:id="rId297" display="https://www.linkedin.com/learning/dealing-with-grief-loss-and-change-as-an-employee?trk=ondemandfile" xr:uid="{00000000-0004-0000-0E00-000028010000}"/>
    <hyperlink ref="D100" r:id="rId298" display="https://www.linkedin.com/learning/how-to-not-screw-up-a-job-interview-for-creatives?trk=ondemandfile" xr:uid="{00000000-0004-0000-0E00-000029010000}"/>
    <hyperlink ref="D101" r:id="rId299" display="https://www.linkedin.com/learning/how-to-own-a-room?trk=ondemandfile" xr:uid="{00000000-0004-0000-0E00-00002A010000}"/>
    <hyperlink ref="D102" r:id="rId300" display="https://www.linkedin.com/learning/building-relationships-while-working-from-home?trk=ondemandfile" xr:uid="{00000000-0004-0000-0E00-00002B010000}"/>
    <hyperlink ref="D103" r:id="rId301" display="https://www.linkedin.com/learning/difficult-conversations-talking-about-race-at-work?trk=ondemandfile" xr:uid="{00000000-0004-0000-0E00-00002C010000}"/>
    <hyperlink ref="D104" r:id="rId302" display="https://www.linkedin.com/learning/speaking-up-at-work?trk=ondemandfile" xr:uid="{00000000-0004-0000-0E00-00002D010000}"/>
    <hyperlink ref="D105" r:id="rId303" display="https://www.linkedin.com/learning/difficult-conversations-about-politics-at-work?trk=ondemandfile" xr:uid="{00000000-0004-0000-0E00-00002E010000}"/>
    <hyperlink ref="D106" r:id="rId304" display="https://www.linkedin.com/learning/17-pr-mistakes-to-avoid?trk=ondemandfile" xr:uid="{00000000-0004-0000-0E00-00002F010000}"/>
    <hyperlink ref="D107" r:id="rId305" display="https://www.linkedin.com/learning/a-step-by-step-guide-to-building-your-thought-leadership-on-linkedin-uk?trk=ondemandfile" xr:uid="{00000000-0004-0000-0E00-000030010000}"/>
    <hyperlink ref="D108" r:id="rId306" display="https://www.linkedin.com/learning/listen-to-lead?trk=ondemandfile" xr:uid="{00000000-0004-0000-0E00-000031010000}"/>
    <hyperlink ref="D109" r:id="rId307" display="https://www.linkedin.com/learning/having-powerful-advanced-conversations?trk=ondemandfile" xr:uid="{00000000-0004-0000-0E00-000032010000}"/>
    <hyperlink ref="D110" r:id="rId308" display="https://www.linkedin.com/learning/managing-your-emotions-at-work?trk=ondemandfile" xr:uid="{00000000-0004-0000-0E00-000033010000}"/>
    <hyperlink ref="D111" r:id="rId309" display="https://www.linkedin.com/learning/complex-negotiation-tips?trk=ondemandfile" xr:uid="{00000000-0004-0000-0E00-000034010000}"/>
    <hyperlink ref="D112" r:id="rId310" display="https://www.linkedin.com/learning/backgrounder-netiquette?trk=ondemandfile" xr:uid="{00000000-0004-0000-0E00-000035010000}"/>
    <hyperlink ref="D113" r:id="rId311" display="https://www.linkedin.com/learning/the-10-essentials-of-influence-and-persuasion?trk=ondemandfile" xr:uid="{00000000-0004-0000-0E00-000036010000}"/>
    <hyperlink ref="D114" r:id="rId312" display="https://www.linkedin.com/learning/writing-and-delivering-speeches?trk=ondemandfile" xr:uid="{00000000-0004-0000-0E00-000037010000}"/>
    <hyperlink ref="D115" r:id="rId313" display="https://www.linkedin.com/learning/how-to-stand-out-remotely?trk=ondemandfile" xr:uid="{00000000-0004-0000-0E00-000038010000}"/>
    <hyperlink ref="D116" r:id="rId314" display="https://www.linkedin.com/learning/communicating-with-emotional-intelligence?trk=ondemandfile" xr:uid="{00000000-0004-0000-0E00-000039010000}"/>
    <hyperlink ref="D117" r:id="rId315" display="https://www.linkedin.com/learning/building-a-more-authentic-workplace?trk=ondemandfile" xr:uid="{00000000-0004-0000-0E00-00003A010000}"/>
    <hyperlink ref="D118" r:id="rId316" display="https://www.linkedin.com/learning/effective-listening?trk=ondemandfile" xr:uid="{00000000-0004-0000-0E00-00003B010000}"/>
    <hyperlink ref="D119" r:id="rId317" display="https://www.linkedin.com/learning/influencing-others?trk=ondemandfile" xr:uid="{00000000-0004-0000-0E00-00003C010000}"/>
    <hyperlink ref="D120" r:id="rId318" display="https://www.linkedin.com/learning/communicating-across-cultures-virtually?trk=ondemandfile" xr:uid="{00000000-0004-0000-0E00-00003D010000}"/>
    <hyperlink ref="D121" r:id="rId319" display="https://www.linkedin.com/learning/unlocking-authentic-communication-in-a-culturally-diverse-workplace?trk=ondemandfile" xr:uid="{00000000-0004-0000-0E00-00003E010000}"/>
    <hyperlink ref="D122" r:id="rId320" display="https://www.linkedin.com/learning/learning-to-say-no-with-confidence-and-grace?trk=ondemandfile" xr:uid="{00000000-0004-0000-0E00-00003F01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Click and enter a value from range 'Competency Titles'!A1:A27" xr:uid="{00000000-0002-0000-0E00-000000000000}">
          <x14:formula1>
            <xm:f>#REF!</xm:f>
          </x14:formula1>
          <xm:sqref>B1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AA84F"/>
    <outlinePr summaryBelow="0" summaryRight="0"/>
  </sheetPr>
  <dimension ref="A1:AJ637"/>
  <sheetViews>
    <sheetView showGridLines="0" workbookViewId="0">
      <pane ySplit="3" topLeftCell="A4" activePane="bottomLeft" state="frozen"/>
      <selection pane="bottomLeft" sqref="A1:XFD1048576"/>
    </sheetView>
  </sheetViews>
  <sheetFormatPr baseColWidth="10" defaultColWidth="11.1640625" defaultRowHeight="15" customHeight="1"/>
  <cols>
    <col min="1" max="1" width="1.1640625" customWidth="1"/>
    <col min="2" max="2" width="11.1640625" customWidth="1"/>
    <col min="3" max="3" width="18.5" customWidth="1"/>
    <col min="4" max="5" width="44.5" customWidth="1"/>
    <col min="6" max="6" width="1.1640625" customWidth="1"/>
    <col min="7" max="7" width="11.1640625" customWidth="1"/>
    <col min="8" max="8" width="19.33203125" customWidth="1"/>
    <col min="9" max="10" width="44.5" customWidth="1"/>
    <col min="11" max="11" width="1.1640625" customWidth="1"/>
    <col min="12" max="12" width="11.1640625" customWidth="1"/>
    <col min="13" max="13" width="20.83203125" customWidth="1"/>
    <col min="14" max="15" width="44.5" customWidth="1"/>
    <col min="16" max="16" width="1.1640625" customWidth="1"/>
    <col min="17" max="17" width="11.1640625" customWidth="1"/>
    <col min="18" max="18" width="19.6640625" customWidth="1"/>
    <col min="19" max="20" width="44.5" customWidth="1"/>
    <col min="21" max="21" width="1.1640625" customWidth="1"/>
    <col min="23" max="23" width="18.6640625" customWidth="1"/>
    <col min="24" max="25" width="44.5" customWidth="1"/>
    <col min="26" max="26" width="1.1640625" customWidth="1"/>
    <col min="27" max="27" width="11.1640625" customWidth="1"/>
    <col min="28" max="28" width="26.6640625" customWidth="1"/>
    <col min="29" max="30" width="44.5" customWidth="1"/>
    <col min="31" max="31" width="1.1640625" customWidth="1"/>
    <col min="32" max="32" width="11.1640625" customWidth="1"/>
    <col min="33" max="33" width="21" customWidth="1"/>
    <col min="34" max="35" width="44.5" customWidth="1"/>
    <col min="36" max="36" width="1.1640625" customWidth="1"/>
  </cols>
  <sheetData>
    <row r="1" spans="1:36" ht="34.5" customHeight="1">
      <c r="A1" s="208"/>
      <c r="B1" s="230" t="s">
        <v>5</v>
      </c>
      <c r="C1" s="222"/>
      <c r="D1" s="222"/>
      <c r="E1" s="222"/>
      <c r="F1" s="208"/>
      <c r="G1" s="230" t="str">
        <f ca="1">IFERROR(__xludf.DUMMYFUNCTION("IFERROR(UNIQUE(FILTER(French!B:B,French!A:A=B1)))"),"Gestion et résolution de conflits")</f>
        <v>Gestion et résolution de conflits</v>
      </c>
      <c r="H1" s="222"/>
      <c r="I1" s="222"/>
      <c r="J1" s="222"/>
      <c r="K1" s="208"/>
      <c r="L1" s="230" t="str">
        <f ca="1">IFERROR(__xludf.DUMMYFUNCTION("IFERROR((UNIQUE(FILTER(Spanish!B:B,Spanish!A:A=B1))))"),"Gestión y resolución de conflictos")</f>
        <v>Gestión y resolución de conflictos</v>
      </c>
      <c r="M1" s="222"/>
      <c r="N1" s="222"/>
      <c r="O1" s="222"/>
      <c r="P1" s="208"/>
      <c r="Q1" s="230" t="str">
        <f ca="1">IFERROR(__xludf.DUMMYFUNCTION("IFERROR(UNIQUE(FILTER(German!B:B,German!A:A=B1)))"),"Konfliktmanagement und Konfliktlösung")</f>
        <v>Konfliktmanagement und Konfliktlösung</v>
      </c>
      <c r="R1" s="222"/>
      <c r="S1" s="222"/>
      <c r="T1" s="222"/>
      <c r="U1" s="208"/>
      <c r="V1" s="230" t="str">
        <f ca="1">IFERROR(__xludf.DUMMYFUNCTION("IFERROR(UNIQUE(FILTER(Japanese!B:B,Japanese!A:A=B1)))"),"コンフリクトマネジメントと解決方法")</f>
        <v>コンフリクトマネジメントと解決方法</v>
      </c>
      <c r="W1" s="222"/>
      <c r="X1" s="222"/>
      <c r="Y1" s="222"/>
      <c r="Z1" s="208"/>
      <c r="AA1" s="230" t="str">
        <f ca="1">IFERROR(__xludf.DUMMYFUNCTION("IFERROR(UNIQUE(FILTER(Portuguese!B:B,Portuguese!A:A=B1)))"),"Gestão e resolução de conflitos")</f>
        <v>Gestão e resolução de conflitos</v>
      </c>
      <c r="AB1" s="222"/>
      <c r="AC1" s="222"/>
      <c r="AD1" s="222"/>
      <c r="AE1" s="208"/>
      <c r="AF1" s="230" t="str">
        <f ca="1">IFERROR(__xludf.DUMMYFUNCTION("IFERROR(UNIQUE(FILTER(Mandarin!B:B,Mandarin!A:A=B1)))"),"管理并解决冲突")</f>
        <v>管理并解决冲突</v>
      </c>
      <c r="AG1" s="222"/>
      <c r="AH1" s="222"/>
      <c r="AI1" s="222"/>
      <c r="AJ1" s="208"/>
    </row>
    <row r="2" spans="1:36" ht="28" customHeight="1">
      <c r="A2" s="209"/>
      <c r="B2" s="234" t="s">
        <v>4713</v>
      </c>
      <c r="C2" s="222"/>
      <c r="D2" s="222"/>
      <c r="E2" s="222"/>
      <c r="F2" s="209"/>
      <c r="G2" s="231" t="s">
        <v>4714</v>
      </c>
      <c r="H2" s="222"/>
      <c r="I2" s="222"/>
      <c r="J2" s="222"/>
      <c r="K2" s="209"/>
      <c r="L2" s="235" t="s">
        <v>4715</v>
      </c>
      <c r="M2" s="222"/>
      <c r="N2" s="222"/>
      <c r="O2" s="222"/>
      <c r="P2" s="209"/>
      <c r="Q2" s="232" t="s">
        <v>4716</v>
      </c>
      <c r="R2" s="222"/>
      <c r="S2" s="222"/>
      <c r="T2" s="222"/>
      <c r="U2" s="209"/>
      <c r="V2" s="236" t="s">
        <v>4717</v>
      </c>
      <c r="W2" s="222"/>
      <c r="X2" s="222"/>
      <c r="Y2" s="222"/>
      <c r="Z2" s="209"/>
      <c r="AA2" s="233" t="s">
        <v>4718</v>
      </c>
      <c r="AB2" s="222"/>
      <c r="AC2" s="222"/>
      <c r="AD2" s="222"/>
      <c r="AE2" s="209"/>
      <c r="AF2" s="237" t="s">
        <v>4719</v>
      </c>
      <c r="AG2" s="222"/>
      <c r="AH2" s="222"/>
      <c r="AI2" s="222"/>
      <c r="AJ2" s="209"/>
    </row>
    <row r="3" spans="1:36" ht="26" customHeight="1">
      <c r="A3" s="210"/>
      <c r="B3" s="211" t="str">
        <f ca="1">IFERROR(__xludf.DUMMYFUNCTION("FILTER(English!B:B,English!A:A=B1)"),"Course IDs")</f>
        <v>Course IDs</v>
      </c>
      <c r="C3" s="211" t="str">
        <f ca="1">IFERROR(__xludf.DUMMYFUNCTION("FILTER(English!C:C,English!A:A=B1)"),"Levels")</f>
        <v>Levels</v>
      </c>
      <c r="D3" s="211" t="str">
        <f ca="1">IFERROR(__xludf.DUMMYFUNCTION("FILTER(English!D:D,English!A:A=B1)"),"Courses")</f>
        <v>Courses</v>
      </c>
      <c r="E3" s="212" t="str">
        <f ca="1">IFERROR(__xludf.DUMMYFUNCTION("FILTER(English!E:E,English!A:A=B1)"),"Learning Paths")</f>
        <v>Learning Paths</v>
      </c>
      <c r="F3" s="210"/>
      <c r="G3" s="211" t="str">
        <f ca="1">IFERROR(__xludf.DUMMYFUNCTION("FILTER(French!C:C,French!B:B=G1)"),"Course IDs")</f>
        <v>Course IDs</v>
      </c>
      <c r="H3" s="211" t="str">
        <f ca="1">IFERROR(__xludf.DUMMYFUNCTION("FILTER(French!D:D,French!B:B=G1)"),"Levels")</f>
        <v>Levels</v>
      </c>
      <c r="I3" s="211" t="str">
        <f ca="1">IFERROR(__xludf.DUMMYFUNCTION("FILTER(French!E:E,French!B:B=G1)"),"Courses")</f>
        <v>Courses</v>
      </c>
      <c r="J3" s="212" t="str">
        <f ca="1">IFERROR(__xludf.DUMMYFUNCTION("FILTER(French!G:G,French!B:B=G1)"),"Learning Paths")</f>
        <v>Learning Paths</v>
      </c>
      <c r="K3" s="210"/>
      <c r="L3" s="211" t="str">
        <f ca="1">IFERROR(__xludf.DUMMYFUNCTION("FILTER(Spanish!C:C,Spanish!B:B=L1)"),"Course IDs")</f>
        <v>Course IDs</v>
      </c>
      <c r="M3" s="211" t="str">
        <f ca="1">IFERROR(__xludf.DUMMYFUNCTION("FILTER(Spanish!D:D,Spanish!B:B=L1)"),"Levels")</f>
        <v>Levels</v>
      </c>
      <c r="N3" s="211" t="str">
        <f ca="1">IFERROR(__xludf.DUMMYFUNCTION("FILTER(Spanish!E:E,Spanish!B:B=L1)"),"Courses")</f>
        <v>Courses</v>
      </c>
      <c r="O3" s="212" t="str">
        <f ca="1">IFERROR(__xludf.DUMMYFUNCTION("FILTER(Spanish!G:G,Spanish!B:B=L1)"),"Learning Paths")</f>
        <v>Learning Paths</v>
      </c>
      <c r="P3" s="210"/>
      <c r="Q3" s="211" t="str">
        <f ca="1">IFERROR(__xludf.DUMMYFUNCTION("FILTER(German!C:C,German!B:B=Q1)"),"Course IDs")</f>
        <v>Course IDs</v>
      </c>
      <c r="R3" s="211" t="str">
        <f ca="1">IFERROR(__xludf.DUMMYFUNCTION("FILTER(German!D:D,German!B:B=Q1)"),"Levels")</f>
        <v>Levels</v>
      </c>
      <c r="S3" s="211" t="str">
        <f ca="1">IFERROR(__xludf.DUMMYFUNCTION("FILTER(German!E:E,German!B:B=Q1)"),"Courses")</f>
        <v>Courses</v>
      </c>
      <c r="T3" s="212" t="str">
        <f ca="1">IFERROR(__xludf.DUMMYFUNCTION("FILTER(German!G:G,German!B:B=Q1)"),"Learning Paths")</f>
        <v>Learning Paths</v>
      </c>
      <c r="U3" s="210"/>
      <c r="V3" s="211" t="str">
        <f ca="1">IFERROR(__xludf.DUMMYFUNCTION("FILTER(Japanese!C:C,Japanese!B:B=V1)"),"Course IDs")</f>
        <v>Course IDs</v>
      </c>
      <c r="W3" s="211" t="str">
        <f ca="1">IFERROR(__xludf.DUMMYFUNCTION("FILTER(Japanese!D:D,Japanese!B:B=V1)"),"Levels")</f>
        <v>Levels</v>
      </c>
      <c r="X3" s="211" t="str">
        <f ca="1">IFERROR(__xludf.DUMMYFUNCTION("FILTER(Japanese!E:E,Japanese!B:B=V1)"),"Courses")</f>
        <v>Courses</v>
      </c>
      <c r="Y3" s="212" t="str">
        <f ca="1">IFERROR(__xludf.DUMMYFUNCTION("FILTER(Japanese!G:G,Japanese!B:B=V1)"),"Learning Paths")</f>
        <v>Learning Paths</v>
      </c>
      <c r="Z3" s="210"/>
      <c r="AA3" s="211" t="str">
        <f ca="1">IFERROR(__xludf.DUMMYFUNCTION("FILTER(Portuguese!C:C,Portuguese!B:B=AA1)"),"Course IDs")</f>
        <v>Course IDs</v>
      </c>
      <c r="AB3" s="211" t="str">
        <f ca="1">IFERROR(__xludf.DUMMYFUNCTION("FILTER(Portuguese!D:D,Portuguese!B:B=AA1)"),"Levels")</f>
        <v>Levels</v>
      </c>
      <c r="AC3" s="211" t="str">
        <f ca="1">IFERROR(__xludf.DUMMYFUNCTION("FILTER(Portuguese!E:E,Portuguese!B:B=AA1)"),"Courses")</f>
        <v>Courses</v>
      </c>
      <c r="AD3" s="212" t="str">
        <f ca="1">IFERROR(__xludf.DUMMYFUNCTION("FILTER(Portuguese!G:G,Portuguese!B:B=AA1)"),"Learning Paths")</f>
        <v>Learning Paths</v>
      </c>
      <c r="AE3" s="210"/>
      <c r="AF3" s="211" t="str">
        <f ca="1">IFERROR(__xludf.DUMMYFUNCTION("FILTER(Mandarin!C:C,Mandarin!B:B=AF1)"),"Course IDs")</f>
        <v>Course IDs</v>
      </c>
      <c r="AG3" s="211" t="str">
        <f ca="1">IFERROR(__xludf.DUMMYFUNCTION("FILTER(Mandarin!D:D,Mandarin!B:B=AF1)"),"Levels")</f>
        <v>Levels</v>
      </c>
      <c r="AH3" s="211" t="str">
        <f ca="1">IFERROR(__xludf.DUMMYFUNCTION("FILTER(Mandarin!E:E,Mandarin!B:B=AF1)"),"Courses")</f>
        <v>Courses</v>
      </c>
      <c r="AI3" s="212" t="str">
        <f ca="1">IFERROR(__xludf.DUMMYFUNCTION("FILTER(Mandarin!G:G,Mandarin!B:B=AF1)"),"Learning Paths")</f>
        <v>Learning Paths</v>
      </c>
      <c r="AJ3" s="210"/>
    </row>
    <row r="4" spans="1:36" ht="33.75" customHeight="1">
      <c r="A4" s="213"/>
      <c r="B4" s="214">
        <f ca="1">IFERROR(__xludf.DUMMYFUNCTION("""COMPUTED_VALUE"""),664804)</f>
        <v>664804</v>
      </c>
      <c r="C4" s="215" t="str">
        <f ca="1">IFERROR(__xludf.DUMMYFUNCTION("""COMPUTED_VALUE"""),"Intermediate")</f>
        <v>Intermediate</v>
      </c>
      <c r="D4" s="216" t="str">
        <f ca="1">IFERROR(__xludf.DUMMYFUNCTION("""COMPUTED_VALUE"""),"Managing in Difficult Times")</f>
        <v>Managing in Difficult Times</v>
      </c>
      <c r="E4" s="217" t="str">
        <f ca="1">IFERROR(__xludf.DUMMYFUNCTION("""COMPUTED_VALUE"""),"Develop Conflict Management and Resolution Skills ")</f>
        <v xml:space="preserve">Develop Conflict Management and Resolution Skills </v>
      </c>
      <c r="F4" s="213"/>
      <c r="G4" s="214">
        <f ca="1">IFERROR(__xludf.DUMMYFUNCTION("""COMPUTED_VALUE"""),3107697)</f>
        <v>3107697</v>
      </c>
      <c r="H4" s="215" t="str">
        <f ca="1">IFERROR(__xludf.DUMMYFUNCTION("""COMPUTED_VALUE"""),"Advanced")</f>
        <v>Advanced</v>
      </c>
      <c r="I4" s="217" t="str">
        <f ca="1">IFERROR(__xludf.DUMMYFUNCTION("""COMPUTED_VALUE"""),"Adopter la pensée critique pour mieux juger et mieux décider")</f>
        <v>Adopter la pensée critique pour mieux juger et mieux décider</v>
      </c>
      <c r="J4" s="217" t="str">
        <f ca="1">IFERROR(__xludf.DUMMYFUNCTION("""COMPUTED_VALUE"""),"Améliorer ses compétences en gestion de conflits")</f>
        <v>Améliorer ses compétences en gestion de conflits</v>
      </c>
      <c r="K4" s="213"/>
      <c r="L4" s="215">
        <f ca="1">IFERROR(__xludf.DUMMYFUNCTION("""COMPUTED_VALUE"""),778411)</f>
        <v>778411</v>
      </c>
      <c r="M4" s="215" t="str">
        <f ca="1">IFERROR(__xludf.DUMMYFUNCTION("""COMPUTED_VALUE"""),"All levels")</f>
        <v>All levels</v>
      </c>
      <c r="N4" s="217" t="str">
        <f ca="1">IFERROR(__xludf.DUMMYFUNCTION("""COMPUTED_VALUE"""),"Cómo dar y recibir feedback o retroalimentación")</f>
        <v>Cómo dar y recibir feedback o retroalimentación</v>
      </c>
      <c r="O4" s="217" t="str">
        <f ca="1">IFERROR(__xludf.DUMMYFUNCTION("""COMPUTED_VALUE"""),"Mejora tu capacidad para comunicar con las personas")</f>
        <v>Mejora tu capacidad para comunicar con las personas</v>
      </c>
      <c r="P4" s="213"/>
      <c r="Q4" s="215">
        <f ca="1">IFERROR(__xludf.DUMMYFUNCTION("""COMPUTED_VALUE"""),5025562)</f>
        <v>5025562</v>
      </c>
      <c r="R4" s="215" t="str">
        <f ca="1">IFERROR(__xludf.DUMMYFUNCTION("""COMPUTED_VALUE"""),"Intermediate")</f>
        <v>Intermediate</v>
      </c>
      <c r="S4" s="217" t="str">
        <f ca="1">IFERROR(__xludf.DUMMYFUNCTION("""COMPUTED_VALUE"""),"Die Leistung der Mitarbeiter:innen steigern")</f>
        <v>Die Leistung der Mitarbeiter:innen steigern</v>
      </c>
      <c r="T4" s="217" t="str">
        <f ca="1">IFERROR(__xludf.DUMMYFUNCTION("""COMPUTED_VALUE"""),"Besser kommunizieren")</f>
        <v>Besser kommunizieren</v>
      </c>
      <c r="U4" s="213"/>
      <c r="V4" s="215">
        <f ca="1">IFERROR(__xludf.DUMMYFUNCTION("""COMPUTED_VALUE"""),603630)</f>
        <v>603630</v>
      </c>
      <c r="W4" s="215" t="str">
        <f ca="1">IFERROR(__xludf.DUMMYFUNCTION("""COMPUTED_VALUE"""),"All levels")</f>
        <v>All levels</v>
      </c>
      <c r="X4" s="217" t="str">
        <f ca="1">IFERROR(__xludf.DUMMYFUNCTION("""COMPUTED_VALUE"""),"ジェフ・ウェイナー 思いやりのマネジメント")</f>
        <v>ジェフ・ウェイナー 思いやりのマネジメント</v>
      </c>
      <c r="Y4" s="217" t="str">
        <f ca="1">IFERROR(__xludf.DUMMYFUNCTION("""COMPUTED_VALUE"""),"N/A")</f>
        <v>N/A</v>
      </c>
      <c r="Z4" s="213"/>
      <c r="AA4" s="215">
        <f ca="1">IFERROR(__xludf.DUMMYFUNCTION("""COMPUTED_VALUE"""),2928600)</f>
        <v>2928600</v>
      </c>
      <c r="AB4" s="215" t="str">
        <f ca="1">IFERROR(__xludf.DUMMYFUNCTION("""COMPUTED_VALUE"""),"All levels")</f>
        <v>All levels</v>
      </c>
      <c r="AC4" s="217" t="str">
        <f ca="1">IFERROR(__xludf.DUMMYFUNCTION("""COMPUTED_VALUE"""),"Como Conduzir Conversas Difíceis")</f>
        <v>Como Conduzir Conversas Difíceis</v>
      </c>
      <c r="AD4" s="217" t="str">
        <f ca="1">IFERROR(__xludf.DUMMYFUNCTION("""COMPUTED_VALUE"""),"Melhore suas Habilidades de Resolução de Problemas")</f>
        <v>Melhore suas Habilidades de Resolução de Problemas</v>
      </c>
      <c r="AE4" s="213"/>
      <c r="AF4" s="215">
        <f ca="1">IFERROR(__xludf.DUMMYFUNCTION("""COMPUTED_VALUE"""),3102032)</f>
        <v>3102032</v>
      </c>
      <c r="AG4" s="215" t="str">
        <f ca="1">IFERROR(__xludf.DUMMYFUNCTION("""COMPUTED_VALUE"""),"Beginner")</f>
        <v>Beginner</v>
      </c>
      <c r="AH4" s="217" t="str">
        <f ca="1">IFERROR(__xludf.DUMMYFUNCTION("""COMPUTED_VALUE"""),"与难缠者共事")</f>
        <v>与难缠者共事</v>
      </c>
      <c r="AI4" s="217" t="str">
        <f ca="1">IFERROR(__xludf.DUMMYFUNCTION("""COMPUTED_VALUE"""),"提升自我：度过艰难时期")</f>
        <v>提升自我：度过艰难时期</v>
      </c>
      <c r="AJ4" s="213"/>
    </row>
    <row r="5" spans="1:36" ht="45">
      <c r="A5" s="213"/>
      <c r="B5" s="214">
        <f ca="1">IFERROR(__xludf.DUMMYFUNCTION("""COMPUTED_VALUE"""),5015882)</f>
        <v>5015882</v>
      </c>
      <c r="C5" s="215" t="str">
        <f ca="1">IFERROR(__xludf.DUMMYFUNCTION("""COMPUTED_VALUE"""),"Intermediate")</f>
        <v>Intermediate</v>
      </c>
      <c r="D5" s="216" t="str">
        <f ca="1">IFERROR(__xludf.DUMMYFUNCTION("""COMPUTED_VALUE"""),"The Hard Thing About Hard Things: Building a Business When There Are No Easy Answers (Blinkist Summary)")</f>
        <v>The Hard Thing About Hard Things: Building a Business When There Are No Easy Answers (Blinkist Summary)</v>
      </c>
      <c r="E5" s="217" t="str">
        <f ca="1">IFERROR(__xludf.DUMMYFUNCTION("""COMPUTED_VALUE"""),"Improve Your Teamwork Skills")</f>
        <v>Improve Your Teamwork Skills</v>
      </c>
      <c r="F5" s="213"/>
      <c r="G5" s="214">
        <f ca="1">IFERROR(__xludf.DUMMYFUNCTION("""COMPUTED_VALUE"""),2809486)</f>
        <v>2809486</v>
      </c>
      <c r="H5" s="215" t="str">
        <f ca="1">IFERROR(__xludf.DUMMYFUNCTION("""COMPUTED_VALUE"""),"Intermediate")</f>
        <v>Intermediate</v>
      </c>
      <c r="I5" s="217" t="str">
        <f ca="1">IFERROR(__xludf.DUMMYFUNCTION("""COMPUTED_VALUE"""),"Améliorer sa capacité d'écoute")</f>
        <v>Améliorer sa capacité d'écoute</v>
      </c>
      <c r="J5" s="217"/>
      <c r="K5" s="213"/>
      <c r="L5" s="215">
        <f ca="1">IFERROR(__xludf.DUMMYFUNCTION("""COMPUTED_VALUE"""),561223)</f>
        <v>561223</v>
      </c>
      <c r="M5" s="215" t="str">
        <f ca="1">IFERROR(__xludf.DUMMYFUNCTION("""COMPUTED_VALUE"""),"All levels")</f>
        <v>All levels</v>
      </c>
      <c r="N5" s="217" t="str">
        <f ca="1">IFERROR(__xludf.DUMMYFUNCTION("""COMPUTED_VALUE"""),"Cómo decir que no")</f>
        <v>Cómo decir que no</v>
      </c>
      <c r="O5" s="217" t="str">
        <f ca="1">IFERROR(__xludf.DUMMYFUNCTION("""COMPUTED_VALUE"""),"Mejora tus dotes de liderazgo y gestión de equipos de trabajo")</f>
        <v>Mejora tus dotes de liderazgo y gestión de equipos de trabajo</v>
      </c>
      <c r="P5" s="213"/>
      <c r="Q5" s="215">
        <f ca="1">IFERROR(__xludf.DUMMYFUNCTION("""COMPUTED_VALUE"""),518927)</f>
        <v>518927</v>
      </c>
      <c r="R5" s="215" t="str">
        <f ca="1">IFERROR(__xludf.DUMMYFUNCTION("""COMPUTED_VALUE"""),"All levels")</f>
        <v>All levels</v>
      </c>
      <c r="S5" s="217" t="str">
        <f ca="1">IFERROR(__xludf.DUMMYFUNCTION("""COMPUTED_VALUE"""),"Erfolgreich zuhören")</f>
        <v>Erfolgreich zuhören</v>
      </c>
      <c r="T5" s="217" t="str">
        <f ca="1">IFERROR(__xludf.DUMMYFUNCTION("""COMPUTED_VALUE"""),"Die Zusammenarbeit fördern")</f>
        <v>Die Zusammenarbeit fördern</v>
      </c>
      <c r="U5" s="213"/>
      <c r="V5" s="215">
        <f ca="1">IFERROR(__xludf.DUMMYFUNCTION("""COMPUTED_VALUE"""),724509)</f>
        <v>724509</v>
      </c>
      <c r="W5" s="215" t="str">
        <f ca="1">IFERROR(__xludf.DUMMYFUNCTION("""COMPUTED_VALUE"""),"Intermediate")</f>
        <v>Intermediate</v>
      </c>
      <c r="X5" s="217" t="str">
        <f ca="1">IFERROR(__xludf.DUMMYFUNCTION("""COMPUTED_VALUE"""),"優れた聴き手になるには")</f>
        <v>優れた聴き手になるには</v>
      </c>
      <c r="Y5" s="217"/>
      <c r="Z5" s="213"/>
      <c r="AA5" s="215">
        <f ca="1">IFERROR(__xludf.DUMMYFUNCTION("""COMPUTED_VALUE"""),752464)</f>
        <v>752464</v>
      </c>
      <c r="AB5" s="215" t="str">
        <f ca="1">IFERROR(__xludf.DUMMYFUNCTION("""COMPUTED_VALUE"""),"Beginner")</f>
        <v>Beginner</v>
      </c>
      <c r="AC5" s="217" t="str">
        <f ca="1">IFERROR(__xludf.DUMMYFUNCTION("""COMPUTED_VALUE"""),"Como Dar Feedback aos Colaboradores")</f>
        <v>Como Dar Feedback aos Colaboradores</v>
      </c>
      <c r="AD5" s="217" t="str">
        <f ca="1">IFERROR(__xludf.DUMMYFUNCTION("""COMPUTED_VALUE"""),"Como superar os desafios e se reinventar em tempos difíceis")</f>
        <v>Como superar os desafios e se reinventar em tempos difíceis</v>
      </c>
      <c r="AE5" s="213"/>
      <c r="AF5" s="215">
        <f ca="1">IFERROR(__xludf.DUMMYFUNCTION("""COMPUTED_VALUE"""),762263)</f>
        <v>762263</v>
      </c>
      <c r="AG5" s="215" t="str">
        <f ca="1">IFERROR(__xludf.DUMMYFUNCTION("""COMPUTED_VALUE"""),"Beginner")</f>
        <v>Beginner</v>
      </c>
      <c r="AH5" s="217" t="str">
        <f ca="1">IFERROR(__xludf.DUMMYFUNCTION("""COMPUTED_VALUE"""),"为员工提供反馈")</f>
        <v>为员工提供反馈</v>
      </c>
      <c r="AI5" s="217" t="str">
        <f ca="1">IFERROR(__xludf.DUMMYFUNCTION("""COMPUTED_VALUE"""),"掌握职场中的人际关系软技能")</f>
        <v>掌握职场中的人际关系软技能</v>
      </c>
      <c r="AJ5" s="213"/>
    </row>
    <row r="6" spans="1:36" ht="45">
      <c r="A6" s="213"/>
      <c r="B6" s="214">
        <f ca="1">IFERROR(__xludf.DUMMYFUNCTION("""COMPUTED_VALUE"""),2242042)</f>
        <v>2242042</v>
      </c>
      <c r="C6" s="215" t="str">
        <f ca="1">IFERROR(__xludf.DUMMYFUNCTION("""COMPUTED_VALUE"""),"General")</f>
        <v>General</v>
      </c>
      <c r="D6" s="216" t="str">
        <f ca="1">IFERROR(__xludf.DUMMYFUNCTION("""COMPUTED_VALUE"""),"Managing Conflict: A Practical Guide to Resolution in the Workplace (getAbstract Summary)")</f>
        <v>Managing Conflict: A Practical Guide to Resolution in the Workplace (getAbstract Summary)</v>
      </c>
      <c r="E6" s="217" t="str">
        <f ca="1">IFERROR(__xludf.DUMMYFUNCTION("""COMPUTED_VALUE"""),"Master In-Demand Professional Soft Skills")</f>
        <v>Master In-Demand Professional Soft Skills</v>
      </c>
      <c r="F6" s="213"/>
      <c r="G6" s="214">
        <f ca="1">IFERROR(__xludf.DUMMYFUNCTION("""COMPUTED_VALUE"""),627593)</f>
        <v>627593</v>
      </c>
      <c r="H6" s="215" t="str">
        <f ca="1">IFERROR(__xludf.DUMMYFUNCTION("""COMPUTED_VALUE"""),"Beginner, Intermediate")</f>
        <v>Beginner, Intermediate</v>
      </c>
      <c r="I6" s="217" t="str">
        <f ca="1">IFERROR(__xludf.DUMMYFUNCTION("""COMPUTED_VALUE"""),"Améliorer ses compétences en gestion de conflits")</f>
        <v>Améliorer ses compétences en gestion de conflits</v>
      </c>
      <c r="J6" s="217"/>
      <c r="K6" s="213"/>
      <c r="L6" s="215">
        <f ca="1">IFERROR(__xludf.DUMMYFUNCTION("""COMPUTED_VALUE"""),750060)</f>
        <v>750060</v>
      </c>
      <c r="M6" s="215" t="str">
        <f ca="1">IFERROR(__xludf.DUMMYFUNCTION("""COMPUTED_VALUE"""),"All levels")</f>
        <v>All levels</v>
      </c>
      <c r="N6" s="217" t="str">
        <f ca="1">IFERROR(__xludf.DUMMYFUNCTION("""COMPUTED_VALUE"""),"Cómo despedir a tu personal")</f>
        <v>Cómo despedir a tu personal</v>
      </c>
      <c r="O6" s="217" t="str">
        <f ca="1">IFERROR(__xludf.DUMMYFUNCTION("""COMPUTED_VALUE"""),"Domina las habilidades de vida sociales")</f>
        <v>Domina las habilidades de vida sociales</v>
      </c>
      <c r="P6" s="213"/>
      <c r="Q6" s="215">
        <f ca="1">IFERROR(__xludf.DUMMYFUNCTION("""COMPUTED_VALUE"""),2922309)</f>
        <v>2922309</v>
      </c>
      <c r="R6" s="215" t="str">
        <f ca="1">IFERROR(__xludf.DUMMYFUNCTION("""COMPUTED_VALUE"""),"All levels")</f>
        <v>All levels</v>
      </c>
      <c r="S6" s="217" t="str">
        <f ca="1">IFERROR(__xludf.DUMMYFUNCTION("""COMPUTED_VALUE"""),"Erfolgreiche Einzelgespräche führen")</f>
        <v>Erfolgreiche Einzelgespräche führen</v>
      </c>
      <c r="T6" s="217"/>
      <c r="U6" s="213"/>
      <c r="V6" s="215">
        <f ca="1">IFERROR(__xludf.DUMMYFUNCTION("""COMPUTED_VALUE"""),2905076)</f>
        <v>2905076</v>
      </c>
      <c r="W6" s="215" t="str">
        <f ca="1">IFERROR(__xludf.DUMMYFUNCTION("""COMPUTED_VALUE"""),"Beginner")</f>
        <v>Beginner</v>
      </c>
      <c r="X6" s="217" t="str">
        <f ca="1">IFERROR(__xludf.DUMMYFUNCTION("""COMPUTED_VALUE"""),"対立を解決するには")</f>
        <v>対立を解決するには</v>
      </c>
      <c r="Y6" s="217"/>
      <c r="Z6" s="213"/>
      <c r="AA6" s="215">
        <f ca="1">IFERROR(__xludf.DUMMYFUNCTION("""COMPUTED_VALUE"""),2282124)</f>
        <v>2282124</v>
      </c>
      <c r="AB6" s="215" t="str">
        <f ca="1">IFERROR(__xludf.DUMMYFUNCTION("""COMPUTED_VALUE"""),"Beginner")</f>
        <v>Beginner</v>
      </c>
      <c r="AC6" s="217" t="str">
        <f ca="1">IFERROR(__xludf.DUMMYFUNCTION("""COMPUTED_VALUE"""),"Como Desenvolver a Autoconfiança")</f>
        <v>Como Desenvolver a Autoconfiança</v>
      </c>
      <c r="AD6" s="217"/>
      <c r="AE6" s="213"/>
      <c r="AF6" s="215">
        <f ca="1">IFERROR(__xludf.DUMMYFUNCTION("""COMPUTED_VALUE"""),779389)</f>
        <v>779389</v>
      </c>
      <c r="AG6" s="215" t="str">
        <f ca="1">IFERROR(__xludf.DUMMYFUNCTION("""COMPUTED_VALUE"""),"All levels")</f>
        <v>All levels</v>
      </c>
      <c r="AH6" s="217" t="str">
        <f ca="1">IFERROR(__xludf.DUMMYFUNCTION("""COMPUTED_VALUE"""),"冲突解决基础知识")</f>
        <v>冲突解决基础知识</v>
      </c>
      <c r="AI6" s="217" t="str">
        <f ca="1">IFERROR(__xludf.DUMMYFUNCTION("""COMPUTED_VALUE"""),"提高问题解决技能")</f>
        <v>提高问题解决技能</v>
      </c>
      <c r="AJ6" s="213"/>
    </row>
    <row r="7" spans="1:36" ht="33.75" customHeight="1">
      <c r="A7" s="213"/>
      <c r="B7" s="214">
        <f ca="1">IFERROR(__xludf.DUMMYFUNCTION("""COMPUTED_VALUE"""),182921)</f>
        <v>182921</v>
      </c>
      <c r="C7" s="215" t="str">
        <f ca="1">IFERROR(__xludf.DUMMYFUNCTION("""COMPUTED_VALUE"""),"Advanced")</f>
        <v>Advanced</v>
      </c>
      <c r="D7" s="216" t="str">
        <f ca="1">IFERROR(__xludf.DUMMYFUNCTION("""COMPUTED_VALUE"""),"Crisis Communication")</f>
        <v>Crisis Communication</v>
      </c>
      <c r="E7" s="217" t="str">
        <f ca="1">IFERROR(__xludf.DUMMYFUNCTION("""COMPUTED_VALUE"""),"Succeeding in Sales During Times of Volatility")</f>
        <v>Succeeding in Sales During Times of Volatility</v>
      </c>
      <c r="F7" s="213"/>
      <c r="G7" s="214">
        <f ca="1">IFERROR(__xludf.DUMMYFUNCTION("""COMPUTED_VALUE"""),554313)</f>
        <v>554313</v>
      </c>
      <c r="H7" s="215" t="str">
        <f ca="1">IFERROR(__xludf.DUMMYFUNCTION("""COMPUTED_VALUE"""),"All levels")</f>
        <v>All levels</v>
      </c>
      <c r="I7" s="217" t="str">
        <f ca="1">IFERROR(__xludf.DUMMYFUNCTION("""COMPUTED_VALUE"""),"Apprendre à dire « non »")</f>
        <v>Apprendre à dire « non »</v>
      </c>
      <c r="J7" s="217"/>
      <c r="K7" s="213"/>
      <c r="L7" s="215">
        <f ca="1">IFERROR(__xludf.DUMMYFUNCTION("""COMPUTED_VALUE"""),2915508)</f>
        <v>2915508</v>
      </c>
      <c r="M7" s="215" t="str">
        <f ca="1">IFERROR(__xludf.DUMMYFUNCTION("""COMPUTED_VALUE"""),"All levels")</f>
        <v>All levels</v>
      </c>
      <c r="N7" s="217" t="str">
        <f ca="1">IFERROR(__xludf.DUMMYFUNCTION("""COMPUTED_VALUE"""),"Cómo detener el acoso laboral y la intimidación")</f>
        <v>Cómo detener el acoso laboral y la intimidación</v>
      </c>
      <c r="O7" s="217"/>
      <c r="P7" s="213"/>
      <c r="Q7" s="215">
        <f ca="1">IFERROR(__xludf.DUMMYFUNCTION("""COMPUTED_VALUE"""),561054)</f>
        <v>561054</v>
      </c>
      <c r="R7" s="215" t="str">
        <f ca="1">IFERROR(__xludf.DUMMYFUNCTION("""COMPUTED_VALUE"""),"All levels")</f>
        <v>All levels</v>
      </c>
      <c r="S7" s="217" t="str">
        <f ca="1">IFERROR(__xludf.DUMMYFUNCTION("""COMPUTED_VALUE"""),"Fred Kofman über Konfliktmanagement")</f>
        <v>Fred Kofman über Konfliktmanagement</v>
      </c>
      <c r="T7" s="217"/>
      <c r="U7" s="213"/>
      <c r="V7" s="215"/>
      <c r="W7" s="215"/>
      <c r="X7" s="217"/>
      <c r="Y7" s="217"/>
      <c r="Z7" s="213"/>
      <c r="AA7" s="215">
        <f ca="1">IFERROR(__xludf.DUMMYFUNCTION("""COMPUTED_VALUE"""),753101)</f>
        <v>753101</v>
      </c>
      <c r="AB7" s="215" t="str">
        <f ca="1">IFERROR(__xludf.DUMMYFUNCTION("""COMPUTED_VALUE"""),"All levels")</f>
        <v>All levels</v>
      </c>
      <c r="AC7" s="217" t="str">
        <f ca="1">IFERROR(__xludf.DUMMYFUNCTION("""COMPUTED_VALUE"""),"Como Desenvolver a Resiliência")</f>
        <v>Como Desenvolver a Resiliência</v>
      </c>
      <c r="AD7" s="217"/>
      <c r="AE7" s="213"/>
      <c r="AF7" s="215">
        <f ca="1">IFERROR(__xludf.DUMMYFUNCTION("""COMPUTED_VALUE"""),2825734)</f>
        <v>2825734</v>
      </c>
      <c r="AG7" s="215" t="str">
        <f ca="1">IFERROR(__xludf.DUMMYFUNCTION("""COMPUTED_VALUE"""),"Intermediate")</f>
        <v>Intermediate</v>
      </c>
      <c r="AH7" s="217" t="str">
        <f ca="1">IFERROR(__xludf.DUMMYFUNCTION("""COMPUTED_VALUE"""),"变革时期的沟通策略")</f>
        <v>变革时期的沟通策略</v>
      </c>
      <c r="AI7" s="217"/>
      <c r="AJ7" s="213"/>
    </row>
    <row r="8" spans="1:36" ht="33.75" customHeight="1">
      <c r="A8" s="213"/>
      <c r="B8" s="214">
        <f ca="1">IFERROR(__xludf.DUMMYFUNCTION("""COMPUTED_VALUE"""),580624)</f>
        <v>580624</v>
      </c>
      <c r="C8" s="215" t="str">
        <f ca="1">IFERROR(__xludf.DUMMYFUNCTION("""COMPUTED_VALUE"""),"Intermediate")</f>
        <v>Intermediate</v>
      </c>
      <c r="D8" s="216" t="str">
        <f ca="1">IFERROR(__xludf.DUMMYFUNCTION("""COMPUTED_VALUE"""),"Communicating in Times of Change")</f>
        <v>Communicating in Times of Change</v>
      </c>
      <c r="E8" s="217"/>
      <c r="F8" s="213"/>
      <c r="G8" s="214">
        <f ca="1">IFERROR(__xludf.DUMMYFUNCTION("""COMPUTED_VALUE"""),708567)</f>
        <v>708567</v>
      </c>
      <c r="H8" s="215" t="str">
        <f ca="1">IFERROR(__xludf.DUMMYFUNCTION("""COMPUTED_VALUE"""),"Intermediate")</f>
        <v>Intermediate</v>
      </c>
      <c r="I8" s="217" t="str">
        <f ca="1">IFERROR(__xludf.DUMMYFUNCTION("""COMPUTED_VALUE"""),"Changement et communication")</f>
        <v>Changement et communication</v>
      </c>
      <c r="J8" s="217"/>
      <c r="K8" s="213"/>
      <c r="L8" s="215">
        <f ca="1">IFERROR(__xludf.DUMMYFUNCTION("""COMPUTED_VALUE"""),5025585)</f>
        <v>5025585</v>
      </c>
      <c r="M8" s="215" t="str">
        <f ca="1">IFERROR(__xludf.DUMMYFUNCTION("""COMPUTED_VALUE"""),"Advanced")</f>
        <v>Advanced</v>
      </c>
      <c r="N8" s="217" t="str">
        <f ca="1">IFERROR(__xludf.DUMMYFUNCTION("""COMPUTED_VALUE"""),"Cómo gestionar el enfado en la clientela")</f>
        <v>Cómo gestionar el enfado en la clientela</v>
      </c>
      <c r="O8" s="217"/>
      <c r="P8" s="213"/>
      <c r="Q8" s="215">
        <f ca="1">IFERROR(__xludf.DUMMYFUNCTION("""COMPUTED_VALUE"""),593912)</f>
        <v>593912</v>
      </c>
      <c r="R8" s="215" t="str">
        <f ca="1">IFERROR(__xludf.DUMMYFUNCTION("""COMPUTED_VALUE"""),"All levels")</f>
        <v>All levels</v>
      </c>
      <c r="S8" s="217" t="str">
        <f ca="1">IFERROR(__xludf.DUMMYFUNCTION("""COMPUTED_VALUE"""),"Grundlagen der Mediation")</f>
        <v>Grundlagen der Mediation</v>
      </c>
      <c r="T8" s="217"/>
      <c r="U8" s="213"/>
      <c r="V8" s="215"/>
      <c r="W8" s="215"/>
      <c r="X8" s="217"/>
      <c r="Y8" s="217"/>
      <c r="Z8" s="213"/>
      <c r="AA8" s="215">
        <f ca="1">IFERROR(__xludf.DUMMYFUNCTION("""COMPUTED_VALUE"""),801472)</f>
        <v>801472</v>
      </c>
      <c r="AB8" s="215" t="str">
        <f ca="1">IFERROR(__xludf.DUMMYFUNCTION("""COMPUTED_VALUE"""),"All levels")</f>
        <v>All levels</v>
      </c>
      <c r="AC8" s="217" t="str">
        <f ca="1">IFERROR(__xludf.DUMMYFUNCTION("""COMPUTED_VALUE"""),"Como Dizer Não")</f>
        <v>Como Dizer Não</v>
      </c>
      <c r="AD8" s="217"/>
      <c r="AE8" s="213"/>
      <c r="AF8" s="215">
        <f ca="1">IFERROR(__xludf.DUMMYFUNCTION("""COMPUTED_VALUE"""),2825059)</f>
        <v>2825059</v>
      </c>
      <c r="AG8" s="215" t="str">
        <f ca="1">IFERROR(__xludf.DUMMYFUNCTION("""COMPUTED_VALUE"""),"Intermediate")</f>
        <v>Intermediate</v>
      </c>
      <c r="AH8" s="217" t="str">
        <f ca="1">IFERROR(__xludf.DUMMYFUNCTION("""COMPUTED_VALUE"""),"向上管理、向下管理与平行管理")</f>
        <v>向上管理、向下管理与平行管理</v>
      </c>
      <c r="AI8" s="217"/>
      <c r="AJ8" s="213"/>
    </row>
    <row r="9" spans="1:36" ht="33.75" customHeight="1">
      <c r="A9" s="213"/>
      <c r="B9" s="214">
        <f ca="1">IFERROR(__xludf.DUMMYFUNCTION("""COMPUTED_VALUE"""),743145)</f>
        <v>743145</v>
      </c>
      <c r="C9" s="215" t="str">
        <f ca="1">IFERROR(__xludf.DUMMYFUNCTION("""COMPUTED_VALUE"""),"Intermediate")</f>
        <v>Intermediate</v>
      </c>
      <c r="D9" s="216" t="str">
        <f ca="1">IFERROR(__xludf.DUMMYFUNCTION("""COMPUTED_VALUE"""),"Reputation Risk Management")</f>
        <v>Reputation Risk Management</v>
      </c>
      <c r="E9" s="217"/>
      <c r="F9" s="213"/>
      <c r="G9" s="214">
        <f ca="1">IFERROR(__xludf.DUMMYFUNCTION("""COMPUTED_VALUE"""),3107658)</f>
        <v>3107658</v>
      </c>
      <c r="H9" s="215" t="str">
        <f ca="1">IFERROR(__xludf.DUMMYFUNCTION("""COMPUTED_VALUE"""),"Intermediate")</f>
        <v>Intermediate</v>
      </c>
      <c r="I9" s="217" t="str">
        <f ca="1">IFERROR(__xludf.DUMMYFUNCTION("""COMPUTED_VALUE"""),"Construire la résilience en tant que leader")</f>
        <v>Construire la résilience en tant que leader</v>
      </c>
      <c r="J9" s="217"/>
      <c r="K9" s="213"/>
      <c r="L9" s="215">
        <f ca="1">IFERROR(__xludf.DUMMYFUNCTION("""COMPUTED_VALUE"""),5025675)</f>
        <v>5025675</v>
      </c>
      <c r="M9" s="215" t="str">
        <f ca="1">IFERROR(__xludf.DUMMYFUNCTION("""COMPUTED_VALUE"""),"Beginner")</f>
        <v>Beginner</v>
      </c>
      <c r="N9" s="217" t="str">
        <f ca="1">IFERROR(__xludf.DUMMYFUNCTION("""COMPUTED_VALUE"""),"Cómo superar los sesgos cognitivos")</f>
        <v>Cómo superar los sesgos cognitivos</v>
      </c>
      <c r="O9" s="217"/>
      <c r="P9" s="213"/>
      <c r="Q9" s="215">
        <f ca="1">IFERROR(__xludf.DUMMYFUNCTION("""COMPUTED_VALUE"""),593919)</f>
        <v>593919</v>
      </c>
      <c r="R9" s="215" t="str">
        <f ca="1">IFERROR(__xludf.DUMMYFUNCTION("""COMPUTED_VALUE"""),"All levels")</f>
        <v>All levels</v>
      </c>
      <c r="S9" s="217" t="str">
        <f ca="1">IFERROR(__xludf.DUMMYFUNCTION("""COMPUTED_VALUE"""),"Jeff Weiner über anteilnehmendes Management")</f>
        <v>Jeff Weiner über anteilnehmendes Management</v>
      </c>
      <c r="T9" s="217"/>
      <c r="U9" s="213"/>
      <c r="V9" s="215"/>
      <c r="W9" s="215"/>
      <c r="X9" s="217"/>
      <c r="Y9" s="217"/>
      <c r="Z9" s="213"/>
      <c r="AA9" s="215">
        <f ca="1">IFERROR(__xludf.DUMMYFUNCTION("""COMPUTED_VALUE"""),748851)</f>
        <v>748851</v>
      </c>
      <c r="AB9" s="215" t="str">
        <f ca="1">IFERROR(__xludf.DUMMYFUNCTION("""COMPUTED_VALUE"""),"All levels")</f>
        <v>All levels</v>
      </c>
      <c r="AC9" s="217" t="str">
        <f ca="1">IFERROR(__xludf.DUMMYFUNCTION("""COMPUTED_VALUE"""),"Como Escutar de Forma Eficaz")</f>
        <v>Como Escutar de Forma Eficaz</v>
      </c>
      <c r="AD9" s="217"/>
      <c r="AE9" s="213"/>
      <c r="AF9" s="215">
        <f ca="1">IFERROR(__xludf.DUMMYFUNCTION("""COMPUTED_VALUE"""),773688)</f>
        <v>773688</v>
      </c>
      <c r="AG9" s="215" t="str">
        <f ca="1">IFERROR(__xludf.DUMMYFUNCTION("""COMPUTED_VALUE"""),"All levels")</f>
        <v>All levels</v>
      </c>
      <c r="AH9" s="217" t="str">
        <f ca="1">IFERROR(__xludf.DUMMYFUNCTION("""COMPUTED_VALUE"""),"培养复原力")</f>
        <v>培养复原力</v>
      </c>
      <c r="AI9" s="217"/>
      <c r="AJ9" s="213"/>
    </row>
    <row r="10" spans="1:36" ht="33.75" customHeight="1">
      <c r="A10" s="213"/>
      <c r="B10" s="214">
        <f ca="1">IFERROR(__xludf.DUMMYFUNCTION("""COMPUTED_VALUE"""),2825157)</f>
        <v>2825157</v>
      </c>
      <c r="C10" s="215" t="str">
        <f ca="1">IFERROR(__xludf.DUMMYFUNCTION("""COMPUTED_VALUE"""),"Beginner + Intermediate")</f>
        <v>Beginner + Intermediate</v>
      </c>
      <c r="D10" s="216" t="str">
        <f ca="1">IFERROR(__xludf.DUMMYFUNCTION("""COMPUTED_VALUE"""),"Difficult Situations: Solutions for Managers")</f>
        <v>Difficult Situations: Solutions for Managers</v>
      </c>
      <c r="E10" s="217"/>
      <c r="F10" s="213"/>
      <c r="G10" s="214">
        <f ca="1">IFERROR(__xludf.DUMMYFUNCTION("""COMPUTED_VALUE"""),2250561)</f>
        <v>2250561</v>
      </c>
      <c r="H10" s="215" t="str">
        <f ca="1">IFERROR(__xludf.DUMMYFUNCTION("""COMPUTED_VALUE"""),"Intermediate")</f>
        <v>Intermediate</v>
      </c>
      <c r="I10" s="217" t="str">
        <f ca="1">IFERROR(__xludf.DUMMYFUNCTION("""COMPUTED_VALUE"""),"Créer des conversations constructives avec des clients exigeants / clientes exigeantes")</f>
        <v>Créer des conversations constructives avec des clients exigeants / clientes exigeantes</v>
      </c>
      <c r="J10" s="217"/>
      <c r="K10" s="213"/>
      <c r="L10" s="215">
        <f ca="1">IFERROR(__xludf.DUMMYFUNCTION("""COMPUTED_VALUE"""),774932)</f>
        <v>774932</v>
      </c>
      <c r="M10" s="215" t="str">
        <f ca="1">IFERROR(__xludf.DUMMYFUNCTION("""COMPUTED_VALUE"""),"Advanced")</f>
        <v>Advanced</v>
      </c>
      <c r="N10" s="217" t="str">
        <f ca="1">IFERROR(__xludf.DUMMYFUNCTION("""COMPUTED_VALUE"""),"Cómo tener conversaciones difíciles")</f>
        <v>Cómo tener conversaciones difíciles</v>
      </c>
      <c r="O10" s="217"/>
      <c r="P10" s="213"/>
      <c r="Q10" s="215">
        <f ca="1">IFERROR(__xludf.DUMMYFUNCTION("""COMPUTED_VALUE"""),2215003)</f>
        <v>2215003</v>
      </c>
      <c r="R10" s="215" t="str">
        <f ca="1">IFERROR(__xludf.DUMMYFUNCTION("""COMPUTED_VALUE"""),"Intermediate")</f>
        <v>Intermediate</v>
      </c>
      <c r="S10" s="217" t="str">
        <f ca="1">IFERROR(__xludf.DUMMYFUNCTION("""COMPUTED_VALUE"""),"Kommunikation in Zeiten der Veränderung")</f>
        <v>Kommunikation in Zeiten der Veränderung</v>
      </c>
      <c r="T10" s="217"/>
      <c r="U10" s="213"/>
      <c r="V10" s="215"/>
      <c r="W10" s="215"/>
      <c r="X10" s="217"/>
      <c r="Y10" s="217"/>
      <c r="Z10" s="213"/>
      <c r="AA10" s="215">
        <f ca="1">IFERROR(__xludf.DUMMYFUNCTION("""COMPUTED_VALUE"""),801463)</f>
        <v>801463</v>
      </c>
      <c r="AB10" s="215" t="str">
        <f ca="1">IFERROR(__xludf.DUMMYFUNCTION("""COMPUTED_VALUE"""),"Intermediate")</f>
        <v>Intermediate</v>
      </c>
      <c r="AC10" s="217" t="str">
        <f ca="1">IFERROR(__xludf.DUMMYFUNCTION("""COMPUTED_VALUE"""),"Como Gerenciar Relacionamentos com Chefes, Colegas e Subordinados")</f>
        <v>Como Gerenciar Relacionamentos com Chefes, Colegas e Subordinados</v>
      </c>
      <c r="AD10" s="217"/>
      <c r="AE10" s="213"/>
      <c r="AF10" s="215">
        <f ca="1">IFERROR(__xludf.DUMMYFUNCTION("""COMPUTED_VALUE"""),2811194)</f>
        <v>2811194</v>
      </c>
      <c r="AG10" s="215" t="str">
        <f ca="1">IFERROR(__xludf.DUMMYFUNCTION("""COMPUTED_VALUE"""),"Intermediate")</f>
        <v>Intermediate</v>
      </c>
      <c r="AH10" s="217" t="str">
        <f ca="1">IFERROR(__xludf.DUMMYFUNCTION("""COMPUTED_VALUE"""),"处理客户投诉")</f>
        <v>处理客户投诉</v>
      </c>
      <c r="AI10" s="217"/>
      <c r="AJ10" s="213"/>
    </row>
    <row r="11" spans="1:36" ht="33.75" customHeight="1">
      <c r="A11" s="213"/>
      <c r="B11" s="214">
        <f ca="1">IFERROR(__xludf.DUMMYFUNCTION("""COMPUTED_VALUE"""),564548)</f>
        <v>564548</v>
      </c>
      <c r="C11" s="215" t="str">
        <f ca="1">IFERROR(__xludf.DUMMYFUNCTION("""COMPUTED_VALUE"""),"General")</f>
        <v>General</v>
      </c>
      <c r="D11" s="216" t="str">
        <f ca="1">IFERROR(__xludf.DUMMYFUNCTION("""COMPUTED_VALUE"""),"Jeff Weiner on Managing Compassionately")</f>
        <v>Jeff Weiner on Managing Compassionately</v>
      </c>
      <c r="E11" s="217"/>
      <c r="F11" s="213"/>
      <c r="G11" s="214">
        <f ca="1">IFERROR(__xludf.DUMMYFUNCTION("""COMPUTED_VALUE"""),707931)</f>
        <v>707931</v>
      </c>
      <c r="H11" s="215" t="str">
        <f ca="1">IFERROR(__xludf.DUMMYFUNCTION("""COMPUTED_VALUE"""),"All levels")</f>
        <v>All levels</v>
      </c>
      <c r="I11" s="217" t="str">
        <f ca="1">IFERROR(__xludf.DUMMYFUNCTION("""COMPUTED_VALUE"""),"Découvrir les biais cognitifs")</f>
        <v>Découvrir les biais cognitifs</v>
      </c>
      <c r="J11" s="217"/>
      <c r="K11" s="213"/>
      <c r="L11" s="215">
        <f ca="1">IFERROR(__xludf.DUMMYFUNCTION("""COMPUTED_VALUE"""),190401)</f>
        <v>190401</v>
      </c>
      <c r="M11" s="215" t="str">
        <f ca="1">IFERROR(__xludf.DUMMYFUNCTION("""COMPUTED_VALUE"""),"All levels")</f>
        <v>All levels</v>
      </c>
      <c r="N11" s="217" t="str">
        <f ca="1">IFERROR(__xludf.DUMMYFUNCTION("""COMPUTED_VALUE"""),"Cómo tomar decisiones")</f>
        <v>Cómo tomar decisiones</v>
      </c>
      <c r="O11" s="217"/>
      <c r="P11" s="213"/>
      <c r="Q11" s="215">
        <f ca="1">IFERROR(__xludf.DUMMYFUNCTION("""COMPUTED_VALUE"""),2997106)</f>
        <v>2997106</v>
      </c>
      <c r="R11" s="215" t="str">
        <f ca="1">IFERROR(__xludf.DUMMYFUNCTION("""COMPUTED_VALUE"""),"Beginner")</f>
        <v>Beginner</v>
      </c>
      <c r="S11" s="217" t="str">
        <f ca="1">IFERROR(__xludf.DUMMYFUNCTION("""COMPUTED_VALUE"""),"Konfliktlösung – Grundlagen")</f>
        <v>Konfliktlösung – Grundlagen</v>
      </c>
      <c r="T11" s="217"/>
      <c r="U11" s="213"/>
      <c r="V11" s="215"/>
      <c r="W11" s="215"/>
      <c r="X11" s="217"/>
      <c r="Y11" s="217"/>
      <c r="Z11" s="213"/>
      <c r="AA11" s="215">
        <f ca="1">IFERROR(__xludf.DUMMYFUNCTION("""COMPUTED_VALUE"""),2841371)</f>
        <v>2841371</v>
      </c>
      <c r="AB11" s="215" t="str">
        <f ca="1">IFERROR(__xludf.DUMMYFUNCTION("""COMPUTED_VALUE"""),"Beginner")</f>
        <v>Beginner</v>
      </c>
      <c r="AC11" s="217" t="str">
        <f ca="1">IFERROR(__xludf.DUMMYFUNCTION("""COMPUTED_VALUE"""),"Como Lidar com Pessoas Difíceis no Trabalho")</f>
        <v>Como Lidar com Pessoas Difíceis no Trabalho</v>
      </c>
      <c r="AD11" s="217"/>
      <c r="AE11" s="213"/>
      <c r="AF11" s="215">
        <f ca="1">IFERROR(__xludf.DUMMYFUNCTION("""COMPUTED_VALUE"""),793986)</f>
        <v>793986</v>
      </c>
      <c r="AG11" s="215" t="str">
        <f ca="1">IFERROR(__xludf.DUMMYFUNCTION("""COMPUTED_VALUE"""),"All levels")</f>
        <v>All levels</v>
      </c>
      <c r="AH11" s="217" t="str">
        <f ca="1">IFERROR(__xludf.DUMMYFUNCTION("""COMPUTED_VALUE"""),"如何自信沟通")</f>
        <v>如何自信沟通</v>
      </c>
      <c r="AI11" s="217"/>
      <c r="AJ11" s="213"/>
    </row>
    <row r="12" spans="1:36" ht="33.75" customHeight="1">
      <c r="A12" s="213"/>
      <c r="B12" s="214">
        <f ca="1">IFERROR(__xludf.DUMMYFUNCTION("""COMPUTED_VALUE"""),2241055)</f>
        <v>2241055</v>
      </c>
      <c r="C12" s="215" t="str">
        <f ca="1">IFERROR(__xludf.DUMMYFUNCTION("""COMPUTED_VALUE"""),"General")</f>
        <v>General</v>
      </c>
      <c r="D12" s="216" t="str">
        <f ca="1">IFERROR(__xludf.DUMMYFUNCTION("""COMPUTED_VALUE"""),"Going to Extremes: How Like Minds Unite and Divide (getAbstract Summary)")</f>
        <v>Going to Extremes: How Like Minds Unite and Divide (getAbstract Summary)</v>
      </c>
      <c r="E12" s="217"/>
      <c r="F12" s="213"/>
      <c r="G12" s="214">
        <f ca="1">IFERROR(__xludf.DUMMYFUNCTION("""COMPUTED_VALUE"""),3143215)</f>
        <v>3143215</v>
      </c>
      <c r="H12" s="215" t="str">
        <f ca="1">IFERROR(__xludf.DUMMYFUNCTION("""COMPUTED_VALUE"""),"All levels")</f>
        <v>All levels</v>
      </c>
      <c r="I12" s="217" t="str">
        <f ca="1">IFERROR(__xludf.DUMMYFUNCTION("""COMPUTED_VALUE"""),"Demander un feedback au travail")</f>
        <v>Demander un feedback au travail</v>
      </c>
      <c r="J12" s="217"/>
      <c r="K12" s="213"/>
      <c r="L12" s="215">
        <f ca="1">IFERROR(__xludf.DUMMYFUNCTION("""COMPUTED_VALUE"""),435365)</f>
        <v>435365</v>
      </c>
      <c r="M12" s="215" t="str">
        <f ca="1">IFERROR(__xludf.DUMMYFUNCTION("""COMPUTED_VALUE"""),"All levels")</f>
        <v>All levels</v>
      </c>
      <c r="N12" s="217" t="str">
        <f ca="1">IFERROR(__xludf.DUMMYFUNCTION("""COMPUTED_VALUE"""),"Cómo trabajar con gerentes difíciles")</f>
        <v>Cómo trabajar con gerentes difíciles</v>
      </c>
      <c r="O12" s="217"/>
      <c r="P12" s="213"/>
      <c r="Q12" s="215">
        <f ca="1">IFERROR(__xludf.DUMMYFUNCTION("""COMPUTED_VALUE"""),761013)</f>
        <v>761013</v>
      </c>
      <c r="R12" s="215" t="str">
        <f ca="1">IFERROR(__xludf.DUMMYFUNCTION("""COMPUTED_VALUE"""),"Intermediate")</f>
        <v>Intermediate</v>
      </c>
      <c r="S12" s="217" t="str">
        <f ca="1">IFERROR(__xludf.DUMMYFUNCTION("""COMPUTED_VALUE"""),"Konfliktmanagement in Projekten")</f>
        <v>Konfliktmanagement in Projekten</v>
      </c>
      <c r="T12" s="217"/>
      <c r="U12" s="213"/>
      <c r="V12" s="215"/>
      <c r="W12" s="215"/>
      <c r="X12" s="217"/>
      <c r="Y12" s="217"/>
      <c r="Z12" s="213"/>
      <c r="AA12" s="215">
        <f ca="1">IFERROR(__xludf.DUMMYFUNCTION("""COMPUTED_VALUE"""),801465)</f>
        <v>801465</v>
      </c>
      <c r="AB12" s="215" t="str">
        <f ca="1">IFERROR(__xludf.DUMMYFUNCTION("""COMPUTED_VALUE"""),"Beginner, Intermediate")</f>
        <v>Beginner, Intermediate</v>
      </c>
      <c r="AC12" s="217" t="str">
        <f ca="1">IFERROR(__xludf.DUMMYFUNCTION("""COMPUTED_VALUE"""),"Como Melhorar suas Competências de Escuta")</f>
        <v>Como Melhorar suas Competências de Escuta</v>
      </c>
      <c r="AD12" s="217"/>
      <c r="AE12" s="213"/>
      <c r="AF12" s="215">
        <f ca="1">IFERROR(__xludf.DUMMYFUNCTION("""COMPUTED_VALUE"""),5037563)</f>
        <v>5037563</v>
      </c>
      <c r="AG12" s="215" t="str">
        <f ca="1">IFERROR(__xludf.DUMMYFUNCTION("""COMPUTED_VALUE"""),"All levels")</f>
        <v>All levels</v>
      </c>
      <c r="AH12" s="217" t="str">
        <f ca="1">IFERROR(__xludf.DUMMYFUNCTION("""COMPUTED_VALUE"""),"学会拒绝")</f>
        <v>学会拒绝</v>
      </c>
      <c r="AI12" s="217"/>
      <c r="AJ12" s="213"/>
    </row>
    <row r="13" spans="1:36" ht="33.75" customHeight="1">
      <c r="A13" s="213"/>
      <c r="B13" s="214">
        <f ca="1">IFERROR(__xludf.DUMMYFUNCTION("""COMPUTED_VALUE"""),656781)</f>
        <v>656781</v>
      </c>
      <c r="C13" s="215" t="str">
        <f ca="1">IFERROR(__xludf.DUMMYFUNCTION("""COMPUTED_VALUE"""),"Intermediate")</f>
        <v>Intermediate</v>
      </c>
      <c r="D13" s="216" t="str">
        <f ca="1">IFERROR(__xludf.DUMMYFUNCTION("""COMPUTED_VALUE"""),"Facilitation Skills for Managers and Leaders")</f>
        <v>Facilitation Skills for Managers and Leaders</v>
      </c>
      <c r="E13" s="217"/>
      <c r="F13" s="213"/>
      <c r="G13" s="214">
        <f ca="1">IFERROR(__xludf.DUMMYFUNCTION("""COMPUTED_VALUE"""),511184)</f>
        <v>511184</v>
      </c>
      <c r="H13" s="215" t="str">
        <f ca="1">IFERROR(__xludf.DUMMYFUNCTION("""COMPUTED_VALUE"""),"All levels")</f>
        <v>All levels</v>
      </c>
      <c r="I13" s="217" t="str">
        <f ca="1">IFERROR(__xludf.DUMMYFUNCTION("""COMPUTED_VALUE"""),"Développer la résilience")</f>
        <v>Développer la résilience</v>
      </c>
      <c r="J13" s="217"/>
      <c r="K13" s="213"/>
      <c r="L13" s="215">
        <f ca="1">IFERROR(__xludf.DUMMYFUNCTION("""COMPUTED_VALUE"""),714719)</f>
        <v>714719</v>
      </c>
      <c r="M13" s="215" t="str">
        <f ca="1">IFERROR(__xludf.DUMMYFUNCTION("""COMPUTED_VALUE"""),"All levels")</f>
        <v>All levels</v>
      </c>
      <c r="N13" s="217" t="str">
        <f ca="1">IFERROR(__xludf.DUMMYFUNCTION("""COMPUTED_VALUE"""),"Comunicación en momentos de cambio")</f>
        <v>Comunicación en momentos de cambio</v>
      </c>
      <c r="O13" s="217"/>
      <c r="P13" s="213"/>
      <c r="Q13" s="215">
        <f ca="1">IFERROR(__xludf.DUMMYFUNCTION("""COMPUTED_VALUE"""),559540)</f>
        <v>559540</v>
      </c>
      <c r="R13" s="215" t="str">
        <f ca="1">IFERROR(__xludf.DUMMYFUNCTION("""COMPUTED_VALUE"""),"Advanced")</f>
        <v>Advanced</v>
      </c>
      <c r="S13" s="217" t="str">
        <f ca="1">IFERROR(__xludf.DUMMYFUNCTION("""COMPUTED_VALUE"""),"Krisenkommunikation")</f>
        <v>Krisenkommunikation</v>
      </c>
      <c r="T13" s="217"/>
      <c r="U13" s="213"/>
      <c r="V13" s="215"/>
      <c r="W13" s="215"/>
      <c r="X13" s="217"/>
      <c r="Y13" s="217"/>
      <c r="Z13" s="213"/>
      <c r="AA13" s="215">
        <f ca="1">IFERROR(__xludf.DUMMYFUNCTION("""COMPUTED_VALUE"""),2928593)</f>
        <v>2928593</v>
      </c>
      <c r="AB13" s="215" t="str">
        <f ca="1">IFERROR(__xludf.DUMMYFUNCTION("""COMPUTED_VALUE"""),"All levels")</f>
        <v>All levels</v>
      </c>
      <c r="AC13" s="217" t="str">
        <f ca="1">IFERROR(__xludf.DUMMYFUNCTION("""COMPUTED_VALUE"""),"Como Prevenir o Assédio no Trabalho e Criar um Ambiente Seguro")</f>
        <v>Como Prevenir o Assédio no Trabalho e Criar um Ambiente Seguro</v>
      </c>
      <c r="AD13" s="217"/>
      <c r="AE13" s="213"/>
      <c r="AF13" s="215">
        <f ca="1">IFERROR(__xludf.DUMMYFUNCTION("""COMPUTED_VALUE"""),2825763)</f>
        <v>2825763</v>
      </c>
      <c r="AG13" s="215" t="str">
        <f ca="1">IFERROR(__xludf.DUMMYFUNCTION("""COMPUTED_VALUE"""),"Intermediate")</f>
        <v>Intermediate</v>
      </c>
      <c r="AH13" s="217" t="str">
        <f ca="1">IFERROR(__xludf.DUMMYFUNCTION("""COMPUTED_VALUE"""),"开展高难度对话")</f>
        <v>开展高难度对话</v>
      </c>
      <c r="AI13" s="217"/>
      <c r="AJ13" s="213"/>
    </row>
    <row r="14" spans="1:36" ht="33.75" customHeight="1">
      <c r="A14" s="213"/>
      <c r="B14" s="214">
        <f ca="1">IFERROR(__xludf.DUMMYFUNCTION("""COMPUTED_VALUE"""),601769)</f>
        <v>601769</v>
      </c>
      <c r="C14" s="215" t="str">
        <f ca="1">IFERROR(__xludf.DUMMYFUNCTION("""COMPUTED_VALUE"""),"Intermediate")</f>
        <v>Intermediate</v>
      </c>
      <c r="D14" s="216" t="str">
        <f ca="1">IFERROR(__xludf.DUMMYFUNCTION("""COMPUTED_VALUE"""),"Human Resources: Managing Employee Problems")</f>
        <v>Human Resources: Managing Employee Problems</v>
      </c>
      <c r="E14" s="217"/>
      <c r="F14" s="213"/>
      <c r="G14" s="214">
        <f ca="1">IFERROR(__xludf.DUMMYFUNCTION("""COMPUTED_VALUE"""),600069)</f>
        <v>600069</v>
      </c>
      <c r="H14" s="215" t="str">
        <f ca="1">IFERROR(__xludf.DUMMYFUNCTION("""COMPUTED_VALUE"""),"Beginner")</f>
        <v>Beginner</v>
      </c>
      <c r="I14" s="217" t="str">
        <f ca="1">IFERROR(__xludf.DUMMYFUNCTION("""COMPUTED_VALUE"""),"Donner des feedbacks aux employés / employées")</f>
        <v>Donner des feedbacks aux employés / employées</v>
      </c>
      <c r="J14" s="217"/>
      <c r="K14" s="213"/>
      <c r="L14" s="215">
        <f ca="1">IFERROR(__xludf.DUMMYFUNCTION("""COMPUTED_VALUE"""),2841040)</f>
        <v>2841040</v>
      </c>
      <c r="M14" s="215" t="str">
        <f ca="1">IFERROR(__xludf.DUMMYFUNCTION("""COMPUTED_VALUE"""),"Beginner, Intermediate")</f>
        <v>Beginner, Intermediate</v>
      </c>
      <c r="N14" s="217" t="str">
        <f ca="1">IFERROR(__xludf.DUMMYFUNCTION("""COMPUTED_VALUE"""),"Estrategias para salir de una crisis empresarial")</f>
        <v>Estrategias para salir de una crisis empresarial</v>
      </c>
      <c r="O14" s="217"/>
      <c r="P14" s="213"/>
      <c r="Q14" s="215">
        <f ca="1">IFERROR(__xludf.DUMMYFUNCTION("""COMPUTED_VALUE"""),521235)</f>
        <v>521235</v>
      </c>
      <c r="R14" s="215" t="str">
        <f ca="1">IFERROR(__xludf.DUMMYFUNCTION("""COMPUTED_VALUE"""),"All levels")</f>
        <v>All levels</v>
      </c>
      <c r="S14" s="217" t="str">
        <f ca="1">IFERROR(__xludf.DUMMYFUNCTION("""COMPUTED_VALUE"""),"Mit einem schwierigen Chef zurechtkommen")</f>
        <v>Mit einem schwierigen Chef zurechtkommen</v>
      </c>
      <c r="T14" s="217"/>
      <c r="U14" s="213"/>
      <c r="V14" s="215"/>
      <c r="W14" s="215"/>
      <c r="X14" s="217"/>
      <c r="Y14" s="217"/>
      <c r="Z14" s="213"/>
      <c r="AA14" s="215">
        <f ca="1">IFERROR(__xludf.DUMMYFUNCTION("""COMPUTED_VALUE"""),753084)</f>
        <v>753084</v>
      </c>
      <c r="AB14" s="215" t="str">
        <f ca="1">IFERROR(__xludf.DUMMYFUNCTION("""COMPUTED_VALUE"""),"All levels")</f>
        <v>All levels</v>
      </c>
      <c r="AC14" s="217" t="str">
        <f ca="1">IFERROR(__xludf.DUMMYFUNCTION("""COMPUTED_VALUE"""),"Como se Comunicar com Confiança")</f>
        <v>Como se Comunicar com Confiança</v>
      </c>
      <c r="AD14" s="217"/>
      <c r="AE14" s="213"/>
      <c r="AF14" s="215">
        <f ca="1">IFERROR(__xludf.DUMMYFUNCTION("""COMPUTED_VALUE"""),2883004)</f>
        <v>2883004</v>
      </c>
      <c r="AG14" s="215" t="str">
        <f ca="1">IFERROR(__xludf.DUMMYFUNCTION("""COMPUTED_VALUE"""),"Advanced")</f>
        <v>Advanced</v>
      </c>
      <c r="AH14" s="217" t="str">
        <f ca="1">IFERROR(__xludf.DUMMYFUNCTION("""COMPUTED_VALUE"""),"批判性思维：提高判断与决策力")</f>
        <v>批判性思维：提高判断与决策力</v>
      </c>
      <c r="AI14" s="217"/>
      <c r="AJ14" s="213"/>
    </row>
    <row r="15" spans="1:36" ht="33.75" customHeight="1">
      <c r="A15" s="213"/>
      <c r="B15" s="214">
        <f ca="1">IFERROR(__xludf.DUMMYFUNCTION("""COMPUTED_VALUE"""),808670)</f>
        <v>808670</v>
      </c>
      <c r="C15" s="215" t="str">
        <f ca="1">IFERROR(__xludf.DUMMYFUNCTION("""COMPUTED_VALUE"""),"Intermediate")</f>
        <v>Intermediate</v>
      </c>
      <c r="D15" s="216" t="str">
        <f ca="1">IFERROR(__xludf.DUMMYFUNCTION("""COMPUTED_VALUE"""),"Leading through Relationships")</f>
        <v>Leading through Relationships</v>
      </c>
      <c r="E15" s="217"/>
      <c r="F15" s="213"/>
      <c r="G15" s="214">
        <f ca="1">IFERROR(__xludf.DUMMYFUNCTION("""COMPUTED_VALUE"""),792280)</f>
        <v>792280</v>
      </c>
      <c r="H15" s="215" t="str">
        <f ca="1">IFERROR(__xludf.DUMMYFUNCTION("""COMPUTED_VALUE"""),"Beginner")</f>
        <v>Beginner</v>
      </c>
      <c r="I15" s="217" t="str">
        <f ca="1">IFERROR(__xludf.DUMMYFUNCTION("""COMPUTED_VALUE"""),"Donner et recevoir du feedback")</f>
        <v>Donner et recevoir du feedback</v>
      </c>
      <c r="J15" s="217"/>
      <c r="K15" s="213"/>
      <c r="L15" s="215">
        <f ca="1">IFERROR(__xludf.DUMMYFUNCTION("""COMPUTED_VALUE"""),502996)</f>
        <v>502996</v>
      </c>
      <c r="M15" s="215" t="str">
        <f ca="1">IFERROR(__xludf.DUMMYFUNCTION("""COMPUTED_VALUE"""),"All levels")</f>
        <v>All levels</v>
      </c>
      <c r="N15" s="217" t="str">
        <f ca="1">IFERROR(__xludf.DUMMYFUNCTION("""COMPUTED_VALUE"""),"Fred Kofman y la gestión de conflictos")</f>
        <v>Fred Kofman y la gestión de conflictos</v>
      </c>
      <c r="O15" s="217"/>
      <c r="P15" s="213"/>
      <c r="Q15" s="215">
        <f ca="1">IFERROR(__xludf.DUMMYFUNCTION("""COMPUTED_VALUE"""),645722)</f>
        <v>645722</v>
      </c>
      <c r="R15" s="215" t="str">
        <f ca="1">IFERROR(__xludf.DUMMYFUNCTION("""COMPUTED_VALUE"""),"Intermediate")</f>
        <v>Intermediate</v>
      </c>
      <c r="S15" s="217" t="str">
        <f ca="1">IFERROR(__xludf.DUMMYFUNCTION("""COMPUTED_VALUE"""),"Mit schwierigen Kunden umgehen")</f>
        <v>Mit schwierigen Kunden umgehen</v>
      </c>
      <c r="T15" s="217"/>
      <c r="U15" s="213"/>
      <c r="V15" s="215"/>
      <c r="W15" s="215"/>
      <c r="X15" s="217"/>
      <c r="Y15" s="217"/>
      <c r="Z15" s="213"/>
      <c r="AA15" s="215">
        <f ca="1">IFERROR(__xludf.DUMMYFUNCTION("""COMPUTED_VALUE"""),2930665)</f>
        <v>2930665</v>
      </c>
      <c r="AB15" s="215" t="str">
        <f ca="1">IFERROR(__xludf.DUMMYFUNCTION("""COMPUTED_VALUE"""),"Beginner")</f>
        <v>Beginner</v>
      </c>
      <c r="AC15" s="217" t="str">
        <f ca="1">IFERROR(__xludf.DUMMYFUNCTION("""COMPUTED_VALUE"""),"Como Superar o Assédio no Trabalho")</f>
        <v>Como Superar o Assédio no Trabalho</v>
      </c>
      <c r="AD15" s="217"/>
      <c r="AE15" s="213"/>
      <c r="AF15" s="215">
        <f ca="1">IFERROR(__xludf.DUMMYFUNCTION("""COMPUTED_VALUE"""),5018430)</f>
        <v>5018430</v>
      </c>
      <c r="AG15" s="215" t="str">
        <f ca="1">IFERROR(__xludf.DUMMYFUNCTION("""COMPUTED_VALUE"""),"Beginner, Intermediate")</f>
        <v>Beginner, Intermediate</v>
      </c>
      <c r="AH15" s="217" t="str">
        <f ca="1">IFERROR(__xludf.DUMMYFUNCTION("""COMPUTED_VALUE"""),"提高倾听技能")</f>
        <v>提高倾听技能</v>
      </c>
      <c r="AI15" s="217"/>
      <c r="AJ15" s="213"/>
    </row>
    <row r="16" spans="1:36" ht="33.75" customHeight="1">
      <c r="A16" s="213"/>
      <c r="B16" s="214">
        <f ca="1">IFERROR(__xludf.DUMMYFUNCTION("""COMPUTED_VALUE"""),746305)</f>
        <v>746305</v>
      </c>
      <c r="C16" s="215" t="str">
        <f ca="1">IFERROR(__xludf.DUMMYFUNCTION("""COMPUTED_VALUE"""),"Intermediate")</f>
        <v>Intermediate</v>
      </c>
      <c r="D16" s="216" t="str">
        <f ca="1">IFERROR(__xludf.DUMMYFUNCTION("""COMPUTED_VALUE"""),"Managing Employee Performance Problems")</f>
        <v>Managing Employee Performance Problems</v>
      </c>
      <c r="E16" s="217"/>
      <c r="F16" s="213"/>
      <c r="G16" s="214">
        <f ca="1">IFERROR(__xludf.DUMMYFUNCTION("""COMPUTED_VALUE"""),547545)</f>
        <v>547545</v>
      </c>
      <c r="H16" s="215" t="str">
        <f ca="1">IFERROR(__xludf.DUMMYFUNCTION("""COMPUTED_VALUE"""),"All levels")</f>
        <v>All levels</v>
      </c>
      <c r="I16" s="217" t="str">
        <f ca="1">IFERROR(__xludf.DUMMYFUNCTION("""COMPUTED_VALUE"""),"Écouter efficacement")</f>
        <v>Écouter efficacement</v>
      </c>
      <c r="J16" s="217"/>
      <c r="K16" s="213"/>
      <c r="L16" s="215">
        <f ca="1">IFERROR(__xludf.DUMMYFUNCTION("""COMPUTED_VALUE"""),608978)</f>
        <v>608978</v>
      </c>
      <c r="M16" s="215" t="str">
        <f ca="1">IFERROR(__xludf.DUMMYFUNCTION("""COMPUTED_VALUE"""),"All levels")</f>
        <v>All levels</v>
      </c>
      <c r="N16" s="217" t="str">
        <f ca="1">IFERROR(__xludf.DUMMYFUNCTION("""COMPUTED_VALUE"""),"Fundamentos de la gestión de proyectos: Equipos")</f>
        <v>Fundamentos de la gestión de proyectos: Equipos</v>
      </c>
      <c r="O16" s="217"/>
      <c r="P16" s="213"/>
      <c r="Q16" s="215">
        <f ca="1">IFERROR(__xludf.DUMMYFUNCTION("""COMPUTED_VALUE"""),702517)</f>
        <v>702517</v>
      </c>
      <c r="R16" s="215" t="str">
        <f ca="1">IFERROR(__xludf.DUMMYFUNCTION("""COMPUTED_VALUE"""),"Intermediate")</f>
        <v>Intermediate</v>
      </c>
      <c r="S16" s="217" t="str">
        <f ca="1">IFERROR(__xludf.DUMMYFUNCTION("""COMPUTED_VALUE"""),"Mit schwierigen Mitarbeiter:innen umgehen")</f>
        <v>Mit schwierigen Mitarbeiter:innen umgehen</v>
      </c>
      <c r="T16" s="217"/>
      <c r="U16" s="213"/>
      <c r="V16" s="215"/>
      <c r="W16" s="215"/>
      <c r="X16" s="217"/>
      <c r="Y16" s="217"/>
      <c r="Z16" s="213"/>
      <c r="AA16" s="215">
        <f ca="1">IFERROR(__xludf.DUMMYFUNCTION("""COMPUTED_VALUE"""),753193)</f>
        <v>753193</v>
      </c>
      <c r="AB16" s="215" t="str">
        <f ca="1">IFERROR(__xludf.DUMMYFUNCTION("""COMPUTED_VALUE"""),"All levels")</f>
        <v>All levels</v>
      </c>
      <c r="AC16" s="217" t="str">
        <f ca="1">IFERROR(__xludf.DUMMYFUNCTION("""COMPUTED_VALUE"""),"Fundamentos da Resolução de Conflitos")</f>
        <v>Fundamentos da Resolução de Conflitos</v>
      </c>
      <c r="AD16" s="217"/>
      <c r="AE16" s="213"/>
      <c r="AF16" s="215">
        <f ca="1">IFERROR(__xludf.DUMMYFUNCTION("""COMPUTED_VALUE"""),762187)</f>
        <v>762187</v>
      </c>
      <c r="AG16" s="215" t="str">
        <f ca="1">IFERROR(__xludf.DUMMYFUNCTION("""COMPUTED_VALUE"""),"All levels")</f>
        <v>All levels</v>
      </c>
      <c r="AH16" s="217" t="str">
        <f ca="1">IFERROR(__xludf.DUMMYFUNCTION("""COMPUTED_VALUE"""),"有效倾听")</f>
        <v>有效倾听</v>
      </c>
      <c r="AI16" s="217"/>
      <c r="AJ16" s="213"/>
    </row>
    <row r="17" spans="1:36" ht="33.75" customHeight="1">
      <c r="A17" s="213"/>
      <c r="B17" s="214">
        <f ca="1">IFERROR(__xludf.DUMMYFUNCTION("""COMPUTED_VALUE"""),681075)</f>
        <v>681075</v>
      </c>
      <c r="C17" s="215" t="str">
        <f ca="1">IFERROR(__xludf.DUMMYFUNCTION("""COMPUTED_VALUE"""),"Intermediate")</f>
        <v>Intermediate</v>
      </c>
      <c r="D17" s="216" t="str">
        <f ca="1">IFERROR(__xludf.DUMMYFUNCTION("""COMPUTED_VALUE"""),"Managing Team Conflict")</f>
        <v>Managing Team Conflict</v>
      </c>
      <c r="E17" s="217"/>
      <c r="F17" s="213"/>
      <c r="G17" s="214">
        <f ca="1">IFERROR(__xludf.DUMMYFUNCTION("""COMPUTED_VALUE"""),5025536)</f>
        <v>5025536</v>
      </c>
      <c r="H17" s="215" t="str">
        <f ca="1">IFERROR(__xludf.DUMMYFUNCTION("""COMPUTED_VALUE"""),"Intermediate")</f>
        <v>Intermediate</v>
      </c>
      <c r="I17" s="217" t="str">
        <f ca="1">IFERROR(__xludf.DUMMYFUNCTION("""COMPUTED_VALUE"""),"Gérer les conflits grâce à la médiation")</f>
        <v>Gérer les conflits grâce à la médiation</v>
      </c>
      <c r="J17" s="217"/>
      <c r="K17" s="213"/>
      <c r="L17" s="215">
        <f ca="1">IFERROR(__xludf.DUMMYFUNCTION("""COMPUTED_VALUE"""),631125)</f>
        <v>631125</v>
      </c>
      <c r="M17" s="215" t="str">
        <f ca="1">IFERROR(__xludf.DUMMYFUNCTION("""COMPUTED_VALUE"""),"All levels")</f>
        <v>All levels</v>
      </c>
      <c r="N17" s="217" t="str">
        <f ca="1">IFERROR(__xludf.DUMMYFUNCTION("""COMPUTED_VALUE"""),"Fundamentos de la resolución de conflictos")</f>
        <v>Fundamentos de la resolución de conflictos</v>
      </c>
      <c r="O17" s="217"/>
      <c r="P17" s="213"/>
      <c r="Q17" s="215">
        <f ca="1">IFERROR(__xludf.DUMMYFUNCTION("""COMPUTED_VALUE"""),593045)</f>
        <v>593045</v>
      </c>
      <c r="R17" s="215" t="str">
        <f ca="1">IFERROR(__xludf.DUMMYFUNCTION("""COMPUTED_VALUE"""),"All levels")</f>
        <v>All levels</v>
      </c>
      <c r="S17" s="217" t="str">
        <f ca="1">IFERROR(__xludf.DUMMYFUNCTION("""COMPUTED_VALUE"""),"Mitarbeiter:innen Feedback geben")</f>
        <v>Mitarbeiter:innen Feedback geben</v>
      </c>
      <c r="T17" s="217"/>
      <c r="U17" s="213"/>
      <c r="V17" s="215"/>
      <c r="W17" s="215"/>
      <c r="X17" s="217"/>
      <c r="Y17" s="217"/>
      <c r="Z17" s="213"/>
      <c r="AA17" s="215">
        <f ca="1">IFERROR(__xludf.DUMMYFUNCTION("""COMPUTED_VALUE"""),753082)</f>
        <v>753082</v>
      </c>
      <c r="AB17" s="215" t="str">
        <f ca="1">IFERROR(__xludf.DUMMYFUNCTION("""COMPUTED_VALUE"""),"Beginner")</f>
        <v>Beginner</v>
      </c>
      <c r="AC17" s="217" t="str">
        <f ca="1">IFERROR(__xludf.DUMMYFUNCTION("""COMPUTED_VALUE"""),"Fundamentos de Gestão de Projetos: Comunicação")</f>
        <v>Fundamentos de Gestão de Projetos: Comunicação</v>
      </c>
      <c r="AD17" s="217"/>
      <c r="AE17" s="213"/>
      <c r="AF17" s="215">
        <f ca="1">IFERROR(__xludf.DUMMYFUNCTION("""COMPUTED_VALUE"""),2243990)</f>
        <v>2243990</v>
      </c>
      <c r="AG17" s="215" t="str">
        <f ca="1">IFERROR(__xludf.DUMMYFUNCTION("""COMPUTED_VALUE"""),"Beginner")</f>
        <v>Beginner</v>
      </c>
      <c r="AH17" s="217" t="str">
        <f ca="1">IFERROR(__xludf.DUMMYFUNCTION("""COMPUTED_VALUE"""),"管理员工绩效问题")</f>
        <v>管理员工绩效问题</v>
      </c>
      <c r="AI17" s="217"/>
      <c r="AJ17" s="213"/>
    </row>
    <row r="18" spans="1:36" ht="33.75" customHeight="1">
      <c r="A18" s="213"/>
      <c r="B18" s="214">
        <f ca="1">IFERROR(__xludf.DUMMYFUNCTION("""COMPUTED_VALUE"""),2820193)</f>
        <v>2820193</v>
      </c>
      <c r="C18" s="215" t="str">
        <f ca="1">IFERROR(__xludf.DUMMYFUNCTION("""COMPUTED_VALUE"""),"Intermediate")</f>
        <v>Intermediate</v>
      </c>
      <c r="D18" s="216" t="str">
        <f ca="1">IFERROR(__xludf.DUMMYFUNCTION("""COMPUTED_VALUE"""),"Having Difficult Conversations: A Guide for Managers")</f>
        <v>Having Difficult Conversations: A Guide for Managers</v>
      </c>
      <c r="E18" s="217"/>
      <c r="F18" s="213"/>
      <c r="G18" s="214">
        <f ca="1">IFERROR(__xludf.DUMMYFUNCTION("""COMPUTED_VALUE"""),575895)</f>
        <v>575895</v>
      </c>
      <c r="H18" s="215" t="str">
        <f ca="1">IFERROR(__xludf.DUMMYFUNCTION("""COMPUTED_VALUE"""),"Beginner")</f>
        <v>Beginner</v>
      </c>
      <c r="I18" s="217" t="str">
        <f ca="1">IFERROR(__xludf.DUMMYFUNCTION("""COMPUTED_VALUE"""),"Gérer les problèmes de performance de ses employés / employées")</f>
        <v>Gérer les problèmes de performance de ses employés / employées</v>
      </c>
      <c r="J18" s="217"/>
      <c r="K18" s="213"/>
      <c r="L18" s="215">
        <f ca="1">IFERROR(__xludf.DUMMYFUNCTION("""COMPUTED_VALUE"""),651774)</f>
        <v>651774</v>
      </c>
      <c r="M18" s="215" t="str">
        <f ca="1">IFERROR(__xludf.DUMMYFUNCTION("""COMPUTED_VALUE"""),"Intermediate")</f>
        <v>Intermediate</v>
      </c>
      <c r="N18" s="217" t="str">
        <f ca="1">IFERROR(__xludf.DUMMYFUNCTION("""COMPUTED_VALUE"""),"Gestión de proyectos: Resolución de problemas")</f>
        <v>Gestión de proyectos: Resolución de problemas</v>
      </c>
      <c r="O18" s="217"/>
      <c r="P18" s="213"/>
      <c r="Q18" s="215">
        <f ca="1">IFERROR(__xludf.DUMMYFUNCTION("""COMPUTED_VALUE"""),593929)</f>
        <v>593929</v>
      </c>
      <c r="R18" s="215" t="str">
        <f ca="1">IFERROR(__xludf.DUMMYFUNCTION("""COMPUTED_VALUE"""),"Intermediate")</f>
        <v>Intermediate</v>
      </c>
      <c r="S18" s="217" t="str">
        <f ca="1">IFERROR(__xludf.DUMMYFUNCTION("""COMPUTED_VALUE"""),"Projektmanagement: Krisen und Erfolg")</f>
        <v>Projektmanagement: Krisen und Erfolg</v>
      </c>
      <c r="T18" s="217"/>
      <c r="U18" s="213"/>
      <c r="V18" s="215"/>
      <c r="W18" s="215"/>
      <c r="X18" s="217"/>
      <c r="Y18" s="217"/>
      <c r="Z18" s="213"/>
      <c r="AA18" s="215">
        <f ca="1">IFERROR(__xludf.DUMMYFUNCTION("""COMPUTED_VALUE"""),2432277)</f>
        <v>2432277</v>
      </c>
      <c r="AB18" s="215" t="str">
        <f ca="1">IFERROR(__xludf.DUMMYFUNCTION("""COMPUTED_VALUE"""),"Beginner, Intermediate")</f>
        <v>Beginner, Intermediate</v>
      </c>
      <c r="AC18" s="217" t="str">
        <f ca="1">IFERROR(__xludf.DUMMYFUNCTION("""COMPUTED_VALUE"""),"Gestão de Conflitos: Como Lidar com as Divergências na Empresa")</f>
        <v>Gestão de Conflitos: Como Lidar com as Divergências na Empresa</v>
      </c>
      <c r="AD18" s="217"/>
      <c r="AE18" s="213"/>
      <c r="AF18" s="215">
        <f ca="1">IFERROR(__xludf.DUMMYFUNCTION("""COMPUTED_VALUE"""),3162242)</f>
        <v>3162242</v>
      </c>
      <c r="AG18" s="215" t="str">
        <f ca="1">IFERROR(__xludf.DUMMYFUNCTION("""COMPUTED_VALUE"""),"Intermediate")</f>
        <v>Intermediate</v>
      </c>
      <c r="AH18" s="217" t="str">
        <f ca="1">IFERROR(__xludf.DUMMYFUNCTION("""COMPUTED_VALUE"""),"管理团队冲突")</f>
        <v>管理团队冲突</v>
      </c>
      <c r="AI18" s="217"/>
      <c r="AJ18" s="213"/>
    </row>
    <row r="19" spans="1:36" ht="33.75" customHeight="1">
      <c r="A19" s="213"/>
      <c r="B19" s="214">
        <f ca="1">IFERROR(__xludf.DUMMYFUNCTION("""COMPUTED_VALUE"""),5015883)</f>
        <v>5015883</v>
      </c>
      <c r="C19" s="215" t="str">
        <f ca="1">IFERROR(__xludf.DUMMYFUNCTION("""COMPUTED_VALUE"""),"Intermediate")</f>
        <v>Intermediate</v>
      </c>
      <c r="D19" s="216" t="str">
        <f ca="1">IFERROR(__xludf.DUMMYFUNCTION("""COMPUTED_VALUE"""),"Radical Candor (Blinkist Summary)")</f>
        <v>Radical Candor (Blinkist Summary)</v>
      </c>
      <c r="E19" s="217"/>
      <c r="F19" s="213"/>
      <c r="G19" s="214">
        <f ca="1">IFERROR(__xludf.DUMMYFUNCTION("""COMPUTED_VALUE"""),604067)</f>
        <v>604067</v>
      </c>
      <c r="H19" s="215" t="str">
        <f ca="1">IFERROR(__xludf.DUMMYFUNCTION("""COMPUTED_VALUE"""),"All levels")</f>
        <v>All levels</v>
      </c>
      <c r="I19" s="217" t="str">
        <f ca="1">IFERROR(__xludf.DUMMYFUNCTION("""COMPUTED_VALUE"""),"Jeff Weiner – Le management compassionnel")</f>
        <v>Jeff Weiner – Le management compassionnel</v>
      </c>
      <c r="J19" s="217"/>
      <c r="K19" s="213"/>
      <c r="L19" s="215">
        <f ca="1">IFERROR(__xludf.DUMMYFUNCTION("""COMPUTED_VALUE"""),3115669)</f>
        <v>3115669</v>
      </c>
      <c r="M19" s="215" t="str">
        <f ca="1">IFERROR(__xludf.DUMMYFUNCTION("""COMPUTED_VALUE"""),"Beginner, Intermediate")</f>
        <v>Beginner, Intermediate</v>
      </c>
      <c r="N19" s="217" t="str">
        <f ca="1">IFERROR(__xludf.DUMMYFUNCTION("""COMPUTED_VALUE"""),"Gestión del estrés en tiempos de incertidumbre: Vivir o sobrevivir")</f>
        <v>Gestión del estrés en tiempos de incertidumbre: Vivir o sobrevivir</v>
      </c>
      <c r="O19" s="217"/>
      <c r="P19" s="213"/>
      <c r="Q19" s="215">
        <f ca="1">IFERROR(__xludf.DUMMYFUNCTION("""COMPUTED_VALUE"""),559538)</f>
        <v>559538</v>
      </c>
      <c r="R19" s="215" t="str">
        <f ca="1">IFERROR(__xludf.DUMMYFUNCTION("""COMPUTED_VALUE"""),"Beginner")</f>
        <v>Beginner</v>
      </c>
      <c r="S19" s="217" t="str">
        <f ca="1">IFERROR(__xludf.DUMMYFUNCTION("""COMPUTED_VALUE"""),"Projektmanagement: Team, Führung, Zusammenarbeit")</f>
        <v>Projektmanagement: Team, Führung, Zusammenarbeit</v>
      </c>
      <c r="T19" s="217"/>
      <c r="U19" s="213"/>
      <c r="V19" s="215"/>
      <c r="W19" s="215"/>
      <c r="X19" s="217"/>
      <c r="Y19" s="217"/>
      <c r="Z19" s="213"/>
      <c r="AA19" s="215">
        <f ca="1">IFERROR(__xludf.DUMMYFUNCTION("""COMPUTED_VALUE"""),752459)</f>
        <v>752459</v>
      </c>
      <c r="AB19" s="215" t="str">
        <f ca="1">IFERROR(__xludf.DUMMYFUNCTION("""COMPUTED_VALUE"""),"Beginner")</f>
        <v>Beginner</v>
      </c>
      <c r="AC19" s="217" t="str">
        <f ca="1">IFERROR(__xludf.DUMMYFUNCTION("""COMPUTED_VALUE"""),"Gestão de Equipes de Projetos")</f>
        <v>Gestão de Equipes de Projetos</v>
      </c>
      <c r="AD19" s="217"/>
      <c r="AE19" s="213"/>
      <c r="AF19" s="215">
        <f ca="1">IFERROR(__xludf.DUMMYFUNCTION("""COMPUTED_VALUE"""),2825759)</f>
        <v>2825759</v>
      </c>
      <c r="AG19" s="215" t="str">
        <f ca="1">IFERROR(__xludf.DUMMYFUNCTION("""COMPUTED_VALUE"""),"Intermediate")</f>
        <v>Intermediate</v>
      </c>
      <c r="AH19" s="217" t="str">
        <f ca="1">IFERROR(__xludf.DUMMYFUNCTION("""COMPUTED_VALUE"""),"管理职场抑郁")</f>
        <v>管理职场抑郁</v>
      </c>
      <c r="AI19" s="217"/>
      <c r="AJ19" s="213"/>
    </row>
    <row r="20" spans="1:36" ht="33.75" customHeight="1">
      <c r="A20" s="213"/>
      <c r="B20" s="214">
        <f ca="1">IFERROR(__xludf.DUMMYFUNCTION("""COMPUTED_VALUE"""),2870082)</f>
        <v>2870082</v>
      </c>
      <c r="C20" s="215" t="str">
        <f ca="1">IFERROR(__xludf.DUMMYFUNCTION("""COMPUTED_VALUE"""),"General")</f>
        <v>General</v>
      </c>
      <c r="D20" s="216" t="str">
        <f ca="1">IFERROR(__xludf.DUMMYFUNCTION("""COMPUTED_VALUE"""),"Dealing with Microaggression as an Employee")</f>
        <v>Dealing with Microaggression as an Employee</v>
      </c>
      <c r="E20" s="217"/>
      <c r="F20" s="213"/>
      <c r="G20" s="214">
        <f ca="1">IFERROR(__xludf.DUMMYFUNCTION("""COMPUTED_VALUE"""),3134052)</f>
        <v>3134052</v>
      </c>
      <c r="H20" s="215" t="str">
        <f ca="1">IFERROR(__xludf.DUMMYFUNCTION("""COMPUTED_VALUE"""),"Intermediate")</f>
        <v>Intermediate</v>
      </c>
      <c r="I20" s="217" t="str">
        <f ca="1">IFERROR(__xludf.DUMMYFUNCTION("""COMPUTED_VALUE"""),"La minute de formation : Gérer les problèmes et conflits avec les employés")</f>
        <v>La minute de formation : Gérer les problèmes et conflits avec les employés</v>
      </c>
      <c r="J20" s="217"/>
      <c r="K20" s="213"/>
      <c r="L20" s="215">
        <f ca="1">IFERROR(__xludf.DUMMYFUNCTION("""COMPUTED_VALUE"""),5024266)</f>
        <v>5024266</v>
      </c>
      <c r="M20" s="215" t="str">
        <f ca="1">IFERROR(__xludf.DUMMYFUNCTION("""COMPUTED_VALUE"""),"Intermediate")</f>
        <v>Intermediate</v>
      </c>
      <c r="N20" s="217" t="str">
        <f ca="1">IFERROR(__xludf.DUMMYFUNCTION("""COMPUTED_VALUE"""),"Gestionar en todas las direcciones del organigrama empresarial")</f>
        <v>Gestionar en todas las direcciones del organigrama empresarial</v>
      </c>
      <c r="O20" s="217"/>
      <c r="P20" s="213"/>
      <c r="Q20" s="215">
        <f ca="1">IFERROR(__xludf.DUMMYFUNCTION("""COMPUTED_VALUE"""),5018536)</f>
        <v>5018536</v>
      </c>
      <c r="R20" s="215" t="str">
        <f ca="1">IFERROR(__xludf.DUMMYFUNCTION("""COMPUTED_VALUE"""),"Beginner")</f>
        <v>Beginner</v>
      </c>
      <c r="S20" s="217" t="str">
        <f ca="1">IFERROR(__xludf.DUMMYFUNCTION("""COMPUTED_VALUE"""),"Unconscious Bias – Unbewusste Denkmuster erkennen und ändern")</f>
        <v>Unconscious Bias – Unbewusste Denkmuster erkennen und ändern</v>
      </c>
      <c r="T20" s="217"/>
      <c r="U20" s="213"/>
      <c r="V20" s="215"/>
      <c r="W20" s="215"/>
      <c r="X20" s="217"/>
      <c r="Y20" s="217"/>
      <c r="Z20" s="213"/>
      <c r="AA20" s="215">
        <f ca="1">IFERROR(__xludf.DUMMYFUNCTION("""COMPUTED_VALUE"""),2210175)</f>
        <v>2210175</v>
      </c>
      <c r="AB20" s="215" t="str">
        <f ca="1">IFERROR(__xludf.DUMMYFUNCTION("""COMPUTED_VALUE"""),"Intermediate")</f>
        <v>Intermediate</v>
      </c>
      <c r="AC20" s="217" t="str">
        <f ca="1">IFERROR(__xludf.DUMMYFUNCTION("""COMPUTED_VALUE"""),"Gestão de Problemas de Desempenho dos Colaboradores")</f>
        <v>Gestão de Problemas de Desempenho dos Colaboradores</v>
      </c>
      <c r="AD20" s="217"/>
      <c r="AE20" s="213"/>
      <c r="AF20" s="215">
        <f ca="1">IFERROR(__xludf.DUMMYFUNCTION("""COMPUTED_VALUE"""),2825758)</f>
        <v>2825758</v>
      </c>
      <c r="AG20" s="215" t="str">
        <f ca="1">IFERROR(__xludf.DUMMYFUNCTION("""COMPUTED_VALUE"""),"Beginner, Intermediate")</f>
        <v>Beginner, Intermediate</v>
      </c>
      <c r="AH20" s="217" t="str">
        <f ca="1">IFERROR(__xludf.DUMMYFUNCTION("""COMPUTED_VALUE"""),"谈判基础知识")</f>
        <v>谈判基础知识</v>
      </c>
      <c r="AI20" s="217"/>
      <c r="AJ20" s="213"/>
    </row>
    <row r="21" spans="1:36" ht="33.75" customHeight="1">
      <c r="A21" s="213"/>
      <c r="B21" s="214">
        <f ca="1">IFERROR(__xludf.DUMMYFUNCTION("""COMPUTED_VALUE"""),784281)</f>
        <v>784281</v>
      </c>
      <c r="C21" s="215" t="str">
        <f ca="1">IFERROR(__xludf.DUMMYFUNCTION("""COMPUTED_VALUE"""),"Advanced")</f>
        <v>Advanced</v>
      </c>
      <c r="D21" s="216" t="str">
        <f ca="1">IFERROR(__xludf.DUMMYFUNCTION("""COMPUTED_VALUE"""),"De-Escalating Conversations for Customer Service")</f>
        <v>De-Escalating Conversations for Customer Service</v>
      </c>
      <c r="E21" s="217"/>
      <c r="F21" s="213"/>
      <c r="G21" s="214">
        <f ca="1">IFERROR(__xludf.DUMMYFUNCTION("""COMPUTED_VALUE"""),707935)</f>
        <v>707935</v>
      </c>
      <c r="H21" s="215" t="str">
        <f ca="1">IFERROR(__xludf.DUMMYFUNCTION("""COMPUTED_VALUE"""),"Intermediate")</f>
        <v>Intermediate</v>
      </c>
      <c r="I21" s="217" t="str">
        <f ca="1">IFERROR(__xludf.DUMMYFUNCTION("""COMPUTED_VALUE"""),"Laisser partir un employé / une employée")</f>
        <v>Laisser partir un employé / une employée</v>
      </c>
      <c r="J21" s="217"/>
      <c r="K21" s="213"/>
      <c r="L21" s="215">
        <f ca="1">IFERROR(__xludf.DUMMYFUNCTION("""COMPUTED_VALUE"""),588024)</f>
        <v>588024</v>
      </c>
      <c r="M21" s="215" t="str">
        <f ca="1">IFERROR(__xludf.DUMMYFUNCTION("""COMPUTED_VALUE"""),"All levels")</f>
        <v>All levels</v>
      </c>
      <c r="N21" s="217" t="str">
        <f ca="1">IFERROR(__xludf.DUMMYFUNCTION("""COMPUTED_VALUE"""),"Jeff Weiner y la gestión con compasión")</f>
        <v>Jeff Weiner y la gestión con compasión</v>
      </c>
      <c r="O21" s="217"/>
      <c r="P21" s="213"/>
      <c r="Q21" s="215"/>
      <c r="R21" s="215"/>
      <c r="S21" s="217"/>
      <c r="T21" s="217"/>
      <c r="U21" s="213"/>
      <c r="V21" s="215"/>
      <c r="W21" s="215"/>
      <c r="X21" s="217"/>
      <c r="Y21" s="217"/>
      <c r="Z21" s="213"/>
      <c r="AA21" s="215">
        <f ca="1">IFERROR(__xludf.DUMMYFUNCTION("""COMPUTED_VALUE"""),5018005)</f>
        <v>5018005</v>
      </c>
      <c r="AB21" s="215" t="str">
        <f ca="1">IFERROR(__xludf.DUMMYFUNCTION("""COMPUTED_VALUE"""),"Beginner, Intermediate")</f>
        <v>Beginner, Intermediate</v>
      </c>
      <c r="AC21" s="217" t="str">
        <f ca="1">IFERROR(__xludf.DUMMYFUNCTION("""COMPUTED_VALUE"""),"Gestão de Projetos: Como Resolver os Problemas Mais Comuns")</f>
        <v>Gestão de Projetos: Como Resolver os Problemas Mais Comuns</v>
      </c>
      <c r="AD21" s="217"/>
      <c r="AE21" s="213"/>
      <c r="AF21" s="215">
        <f ca="1">IFERROR(__xludf.DUMMYFUNCTION("""COMPUTED_VALUE"""),3102031)</f>
        <v>3102031</v>
      </c>
      <c r="AG21" s="215" t="str">
        <f ca="1">IFERROR(__xludf.DUMMYFUNCTION("""COMPUTED_VALUE"""),"Beginner")</f>
        <v>Beginner</v>
      </c>
      <c r="AH21" s="217" t="str">
        <f ca="1">IFERROR(__xludf.DUMMYFUNCTION("""COMPUTED_VALUE"""),"问题解决策略")</f>
        <v>问题解决策略</v>
      </c>
      <c r="AI21" s="217"/>
      <c r="AJ21" s="213"/>
    </row>
    <row r="22" spans="1:36" ht="33.75" customHeight="1">
      <c r="A22" s="213"/>
      <c r="B22" s="214">
        <f ca="1">IFERROR(__xludf.DUMMYFUNCTION("""COMPUTED_VALUE"""),2885186)</f>
        <v>2885186</v>
      </c>
      <c r="C22" s="215" t="str">
        <f ca="1">IFERROR(__xludf.DUMMYFUNCTION("""COMPUTED_VALUE"""),"Advanced")</f>
        <v>Advanced</v>
      </c>
      <c r="D22" s="216" t="str">
        <f ca="1">IFERROR(__xludf.DUMMYFUNCTION("""COMPUTED_VALUE"""),"How to Resolve Conflicts")</f>
        <v>How to Resolve Conflicts</v>
      </c>
      <c r="E22" s="217"/>
      <c r="F22" s="213"/>
      <c r="G22" s="214">
        <f ca="1">IFERROR(__xludf.DUMMYFUNCTION("""COMPUTED_VALUE"""),568505)</f>
        <v>568505</v>
      </c>
      <c r="H22" s="215" t="str">
        <f ca="1">IFERROR(__xludf.DUMMYFUNCTION("""COMPUTED_VALUE"""),"All levels")</f>
        <v>All levels</v>
      </c>
      <c r="I22" s="217" t="str">
        <f ca="1">IFERROR(__xludf.DUMMYFUNCTION("""COMPUTED_VALUE"""),"Les fondements de la gestion de projet : La communication")</f>
        <v>Les fondements de la gestion de projet : La communication</v>
      </c>
      <c r="J22" s="217"/>
      <c r="K22" s="213"/>
      <c r="L22" s="215">
        <f ca="1">IFERROR(__xludf.DUMMYFUNCTION("""COMPUTED_VALUE"""),514006)</f>
        <v>514006</v>
      </c>
      <c r="M22" s="215" t="str">
        <f ca="1">IFERROR(__xludf.DUMMYFUNCTION("""COMPUTED_VALUE"""),"All levels")</f>
        <v>All levels</v>
      </c>
      <c r="N22" s="217" t="str">
        <f ca="1">IFERROR(__xludf.DUMMYFUNCTION("""COMPUTED_VALUE"""),"La escucha activa")</f>
        <v>La escucha activa</v>
      </c>
      <c r="O22" s="217"/>
      <c r="P22" s="213"/>
      <c r="Q22" s="215"/>
      <c r="R22" s="215"/>
      <c r="S22" s="217"/>
      <c r="T22" s="217"/>
      <c r="U22" s="213"/>
      <c r="V22" s="215"/>
      <c r="W22" s="215"/>
      <c r="X22" s="217"/>
      <c r="Y22" s="217"/>
      <c r="Z22" s="213"/>
      <c r="AA22" s="215">
        <f ca="1">IFERROR(__xludf.DUMMYFUNCTION("""COMPUTED_VALUE"""),2841368)</f>
        <v>2841368</v>
      </c>
      <c r="AB22" s="215" t="str">
        <f ca="1">IFERROR(__xludf.DUMMYFUNCTION("""COMPUTED_VALUE"""),"All levels")</f>
        <v>All levels</v>
      </c>
      <c r="AC22" s="217" t="str">
        <f ca="1">IFERROR(__xludf.DUMMYFUNCTION("""COMPUTED_VALUE"""),"Técnicas de Resolução de Problemas")</f>
        <v>Técnicas de Resolução de Problemas</v>
      </c>
      <c r="AD22" s="217"/>
      <c r="AE22" s="213"/>
      <c r="AF22" s="215">
        <f ca="1">IFERROR(__xludf.DUMMYFUNCTION("""COMPUTED_VALUE"""),2810411)</f>
        <v>2810411</v>
      </c>
      <c r="AG22" s="215" t="str">
        <f ca="1">IFERROR(__xludf.DUMMYFUNCTION("""COMPUTED_VALUE"""),"Beginner, Intermediate")</f>
        <v>Beginner, Intermediate</v>
      </c>
      <c r="AH22" s="217" t="str">
        <f ca="1">IFERROR(__xludf.DUMMYFUNCTION("""COMPUTED_VALUE"""),"项目管理：解决常见项目问题")</f>
        <v>项目管理：解决常见项目问题</v>
      </c>
      <c r="AI22" s="217"/>
      <c r="AJ22" s="213"/>
    </row>
    <row r="23" spans="1:36" ht="33.75" customHeight="1">
      <c r="A23" s="213"/>
      <c r="B23" s="214">
        <f ca="1">IFERROR(__xludf.DUMMYFUNCTION("""COMPUTED_VALUE"""),2832010)</f>
        <v>2832010</v>
      </c>
      <c r="C23" s="215" t="str">
        <f ca="1">IFERROR(__xludf.DUMMYFUNCTION("""COMPUTED_VALUE"""),"Beginner")</f>
        <v>Beginner</v>
      </c>
      <c r="D23" s="216" t="str">
        <f ca="1">IFERROR(__xludf.DUMMYFUNCTION("""COMPUTED_VALUE"""),"How to Proactively Manage Conflict as an Employee")</f>
        <v>How to Proactively Manage Conflict as an Employee</v>
      </c>
      <c r="E23" s="217"/>
      <c r="F23" s="213"/>
      <c r="G23" s="214">
        <f ca="1">IFERROR(__xludf.DUMMYFUNCTION("""COMPUTED_VALUE"""),568983)</f>
        <v>568983</v>
      </c>
      <c r="H23" s="215" t="str">
        <f ca="1">IFERROR(__xludf.DUMMYFUNCTION("""COMPUTED_VALUE"""),"Beginner")</f>
        <v>Beginner</v>
      </c>
      <c r="I23" s="217" t="str">
        <f ca="1">IFERROR(__xludf.DUMMYFUNCTION("""COMPUTED_VALUE"""),"Les fondements de la gestion de projet : Les équipes")</f>
        <v>Les fondements de la gestion de projet : Les équipes</v>
      </c>
      <c r="J23" s="217"/>
      <c r="K23" s="213"/>
      <c r="L23" s="215">
        <f ca="1">IFERROR(__xludf.DUMMYFUNCTION("""COMPUTED_VALUE"""),597553)</f>
        <v>597553</v>
      </c>
      <c r="M23" s="215" t="str">
        <f ca="1">IFERROR(__xludf.DUMMYFUNCTION("""COMPUTED_VALUE"""),"Advanced")</f>
        <v>Advanced</v>
      </c>
      <c r="N23" s="217" t="str">
        <f ca="1">IFERROR(__xludf.DUMMYFUNCTION("""COMPUTED_VALUE"""),"Marketing online avanzado: Resolución de problemas")</f>
        <v>Marketing online avanzado: Resolución de problemas</v>
      </c>
      <c r="O23" s="217"/>
      <c r="P23" s="213"/>
      <c r="Q23" s="215"/>
      <c r="R23" s="215"/>
      <c r="S23" s="217"/>
      <c r="T23" s="217"/>
      <c r="U23" s="213"/>
      <c r="V23" s="215"/>
      <c r="W23" s="215"/>
      <c r="X23" s="217"/>
      <c r="Y23" s="217"/>
      <c r="Z23" s="213"/>
      <c r="AA23" s="215"/>
      <c r="AB23" s="215"/>
      <c r="AC23" s="217"/>
      <c r="AD23" s="217"/>
      <c r="AE23" s="213"/>
      <c r="AF23" s="215">
        <f ca="1">IFERROR(__xludf.DUMMYFUNCTION("""COMPUTED_VALUE"""),762258)</f>
        <v>762258</v>
      </c>
      <c r="AG23" s="215" t="str">
        <f ca="1">IFERROR(__xludf.DUMMYFUNCTION("""COMPUTED_VALUE"""),"Beginner")</f>
        <v>Beginner</v>
      </c>
      <c r="AH23" s="217" t="str">
        <f ca="1">IFERROR(__xludf.DUMMYFUNCTION("""COMPUTED_VALUE"""),"项目管理基础知识：团队")</f>
        <v>项目管理基础知识：团队</v>
      </c>
      <c r="AI23" s="217"/>
      <c r="AJ23" s="213"/>
    </row>
    <row r="24" spans="1:36" ht="33.75" customHeight="1">
      <c r="A24" s="213"/>
      <c r="B24" s="214">
        <f ca="1">IFERROR(__xludf.DUMMYFUNCTION("""COMPUTED_VALUE"""),2870084)</f>
        <v>2870084</v>
      </c>
      <c r="C24" s="215" t="str">
        <f ca="1">IFERROR(__xludf.DUMMYFUNCTION("""COMPUTED_VALUE"""),"Beginner")</f>
        <v>Beginner</v>
      </c>
      <c r="D24" s="216" t="str">
        <f ca="1">IFERROR(__xludf.DUMMYFUNCTION("""COMPUTED_VALUE"""),"Dealing with Disappointment in Your Role")</f>
        <v>Dealing with Disappointment in Your Role</v>
      </c>
      <c r="E24" s="217"/>
      <c r="F24" s="213"/>
      <c r="G24" s="214">
        <f ca="1">IFERROR(__xludf.DUMMYFUNCTION("""COMPUTED_VALUE"""),642604)</f>
        <v>642604</v>
      </c>
      <c r="H24" s="215" t="str">
        <f ca="1">IFERROR(__xludf.DUMMYFUNCTION("""COMPUTED_VALUE"""),"All levels")</f>
        <v>All levels</v>
      </c>
      <c r="I24" s="217" t="str">
        <f ca="1">IFERROR(__xludf.DUMMYFUNCTION("""COMPUTED_VALUE"""),"Les fondements de la résolution de conflits")</f>
        <v>Les fondements de la résolution de conflits</v>
      </c>
      <c r="J24" s="217"/>
      <c r="K24" s="213"/>
      <c r="L24" s="215">
        <f ca="1">IFERROR(__xludf.DUMMYFUNCTION("""COMPUTED_VALUE"""),5025581)</f>
        <v>5025581</v>
      </c>
      <c r="M24" s="215" t="str">
        <f ca="1">IFERROR(__xludf.DUMMYFUNCTION("""COMPUTED_VALUE"""),"Advanced")</f>
        <v>Advanced</v>
      </c>
      <c r="N24" s="217" t="str">
        <f ca="1">IFERROR(__xludf.DUMMYFUNCTION("""COMPUTED_VALUE"""),"Mejora tu competencia en conflictos")</f>
        <v>Mejora tu competencia en conflictos</v>
      </c>
      <c r="O24" s="217"/>
      <c r="P24" s="213"/>
      <c r="Q24" s="215"/>
      <c r="R24" s="215"/>
      <c r="S24" s="217"/>
      <c r="T24" s="217"/>
      <c r="U24" s="213"/>
      <c r="V24" s="215"/>
      <c r="W24" s="215"/>
      <c r="X24" s="217"/>
      <c r="Y24" s="217"/>
      <c r="Z24" s="213"/>
      <c r="AA24" s="215"/>
      <c r="AB24" s="215"/>
      <c r="AC24" s="217"/>
      <c r="AD24" s="217"/>
      <c r="AE24" s="213"/>
      <c r="AF24" s="215">
        <f ca="1">IFERROR(__xludf.DUMMYFUNCTION("""COMPUTED_VALUE"""),773660)</f>
        <v>773660</v>
      </c>
      <c r="AG24" s="215" t="str">
        <f ca="1">IFERROR(__xludf.DUMMYFUNCTION("""COMPUTED_VALUE"""),"Beginner")</f>
        <v>Beginner</v>
      </c>
      <c r="AH24" s="217" t="str">
        <f ca="1">IFERROR(__xludf.DUMMYFUNCTION("""COMPUTED_VALUE"""),"项目管理基础知识：沟通")</f>
        <v>项目管理基础知识：沟通</v>
      </c>
      <c r="AI24" s="217"/>
      <c r="AJ24" s="213"/>
    </row>
    <row r="25" spans="1:36" ht="33.75" customHeight="1">
      <c r="A25" s="213"/>
      <c r="B25" s="214">
        <f ca="1">IFERROR(__xludf.DUMMYFUNCTION("""COMPUTED_VALUE"""),534584)</f>
        <v>534584</v>
      </c>
      <c r="C25" s="215" t="str">
        <f ca="1">IFERROR(__xludf.DUMMYFUNCTION("""COMPUTED_VALUE"""),"Beginner")</f>
        <v>Beginner</v>
      </c>
      <c r="D25" s="216" t="str">
        <f ca="1">IFERROR(__xludf.DUMMYFUNCTION("""COMPUTED_VALUE"""),"Communicating with Empathy")</f>
        <v>Communicating with Empathy</v>
      </c>
      <c r="E25" s="217"/>
      <c r="F25" s="213"/>
      <c r="G25" s="214">
        <f ca="1">IFERROR(__xludf.DUMMYFUNCTION("""COMPUTED_VALUE"""),416387)</f>
        <v>416387</v>
      </c>
      <c r="H25" s="215" t="str">
        <f ca="1">IFERROR(__xludf.DUMMYFUNCTION("""COMPUTED_VALUE"""),"All levels")</f>
        <v>All levels</v>
      </c>
      <c r="I25" s="217" t="str">
        <f ca="1">IFERROR(__xludf.DUMMYFUNCTION("""COMPUTED_VALUE"""),"Mener des conversations difficiles")</f>
        <v>Mener des conversations difficiles</v>
      </c>
      <c r="J25" s="217"/>
      <c r="K25" s="213"/>
      <c r="L25" s="215">
        <f ca="1">IFERROR(__xludf.DUMMYFUNCTION("""COMPUTED_VALUE"""),5025694)</f>
        <v>5025694</v>
      </c>
      <c r="M25" s="215" t="str">
        <f ca="1">IFERROR(__xludf.DUMMYFUNCTION("""COMPUTED_VALUE"""),"Beginner, Intermediate")</f>
        <v>Beginner, Intermediate</v>
      </c>
      <c r="N25" s="217" t="str">
        <f ca="1">IFERROR(__xludf.DUMMYFUNCTION("""COMPUTED_VALUE"""),"Mejora tu habilidad de escucha activa")</f>
        <v>Mejora tu habilidad de escucha activa</v>
      </c>
      <c r="O25" s="217"/>
      <c r="P25" s="213"/>
      <c r="Q25" s="215"/>
      <c r="R25" s="215"/>
      <c r="S25" s="217"/>
      <c r="T25" s="217"/>
      <c r="U25" s="213"/>
      <c r="V25" s="215"/>
      <c r="W25" s="215"/>
      <c r="X25" s="217"/>
      <c r="Y25" s="217"/>
      <c r="Z25" s="213"/>
      <c r="AA25" s="215"/>
      <c r="AB25" s="215"/>
      <c r="AC25" s="217"/>
      <c r="AD25" s="217"/>
      <c r="AE25" s="213"/>
      <c r="AF25" s="215"/>
      <c r="AG25" s="215"/>
      <c r="AH25" s="217"/>
      <c r="AI25" s="217"/>
      <c r="AJ25" s="213"/>
    </row>
    <row r="26" spans="1:36" ht="33.75" customHeight="1">
      <c r="A26" s="213"/>
      <c r="B26" s="214">
        <f ca="1">IFERROR(__xludf.DUMMYFUNCTION("""COMPUTED_VALUE"""),746260)</f>
        <v>746260</v>
      </c>
      <c r="C26" s="215" t="str">
        <f ca="1">IFERROR(__xludf.DUMMYFUNCTION("""COMPUTED_VALUE"""),"Beginner")</f>
        <v>Beginner</v>
      </c>
      <c r="D26" s="216" t="str">
        <f ca="1">IFERROR(__xludf.DUMMYFUNCTION("""COMPUTED_VALUE"""),"Conflict Resolution Foundations")</f>
        <v>Conflict Resolution Foundations</v>
      </c>
      <c r="E26" s="217"/>
      <c r="F26" s="213"/>
      <c r="G26" s="214">
        <f ca="1">IFERROR(__xludf.DUMMYFUNCTION("""COMPUTED_VALUE"""),2951286)</f>
        <v>2951286</v>
      </c>
      <c r="H26" s="215" t="str">
        <f ca="1">IFERROR(__xludf.DUMMYFUNCTION("""COMPUTED_VALUE"""),"Beginner")</f>
        <v>Beginner</v>
      </c>
      <c r="I26" s="217" t="str">
        <f ca="1">IFERROR(__xludf.DUMMYFUNCTION("""COMPUTED_VALUE"""),"Techniques de résolution de problèmes")</f>
        <v>Techniques de résolution de problèmes</v>
      </c>
      <c r="J26" s="217"/>
      <c r="K26" s="213"/>
      <c r="L26" s="215">
        <f ca="1">IFERROR(__xludf.DUMMYFUNCTION("""COMPUTED_VALUE"""),502982)</f>
        <v>502982</v>
      </c>
      <c r="M26" s="215" t="str">
        <f ca="1">IFERROR(__xludf.DUMMYFUNCTION("""COMPUTED_VALUE"""),"All levels")</f>
        <v>All levels</v>
      </c>
      <c r="N26" s="217" t="str">
        <f ca="1">IFERROR(__xludf.DUMMYFUNCTION("""COMPUTED_VALUE"""),"Resolución de problemas empresariales")</f>
        <v>Resolución de problemas empresariales</v>
      </c>
      <c r="O26" s="217"/>
      <c r="P26" s="213"/>
      <c r="Q26" s="215"/>
      <c r="R26" s="215"/>
      <c r="S26" s="217"/>
      <c r="T26" s="217"/>
      <c r="U26" s="213"/>
      <c r="V26" s="215"/>
      <c r="W26" s="215"/>
      <c r="X26" s="217"/>
      <c r="Y26" s="217"/>
      <c r="Z26" s="213"/>
      <c r="AA26" s="215"/>
      <c r="AB26" s="215"/>
      <c r="AC26" s="217"/>
      <c r="AD26" s="217"/>
      <c r="AE26" s="213"/>
      <c r="AF26" s="215"/>
      <c r="AG26" s="215"/>
      <c r="AH26" s="217"/>
      <c r="AI26" s="217"/>
      <c r="AJ26" s="213"/>
    </row>
    <row r="27" spans="1:36" ht="33.75" customHeight="1">
      <c r="A27" s="213"/>
      <c r="B27" s="214">
        <f ca="1">IFERROR(__xludf.DUMMYFUNCTION("""COMPUTED_VALUE"""),2825336)</f>
        <v>2825336</v>
      </c>
      <c r="C27" s="215" t="str">
        <f ca="1">IFERROR(__xludf.DUMMYFUNCTION("""COMPUTED_VALUE"""),"Beginner")</f>
        <v>Beginner</v>
      </c>
      <c r="D27" s="216" t="str">
        <f ca="1">IFERROR(__xludf.DUMMYFUNCTION("""COMPUTED_VALUE"""),"Dealing with Difficult People in Your Office")</f>
        <v>Dealing with Difficult People in Your Office</v>
      </c>
      <c r="E27" s="217"/>
      <c r="F27" s="213"/>
      <c r="G27" s="214">
        <f ca="1">IFERROR(__xludf.DUMMYFUNCTION("""COMPUTED_VALUE"""),792291)</f>
        <v>792291</v>
      </c>
      <c r="H27" s="215" t="str">
        <f ca="1">IFERROR(__xludf.DUMMYFUNCTION("""COMPUTED_VALUE"""),"Intermediate")</f>
        <v>Intermediate</v>
      </c>
      <c r="I27" s="217" t="str">
        <f ca="1">IFERROR(__xludf.DUMMYFUNCTION("""COMPUTED_VALUE"""),"Traiter avec des clients mécontents / clientes mécontentes")</f>
        <v>Traiter avec des clients mécontents / clientes mécontentes</v>
      </c>
      <c r="J27" s="217"/>
      <c r="K27" s="213"/>
      <c r="L27" s="215">
        <f ca="1">IFERROR(__xludf.DUMMYFUNCTION("""COMPUTED_VALUE"""),2988200)</f>
        <v>2988200</v>
      </c>
      <c r="M27" s="215" t="str">
        <f ca="1">IFERROR(__xludf.DUMMYFUNCTION("""COMPUTED_VALUE"""),"Advanced")</f>
        <v>Advanced</v>
      </c>
      <c r="N27" s="217" t="str">
        <f ca="1">IFERROR(__xludf.DUMMYFUNCTION("""COMPUTED_VALUE"""),"Toma de decisiones en situaciones de gran estrés")</f>
        <v>Toma de decisiones en situaciones de gran estrés</v>
      </c>
      <c r="O27" s="217"/>
      <c r="P27" s="213"/>
      <c r="Q27" s="215"/>
      <c r="R27" s="215"/>
      <c r="S27" s="217"/>
      <c r="T27" s="217"/>
      <c r="U27" s="213"/>
      <c r="V27" s="215"/>
      <c r="W27" s="215"/>
      <c r="X27" s="217"/>
      <c r="Y27" s="217"/>
      <c r="Z27" s="213"/>
      <c r="AA27" s="215"/>
      <c r="AB27" s="215"/>
      <c r="AC27" s="217"/>
      <c r="AD27" s="217"/>
      <c r="AE27" s="213"/>
      <c r="AF27" s="215"/>
      <c r="AG27" s="215"/>
      <c r="AH27" s="217"/>
      <c r="AI27" s="217"/>
      <c r="AJ27" s="213"/>
    </row>
    <row r="28" spans="1:36" ht="33.75" customHeight="1">
      <c r="A28" s="213"/>
      <c r="B28" s="214">
        <f ca="1">IFERROR(__xludf.DUMMYFUNCTION("""COMPUTED_VALUE"""),2887217)</f>
        <v>2887217</v>
      </c>
      <c r="C28" s="215" t="str">
        <f ca="1">IFERROR(__xludf.DUMMYFUNCTION("""COMPUTED_VALUE"""),"Beginner")</f>
        <v>Beginner</v>
      </c>
      <c r="D28" s="216" t="str">
        <f ca="1">IFERROR(__xludf.DUMMYFUNCTION("""COMPUTED_VALUE"""),"Embracing Conflict as a Gift")</f>
        <v>Embracing Conflict as a Gift</v>
      </c>
      <c r="E28" s="217"/>
      <c r="F28" s="213"/>
      <c r="G28" s="214">
        <f ca="1">IFERROR(__xludf.DUMMYFUNCTION("""COMPUTED_VALUE"""),2825467)</f>
        <v>2825467</v>
      </c>
      <c r="H28" s="215" t="str">
        <f ca="1">IFERROR(__xludf.DUMMYFUNCTION("""COMPUTED_VALUE"""),"Beginner")</f>
        <v>Beginner</v>
      </c>
      <c r="I28" s="217" t="str">
        <f ca="1">IFERROR(__xludf.DUMMYFUNCTION("""COMPUTED_VALUE"""),"Travailler avec des personnes difficiles")</f>
        <v>Travailler avec des personnes difficiles</v>
      </c>
      <c r="J28" s="217"/>
      <c r="K28" s="213"/>
      <c r="L28" s="215"/>
      <c r="M28" s="215"/>
      <c r="N28" s="217"/>
      <c r="O28" s="217"/>
      <c r="P28" s="213"/>
      <c r="Q28" s="215"/>
      <c r="R28" s="215"/>
      <c r="S28" s="217"/>
      <c r="T28" s="217"/>
      <c r="U28" s="213"/>
      <c r="V28" s="215"/>
      <c r="W28" s="215"/>
      <c r="X28" s="217"/>
      <c r="Y28" s="217"/>
      <c r="Z28" s="213"/>
      <c r="AA28" s="215"/>
      <c r="AB28" s="215"/>
      <c r="AC28" s="217"/>
      <c r="AD28" s="217"/>
      <c r="AE28" s="213"/>
      <c r="AF28" s="215"/>
      <c r="AG28" s="215"/>
      <c r="AH28" s="217"/>
      <c r="AI28" s="217"/>
      <c r="AJ28" s="213"/>
    </row>
    <row r="29" spans="1:36" ht="33.75" customHeight="1">
      <c r="A29" s="213"/>
      <c r="B29" s="214">
        <f ca="1">IFERROR(__xludf.DUMMYFUNCTION("""COMPUTED_VALUE"""),2884261)</f>
        <v>2884261</v>
      </c>
      <c r="C29" s="215" t="str">
        <f ca="1">IFERROR(__xludf.DUMMYFUNCTION("""COMPUTED_VALUE"""),"Beginner")</f>
        <v>Beginner</v>
      </c>
      <c r="D29" s="216" t="str">
        <f ca="1">IFERROR(__xludf.DUMMYFUNCTION("""COMPUTED_VALUE"""),"How to Manage High-Stakes Conflict")</f>
        <v>How to Manage High-Stakes Conflict</v>
      </c>
      <c r="E29" s="217"/>
      <c r="F29" s="213"/>
      <c r="G29" s="214">
        <f ca="1">IFERROR(__xludf.DUMMYFUNCTION("""COMPUTED_VALUE"""),401559)</f>
        <v>401559</v>
      </c>
      <c r="H29" s="215" t="str">
        <f ca="1">IFERROR(__xludf.DUMMYFUNCTION("""COMPUTED_VALUE"""),"All levels")</f>
        <v>All levels</v>
      </c>
      <c r="I29" s="217" t="str">
        <f ca="1">IFERROR(__xludf.DUMMYFUNCTION("""COMPUTED_VALUE"""),"Travailler avec un supérieur / une supérieure hiérarchique difficile")</f>
        <v>Travailler avec un supérieur / une supérieure hiérarchique difficile</v>
      </c>
      <c r="J29" s="217"/>
      <c r="K29" s="213"/>
      <c r="L29" s="215"/>
      <c r="M29" s="215"/>
      <c r="N29" s="217"/>
      <c r="O29" s="217"/>
      <c r="P29" s="213"/>
      <c r="Q29" s="215"/>
      <c r="R29" s="215"/>
      <c r="S29" s="217"/>
      <c r="T29" s="217"/>
      <c r="U29" s="213"/>
      <c r="V29" s="215"/>
      <c r="W29" s="215"/>
      <c r="X29" s="217"/>
      <c r="Y29" s="217"/>
      <c r="Z29" s="213"/>
      <c r="AA29" s="215"/>
      <c r="AB29" s="215"/>
      <c r="AC29" s="217"/>
      <c r="AD29" s="217"/>
      <c r="AE29" s="213"/>
      <c r="AF29" s="215"/>
      <c r="AG29" s="215"/>
      <c r="AH29" s="217"/>
      <c r="AI29" s="217"/>
      <c r="AJ29" s="213"/>
    </row>
    <row r="30" spans="1:36" ht="33.75" customHeight="1">
      <c r="A30" s="213"/>
      <c r="B30" s="214">
        <f ca="1">IFERROR(__xludf.DUMMYFUNCTION("""COMPUTED_VALUE"""),2884262)</f>
        <v>2884262</v>
      </c>
      <c r="C30" s="215" t="str">
        <f ca="1">IFERROR(__xludf.DUMMYFUNCTION("""COMPUTED_VALUE"""),"Beginner")</f>
        <v>Beginner</v>
      </c>
      <c r="D30" s="216" t="str">
        <f ca="1">IFERROR(__xludf.DUMMYFUNCTION("""COMPUTED_VALUE"""),"How to Use Negotiation Jiu Jitsu to Resolve Conflicts and Persuade")</f>
        <v>How to Use Negotiation Jiu Jitsu to Resolve Conflicts and Persuade</v>
      </c>
      <c r="E30" s="217"/>
      <c r="F30" s="213"/>
      <c r="G30" s="214"/>
      <c r="H30" s="215"/>
      <c r="I30" s="217"/>
      <c r="J30" s="217"/>
      <c r="K30" s="213"/>
      <c r="L30" s="215"/>
      <c r="M30" s="215"/>
      <c r="N30" s="217"/>
      <c r="O30" s="217"/>
      <c r="P30" s="213"/>
      <c r="Q30" s="215"/>
      <c r="R30" s="215"/>
      <c r="S30" s="217"/>
      <c r="T30" s="217"/>
      <c r="U30" s="213"/>
      <c r="V30" s="215"/>
      <c r="W30" s="215"/>
      <c r="X30" s="217"/>
      <c r="Y30" s="217"/>
      <c r="Z30" s="213"/>
      <c r="AA30" s="215"/>
      <c r="AB30" s="215"/>
      <c r="AC30" s="217"/>
      <c r="AD30" s="217"/>
      <c r="AE30" s="213"/>
      <c r="AF30" s="215"/>
      <c r="AG30" s="215"/>
      <c r="AH30" s="217"/>
      <c r="AI30" s="217"/>
      <c r="AJ30" s="213"/>
    </row>
    <row r="31" spans="1:36" ht="33.75" customHeight="1">
      <c r="A31" s="213"/>
      <c r="B31" s="214">
        <f ca="1">IFERROR(__xludf.DUMMYFUNCTION("""COMPUTED_VALUE"""),2882168)</f>
        <v>2882168</v>
      </c>
      <c r="C31" s="215" t="str">
        <f ca="1">IFERROR(__xludf.DUMMYFUNCTION("""COMPUTED_VALUE"""),"Beginner")</f>
        <v>Beginner</v>
      </c>
      <c r="D31" s="216" t="str">
        <f ca="1">IFERROR(__xludf.DUMMYFUNCTION("""COMPUTED_VALUE"""),"How to Win Arguments")</f>
        <v>How to Win Arguments</v>
      </c>
      <c r="E31" s="217"/>
      <c r="F31" s="213"/>
      <c r="G31" s="214"/>
      <c r="H31" s="215"/>
      <c r="I31" s="217"/>
      <c r="J31" s="217"/>
      <c r="K31" s="213"/>
      <c r="L31" s="215"/>
      <c r="M31" s="215"/>
      <c r="N31" s="217"/>
      <c r="O31" s="217"/>
      <c r="P31" s="213"/>
      <c r="Q31" s="215"/>
      <c r="R31" s="215"/>
      <c r="S31" s="217"/>
      <c r="T31" s="217"/>
      <c r="U31" s="213"/>
      <c r="V31" s="215"/>
      <c r="W31" s="215"/>
      <c r="X31" s="217"/>
      <c r="Y31" s="217"/>
      <c r="Z31" s="213"/>
      <c r="AA31" s="215"/>
      <c r="AB31" s="215"/>
      <c r="AC31" s="217"/>
      <c r="AD31" s="217"/>
      <c r="AE31" s="213"/>
      <c r="AF31" s="215"/>
      <c r="AG31" s="215"/>
      <c r="AH31" s="217"/>
      <c r="AI31" s="217"/>
      <c r="AJ31" s="213"/>
    </row>
    <row r="32" spans="1:36" ht="30">
      <c r="A32" s="213"/>
      <c r="B32" s="214">
        <f ca="1">IFERROR(__xludf.DUMMYFUNCTION("""COMPUTED_VALUE"""),2815033)</f>
        <v>2815033</v>
      </c>
      <c r="C32" s="215" t="str">
        <f ca="1">IFERROR(__xludf.DUMMYFUNCTION("""COMPUTED_VALUE"""),"Beginner + Intermediate")</f>
        <v>Beginner + Intermediate</v>
      </c>
      <c r="D32" s="216" t="str">
        <f ca="1">IFERROR(__xludf.DUMMYFUNCTION("""COMPUTED_VALUE"""),"Mixtape: Highlights from LinkedIn Learning Courses")</f>
        <v>Mixtape: Highlights from LinkedIn Learning Courses</v>
      </c>
      <c r="E32" s="217"/>
      <c r="F32" s="213"/>
      <c r="G32" s="214"/>
      <c r="H32" s="215"/>
      <c r="I32" s="217"/>
      <c r="J32" s="217"/>
      <c r="K32" s="213"/>
      <c r="L32" s="215"/>
      <c r="M32" s="215"/>
      <c r="N32" s="217"/>
      <c r="O32" s="217"/>
      <c r="P32" s="213"/>
      <c r="Q32" s="215"/>
      <c r="R32" s="215"/>
      <c r="S32" s="217"/>
      <c r="T32" s="217"/>
      <c r="U32" s="213"/>
      <c r="V32" s="215"/>
      <c r="W32" s="215"/>
      <c r="X32" s="217"/>
      <c r="Y32" s="217"/>
      <c r="Z32" s="213"/>
      <c r="AA32" s="215"/>
      <c r="AB32" s="215"/>
      <c r="AC32" s="217"/>
      <c r="AD32" s="217"/>
      <c r="AE32" s="213"/>
      <c r="AF32" s="215"/>
      <c r="AG32" s="215"/>
      <c r="AH32" s="217"/>
      <c r="AI32" s="217"/>
      <c r="AJ32" s="213"/>
    </row>
    <row r="33" spans="1:36" ht="33.75" customHeight="1">
      <c r="A33" s="213"/>
      <c r="B33" s="214">
        <f ca="1">IFERROR(__xludf.DUMMYFUNCTION("""COMPUTED_VALUE"""),622052)</f>
        <v>622052</v>
      </c>
      <c r="C33" s="215" t="str">
        <f ca="1">IFERROR(__xludf.DUMMYFUNCTION("""COMPUTED_VALUE"""),"Beginner + Intermediate")</f>
        <v>Beginner + Intermediate</v>
      </c>
      <c r="D33" s="216" t="str">
        <f ca="1">IFERROR(__xludf.DUMMYFUNCTION("""COMPUTED_VALUE"""),"Delivering Bad News Effectively")</f>
        <v>Delivering Bad News Effectively</v>
      </c>
      <c r="E33" s="217"/>
      <c r="F33" s="213"/>
      <c r="G33" s="214"/>
      <c r="H33" s="215"/>
      <c r="I33" s="217"/>
      <c r="J33" s="217"/>
      <c r="K33" s="213"/>
      <c r="L33" s="215"/>
      <c r="M33" s="215"/>
      <c r="N33" s="217"/>
      <c r="O33" s="217"/>
      <c r="P33" s="213"/>
      <c r="Q33" s="215"/>
      <c r="R33" s="215"/>
      <c r="S33" s="217"/>
      <c r="T33" s="217"/>
      <c r="U33" s="213"/>
      <c r="V33" s="215"/>
      <c r="W33" s="215"/>
      <c r="X33" s="217"/>
      <c r="Y33" s="217"/>
      <c r="Z33" s="213"/>
      <c r="AA33" s="215"/>
      <c r="AB33" s="215"/>
      <c r="AC33" s="217"/>
      <c r="AD33" s="217"/>
      <c r="AE33" s="213"/>
      <c r="AF33" s="215"/>
      <c r="AG33" s="215"/>
      <c r="AH33" s="217"/>
      <c r="AI33" s="217"/>
      <c r="AJ33" s="213"/>
    </row>
    <row r="34" spans="1:36" ht="33.75" customHeight="1">
      <c r="A34" s="213"/>
      <c r="B34" s="214">
        <f ca="1">IFERROR(__xludf.DUMMYFUNCTION("""COMPUTED_VALUE"""),423244)</f>
        <v>423244</v>
      </c>
      <c r="C34" s="215" t="str">
        <f ca="1">IFERROR(__xludf.DUMMYFUNCTION("""COMPUTED_VALUE"""),"General")</f>
        <v>General</v>
      </c>
      <c r="D34" s="216" t="str">
        <f ca="1">IFERROR(__xludf.DUMMYFUNCTION("""COMPUTED_VALUE"""),"Fred Kofman on Managing Conflict")</f>
        <v>Fred Kofman on Managing Conflict</v>
      </c>
      <c r="E34" s="217"/>
      <c r="F34" s="213"/>
      <c r="G34" s="214"/>
      <c r="H34" s="215"/>
      <c r="I34" s="217"/>
      <c r="J34" s="217"/>
      <c r="K34" s="213"/>
      <c r="L34" s="215"/>
      <c r="M34" s="215"/>
      <c r="N34" s="217"/>
      <c r="O34" s="217"/>
      <c r="P34" s="213"/>
      <c r="Q34" s="215"/>
      <c r="R34" s="215"/>
      <c r="S34" s="217"/>
      <c r="T34" s="217"/>
      <c r="U34" s="213"/>
      <c r="V34" s="215"/>
      <c r="W34" s="215"/>
      <c r="X34" s="217"/>
      <c r="Y34" s="217"/>
      <c r="Z34" s="213"/>
      <c r="AA34" s="215"/>
      <c r="AB34" s="215"/>
      <c r="AC34" s="217"/>
      <c r="AD34" s="217"/>
      <c r="AE34" s="213"/>
      <c r="AF34" s="215"/>
      <c r="AG34" s="215"/>
      <c r="AH34" s="217"/>
      <c r="AI34" s="217"/>
      <c r="AJ34" s="213"/>
    </row>
    <row r="35" spans="1:36" ht="33.75" customHeight="1">
      <c r="A35" s="213"/>
      <c r="B35" s="214">
        <f ca="1">IFERROR(__xludf.DUMMYFUNCTION("""COMPUTED_VALUE"""),746303)</f>
        <v>746303</v>
      </c>
      <c r="C35" s="215" t="str">
        <f ca="1">IFERROR(__xludf.DUMMYFUNCTION("""COMPUTED_VALUE"""),"General")</f>
        <v>General</v>
      </c>
      <c r="D35" s="216" t="str">
        <f ca="1">IFERROR(__xludf.DUMMYFUNCTION("""COMPUTED_VALUE"""),"Having Difficult Conversations")</f>
        <v>Having Difficult Conversations</v>
      </c>
      <c r="E35" s="217"/>
      <c r="F35" s="213"/>
      <c r="G35" s="214"/>
      <c r="H35" s="215"/>
      <c r="I35" s="217"/>
      <c r="J35" s="217"/>
      <c r="K35" s="213"/>
      <c r="L35" s="215"/>
      <c r="M35" s="215"/>
      <c r="N35" s="217"/>
      <c r="O35" s="217"/>
      <c r="P35" s="213"/>
      <c r="Q35" s="215"/>
      <c r="R35" s="215"/>
      <c r="S35" s="217"/>
      <c r="T35" s="217"/>
      <c r="U35" s="213"/>
      <c r="V35" s="215"/>
      <c r="W35" s="215"/>
      <c r="X35" s="217"/>
      <c r="Y35" s="217"/>
      <c r="Z35" s="213"/>
      <c r="AA35" s="215"/>
      <c r="AB35" s="215"/>
      <c r="AC35" s="217"/>
      <c r="AD35" s="217"/>
      <c r="AE35" s="213"/>
      <c r="AF35" s="215"/>
      <c r="AG35" s="215"/>
      <c r="AH35" s="217"/>
      <c r="AI35" s="217"/>
      <c r="AJ35" s="213"/>
    </row>
    <row r="36" spans="1:36" ht="33.75" customHeight="1">
      <c r="A36" s="213"/>
      <c r="B36" s="214">
        <f ca="1">IFERROR(__xludf.DUMMYFUNCTION("""COMPUTED_VALUE"""),180863)</f>
        <v>180863</v>
      </c>
      <c r="C36" s="215" t="str">
        <f ca="1">IFERROR(__xludf.DUMMYFUNCTION("""COMPUTED_VALUE"""),"General")</f>
        <v>General</v>
      </c>
      <c r="D36" s="216" t="str">
        <f ca="1">IFERROR(__xludf.DUMMYFUNCTION("""COMPUTED_VALUE"""),"Improving Your Conflict Competence")</f>
        <v>Improving Your Conflict Competence</v>
      </c>
      <c r="E36" s="217"/>
      <c r="F36" s="213"/>
      <c r="G36" s="214"/>
      <c r="H36" s="215"/>
      <c r="I36" s="217"/>
      <c r="J36" s="217"/>
      <c r="K36" s="213"/>
      <c r="L36" s="215"/>
      <c r="M36" s="215"/>
      <c r="N36" s="217"/>
      <c r="O36" s="217"/>
      <c r="P36" s="213"/>
      <c r="Q36" s="215"/>
      <c r="R36" s="215"/>
      <c r="S36" s="217"/>
      <c r="T36" s="217"/>
      <c r="U36" s="213"/>
      <c r="V36" s="215"/>
      <c r="W36" s="215"/>
      <c r="X36" s="217"/>
      <c r="Y36" s="217"/>
      <c r="Z36" s="213"/>
      <c r="AA36" s="215"/>
      <c r="AB36" s="215"/>
      <c r="AC36" s="217"/>
      <c r="AD36" s="217"/>
      <c r="AE36" s="213"/>
      <c r="AF36" s="215"/>
      <c r="AG36" s="215"/>
      <c r="AH36" s="217"/>
      <c r="AI36" s="217"/>
      <c r="AJ36" s="213"/>
    </row>
    <row r="37" spans="1:36" ht="33.75" customHeight="1">
      <c r="A37" s="213"/>
      <c r="B37" s="214">
        <f ca="1">IFERROR(__xludf.DUMMYFUNCTION("""COMPUTED_VALUE"""),176760)</f>
        <v>176760</v>
      </c>
      <c r="C37" s="215" t="str">
        <f ca="1">IFERROR(__xludf.DUMMYFUNCTION("""COMPUTED_VALUE"""),"General")</f>
        <v>General</v>
      </c>
      <c r="D37" s="216" t="str">
        <f ca="1">IFERROR(__xludf.DUMMYFUNCTION("""COMPUTED_VALUE"""),"Effective Listening")</f>
        <v>Effective Listening</v>
      </c>
      <c r="E37" s="217"/>
      <c r="F37" s="213"/>
      <c r="G37" s="214"/>
      <c r="H37" s="215"/>
      <c r="I37" s="217"/>
      <c r="J37" s="217"/>
      <c r="K37" s="213"/>
      <c r="L37" s="215"/>
      <c r="M37" s="215"/>
      <c r="N37" s="217"/>
      <c r="O37" s="217"/>
      <c r="P37" s="213"/>
      <c r="Q37" s="215"/>
      <c r="R37" s="215"/>
      <c r="S37" s="217"/>
      <c r="T37" s="217"/>
      <c r="U37" s="213"/>
      <c r="V37" s="215"/>
      <c r="W37" s="215"/>
      <c r="X37" s="217"/>
      <c r="Y37" s="217"/>
      <c r="Z37" s="213"/>
      <c r="AA37" s="215"/>
      <c r="AB37" s="215"/>
      <c r="AC37" s="217"/>
      <c r="AD37" s="217"/>
      <c r="AE37" s="213"/>
      <c r="AF37" s="215"/>
      <c r="AG37" s="215"/>
      <c r="AH37" s="217"/>
      <c r="AI37" s="217"/>
      <c r="AJ37" s="213"/>
    </row>
    <row r="38" spans="1:36" ht="33.75" customHeight="1">
      <c r="A38" s="213"/>
      <c r="B38" s="214">
        <f ca="1">IFERROR(__xludf.DUMMYFUNCTION("""COMPUTED_VALUE"""),2832037)</f>
        <v>2832037</v>
      </c>
      <c r="C38" s="215" t="str">
        <f ca="1">IFERROR(__xludf.DUMMYFUNCTION("""COMPUTED_VALUE"""),"General")</f>
        <v>General</v>
      </c>
      <c r="D38" s="216" t="str">
        <f ca="1">IFERROR(__xludf.DUMMYFUNCTION("""COMPUTED_VALUE"""),"Leading in Crisis")</f>
        <v>Leading in Crisis</v>
      </c>
      <c r="E38" s="217"/>
      <c r="F38" s="213"/>
      <c r="G38" s="214"/>
      <c r="H38" s="215"/>
      <c r="I38" s="217"/>
      <c r="J38" s="217"/>
      <c r="K38" s="213"/>
      <c r="L38" s="215"/>
      <c r="M38" s="215"/>
      <c r="N38" s="217"/>
      <c r="O38" s="217"/>
      <c r="P38" s="213"/>
      <c r="Q38" s="215"/>
      <c r="R38" s="215"/>
      <c r="S38" s="217"/>
      <c r="T38" s="217"/>
      <c r="U38" s="213"/>
      <c r="V38" s="215"/>
      <c r="W38" s="215"/>
      <c r="X38" s="217"/>
      <c r="Y38" s="217"/>
      <c r="Z38" s="213"/>
      <c r="AA38" s="215"/>
      <c r="AB38" s="215"/>
      <c r="AC38" s="217"/>
      <c r="AD38" s="217"/>
      <c r="AE38" s="213"/>
      <c r="AF38" s="215"/>
      <c r="AG38" s="215"/>
      <c r="AH38" s="217"/>
      <c r="AI38" s="217"/>
      <c r="AJ38" s="213"/>
    </row>
    <row r="39" spans="1:36" ht="33.75" customHeight="1">
      <c r="A39" s="213"/>
      <c r="B39" s="214">
        <f ca="1">IFERROR(__xludf.DUMMYFUNCTION("""COMPUTED_VALUE"""),2838111)</f>
        <v>2838111</v>
      </c>
      <c r="C39" s="215" t="str">
        <f ca="1">IFERROR(__xludf.DUMMYFUNCTION("""COMPUTED_VALUE"""),"General")</f>
        <v>General</v>
      </c>
      <c r="D39" s="216" t="str">
        <f ca="1">IFERROR(__xludf.DUMMYFUNCTION("""COMPUTED_VALUE"""),"Marketing During a Crisis")</f>
        <v>Marketing During a Crisis</v>
      </c>
      <c r="E39" s="217"/>
      <c r="F39" s="213"/>
      <c r="G39" s="214"/>
      <c r="H39" s="215"/>
      <c r="I39" s="217"/>
      <c r="J39" s="217"/>
      <c r="K39" s="213"/>
      <c r="L39" s="215"/>
      <c r="M39" s="215"/>
      <c r="N39" s="217"/>
      <c r="O39" s="217"/>
      <c r="P39" s="213"/>
      <c r="Q39" s="215"/>
      <c r="R39" s="215"/>
      <c r="S39" s="217"/>
      <c r="T39" s="217"/>
      <c r="U39" s="213"/>
      <c r="V39" s="215"/>
      <c r="W39" s="215"/>
      <c r="X39" s="217"/>
      <c r="Y39" s="217"/>
      <c r="Z39" s="213"/>
      <c r="AA39" s="215"/>
      <c r="AB39" s="215"/>
      <c r="AC39" s="217"/>
      <c r="AD39" s="217"/>
      <c r="AE39" s="213"/>
      <c r="AF39" s="215"/>
      <c r="AG39" s="215"/>
      <c r="AH39" s="217"/>
      <c r="AI39" s="217"/>
      <c r="AJ39" s="213"/>
    </row>
    <row r="40" spans="1:36" ht="33.75" customHeight="1">
      <c r="A40" s="213"/>
      <c r="B40" s="214">
        <f ca="1">IFERROR(__xludf.DUMMYFUNCTION("""COMPUTED_VALUE"""),2819030)</f>
        <v>2819030</v>
      </c>
      <c r="C40" s="215" t="str">
        <f ca="1">IFERROR(__xludf.DUMMYFUNCTION("""COMPUTED_VALUE"""),"General")</f>
        <v>General</v>
      </c>
      <c r="D40" s="216" t="str">
        <f ca="1">IFERROR(__xludf.DUMMYFUNCTION("""COMPUTED_VALUE"""),"How to Give Negative Feedback to Senior Colleagues")</f>
        <v>How to Give Negative Feedback to Senior Colleagues</v>
      </c>
      <c r="E40" s="217"/>
      <c r="F40" s="213"/>
      <c r="G40" s="214"/>
      <c r="H40" s="215"/>
      <c r="I40" s="217"/>
      <c r="J40" s="217"/>
      <c r="K40" s="213"/>
      <c r="L40" s="215"/>
      <c r="M40" s="215"/>
      <c r="N40" s="217"/>
      <c r="O40" s="217"/>
      <c r="P40" s="213"/>
      <c r="Q40" s="215"/>
      <c r="R40" s="215"/>
      <c r="S40" s="217"/>
      <c r="T40" s="217"/>
      <c r="U40" s="213"/>
      <c r="V40" s="215"/>
      <c r="W40" s="215"/>
      <c r="X40" s="217"/>
      <c r="Y40" s="217"/>
      <c r="Z40" s="213"/>
      <c r="AA40" s="215"/>
      <c r="AB40" s="215"/>
      <c r="AC40" s="217"/>
      <c r="AD40" s="217"/>
      <c r="AE40" s="213"/>
      <c r="AF40" s="215"/>
      <c r="AG40" s="215"/>
      <c r="AH40" s="217"/>
      <c r="AI40" s="217"/>
      <c r="AJ40" s="213"/>
    </row>
    <row r="41" spans="1:36" ht="33.75" customHeight="1">
      <c r="A41" s="213"/>
      <c r="B41" s="214">
        <f ca="1">IFERROR(__xludf.DUMMYFUNCTION("""COMPUTED_VALUE"""),2878126)</f>
        <v>2878126</v>
      </c>
      <c r="C41" s="215" t="str">
        <f ca="1">IFERROR(__xludf.DUMMYFUNCTION("""COMPUTED_VALUE"""),"General")</f>
        <v>General</v>
      </c>
      <c r="D41" s="216" t="str">
        <f ca="1">IFERROR(__xludf.DUMMYFUNCTION("""COMPUTED_VALUE"""),"Difficult Conversations about Politics at Work")</f>
        <v>Difficult Conversations about Politics at Work</v>
      </c>
      <c r="E41" s="217"/>
      <c r="F41" s="213"/>
      <c r="G41" s="214"/>
      <c r="H41" s="215"/>
      <c r="I41" s="217"/>
      <c r="J41" s="217"/>
      <c r="K41" s="213"/>
      <c r="L41" s="215"/>
      <c r="M41" s="215"/>
      <c r="N41" s="217"/>
      <c r="O41" s="217"/>
      <c r="P41" s="213"/>
      <c r="Q41" s="215"/>
      <c r="R41" s="215"/>
      <c r="S41" s="217"/>
      <c r="T41" s="217"/>
      <c r="U41" s="213"/>
      <c r="V41" s="215"/>
      <c r="W41" s="215"/>
      <c r="X41" s="217"/>
      <c r="Y41" s="217"/>
      <c r="Z41" s="213"/>
      <c r="AA41" s="215"/>
      <c r="AB41" s="215"/>
      <c r="AC41" s="217"/>
      <c r="AD41" s="217"/>
      <c r="AE41" s="213"/>
      <c r="AF41" s="215"/>
      <c r="AG41" s="215"/>
      <c r="AH41" s="217"/>
      <c r="AI41" s="217"/>
      <c r="AJ41" s="213"/>
    </row>
    <row r="42" spans="1:36" ht="33.75" customHeight="1">
      <c r="A42" s="213"/>
      <c r="B42" s="214">
        <f ca="1">IFERROR(__xludf.DUMMYFUNCTION("""COMPUTED_VALUE"""),2823547)</f>
        <v>2823547</v>
      </c>
      <c r="C42" s="215" t="str">
        <f ca="1">IFERROR(__xludf.DUMMYFUNCTION("""COMPUTED_VALUE"""),"Intermediate")</f>
        <v>Intermediate</v>
      </c>
      <c r="D42" s="216" t="str">
        <f ca="1">IFERROR(__xludf.DUMMYFUNCTION("""COMPUTED_VALUE"""),"Managing Misconduct in the Workplace")</f>
        <v>Managing Misconduct in the Workplace</v>
      </c>
      <c r="E42" s="217"/>
      <c r="F42" s="213"/>
      <c r="G42" s="214"/>
      <c r="H42" s="215"/>
      <c r="I42" s="217"/>
      <c r="J42" s="217"/>
      <c r="K42" s="213"/>
      <c r="L42" s="215"/>
      <c r="M42" s="215"/>
      <c r="N42" s="217"/>
      <c r="O42" s="217"/>
      <c r="P42" s="213"/>
      <c r="Q42" s="215"/>
      <c r="R42" s="215"/>
      <c r="S42" s="217"/>
      <c r="T42" s="217"/>
      <c r="U42" s="213"/>
      <c r="V42" s="215"/>
      <c r="W42" s="215"/>
      <c r="X42" s="217"/>
      <c r="Y42" s="217"/>
      <c r="Z42" s="213"/>
      <c r="AA42" s="215"/>
      <c r="AB42" s="215"/>
      <c r="AC42" s="217"/>
      <c r="AD42" s="217"/>
      <c r="AE42" s="213"/>
      <c r="AF42" s="215"/>
      <c r="AG42" s="215"/>
      <c r="AH42" s="217"/>
      <c r="AI42" s="217"/>
      <c r="AJ42" s="213"/>
    </row>
    <row r="43" spans="1:36" ht="33.75" customHeight="1">
      <c r="A43" s="213"/>
      <c r="B43" s="214"/>
      <c r="C43" s="215"/>
      <c r="D43" s="216"/>
      <c r="E43" s="217"/>
      <c r="F43" s="213"/>
      <c r="G43" s="214"/>
      <c r="H43" s="215"/>
      <c r="I43" s="217"/>
      <c r="J43" s="217"/>
      <c r="K43" s="213"/>
      <c r="L43" s="215"/>
      <c r="M43" s="215"/>
      <c r="N43" s="217"/>
      <c r="O43" s="217"/>
      <c r="P43" s="213"/>
      <c r="Q43" s="215"/>
      <c r="R43" s="215"/>
      <c r="S43" s="217"/>
      <c r="T43" s="217"/>
      <c r="U43" s="213"/>
      <c r="V43" s="215"/>
      <c r="W43" s="215"/>
      <c r="X43" s="217"/>
      <c r="Y43" s="217"/>
      <c r="Z43" s="213"/>
      <c r="AA43" s="215"/>
      <c r="AB43" s="215"/>
      <c r="AC43" s="217"/>
      <c r="AD43" s="217"/>
      <c r="AE43" s="213"/>
      <c r="AF43" s="215"/>
      <c r="AG43" s="215"/>
      <c r="AH43" s="217"/>
      <c r="AI43" s="217"/>
      <c r="AJ43" s="213"/>
    </row>
    <row r="44" spans="1:36" ht="33.75" customHeight="1">
      <c r="A44" s="213"/>
      <c r="B44" s="214"/>
      <c r="C44" s="215"/>
      <c r="D44" s="216"/>
      <c r="E44" s="217"/>
      <c r="F44" s="213"/>
      <c r="G44" s="214"/>
      <c r="H44" s="215"/>
      <c r="I44" s="217"/>
      <c r="J44" s="217"/>
      <c r="K44" s="213"/>
      <c r="L44" s="215"/>
      <c r="M44" s="215"/>
      <c r="N44" s="217"/>
      <c r="O44" s="217"/>
      <c r="P44" s="213"/>
      <c r="Q44" s="215"/>
      <c r="R44" s="215"/>
      <c r="S44" s="217"/>
      <c r="T44" s="217"/>
      <c r="U44" s="213"/>
      <c r="V44" s="215"/>
      <c r="W44" s="215"/>
      <c r="X44" s="217"/>
      <c r="Y44" s="217"/>
      <c r="Z44" s="213"/>
      <c r="AA44" s="215"/>
      <c r="AB44" s="215"/>
      <c r="AC44" s="217"/>
      <c r="AD44" s="217"/>
      <c r="AE44" s="213"/>
      <c r="AF44" s="215"/>
      <c r="AG44" s="215"/>
      <c r="AH44" s="217"/>
      <c r="AI44" s="217"/>
      <c r="AJ44" s="213"/>
    </row>
    <row r="45" spans="1:36" ht="33.75" customHeight="1">
      <c r="A45" s="213"/>
      <c r="B45" s="214"/>
      <c r="C45" s="215"/>
      <c r="D45" s="216"/>
      <c r="E45" s="217"/>
      <c r="F45" s="213"/>
      <c r="G45" s="214"/>
      <c r="H45" s="215"/>
      <c r="I45" s="217"/>
      <c r="J45" s="217"/>
      <c r="K45" s="213"/>
      <c r="L45" s="215"/>
      <c r="M45" s="215"/>
      <c r="N45" s="217"/>
      <c r="O45" s="217"/>
      <c r="P45" s="213"/>
      <c r="Q45" s="215"/>
      <c r="R45" s="215"/>
      <c r="S45" s="217"/>
      <c r="T45" s="217"/>
      <c r="U45" s="213"/>
      <c r="V45" s="215"/>
      <c r="W45" s="215"/>
      <c r="X45" s="217"/>
      <c r="Y45" s="217"/>
      <c r="Z45" s="213"/>
      <c r="AA45" s="215"/>
      <c r="AB45" s="215"/>
      <c r="AC45" s="217"/>
      <c r="AD45" s="217"/>
      <c r="AE45" s="213"/>
      <c r="AF45" s="215"/>
      <c r="AG45" s="215"/>
      <c r="AH45" s="217"/>
      <c r="AI45" s="217"/>
      <c r="AJ45" s="213"/>
    </row>
    <row r="46" spans="1:36" ht="33.75" customHeight="1">
      <c r="A46" s="213"/>
      <c r="B46" s="214"/>
      <c r="C46" s="215"/>
      <c r="D46" s="216"/>
      <c r="E46" s="217"/>
      <c r="F46" s="213"/>
      <c r="G46" s="214"/>
      <c r="H46" s="215"/>
      <c r="I46" s="217"/>
      <c r="J46" s="217"/>
      <c r="K46" s="213"/>
      <c r="L46" s="215"/>
      <c r="M46" s="215"/>
      <c r="N46" s="217"/>
      <c r="O46" s="217"/>
      <c r="P46" s="213"/>
      <c r="Q46" s="215"/>
      <c r="R46" s="215"/>
      <c r="S46" s="217"/>
      <c r="T46" s="217"/>
      <c r="U46" s="213"/>
      <c r="V46" s="215"/>
      <c r="W46" s="215"/>
      <c r="X46" s="217"/>
      <c r="Y46" s="217"/>
      <c r="Z46" s="213"/>
      <c r="AA46" s="215"/>
      <c r="AB46" s="215"/>
      <c r="AC46" s="217"/>
      <c r="AD46" s="217"/>
      <c r="AE46" s="213"/>
      <c r="AF46" s="215"/>
      <c r="AG46" s="215"/>
      <c r="AH46" s="217"/>
      <c r="AI46" s="217"/>
      <c r="AJ46" s="213"/>
    </row>
    <row r="47" spans="1:36" ht="33.75" customHeight="1">
      <c r="A47" s="213"/>
      <c r="B47" s="214"/>
      <c r="C47" s="215"/>
      <c r="D47" s="216"/>
      <c r="E47" s="217"/>
      <c r="F47" s="213"/>
      <c r="G47" s="214"/>
      <c r="H47" s="215"/>
      <c r="I47" s="217"/>
      <c r="J47" s="217"/>
      <c r="K47" s="213"/>
      <c r="L47" s="215"/>
      <c r="M47" s="215"/>
      <c r="N47" s="217"/>
      <c r="O47" s="217"/>
      <c r="P47" s="213"/>
      <c r="Q47" s="215"/>
      <c r="R47" s="215"/>
      <c r="S47" s="217"/>
      <c r="T47" s="217"/>
      <c r="U47" s="213"/>
      <c r="V47" s="215"/>
      <c r="W47" s="215"/>
      <c r="X47" s="217"/>
      <c r="Y47" s="217"/>
      <c r="Z47" s="213"/>
      <c r="AA47" s="215"/>
      <c r="AB47" s="215"/>
      <c r="AC47" s="217"/>
      <c r="AD47" s="217"/>
      <c r="AE47" s="213"/>
      <c r="AF47" s="215"/>
      <c r="AG47" s="215"/>
      <c r="AH47" s="217"/>
      <c r="AI47" s="217"/>
      <c r="AJ47" s="213"/>
    </row>
    <row r="48" spans="1:36" ht="33.75" customHeight="1">
      <c r="A48" s="213"/>
      <c r="B48" s="214"/>
      <c r="C48" s="215"/>
      <c r="D48" s="216"/>
      <c r="E48" s="217"/>
      <c r="F48" s="213"/>
      <c r="G48" s="214"/>
      <c r="H48" s="215"/>
      <c r="I48" s="217"/>
      <c r="J48" s="217"/>
      <c r="K48" s="213"/>
      <c r="L48" s="215"/>
      <c r="M48" s="215"/>
      <c r="N48" s="217"/>
      <c r="O48" s="217"/>
      <c r="P48" s="213"/>
      <c r="Q48" s="215"/>
      <c r="R48" s="215"/>
      <c r="S48" s="217"/>
      <c r="T48" s="217"/>
      <c r="U48" s="213"/>
      <c r="V48" s="215"/>
      <c r="W48" s="215"/>
      <c r="X48" s="217"/>
      <c r="Y48" s="217"/>
      <c r="Z48" s="213"/>
      <c r="AA48" s="215"/>
      <c r="AB48" s="215"/>
      <c r="AC48" s="217"/>
      <c r="AD48" s="217"/>
      <c r="AE48" s="213"/>
      <c r="AF48" s="215"/>
      <c r="AG48" s="215"/>
      <c r="AH48" s="217"/>
      <c r="AI48" s="217"/>
      <c r="AJ48" s="213"/>
    </row>
    <row r="49" spans="1:36" ht="33.75" customHeight="1">
      <c r="A49" s="213"/>
      <c r="B49" s="214"/>
      <c r="C49" s="215"/>
      <c r="D49" s="216"/>
      <c r="E49" s="217"/>
      <c r="F49" s="213"/>
      <c r="G49" s="214"/>
      <c r="H49" s="215"/>
      <c r="I49" s="217"/>
      <c r="J49" s="217"/>
      <c r="K49" s="213"/>
      <c r="L49" s="215"/>
      <c r="M49" s="215"/>
      <c r="N49" s="217"/>
      <c r="O49" s="217"/>
      <c r="P49" s="213"/>
      <c r="Q49" s="215"/>
      <c r="R49" s="215"/>
      <c r="S49" s="217"/>
      <c r="T49" s="217"/>
      <c r="U49" s="213"/>
      <c r="V49" s="215"/>
      <c r="W49" s="215"/>
      <c r="X49" s="217"/>
      <c r="Y49" s="217"/>
      <c r="Z49" s="213"/>
      <c r="AA49" s="215"/>
      <c r="AB49" s="215"/>
      <c r="AC49" s="217"/>
      <c r="AD49" s="217"/>
      <c r="AE49" s="213"/>
      <c r="AF49" s="215"/>
      <c r="AG49" s="215"/>
      <c r="AH49" s="217"/>
      <c r="AI49" s="217"/>
      <c r="AJ49" s="213"/>
    </row>
    <row r="50" spans="1:36" ht="33.75" customHeight="1">
      <c r="A50" s="213"/>
      <c r="B50" s="214"/>
      <c r="C50" s="215"/>
      <c r="D50" s="216"/>
      <c r="E50" s="217"/>
      <c r="F50" s="213"/>
      <c r="G50" s="214"/>
      <c r="H50" s="215"/>
      <c r="I50" s="217"/>
      <c r="J50" s="217"/>
      <c r="K50" s="213"/>
      <c r="L50" s="215"/>
      <c r="M50" s="215"/>
      <c r="N50" s="217"/>
      <c r="O50" s="217"/>
      <c r="P50" s="213"/>
      <c r="Q50" s="215"/>
      <c r="R50" s="215"/>
      <c r="S50" s="217"/>
      <c r="T50" s="217"/>
      <c r="U50" s="213"/>
      <c r="V50" s="215"/>
      <c r="W50" s="215"/>
      <c r="X50" s="217"/>
      <c r="Y50" s="217"/>
      <c r="Z50" s="213"/>
      <c r="AA50" s="215"/>
      <c r="AB50" s="215"/>
      <c r="AC50" s="217"/>
      <c r="AD50" s="217"/>
      <c r="AE50" s="213"/>
      <c r="AF50" s="215"/>
      <c r="AG50" s="215"/>
      <c r="AH50" s="217"/>
      <c r="AI50" s="217"/>
      <c r="AJ50" s="213"/>
    </row>
    <row r="51" spans="1:36" ht="33.75" customHeight="1">
      <c r="A51" s="213"/>
      <c r="B51" s="214"/>
      <c r="C51" s="215"/>
      <c r="D51" s="216"/>
      <c r="E51" s="217"/>
      <c r="F51" s="213"/>
      <c r="G51" s="214"/>
      <c r="H51" s="215"/>
      <c r="I51" s="217"/>
      <c r="J51" s="217"/>
      <c r="K51" s="213"/>
      <c r="L51" s="215"/>
      <c r="M51" s="215"/>
      <c r="N51" s="217"/>
      <c r="O51" s="217"/>
      <c r="P51" s="213"/>
      <c r="Q51" s="215"/>
      <c r="R51" s="215"/>
      <c r="S51" s="217"/>
      <c r="T51" s="217"/>
      <c r="U51" s="213"/>
      <c r="V51" s="215"/>
      <c r="W51" s="215"/>
      <c r="X51" s="217"/>
      <c r="Y51" s="217"/>
      <c r="Z51" s="213"/>
      <c r="AA51" s="215"/>
      <c r="AB51" s="215"/>
      <c r="AC51" s="217"/>
      <c r="AD51" s="217"/>
      <c r="AE51" s="213"/>
      <c r="AF51" s="215"/>
      <c r="AG51" s="215"/>
      <c r="AH51" s="217"/>
      <c r="AI51" s="217"/>
      <c r="AJ51" s="213"/>
    </row>
    <row r="52" spans="1:36" ht="33.75" customHeight="1">
      <c r="A52" s="213"/>
      <c r="B52" s="214"/>
      <c r="C52" s="215"/>
      <c r="D52" s="216"/>
      <c r="E52" s="217"/>
      <c r="F52" s="213"/>
      <c r="G52" s="214"/>
      <c r="H52" s="215"/>
      <c r="I52" s="217"/>
      <c r="J52" s="217"/>
      <c r="K52" s="213"/>
      <c r="L52" s="215"/>
      <c r="M52" s="215"/>
      <c r="N52" s="217"/>
      <c r="O52" s="217"/>
      <c r="P52" s="213"/>
      <c r="Q52" s="215"/>
      <c r="R52" s="215"/>
      <c r="S52" s="217"/>
      <c r="T52" s="217"/>
      <c r="U52" s="213"/>
      <c r="V52" s="215"/>
      <c r="W52" s="215"/>
      <c r="X52" s="217"/>
      <c r="Y52" s="217"/>
      <c r="Z52" s="213"/>
      <c r="AA52" s="215"/>
      <c r="AB52" s="215"/>
      <c r="AC52" s="217"/>
      <c r="AD52" s="217"/>
      <c r="AE52" s="213"/>
      <c r="AF52" s="215"/>
      <c r="AG52" s="215"/>
      <c r="AH52" s="217"/>
      <c r="AI52" s="217"/>
      <c r="AJ52" s="213"/>
    </row>
    <row r="53" spans="1:36" ht="33.75" customHeight="1">
      <c r="A53" s="213"/>
      <c r="B53" s="214"/>
      <c r="C53" s="215"/>
      <c r="D53" s="216"/>
      <c r="E53" s="217"/>
      <c r="F53" s="213"/>
      <c r="G53" s="214"/>
      <c r="H53" s="215"/>
      <c r="I53" s="217"/>
      <c r="J53" s="217"/>
      <c r="K53" s="213"/>
      <c r="L53" s="215"/>
      <c r="M53" s="215"/>
      <c r="N53" s="217"/>
      <c r="O53" s="217"/>
      <c r="P53" s="213"/>
      <c r="Q53" s="215"/>
      <c r="R53" s="215"/>
      <c r="S53" s="217"/>
      <c r="T53" s="217"/>
      <c r="U53" s="213"/>
      <c r="V53" s="215"/>
      <c r="W53" s="215"/>
      <c r="X53" s="217"/>
      <c r="Y53" s="217"/>
      <c r="Z53" s="213"/>
      <c r="AA53" s="215"/>
      <c r="AB53" s="215"/>
      <c r="AC53" s="217"/>
      <c r="AD53" s="217"/>
      <c r="AE53" s="213"/>
      <c r="AF53" s="215"/>
      <c r="AG53" s="215"/>
      <c r="AH53" s="217"/>
      <c r="AI53" s="217"/>
      <c r="AJ53" s="213"/>
    </row>
    <row r="54" spans="1:36" ht="33.75" customHeight="1">
      <c r="A54" s="213"/>
      <c r="B54" s="214"/>
      <c r="C54" s="215"/>
      <c r="D54" s="216"/>
      <c r="E54" s="217"/>
      <c r="F54" s="213"/>
      <c r="G54" s="214"/>
      <c r="H54" s="215"/>
      <c r="I54" s="217"/>
      <c r="J54" s="217"/>
      <c r="K54" s="213"/>
      <c r="L54" s="215"/>
      <c r="M54" s="215"/>
      <c r="N54" s="217"/>
      <c r="O54" s="217"/>
      <c r="P54" s="213"/>
      <c r="Q54" s="215"/>
      <c r="R54" s="215"/>
      <c r="S54" s="217"/>
      <c r="T54" s="217"/>
      <c r="U54" s="213"/>
      <c r="V54" s="215"/>
      <c r="W54" s="215"/>
      <c r="X54" s="217"/>
      <c r="Y54" s="217"/>
      <c r="Z54" s="213"/>
      <c r="AA54" s="215"/>
      <c r="AB54" s="215"/>
      <c r="AC54" s="217"/>
      <c r="AD54" s="217"/>
      <c r="AE54" s="213"/>
      <c r="AF54" s="215"/>
      <c r="AG54" s="215"/>
      <c r="AH54" s="217"/>
      <c r="AI54" s="217"/>
      <c r="AJ54" s="213"/>
    </row>
    <row r="55" spans="1:36" ht="33.75" customHeight="1">
      <c r="A55" s="213"/>
      <c r="B55" s="214"/>
      <c r="C55" s="215"/>
      <c r="D55" s="216"/>
      <c r="E55" s="217"/>
      <c r="F55" s="213"/>
      <c r="G55" s="214"/>
      <c r="H55" s="215"/>
      <c r="I55" s="217"/>
      <c r="J55" s="217"/>
      <c r="K55" s="213"/>
      <c r="L55" s="215"/>
      <c r="M55" s="215"/>
      <c r="N55" s="217"/>
      <c r="O55" s="217"/>
      <c r="P55" s="213"/>
      <c r="Q55" s="215"/>
      <c r="R55" s="215"/>
      <c r="S55" s="217"/>
      <c r="T55" s="217"/>
      <c r="U55" s="213"/>
      <c r="V55" s="215"/>
      <c r="W55" s="215"/>
      <c r="X55" s="217"/>
      <c r="Y55" s="217"/>
      <c r="Z55" s="213"/>
      <c r="AA55" s="215"/>
      <c r="AB55" s="215"/>
      <c r="AC55" s="217"/>
      <c r="AD55" s="217"/>
      <c r="AE55" s="213"/>
      <c r="AF55" s="215"/>
      <c r="AG55" s="215"/>
      <c r="AH55" s="217"/>
      <c r="AI55" s="217"/>
      <c r="AJ55" s="213"/>
    </row>
    <row r="56" spans="1:36" ht="33.75" customHeight="1">
      <c r="A56" s="213"/>
      <c r="B56" s="214"/>
      <c r="C56" s="215"/>
      <c r="D56" s="216"/>
      <c r="E56" s="217"/>
      <c r="F56" s="213"/>
      <c r="G56" s="214"/>
      <c r="H56" s="215"/>
      <c r="I56" s="217"/>
      <c r="J56" s="217"/>
      <c r="K56" s="213"/>
      <c r="L56" s="215"/>
      <c r="M56" s="215"/>
      <c r="N56" s="217"/>
      <c r="O56" s="217"/>
      <c r="P56" s="213"/>
      <c r="Q56" s="215"/>
      <c r="R56" s="215"/>
      <c r="S56" s="217"/>
      <c r="T56" s="217"/>
      <c r="U56" s="213"/>
      <c r="V56" s="215"/>
      <c r="W56" s="215"/>
      <c r="X56" s="217"/>
      <c r="Y56" s="217"/>
      <c r="Z56" s="213"/>
      <c r="AA56" s="215"/>
      <c r="AB56" s="215"/>
      <c r="AC56" s="217"/>
      <c r="AD56" s="217"/>
      <c r="AE56" s="213"/>
      <c r="AF56" s="215"/>
      <c r="AG56" s="215"/>
      <c r="AH56" s="217"/>
      <c r="AI56" s="217"/>
      <c r="AJ56" s="213"/>
    </row>
    <row r="57" spans="1:36" ht="33.75" customHeight="1">
      <c r="A57" s="213"/>
      <c r="B57" s="214"/>
      <c r="C57" s="215"/>
      <c r="D57" s="216"/>
      <c r="E57" s="217"/>
      <c r="F57" s="213"/>
      <c r="G57" s="214"/>
      <c r="H57" s="215"/>
      <c r="I57" s="217"/>
      <c r="J57" s="217"/>
      <c r="K57" s="213"/>
      <c r="L57" s="215"/>
      <c r="M57" s="215"/>
      <c r="N57" s="217"/>
      <c r="O57" s="217"/>
      <c r="P57" s="213"/>
      <c r="Q57" s="215"/>
      <c r="R57" s="215"/>
      <c r="S57" s="217"/>
      <c r="T57" s="217"/>
      <c r="U57" s="213"/>
      <c r="V57" s="215"/>
      <c r="W57" s="215"/>
      <c r="X57" s="217"/>
      <c r="Y57" s="217"/>
      <c r="Z57" s="213"/>
      <c r="AA57" s="215"/>
      <c r="AB57" s="215"/>
      <c r="AC57" s="217"/>
      <c r="AD57" s="217"/>
      <c r="AE57" s="213"/>
      <c r="AF57" s="215"/>
      <c r="AG57" s="215"/>
      <c r="AH57" s="217"/>
      <c r="AI57" s="217"/>
      <c r="AJ57" s="213"/>
    </row>
    <row r="58" spans="1:36" ht="33.75" customHeight="1">
      <c r="A58" s="213"/>
      <c r="B58" s="214"/>
      <c r="C58" s="215"/>
      <c r="D58" s="216"/>
      <c r="E58" s="217"/>
      <c r="F58" s="213"/>
      <c r="G58" s="214"/>
      <c r="H58" s="215"/>
      <c r="I58" s="217"/>
      <c r="J58" s="217"/>
      <c r="K58" s="213"/>
      <c r="L58" s="215"/>
      <c r="M58" s="215"/>
      <c r="N58" s="217"/>
      <c r="O58" s="217"/>
      <c r="P58" s="213"/>
      <c r="Q58" s="215"/>
      <c r="R58" s="215"/>
      <c r="S58" s="217"/>
      <c r="T58" s="217"/>
      <c r="U58" s="213"/>
      <c r="V58" s="215"/>
      <c r="W58" s="215"/>
      <c r="X58" s="217"/>
      <c r="Y58" s="217"/>
      <c r="Z58" s="213"/>
      <c r="AA58" s="215"/>
      <c r="AB58" s="215"/>
      <c r="AC58" s="217"/>
      <c r="AD58" s="217"/>
      <c r="AE58" s="213"/>
      <c r="AF58" s="215"/>
      <c r="AG58" s="215"/>
      <c r="AH58" s="217"/>
      <c r="AI58" s="217"/>
      <c r="AJ58" s="213"/>
    </row>
    <row r="59" spans="1:36" ht="33.75" customHeight="1">
      <c r="A59" s="213"/>
      <c r="B59" s="214"/>
      <c r="C59" s="215"/>
      <c r="D59" s="216"/>
      <c r="E59" s="217"/>
      <c r="F59" s="213"/>
      <c r="G59" s="214"/>
      <c r="H59" s="215"/>
      <c r="I59" s="217"/>
      <c r="J59" s="217"/>
      <c r="K59" s="213"/>
      <c r="L59" s="215"/>
      <c r="M59" s="215"/>
      <c r="N59" s="217"/>
      <c r="O59" s="217"/>
      <c r="P59" s="213"/>
      <c r="Q59" s="215"/>
      <c r="R59" s="215"/>
      <c r="S59" s="217"/>
      <c r="T59" s="217"/>
      <c r="U59" s="213"/>
      <c r="V59" s="215"/>
      <c r="W59" s="215"/>
      <c r="X59" s="217"/>
      <c r="Y59" s="217"/>
      <c r="Z59" s="213"/>
      <c r="AA59" s="215"/>
      <c r="AB59" s="215"/>
      <c r="AC59" s="217"/>
      <c r="AD59" s="217"/>
      <c r="AE59" s="213"/>
      <c r="AF59" s="215"/>
      <c r="AG59" s="215"/>
      <c r="AH59" s="217"/>
      <c r="AI59" s="217"/>
      <c r="AJ59" s="213"/>
    </row>
    <row r="60" spans="1:36" ht="33.75" customHeight="1">
      <c r="A60" s="213"/>
      <c r="B60" s="214"/>
      <c r="C60" s="215"/>
      <c r="D60" s="216"/>
      <c r="E60" s="217"/>
      <c r="F60" s="213"/>
      <c r="G60" s="214"/>
      <c r="H60" s="215"/>
      <c r="I60" s="217"/>
      <c r="J60" s="217"/>
      <c r="K60" s="213"/>
      <c r="L60" s="215"/>
      <c r="M60" s="215"/>
      <c r="N60" s="217"/>
      <c r="O60" s="217"/>
      <c r="P60" s="213"/>
      <c r="Q60" s="215"/>
      <c r="R60" s="215"/>
      <c r="S60" s="217"/>
      <c r="T60" s="217"/>
      <c r="U60" s="213"/>
      <c r="V60" s="215"/>
      <c r="W60" s="215"/>
      <c r="X60" s="217"/>
      <c r="Y60" s="217"/>
      <c r="Z60" s="213"/>
      <c r="AA60" s="215"/>
      <c r="AB60" s="215"/>
      <c r="AC60" s="217"/>
      <c r="AD60" s="217"/>
      <c r="AE60" s="213"/>
      <c r="AF60" s="215"/>
      <c r="AG60" s="215"/>
      <c r="AH60" s="217"/>
      <c r="AI60" s="217"/>
      <c r="AJ60" s="213"/>
    </row>
    <row r="61" spans="1:36" ht="33.75" customHeight="1">
      <c r="A61" s="213"/>
      <c r="B61" s="214"/>
      <c r="C61" s="215"/>
      <c r="D61" s="216"/>
      <c r="E61" s="217"/>
      <c r="F61" s="213"/>
      <c r="G61" s="214"/>
      <c r="H61" s="215"/>
      <c r="I61" s="217"/>
      <c r="J61" s="217"/>
      <c r="K61" s="213"/>
      <c r="L61" s="215"/>
      <c r="M61" s="215"/>
      <c r="N61" s="217"/>
      <c r="O61" s="217"/>
      <c r="P61" s="213"/>
      <c r="Q61" s="215"/>
      <c r="R61" s="215"/>
      <c r="S61" s="217"/>
      <c r="T61" s="217"/>
      <c r="U61" s="213"/>
      <c r="V61" s="215"/>
      <c r="W61" s="215"/>
      <c r="X61" s="217"/>
      <c r="Y61" s="217"/>
      <c r="Z61" s="213"/>
      <c r="AA61" s="215"/>
      <c r="AB61" s="215"/>
      <c r="AC61" s="217"/>
      <c r="AD61" s="217"/>
      <c r="AE61" s="213"/>
      <c r="AF61" s="215"/>
      <c r="AG61" s="215"/>
      <c r="AH61" s="217"/>
      <c r="AI61" s="217"/>
      <c r="AJ61" s="213"/>
    </row>
    <row r="62" spans="1:36" ht="33.75" customHeight="1">
      <c r="A62" s="213"/>
      <c r="B62" s="214"/>
      <c r="C62" s="215"/>
      <c r="D62" s="216"/>
      <c r="E62" s="217"/>
      <c r="F62" s="213"/>
      <c r="G62" s="214"/>
      <c r="H62" s="215"/>
      <c r="I62" s="217"/>
      <c r="J62" s="217"/>
      <c r="K62" s="213"/>
      <c r="L62" s="215"/>
      <c r="M62" s="215"/>
      <c r="N62" s="217"/>
      <c r="O62" s="217"/>
      <c r="P62" s="213"/>
      <c r="Q62" s="215"/>
      <c r="R62" s="215"/>
      <c r="S62" s="217"/>
      <c r="T62" s="217"/>
      <c r="U62" s="213"/>
      <c r="V62" s="215"/>
      <c r="W62" s="215"/>
      <c r="X62" s="217"/>
      <c r="Y62" s="217"/>
      <c r="Z62" s="213"/>
      <c r="AA62" s="215"/>
      <c r="AB62" s="215"/>
      <c r="AC62" s="217"/>
      <c r="AD62" s="217"/>
      <c r="AE62" s="213"/>
      <c r="AF62" s="215"/>
      <c r="AG62" s="215"/>
      <c r="AH62" s="217"/>
      <c r="AI62" s="217"/>
      <c r="AJ62" s="213"/>
    </row>
    <row r="63" spans="1:36" ht="33.75" customHeight="1">
      <c r="A63" s="213"/>
      <c r="B63" s="214"/>
      <c r="C63" s="215"/>
      <c r="D63" s="216"/>
      <c r="E63" s="217"/>
      <c r="F63" s="213"/>
      <c r="G63" s="214"/>
      <c r="H63" s="215"/>
      <c r="I63" s="217"/>
      <c r="J63" s="217"/>
      <c r="K63" s="213"/>
      <c r="L63" s="215"/>
      <c r="M63" s="215"/>
      <c r="N63" s="217"/>
      <c r="O63" s="217"/>
      <c r="P63" s="213"/>
      <c r="Q63" s="215"/>
      <c r="R63" s="215"/>
      <c r="S63" s="217"/>
      <c r="T63" s="217"/>
      <c r="U63" s="213"/>
      <c r="V63" s="215"/>
      <c r="W63" s="215"/>
      <c r="X63" s="217"/>
      <c r="Y63" s="217"/>
      <c r="Z63" s="213"/>
      <c r="AA63" s="215"/>
      <c r="AB63" s="215"/>
      <c r="AC63" s="217"/>
      <c r="AD63" s="217"/>
      <c r="AE63" s="213"/>
      <c r="AF63" s="215"/>
      <c r="AG63" s="215"/>
      <c r="AH63" s="217"/>
      <c r="AI63" s="217"/>
      <c r="AJ63" s="213"/>
    </row>
    <row r="64" spans="1:36" ht="33.75" customHeight="1">
      <c r="A64" s="213"/>
      <c r="B64" s="214"/>
      <c r="C64" s="215"/>
      <c r="D64" s="216"/>
      <c r="E64" s="217"/>
      <c r="F64" s="213"/>
      <c r="G64" s="214"/>
      <c r="H64" s="215"/>
      <c r="I64" s="217"/>
      <c r="J64" s="217"/>
      <c r="K64" s="213"/>
      <c r="L64" s="215"/>
      <c r="M64" s="215"/>
      <c r="N64" s="217"/>
      <c r="O64" s="217"/>
      <c r="P64" s="213"/>
      <c r="Q64" s="215"/>
      <c r="R64" s="215"/>
      <c r="S64" s="217"/>
      <c r="T64" s="217"/>
      <c r="U64" s="213"/>
      <c r="V64" s="215"/>
      <c r="W64" s="215"/>
      <c r="X64" s="217"/>
      <c r="Y64" s="217"/>
      <c r="Z64" s="213"/>
      <c r="AA64" s="215"/>
      <c r="AB64" s="215"/>
      <c r="AC64" s="217"/>
      <c r="AD64" s="217"/>
      <c r="AE64" s="213"/>
      <c r="AF64" s="215"/>
      <c r="AG64" s="215"/>
      <c r="AH64" s="217"/>
      <c r="AI64" s="217"/>
      <c r="AJ64" s="213"/>
    </row>
    <row r="65" spans="1:36" ht="33.75" customHeight="1">
      <c r="A65" s="213"/>
      <c r="B65" s="214"/>
      <c r="C65" s="215"/>
      <c r="D65" s="216"/>
      <c r="E65" s="217"/>
      <c r="F65" s="213"/>
      <c r="G65" s="214"/>
      <c r="H65" s="215"/>
      <c r="I65" s="217"/>
      <c r="J65" s="217"/>
      <c r="K65" s="213"/>
      <c r="L65" s="215"/>
      <c r="M65" s="215"/>
      <c r="N65" s="217"/>
      <c r="O65" s="217"/>
      <c r="P65" s="213"/>
      <c r="Q65" s="215"/>
      <c r="R65" s="215"/>
      <c r="S65" s="217"/>
      <c r="T65" s="217"/>
      <c r="U65" s="213"/>
      <c r="V65" s="215"/>
      <c r="W65" s="215"/>
      <c r="X65" s="217"/>
      <c r="Y65" s="217"/>
      <c r="Z65" s="213"/>
      <c r="AA65" s="215"/>
      <c r="AB65" s="215"/>
      <c r="AC65" s="217"/>
      <c r="AD65" s="217"/>
      <c r="AE65" s="213"/>
      <c r="AF65" s="215"/>
      <c r="AG65" s="215"/>
      <c r="AH65" s="217"/>
      <c r="AI65" s="217"/>
      <c r="AJ65" s="213"/>
    </row>
    <row r="66" spans="1:36" ht="33.75" customHeight="1">
      <c r="A66" s="213"/>
      <c r="B66" s="214"/>
      <c r="C66" s="215"/>
      <c r="D66" s="216"/>
      <c r="E66" s="217"/>
      <c r="F66" s="213"/>
      <c r="G66" s="214"/>
      <c r="H66" s="215"/>
      <c r="I66" s="217"/>
      <c r="J66" s="217"/>
      <c r="K66" s="213"/>
      <c r="L66" s="215"/>
      <c r="M66" s="215"/>
      <c r="N66" s="217"/>
      <c r="O66" s="217"/>
      <c r="P66" s="213"/>
      <c r="Q66" s="215"/>
      <c r="R66" s="215"/>
      <c r="S66" s="217"/>
      <c r="T66" s="217"/>
      <c r="U66" s="213"/>
      <c r="V66" s="215"/>
      <c r="W66" s="215"/>
      <c r="X66" s="217"/>
      <c r="Y66" s="217"/>
      <c r="Z66" s="213"/>
      <c r="AA66" s="215"/>
      <c r="AB66" s="215"/>
      <c r="AC66" s="217"/>
      <c r="AD66" s="217"/>
      <c r="AE66" s="213"/>
      <c r="AF66" s="215"/>
      <c r="AG66" s="215"/>
      <c r="AH66" s="217"/>
      <c r="AI66" s="217"/>
      <c r="AJ66" s="213"/>
    </row>
    <row r="67" spans="1:36" ht="33.75" customHeight="1">
      <c r="A67" s="213"/>
      <c r="B67" s="214"/>
      <c r="C67" s="215"/>
      <c r="D67" s="216"/>
      <c r="E67" s="217"/>
      <c r="F67" s="213"/>
      <c r="G67" s="214"/>
      <c r="H67" s="215"/>
      <c r="I67" s="217"/>
      <c r="J67" s="217"/>
      <c r="K67" s="213"/>
      <c r="L67" s="215"/>
      <c r="M67" s="215"/>
      <c r="N67" s="217"/>
      <c r="O67" s="217"/>
      <c r="P67" s="213"/>
      <c r="Q67" s="215"/>
      <c r="R67" s="215"/>
      <c r="S67" s="217"/>
      <c r="T67" s="217"/>
      <c r="U67" s="213"/>
      <c r="V67" s="215"/>
      <c r="W67" s="215"/>
      <c r="X67" s="217"/>
      <c r="Y67" s="217"/>
      <c r="Z67" s="213"/>
      <c r="AA67" s="215"/>
      <c r="AB67" s="215"/>
      <c r="AC67" s="217"/>
      <c r="AD67" s="217"/>
      <c r="AE67" s="213"/>
      <c r="AF67" s="215"/>
      <c r="AG67" s="215"/>
      <c r="AH67" s="217"/>
      <c r="AI67" s="217"/>
      <c r="AJ67" s="213"/>
    </row>
    <row r="68" spans="1:36" ht="33.75" customHeight="1">
      <c r="A68" s="213"/>
      <c r="B68" s="214"/>
      <c r="C68" s="215"/>
      <c r="D68" s="216"/>
      <c r="E68" s="217"/>
      <c r="F68" s="213"/>
      <c r="G68" s="214"/>
      <c r="H68" s="215"/>
      <c r="I68" s="217"/>
      <c r="J68" s="217"/>
      <c r="K68" s="213"/>
      <c r="L68" s="215"/>
      <c r="M68" s="215"/>
      <c r="N68" s="217"/>
      <c r="O68" s="217"/>
      <c r="P68" s="213"/>
      <c r="Q68" s="215"/>
      <c r="R68" s="215"/>
      <c r="S68" s="217"/>
      <c r="T68" s="217"/>
      <c r="U68" s="213"/>
      <c r="V68" s="215"/>
      <c r="W68" s="215"/>
      <c r="X68" s="217"/>
      <c r="Y68" s="217"/>
      <c r="Z68" s="213"/>
      <c r="AA68" s="215"/>
      <c r="AB68" s="215"/>
      <c r="AC68" s="217"/>
      <c r="AD68" s="217"/>
      <c r="AE68" s="213"/>
      <c r="AF68" s="215"/>
      <c r="AG68" s="215"/>
      <c r="AH68" s="217"/>
      <c r="AI68" s="217"/>
      <c r="AJ68" s="213"/>
    </row>
    <row r="69" spans="1:36" ht="33.75" customHeight="1">
      <c r="A69" s="213"/>
      <c r="B69" s="214"/>
      <c r="C69" s="215"/>
      <c r="D69" s="216"/>
      <c r="E69" s="217"/>
      <c r="F69" s="213"/>
      <c r="G69" s="214"/>
      <c r="H69" s="215"/>
      <c r="I69" s="217"/>
      <c r="J69" s="217"/>
      <c r="K69" s="213"/>
      <c r="L69" s="215"/>
      <c r="M69" s="215"/>
      <c r="N69" s="217"/>
      <c r="O69" s="217"/>
      <c r="P69" s="213"/>
      <c r="Q69" s="215"/>
      <c r="R69" s="215"/>
      <c r="S69" s="217"/>
      <c r="T69" s="217"/>
      <c r="U69" s="213"/>
      <c r="V69" s="215"/>
      <c r="W69" s="215"/>
      <c r="X69" s="217"/>
      <c r="Y69" s="217"/>
      <c r="Z69" s="213"/>
      <c r="AA69" s="215"/>
      <c r="AB69" s="215"/>
      <c r="AC69" s="217"/>
      <c r="AD69" s="217"/>
      <c r="AE69" s="213"/>
      <c r="AF69" s="215"/>
      <c r="AG69" s="215"/>
      <c r="AH69" s="217"/>
      <c r="AI69" s="217"/>
      <c r="AJ69" s="213"/>
    </row>
    <row r="70" spans="1:36" ht="33.75" customHeight="1">
      <c r="A70" s="213"/>
      <c r="B70" s="214"/>
      <c r="C70" s="215"/>
      <c r="D70" s="216"/>
      <c r="E70" s="217"/>
      <c r="F70" s="213"/>
      <c r="G70" s="214"/>
      <c r="H70" s="215"/>
      <c r="I70" s="217"/>
      <c r="J70" s="217"/>
      <c r="K70" s="213"/>
      <c r="L70" s="215"/>
      <c r="M70" s="215"/>
      <c r="N70" s="217"/>
      <c r="O70" s="217"/>
      <c r="P70" s="213"/>
      <c r="Q70" s="215"/>
      <c r="R70" s="215"/>
      <c r="S70" s="217"/>
      <c r="T70" s="217"/>
      <c r="U70" s="213"/>
      <c r="V70" s="215"/>
      <c r="W70" s="215"/>
      <c r="X70" s="217"/>
      <c r="Y70" s="217"/>
      <c r="Z70" s="213"/>
      <c r="AA70" s="215"/>
      <c r="AB70" s="215"/>
      <c r="AC70" s="217"/>
      <c r="AD70" s="217"/>
      <c r="AE70" s="213"/>
      <c r="AF70" s="215"/>
      <c r="AG70" s="215"/>
      <c r="AH70" s="217"/>
      <c r="AI70" s="217"/>
      <c r="AJ70" s="213"/>
    </row>
    <row r="71" spans="1:36" ht="33.75" customHeight="1">
      <c r="A71" s="213"/>
      <c r="B71" s="214"/>
      <c r="C71" s="215"/>
      <c r="D71" s="216"/>
      <c r="E71" s="217"/>
      <c r="F71" s="213"/>
      <c r="G71" s="214"/>
      <c r="H71" s="215"/>
      <c r="I71" s="217"/>
      <c r="J71" s="217"/>
      <c r="K71" s="213"/>
      <c r="L71" s="215"/>
      <c r="M71" s="215"/>
      <c r="N71" s="217"/>
      <c r="O71" s="217"/>
      <c r="P71" s="213"/>
      <c r="Q71" s="215"/>
      <c r="R71" s="215"/>
      <c r="S71" s="217"/>
      <c r="T71" s="217"/>
      <c r="U71" s="213"/>
      <c r="V71" s="215"/>
      <c r="W71" s="215"/>
      <c r="X71" s="217"/>
      <c r="Y71" s="217"/>
      <c r="Z71" s="213"/>
      <c r="AA71" s="215"/>
      <c r="AB71" s="215"/>
      <c r="AC71" s="217"/>
      <c r="AD71" s="217"/>
      <c r="AE71" s="213"/>
      <c r="AF71" s="215"/>
      <c r="AG71" s="215"/>
      <c r="AH71" s="217"/>
      <c r="AI71" s="217"/>
      <c r="AJ71" s="213"/>
    </row>
    <row r="72" spans="1:36" ht="33.75" customHeight="1">
      <c r="A72" s="213"/>
      <c r="B72" s="214"/>
      <c r="C72" s="215"/>
      <c r="D72" s="216"/>
      <c r="E72" s="217"/>
      <c r="F72" s="213"/>
      <c r="G72" s="214"/>
      <c r="H72" s="215"/>
      <c r="I72" s="217"/>
      <c r="J72" s="217"/>
      <c r="K72" s="213"/>
      <c r="L72" s="215"/>
      <c r="M72" s="215"/>
      <c r="N72" s="217"/>
      <c r="O72" s="217"/>
      <c r="P72" s="213"/>
      <c r="Q72" s="215"/>
      <c r="R72" s="215"/>
      <c r="S72" s="217"/>
      <c r="T72" s="217"/>
      <c r="U72" s="213"/>
      <c r="V72" s="215"/>
      <c r="W72" s="215"/>
      <c r="X72" s="217"/>
      <c r="Y72" s="217"/>
      <c r="Z72" s="213"/>
      <c r="AA72" s="215"/>
      <c r="AB72" s="215"/>
      <c r="AC72" s="217"/>
      <c r="AD72" s="217"/>
      <c r="AE72" s="213"/>
      <c r="AF72" s="215"/>
      <c r="AG72" s="215"/>
      <c r="AH72" s="217"/>
      <c r="AI72" s="217"/>
      <c r="AJ72" s="213"/>
    </row>
    <row r="73" spans="1:36" ht="33.75" customHeight="1">
      <c r="A73" s="213"/>
      <c r="B73" s="214"/>
      <c r="C73" s="215"/>
      <c r="D73" s="216"/>
      <c r="E73" s="217"/>
      <c r="F73" s="213"/>
      <c r="G73" s="214"/>
      <c r="H73" s="215"/>
      <c r="I73" s="217"/>
      <c r="J73" s="217"/>
      <c r="K73" s="213"/>
      <c r="L73" s="215"/>
      <c r="M73" s="215"/>
      <c r="N73" s="217"/>
      <c r="O73" s="217"/>
      <c r="P73" s="213"/>
      <c r="Q73" s="215"/>
      <c r="R73" s="215"/>
      <c r="S73" s="217"/>
      <c r="T73" s="217"/>
      <c r="U73" s="213"/>
      <c r="V73" s="215"/>
      <c r="W73" s="215"/>
      <c r="X73" s="217"/>
      <c r="Y73" s="217"/>
      <c r="Z73" s="213"/>
      <c r="AA73" s="215"/>
      <c r="AB73" s="215"/>
      <c r="AC73" s="217"/>
      <c r="AD73" s="217"/>
      <c r="AE73" s="213"/>
      <c r="AF73" s="215"/>
      <c r="AG73" s="215"/>
      <c r="AH73" s="217"/>
      <c r="AI73" s="217"/>
      <c r="AJ73" s="213"/>
    </row>
    <row r="74" spans="1:36" ht="33.75" customHeight="1">
      <c r="A74" s="213"/>
      <c r="B74" s="214"/>
      <c r="C74" s="215"/>
      <c r="D74" s="216"/>
      <c r="E74" s="217"/>
      <c r="F74" s="213"/>
      <c r="G74" s="214"/>
      <c r="H74" s="215"/>
      <c r="I74" s="217"/>
      <c r="J74" s="217"/>
      <c r="K74" s="213"/>
      <c r="L74" s="215"/>
      <c r="M74" s="215"/>
      <c r="N74" s="217"/>
      <c r="O74" s="217"/>
      <c r="P74" s="213"/>
      <c r="Q74" s="215"/>
      <c r="R74" s="215"/>
      <c r="S74" s="217"/>
      <c r="T74" s="217"/>
      <c r="U74" s="213"/>
      <c r="V74" s="215"/>
      <c r="W74" s="215"/>
      <c r="X74" s="217"/>
      <c r="Y74" s="217"/>
      <c r="Z74" s="213"/>
      <c r="AA74" s="215"/>
      <c r="AB74" s="215"/>
      <c r="AC74" s="217"/>
      <c r="AD74" s="217"/>
      <c r="AE74" s="213"/>
      <c r="AF74" s="215"/>
      <c r="AG74" s="215"/>
      <c r="AH74" s="217"/>
      <c r="AI74" s="217"/>
      <c r="AJ74" s="213"/>
    </row>
    <row r="75" spans="1:36" ht="33.75" customHeight="1">
      <c r="A75" s="213"/>
      <c r="B75" s="214"/>
      <c r="C75" s="215"/>
      <c r="D75" s="216"/>
      <c r="E75" s="217"/>
      <c r="F75" s="213"/>
      <c r="G75" s="214"/>
      <c r="H75" s="215"/>
      <c r="I75" s="217"/>
      <c r="J75" s="217"/>
      <c r="K75" s="213"/>
      <c r="L75" s="215"/>
      <c r="M75" s="215"/>
      <c r="N75" s="217"/>
      <c r="O75" s="217"/>
      <c r="P75" s="213"/>
      <c r="Q75" s="215"/>
      <c r="R75" s="215"/>
      <c r="S75" s="217"/>
      <c r="T75" s="217"/>
      <c r="U75" s="213"/>
      <c r="V75" s="215"/>
      <c r="W75" s="215"/>
      <c r="X75" s="217"/>
      <c r="Y75" s="217"/>
      <c r="Z75" s="213"/>
      <c r="AA75" s="215"/>
      <c r="AB75" s="215"/>
      <c r="AC75" s="217"/>
      <c r="AD75" s="217"/>
      <c r="AE75" s="213"/>
      <c r="AF75" s="215"/>
      <c r="AG75" s="215"/>
      <c r="AH75" s="217"/>
      <c r="AI75" s="217"/>
      <c r="AJ75" s="213"/>
    </row>
    <row r="76" spans="1:36" ht="33.75" customHeight="1">
      <c r="A76" s="213"/>
      <c r="B76" s="214"/>
      <c r="C76" s="215"/>
      <c r="D76" s="216"/>
      <c r="E76" s="217"/>
      <c r="F76" s="213"/>
      <c r="G76" s="214"/>
      <c r="H76" s="215"/>
      <c r="I76" s="217"/>
      <c r="J76" s="217"/>
      <c r="K76" s="213"/>
      <c r="L76" s="215"/>
      <c r="M76" s="215"/>
      <c r="N76" s="217"/>
      <c r="O76" s="217"/>
      <c r="P76" s="213"/>
      <c r="Q76" s="215"/>
      <c r="R76" s="215"/>
      <c r="S76" s="217"/>
      <c r="T76" s="217"/>
      <c r="U76" s="213"/>
      <c r="V76" s="215"/>
      <c r="W76" s="215"/>
      <c r="X76" s="217"/>
      <c r="Y76" s="217"/>
      <c r="Z76" s="213"/>
      <c r="AA76" s="215"/>
      <c r="AB76" s="215"/>
      <c r="AC76" s="217"/>
      <c r="AD76" s="217"/>
      <c r="AE76" s="213"/>
      <c r="AF76" s="215"/>
      <c r="AG76" s="215"/>
      <c r="AH76" s="217"/>
      <c r="AI76" s="217"/>
      <c r="AJ76" s="213"/>
    </row>
    <row r="77" spans="1:36" ht="33.75" customHeight="1">
      <c r="A77" s="213"/>
      <c r="B77" s="214"/>
      <c r="C77" s="215"/>
      <c r="D77" s="216"/>
      <c r="E77" s="217"/>
      <c r="F77" s="213"/>
      <c r="G77" s="214"/>
      <c r="H77" s="215"/>
      <c r="I77" s="217"/>
      <c r="J77" s="217"/>
      <c r="K77" s="213"/>
      <c r="L77" s="215"/>
      <c r="M77" s="215"/>
      <c r="N77" s="217"/>
      <c r="O77" s="217"/>
      <c r="P77" s="213"/>
      <c r="Q77" s="215"/>
      <c r="R77" s="215"/>
      <c r="S77" s="217"/>
      <c r="T77" s="217"/>
      <c r="U77" s="213"/>
      <c r="V77" s="215"/>
      <c r="W77" s="215"/>
      <c r="X77" s="217"/>
      <c r="Y77" s="217"/>
      <c r="Z77" s="213"/>
      <c r="AA77" s="215"/>
      <c r="AB77" s="215"/>
      <c r="AC77" s="217"/>
      <c r="AD77" s="217"/>
      <c r="AE77" s="213"/>
      <c r="AF77" s="215"/>
      <c r="AG77" s="215"/>
      <c r="AH77" s="217"/>
      <c r="AI77" s="217"/>
      <c r="AJ77" s="213"/>
    </row>
    <row r="78" spans="1:36" ht="33.75" customHeight="1">
      <c r="A78" s="213"/>
      <c r="B78" s="214"/>
      <c r="C78" s="215"/>
      <c r="D78" s="216"/>
      <c r="E78" s="217"/>
      <c r="F78" s="213"/>
      <c r="G78" s="214"/>
      <c r="H78" s="215"/>
      <c r="I78" s="217"/>
      <c r="J78" s="217"/>
      <c r="K78" s="213"/>
      <c r="L78" s="215"/>
      <c r="M78" s="215"/>
      <c r="N78" s="217"/>
      <c r="O78" s="217"/>
      <c r="P78" s="213"/>
      <c r="Q78" s="215"/>
      <c r="R78" s="215"/>
      <c r="S78" s="217"/>
      <c r="T78" s="217"/>
      <c r="U78" s="213"/>
      <c r="V78" s="215"/>
      <c r="W78" s="215"/>
      <c r="X78" s="217"/>
      <c r="Y78" s="217"/>
      <c r="Z78" s="213"/>
      <c r="AA78" s="215"/>
      <c r="AB78" s="215"/>
      <c r="AC78" s="217"/>
      <c r="AD78" s="217"/>
      <c r="AE78" s="213"/>
      <c r="AF78" s="215"/>
      <c r="AG78" s="215"/>
      <c r="AH78" s="217"/>
      <c r="AI78" s="217"/>
      <c r="AJ78" s="213"/>
    </row>
    <row r="79" spans="1:36" ht="33.75" customHeight="1">
      <c r="A79" s="213"/>
      <c r="B79" s="214"/>
      <c r="C79" s="215"/>
      <c r="D79" s="216"/>
      <c r="E79" s="217"/>
      <c r="F79" s="213"/>
      <c r="G79" s="214"/>
      <c r="H79" s="215"/>
      <c r="I79" s="217"/>
      <c r="J79" s="217"/>
      <c r="K79" s="213"/>
      <c r="L79" s="215"/>
      <c r="M79" s="215"/>
      <c r="N79" s="217"/>
      <c r="O79" s="217"/>
      <c r="P79" s="213"/>
      <c r="Q79" s="215"/>
      <c r="R79" s="215"/>
      <c r="S79" s="217"/>
      <c r="T79" s="217"/>
      <c r="U79" s="213"/>
      <c r="V79" s="215"/>
      <c r="W79" s="215"/>
      <c r="X79" s="217"/>
      <c r="Y79" s="217"/>
      <c r="Z79" s="213"/>
      <c r="AA79" s="215"/>
      <c r="AB79" s="215"/>
      <c r="AC79" s="217"/>
      <c r="AD79" s="217"/>
      <c r="AE79" s="213"/>
      <c r="AF79" s="215"/>
      <c r="AG79" s="215"/>
      <c r="AH79" s="217"/>
      <c r="AI79" s="217"/>
      <c r="AJ79" s="213"/>
    </row>
    <row r="80" spans="1:36" ht="33.75" customHeight="1">
      <c r="A80" s="213"/>
      <c r="B80" s="214"/>
      <c r="C80" s="215"/>
      <c r="D80" s="216"/>
      <c r="E80" s="217"/>
      <c r="F80" s="213"/>
      <c r="G80" s="214"/>
      <c r="H80" s="215"/>
      <c r="I80" s="217"/>
      <c r="J80" s="217"/>
      <c r="K80" s="213"/>
      <c r="L80" s="215"/>
      <c r="M80" s="215"/>
      <c r="N80" s="217"/>
      <c r="O80" s="217"/>
      <c r="P80" s="213"/>
      <c r="Q80" s="215"/>
      <c r="R80" s="215"/>
      <c r="S80" s="217"/>
      <c r="T80" s="217"/>
      <c r="U80" s="213"/>
      <c r="V80" s="215"/>
      <c r="W80" s="215"/>
      <c r="X80" s="217"/>
      <c r="Y80" s="217"/>
      <c r="Z80" s="213"/>
      <c r="AA80" s="215"/>
      <c r="AB80" s="215"/>
      <c r="AC80" s="217"/>
      <c r="AD80" s="217"/>
      <c r="AE80" s="213"/>
      <c r="AF80" s="215"/>
      <c r="AG80" s="215"/>
      <c r="AH80" s="217"/>
      <c r="AI80" s="217"/>
      <c r="AJ80" s="213"/>
    </row>
    <row r="81" spans="1:36" ht="33.75" customHeight="1">
      <c r="A81" s="213"/>
      <c r="B81" s="214"/>
      <c r="C81" s="215"/>
      <c r="D81" s="216"/>
      <c r="E81" s="217"/>
      <c r="F81" s="213"/>
      <c r="G81" s="214"/>
      <c r="H81" s="215"/>
      <c r="I81" s="217"/>
      <c r="J81" s="217"/>
      <c r="K81" s="213"/>
      <c r="L81" s="215"/>
      <c r="M81" s="215"/>
      <c r="N81" s="217"/>
      <c r="O81" s="217"/>
      <c r="P81" s="213"/>
      <c r="Q81" s="215"/>
      <c r="R81" s="215"/>
      <c r="S81" s="217"/>
      <c r="T81" s="217"/>
      <c r="U81" s="213"/>
      <c r="V81" s="215"/>
      <c r="W81" s="215"/>
      <c r="X81" s="217"/>
      <c r="Y81" s="217"/>
      <c r="Z81" s="213"/>
      <c r="AA81" s="215"/>
      <c r="AB81" s="215"/>
      <c r="AC81" s="217"/>
      <c r="AD81" s="217"/>
      <c r="AE81" s="213"/>
      <c r="AF81" s="215"/>
      <c r="AG81" s="215"/>
      <c r="AH81" s="217"/>
      <c r="AI81" s="217"/>
      <c r="AJ81" s="213"/>
    </row>
    <row r="82" spans="1:36" ht="33.75" customHeight="1">
      <c r="A82" s="213"/>
      <c r="B82" s="214"/>
      <c r="C82" s="215"/>
      <c r="D82" s="216"/>
      <c r="E82" s="217"/>
      <c r="F82" s="213"/>
      <c r="G82" s="214"/>
      <c r="H82" s="215"/>
      <c r="I82" s="217"/>
      <c r="J82" s="217"/>
      <c r="K82" s="213"/>
      <c r="L82" s="215"/>
      <c r="M82" s="215"/>
      <c r="N82" s="217"/>
      <c r="O82" s="217"/>
      <c r="P82" s="213"/>
      <c r="Q82" s="215"/>
      <c r="R82" s="215"/>
      <c r="S82" s="217"/>
      <c r="T82" s="217"/>
      <c r="U82" s="213"/>
      <c r="V82" s="215"/>
      <c r="W82" s="215"/>
      <c r="X82" s="217"/>
      <c r="Y82" s="217"/>
      <c r="Z82" s="213"/>
      <c r="AA82" s="215"/>
      <c r="AB82" s="215"/>
      <c r="AC82" s="217"/>
      <c r="AD82" s="217"/>
      <c r="AE82" s="213"/>
      <c r="AF82" s="215"/>
      <c r="AG82" s="215"/>
      <c r="AH82" s="217"/>
      <c r="AI82" s="217"/>
      <c r="AJ82" s="213"/>
    </row>
    <row r="83" spans="1:36" ht="33.75" customHeight="1">
      <c r="A83" s="213"/>
      <c r="B83" s="214"/>
      <c r="C83" s="215"/>
      <c r="D83" s="216"/>
      <c r="E83" s="217"/>
      <c r="F83" s="213"/>
      <c r="G83" s="214"/>
      <c r="H83" s="215"/>
      <c r="I83" s="217"/>
      <c r="J83" s="217"/>
      <c r="K83" s="213"/>
      <c r="L83" s="215"/>
      <c r="M83" s="215"/>
      <c r="N83" s="217"/>
      <c r="O83" s="217"/>
      <c r="P83" s="213"/>
      <c r="Q83" s="215"/>
      <c r="R83" s="215"/>
      <c r="S83" s="217"/>
      <c r="T83" s="217"/>
      <c r="U83" s="213"/>
      <c r="V83" s="215"/>
      <c r="W83" s="215"/>
      <c r="X83" s="217"/>
      <c r="Y83" s="217"/>
      <c r="Z83" s="213"/>
      <c r="AA83" s="215"/>
      <c r="AB83" s="215"/>
      <c r="AC83" s="217"/>
      <c r="AD83" s="217"/>
      <c r="AE83" s="213"/>
      <c r="AF83" s="215"/>
      <c r="AG83" s="215"/>
      <c r="AH83" s="217"/>
      <c r="AI83" s="217"/>
      <c r="AJ83" s="213"/>
    </row>
    <row r="84" spans="1:36" ht="33.75" customHeight="1">
      <c r="A84" s="213"/>
      <c r="B84" s="214"/>
      <c r="C84" s="215"/>
      <c r="D84" s="216"/>
      <c r="E84" s="217"/>
      <c r="F84" s="213"/>
      <c r="G84" s="214"/>
      <c r="H84" s="215"/>
      <c r="I84" s="217"/>
      <c r="J84" s="217"/>
      <c r="K84" s="213"/>
      <c r="L84" s="215"/>
      <c r="M84" s="215"/>
      <c r="N84" s="217"/>
      <c r="O84" s="217"/>
      <c r="P84" s="213"/>
      <c r="Q84" s="215"/>
      <c r="R84" s="215"/>
      <c r="S84" s="217"/>
      <c r="T84" s="217"/>
      <c r="U84" s="213"/>
      <c r="V84" s="215"/>
      <c r="W84" s="215"/>
      <c r="X84" s="217"/>
      <c r="Y84" s="217"/>
      <c r="Z84" s="213"/>
      <c r="AA84" s="215"/>
      <c r="AB84" s="215"/>
      <c r="AC84" s="217"/>
      <c r="AD84" s="217"/>
      <c r="AE84" s="213"/>
      <c r="AF84" s="215"/>
      <c r="AG84" s="215"/>
      <c r="AH84" s="217"/>
      <c r="AI84" s="217"/>
      <c r="AJ84" s="213"/>
    </row>
    <row r="85" spans="1:36" ht="33.75" customHeight="1">
      <c r="A85" s="213"/>
      <c r="B85" s="214"/>
      <c r="C85" s="215"/>
      <c r="D85" s="216"/>
      <c r="E85" s="217"/>
      <c r="F85" s="213"/>
      <c r="G85" s="214"/>
      <c r="H85" s="215"/>
      <c r="I85" s="217"/>
      <c r="J85" s="217"/>
      <c r="K85" s="213"/>
      <c r="L85" s="215"/>
      <c r="M85" s="215"/>
      <c r="N85" s="217"/>
      <c r="O85" s="217"/>
      <c r="P85" s="213"/>
      <c r="Q85" s="215"/>
      <c r="R85" s="215"/>
      <c r="S85" s="217"/>
      <c r="T85" s="217"/>
      <c r="U85" s="213"/>
      <c r="V85" s="215"/>
      <c r="W85" s="215"/>
      <c r="X85" s="217"/>
      <c r="Y85" s="217"/>
      <c r="Z85" s="213"/>
      <c r="AA85" s="215"/>
      <c r="AB85" s="215"/>
      <c r="AC85" s="217"/>
      <c r="AD85" s="217"/>
      <c r="AE85" s="213"/>
      <c r="AF85" s="215"/>
      <c r="AG85" s="215"/>
      <c r="AH85" s="217"/>
      <c r="AI85" s="217"/>
      <c r="AJ85" s="213"/>
    </row>
    <row r="86" spans="1:36" ht="33.75" customHeight="1">
      <c r="A86" s="213"/>
      <c r="B86" s="214"/>
      <c r="C86" s="215"/>
      <c r="D86" s="216"/>
      <c r="E86" s="217"/>
      <c r="F86" s="213"/>
      <c r="G86" s="214"/>
      <c r="H86" s="215"/>
      <c r="I86" s="217"/>
      <c r="J86" s="217"/>
      <c r="K86" s="213"/>
      <c r="L86" s="215"/>
      <c r="M86" s="215"/>
      <c r="N86" s="217"/>
      <c r="O86" s="217"/>
      <c r="P86" s="213"/>
      <c r="Q86" s="215"/>
      <c r="R86" s="215"/>
      <c r="S86" s="217"/>
      <c r="T86" s="217"/>
      <c r="U86" s="213"/>
      <c r="V86" s="215"/>
      <c r="W86" s="215"/>
      <c r="X86" s="217"/>
      <c r="Y86" s="217"/>
      <c r="Z86" s="213"/>
      <c r="AA86" s="215"/>
      <c r="AB86" s="215"/>
      <c r="AC86" s="217"/>
      <c r="AD86" s="217"/>
      <c r="AE86" s="213"/>
      <c r="AF86" s="215"/>
      <c r="AG86" s="215"/>
      <c r="AH86" s="217"/>
      <c r="AI86" s="217"/>
      <c r="AJ86" s="213"/>
    </row>
    <row r="87" spans="1:36" ht="33.75" customHeight="1">
      <c r="A87" s="213"/>
      <c r="B87" s="214"/>
      <c r="C87" s="215"/>
      <c r="D87" s="216"/>
      <c r="E87" s="217"/>
      <c r="F87" s="213"/>
      <c r="G87" s="214"/>
      <c r="H87" s="215"/>
      <c r="I87" s="217"/>
      <c r="J87" s="217"/>
      <c r="K87" s="213"/>
      <c r="L87" s="215"/>
      <c r="M87" s="215"/>
      <c r="N87" s="217"/>
      <c r="O87" s="217"/>
      <c r="P87" s="213"/>
      <c r="Q87" s="215"/>
      <c r="R87" s="215"/>
      <c r="S87" s="217"/>
      <c r="T87" s="217"/>
      <c r="U87" s="213"/>
      <c r="V87" s="215"/>
      <c r="W87" s="215"/>
      <c r="X87" s="217"/>
      <c r="Y87" s="217"/>
      <c r="Z87" s="213"/>
      <c r="AA87" s="215"/>
      <c r="AB87" s="215"/>
      <c r="AC87" s="217"/>
      <c r="AD87" s="217"/>
      <c r="AE87" s="213"/>
      <c r="AF87" s="215"/>
      <c r="AG87" s="215"/>
      <c r="AH87" s="217"/>
      <c r="AI87" s="217"/>
      <c r="AJ87" s="213"/>
    </row>
    <row r="88" spans="1:36" ht="33.75" customHeight="1">
      <c r="A88" s="213"/>
      <c r="B88" s="214"/>
      <c r="C88" s="215"/>
      <c r="D88" s="217"/>
      <c r="E88" s="217"/>
      <c r="F88" s="213"/>
      <c r="G88" s="214"/>
      <c r="H88" s="215"/>
      <c r="I88" s="217"/>
      <c r="J88" s="217"/>
      <c r="K88" s="213"/>
      <c r="L88" s="215"/>
      <c r="M88" s="215"/>
      <c r="N88" s="217"/>
      <c r="O88" s="217"/>
      <c r="P88" s="213"/>
      <c r="Q88" s="215"/>
      <c r="R88" s="215"/>
      <c r="S88" s="217"/>
      <c r="T88" s="217"/>
      <c r="U88" s="213"/>
      <c r="V88" s="215"/>
      <c r="W88" s="215"/>
      <c r="X88" s="217"/>
      <c r="Y88" s="217"/>
      <c r="Z88" s="213"/>
      <c r="AA88" s="215"/>
      <c r="AB88" s="215"/>
      <c r="AC88" s="217"/>
      <c r="AD88" s="217"/>
      <c r="AE88" s="213"/>
      <c r="AF88" s="215"/>
      <c r="AG88" s="215"/>
      <c r="AH88" s="217"/>
      <c r="AI88" s="217"/>
      <c r="AJ88" s="213"/>
    </row>
    <row r="89" spans="1:36" ht="16">
      <c r="A89" s="213"/>
      <c r="B89" s="214"/>
      <c r="C89" s="215"/>
      <c r="D89" s="216"/>
      <c r="E89" s="217"/>
      <c r="F89" s="213"/>
      <c r="G89" s="214"/>
      <c r="H89" s="215"/>
      <c r="I89" s="217"/>
      <c r="J89" s="217"/>
      <c r="K89" s="213"/>
      <c r="L89" s="215"/>
      <c r="M89" s="215"/>
      <c r="N89" s="217"/>
      <c r="O89" s="217"/>
      <c r="P89" s="213"/>
      <c r="Q89" s="215"/>
      <c r="R89" s="215"/>
      <c r="S89" s="217"/>
      <c r="T89" s="217"/>
      <c r="U89" s="213"/>
      <c r="V89" s="215"/>
      <c r="W89" s="215"/>
      <c r="X89" s="217"/>
      <c r="Y89" s="217"/>
      <c r="Z89" s="213"/>
      <c r="AA89" s="215"/>
      <c r="AB89" s="215"/>
      <c r="AC89" s="217"/>
      <c r="AD89" s="217"/>
      <c r="AE89" s="213"/>
      <c r="AF89" s="215"/>
      <c r="AG89" s="215"/>
      <c r="AH89" s="217"/>
      <c r="AI89" s="217"/>
      <c r="AJ89" s="213"/>
    </row>
    <row r="90" spans="1:36" ht="16">
      <c r="A90" s="213"/>
      <c r="B90" s="214"/>
      <c r="C90" s="215"/>
      <c r="D90" s="216"/>
      <c r="E90" s="217"/>
      <c r="F90" s="213"/>
      <c r="G90" s="214"/>
      <c r="H90" s="215"/>
      <c r="I90" s="217"/>
      <c r="J90" s="217"/>
      <c r="K90" s="213"/>
      <c r="L90" s="215"/>
      <c r="M90" s="215"/>
      <c r="N90" s="217"/>
      <c r="O90" s="217"/>
      <c r="P90" s="213"/>
      <c r="Q90" s="215"/>
      <c r="R90" s="215"/>
      <c r="S90" s="217"/>
      <c r="T90" s="217"/>
      <c r="U90" s="213"/>
      <c r="V90" s="215"/>
      <c r="W90" s="215"/>
      <c r="X90" s="217"/>
      <c r="Y90" s="217"/>
      <c r="Z90" s="213"/>
      <c r="AA90" s="215"/>
      <c r="AB90" s="215"/>
      <c r="AC90" s="217"/>
      <c r="AD90" s="217"/>
      <c r="AE90" s="213"/>
      <c r="AF90" s="215"/>
      <c r="AG90" s="215"/>
      <c r="AH90" s="217"/>
      <c r="AI90" s="217"/>
      <c r="AJ90" s="213"/>
    </row>
    <row r="91" spans="1:36" ht="16">
      <c r="A91" s="213"/>
      <c r="B91" s="214"/>
      <c r="C91" s="215"/>
      <c r="D91" s="216"/>
      <c r="E91" s="217"/>
      <c r="F91" s="213"/>
      <c r="G91" s="214"/>
      <c r="H91" s="215"/>
      <c r="I91" s="217"/>
      <c r="J91" s="217"/>
      <c r="K91" s="213"/>
      <c r="L91" s="215"/>
      <c r="M91" s="215"/>
      <c r="N91" s="217"/>
      <c r="O91" s="217"/>
      <c r="P91" s="213"/>
      <c r="Q91" s="215"/>
      <c r="R91" s="215"/>
      <c r="S91" s="217"/>
      <c r="T91" s="217"/>
      <c r="U91" s="213"/>
      <c r="V91" s="215"/>
      <c r="W91" s="215"/>
      <c r="X91" s="217"/>
      <c r="Y91" s="217"/>
      <c r="Z91" s="213"/>
      <c r="AA91" s="215"/>
      <c r="AB91" s="215"/>
      <c r="AC91" s="217"/>
      <c r="AD91" s="217"/>
      <c r="AE91" s="213"/>
      <c r="AF91" s="215"/>
      <c r="AG91" s="215"/>
      <c r="AH91" s="217"/>
      <c r="AI91" s="217"/>
      <c r="AJ91" s="213"/>
    </row>
    <row r="92" spans="1:36" ht="16">
      <c r="A92" s="213"/>
      <c r="B92" s="214"/>
      <c r="C92" s="215"/>
      <c r="D92" s="216"/>
      <c r="E92" s="217"/>
      <c r="F92" s="213"/>
      <c r="G92" s="214"/>
      <c r="H92" s="215"/>
      <c r="I92" s="217"/>
      <c r="J92" s="217"/>
      <c r="K92" s="213"/>
      <c r="L92" s="215"/>
      <c r="M92" s="215"/>
      <c r="N92" s="217"/>
      <c r="O92" s="217"/>
      <c r="P92" s="213"/>
      <c r="Q92" s="215"/>
      <c r="R92" s="215"/>
      <c r="S92" s="217"/>
      <c r="T92" s="217"/>
      <c r="U92" s="213"/>
      <c r="V92" s="215"/>
      <c r="W92" s="215"/>
      <c r="X92" s="217"/>
      <c r="Y92" s="217"/>
      <c r="Z92" s="213"/>
      <c r="AA92" s="215"/>
      <c r="AB92" s="215"/>
      <c r="AC92" s="217"/>
      <c r="AD92" s="217"/>
      <c r="AE92" s="213"/>
      <c r="AF92" s="215"/>
      <c r="AG92" s="215"/>
      <c r="AH92" s="217"/>
      <c r="AI92" s="217"/>
      <c r="AJ92" s="213"/>
    </row>
    <row r="93" spans="1:36" ht="16">
      <c r="A93" s="213"/>
      <c r="B93" s="214"/>
      <c r="C93" s="215"/>
      <c r="D93" s="216"/>
      <c r="E93" s="217"/>
      <c r="F93" s="213"/>
      <c r="G93" s="214"/>
      <c r="H93" s="215"/>
      <c r="I93" s="217"/>
      <c r="J93" s="217"/>
      <c r="K93" s="213"/>
      <c r="L93" s="215"/>
      <c r="M93" s="215"/>
      <c r="N93" s="217"/>
      <c r="O93" s="217"/>
      <c r="P93" s="213"/>
      <c r="Q93" s="215"/>
      <c r="R93" s="215"/>
      <c r="S93" s="217"/>
      <c r="T93" s="217"/>
      <c r="U93" s="213"/>
      <c r="V93" s="215"/>
      <c r="W93" s="215"/>
      <c r="X93" s="217"/>
      <c r="Y93" s="217"/>
      <c r="Z93" s="213"/>
      <c r="AA93" s="215"/>
      <c r="AB93" s="215"/>
      <c r="AC93" s="217"/>
      <c r="AD93" s="217"/>
      <c r="AE93" s="213"/>
      <c r="AF93" s="215"/>
      <c r="AG93" s="215"/>
      <c r="AH93" s="217"/>
      <c r="AI93" s="217"/>
      <c r="AJ93" s="213"/>
    </row>
    <row r="94" spans="1:36" ht="16">
      <c r="A94" s="213"/>
      <c r="B94" s="214"/>
      <c r="C94" s="215"/>
      <c r="D94" s="216"/>
      <c r="E94" s="217"/>
      <c r="F94" s="213"/>
      <c r="G94" s="214"/>
      <c r="H94" s="215"/>
      <c r="I94" s="217"/>
      <c r="J94" s="217"/>
      <c r="K94" s="213"/>
      <c r="L94" s="215"/>
      <c r="M94" s="215"/>
      <c r="N94" s="217"/>
      <c r="O94" s="217"/>
      <c r="P94" s="213"/>
      <c r="Q94" s="215"/>
      <c r="R94" s="215"/>
      <c r="S94" s="217"/>
      <c r="T94" s="217"/>
      <c r="U94" s="213"/>
      <c r="V94" s="215"/>
      <c r="W94" s="215"/>
      <c r="X94" s="217"/>
      <c r="Y94" s="217"/>
      <c r="Z94" s="213"/>
      <c r="AA94" s="215"/>
      <c r="AB94" s="215"/>
      <c r="AC94" s="217"/>
      <c r="AD94" s="217"/>
      <c r="AE94" s="213"/>
      <c r="AF94" s="215"/>
      <c r="AG94" s="215"/>
      <c r="AH94" s="217"/>
      <c r="AI94" s="217"/>
      <c r="AJ94" s="213"/>
    </row>
    <row r="95" spans="1:36" ht="16">
      <c r="A95" s="213"/>
      <c r="B95" s="214"/>
      <c r="C95" s="215"/>
      <c r="D95" s="216"/>
      <c r="E95" s="217"/>
      <c r="F95" s="213"/>
      <c r="G95" s="214"/>
      <c r="H95" s="215"/>
      <c r="I95" s="217"/>
      <c r="J95" s="217"/>
      <c r="K95" s="213"/>
      <c r="L95" s="215"/>
      <c r="M95" s="215"/>
      <c r="N95" s="217"/>
      <c r="O95" s="217"/>
      <c r="P95" s="213"/>
      <c r="Q95" s="215"/>
      <c r="R95" s="215"/>
      <c r="S95" s="217"/>
      <c r="T95" s="217"/>
      <c r="U95" s="213"/>
      <c r="V95" s="215"/>
      <c r="W95" s="215"/>
      <c r="X95" s="217"/>
      <c r="Y95" s="217"/>
      <c r="Z95" s="213"/>
      <c r="AA95" s="215"/>
      <c r="AB95" s="215"/>
      <c r="AC95" s="217"/>
      <c r="AD95" s="217"/>
      <c r="AE95" s="213"/>
      <c r="AF95" s="215"/>
      <c r="AG95" s="215"/>
      <c r="AH95" s="217"/>
      <c r="AI95" s="217"/>
      <c r="AJ95" s="213"/>
    </row>
    <row r="96" spans="1:36" ht="16">
      <c r="A96" s="213"/>
      <c r="B96" s="214"/>
      <c r="C96" s="215"/>
      <c r="D96" s="217"/>
      <c r="E96" s="217"/>
      <c r="F96" s="213"/>
      <c r="G96" s="214"/>
      <c r="H96" s="215"/>
      <c r="I96" s="217"/>
      <c r="J96" s="217"/>
      <c r="K96" s="213"/>
      <c r="L96" s="215"/>
      <c r="M96" s="215"/>
      <c r="N96" s="217"/>
      <c r="O96" s="217"/>
      <c r="P96" s="213"/>
      <c r="Q96" s="215"/>
      <c r="R96" s="215"/>
      <c r="S96" s="217"/>
      <c r="T96" s="217"/>
      <c r="U96" s="213"/>
      <c r="V96" s="215"/>
      <c r="W96" s="215"/>
      <c r="X96" s="217"/>
      <c r="Y96" s="217"/>
      <c r="Z96" s="213"/>
      <c r="AA96" s="215"/>
      <c r="AB96" s="215"/>
      <c r="AC96" s="217"/>
      <c r="AD96" s="217"/>
      <c r="AE96" s="213"/>
      <c r="AF96" s="215"/>
      <c r="AG96" s="215"/>
      <c r="AH96" s="217"/>
      <c r="AI96" s="217"/>
      <c r="AJ96" s="213"/>
    </row>
    <row r="97" spans="1:36" ht="16">
      <c r="A97" s="213"/>
      <c r="B97" s="214"/>
      <c r="C97" s="215"/>
      <c r="D97" s="217"/>
      <c r="E97" s="217"/>
      <c r="F97" s="213"/>
      <c r="G97" s="214"/>
      <c r="H97" s="215"/>
      <c r="I97" s="217"/>
      <c r="J97" s="217"/>
      <c r="K97" s="213"/>
      <c r="L97" s="215"/>
      <c r="M97" s="215"/>
      <c r="N97" s="217"/>
      <c r="O97" s="217"/>
      <c r="P97" s="213"/>
      <c r="Q97" s="215"/>
      <c r="R97" s="215"/>
      <c r="S97" s="217"/>
      <c r="T97" s="217"/>
      <c r="U97" s="213"/>
      <c r="V97" s="215"/>
      <c r="W97" s="215"/>
      <c r="X97" s="217"/>
      <c r="Y97" s="217"/>
      <c r="Z97" s="213"/>
      <c r="AA97" s="215"/>
      <c r="AB97" s="215"/>
      <c r="AC97" s="217"/>
      <c r="AD97" s="217"/>
      <c r="AE97" s="213"/>
      <c r="AF97" s="215"/>
      <c r="AG97" s="215"/>
      <c r="AH97" s="217"/>
      <c r="AI97" s="217"/>
      <c r="AJ97" s="213"/>
    </row>
    <row r="98" spans="1:36" ht="16">
      <c r="A98" s="213"/>
      <c r="B98" s="214"/>
      <c r="C98" s="215"/>
      <c r="D98" s="217"/>
      <c r="E98" s="217"/>
      <c r="F98" s="213"/>
      <c r="G98" s="214"/>
      <c r="H98" s="215"/>
      <c r="I98" s="217"/>
      <c r="J98" s="217"/>
      <c r="K98" s="213"/>
      <c r="L98" s="215"/>
      <c r="M98" s="215"/>
      <c r="N98" s="217"/>
      <c r="O98" s="217"/>
      <c r="P98" s="213"/>
      <c r="Q98" s="215"/>
      <c r="R98" s="215"/>
      <c r="S98" s="217"/>
      <c r="T98" s="217"/>
      <c r="U98" s="213"/>
      <c r="V98" s="215"/>
      <c r="W98" s="215"/>
      <c r="X98" s="217"/>
      <c r="Y98" s="217"/>
      <c r="Z98" s="213"/>
      <c r="AA98" s="215"/>
      <c r="AB98" s="215"/>
      <c r="AC98" s="217"/>
      <c r="AD98" s="217"/>
      <c r="AE98" s="213"/>
      <c r="AF98" s="215"/>
      <c r="AG98" s="215"/>
      <c r="AH98" s="217"/>
      <c r="AI98" s="217"/>
      <c r="AJ98" s="213"/>
    </row>
    <row r="99" spans="1:36" ht="16">
      <c r="A99" s="213"/>
      <c r="B99" s="214"/>
      <c r="C99" s="215"/>
      <c r="D99" s="217"/>
      <c r="E99" s="217"/>
      <c r="F99" s="213"/>
      <c r="G99" s="214"/>
      <c r="H99" s="215"/>
      <c r="I99" s="218"/>
      <c r="J99" s="219"/>
      <c r="K99" s="213"/>
      <c r="L99" s="215"/>
      <c r="M99" s="215"/>
      <c r="N99" s="220"/>
      <c r="O99" s="220"/>
      <c r="P99" s="213"/>
      <c r="Q99" s="215"/>
      <c r="R99" s="215"/>
      <c r="S99" s="220"/>
      <c r="T99" s="220"/>
      <c r="U99" s="213"/>
      <c r="V99" s="215"/>
      <c r="W99" s="215"/>
      <c r="X99" s="220"/>
      <c r="Y99" s="220"/>
      <c r="Z99" s="213"/>
      <c r="AA99" s="215"/>
      <c r="AB99" s="215"/>
      <c r="AC99" s="221"/>
      <c r="AD99" s="221"/>
      <c r="AE99" s="213"/>
      <c r="AF99" s="215"/>
      <c r="AG99" s="215"/>
      <c r="AH99" s="220"/>
      <c r="AI99" s="220"/>
      <c r="AJ99" s="213"/>
    </row>
    <row r="625" customFormat="1" ht="15" customHeight="1"/>
    <row r="626" customFormat="1" ht="15" customHeight="1"/>
    <row r="627" customFormat="1" ht="15" customHeight="1"/>
    <row r="628" customFormat="1" ht="15" customHeight="1"/>
    <row r="629" customFormat="1" ht="15" customHeight="1"/>
    <row r="630" customFormat="1" ht="15" customHeight="1"/>
    <row r="631" customFormat="1" ht="15" customHeight="1"/>
    <row r="632" customFormat="1" ht="15" customHeight="1"/>
    <row r="633" customFormat="1" ht="15" customHeight="1"/>
    <row r="634" customFormat="1" ht="15" customHeight="1"/>
    <row r="635" customFormat="1" ht="15" customHeight="1"/>
    <row r="636" customFormat="1" ht="15" customHeight="1"/>
    <row r="637" customFormat="1" ht="15" customHeight="1"/>
  </sheetData>
  <mergeCells count="14">
    <mergeCell ref="B1:E1"/>
    <mergeCell ref="L1:O1"/>
    <mergeCell ref="V1:Y1"/>
    <mergeCell ref="AF1:AI1"/>
    <mergeCell ref="B2:E2"/>
    <mergeCell ref="L2:O2"/>
    <mergeCell ref="V2:Y2"/>
    <mergeCell ref="AF2:AI2"/>
    <mergeCell ref="G1:J1"/>
    <mergeCell ref="G2:J2"/>
    <mergeCell ref="Q1:T1"/>
    <mergeCell ref="Q2:T2"/>
    <mergeCell ref="AA1:AD1"/>
    <mergeCell ref="AA2:AD2"/>
  </mergeCells>
  <hyperlinks>
    <hyperlink ref="D4" r:id="rId1" display="https://www.linkedin.com/learning/managing-in-difficult-times?trk=ondemandfile" xr:uid="{00000000-0004-0000-0F00-000000000000}"/>
    <hyperlink ref="E4" r:id="rId2" display="https://www.linkedin.com/learning/paths/develop-conflict-management-and-resolution-skills?trk=ondemandfile" xr:uid="{00000000-0004-0000-0F00-000001000000}"/>
    <hyperlink ref="N4" r:id="rId3" display="https://www.linkedin.com/learning/00-dar-y-recibir-feedback?trk=ondemandfile" xr:uid="{00000000-0004-0000-0F00-000002000000}"/>
    <hyperlink ref="O4" r:id="rId4" display="https://www.linkedin.com/learning/paths/mejora-tu-capacidad-para-comunicar-con-las-personas?trk=ondemandfile" xr:uid="{00000000-0004-0000-0F00-000003000000}"/>
    <hyperlink ref="S4" r:id="rId5" display="https://www.linkedin.com/learning/die-leistung-der-mitarbeiter-innen-steigern?trk=ondemandfile" xr:uid="{00000000-0004-0000-0F00-000004000000}"/>
    <hyperlink ref="T4" r:id="rId6" display="https://www.linkedin.com/learning/paths/besser-kommunizieren?trk=ondemandfile" xr:uid="{00000000-0004-0000-0F00-000005000000}"/>
    <hyperlink ref="X4" r:id="rId7" display="https://www.linkedin.com/learning/jeff-weiner-on-managing-compassionately-2?trk=contentmappingfile" xr:uid="{00000000-0004-0000-0F00-000006000000}"/>
    <hyperlink ref="AD4" r:id="rId8" display="https://www.linkedin.com/learning/paths/melhore-suas-habilidades-de-resolucao-de-problemas?trk=ondemandfile" xr:uid="{00000000-0004-0000-0F00-000007000000}"/>
    <hyperlink ref="AH4" r:id="rId9" display="https://www.linkedin.com/learning/working-with-difficult-people-3?trk=ondemandfile" xr:uid="{00000000-0004-0000-0F00-000008000000}"/>
    <hyperlink ref="AI4" r:id="rId10" display="https://www.linkedin.com/learning/paths/5e7d3101-368f-3335-9206-178f9e406630?trk=ondemandfile" xr:uid="{00000000-0004-0000-0F00-000009000000}"/>
    <hyperlink ref="D5" r:id="rId11" display="https://www.linkedin.com/learning/the-hard-thing-about-hard-things?trk=ondemandfile" xr:uid="{00000000-0004-0000-0F00-00000A000000}"/>
    <hyperlink ref="E5" r:id="rId12" display="https://www.linkedin.com/learning/paths/improve-your-teamwork-skills?trk=ondemandfile" xr:uid="{00000000-0004-0000-0F00-00000B000000}"/>
    <hyperlink ref="N5" r:id="rId13" display="https://www.linkedin.com/learning/00-learning-to-say-no?trk=ondemandfile" xr:uid="{00000000-0004-0000-0F00-00000C000000}"/>
    <hyperlink ref="O5" r:id="rId14" display="https://www.linkedin.com/learning/paths/mejora-tus-dotes-de-liderazgo-y-gestion-de-equipos-de-trabajo?trk=ondemandfile" xr:uid="{00000000-0004-0000-0F00-00000D000000}"/>
    <hyperlink ref="S5" r:id="rId15" display="https://www.linkedin.com/learning/effective-listening-2?trk=ondemandfile" xr:uid="{00000000-0004-0000-0F00-00000E000000}"/>
    <hyperlink ref="T5" r:id="rId16" display="https://www.linkedin.com/learning/paths/die-zusammenarbeit-fordern?trk=ondemandfile" xr:uid="{00000000-0004-0000-0F00-00000F000000}"/>
    <hyperlink ref="X5" r:id="rId17" display="https://www.linkedin.com/learning/effective-listening-3?trk=ondemandfile" xr:uid="{00000000-0004-0000-0F00-000010000000}"/>
    <hyperlink ref="AC5" r:id="rId18" display="https://www.linkedin.com/learning/como-dar-feedback-aos-colaboradores?trk=contentmappingfile" xr:uid="{00000000-0004-0000-0F00-000011000000}"/>
    <hyperlink ref="AD5" r:id="rId19" display="https://www.linkedin.com/learning/paths/como-superar-os-desafios-e-se-reinventar-em-tempos-dificeis?trk=ondemandfile" xr:uid="{00000000-0004-0000-0F00-000012000000}"/>
    <hyperlink ref="AH5" r:id="rId20" display="https://www.linkedin.com/learning/delivering-employee-feedback-3?trk=ondemandfile" xr:uid="{00000000-0004-0000-0F00-000013000000}"/>
    <hyperlink ref="AI5" r:id="rId21" display="https://www.linkedin.com/learning/paths/87c473ed-01ce-32f8-90ac-61be15e449c9?trk=ondemandfile" xr:uid="{00000000-0004-0000-0F00-000014000000}"/>
    <hyperlink ref="D6" r:id="rId22" display="https://www.linkedin.com/learning/managing-conflict-a-practical-guide-to-resolution-in-the-workplace-getabstract-summary?trk=ondemandfile" xr:uid="{00000000-0004-0000-0F00-000015000000}"/>
    <hyperlink ref="E6" r:id="rId23" display="https://www.linkedin.com/learning/paths/master-in-demand-professional-soft-skills?trk=ondemandfile" xr:uid="{00000000-0004-0000-0F00-000016000000}"/>
    <hyperlink ref="N6" r:id="rId24" display="https://www.linkedin.com/learning/como-despedir-a-tu-personal?trk=contentmappingfile" xr:uid="{00000000-0004-0000-0F00-000017000000}"/>
    <hyperlink ref="O6" r:id="rId25" display="https://www.linkedin.com/learning/paths/domina-las-habilidades-de-vida-sociales?trk=ondemandfile" xr:uid="{00000000-0004-0000-0F00-000018000000}"/>
    <hyperlink ref="S6" r:id="rId26" display="https://www.linkedin.com/learning/erfolgreiche-einzelgesprache-fuhren?trk=ondemandfile" xr:uid="{00000000-0004-0000-0F00-000019000000}"/>
    <hyperlink ref="X6" r:id="rId27" display="https://www.linkedin.com/learning/conflict-resolution-foundations-5?trk=ondemandfile" xr:uid="{00000000-0004-0000-0F00-00001A000000}"/>
    <hyperlink ref="AH6" r:id="rId28" display="https://www.linkedin.com/learning/conflict-resolution-foundations-3?trk=ondemandfile" xr:uid="{00000000-0004-0000-0F00-00001B000000}"/>
    <hyperlink ref="AI6" r:id="rId29" display="https://www.linkedin.com/learning/paths/7c8dafed-8f63-35a2-ada2-7dbeaf731ce4?trk=ondemandfile" xr:uid="{00000000-0004-0000-0F00-00001C000000}"/>
    <hyperlink ref="D7" r:id="rId30" display="https://www.linkedin.com/learning/crisis-communication?trk=ondemandfile" xr:uid="{00000000-0004-0000-0F00-00001D000000}"/>
    <hyperlink ref="E7" r:id="rId31" display="https://www.linkedin.com/learning/paths/succeeding-in-sales-during-times-of-volatility?trk=ondemandfile" xr:uid="{00000000-0004-0000-0F00-00001E000000}"/>
    <hyperlink ref="N7" r:id="rId32" display="https://www.linkedin.com/learning/como-detener-el-acoso-laboral-y-la-intimidacion?trk=ondemandfile" xr:uid="{00000000-0004-0000-0F00-00001F000000}"/>
    <hyperlink ref="S7" r:id="rId33" display="https://www.linkedin.com/learning/fred-kofman-uber-konfliktmanagement?trk=ondemandfile" xr:uid="{00000000-0004-0000-0F00-000020000000}"/>
    <hyperlink ref="AH7" r:id="rId34" display="https://www.linkedin.com/learning/communicating-in-times-of-change-3?trk=ondemandfile" xr:uid="{00000000-0004-0000-0F00-000021000000}"/>
    <hyperlink ref="D8" r:id="rId35" display="https://www.linkedin.com/learning/communicating-in-times-of-change?trk=ondemandfile" xr:uid="{00000000-0004-0000-0F00-000022000000}"/>
    <hyperlink ref="N8" r:id="rId36" display="https://www.linkedin.com/learning/como-gestionar-el-enfado-en-la-clientela?trk=contentmappingfile" xr:uid="{00000000-0004-0000-0F00-000023000000}"/>
    <hyperlink ref="S8" r:id="rId37" display="https://www.linkedin.com/learning/00-mediation?trk=ondemandfile" xr:uid="{00000000-0004-0000-0F00-000024000000}"/>
    <hyperlink ref="AH8" r:id="rId38" display="https://www.linkedin.com/learning/managing-up-down-and-across-the-organization-3?trk=ondemandfile" xr:uid="{00000000-0004-0000-0F00-000025000000}"/>
    <hyperlink ref="D9" r:id="rId39" display="https://www.linkedin.com/learning/reputation-risk-management?trk=ondemandfile" xr:uid="{00000000-0004-0000-0F00-000026000000}"/>
    <hyperlink ref="N9" r:id="rId40" display="https://www.linkedin.com/learning/como-superar-los-sesgos-cognitivos?trk=ondemandfile" xr:uid="{00000000-0004-0000-0F00-000027000000}"/>
    <hyperlink ref="S9" r:id="rId41" display="https://www.linkedin.com/learning/00-anteilmanag?trk=ondemandfile" xr:uid="{00000000-0004-0000-0F00-000028000000}"/>
    <hyperlink ref="AH9" r:id="rId42" display="https://www.linkedin.com/learning/9b4bd443-b907-3050-9476-0ec0b08dfda8?trk=ondemandfile" xr:uid="{00000000-0004-0000-0F00-000029000000}"/>
    <hyperlink ref="D10" r:id="rId43" display="https://www.linkedin.com/learning/difficult-situations-solutions-for-managers?trk=ondemandfile" xr:uid="{00000000-0004-0000-0F00-00002A000000}"/>
    <hyperlink ref="I10" r:id="rId44" display="https://www.linkedin.com/learning/creer-des-conversations-constructives-avec-des-clients-exigeants-clientes-exigeantes?trk=contentmappingfile" xr:uid="{00000000-0004-0000-0F00-00002B000000}"/>
    <hyperlink ref="N10" r:id="rId45" display="https://www.linkedin.com/learning/00-tener-conversaciones-dificiles?trk=ondemandfile" xr:uid="{00000000-0004-0000-0F00-00002C000000}"/>
    <hyperlink ref="S10" r:id="rId46" display="https://www.linkedin.com/learning/kommunikation-in-zeiten-der-veranderung?trk=ondemandfile" xr:uid="{00000000-0004-0000-0F00-00002D000000}"/>
    <hyperlink ref="AC10" r:id="rId47" display="https://www.linkedin.com/learning/como-gerenciar-relacionamentos-com-chefes-colegas-e-subordinados?trk=contentmappingfile" xr:uid="{00000000-0004-0000-0F00-00002E000000}"/>
    <hyperlink ref="AH10" r:id="rId48" display="https://www.linkedin.com/learning/working-with-upset-customers-2?trk=ondemandfile" xr:uid="{00000000-0004-0000-0F00-00002F000000}"/>
    <hyperlink ref="D11" r:id="rId49" display="https://www.linkedin.com/learning/jeff-weiner-on-compassionate-leadership-from-stanford?trk=ondemandfile" xr:uid="{00000000-0004-0000-0F00-000030000000}"/>
    <hyperlink ref="N11" r:id="rId50" display="https://www.linkedin.com/learning/c-mo-tomar-decisiones?trk=ondemandfile" xr:uid="{00000000-0004-0000-0F00-000031000000}"/>
    <hyperlink ref="S11" r:id="rId51" display="https://www.linkedin.com/learning/konfliktlosung-grundlagen?trk=ondemandfile" xr:uid="{00000000-0004-0000-0F00-000032000000}"/>
    <hyperlink ref="AH11" r:id="rId52" display="https://www.linkedin.com/learning/4bddab10-145f-3bdb-9cc3-b64313f38564?trk=ondemandfile" xr:uid="{00000000-0004-0000-0F00-000033000000}"/>
    <hyperlink ref="D12" r:id="rId53" display="https://www.linkedin.com/learning/get-momentum-how-to-start-when-you-re-stuck-getabstract-summary?trk=ondemandfile" xr:uid="{00000000-0004-0000-0F00-000034000000}"/>
    <hyperlink ref="N12" r:id="rId54" display="https://www.linkedin.com/learning/como-trabajar-con-gerentes-dificiles?trk=contentmappingfile" xr:uid="{00000000-0004-0000-0F00-000035000000}"/>
    <hyperlink ref="S12" r:id="rId55" display="https://www.linkedin.com/learning/konfliktmanagement-in-projekten?trk=ondemandfile" xr:uid="{00000000-0004-0000-0F00-000036000000}"/>
    <hyperlink ref="AC12" r:id="rId56" display="https://www.linkedin.com/learning/como-melhorar-suas-competencias-de-escuta?trk=contentmappingfile" xr:uid="{00000000-0004-0000-0F00-000037000000}"/>
    <hyperlink ref="AH12" r:id="rId57" display="https://www.linkedin.com/learning/learning-to-say-no-3?trk=ondemandfile" xr:uid="{00000000-0004-0000-0F00-000038000000}"/>
    <hyperlink ref="D13" r:id="rId58" display="https://www.linkedin.com/learning/facilitation-skills-for-managers-and-leaders?trk=ondemandfile" xr:uid="{00000000-0004-0000-0F00-000039000000}"/>
    <hyperlink ref="N13" r:id="rId59" display="https://www.linkedin.com/learning/00-comunicacion-de-la-gestion-del-cambio?trk=ondemandfile" xr:uid="{00000000-0004-0000-0F00-00003A000000}"/>
    <hyperlink ref="S13" r:id="rId60" display="https://www.linkedin.com/learning/00-krisenkommunikation?trk=ondemandfile" xr:uid="{00000000-0004-0000-0F00-00003B000000}"/>
    <hyperlink ref="AC13" r:id="rId61" display="https://www.linkedin.com/learning/como-prevenir-o-assedio-no-trabalho-e-criar-um-ambiente-seguro?trk=contentmappingfile" xr:uid="{00000000-0004-0000-0F00-00003C000000}"/>
    <hyperlink ref="AH13" r:id="rId62" display="https://www.linkedin.com/learning/having-difficult-conversations?trk=ondemandfile" xr:uid="{00000000-0004-0000-0F00-00003D000000}"/>
    <hyperlink ref="D14" r:id="rId63" display="https://www.linkedin.com/learning/human-resources-managing-employee-problems?trk=ondemandfile" xr:uid="{00000000-0004-0000-0F00-00003E000000}"/>
    <hyperlink ref="I14" r:id="rId64" display="https://www.linkedin.com/learning/donner-des-feedbacks-aux-employes-employees?trk=contentmappingfile" xr:uid="{00000000-0004-0000-0F00-00003F000000}"/>
    <hyperlink ref="N14" r:id="rId65" display="https://www.linkedin.com/learning/estrategias-para-salir-de-una-crisis-empresarial?trk=ondemandfile" xr:uid="{00000000-0004-0000-0F00-000040000000}"/>
    <hyperlink ref="S14" r:id="rId66" display="https://www.linkedin.com/learning/mit-einem-schwierigen-chef-zurechtkommen?trk=ondemandfile" xr:uid="{00000000-0004-0000-0F00-000041000000}"/>
    <hyperlink ref="AH14" r:id="rId67" display="https://www.linkedin.com/learning/critical-thinking-for-better-judgment-and-decision-making-2?trk=ondemandfile" xr:uid="{00000000-0004-0000-0F00-000042000000}"/>
    <hyperlink ref="D15" r:id="rId68" display="https://www.linkedin.com/learning/leading-through-relationships?trk=ondemandfile" xr:uid="{00000000-0004-0000-0F00-000043000000}"/>
    <hyperlink ref="I15" r:id="rId69" display="https://www.linkedin.com/learning/donner-et-recevoir-du-feedback?trk=contentmappingfile" xr:uid="{00000000-0004-0000-0F00-000044000000}"/>
    <hyperlink ref="N15" r:id="rId70" display="https://www.linkedin.com/learning/fred-kofman-y-la-gesti-n-de-conflictos?trk=ondemandfile" xr:uid="{00000000-0004-0000-0F00-000045000000}"/>
    <hyperlink ref="S15" r:id="rId71" display="https://www.linkedin.com/learning/mit-schwierigen-kunden-umgehen?trk=ondemandfile" xr:uid="{00000000-0004-0000-0F00-000046000000}"/>
    <hyperlink ref="AC15" r:id="rId72" display="https://www.linkedin.com/learning/como-superar-o-assedio-no-trabalho?trk=contentmappingfile" xr:uid="{00000000-0004-0000-0F00-000047000000}"/>
    <hyperlink ref="AH15" r:id="rId73" display="https://www.linkedin.com/learning/improving-your-listening-skills-2?trk=ondemandfile" xr:uid="{00000000-0004-0000-0F00-000048000000}"/>
    <hyperlink ref="D16" r:id="rId74" display="https://www.linkedin.com/learning/managing-employee-performance-problems-2018?trk=ondemandfile" xr:uid="{00000000-0004-0000-0F00-000049000000}"/>
    <hyperlink ref="N16" r:id="rId75" display="https://www.linkedin.com/learning/00-project-management-foundations-teams?trk=ondemandfile" xr:uid="{00000000-0004-0000-0F00-00004A000000}"/>
    <hyperlink ref="S16" r:id="rId76" display="https://www.linkedin.com/learning/mit-schwierigen-mitarbeiter-innen-umgehen?trk=ondemandfile" xr:uid="{00000000-0004-0000-0F00-00004B000000}"/>
    <hyperlink ref="AH16" r:id="rId77" display="https://www.linkedin.com/learning/86d80f76-f728-332c-a87d-dc1fddaa0c91?trk=ondemandfile" xr:uid="{00000000-0004-0000-0F00-00004C000000}"/>
    <hyperlink ref="D17" r:id="rId78" display="https://www.linkedin.com/learning/managing-team-conflict?trk=ondemandfile" xr:uid="{00000000-0004-0000-0F00-00004D000000}"/>
    <hyperlink ref="N17" r:id="rId79" display="https://www.linkedin.com/learning/00-conflict-resolution-fundamentals?trk=ondemandfile" xr:uid="{00000000-0004-0000-0F00-00004E000000}"/>
    <hyperlink ref="S17" r:id="rId80" display="https://www.linkedin.com/learning/00-feedback?trk=ondemandfile" xr:uid="{00000000-0004-0000-0F00-00004F000000}"/>
    <hyperlink ref="AH17" r:id="rId81" display="https://www.linkedin.com/learning/managing-employee-performance-problems-5?trk=ondemandfile" xr:uid="{00000000-0004-0000-0F00-000050000000}"/>
    <hyperlink ref="D18" r:id="rId82" display="https://www.linkedin.com/learning/having-difficult-conversations-a-guide-for-managers?trk=ondemandfile" xr:uid="{00000000-0004-0000-0F00-000051000000}"/>
    <hyperlink ref="I18" r:id="rId83" display="https://www.linkedin.com/learning/gerer-les-problemes-de-performance-de-ses-employes-employees?trk=contentmappingfile" xr:uid="{00000000-0004-0000-0F00-000052000000}"/>
    <hyperlink ref="N18" r:id="rId84" display="https://www.linkedin.com/learning/00-solving-common-project-problems?trk=ondemandfile" xr:uid="{00000000-0004-0000-0F00-000053000000}"/>
    <hyperlink ref="S18" r:id="rId85" display="https://www.linkedin.com/learning/00-pm-krisen?trk=ondemandfile" xr:uid="{00000000-0004-0000-0F00-000054000000}"/>
    <hyperlink ref="AC18" r:id="rId86" display="https://www.linkedin.com/learning/gestao-de-conflitos-como-lidar-com-as-divergencias-na-empresa?trk=contentmappingfile" xr:uid="{00000000-0004-0000-0F00-000055000000}"/>
    <hyperlink ref="AH18" r:id="rId87" display="https://www.linkedin.com/learning/managing-team-conflict-15962506?trk=contentmappingfile" xr:uid="{00000000-0004-0000-0F00-000056000000}"/>
    <hyperlink ref="D19" r:id="rId88" display="https://www.linkedin.com/learning/radical-candor?trk=ondemandfile" xr:uid="{00000000-0004-0000-0F00-000057000000}"/>
    <hyperlink ref="I19" r:id="rId89" display="https://www.linkedin.com/learning/jeff-weiner-le-management-compassionnel?trk=contentmappingfile" xr:uid="{00000000-0004-0000-0F00-000058000000}"/>
    <hyperlink ref="N19" r:id="rId90" display="https://www.linkedin.com/learning/gestion-del-estres-en-tiempos-de-incertidumbre-vivir-o-sobrevivir?trk=ondemandfile" xr:uid="{00000000-0004-0000-0F00-000059000000}"/>
    <hyperlink ref="S19" r:id="rId91" display="https://www.linkedin.com/learning/00-projektmanagement-teamfuhrung?trk=ondemandfile" xr:uid="{00000000-0004-0000-0F00-00005A000000}"/>
    <hyperlink ref="AH19" r:id="rId92" display="https://www.linkedin.com/learning/managing-depression-in-the-workplace-2?trk=ondemandfile" xr:uid="{00000000-0004-0000-0F00-00005B000000}"/>
    <hyperlink ref="D20" r:id="rId93" display="https://www.linkedin.com/learning/dealing-with-microaggression-as-an-employee?trk=ondemandfile" xr:uid="{00000000-0004-0000-0F00-00005C000000}"/>
    <hyperlink ref="N20" r:id="rId94" display="https://www.linkedin.com/learning/gestionar-en-todas-las-direcciones-del-organigrama-empresarial?trk=ondemandfile" xr:uid="{00000000-0004-0000-0F00-00005D000000}"/>
    <hyperlink ref="S20" r:id="rId95" display="https://www.linkedin.com/learning/unconscious-bias-unbewusste-denkmuster-erkennen-und-andern?trk=ondemandfile" xr:uid="{00000000-0004-0000-0F00-00005E000000}"/>
    <hyperlink ref="AH20" r:id="rId96" display="https://www.linkedin.com/learning/negotiation-foundations-2?trk=ondemandfile" xr:uid="{00000000-0004-0000-0F00-00005F000000}"/>
    <hyperlink ref="D21" r:id="rId97" display="https://www.linkedin.com/learning/de-escalating-conversations-for-customer-service?trk=ondemandfile" xr:uid="{00000000-0004-0000-0F00-000060000000}"/>
    <hyperlink ref="I21" r:id="rId98" display="https://www.linkedin.com/learning/laisser-partir-un-employe-une-employee?trk=contentmappingfile" xr:uid="{00000000-0004-0000-0F00-000061000000}"/>
    <hyperlink ref="N21" r:id="rId99" display="https://www.linkedin.com/learning/00-jeff-weiner-on-compassionate-management?trk=ondemandfile" xr:uid="{00000000-0004-0000-0F00-000062000000}"/>
    <hyperlink ref="AH21" r:id="rId100" display="https://www.linkedin.com/learning/problem-solving-techniques-2?trk=ondemandfile" xr:uid="{00000000-0004-0000-0F00-000063000000}"/>
    <hyperlink ref="D22" r:id="rId101" display="https://www.linkedin.com/learning/how-to-resolve-conflicts?trk=ondemandfile" xr:uid="{00000000-0004-0000-0F00-000064000000}"/>
    <hyperlink ref="N22" r:id="rId102" display="https://www.linkedin.com/learning/la-escucha-activa?trk=ondemandfile" xr:uid="{00000000-0004-0000-0F00-000065000000}"/>
    <hyperlink ref="AH22" r:id="rId103" display="https://www.linkedin.com/learning/project-management-solving-common-project-problems-3?trk=ondemandfile" xr:uid="{00000000-0004-0000-0F00-000066000000}"/>
    <hyperlink ref="D23" r:id="rId104" display="https://www.linkedin.com/learning/how-to-proactively-manage-conflict-as-an-employee?trk=ondemandfile" xr:uid="{00000000-0004-0000-0F00-000067000000}"/>
    <hyperlink ref="N23" r:id="rId105" display="https://www.linkedin.com/learning/00-marketing-digital-avanzado-resolucion-de-problemas?trk=ondemandfile" xr:uid="{00000000-0004-0000-0F00-000068000000}"/>
    <hyperlink ref="AH23" r:id="rId106" display="https://www.linkedin.com/learning/project-management-foundations-teams-2?trk=ondemandfile" xr:uid="{00000000-0004-0000-0F00-000069000000}"/>
    <hyperlink ref="D24" r:id="rId107" display="https://www.linkedin.com/learning/dealing-with-disappointment-in-your-role?trk=ondemandfile" xr:uid="{00000000-0004-0000-0F00-00006A000000}"/>
    <hyperlink ref="N24" r:id="rId108" display="https://www.linkedin.com/learning/mejora-tu-competencia-en-conflictos?trk=ondemandfile" xr:uid="{00000000-0004-0000-0F00-00006B000000}"/>
    <hyperlink ref="AH24" r:id="rId109" display="https://www.linkedin.com/learning/779ed34b-4bd3-393b-bda7-0163601fbcc8?trk=ondemandfile" xr:uid="{00000000-0004-0000-0F00-00006C000000}"/>
    <hyperlink ref="D25" r:id="rId110" display="https://www.linkedin.com/learning/communicating-with-empathy?trk=ondemandfile" xr:uid="{00000000-0004-0000-0F00-00006D000000}"/>
    <hyperlink ref="N25" r:id="rId111" display="https://www.linkedin.com/learning/improving-your-listening-skills-3?trk=ondemandfile" xr:uid="{00000000-0004-0000-0F00-00006E000000}"/>
    <hyperlink ref="D26" r:id="rId112" display="https://www.linkedin.com/learning/conflict-resolution-foundations-2018?trk=ondemandfile" xr:uid="{00000000-0004-0000-0F00-00006F000000}"/>
    <hyperlink ref="N26" r:id="rId113" display="https://www.linkedin.com/learning/resoluci-n-de-problemas-empresariales?trk=ondemandfile" xr:uid="{00000000-0004-0000-0F00-000070000000}"/>
    <hyperlink ref="D27" r:id="rId114" display="https://www.linkedin.com/learning/dealing-with-difficult-people-in-your-office?trk=ondemandfile" xr:uid="{00000000-0004-0000-0F00-000071000000}"/>
    <hyperlink ref="I27" r:id="rId115" display="https://www.linkedin.com/learning/traiter-avec-des-clients-mecontents-clientes-mecontentes?trk=contentmappingfile" xr:uid="{00000000-0004-0000-0F00-000072000000}"/>
    <hyperlink ref="N27" r:id="rId116" display="https://www.linkedin.com/learning/toma-de-decisiones-en-situaciones-de-gran-estres?trk=ondemandfile" xr:uid="{00000000-0004-0000-0F00-000073000000}"/>
    <hyperlink ref="D28" r:id="rId117" display="https://www.linkedin.com/learning/embracing-conflict-as-a-gift?trk=ondemandfile" xr:uid="{00000000-0004-0000-0F00-000074000000}"/>
    <hyperlink ref="D29" r:id="rId118" display="https://www.linkedin.com/learning/how-to-manage-high-stakes-conflict?trk=ondemandfile" xr:uid="{00000000-0004-0000-0F00-000075000000}"/>
    <hyperlink ref="I29" r:id="rId119" display="https://www.linkedin.com/learning/travailler-avec-un-superieur-une-superieure-hierarchique-difficile?trk=contentmappingfile" xr:uid="{00000000-0004-0000-0F00-000076000000}"/>
    <hyperlink ref="D30" r:id="rId120" display="https://www.linkedin.com/learning/how-to-use-negotiation-jiu-jitsu-to-resolve-conflicts-and-persuade?trk=ondemandfile" xr:uid="{00000000-0004-0000-0F00-000077000000}"/>
    <hyperlink ref="D31" r:id="rId121" display="https://www.linkedin.com/learning/how-to-win-arguments?trk=ondemandfile" xr:uid="{00000000-0004-0000-0F00-000078000000}"/>
    <hyperlink ref="D32" r:id="rId122" display="https://www.linkedin.com/learning/mixtape-highlights-from-linkedin-learning-courses?trk=ondemandfile" xr:uid="{00000000-0004-0000-0F00-000079000000}"/>
    <hyperlink ref="D33" r:id="rId123" display="https://www.linkedin.com/learning/delivering-bad-news-effectively?trk=ondemandfile" xr:uid="{00000000-0004-0000-0F00-00007A000000}"/>
    <hyperlink ref="D34" r:id="rId124" display="https://www.linkedin.com/learning/fred-kofman-on-managing-conflict?trk=ondemandfile" xr:uid="{00000000-0004-0000-0F00-00007B000000}"/>
    <hyperlink ref="D35" r:id="rId125" display="https://www.linkedin.com/learning/having-difficult-conversations-2?trk=ondemandfile" xr:uid="{00000000-0004-0000-0F00-00007C000000}"/>
    <hyperlink ref="D36" r:id="rId126" display="https://www.linkedin.com/learning/improving-your-conflict-competence?trk=ondemandfile" xr:uid="{00000000-0004-0000-0F00-00007D000000}"/>
    <hyperlink ref="D37" r:id="rId127" display="https://www.linkedin.com/learning/effective-listening?trk=ondemandfile" xr:uid="{00000000-0004-0000-0F00-00007E000000}"/>
    <hyperlink ref="D38" r:id="rId128" display="https://www.linkedin.com/learning/leading-in-crisis?trk=ondemandfile" xr:uid="{00000000-0004-0000-0F00-00007F000000}"/>
    <hyperlink ref="D39" r:id="rId129" display="https://www.linkedin.com/learning/marketing-during-a-crisis?trk=ondemandfile" xr:uid="{00000000-0004-0000-0F00-000080000000}"/>
    <hyperlink ref="D40" r:id="rId130" display="https://www.linkedin.com/learning/how-to-give-negative-feedback-to-senior-colleagues?trk=ondemandfile" xr:uid="{00000000-0004-0000-0F00-000081000000}"/>
    <hyperlink ref="D41" r:id="rId131" display="https://www.linkedin.com/learning/difficult-conversations-about-politics-at-work?trk=ondemandfile" xr:uid="{00000000-0004-0000-0F00-000082000000}"/>
    <hyperlink ref="D42" r:id="rId132" display="https://www.linkedin.com/learning/managing-misconduct-in-the-workplace?trk=ondemandfile" xr:uid="{00000000-0004-0000-0F00-000083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Click and enter a value from range 'Competency Titles'!A1:A27" xr:uid="{00000000-0002-0000-0F00-000000000000}">
          <x14:formula1>
            <xm:f>#REF!</xm:f>
          </x14:formula1>
          <xm:sqref>B1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1C232"/>
    <outlinePr summaryBelow="0" summaryRight="0"/>
  </sheetPr>
  <dimension ref="A1:AJ137"/>
  <sheetViews>
    <sheetView showGridLines="0" workbookViewId="0">
      <pane ySplit="3" topLeftCell="A4" activePane="bottomLeft" state="frozen"/>
      <selection pane="bottomLeft" sqref="A1:XFD1048576"/>
    </sheetView>
  </sheetViews>
  <sheetFormatPr baseColWidth="10" defaultColWidth="11.1640625" defaultRowHeight="15" customHeight="1"/>
  <cols>
    <col min="1" max="1" width="1.1640625" customWidth="1"/>
    <col min="2" max="2" width="11.1640625" customWidth="1"/>
    <col min="3" max="3" width="18.5" customWidth="1"/>
    <col min="4" max="5" width="44.5" customWidth="1"/>
    <col min="6" max="6" width="1.1640625" customWidth="1"/>
    <col min="7" max="7" width="11.1640625" customWidth="1"/>
    <col min="8" max="8" width="19.33203125" customWidth="1"/>
    <col min="9" max="10" width="44.5" customWidth="1"/>
    <col min="11" max="11" width="1.1640625" customWidth="1"/>
    <col min="12" max="12" width="11.1640625" customWidth="1"/>
    <col min="13" max="13" width="20.83203125" customWidth="1"/>
    <col min="14" max="15" width="44.5" customWidth="1"/>
    <col min="16" max="16" width="1.1640625" customWidth="1"/>
    <col min="17" max="17" width="11.1640625" customWidth="1"/>
    <col min="18" max="18" width="19.6640625" customWidth="1"/>
    <col min="19" max="20" width="44.5" customWidth="1"/>
    <col min="21" max="21" width="1.1640625" customWidth="1"/>
    <col min="23" max="23" width="18.6640625" customWidth="1"/>
    <col min="24" max="25" width="44.5" customWidth="1"/>
    <col min="26" max="26" width="1.1640625" customWidth="1"/>
    <col min="27" max="27" width="11.1640625" customWidth="1"/>
    <col min="28" max="28" width="26.6640625" customWidth="1"/>
    <col min="29" max="30" width="44.5" customWidth="1"/>
    <col min="31" max="31" width="1.1640625" customWidth="1"/>
    <col min="32" max="32" width="11.1640625" customWidth="1"/>
    <col min="33" max="33" width="21" customWidth="1"/>
    <col min="34" max="35" width="44.5" customWidth="1"/>
    <col min="36" max="36" width="1.1640625" customWidth="1"/>
  </cols>
  <sheetData>
    <row r="1" spans="1:36" ht="34.5" customHeight="1">
      <c r="A1" s="208"/>
      <c r="B1" s="230" t="s">
        <v>6</v>
      </c>
      <c r="C1" s="222"/>
      <c r="D1" s="222"/>
      <c r="E1" s="222"/>
      <c r="F1" s="208"/>
      <c r="G1" s="230" t="str">
        <f ca="1">IFERROR(__xludf.DUMMYFUNCTION("IFERROR(UNIQUE(FILTER(French!B:B,French!A:A=B1)))"),"Marketing numérique, marketing de contenu et stratégies marketing")</f>
        <v>Marketing numérique, marketing de contenu et stratégies marketing</v>
      </c>
      <c r="H1" s="222"/>
      <c r="I1" s="222"/>
      <c r="J1" s="222"/>
      <c r="K1" s="208"/>
      <c r="L1" s="230" t="str">
        <f ca="1">IFERROR(__xludf.DUMMYFUNCTION("IFERROR((UNIQUE(FILTER(Spanish!B:B,Spanish!A:A=B1))))"),"Marketing de contenidos, marketing digital y estrategias de marketing")</f>
        <v>Marketing de contenidos, marketing digital y estrategias de marketing</v>
      </c>
      <c r="M1" s="222"/>
      <c r="N1" s="222"/>
      <c r="O1" s="222"/>
      <c r="P1" s="208"/>
      <c r="Q1" s="230" t="str">
        <f ca="1">IFERROR(__xludf.DUMMYFUNCTION("IFERROR(UNIQUE(FILTER(German!B:B,German!A:A=B1)))"),"Content Marketing, Digitales Marketing und Marketing Strategien")</f>
        <v>Content Marketing, Digitales Marketing und Marketing Strategien</v>
      </c>
      <c r="R1" s="222"/>
      <c r="S1" s="222"/>
      <c r="T1" s="222"/>
      <c r="U1" s="208"/>
      <c r="V1" s="230" t="str">
        <f ca="1">IFERROR(__xludf.DUMMYFUNCTION("IFERROR(UNIQUE(FILTER(Japanese!B:B,Japanese!A:A=B1)))"),"コンテンツマーケティング、デジタルマーケティング、マーケティング戦略")</f>
        <v>コンテンツマーケティング、デジタルマーケティング、マーケティング戦略</v>
      </c>
      <c r="W1" s="222"/>
      <c r="X1" s="222"/>
      <c r="Y1" s="222"/>
      <c r="Z1" s="208"/>
      <c r="AA1" s="230" t="str">
        <f ca="1">IFERROR(__xludf.DUMMYFUNCTION("IFERROR(UNIQUE(FILTER(Portuguese!B:B,Portuguese!A:A=B1)))"),"Marketing de conteúdo, marketing digital e estratégias de marketing")</f>
        <v>Marketing de conteúdo, marketing digital e estratégias de marketing</v>
      </c>
      <c r="AB1" s="222"/>
      <c r="AC1" s="222"/>
      <c r="AD1" s="222"/>
      <c r="AE1" s="208"/>
      <c r="AF1" s="230" t="str">
        <f ca="1">IFERROR(__xludf.DUMMYFUNCTION("IFERROR(UNIQUE(FILTER(Mandarin!B:B,Mandarin!A:A=B1)))"),"内容营销、网络营销和营销策略")</f>
        <v>内容营销、网络营销和营销策略</v>
      </c>
      <c r="AG1" s="222"/>
      <c r="AH1" s="222"/>
      <c r="AI1" s="222"/>
      <c r="AJ1" s="208"/>
    </row>
    <row r="2" spans="1:36" ht="28" customHeight="1">
      <c r="A2" s="209"/>
      <c r="B2" s="234" t="s">
        <v>4713</v>
      </c>
      <c r="C2" s="222"/>
      <c r="D2" s="222"/>
      <c r="E2" s="222"/>
      <c r="F2" s="209"/>
      <c r="G2" s="231" t="s">
        <v>4714</v>
      </c>
      <c r="H2" s="222"/>
      <c r="I2" s="222"/>
      <c r="J2" s="222"/>
      <c r="K2" s="209"/>
      <c r="L2" s="235" t="s">
        <v>4715</v>
      </c>
      <c r="M2" s="222"/>
      <c r="N2" s="222"/>
      <c r="O2" s="222"/>
      <c r="P2" s="209"/>
      <c r="Q2" s="232" t="s">
        <v>4716</v>
      </c>
      <c r="R2" s="222"/>
      <c r="S2" s="222"/>
      <c r="T2" s="222"/>
      <c r="U2" s="209"/>
      <c r="V2" s="236" t="s">
        <v>4717</v>
      </c>
      <c r="W2" s="222"/>
      <c r="X2" s="222"/>
      <c r="Y2" s="222"/>
      <c r="Z2" s="209"/>
      <c r="AA2" s="233" t="s">
        <v>4718</v>
      </c>
      <c r="AB2" s="222"/>
      <c r="AC2" s="222"/>
      <c r="AD2" s="222"/>
      <c r="AE2" s="209"/>
      <c r="AF2" s="237" t="s">
        <v>4719</v>
      </c>
      <c r="AG2" s="222"/>
      <c r="AH2" s="222"/>
      <c r="AI2" s="222"/>
      <c r="AJ2" s="209"/>
    </row>
    <row r="3" spans="1:36" ht="26" customHeight="1">
      <c r="A3" s="210"/>
      <c r="B3" s="211" t="str">
        <f ca="1">IFERROR(__xludf.DUMMYFUNCTION("FILTER(English!B:B,English!A:A=B1)"),"Course IDs")</f>
        <v>Course IDs</v>
      </c>
      <c r="C3" s="211" t="str">
        <f ca="1">IFERROR(__xludf.DUMMYFUNCTION("FILTER(English!C:C,English!A:A=B1)"),"Levels")</f>
        <v>Levels</v>
      </c>
      <c r="D3" s="211" t="str">
        <f ca="1">IFERROR(__xludf.DUMMYFUNCTION("FILTER(English!D:D,English!A:A=B1)"),"Courses")</f>
        <v>Courses</v>
      </c>
      <c r="E3" s="212" t="str">
        <f ca="1">IFERROR(__xludf.DUMMYFUNCTION("FILTER(English!E:E,English!A:A=B1)"),"Learning Paths")</f>
        <v>Learning Paths</v>
      </c>
      <c r="F3" s="210"/>
      <c r="G3" s="211" t="str">
        <f ca="1">IFERROR(__xludf.DUMMYFUNCTION("FILTER(French!C:C,French!B:B=G1)"),"Course IDs")</f>
        <v>Course IDs</v>
      </c>
      <c r="H3" s="211" t="str">
        <f ca="1">IFERROR(__xludf.DUMMYFUNCTION("FILTER(French!D:D,French!B:B=G1)"),"Levels")</f>
        <v>Levels</v>
      </c>
      <c r="I3" s="211" t="str">
        <f ca="1">IFERROR(__xludf.DUMMYFUNCTION("FILTER(French!E:E,French!B:B=G1)"),"Courses")</f>
        <v>Courses</v>
      </c>
      <c r="J3" s="212" t="str">
        <f ca="1">IFERROR(__xludf.DUMMYFUNCTION("FILTER(French!G:G,French!B:B=G1)"),"Learning Paths")</f>
        <v>Learning Paths</v>
      </c>
      <c r="K3" s="210"/>
      <c r="L3" s="211" t="str">
        <f ca="1">IFERROR(__xludf.DUMMYFUNCTION("FILTER(Spanish!C:C,Spanish!B:B=L1)"),"Course IDs")</f>
        <v>Course IDs</v>
      </c>
      <c r="M3" s="211" t="str">
        <f ca="1">IFERROR(__xludf.DUMMYFUNCTION("FILTER(Spanish!D:D,Spanish!B:B=L1)"),"Levels")</f>
        <v>Levels</v>
      </c>
      <c r="N3" s="211" t="str">
        <f ca="1">IFERROR(__xludf.DUMMYFUNCTION("FILTER(Spanish!E:E,Spanish!B:B=L1)"),"Courses")</f>
        <v>Courses</v>
      </c>
      <c r="O3" s="212" t="str">
        <f ca="1">IFERROR(__xludf.DUMMYFUNCTION("FILTER(Spanish!G:G,Spanish!B:B=L1)"),"Learning Paths")</f>
        <v>Learning Paths</v>
      </c>
      <c r="P3" s="210"/>
      <c r="Q3" s="211" t="str">
        <f ca="1">IFERROR(__xludf.DUMMYFUNCTION("FILTER(German!C:C,German!B:B=Q1)"),"Course IDs")</f>
        <v>Course IDs</v>
      </c>
      <c r="R3" s="211" t="str">
        <f ca="1">IFERROR(__xludf.DUMMYFUNCTION("FILTER(German!D:D,German!B:B=Q1)"),"Levels")</f>
        <v>Levels</v>
      </c>
      <c r="S3" s="211" t="str">
        <f ca="1">IFERROR(__xludf.DUMMYFUNCTION("FILTER(German!E:E,German!B:B=Q1)"),"Courses")</f>
        <v>Courses</v>
      </c>
      <c r="T3" s="212" t="str">
        <f ca="1">IFERROR(__xludf.DUMMYFUNCTION("FILTER(German!G:G,German!B:B=Q1)"),"Learning Paths")</f>
        <v>Learning Paths</v>
      </c>
      <c r="U3" s="210"/>
      <c r="V3" s="211" t="str">
        <f ca="1">IFERROR(__xludf.DUMMYFUNCTION("FILTER(Japanese!C:C,Japanese!B:B=V1)"),"Course IDs")</f>
        <v>Course IDs</v>
      </c>
      <c r="W3" s="211" t="str">
        <f ca="1">IFERROR(__xludf.DUMMYFUNCTION("FILTER(Japanese!D:D,Japanese!B:B=V1)"),"Levels")</f>
        <v>Levels</v>
      </c>
      <c r="X3" s="211" t="str">
        <f ca="1">IFERROR(__xludf.DUMMYFUNCTION("FILTER(Japanese!E:E,Japanese!B:B=V1)"),"Courses")</f>
        <v>Courses</v>
      </c>
      <c r="Y3" s="212" t="str">
        <f ca="1">IFERROR(__xludf.DUMMYFUNCTION("FILTER(Japanese!G:G,Japanese!B:B=V1)"),"Learning Paths")</f>
        <v>Learning Paths</v>
      </c>
      <c r="Z3" s="210"/>
      <c r="AA3" s="211" t="str">
        <f ca="1">IFERROR(__xludf.DUMMYFUNCTION("FILTER(Portuguese!C:C,Portuguese!B:B=AA1)"),"Course IDs")</f>
        <v>Course IDs</v>
      </c>
      <c r="AB3" s="211" t="str">
        <f ca="1">IFERROR(__xludf.DUMMYFUNCTION("FILTER(Portuguese!D:D,Portuguese!B:B=AA1)"),"Levels")</f>
        <v>Levels</v>
      </c>
      <c r="AC3" s="211" t="str">
        <f ca="1">IFERROR(__xludf.DUMMYFUNCTION("FILTER(Portuguese!E:E,Portuguese!B:B=AA1)"),"Courses")</f>
        <v>Courses</v>
      </c>
      <c r="AD3" s="212" t="str">
        <f ca="1">IFERROR(__xludf.DUMMYFUNCTION("FILTER(Portuguese!G:G,Portuguese!B:B=AA1)"),"Learning Paths")</f>
        <v>Learning Paths</v>
      </c>
      <c r="AE3" s="210"/>
      <c r="AF3" s="211" t="str">
        <f ca="1">IFERROR(__xludf.DUMMYFUNCTION("FILTER(Mandarin!C:C,Mandarin!B:B=AF1)"),"Course IDs")</f>
        <v>Course IDs</v>
      </c>
      <c r="AG3" s="211" t="str">
        <f ca="1">IFERROR(__xludf.DUMMYFUNCTION("FILTER(Mandarin!D:D,Mandarin!B:B=AF1)"),"Levels")</f>
        <v>Levels</v>
      </c>
      <c r="AH3" s="211" t="str">
        <f ca="1">IFERROR(__xludf.DUMMYFUNCTION("FILTER(Mandarin!E:E,Mandarin!B:B=AF1)"),"Courses")</f>
        <v>Courses</v>
      </c>
      <c r="AI3" s="212" t="str">
        <f ca="1">IFERROR(__xludf.DUMMYFUNCTION("FILTER(Mandarin!G:G,Mandarin!B:B=AF1)"),"Learning Paths")</f>
        <v>Learning Paths</v>
      </c>
      <c r="AJ3" s="210"/>
    </row>
    <row r="4" spans="1:36" ht="33.75" customHeight="1">
      <c r="A4" s="213"/>
      <c r="B4" s="214">
        <f ca="1">IFERROR(__xludf.DUMMYFUNCTION("""COMPUTED_VALUE"""),2801190)</f>
        <v>2801190</v>
      </c>
      <c r="C4" s="215" t="str">
        <f ca="1">IFERROR(__xludf.DUMMYFUNCTION("""COMPUTED_VALUE"""),"Advanced")</f>
        <v>Advanced</v>
      </c>
      <c r="D4" s="216" t="str">
        <f ca="1">IFERROR(__xludf.DUMMYFUNCTION("""COMPUTED_VALUE"""),"Pricing Strategy: Value-Based Pricing")</f>
        <v>Pricing Strategy: Value-Based Pricing</v>
      </c>
      <c r="E4" s="217" t="str">
        <f ca="1">IFERROR(__xludf.DUMMYFUNCTION("""COMPUTED_VALUE"""),"Become an AMA Professional Certified Marketer in Digital Marketing")</f>
        <v>Become an AMA Professional Certified Marketer in Digital Marketing</v>
      </c>
      <c r="F4" s="213"/>
      <c r="G4" s="214">
        <f ca="1">IFERROR(__xludf.DUMMYFUNCTION("""COMPUTED_VALUE"""),2916804)</f>
        <v>2916804</v>
      </c>
      <c r="H4" s="215" t="str">
        <f ca="1">IFERROR(__xludf.DUMMYFUNCTION("""COMPUTED_VALUE"""),"Intermediate")</f>
        <v>Intermediate</v>
      </c>
      <c r="I4" s="217" t="str">
        <f ca="1">IFERROR(__xludf.DUMMYFUNCTION("""COMPUTED_VALUE"""),"Activer et concevoir sa stratégie média digitale")</f>
        <v>Activer et concevoir sa stratégie média digitale</v>
      </c>
      <c r="J4" s="217" t="str">
        <f ca="1">IFERROR(__xludf.DUMMYFUNCTION("""COMPUTED_VALUE"""),"Devenir un directeur du marketing")</f>
        <v>Devenir un directeur du marketing</v>
      </c>
      <c r="K4" s="213"/>
      <c r="L4" s="215">
        <f ca="1">IFERROR(__xludf.DUMMYFUNCTION("""COMPUTED_VALUE"""),751034)</f>
        <v>751034</v>
      </c>
      <c r="M4" s="215" t="str">
        <f ca="1">IFERROR(__xludf.DUMMYFUNCTION("""COMPUTED_VALUE"""),"All levels")</f>
        <v>All levels</v>
      </c>
      <c r="N4" s="217" t="str">
        <f ca="1">IFERROR(__xludf.DUMMYFUNCTION("""COMPUTED_VALUE"""),"Agile Marketing")</f>
        <v>Agile Marketing</v>
      </c>
      <c r="O4" s="217" t="str">
        <f ca="1">IFERROR(__xludf.DUMMYFUNCTION("""COMPUTED_VALUE"""),"Conviértete en experto SEO")</f>
        <v>Conviértete en experto SEO</v>
      </c>
      <c r="P4" s="213"/>
      <c r="Q4" s="215">
        <f ca="1">IFERROR(__xludf.DUMMYFUNCTION("""COMPUTED_VALUE"""),555784)</f>
        <v>555784</v>
      </c>
      <c r="R4" s="215" t="str">
        <f ca="1">IFERROR(__xludf.DUMMYFUNCTION("""COMPUTED_VALUE"""),"Beginner, Intermediate")</f>
        <v>Beginner, Intermediate</v>
      </c>
      <c r="S4" s="217" t="str">
        <f ca="1">IFERROR(__xludf.DUMMYFUNCTION("""COMPUTED_VALUE"""),"10-Minuten-Tipps: Neue Ideen für Ihr Marketing")</f>
        <v>10-Minuten-Tipps: Neue Ideen für Ihr Marketing</v>
      </c>
      <c r="T4" s="217" t="str">
        <f ca="1">IFERROR(__xludf.DUMMYFUNCTION("""COMPUTED_VALUE"""),"Online-Marketing-Expert:in werden")</f>
        <v>Online-Marketing-Expert:in werden</v>
      </c>
      <c r="U4" s="213"/>
      <c r="V4" s="215">
        <f ca="1">IFERROR(__xludf.DUMMYFUNCTION("""COMPUTED_VALUE"""),5022881)</f>
        <v>5022881</v>
      </c>
      <c r="W4" s="215" t="str">
        <f ca="1">IFERROR(__xludf.DUMMYFUNCTION("""COMPUTED_VALUE"""),"Beginner")</f>
        <v>Beginner</v>
      </c>
      <c r="X4" s="217" t="str">
        <f ca="1">IFERROR(__xludf.DUMMYFUNCTION("""COMPUTED_VALUE"""),"Facebook広告入門")</f>
        <v>Facebook広告入門</v>
      </c>
      <c r="Y4" s="217" t="str">
        <f ca="1">IFERROR(__xludf.DUMMYFUNCTION("""COMPUTED_VALUE"""),"ソーシャルメディア マーケターになる")</f>
        <v>ソーシャルメディア マーケターになる</v>
      </c>
      <c r="Z4" s="213"/>
      <c r="AA4" s="215">
        <f ca="1">IFERROR(__xludf.DUMMYFUNCTION("""COMPUTED_VALUE"""),2929565)</f>
        <v>2929565</v>
      </c>
      <c r="AB4" s="215" t="str">
        <f ca="1">IFERROR(__xludf.DUMMYFUNCTION("""COMPUTED_VALUE"""),"Beginner")</f>
        <v>Beginner</v>
      </c>
      <c r="AC4" s="217" t="str">
        <f ca="1">IFERROR(__xludf.DUMMYFUNCTION("""COMPUTED_VALUE"""),"Como Comunicar Más Notícias aos Clientes")</f>
        <v>Como Comunicar Más Notícias aos Clientes</v>
      </c>
      <c r="AD4" s="217" t="str">
        <f ca="1">IFERROR(__xludf.DUMMYFUNCTION("""COMPUTED_VALUE"""),"N/A")</f>
        <v>N/A</v>
      </c>
      <c r="AE4" s="213"/>
      <c r="AF4" s="215">
        <f ca="1">IFERROR(__xludf.DUMMYFUNCTION("""COMPUTED_VALUE"""),780076)</f>
        <v>780076</v>
      </c>
      <c r="AG4" s="215" t="str">
        <f ca="1">IFERROR(__xludf.DUMMYFUNCTION("""COMPUTED_VALUE"""),"All levels")</f>
        <v>All levels</v>
      </c>
      <c r="AH4" s="217" t="str">
        <f ca="1">IFERROR(__xludf.DUMMYFUNCTION("""COMPUTED_VALUE"""),"业务创新基础知识")</f>
        <v>业务创新基础知识</v>
      </c>
      <c r="AI4" s="217" t="str">
        <f ca="1">IFERROR(__xludf.DUMMYFUNCTION("""COMPUTED_VALUE"""),"N/A")</f>
        <v>N/A</v>
      </c>
      <c r="AJ4" s="213"/>
    </row>
    <row r="5" spans="1:36" ht="30">
      <c r="A5" s="213"/>
      <c r="B5" s="214">
        <f ca="1">IFERROR(__xludf.DUMMYFUNCTION("""COMPUTED_VALUE"""),693111)</f>
        <v>693111</v>
      </c>
      <c r="C5" s="215" t="str">
        <f ca="1">IFERROR(__xludf.DUMMYFUNCTION("""COMPUTED_VALUE"""),"Advanced")</f>
        <v>Advanced</v>
      </c>
      <c r="D5" s="216" t="str">
        <f ca="1">IFERROR(__xludf.DUMMYFUNCTION("""COMPUTED_VALUE"""),"CMO Foundations: Creating a Marketing Culture")</f>
        <v>CMO Foundations: Creating a Marketing Culture</v>
      </c>
      <c r="E5" s="217" t="str">
        <f ca="1">IFERROR(__xludf.DUMMYFUNCTION("""COMPUTED_VALUE"""),"Become a Content Strategist")</f>
        <v>Become a Content Strategist</v>
      </c>
      <c r="F5" s="213"/>
      <c r="G5" s="214">
        <f ca="1">IFERROR(__xludf.DUMMYFUNCTION("""COMPUTED_VALUE"""),2931352)</f>
        <v>2931352</v>
      </c>
      <c r="H5" s="215" t="str">
        <f ca="1">IFERROR(__xludf.DUMMYFUNCTION("""COMPUTED_VALUE"""),"Advanced")</f>
        <v>Advanced</v>
      </c>
      <c r="I5" s="217" t="str">
        <f ca="1">IFERROR(__xludf.DUMMYFUNCTION("""COMPUTED_VALUE"""),"Améliorer sa webperf")</f>
        <v>Améliorer sa webperf</v>
      </c>
      <c r="J5" s="217" t="str">
        <f ca="1">IFERROR(__xludf.DUMMYFUNCTION("""COMPUTED_VALUE"""),"Devenir un expert en stratégie de contenu")</f>
        <v>Devenir un expert en stratégie de contenu</v>
      </c>
      <c r="K5" s="213"/>
      <c r="L5" s="215">
        <f ca="1">IFERROR(__xludf.DUMMYFUNCTION("""COMPUTED_VALUE"""),646307)</f>
        <v>646307</v>
      </c>
      <c r="M5" s="215" t="str">
        <f ca="1">IFERROR(__xludf.DUMMYFUNCTION("""COMPUTED_VALUE"""),"Beginner")</f>
        <v>Beginner</v>
      </c>
      <c r="N5" s="217" t="str">
        <f ca="1">IFERROR(__xludf.DUMMYFUNCTION("""COMPUTED_VALUE"""),"Aprende copywriting para comercio electrónico")</f>
        <v>Aprende copywriting para comercio electrónico</v>
      </c>
      <c r="O5" s="217" t="str">
        <f ca="1">IFERROR(__xludf.DUMMYFUNCTION("""COMPUTED_VALUE"""),"Destaca en marketing digital en tiempos de transformación digital")</f>
        <v>Destaca en marketing digital en tiempos de transformación digital</v>
      </c>
      <c r="P5" s="213"/>
      <c r="Q5" s="215">
        <f ca="1">IFERROR(__xludf.DUMMYFUNCTION("""COMPUTED_VALUE"""),461383)</f>
        <v>461383</v>
      </c>
      <c r="R5" s="215" t="str">
        <f ca="1">IFERROR(__xludf.DUMMYFUNCTION("""COMPUTED_VALUE"""),"Beginner, Intermediate")</f>
        <v>Beginner, Intermediate</v>
      </c>
      <c r="S5" s="217" t="str">
        <f ca="1">IFERROR(__xludf.DUMMYFUNCTION("""COMPUTED_VALUE"""),"A/B-Testing – Grundlagen")</f>
        <v>A/B-Testing – Grundlagen</v>
      </c>
      <c r="T5" s="217" t="str">
        <f ca="1">IFERROR(__xludf.DUMMYFUNCTION("""COMPUTED_VALUE"""),"SEO-Expert:in werden")</f>
        <v>SEO-Expert:in werden</v>
      </c>
      <c r="U5" s="213"/>
      <c r="V5" s="215">
        <f ca="1">IFERROR(__xludf.DUMMYFUNCTION("""COMPUTED_VALUE"""),2920863)</f>
        <v>2920863</v>
      </c>
      <c r="W5" s="215" t="str">
        <f ca="1">IFERROR(__xludf.DUMMYFUNCTION("""COMPUTED_VALUE"""),"Beginner, Intermediate")</f>
        <v>Beginner, Intermediate</v>
      </c>
      <c r="X5" s="217" t="str">
        <f ca="1">IFERROR(__xludf.DUMMYFUNCTION("""COMPUTED_VALUE"""),"Google AdSense 基本講座")</f>
        <v>Google AdSense 基本講座</v>
      </c>
      <c r="Y5" s="217"/>
      <c r="Z5" s="213"/>
      <c r="AA5" s="215">
        <f ca="1">IFERROR(__xludf.DUMMYFUNCTION("""COMPUTED_VALUE"""),2928596)</f>
        <v>2928596</v>
      </c>
      <c r="AB5" s="215" t="str">
        <f ca="1">IFERROR(__xludf.DUMMYFUNCTION("""COMPUTED_VALUE"""),"All levels")</f>
        <v>All levels</v>
      </c>
      <c r="AC5" s="217" t="str">
        <f ca="1">IFERROR(__xludf.DUMMYFUNCTION("""COMPUTED_VALUE"""),"Competências Interpessoais para Profissionais de Vendas")</f>
        <v>Competências Interpessoais para Profissionais de Vendas</v>
      </c>
      <c r="AD5" s="217"/>
      <c r="AE5" s="213"/>
      <c r="AF5" s="215">
        <f ca="1">IFERROR(__xludf.DUMMYFUNCTION("""COMPUTED_VALUE"""),802146)</f>
        <v>802146</v>
      </c>
      <c r="AG5" s="215" t="str">
        <f ca="1">IFERROR(__xludf.DUMMYFUNCTION("""COMPUTED_VALUE"""),"All levels")</f>
        <v>All levels</v>
      </c>
      <c r="AH5" s="217" t="str">
        <f ca="1">IFERROR(__xludf.DUMMYFUNCTION("""COMPUTED_VALUE"""),"发展竞争策略")</f>
        <v>发展竞争策略</v>
      </c>
      <c r="AI5" s="217"/>
      <c r="AJ5" s="213"/>
    </row>
    <row r="6" spans="1:36" ht="45">
      <c r="A6" s="213"/>
      <c r="B6" s="214">
        <f ca="1">IFERROR(__xludf.DUMMYFUNCTION("""COMPUTED_VALUE"""),740417)</f>
        <v>740417</v>
      </c>
      <c r="C6" s="215" t="str">
        <f ca="1">IFERROR(__xludf.DUMMYFUNCTION("""COMPUTED_VALUE"""),"Beginner")</f>
        <v>Beginner</v>
      </c>
      <c r="D6" s="216" t="str">
        <f ca="1">IFERROR(__xludf.DUMMYFUNCTION("""COMPUTED_VALUE"""),"CMO Foundations: Measuring Marketing Effectiveness (ROI)")</f>
        <v>CMO Foundations: Measuring Marketing Effectiveness (ROI)</v>
      </c>
      <c r="E6" s="217" t="str">
        <f ca="1">IFERROR(__xludf.DUMMYFUNCTION("""COMPUTED_VALUE"""),"Become a Digital Advertising Specialist")</f>
        <v>Become a Digital Advertising Specialist</v>
      </c>
      <c r="F6" s="213"/>
      <c r="G6" s="214">
        <f ca="1">IFERROR(__xludf.DUMMYFUNCTION("""COMPUTED_VALUE"""),2823577)</f>
        <v>2823577</v>
      </c>
      <c r="H6" s="215" t="str">
        <f ca="1">IFERROR(__xludf.DUMMYFUNCTION("""COMPUTED_VALUE"""),"Advanced")</f>
        <v>Advanced</v>
      </c>
      <c r="I6" s="217" t="str">
        <f ca="1">IFERROR(__xludf.DUMMYFUNCTION("""COMPUTED_VALUE"""),"Construire une stratégie de link building")</f>
        <v>Construire une stratégie de link building</v>
      </c>
      <c r="J6" s="217" t="str">
        <f ca="1">IFERROR(__xludf.DUMMYFUNCTION("""COMPUTED_VALUE"""),"Devenir un responsable marketing numérique")</f>
        <v>Devenir un responsable marketing numérique</v>
      </c>
      <c r="K6" s="213"/>
      <c r="L6" s="215">
        <f ca="1">IFERROR(__xludf.DUMMYFUNCTION("""COMPUTED_VALUE"""),414560)</f>
        <v>414560</v>
      </c>
      <c r="M6" s="215" t="str">
        <f ca="1">IFERROR(__xludf.DUMMYFUNCTION("""COMPUTED_VALUE"""),"Beginner")</f>
        <v>Beginner</v>
      </c>
      <c r="N6" s="217" t="str">
        <f ca="1">IFERROR(__xludf.DUMMYFUNCTION("""COMPUTED_VALUE"""),"Aprende Facebook Ads")</f>
        <v>Aprende Facebook Ads</v>
      </c>
      <c r="O6" s="217" t="str">
        <f ca="1">IFERROR(__xludf.DUMMYFUNCTION("""COMPUTED_VALUE"""),"Conviértete en experto en marketing en social media")</f>
        <v>Conviértete en experto en marketing en social media</v>
      </c>
      <c r="P6" s="213"/>
      <c r="Q6" s="215">
        <f ca="1">IFERROR(__xludf.DUMMYFUNCTION("""COMPUTED_VALUE"""),2244317)</f>
        <v>2244317</v>
      </c>
      <c r="R6" s="215" t="str">
        <f ca="1">IFERROR(__xludf.DUMMYFUNCTION("""COMPUTED_VALUE"""),"Beginner, Intermediate")</f>
        <v>Beginner, Intermediate</v>
      </c>
      <c r="S6" s="217" t="str">
        <f ca="1">IFERROR(__xludf.DUMMYFUNCTION("""COMPUTED_VALUE"""),"Adobe Spark Post für Content Management")</f>
        <v>Adobe Spark Post für Content Management</v>
      </c>
      <c r="T6" s="217" t="str">
        <f ca="1">IFERROR(__xludf.DUMMYFUNCTION("""COMPUTED_VALUE"""),"Sich weiterentwickeln als Online-Marketing-Spezialist – Ideen, Tipps und Tricks für Fortgeschrittene")</f>
        <v>Sich weiterentwickeln als Online-Marketing-Spezialist – Ideen, Tipps und Tricks für Fortgeschrittene</v>
      </c>
      <c r="U6" s="213"/>
      <c r="V6" s="215">
        <f ca="1">IFERROR(__xludf.DUMMYFUNCTION("""COMPUTED_VALUE"""),2921846)</f>
        <v>2921846</v>
      </c>
      <c r="W6" s="215" t="str">
        <f ca="1">IFERROR(__xludf.DUMMYFUNCTION("""COMPUTED_VALUE"""),"Beginner, Intermediate")</f>
        <v>Beginner, Intermediate</v>
      </c>
      <c r="X6" s="217" t="str">
        <f ca="1">IFERROR(__xludf.DUMMYFUNCTION("""COMPUTED_VALUE"""),"Google Search Console 基本講座")</f>
        <v>Google Search Console 基本講座</v>
      </c>
      <c r="Y6" s="217"/>
      <c r="Z6" s="213"/>
      <c r="AA6" s="215">
        <f ca="1">IFERROR(__xludf.DUMMYFUNCTION("""COMPUTED_VALUE"""),753212)</f>
        <v>753212</v>
      </c>
      <c r="AB6" s="215" t="str">
        <f ca="1">IFERROR(__xludf.DUMMYFUNCTION("""COMPUTED_VALUE"""),"All levels")</f>
        <v>All levels</v>
      </c>
      <c r="AC6" s="217" t="str">
        <f ca="1">IFERROR(__xludf.DUMMYFUNCTION("""COMPUTED_VALUE"""),"Desenvolvimento da Estratégia Competitiva")</f>
        <v>Desenvolvimento da Estratégia Competitiva</v>
      </c>
      <c r="AD6" s="217"/>
      <c r="AE6" s="213"/>
      <c r="AF6" s="215">
        <f ca="1">IFERROR(__xludf.DUMMYFUNCTION("""COMPUTED_VALUE"""),3149067)</f>
        <v>3149067</v>
      </c>
      <c r="AG6" s="215" t="str">
        <f ca="1">IFERROR(__xludf.DUMMYFUNCTION("""COMPUTED_VALUE"""),"Beginner, Intermediate")</f>
        <v>Beginner, Intermediate</v>
      </c>
      <c r="AH6" s="217" t="str">
        <f ca="1">IFERROR(__xludf.DUMMYFUNCTION("""COMPUTED_VALUE"""),"数字营销基础知识")</f>
        <v>数字营销基础知识</v>
      </c>
      <c r="AI6" s="217"/>
      <c r="AJ6" s="213"/>
    </row>
    <row r="7" spans="1:36" ht="33.75" customHeight="1">
      <c r="A7" s="213"/>
      <c r="B7" s="214">
        <f ca="1">IFERROR(__xludf.DUMMYFUNCTION("""COMPUTED_VALUE"""),5015866)</f>
        <v>5015866</v>
      </c>
      <c r="C7" s="215" t="str">
        <f ca="1">IFERROR(__xludf.DUMMYFUNCTION("""COMPUTED_VALUE"""),"Intermediate")</f>
        <v>Intermediate</v>
      </c>
      <c r="D7" s="216" t="str">
        <f ca="1">IFERROR(__xludf.DUMMYFUNCTION("""COMPUTED_VALUE"""),"Blue Ocean Shift: Beyond Competing (Blinkist Summary)")</f>
        <v>Blue Ocean Shift: Beyond Competing (Blinkist Summary)</v>
      </c>
      <c r="E7" s="217" t="str">
        <f ca="1">IFERROR(__xludf.DUMMYFUNCTION("""COMPUTED_VALUE"""),"Become a Digital Marketing Specialist")</f>
        <v>Become a Digital Marketing Specialist</v>
      </c>
      <c r="F7" s="213"/>
      <c r="G7" s="214">
        <f ca="1">IFERROR(__xludf.DUMMYFUNCTION("""COMPUTED_VALUE"""),778423)</f>
        <v>778423</v>
      </c>
      <c r="H7" s="215" t="str">
        <f ca="1">IFERROR(__xludf.DUMMYFUNCTION("""COMPUTED_VALUE"""),"Intermediate")</f>
        <v>Intermediate</v>
      </c>
      <c r="I7" s="217" t="str">
        <f ca="1">IFERROR(__xludf.DUMMYFUNCTION("""COMPUTED_VALUE"""),"Construire une stratégie réseaux sociaux en 7 étapes")</f>
        <v>Construire une stratégie réseaux sociaux en 7 étapes</v>
      </c>
      <c r="J7" s="217" t="str">
        <f ca="1">IFERROR(__xludf.DUMMYFUNCTION("""COMPUTED_VALUE"""),"Devenir un spécialiste du marketing sur les médias sociaux")</f>
        <v>Devenir un spécialiste du marketing sur les médias sociaux</v>
      </c>
      <c r="K7" s="213"/>
      <c r="L7" s="215">
        <f ca="1">IFERROR(__xludf.DUMMYFUNCTION("""COMPUTED_VALUE"""),2820177)</f>
        <v>2820177</v>
      </c>
      <c r="M7" s="215" t="str">
        <f ca="1">IFERROR(__xludf.DUMMYFUNCTION("""COMPUTED_VALUE"""),"Beginner")</f>
        <v>Beginner</v>
      </c>
      <c r="N7" s="217" t="str">
        <f ca="1">IFERROR(__xludf.DUMMYFUNCTION("""COMPUTED_VALUE"""),"Aprende LinkedIn Sponsored InMail")</f>
        <v>Aprende LinkedIn Sponsored InMail</v>
      </c>
      <c r="O7" s="217"/>
      <c r="P7" s="213"/>
      <c r="Q7" s="215">
        <f ca="1">IFERROR(__xludf.DUMMYFUNCTION("""COMPUTED_VALUE"""),499766)</f>
        <v>499766</v>
      </c>
      <c r="R7" s="215" t="str">
        <f ca="1">IFERROR(__xludf.DUMMYFUNCTION("""COMPUTED_VALUE"""),"Beginner, Intermediate")</f>
        <v>Beginner, Intermediate</v>
      </c>
      <c r="S7" s="217" t="str">
        <f ca="1">IFERROR(__xludf.DUMMYFUNCTION("""COMPUTED_VALUE"""),"Branding und Markenmanagement – Grundlagen")</f>
        <v>Branding und Markenmanagement – Grundlagen</v>
      </c>
      <c r="T7" s="217" t="str">
        <f ca="1">IFERROR(__xludf.DUMMYFUNCTION("""COMPUTED_VALUE"""),"Social Media-Marketing-Expert:in werden")</f>
        <v>Social Media-Marketing-Expert:in werden</v>
      </c>
      <c r="U7" s="213"/>
      <c r="V7" s="215">
        <f ca="1">IFERROR(__xludf.DUMMYFUNCTION("""COMPUTED_VALUE"""),2400569)</f>
        <v>2400569</v>
      </c>
      <c r="W7" s="215" t="str">
        <f ca="1">IFERROR(__xludf.DUMMYFUNCTION("""COMPUTED_VALUE"""),"Beginner, Intermediate")</f>
        <v>Beginner, Intermediate</v>
      </c>
      <c r="X7" s="217" t="str">
        <f ca="1">IFERROR(__xludf.DUMMYFUNCTION("""COMPUTED_VALUE"""),"Google アナリティクス 基本講座")</f>
        <v>Google アナリティクス 基本講座</v>
      </c>
      <c r="Y7" s="217"/>
      <c r="Z7" s="213"/>
      <c r="AA7" s="215">
        <f ca="1">IFERROR(__xludf.DUMMYFUNCTION("""COMPUTED_VALUE"""),753078)</f>
        <v>753078</v>
      </c>
      <c r="AB7" s="215" t="str">
        <f ca="1">IFERROR(__xludf.DUMMYFUNCTION("""COMPUTED_VALUE"""),"All levels")</f>
        <v>All levels</v>
      </c>
      <c r="AC7" s="217" t="str">
        <f ca="1">IFERROR(__xludf.DUMMYFUNCTION("""COMPUTED_VALUE"""),"Fundamentos de Inovação Empresarial")</f>
        <v>Fundamentos de Inovação Empresarial</v>
      </c>
      <c r="AD7" s="217"/>
      <c r="AE7" s="213"/>
      <c r="AF7" s="215">
        <f ca="1">IFERROR(__xludf.DUMMYFUNCTION("""COMPUTED_VALUE"""),2822713)</f>
        <v>2822713</v>
      </c>
      <c r="AG7" s="215" t="str">
        <f ca="1">IFERROR(__xludf.DUMMYFUNCTION("""COMPUTED_VALUE"""),"Beginner")</f>
        <v>Beginner</v>
      </c>
      <c r="AH7" s="217" t="str">
        <f ca="1">IFERROR(__xludf.DUMMYFUNCTION("""COMPUTED_VALUE"""),"网络营销基础知识")</f>
        <v>网络营销基础知识</v>
      </c>
      <c r="AI7" s="217"/>
      <c r="AJ7" s="213"/>
    </row>
    <row r="8" spans="1:36" ht="33.75" customHeight="1">
      <c r="A8" s="213"/>
      <c r="B8" s="214">
        <f ca="1">IFERROR(__xludf.DUMMYFUNCTION("""COMPUTED_VALUE"""),2875267)</f>
        <v>2875267</v>
      </c>
      <c r="C8" s="215" t="str">
        <f ca="1">IFERROR(__xludf.DUMMYFUNCTION("""COMPUTED_VALUE"""),"Advanced")</f>
        <v>Advanced</v>
      </c>
      <c r="D8" s="216" t="str">
        <f ca="1">IFERROR(__xludf.DUMMYFUNCTION("""COMPUTED_VALUE"""),"Brand Leadership: Building Brand and Culture")</f>
        <v>Brand Leadership: Building Brand and Culture</v>
      </c>
      <c r="E8" s="217" t="str">
        <f ca="1">IFERROR(__xludf.DUMMYFUNCTION("""COMPUTED_VALUE"""),"Become a Digital Marketer")</f>
        <v>Become a Digital Marketer</v>
      </c>
      <c r="F8" s="213"/>
      <c r="G8" s="214">
        <f ca="1">IFERROR(__xludf.DUMMYFUNCTION("""COMPUTED_VALUE"""),2982072)</f>
        <v>2982072</v>
      </c>
      <c r="H8" s="215" t="str">
        <f ca="1">IFERROR(__xludf.DUMMYFUNCTION("""COMPUTED_VALUE"""),"Intermediate")</f>
        <v>Intermediate</v>
      </c>
      <c r="I8" s="217" t="str">
        <f ca="1">IFERROR(__xludf.DUMMYFUNCTION("""COMPUTED_VALUE"""),"Créer des campagnes marketing d'e-mailing")</f>
        <v>Créer des campagnes marketing d'e-mailing</v>
      </c>
      <c r="J8" s="217" t="str">
        <f ca="1">IFERROR(__xludf.DUMMYFUNCTION("""COMPUTED_VALUE"""),"Devenir un spécialiste du SEO")</f>
        <v>Devenir un spécialiste du SEO</v>
      </c>
      <c r="K8" s="213"/>
      <c r="L8" s="215">
        <f ca="1">IFERROR(__xludf.DUMMYFUNCTION("""COMPUTED_VALUE"""),501610)</f>
        <v>501610</v>
      </c>
      <c r="M8" s="215" t="str">
        <f ca="1">IFERROR(__xludf.DUMMYFUNCTION("""COMPUTED_VALUE"""),"Beginner")</f>
        <v>Beginner</v>
      </c>
      <c r="N8" s="217" t="str">
        <f ca="1">IFERROR(__xludf.DUMMYFUNCTION("""COMPUTED_VALUE"""),"Aprende LinkedIn Sponsored Updates")</f>
        <v>Aprende LinkedIn Sponsored Updates</v>
      </c>
      <c r="O8" s="217"/>
      <c r="P8" s="213"/>
      <c r="Q8" s="215">
        <f ca="1">IFERROR(__xludf.DUMMYFUNCTION("""COMPUTED_VALUE"""),388455)</f>
        <v>388455</v>
      </c>
      <c r="R8" s="215" t="str">
        <f ca="1">IFERROR(__xludf.DUMMYFUNCTION("""COMPUTED_VALUE"""),"All levels")</f>
        <v>All levels</v>
      </c>
      <c r="S8" s="217" t="str">
        <f ca="1">IFERROR(__xludf.DUMMYFUNCTION("""COMPUTED_VALUE"""),"C.C. Chapman: Content Marketing und die Kunst des Storytelling")</f>
        <v>C.C. Chapman: Content Marketing und die Kunst des Storytelling</v>
      </c>
      <c r="T8" s="217"/>
      <c r="U8" s="213"/>
      <c r="V8" s="215">
        <f ca="1">IFERROR(__xludf.DUMMYFUNCTION("""COMPUTED_VALUE"""),2921847)</f>
        <v>2921847</v>
      </c>
      <c r="W8" s="215" t="str">
        <f ca="1">IFERROR(__xludf.DUMMYFUNCTION("""COMPUTED_VALUE"""),"Intermediate")</f>
        <v>Intermediate</v>
      </c>
      <c r="X8" s="217" t="str">
        <f ca="1">IFERROR(__xludf.DUMMYFUNCTION("""COMPUTED_VALUE"""),"Google アナリティクス 応用講座")</f>
        <v>Google アナリティクス 応用講座</v>
      </c>
      <c r="Y8" s="217"/>
      <c r="Z8" s="213"/>
      <c r="AA8" s="215">
        <f ca="1">IFERROR(__xludf.DUMMYFUNCTION("""COMPUTED_VALUE"""),3161813)</f>
        <v>3161813</v>
      </c>
      <c r="AB8" s="215" t="str">
        <f ca="1">IFERROR(__xludf.DUMMYFUNCTION("""COMPUTED_VALUE"""),"Beginner")</f>
        <v>Beginner</v>
      </c>
      <c r="AC8" s="217" t="str">
        <f ca="1">IFERROR(__xludf.DUMMYFUNCTION("""COMPUTED_VALUE"""),"Fundamentos de Marketing de Mídias Sociais")</f>
        <v>Fundamentos de Marketing de Mídias Sociais</v>
      </c>
      <c r="AD8" s="217"/>
      <c r="AE8" s="213"/>
      <c r="AF8" s="215"/>
      <c r="AG8" s="215"/>
      <c r="AH8" s="217"/>
      <c r="AI8" s="217"/>
      <c r="AJ8" s="213"/>
    </row>
    <row r="9" spans="1:36" ht="33.75" customHeight="1">
      <c r="A9" s="213"/>
      <c r="B9" s="214">
        <f ca="1">IFERROR(__xludf.DUMMYFUNCTION("""COMPUTED_VALUE"""),447322)</f>
        <v>447322</v>
      </c>
      <c r="C9" s="215" t="str">
        <f ca="1">IFERROR(__xludf.DUMMYFUNCTION("""COMPUTED_VALUE"""),"Intermediate")</f>
        <v>Intermediate</v>
      </c>
      <c r="D9" s="216" t="str">
        <f ca="1">IFERROR(__xludf.DUMMYFUNCTION("""COMPUTED_VALUE"""),"Leading a Marketing Team")</f>
        <v>Leading a Marketing Team</v>
      </c>
      <c r="E9" s="217" t="str">
        <f ca="1">IFERROR(__xludf.DUMMYFUNCTION("""COMPUTED_VALUE"""),"Become a Marketing Coordinator")</f>
        <v>Become a Marketing Coordinator</v>
      </c>
      <c r="F9" s="213"/>
      <c r="G9" s="214">
        <f ca="1">IFERROR(__xludf.DUMMYFUNCTION("""COMPUTED_VALUE"""),752393)</f>
        <v>752393</v>
      </c>
      <c r="H9" s="215" t="str">
        <f ca="1">IFERROR(__xludf.DUMMYFUNCTION("""COMPUTED_VALUE"""),"Intermediate")</f>
        <v>Intermediate</v>
      </c>
      <c r="I9" s="217" t="str">
        <f ca="1">IFERROR(__xludf.DUMMYFUNCTION("""COMPUTED_VALUE"""),"Créer un plan de marketing intégré en ligne")</f>
        <v>Créer un plan de marketing intégré en ligne</v>
      </c>
      <c r="J9" s="217" t="str">
        <f ca="1">IFERROR(__xludf.DUMMYFUNCTION("""COMPUTED_VALUE"""),"Devenir un marketeur de contenu")</f>
        <v>Devenir un marketeur de contenu</v>
      </c>
      <c r="K9" s="213"/>
      <c r="L9" s="215">
        <f ca="1">IFERROR(__xludf.DUMMYFUNCTION("""COMPUTED_VALUE"""),2842004)</f>
        <v>2842004</v>
      </c>
      <c r="M9" s="215" t="str">
        <f ca="1">IFERROR(__xludf.DUMMYFUNCTION("""COMPUTED_VALUE"""),"All levels")</f>
        <v>All levels</v>
      </c>
      <c r="N9" s="217" t="str">
        <f ca="1">IFERROR(__xludf.DUMMYFUNCTION("""COMPUTED_VALUE"""),"Aprende Mailchimp")</f>
        <v>Aprende Mailchimp</v>
      </c>
      <c r="O9" s="217"/>
      <c r="P9" s="213"/>
      <c r="Q9" s="215">
        <f ca="1">IFERROR(__xludf.DUMMYFUNCTION("""COMPUTED_VALUE"""),2919875)</f>
        <v>2919875</v>
      </c>
      <c r="R9" s="215" t="str">
        <f ca="1">IFERROR(__xludf.DUMMYFUNCTION("""COMPUTED_VALUE"""),"Beginner")</f>
        <v>Beginner</v>
      </c>
      <c r="S9" s="217" t="str">
        <f ca="1">IFERROR(__xludf.DUMMYFUNCTION("""COMPUTED_VALUE"""),"Chatbots: Anwendungsfelder und Konzeption")</f>
        <v>Chatbots: Anwendungsfelder und Konzeption</v>
      </c>
      <c r="T9" s="217"/>
      <c r="U9" s="213"/>
      <c r="V9" s="215">
        <f ca="1">IFERROR(__xludf.DUMMYFUNCTION("""COMPUTED_VALUE"""),2402267)</f>
        <v>2402267</v>
      </c>
      <c r="W9" s="215" t="str">
        <f ca="1">IFERROR(__xludf.DUMMYFUNCTION("""COMPUTED_VALUE"""),"Beginner")</f>
        <v>Beginner</v>
      </c>
      <c r="X9" s="217" t="str">
        <f ca="1">IFERROR(__xludf.DUMMYFUNCTION("""COMPUTED_VALUE"""),"Google 広告入門")</f>
        <v>Google 広告入門</v>
      </c>
      <c r="Y9" s="217"/>
      <c r="Z9" s="213"/>
      <c r="AA9" s="215">
        <f ca="1">IFERROR(__xludf.DUMMYFUNCTION("""COMPUTED_VALUE"""),3163721)</f>
        <v>3163721</v>
      </c>
      <c r="AB9" s="215" t="str">
        <f ca="1">IFERROR(__xludf.DUMMYFUNCTION("""COMPUTED_VALUE"""),"Beginner")</f>
        <v>Beginner</v>
      </c>
      <c r="AC9" s="217" t="str">
        <f ca="1">IFERROR(__xludf.DUMMYFUNCTION("""COMPUTED_VALUE"""),"Fundamentos do Funil de Marketing")</f>
        <v>Fundamentos do Funil de Marketing</v>
      </c>
      <c r="AD9" s="217"/>
      <c r="AE9" s="213"/>
      <c r="AF9" s="215"/>
      <c r="AG9" s="215"/>
      <c r="AH9" s="217"/>
      <c r="AI9" s="217"/>
      <c r="AJ9" s="213"/>
    </row>
    <row r="10" spans="1:36" ht="33.75" customHeight="1">
      <c r="A10" s="213"/>
      <c r="B10" s="214">
        <f ca="1">IFERROR(__xludf.DUMMYFUNCTION("""COMPUTED_VALUE"""),2838174)</f>
        <v>2838174</v>
      </c>
      <c r="C10" s="215" t="str">
        <f ca="1">IFERROR(__xludf.DUMMYFUNCTION("""COMPUTED_VALUE"""),"Advanced")</f>
        <v>Advanced</v>
      </c>
      <c r="D10" s="216" t="str">
        <f ca="1">IFERROR(__xludf.DUMMYFUNCTION("""COMPUTED_VALUE"""),"SEO: Link Building")</f>
        <v>SEO: Link Building</v>
      </c>
      <c r="E10" s="217" t="str">
        <f ca="1">IFERROR(__xludf.DUMMYFUNCTION("""COMPUTED_VALUE"""),"Become a Marketing Specialist")</f>
        <v>Become a Marketing Specialist</v>
      </c>
      <c r="F10" s="213"/>
      <c r="G10" s="214">
        <f ca="1">IFERROR(__xludf.DUMMYFUNCTION("""COMPUTED_VALUE"""),2381484)</f>
        <v>2381484</v>
      </c>
      <c r="H10" s="215" t="str">
        <f ca="1">IFERROR(__xludf.DUMMYFUNCTION("""COMPUTED_VALUE"""),"All levels")</f>
        <v>All levels</v>
      </c>
      <c r="I10" s="217" t="str">
        <f ca="1">IFERROR(__xludf.DUMMYFUNCTION("""COMPUTED_VALUE"""),"Créer un profil LinkedIn efficace")</f>
        <v>Créer un profil LinkedIn efficace</v>
      </c>
      <c r="J10" s="217" t="str">
        <f ca="1">IFERROR(__xludf.DUMMYFUNCTION("""COMPUTED_VALUE"""),"Devenir un chef du marketing en ligne")</f>
        <v>Devenir un chef du marketing en ligne</v>
      </c>
      <c r="K10" s="213"/>
      <c r="L10" s="215">
        <f ca="1">IFERROR(__xludf.DUMMYFUNCTION("""COMPUTED_VALUE"""),559598)</f>
        <v>559598</v>
      </c>
      <c r="M10" s="215" t="str">
        <f ca="1">IFERROR(__xludf.DUMMYFUNCTION("""COMPUTED_VALUE"""),"Intermediate")</f>
        <v>Intermediate</v>
      </c>
      <c r="N10" s="217" t="str">
        <f ca="1">IFERROR(__xludf.DUMMYFUNCTION("""COMPUTED_VALUE"""),"Auditorías SEO")</f>
        <v>Auditorías SEO</v>
      </c>
      <c r="O10" s="217"/>
      <c r="P10" s="213"/>
      <c r="Q10" s="215">
        <f ca="1">IFERROR(__xludf.DUMMYFUNCTION("""COMPUTED_VALUE"""),2841292)</f>
        <v>2841292</v>
      </c>
      <c r="R10" s="215" t="str">
        <f ca="1">IFERROR(__xludf.DUMMYFUNCTION("""COMPUTED_VALUE"""),"Beginner")</f>
        <v>Beginner</v>
      </c>
      <c r="S10" s="217" t="str">
        <f ca="1">IFERROR(__xludf.DUMMYFUNCTION("""COMPUTED_VALUE"""),"Content Creation für Social Media in 10 Minuten")</f>
        <v>Content Creation für Social Media in 10 Minuten</v>
      </c>
      <c r="T10" s="217"/>
      <c r="U10" s="213"/>
      <c r="V10" s="215">
        <f ca="1">IFERROR(__xludf.DUMMYFUNCTION("""COMPUTED_VALUE"""),3007213)</f>
        <v>3007213</v>
      </c>
      <c r="W10" s="215" t="str">
        <f ca="1">IFERROR(__xludf.DUMMYFUNCTION("""COMPUTED_VALUE"""),"Beginner")</f>
        <v>Beginner</v>
      </c>
      <c r="X10" s="217" t="str">
        <f ca="1">IFERROR(__xludf.DUMMYFUNCTION("""COMPUTED_VALUE"""),"LINE 広告入門")</f>
        <v>LINE 広告入門</v>
      </c>
      <c r="Y10" s="217"/>
      <c r="Z10" s="213"/>
      <c r="AA10" s="215">
        <f ca="1">IFERROR(__xludf.DUMMYFUNCTION("""COMPUTED_VALUE"""),3158980)</f>
        <v>3158980</v>
      </c>
      <c r="AB10" s="215" t="str">
        <f ca="1">IFERROR(__xludf.DUMMYFUNCTION("""COMPUTED_VALUE"""),"Intermediate")</f>
        <v>Intermediate</v>
      </c>
      <c r="AC10" s="217" t="str">
        <f ca="1">IFERROR(__xludf.DUMMYFUNCTION("""COMPUTED_VALUE"""),"Tendências de Marketing nas Mídias Sociais para Impulsionar as Vendas em sua Empresa")</f>
        <v>Tendências de Marketing nas Mídias Sociais para Impulsionar as Vendas em sua Empresa</v>
      </c>
      <c r="AD10" s="217"/>
      <c r="AE10" s="213"/>
      <c r="AF10" s="215"/>
      <c r="AG10" s="215"/>
      <c r="AH10" s="217"/>
      <c r="AI10" s="217"/>
      <c r="AJ10" s="213"/>
    </row>
    <row r="11" spans="1:36" ht="33.75" customHeight="1">
      <c r="A11" s="213"/>
      <c r="B11" s="214">
        <f ca="1">IFERROR(__xludf.DUMMYFUNCTION("""COMPUTED_VALUE"""),2878185)</f>
        <v>2878185</v>
      </c>
      <c r="C11" s="215" t="str">
        <f ca="1">IFERROR(__xludf.DUMMYFUNCTION("""COMPUTED_VALUE"""),"Beginner")</f>
        <v>Beginner</v>
      </c>
      <c r="D11" s="216" t="str">
        <f ca="1">IFERROR(__xludf.DUMMYFUNCTION("""COMPUTED_VALUE"""),"Marketing Tools: Growth Marketing")</f>
        <v>Marketing Tools: Growth Marketing</v>
      </c>
      <c r="E11" s="217" t="str">
        <f ca="1">IFERROR(__xludf.DUMMYFUNCTION("""COMPUTED_VALUE"""),"Become an Online Marketing Manager")</f>
        <v>Become an Online Marketing Manager</v>
      </c>
      <c r="F11" s="213"/>
      <c r="G11" s="214">
        <f ca="1">IFERROR(__xludf.DUMMYFUNCTION("""COMPUTED_VALUE"""),611521)</f>
        <v>611521</v>
      </c>
      <c r="H11" s="215" t="str">
        <f ca="1">IFERROR(__xludf.DUMMYFUNCTION("""COMPUTED_VALUE"""),"Intermediate")</f>
        <v>Intermediate</v>
      </c>
      <c r="I11" s="217" t="str">
        <f ca="1">IFERROR(__xludf.DUMMYFUNCTION("""COMPUTED_VALUE"""),"Découvrir les outils du référencement")</f>
        <v>Découvrir les outils du référencement</v>
      </c>
      <c r="J11" s="217"/>
      <c r="K11" s="213"/>
      <c r="L11" s="215">
        <f ca="1">IFERROR(__xludf.DUMMYFUNCTION("""COMPUTED_VALUE"""),561166)</f>
        <v>561166</v>
      </c>
      <c r="M11" s="215" t="str">
        <f ca="1">IFERROR(__xludf.DUMMYFUNCTION("""COMPUTED_VALUE"""),"Beginner, Intermediate")</f>
        <v>Beginner, Intermediate</v>
      </c>
      <c r="N11" s="217" t="str">
        <f ca="1">IFERROR(__xludf.DUMMYFUNCTION("""COMPUTED_VALUE"""),"Bing Ads esencial")</f>
        <v>Bing Ads esencial</v>
      </c>
      <c r="O11" s="217"/>
      <c r="P11" s="213"/>
      <c r="Q11" s="215">
        <f ca="1">IFERROR(__xludf.DUMMYFUNCTION("""COMPUTED_VALUE"""),2244318)</f>
        <v>2244318</v>
      </c>
      <c r="R11" s="215" t="str">
        <f ca="1">IFERROR(__xludf.DUMMYFUNCTION("""COMPUTED_VALUE"""),"Intermediate")</f>
        <v>Intermediate</v>
      </c>
      <c r="S11" s="217" t="str">
        <f ca="1">IFERROR(__xludf.DUMMYFUNCTION("""COMPUTED_VALUE"""),"Content First Publishing")</f>
        <v>Content First Publishing</v>
      </c>
      <c r="T11" s="217"/>
      <c r="U11" s="213"/>
      <c r="V11" s="215">
        <f ca="1">IFERROR(__xludf.DUMMYFUNCTION("""COMPUTED_VALUE"""),790603)</f>
        <v>790603</v>
      </c>
      <c r="W11" s="215" t="str">
        <f ca="1">IFERROR(__xludf.DUMMYFUNCTION("""COMPUTED_VALUE"""),"All levels")</f>
        <v>All levels</v>
      </c>
      <c r="X11" s="217" t="str">
        <f ca="1">IFERROR(__xludf.DUMMYFUNCTION("""COMPUTED_VALUE"""),"LinkedIn スポンサード InMail 入門")</f>
        <v>LinkedIn スポンサード InMail 入門</v>
      </c>
      <c r="Y11" s="217"/>
      <c r="Z11" s="213"/>
      <c r="AA11" s="215"/>
      <c r="AB11" s="215"/>
      <c r="AC11" s="217"/>
      <c r="AD11" s="217"/>
      <c r="AE11" s="213"/>
      <c r="AF11" s="215"/>
      <c r="AG11" s="215"/>
      <c r="AH11" s="217"/>
      <c r="AI11" s="217"/>
      <c r="AJ11" s="213"/>
    </row>
    <row r="12" spans="1:36" ht="33.75" customHeight="1">
      <c r="A12" s="213"/>
      <c r="B12" s="214">
        <f ca="1">IFERROR(__xludf.DUMMYFUNCTION("""COMPUTED_VALUE"""),3129485)</f>
        <v>3129485</v>
      </c>
      <c r="C12" s="215" t="str">
        <f ca="1">IFERROR(__xludf.DUMMYFUNCTION("""COMPUTED_VALUE"""),"Beginner")</f>
        <v>Beginner</v>
      </c>
      <c r="D12" s="216" t="str">
        <f ca="1">IFERROR(__xludf.DUMMYFUNCTION("""COMPUTED_VALUE"""),"Social Media Marketing Tips")</f>
        <v>Social Media Marketing Tips</v>
      </c>
      <c r="E12" s="217" t="str">
        <f ca="1">IFERROR(__xludf.DUMMYFUNCTION("""COMPUTED_VALUE"""),"Become a Public Relations Specialist")</f>
        <v>Become a Public Relations Specialist</v>
      </c>
      <c r="F12" s="213"/>
      <c r="G12" s="214">
        <f ca="1">IFERROR(__xludf.DUMMYFUNCTION("""COMPUTED_VALUE"""),778435)</f>
        <v>778435</v>
      </c>
      <c r="H12" s="215" t="str">
        <f ca="1">IFERROR(__xludf.DUMMYFUNCTION("""COMPUTED_VALUE"""),"Intermediate")</f>
        <v>Intermediate</v>
      </c>
      <c r="I12" s="217" t="str">
        <f ca="1">IFERROR(__xludf.DUMMYFUNCTION("""COMPUTED_VALUE"""),"Diriger une équipe marketing")</f>
        <v>Diriger une équipe marketing</v>
      </c>
      <c r="J12" s="217"/>
      <c r="K12" s="213"/>
      <c r="L12" s="215">
        <f ca="1">IFERROR(__xludf.DUMMYFUNCTION("""COMPUTED_VALUE"""),404003)</f>
        <v>404003</v>
      </c>
      <c r="M12" s="215" t="str">
        <f ca="1">IFERROR(__xludf.DUMMYFUNCTION("""COMPUTED_VALUE"""),"All levels")</f>
        <v>All levels</v>
      </c>
      <c r="N12" s="217" t="str">
        <f ca="1">IFERROR(__xludf.DUMMYFUNCTION("""COMPUTED_VALUE"""),"C.C. Chapman, creador de marketing de contenido")</f>
        <v>C.C. Chapman, creador de marketing de contenido</v>
      </c>
      <c r="O12" s="217"/>
      <c r="P12" s="213"/>
      <c r="Q12" s="215">
        <f ca="1">IFERROR(__xludf.DUMMYFUNCTION("""COMPUTED_VALUE"""),575043)</f>
        <v>575043</v>
      </c>
      <c r="R12" s="215" t="str">
        <f ca="1">IFERROR(__xludf.DUMMYFUNCTION("""COMPUTED_VALUE"""),"Beginner")</f>
        <v>Beginner</v>
      </c>
      <c r="S12" s="217" t="str">
        <f ca="1">IFERROR(__xludf.DUMMYFUNCTION("""COMPUTED_VALUE"""),"Content-Marketing – Grundlagen")</f>
        <v>Content-Marketing – Grundlagen</v>
      </c>
      <c r="T12" s="217"/>
      <c r="U12" s="213"/>
      <c r="V12" s="215">
        <f ca="1">IFERROR(__xludf.DUMMYFUNCTION("""COMPUTED_VALUE"""),2920862)</f>
        <v>2920862</v>
      </c>
      <c r="W12" s="215" t="str">
        <f ca="1">IFERROR(__xludf.DUMMYFUNCTION("""COMPUTED_VALUE"""),"Beginner")</f>
        <v>Beginner</v>
      </c>
      <c r="X12" s="217" t="str">
        <f ca="1">IFERROR(__xludf.DUMMYFUNCTION("""COMPUTED_VALUE"""),"SEOツールの基礎")</f>
        <v>SEOツールの基礎</v>
      </c>
      <c r="Y12" s="217"/>
      <c r="Z12" s="213"/>
      <c r="AA12" s="215"/>
      <c r="AB12" s="215"/>
      <c r="AC12" s="217"/>
      <c r="AD12" s="217"/>
      <c r="AE12" s="213"/>
      <c r="AF12" s="215"/>
      <c r="AG12" s="215"/>
      <c r="AH12" s="217"/>
      <c r="AI12" s="217"/>
      <c r="AJ12" s="213"/>
    </row>
    <row r="13" spans="1:36" ht="33.75" customHeight="1">
      <c r="A13" s="213"/>
      <c r="B13" s="214">
        <f ca="1">IFERROR(__xludf.DUMMYFUNCTION("""COMPUTED_VALUE"""),2841521)</f>
        <v>2841521</v>
      </c>
      <c r="C13" s="215" t="str">
        <f ca="1">IFERROR(__xludf.DUMMYFUNCTION("""COMPUTED_VALUE"""),"Beginner")</f>
        <v>Beginner</v>
      </c>
      <c r="D13" s="216" t="str">
        <f ca="1">IFERROR(__xludf.DUMMYFUNCTION("""COMPUTED_VALUE"""),"Job Interview Tips for Marketing Managers")</f>
        <v>Job Interview Tips for Marketing Managers</v>
      </c>
      <c r="E13" s="217" t="str">
        <f ca="1">IFERROR(__xludf.DUMMYFUNCTION("""COMPUTED_VALUE"""),"Become a Social Media Advertising Specialist")</f>
        <v>Become a Social Media Advertising Specialist</v>
      </c>
      <c r="F13" s="213"/>
      <c r="G13" s="214">
        <f ca="1">IFERROR(__xludf.DUMMYFUNCTION("""COMPUTED_VALUE"""),697602)</f>
        <v>697602</v>
      </c>
      <c r="H13" s="215" t="str">
        <f ca="1">IFERROR(__xludf.DUMMYFUNCTION("""COMPUTED_VALUE"""),"Intermediate")</f>
        <v>Intermediate</v>
      </c>
      <c r="I13" s="217" t="str">
        <f ca="1">IFERROR(__xludf.DUMMYFUNCTION("""COMPUTED_VALUE"""),"Exploiter les leviers du web marketing pour booster son activité")</f>
        <v>Exploiter les leviers du web marketing pour booster son activité</v>
      </c>
      <c r="J13" s="217"/>
      <c r="K13" s="213"/>
      <c r="L13" s="215">
        <f ca="1">IFERROR(__xludf.DUMMYFUNCTION("""COMPUTED_VALUE"""),2922330)</f>
        <v>2922330</v>
      </c>
      <c r="M13" s="215" t="str">
        <f ca="1">IFERROR(__xludf.DUMMYFUNCTION("""COMPUTED_VALUE"""),"Intermediate")</f>
        <v>Intermediate</v>
      </c>
      <c r="N13" s="217" t="str">
        <f ca="1">IFERROR(__xludf.DUMMYFUNCTION("""COMPUTED_VALUE"""),"Cómo construir tu propio conjunto de tecnologías de marketing")</f>
        <v>Cómo construir tu propio conjunto de tecnologías de marketing</v>
      </c>
      <c r="O13" s="217"/>
      <c r="P13" s="213"/>
      <c r="Q13" s="215">
        <f ca="1">IFERROR(__xludf.DUMMYFUNCTION("""COMPUTED_VALUE"""),2919496)</f>
        <v>2919496</v>
      </c>
      <c r="R13" s="215" t="str">
        <f ca="1">IFERROR(__xludf.DUMMYFUNCTION("""COMPUTED_VALUE"""),"Beginner, Intermediate")</f>
        <v>Beginner, Intermediate</v>
      </c>
      <c r="S13" s="217" t="str">
        <f ca="1">IFERROR(__xludf.DUMMYFUNCTION("""COMPUTED_VALUE"""),"Corporate Blogs – Grundlagen")</f>
        <v>Corporate Blogs – Grundlagen</v>
      </c>
      <c r="T13" s="217"/>
      <c r="U13" s="213"/>
      <c r="V13" s="215">
        <f ca="1">IFERROR(__xludf.DUMMYFUNCTION("""COMPUTED_VALUE"""),617291)</f>
        <v>617291</v>
      </c>
      <c r="W13" s="215" t="str">
        <f ca="1">IFERROR(__xludf.DUMMYFUNCTION("""COMPUTED_VALUE"""),"Beginner")</f>
        <v>Beginner</v>
      </c>
      <c r="X13" s="217" t="str">
        <f ca="1">IFERROR(__xludf.DUMMYFUNCTION("""COMPUTED_VALUE"""),"SEOの基礎")</f>
        <v>SEOの基礎</v>
      </c>
      <c r="Y13" s="217"/>
      <c r="Z13" s="213"/>
      <c r="AA13" s="215"/>
      <c r="AB13" s="215"/>
      <c r="AC13" s="217"/>
      <c r="AD13" s="217"/>
      <c r="AE13" s="213"/>
      <c r="AF13" s="215"/>
      <c r="AG13" s="215"/>
      <c r="AH13" s="217"/>
      <c r="AI13" s="217"/>
      <c r="AJ13" s="213"/>
    </row>
    <row r="14" spans="1:36" ht="33.75" customHeight="1">
      <c r="A14" s="213"/>
      <c r="B14" s="214">
        <f ca="1">IFERROR(__xludf.DUMMYFUNCTION("""COMPUTED_VALUE"""),2876205)</f>
        <v>2876205</v>
      </c>
      <c r="C14" s="215" t="str">
        <f ca="1">IFERROR(__xludf.DUMMYFUNCTION("""COMPUTED_VALUE"""),"Beginner")</f>
        <v>Beginner</v>
      </c>
      <c r="D14" s="216" t="str">
        <f ca="1">IFERROR(__xludf.DUMMYFUNCTION("""COMPUTED_VALUE"""),"Advertising on LinkedIn")</f>
        <v>Advertising on LinkedIn</v>
      </c>
      <c r="E14" s="217" t="str">
        <f ca="1">IFERROR(__xludf.DUMMYFUNCTION("""COMPUTED_VALUE"""),"Become a Social Media Marketer")</f>
        <v>Become a Social Media Marketer</v>
      </c>
      <c r="F14" s="213"/>
      <c r="G14" s="214">
        <f ca="1">IFERROR(__xludf.DUMMYFUNCTION("""COMPUTED_VALUE"""),543592)</f>
        <v>543592</v>
      </c>
      <c r="H14" s="215" t="str">
        <f ca="1">IFERROR(__xludf.DUMMYFUNCTION("""COMPUTED_VALUE"""),"Intermediate")</f>
        <v>Intermediate</v>
      </c>
      <c r="I14" s="217" t="str">
        <f ca="1">IFERROR(__xludf.DUMMYFUNCTION("""COMPUTED_VALUE"""),"Gérer la communication marketing intégrée en ligne")</f>
        <v>Gérer la communication marketing intégrée en ligne</v>
      </c>
      <c r="J14" s="217"/>
      <c r="K14" s="213"/>
      <c r="L14" s="215">
        <f ca="1">IFERROR(__xludf.DUMMYFUNCTION("""COMPUTED_VALUE"""),3115628)</f>
        <v>3115628</v>
      </c>
      <c r="M14" s="215" t="str">
        <f ca="1">IFERROR(__xludf.DUMMYFUNCTION("""COMPUTED_VALUE"""),"Beginner, Intermediate")</f>
        <v>Beginner, Intermediate</v>
      </c>
      <c r="N14" s="217" t="str">
        <f ca="1">IFERROR(__xludf.DUMMYFUNCTION("""COMPUTED_VALUE"""),"Cómo integrar la marca con la estrategia de marketing")</f>
        <v>Cómo integrar la marca con la estrategia de marketing</v>
      </c>
      <c r="O14" s="217"/>
      <c r="P14" s="213"/>
      <c r="Q14" s="215">
        <f ca="1">IFERROR(__xludf.DUMMYFUNCTION("""COMPUTED_VALUE"""),507746)</f>
        <v>507746</v>
      </c>
      <c r="R14" s="215" t="str">
        <f ca="1">IFERROR(__xludf.DUMMYFUNCTION("""COMPUTED_VALUE"""),"Beginner")</f>
        <v>Beginner</v>
      </c>
      <c r="S14" s="217" t="str">
        <f ca="1">IFERROR(__xludf.DUMMYFUNCTION("""COMPUTED_VALUE"""),"Corporate Design für Online-Marketing-Projekte")</f>
        <v>Corporate Design für Online-Marketing-Projekte</v>
      </c>
      <c r="T14" s="217"/>
      <c r="U14" s="213"/>
      <c r="V14" s="215">
        <f ca="1">IFERROR(__xludf.DUMMYFUNCTION("""COMPUTED_VALUE"""),537477)</f>
        <v>537477</v>
      </c>
      <c r="W14" s="215" t="str">
        <f ca="1">IFERROR(__xludf.DUMMYFUNCTION("""COMPUTED_VALUE"""),"Beginner, Intermediate")</f>
        <v>Beginner, Intermediate</v>
      </c>
      <c r="X14" s="217" t="str">
        <f ca="1">IFERROR(__xludf.DUMMYFUNCTION("""COMPUTED_VALUE"""),"オンラインマーケティングの基礎")</f>
        <v>オンラインマーケティングの基礎</v>
      </c>
      <c r="Y14" s="217"/>
      <c r="Z14" s="213"/>
      <c r="AA14" s="215"/>
      <c r="AB14" s="215"/>
      <c r="AC14" s="217"/>
      <c r="AD14" s="217"/>
      <c r="AE14" s="213"/>
      <c r="AF14" s="215"/>
      <c r="AG14" s="215"/>
      <c r="AH14" s="217"/>
      <c r="AI14" s="217"/>
      <c r="AJ14" s="213"/>
    </row>
    <row r="15" spans="1:36" ht="33.75" customHeight="1">
      <c r="A15" s="213"/>
      <c r="B15" s="214">
        <f ca="1">IFERROR(__xludf.DUMMYFUNCTION("""COMPUTED_VALUE"""),2888051)</f>
        <v>2888051</v>
      </c>
      <c r="C15" s="215" t="str">
        <f ca="1">IFERROR(__xludf.DUMMYFUNCTION("""COMPUTED_VALUE"""),"Beginner")</f>
        <v>Beginner</v>
      </c>
      <c r="D15" s="216" t="str">
        <f ca="1">IFERROR(__xludf.DUMMYFUNCTION("""COMPUTED_VALUE"""),"Integrated Marketing Communication Strategies")</f>
        <v>Integrated Marketing Communication Strategies</v>
      </c>
      <c r="E15" s="217" t="str">
        <f ca="1">IFERROR(__xludf.DUMMYFUNCTION("""COMPUTED_VALUE"""),"Become a Marketing Manager")</f>
        <v>Become a Marketing Manager</v>
      </c>
      <c r="F15" s="213"/>
      <c r="G15" s="214">
        <f ca="1">IFERROR(__xludf.DUMMYFUNCTION("""COMPUTED_VALUE"""),2841376)</f>
        <v>2841376</v>
      </c>
      <c r="H15" s="215" t="str">
        <f ca="1">IFERROR(__xludf.DUMMYFUNCTION("""COMPUTED_VALUE"""),"Intermediate")</f>
        <v>Intermediate</v>
      </c>
      <c r="I15" s="217" t="str">
        <f ca="1">IFERROR(__xludf.DUMMYFUNCTION("""COMPUTED_VALUE"""),"Instagram pour les entreprises")</f>
        <v>Instagram pour les entreprises</v>
      </c>
      <c r="J15" s="217"/>
      <c r="K15" s="213"/>
      <c r="L15" s="215">
        <f ca="1">IFERROR(__xludf.DUMMYFUNCTION("""COMPUTED_VALUE"""),3107957)</f>
        <v>3107957</v>
      </c>
      <c r="M15" s="215" t="str">
        <f ca="1">IFERROR(__xludf.DUMMYFUNCTION("""COMPUTED_VALUE"""),"Beginner, Intermediate")</f>
        <v>Beginner, Intermediate</v>
      </c>
      <c r="N15" s="217" t="str">
        <f ca="1">IFERROR(__xludf.DUMMYFUNCTION("""COMPUTED_VALUE"""),"Cómo liderar un equipo de marketing")</f>
        <v>Cómo liderar un equipo de marketing</v>
      </c>
      <c r="O15" s="217"/>
      <c r="P15" s="213"/>
      <c r="Q15" s="215">
        <f ca="1">IFERROR(__xludf.DUMMYFUNCTION("""COMPUTED_VALUE"""),3143214)</f>
        <v>3143214</v>
      </c>
      <c r="R15" s="215" t="str">
        <f ca="1">IFERROR(__xludf.DUMMYFUNCTION("""COMPUTED_VALUE"""),"Beginner")</f>
        <v>Beginner</v>
      </c>
      <c r="S15" s="217" t="str">
        <f ca="1">IFERROR(__xludf.DUMMYFUNCTION("""COMPUTED_VALUE"""),"Corporate Influencer:in – Mitarbeitende als Werte- und Markenbotschafter:innen einsetzen")</f>
        <v>Corporate Influencer:in – Mitarbeitende als Werte- und Markenbotschafter:innen einsetzen</v>
      </c>
      <c r="T15" s="217"/>
      <c r="U15" s="213"/>
      <c r="V15" s="215">
        <f ca="1">IFERROR(__xludf.DUMMYFUNCTION("""COMPUTED_VALUE"""),3141986)</f>
        <v>3141986</v>
      </c>
      <c r="W15" s="215" t="str">
        <f ca="1">IFERROR(__xludf.DUMMYFUNCTION("""COMPUTED_VALUE"""),"Beginner")</f>
        <v>Beginner</v>
      </c>
      <c r="X15" s="217" t="str">
        <f ca="1">IFERROR(__xludf.DUMMYFUNCTION("""COMPUTED_VALUE"""),"ソーシャルメディアマーケティングの基礎")</f>
        <v>ソーシャルメディアマーケティングの基礎</v>
      </c>
      <c r="Y15" s="217"/>
      <c r="Z15" s="213"/>
      <c r="AA15" s="215"/>
      <c r="AB15" s="215"/>
      <c r="AC15" s="217"/>
      <c r="AD15" s="217"/>
      <c r="AE15" s="213"/>
      <c r="AF15" s="215"/>
      <c r="AG15" s="215"/>
      <c r="AH15" s="217"/>
      <c r="AI15" s="217"/>
      <c r="AJ15" s="213"/>
    </row>
    <row r="16" spans="1:36" ht="33.75" customHeight="1">
      <c r="A16" s="213"/>
      <c r="B16" s="214">
        <f ca="1">IFERROR(__xludf.DUMMYFUNCTION("""COMPUTED_VALUE"""),2873285)</f>
        <v>2873285</v>
      </c>
      <c r="C16" s="215" t="str">
        <f ca="1">IFERROR(__xludf.DUMMYFUNCTION("""COMPUTED_VALUE"""),"Intermediate")</f>
        <v>Intermediate</v>
      </c>
      <c r="D16" s="216" t="str">
        <f ca="1">IFERROR(__xludf.DUMMYFUNCTION("""COMPUTED_VALUE"""),"SEO: Competitive Analysis")</f>
        <v>SEO: Competitive Analysis</v>
      </c>
      <c r="E16" s="217" t="str">
        <f ca="1">IFERROR(__xludf.DUMMYFUNCTION("""COMPUTED_VALUE"""),"Develop Your Marketing Skills")</f>
        <v>Develop Your Marketing Skills</v>
      </c>
      <c r="F16" s="213"/>
      <c r="G16" s="214">
        <f ca="1">IFERROR(__xludf.DUMMYFUNCTION("""COMPUTED_VALUE"""),3013675)</f>
        <v>3013675</v>
      </c>
      <c r="H16" s="215" t="str">
        <f ca="1">IFERROR(__xludf.DUMMYFUNCTION("""COMPUTED_VALUE"""),"Intermediate")</f>
        <v>Intermediate</v>
      </c>
      <c r="I16" s="217" t="str">
        <f ca="1">IFERROR(__xludf.DUMMYFUNCTION("""COMPUTED_VALUE"""),"Le marketing digital en point de vente")</f>
        <v>Le marketing digital en point de vente</v>
      </c>
      <c r="J16" s="217"/>
      <c r="K16" s="213"/>
      <c r="L16" s="215">
        <f ca="1">IFERROR(__xludf.DUMMYFUNCTION("""COMPUTED_VALUE"""),5025668)</f>
        <v>5025668</v>
      </c>
      <c r="M16" s="215" t="str">
        <f ca="1">IFERROR(__xludf.DUMMYFUNCTION("""COMPUTED_VALUE"""),"Beginner, Intermediate")</f>
        <v>Beginner, Intermediate</v>
      </c>
      <c r="N16" s="217" t="str">
        <f ca="1">IFERROR(__xludf.DUMMYFUNCTION("""COMPUTED_VALUE"""),"Cómo vender con storytelling, parte 1: Los elementos de una gran historia")</f>
        <v>Cómo vender con storytelling, parte 1: Los elementos de una gran historia</v>
      </c>
      <c r="O16" s="217"/>
      <c r="P16" s="213"/>
      <c r="Q16" s="215">
        <f ca="1">IFERROR(__xludf.DUMMYFUNCTION("""COMPUTED_VALUE"""),2823518)</f>
        <v>2823518</v>
      </c>
      <c r="R16" s="215" t="str">
        <f ca="1">IFERROR(__xludf.DUMMYFUNCTION("""COMPUTED_VALUE"""),"Beginner")</f>
        <v>Beginner</v>
      </c>
      <c r="S16" s="217" t="str">
        <f ca="1">IFERROR(__xludf.DUMMYFUNCTION("""COMPUTED_VALUE"""),"Creator Studio für Facebook und Instagram Grundkurs")</f>
        <v>Creator Studio für Facebook und Instagram Grundkurs</v>
      </c>
      <c r="T16" s="217"/>
      <c r="U16" s="213"/>
      <c r="V16" s="215">
        <f ca="1">IFERROR(__xludf.DUMMYFUNCTION("""COMPUTED_VALUE"""),5041010)</f>
        <v>5041010</v>
      </c>
      <c r="W16" s="215" t="str">
        <f ca="1">IFERROR(__xludf.DUMMYFUNCTION("""COMPUTED_VALUE"""),"Beginner")</f>
        <v>Beginner</v>
      </c>
      <c r="X16" s="217" t="str">
        <f ca="1">IFERROR(__xludf.DUMMYFUNCTION("""COMPUTED_VALUE"""),"ソーシャルメディア連携ツール活用法")</f>
        <v>ソーシャルメディア連携ツール活用法</v>
      </c>
      <c r="Y16" s="217"/>
      <c r="Z16" s="213"/>
      <c r="AA16" s="215"/>
      <c r="AB16" s="215"/>
      <c r="AC16" s="217"/>
      <c r="AD16" s="217"/>
      <c r="AE16" s="213"/>
      <c r="AF16" s="215"/>
      <c r="AG16" s="215"/>
      <c r="AH16" s="217"/>
      <c r="AI16" s="217"/>
      <c r="AJ16" s="213"/>
    </row>
    <row r="17" spans="1:36" ht="33.75" customHeight="1">
      <c r="A17" s="213"/>
      <c r="B17" s="214">
        <f ca="1">IFERROR(__xludf.DUMMYFUNCTION("""COMPUTED_VALUE"""),2875326)</f>
        <v>2875326</v>
      </c>
      <c r="C17" s="215" t="str">
        <f ca="1">IFERROR(__xludf.DUMMYFUNCTION("""COMPUTED_VALUE"""),"Intermediate")</f>
        <v>Intermediate</v>
      </c>
      <c r="D17" s="216" t="str">
        <f ca="1">IFERROR(__xludf.DUMMYFUNCTION("""COMPUTED_VALUE"""),"Marketing Tools: SEO")</f>
        <v>Marketing Tools: SEO</v>
      </c>
      <c r="E17" s="217" t="str">
        <f ca="1">IFERROR(__xludf.DUMMYFUNCTION("""COMPUTED_VALUE"""),"Improve your Digital Marketing Skills")</f>
        <v>Improve your Digital Marketing Skills</v>
      </c>
      <c r="F17" s="213"/>
      <c r="G17" s="214">
        <f ca="1">IFERROR(__xludf.DUMMYFUNCTION("""COMPUTED_VALUE"""),2940713)</f>
        <v>2940713</v>
      </c>
      <c r="H17" s="215" t="str">
        <f ca="1">IFERROR(__xludf.DUMMYFUNCTION("""COMPUTED_VALUE"""),"Intermediate")</f>
        <v>Intermediate</v>
      </c>
      <c r="I17" s="217" t="str">
        <f ca="1">IFERROR(__xludf.DUMMYFUNCTION("""COMPUTED_VALUE"""),"Le référencement : Crawl, indexation et maillage interne")</f>
        <v>Le référencement : Crawl, indexation et maillage interne</v>
      </c>
      <c r="J17" s="217"/>
      <c r="K17" s="213"/>
      <c r="L17" s="215">
        <f ca="1">IFERROR(__xludf.DUMMYFUNCTION("""COMPUTED_VALUE"""),751037)</f>
        <v>751037</v>
      </c>
      <c r="M17" s="215" t="str">
        <f ca="1">IFERROR(__xludf.DUMMYFUNCTION("""COMPUTED_VALUE"""),"Intermediate")</f>
        <v>Intermediate</v>
      </c>
      <c r="N17" s="217" t="str">
        <f ca="1">IFERROR(__xludf.DUMMYFUNCTION("""COMPUTED_VALUE"""),"Creatividad para marketing")</f>
        <v>Creatividad para marketing</v>
      </c>
      <c r="O17" s="217"/>
      <c r="P17" s="213"/>
      <c r="Q17" s="215">
        <f ca="1">IFERROR(__xludf.DUMMYFUNCTION("""COMPUTED_VALUE"""),2808707)</f>
        <v>2808707</v>
      </c>
      <c r="R17" s="215" t="str">
        <f ca="1">IFERROR(__xludf.DUMMYFUNCTION("""COMPUTED_VALUE"""),"Beginner, Intermediate")</f>
        <v>Beginner, Intermediate</v>
      </c>
      <c r="S17" s="217" t="str">
        <f ca="1">IFERROR(__xludf.DUMMYFUNCTION("""COMPUTED_VALUE"""),"Digital Nudging: User Experience positiv beeinflussen")</f>
        <v>Digital Nudging: User Experience positiv beeinflussen</v>
      </c>
      <c r="T17" s="217"/>
      <c r="U17" s="213"/>
      <c r="V17" s="215">
        <f ca="1">IFERROR(__xludf.DUMMYFUNCTION("""COMPUTED_VALUE"""),2824366)</f>
        <v>2824366</v>
      </c>
      <c r="W17" s="215" t="str">
        <f ca="1">IFERROR(__xludf.DUMMYFUNCTION("""COMPUTED_VALUE"""),"Beginner")</f>
        <v>Beginner</v>
      </c>
      <c r="X17" s="217" t="str">
        <f ca="1">IFERROR(__xludf.DUMMYFUNCTION("""COMPUTED_VALUE"""),"ビジネスのためのInstagram")</f>
        <v>ビジネスのためのInstagram</v>
      </c>
      <c r="Y17" s="217"/>
      <c r="Z17" s="213"/>
      <c r="AA17" s="215"/>
      <c r="AB17" s="215"/>
      <c r="AC17" s="217"/>
      <c r="AD17" s="217"/>
      <c r="AE17" s="213"/>
      <c r="AF17" s="215"/>
      <c r="AG17" s="215"/>
      <c r="AH17" s="217"/>
      <c r="AI17" s="217"/>
      <c r="AJ17" s="213"/>
    </row>
    <row r="18" spans="1:36" ht="33.75" customHeight="1">
      <c r="A18" s="213"/>
      <c r="B18" s="214">
        <f ca="1">IFERROR(__xludf.DUMMYFUNCTION("""COMPUTED_VALUE"""),624312)</f>
        <v>624312</v>
      </c>
      <c r="C18" s="215" t="str">
        <f ca="1">IFERROR(__xludf.DUMMYFUNCTION("""COMPUTED_VALUE"""),"Advanced")</f>
        <v>Advanced</v>
      </c>
      <c r="D18" s="216" t="str">
        <f ca="1">IFERROR(__xludf.DUMMYFUNCTION("""COMPUTED_VALUE"""),"Building an Integrated Online Marketing Plan")</f>
        <v>Building an Integrated Online Marketing Plan</v>
      </c>
      <c r="E18" s="217" t="str">
        <f ca="1">IFERROR(__xludf.DUMMYFUNCTION("""COMPUTED_VALUE"""),"Master Digital Marketing")</f>
        <v>Master Digital Marketing</v>
      </c>
      <c r="F18" s="213"/>
      <c r="G18" s="214">
        <f ca="1">IFERROR(__xludf.DUMMYFUNCTION("""COMPUTED_VALUE"""),629858)</f>
        <v>629858</v>
      </c>
      <c r="H18" s="215" t="str">
        <f ca="1">IFERROR(__xludf.DUMMYFUNCTION("""COMPUTED_VALUE"""),"Intermediate")</f>
        <v>Intermediate</v>
      </c>
      <c r="I18" s="217" t="str">
        <f ca="1">IFERROR(__xludf.DUMMYFUNCTION("""COMPUTED_VALUE"""),"Le référencement : La recherche de mots-clés")</f>
        <v>Le référencement : La recherche de mots-clés</v>
      </c>
      <c r="J18" s="217"/>
      <c r="K18" s="213"/>
      <c r="L18" s="215">
        <f ca="1">IFERROR(__xludf.DUMMYFUNCTION("""COMPUTED_VALUE"""),647420)</f>
        <v>647420</v>
      </c>
      <c r="M18" s="215" t="str">
        <f ca="1">IFERROR(__xludf.DUMMYFUNCTION("""COMPUTED_VALUE"""),"Beginner, Intermediate")</f>
        <v>Beginner, Intermediate</v>
      </c>
      <c r="N18" s="217" t="str">
        <f ca="1">IFERROR(__xludf.DUMMYFUNCTION("""COMPUTED_VALUE"""),"Derechos de autor de contenido audiovisual para marketing")</f>
        <v>Derechos de autor de contenido audiovisual para marketing</v>
      </c>
      <c r="O18" s="217"/>
      <c r="P18" s="213"/>
      <c r="Q18" s="215">
        <f ca="1">IFERROR(__xludf.DUMMYFUNCTION("""COMPUTED_VALUE"""),238369)</f>
        <v>238369</v>
      </c>
      <c r="R18" s="215" t="str">
        <f ca="1">IFERROR(__xludf.DUMMYFUNCTION("""COMPUTED_VALUE"""),"Beginner")</f>
        <v>Beginner</v>
      </c>
      <c r="S18" s="217" t="str">
        <f ca="1">IFERROR(__xludf.DUMMYFUNCTION("""COMPUTED_VALUE"""),"Digitale Kampagnen durchführen")</f>
        <v>Digitale Kampagnen durchführen</v>
      </c>
      <c r="T18" s="217"/>
      <c r="U18" s="213"/>
      <c r="V18" s="215">
        <f ca="1">IFERROR(__xludf.DUMMYFUNCTION("""COMPUTED_VALUE"""),5040860)</f>
        <v>5040860</v>
      </c>
      <c r="W18" s="215" t="str">
        <f ca="1">IFERROR(__xludf.DUMMYFUNCTION("""COMPUTED_VALUE"""),"Intermediate")</f>
        <v>Intermediate</v>
      </c>
      <c r="X18" s="217" t="str">
        <f ca="1">IFERROR(__xludf.DUMMYFUNCTION("""COMPUTED_VALUE"""),"ビジネスのためのTwitter")</f>
        <v>ビジネスのためのTwitter</v>
      </c>
      <c r="Y18" s="217"/>
      <c r="Z18" s="213"/>
      <c r="AA18" s="215"/>
      <c r="AB18" s="215"/>
      <c r="AC18" s="217"/>
      <c r="AD18" s="217"/>
      <c r="AE18" s="213"/>
      <c r="AF18" s="215"/>
      <c r="AG18" s="215"/>
      <c r="AH18" s="217"/>
      <c r="AI18" s="217"/>
      <c r="AJ18" s="213"/>
    </row>
    <row r="19" spans="1:36" ht="33.75" customHeight="1">
      <c r="A19" s="213"/>
      <c r="B19" s="214">
        <f ca="1">IFERROR(__xludf.DUMMYFUNCTION("""COMPUTED_VALUE"""),2807866)</f>
        <v>2807866</v>
      </c>
      <c r="C19" s="215" t="str">
        <f ca="1">IFERROR(__xludf.DUMMYFUNCTION("""COMPUTED_VALUE"""),"Advanced")</f>
        <v>Advanced</v>
      </c>
      <c r="D19" s="216" t="str">
        <f ca="1">IFERROR(__xludf.DUMMYFUNCTION("""COMPUTED_VALUE"""),"Advanced SEO: Search Factors")</f>
        <v>Advanced SEO: Search Factors</v>
      </c>
      <c r="E19" s="217"/>
      <c r="F19" s="213"/>
      <c r="G19" s="214">
        <f ca="1">IFERROR(__xludf.DUMMYFUNCTION("""COMPUTED_VALUE"""),629859)</f>
        <v>629859</v>
      </c>
      <c r="H19" s="215" t="str">
        <f ca="1">IFERROR(__xludf.DUMMYFUNCTION("""COMPUTED_VALUE"""),"Intermediate")</f>
        <v>Intermediate</v>
      </c>
      <c r="I19" s="217" t="str">
        <f ca="1">IFERROR(__xludf.DUMMYFUNCTION("""COMPUTED_VALUE"""),"Le référencement : Les audits")</f>
        <v>Le référencement : Les audits</v>
      </c>
      <c r="J19" s="217"/>
      <c r="K19" s="213"/>
      <c r="L19" s="215">
        <f ca="1">IFERROR(__xludf.DUMMYFUNCTION("""COMPUTED_VALUE"""),2422926)</f>
        <v>2422926</v>
      </c>
      <c r="M19" s="215" t="str">
        <f ca="1">IFERROR(__xludf.DUMMYFUNCTION("""COMPUTED_VALUE"""),"Beginner, Intermediate")</f>
        <v>Beginner, Intermediate</v>
      </c>
      <c r="N19" s="217" t="str">
        <f ca="1">IFERROR(__xludf.DUMMYFUNCTION("""COMPUTED_VALUE"""),"Diseña proyectos de marketing con «Business Model Canvas»")</f>
        <v>Diseña proyectos de marketing con «Business Model Canvas»</v>
      </c>
      <c r="O19" s="217"/>
      <c r="P19" s="213"/>
      <c r="Q19" s="215">
        <f ca="1">IFERROR(__xludf.DUMMYFUNCTION("""COMPUTED_VALUE"""),678927)</f>
        <v>678927</v>
      </c>
      <c r="R19" s="215" t="str">
        <f ca="1">IFERROR(__xludf.DUMMYFUNCTION("""COMPUTED_VALUE"""),"All levels")</f>
        <v>All levels</v>
      </c>
      <c r="S19" s="217" t="str">
        <f ca="1">IFERROR(__xludf.DUMMYFUNCTION("""COMPUTED_VALUE"""),"Disrupt yourself – Erfinden Sie sich neu")</f>
        <v>Disrupt yourself – Erfinden Sie sich neu</v>
      </c>
      <c r="T19" s="217"/>
      <c r="U19" s="213"/>
      <c r="V19" s="215">
        <f ca="1">IFERROR(__xludf.DUMMYFUNCTION("""COMPUTED_VALUE"""),777926)</f>
        <v>777926</v>
      </c>
      <c r="W19" s="215" t="str">
        <f ca="1">IFERROR(__xludf.DUMMYFUNCTION("""COMPUTED_VALUE"""),"Beginner")</f>
        <v>Beginner</v>
      </c>
      <c r="X19" s="217" t="str">
        <f ca="1">IFERROR(__xludf.DUMMYFUNCTION("""COMPUTED_VALUE"""),"メールマーケティングの基礎")</f>
        <v>メールマーケティングの基礎</v>
      </c>
      <c r="Y19" s="217"/>
      <c r="Z19" s="213"/>
      <c r="AA19" s="215"/>
      <c r="AB19" s="215"/>
      <c r="AC19" s="217"/>
      <c r="AD19" s="217"/>
      <c r="AE19" s="213"/>
      <c r="AF19" s="215"/>
      <c r="AG19" s="215"/>
      <c r="AH19" s="217"/>
      <c r="AI19" s="217"/>
      <c r="AJ19" s="213"/>
    </row>
    <row r="20" spans="1:36" ht="33.75" customHeight="1">
      <c r="A20" s="213"/>
      <c r="B20" s="214">
        <f ca="1">IFERROR(__xludf.DUMMYFUNCTION("""COMPUTED_VALUE"""),5038215)</f>
        <v>5038215</v>
      </c>
      <c r="C20" s="215" t="str">
        <f ca="1">IFERROR(__xludf.DUMMYFUNCTION("""COMPUTED_VALUE"""),"Advanced")</f>
        <v>Advanced</v>
      </c>
      <c r="D20" s="216" t="str">
        <f ca="1">IFERROR(__xludf.DUMMYFUNCTION("""COMPUTED_VALUE"""),"Advanced Product Marketing")</f>
        <v>Advanced Product Marketing</v>
      </c>
      <c r="E20" s="217"/>
      <c r="F20" s="213"/>
      <c r="G20" s="214">
        <f ca="1">IFERROR(__xludf.DUMMYFUNCTION("""COMPUTED_VALUE"""),2832042)</f>
        <v>2832042</v>
      </c>
      <c r="H20" s="215" t="str">
        <f ca="1">IFERROR(__xludf.DUMMYFUNCTION("""COMPUTED_VALUE"""),"Intermediate")</f>
        <v>Intermediate</v>
      </c>
      <c r="I20" s="217" t="str">
        <f ca="1">IFERROR(__xludf.DUMMYFUNCTION("""COMPUTED_VALUE"""),"Le RGPD pour les marketeurs / marketeuses")</f>
        <v>Le RGPD pour les marketeurs / marketeuses</v>
      </c>
      <c r="J20" s="217"/>
      <c r="K20" s="213"/>
      <c r="L20" s="215">
        <f ca="1">IFERROR(__xludf.DUMMYFUNCTION("""COMPUTED_VALUE"""),417811)</f>
        <v>417811</v>
      </c>
      <c r="M20" s="215" t="str">
        <f ca="1">IFERROR(__xludf.DUMMYFUNCTION("""COMPUTED_VALUE"""),"Advanced")</f>
        <v>Advanced</v>
      </c>
      <c r="N20" s="217" t="str">
        <f ca="1">IFERROR(__xludf.DUMMYFUNCTION("""COMPUTED_VALUE"""),"Facebook Ads avanzado")</f>
        <v>Facebook Ads avanzado</v>
      </c>
      <c r="O20" s="217"/>
      <c r="P20" s="213"/>
      <c r="Q20" s="215">
        <f ca="1">IFERROR(__xludf.DUMMYFUNCTION("""COMPUTED_VALUE"""),686936)</f>
        <v>686936</v>
      </c>
      <c r="R20" s="215" t="str">
        <f ca="1">IFERROR(__xludf.DUMMYFUNCTION("""COMPUTED_VALUE"""),"All levels")</f>
        <v>All levels</v>
      </c>
      <c r="S20" s="217" t="str">
        <f ca="1">IFERROR(__xludf.DUMMYFUNCTION("""COMPUTED_VALUE"""),"Eine Wettbewerbsstrategie entwickeln")</f>
        <v>Eine Wettbewerbsstrategie entwickeln</v>
      </c>
      <c r="T20" s="217"/>
      <c r="U20" s="213"/>
      <c r="V20" s="215">
        <f ca="1">IFERROR(__xludf.DUMMYFUNCTION("""COMPUTED_VALUE"""),658789)</f>
        <v>658789</v>
      </c>
      <c r="W20" s="215" t="str">
        <f ca="1">IFERROR(__xludf.DUMMYFUNCTION("""COMPUTED_VALUE"""),"Beginner")</f>
        <v>Beginner</v>
      </c>
      <c r="X20" s="217" t="str">
        <f ca="1">IFERROR(__xludf.DUMMYFUNCTION("""COMPUTED_VALUE"""),"中小企業のためのソーシャルメディアマーケティング")</f>
        <v>中小企業のためのソーシャルメディアマーケティング</v>
      </c>
      <c r="Y20" s="217"/>
      <c r="Z20" s="213"/>
      <c r="AA20" s="215"/>
      <c r="AB20" s="215"/>
      <c r="AC20" s="217"/>
      <c r="AD20" s="217"/>
      <c r="AE20" s="213"/>
      <c r="AF20" s="215"/>
      <c r="AG20" s="215"/>
      <c r="AH20" s="217"/>
      <c r="AI20" s="217"/>
      <c r="AJ20" s="213"/>
    </row>
    <row r="21" spans="1:36" ht="33.75" customHeight="1">
      <c r="A21" s="213"/>
      <c r="B21" s="214">
        <f ca="1">IFERROR(__xludf.DUMMYFUNCTION("""COMPUTED_VALUE"""),2814043)</f>
        <v>2814043</v>
      </c>
      <c r="C21" s="215" t="str">
        <f ca="1">IFERROR(__xludf.DUMMYFUNCTION("""COMPUTED_VALUE"""),"Advanced")</f>
        <v>Advanced</v>
      </c>
      <c r="D21" s="216" t="str">
        <f ca="1">IFERROR(__xludf.DUMMYFUNCTION("""COMPUTED_VALUE"""),"Lead Generation: Social Media")</f>
        <v>Lead Generation: Social Media</v>
      </c>
      <c r="E21" s="217"/>
      <c r="F21" s="213"/>
      <c r="G21" s="214">
        <f ca="1">IFERROR(__xludf.DUMMYFUNCTION("""COMPUTED_VALUE"""),611520)</f>
        <v>611520</v>
      </c>
      <c r="H21" s="215" t="str">
        <f ca="1">IFERROR(__xludf.DUMMYFUNCTION("""COMPUTED_VALUE"""),"Beginner, Intermediate")</f>
        <v>Beginner, Intermediate</v>
      </c>
      <c r="I21" s="217" t="str">
        <f ca="1">IFERROR(__xludf.DUMMYFUNCTION("""COMPUTED_VALUE"""),"Les fondements de l'automation en marketing")</f>
        <v>Les fondements de l'automation en marketing</v>
      </c>
      <c r="J21" s="217"/>
      <c r="K21" s="213"/>
      <c r="L21" s="215">
        <f ca="1">IFERROR(__xludf.DUMMYFUNCTION("""COMPUTED_VALUE"""),2810619)</f>
        <v>2810619</v>
      </c>
      <c r="M21" s="215" t="str">
        <f ca="1">IFERROR(__xludf.DUMMYFUNCTION("""COMPUTED_VALUE"""),"Beginner, Intermediate")</f>
        <v>Beginner, Intermediate</v>
      </c>
      <c r="N21" s="217" t="str">
        <f ca="1">IFERROR(__xludf.DUMMYFUNCTION("""COMPUTED_VALUE"""),"Facebook Ads: Creación de campañas")</f>
        <v>Facebook Ads: Creación de campañas</v>
      </c>
      <c r="O21" s="217"/>
      <c r="P21" s="213"/>
      <c r="Q21" s="215">
        <f ca="1">IFERROR(__xludf.DUMMYFUNCTION("""COMPUTED_VALUE"""),561066)</f>
        <v>561066</v>
      </c>
      <c r="R21" s="215" t="str">
        <f ca="1">IFERROR(__xludf.DUMMYFUNCTION("""COMPUTED_VALUE"""),"Beginner")</f>
        <v>Beginner</v>
      </c>
      <c r="S21" s="217" t="str">
        <f ca="1">IFERROR(__xludf.DUMMYFUNCTION("""COMPUTED_VALUE"""),"Einen Marketingplan schreiben")</f>
        <v>Einen Marketingplan schreiben</v>
      </c>
      <c r="T21" s="217"/>
      <c r="U21" s="213"/>
      <c r="V21" s="215">
        <f ca="1">IFERROR(__xludf.DUMMYFUNCTION("""COMPUTED_VALUE"""),2880262)</f>
        <v>2880262</v>
      </c>
      <c r="W21" s="215" t="str">
        <f ca="1">IFERROR(__xludf.DUMMYFUNCTION("""COMPUTED_VALUE"""),"Beginner")</f>
        <v>Beginner</v>
      </c>
      <c r="X21" s="217" t="str">
        <f ca="1">IFERROR(__xludf.DUMMYFUNCTION("""COMPUTED_VALUE"""),"企業PRのためのFacebook 活用講座")</f>
        <v>企業PRのためのFacebook 活用講座</v>
      </c>
      <c r="Y21" s="217"/>
      <c r="Z21" s="213"/>
      <c r="AA21" s="215"/>
      <c r="AB21" s="215"/>
      <c r="AC21" s="217"/>
      <c r="AD21" s="217"/>
      <c r="AE21" s="213"/>
      <c r="AF21" s="215"/>
      <c r="AG21" s="215"/>
      <c r="AH21" s="217"/>
      <c r="AI21" s="217"/>
      <c r="AJ21" s="213"/>
    </row>
    <row r="22" spans="1:36" ht="33.75" customHeight="1">
      <c r="A22" s="213"/>
      <c r="B22" s="214">
        <f ca="1">IFERROR(__xludf.DUMMYFUNCTION("""COMPUTED_VALUE"""),2817028)</f>
        <v>2817028</v>
      </c>
      <c r="C22" s="215" t="str">
        <f ca="1">IFERROR(__xludf.DUMMYFUNCTION("""COMPUTED_VALUE"""),"Advanced")</f>
        <v>Advanced</v>
      </c>
      <c r="D22" s="216" t="str">
        <f ca="1">IFERROR(__xludf.DUMMYFUNCTION("""COMPUTED_VALUE"""),"Advanced Google Analytics")</f>
        <v>Advanced Google Analytics</v>
      </c>
      <c r="E22" s="217"/>
      <c r="F22" s="213"/>
      <c r="G22" s="214">
        <f ca="1">IFERROR(__xludf.DUMMYFUNCTION("""COMPUTED_VALUE"""),492495)</f>
        <v>492495</v>
      </c>
      <c r="H22" s="215" t="str">
        <f ca="1">IFERROR(__xludf.DUMMYFUNCTION("""COMPUTED_VALUE"""),"Beginner")</f>
        <v>Beginner</v>
      </c>
      <c r="I22" s="217" t="str">
        <f ca="1">IFERROR(__xludf.DUMMYFUNCTION("""COMPUTED_VALUE"""),"Les fondements de l'e-mail marketing")</f>
        <v>Les fondements de l'e-mail marketing</v>
      </c>
      <c r="J22" s="217"/>
      <c r="K22" s="213"/>
      <c r="L22" s="215">
        <f ca="1">IFERROR(__xludf.DUMMYFUNCTION("""COMPUTED_VALUE"""),2219822)</f>
        <v>2219822</v>
      </c>
      <c r="M22" s="215" t="str">
        <f ca="1">IFERROR(__xludf.DUMMYFUNCTION("""COMPUTED_VALUE"""),"Beginner")</f>
        <v>Beginner</v>
      </c>
      <c r="N22" s="217" t="str">
        <f ca="1">IFERROR(__xludf.DUMMYFUNCTION("""COMPUTED_VALUE"""),"Fundamentos de marketing B2B")</f>
        <v>Fundamentos de marketing B2B</v>
      </c>
      <c r="O22" s="217"/>
      <c r="P22" s="213"/>
      <c r="Q22" s="215">
        <f ca="1">IFERROR(__xludf.DUMMYFUNCTION("""COMPUTED_VALUE"""),421622)</f>
        <v>421622</v>
      </c>
      <c r="R22" s="215" t="str">
        <f ca="1">IFERROR(__xludf.DUMMYFUNCTION("""COMPUTED_VALUE"""),"Beginner")</f>
        <v>Beginner</v>
      </c>
      <c r="S22" s="217" t="str">
        <f ca="1">IFERROR(__xludf.DUMMYFUNCTION("""COMPUTED_VALUE"""),"E-Mail-Marketing – Grundlagen")</f>
        <v>E-Mail-Marketing – Grundlagen</v>
      </c>
      <c r="T22" s="217"/>
      <c r="U22" s="213"/>
      <c r="V22" s="215">
        <f ca="1">IFERROR(__xludf.DUMMYFUNCTION("""COMPUTED_VALUE"""),2880263)</f>
        <v>2880263</v>
      </c>
      <c r="W22" s="215" t="str">
        <f ca="1">IFERROR(__xludf.DUMMYFUNCTION("""COMPUTED_VALUE"""),"All levels")</f>
        <v>All levels</v>
      </c>
      <c r="X22" s="217" t="str">
        <f ca="1">IFERROR(__xludf.DUMMYFUNCTION("""COMPUTED_VALUE"""),"企業PRのためのYouTube 活用講座")</f>
        <v>企業PRのためのYouTube 活用講座</v>
      </c>
      <c r="Y22" s="217"/>
      <c r="Z22" s="213"/>
      <c r="AA22" s="215"/>
      <c r="AB22" s="215"/>
      <c r="AC22" s="217"/>
      <c r="AD22" s="217"/>
      <c r="AE22" s="213"/>
      <c r="AF22" s="215"/>
      <c r="AG22" s="215"/>
      <c r="AH22" s="217"/>
      <c r="AI22" s="217"/>
      <c r="AJ22" s="213"/>
    </row>
    <row r="23" spans="1:36" ht="33.75" customHeight="1">
      <c r="A23" s="213"/>
      <c r="B23" s="214">
        <f ca="1">IFERROR(__xludf.DUMMYFUNCTION("""COMPUTED_VALUE"""),2823074)</f>
        <v>2823074</v>
      </c>
      <c r="C23" s="215" t="str">
        <f ca="1">IFERROR(__xludf.DUMMYFUNCTION("""COMPUTED_VALUE"""),"Advanced")</f>
        <v>Advanced</v>
      </c>
      <c r="D23" s="216" t="str">
        <f ca="1">IFERROR(__xludf.DUMMYFUNCTION("""COMPUTED_VALUE"""),"Advertising on Facebook: Advanced")</f>
        <v>Advertising on Facebook: Advanced</v>
      </c>
      <c r="E23" s="217"/>
      <c r="F23" s="213"/>
      <c r="G23" s="214">
        <f ca="1">IFERROR(__xludf.DUMMYFUNCTION("""COMPUTED_VALUE"""),710533)</f>
        <v>710533</v>
      </c>
      <c r="H23" s="215" t="str">
        <f ca="1">IFERROR(__xludf.DUMMYFUNCTION("""COMPUTED_VALUE"""),"Beginner")</f>
        <v>Beginner</v>
      </c>
      <c r="I23" s="217" t="str">
        <f ca="1">IFERROR(__xludf.DUMMYFUNCTION("""COMPUTED_VALUE"""),"Les fondements des bases de données marketing")</f>
        <v>Les fondements des bases de données marketing</v>
      </c>
      <c r="J23" s="217"/>
      <c r="K23" s="213"/>
      <c r="L23" s="215">
        <f ca="1">IFERROR(__xludf.DUMMYFUNCTION("""COMPUTED_VALUE"""),2842002)</f>
        <v>2842002</v>
      </c>
      <c r="M23" s="215" t="str">
        <f ca="1">IFERROR(__xludf.DUMMYFUNCTION("""COMPUTED_VALUE"""),"All levels")</f>
        <v>All levels</v>
      </c>
      <c r="N23" s="217" t="str">
        <f ca="1">IFERROR(__xludf.DUMMYFUNCTION("""COMPUTED_VALUE"""),"Fundamentos de SEO")</f>
        <v>Fundamentos de SEO</v>
      </c>
      <c r="O23" s="217"/>
      <c r="P23" s="213"/>
      <c r="Q23" s="215">
        <f ca="1">IFERROR(__xludf.DUMMYFUNCTION("""COMPUTED_VALUE"""),2988434)</f>
        <v>2988434</v>
      </c>
      <c r="R23" s="215" t="str">
        <f ca="1">IFERROR(__xludf.DUMMYFUNCTION("""COMPUTED_VALUE"""),"Beginner")</f>
        <v>Beginner</v>
      </c>
      <c r="S23" s="217" t="str">
        <f ca="1">IFERROR(__xludf.DUMMYFUNCTION("""COMPUTED_VALUE"""),"Executive Summary: Personal Branding mit LinkedIn")</f>
        <v>Executive Summary: Personal Branding mit LinkedIn</v>
      </c>
      <c r="T23" s="217"/>
      <c r="U23" s="213"/>
      <c r="V23" s="215">
        <f ca="1">IFERROR(__xludf.DUMMYFUNCTION("""COMPUTED_VALUE"""),695560)</f>
        <v>695560</v>
      </c>
      <c r="W23" s="215" t="str">
        <f ca="1">IFERROR(__xludf.DUMMYFUNCTION("""COMPUTED_VALUE"""),"Intermediate")</f>
        <v>Intermediate</v>
      </c>
      <c r="X23" s="217" t="str">
        <f ca="1">IFERROR(__xludf.DUMMYFUNCTION("""COMPUTED_VALUE"""),"売上UPにつながるSEO講座")</f>
        <v>売上UPにつながるSEO講座</v>
      </c>
      <c r="Y23" s="217"/>
      <c r="Z23" s="213"/>
      <c r="AA23" s="215"/>
      <c r="AB23" s="215"/>
      <c r="AC23" s="217"/>
      <c r="AD23" s="217"/>
      <c r="AE23" s="213"/>
      <c r="AF23" s="215"/>
      <c r="AG23" s="215"/>
      <c r="AH23" s="217"/>
      <c r="AI23" s="217"/>
      <c r="AJ23" s="213"/>
    </row>
    <row r="24" spans="1:36" ht="33.75" customHeight="1">
      <c r="A24" s="213"/>
      <c r="B24" s="214">
        <f ca="1">IFERROR(__xludf.DUMMYFUNCTION("""COMPUTED_VALUE"""),2823517)</f>
        <v>2823517</v>
      </c>
      <c r="C24" s="215" t="str">
        <f ca="1">IFERROR(__xludf.DUMMYFUNCTION("""COMPUTED_VALUE"""),"Advanced")</f>
        <v>Advanced</v>
      </c>
      <c r="D24" s="216" t="str">
        <f ca="1">IFERROR(__xludf.DUMMYFUNCTION("""COMPUTED_VALUE"""),"Advanced Content Marketing")</f>
        <v>Advanced Content Marketing</v>
      </c>
      <c r="E24" s="217"/>
      <c r="F24" s="213"/>
      <c r="G24" s="214">
        <f ca="1">IFERROR(__xludf.DUMMYFUNCTION("""COMPUTED_VALUE"""),776994)</f>
        <v>776994</v>
      </c>
      <c r="H24" s="215" t="str">
        <f ca="1">IFERROR(__xludf.DUMMYFUNCTION("""COMPUTED_VALUE"""),"Intermediate")</f>
        <v>Intermediate</v>
      </c>
      <c r="I24" s="217" t="str">
        <f ca="1">IFERROR(__xludf.DUMMYFUNCTION("""COMPUTED_VALUE"""),"Les fondements du copywriting marketing")</f>
        <v>Les fondements du copywriting marketing</v>
      </c>
      <c r="J24" s="217"/>
      <c r="K24" s="213"/>
      <c r="L24" s="215">
        <f ca="1">IFERROR(__xludf.DUMMYFUNCTION("""COMPUTED_VALUE"""),2931138)</f>
        <v>2931138</v>
      </c>
      <c r="M24" s="215" t="str">
        <f ca="1">IFERROR(__xludf.DUMMYFUNCTION("""COMPUTED_VALUE"""),"Beginner, Intermediate")</f>
        <v>Beginner, Intermediate</v>
      </c>
      <c r="N24" s="217" t="str">
        <f ca="1">IFERROR(__xludf.DUMMYFUNCTION("""COMPUTED_VALUE"""),"Fundamentos del comercio electrónico: WooCommerce en WordPress")</f>
        <v>Fundamentos del comercio electrónico: WooCommerce en WordPress</v>
      </c>
      <c r="O24" s="217"/>
      <c r="P24" s="213"/>
      <c r="Q24" s="215">
        <f ca="1">IFERROR(__xludf.DUMMYFUNCTION("""COMPUTED_VALUE"""),442865)</f>
        <v>442865</v>
      </c>
      <c r="R24" s="215" t="str">
        <f ca="1">IFERROR(__xludf.DUMMYFUNCTION("""COMPUTED_VALUE"""),"Intermediate")</f>
        <v>Intermediate</v>
      </c>
      <c r="S24" s="217" t="str">
        <f ca="1">IFERROR(__xludf.DUMMYFUNCTION("""COMPUTED_VALUE"""),"Facebook-Marketing: Anzeigen- und Werbe-Kampagnen")</f>
        <v>Facebook-Marketing: Anzeigen- und Werbe-Kampagnen</v>
      </c>
      <c r="T24" s="217"/>
      <c r="U24" s="213"/>
      <c r="V24" s="215">
        <f ca="1">IFERROR(__xludf.DUMMYFUNCTION("""COMPUTED_VALUE"""),2918220)</f>
        <v>2918220</v>
      </c>
      <c r="W24" s="215" t="str">
        <f ca="1">IFERROR(__xludf.DUMMYFUNCTION("""COMPUTED_VALUE"""),"All levels")</f>
        <v>All levels</v>
      </c>
      <c r="X24" s="217" t="str">
        <f ca="1">IFERROR(__xludf.DUMMYFUNCTION("""COMPUTED_VALUE"""),"競争戦略を立てるには")</f>
        <v>競争戦略を立てるには</v>
      </c>
      <c r="Y24" s="217"/>
      <c r="Z24" s="213"/>
      <c r="AA24" s="215"/>
      <c r="AB24" s="215"/>
      <c r="AC24" s="217"/>
      <c r="AD24" s="217"/>
      <c r="AE24" s="213"/>
      <c r="AF24" s="215"/>
      <c r="AG24" s="215"/>
      <c r="AH24" s="217"/>
      <c r="AI24" s="217"/>
      <c r="AJ24" s="213"/>
    </row>
    <row r="25" spans="1:36" ht="33.75" customHeight="1">
      <c r="A25" s="213"/>
      <c r="B25" s="214">
        <f ca="1">IFERROR(__xludf.DUMMYFUNCTION("""COMPUTED_VALUE"""),2824363)</f>
        <v>2824363</v>
      </c>
      <c r="C25" s="215" t="str">
        <f ca="1">IFERROR(__xludf.DUMMYFUNCTION("""COMPUTED_VALUE"""),"Advanced")</f>
        <v>Advanced</v>
      </c>
      <c r="D25" s="216" t="str">
        <f ca="1">IFERROR(__xludf.DUMMYFUNCTION("""COMPUTED_VALUE"""),"Advanced Google Ads")</f>
        <v>Advanced Google Ads</v>
      </c>
      <c r="E25" s="217"/>
      <c r="F25" s="213"/>
      <c r="G25" s="214">
        <f ca="1">IFERROR(__xludf.DUMMYFUNCTION("""COMPUTED_VALUE"""),440456)</f>
        <v>440456</v>
      </c>
      <c r="H25" s="215" t="str">
        <f ca="1">IFERROR(__xludf.DUMMYFUNCTION("""COMPUTED_VALUE"""),"Beginner")</f>
        <v>Beginner</v>
      </c>
      <c r="I25" s="217" t="str">
        <f ca="1">IFERROR(__xludf.DUMMYFUNCTION("""COMPUTED_VALUE"""),"Les fondements du growth hacking")</f>
        <v>Les fondements du growth hacking</v>
      </c>
      <c r="J25" s="217"/>
      <c r="K25" s="213"/>
      <c r="L25" s="215">
        <f ca="1">IFERROR(__xludf.DUMMYFUNCTION("""COMPUTED_VALUE"""),778028)</f>
        <v>778028</v>
      </c>
      <c r="M25" s="215" t="str">
        <f ca="1">IFERROR(__xludf.DUMMYFUNCTION("""COMPUTED_VALUE"""),"Beginner")</f>
        <v>Beginner</v>
      </c>
      <c r="N25" s="217" t="str">
        <f ca="1">IFERROR(__xludf.DUMMYFUNCTION("""COMPUTED_VALUE"""),"Fundamentos del content marketing: Blogs")</f>
        <v>Fundamentos del content marketing: Blogs</v>
      </c>
      <c r="O25" s="217"/>
      <c r="P25" s="213"/>
      <c r="Q25" s="215">
        <f ca="1">IFERROR(__xludf.DUMMYFUNCTION("""COMPUTED_VALUE"""),2930913)</f>
        <v>2930913</v>
      </c>
      <c r="R25" s="215" t="str">
        <f ca="1">IFERROR(__xludf.DUMMYFUNCTION("""COMPUTED_VALUE"""),"Beginner")</f>
        <v>Beginner</v>
      </c>
      <c r="S25" s="217" t="str">
        <f ca="1">IFERROR(__xludf.DUMMYFUNCTION("""COMPUTED_VALUE"""),"Google Ads (AdWords) Grundkurs")</f>
        <v>Google Ads (AdWords) Grundkurs</v>
      </c>
      <c r="T25" s="217"/>
      <c r="U25" s="213"/>
      <c r="V25" s="215"/>
      <c r="W25" s="215"/>
      <c r="X25" s="217"/>
      <c r="Y25" s="217"/>
      <c r="Z25" s="213"/>
      <c r="AA25" s="215"/>
      <c r="AB25" s="215"/>
      <c r="AC25" s="217"/>
      <c r="AD25" s="217"/>
      <c r="AE25" s="213"/>
      <c r="AF25" s="215"/>
      <c r="AG25" s="215"/>
      <c r="AH25" s="217"/>
      <c r="AI25" s="217"/>
      <c r="AJ25" s="213"/>
    </row>
    <row r="26" spans="1:36" ht="33.75" customHeight="1">
      <c r="A26" s="213"/>
      <c r="B26" s="214">
        <f ca="1">IFERROR(__xludf.DUMMYFUNCTION("""COMPUTED_VALUE"""),2882047)</f>
        <v>2882047</v>
      </c>
      <c r="C26" s="215" t="str">
        <f ca="1">IFERROR(__xludf.DUMMYFUNCTION("""COMPUTED_VALUE"""),"Advanced")</f>
        <v>Advanced</v>
      </c>
      <c r="D26" s="216" t="str">
        <f ca="1">IFERROR(__xludf.DUMMYFUNCTION("""COMPUTED_VALUE"""),"Advanced Facebook Advertising")</f>
        <v>Advanced Facebook Advertising</v>
      </c>
      <c r="E26" s="217"/>
      <c r="F26" s="213"/>
      <c r="G26" s="214">
        <f ca="1">IFERROR(__xludf.DUMMYFUNCTION("""COMPUTED_VALUE"""),3027410)</f>
        <v>3027410</v>
      </c>
      <c r="H26" s="215" t="str">
        <f ca="1">IFERROR(__xludf.DUMMYFUNCTION("""COMPUTED_VALUE"""),"Beginner, Intermediate")</f>
        <v>Beginner, Intermediate</v>
      </c>
      <c r="I26" s="217" t="str">
        <f ca="1">IFERROR(__xludf.DUMMYFUNCTION("""COMPUTED_VALUE"""),"Les fondements du marketing")</f>
        <v>Les fondements du marketing</v>
      </c>
      <c r="J26" s="217"/>
      <c r="K26" s="213"/>
      <c r="L26" s="215">
        <f ca="1">IFERROR(__xludf.DUMMYFUNCTION("""COMPUTED_VALUE"""),778029)</f>
        <v>778029</v>
      </c>
      <c r="M26" s="215" t="str">
        <f ca="1">IFERROR(__xludf.DUMMYFUNCTION("""COMPUTED_VALUE"""),"Intermediate")</f>
        <v>Intermediate</v>
      </c>
      <c r="N26" s="217" t="str">
        <f ca="1">IFERROR(__xludf.DUMMYFUNCTION("""COMPUTED_VALUE"""),"Fundamentos del content marketing: Cómo redactar un post exitoso")</f>
        <v>Fundamentos del content marketing: Cómo redactar un post exitoso</v>
      </c>
      <c r="O26" s="217"/>
      <c r="P26" s="213"/>
      <c r="Q26" s="215">
        <f ca="1">IFERROR(__xludf.DUMMYFUNCTION("""COMPUTED_VALUE"""),2930914)</f>
        <v>2930914</v>
      </c>
      <c r="R26" s="215" t="str">
        <f ca="1">IFERROR(__xludf.DUMMYFUNCTION("""COMPUTED_VALUE"""),"Intermediate")</f>
        <v>Intermediate</v>
      </c>
      <c r="S26" s="217" t="str">
        <f ca="1">IFERROR(__xludf.DUMMYFUNCTION("""COMPUTED_VALUE"""),"Google Ads (AdWords): Optimierung, Tools, Berichte")</f>
        <v>Google Ads (AdWords): Optimierung, Tools, Berichte</v>
      </c>
      <c r="T26" s="217"/>
      <c r="U26" s="213"/>
      <c r="V26" s="215"/>
      <c r="W26" s="215"/>
      <c r="X26" s="217"/>
      <c r="Y26" s="217"/>
      <c r="Z26" s="213"/>
      <c r="AA26" s="215"/>
      <c r="AB26" s="215"/>
      <c r="AC26" s="217"/>
      <c r="AD26" s="217"/>
      <c r="AE26" s="213"/>
      <c r="AF26" s="215"/>
      <c r="AG26" s="215"/>
      <c r="AH26" s="217"/>
      <c r="AI26" s="217"/>
      <c r="AJ26" s="213"/>
    </row>
    <row r="27" spans="1:36" ht="33.75" customHeight="1">
      <c r="A27" s="213"/>
      <c r="B27" s="214">
        <f ca="1">IFERROR(__xludf.DUMMYFUNCTION("""COMPUTED_VALUE"""),737794)</f>
        <v>737794</v>
      </c>
      <c r="C27" s="215" t="str">
        <f ca="1">IFERROR(__xludf.DUMMYFUNCTION("""COMPUTED_VALUE"""),"Beginner")</f>
        <v>Beginner</v>
      </c>
      <c r="D27" s="216" t="str">
        <f ca="1">IFERROR(__xludf.DUMMYFUNCTION("""COMPUTED_VALUE"""),"Digital Marketing Trends")</f>
        <v>Digital Marketing Trends</v>
      </c>
      <c r="E27" s="217"/>
      <c r="F27" s="213"/>
      <c r="G27" s="214">
        <f ca="1">IFERROR(__xludf.DUMMYFUNCTION("""COMPUTED_VALUE"""),2817211)</f>
        <v>2817211</v>
      </c>
      <c r="H27" s="215" t="str">
        <f ca="1">IFERROR(__xludf.DUMMYFUNCTION("""COMPUTED_VALUE"""),"Advanced")</f>
        <v>Advanced</v>
      </c>
      <c r="I27" s="217" t="str">
        <f ca="1">IFERROR(__xludf.DUMMYFUNCTION("""COMPUTED_VALUE"""),"Les fondements du marketing : Établir une proposition de valeur")</f>
        <v>Les fondements du marketing : Établir une proposition de valeur</v>
      </c>
      <c r="J27" s="217"/>
      <c r="K27" s="213"/>
      <c r="L27" s="215">
        <f ca="1">IFERROR(__xludf.DUMMYFUNCTION("""COMPUTED_VALUE"""),485526)</f>
        <v>485526</v>
      </c>
      <c r="M27" s="215" t="str">
        <f ca="1">IFERROR(__xludf.DUMMYFUNCTION("""COMPUTED_VALUE"""),"Beginner")</f>
        <v>Beginner</v>
      </c>
      <c r="N27" s="217" t="str">
        <f ca="1">IFERROR(__xludf.DUMMYFUNCTION("""COMPUTED_VALUE"""),"Fundamentos del marketing")</f>
        <v>Fundamentos del marketing</v>
      </c>
      <c r="O27" s="217"/>
      <c r="P27" s="213"/>
      <c r="Q27" s="215">
        <f ca="1">IFERROR(__xludf.DUMMYFUNCTION("""COMPUTED_VALUE"""),561508)</f>
        <v>561508</v>
      </c>
      <c r="R27" s="215" t="str">
        <f ca="1">IFERROR(__xludf.DUMMYFUNCTION("""COMPUTED_VALUE"""),"Intermediate")</f>
        <v>Intermediate</v>
      </c>
      <c r="S27" s="217" t="str">
        <f ca="1">IFERROR(__xludf.DUMMYFUNCTION("""COMPUTED_VALUE"""),"Google Ads-Tipps")</f>
        <v>Google Ads-Tipps</v>
      </c>
      <c r="T27" s="217"/>
      <c r="U27" s="213"/>
      <c r="V27" s="215"/>
      <c r="W27" s="215"/>
      <c r="X27" s="217"/>
      <c r="Y27" s="217"/>
      <c r="Z27" s="213"/>
      <c r="AA27" s="215"/>
      <c r="AB27" s="215"/>
      <c r="AC27" s="217"/>
      <c r="AD27" s="217"/>
      <c r="AE27" s="213"/>
      <c r="AF27" s="215"/>
      <c r="AG27" s="215"/>
      <c r="AH27" s="217"/>
      <c r="AI27" s="217"/>
      <c r="AJ27" s="213"/>
    </row>
    <row r="28" spans="1:36" ht="33.75" customHeight="1">
      <c r="A28" s="213"/>
      <c r="B28" s="214">
        <f ca="1">IFERROR(__xludf.DUMMYFUNCTION("""COMPUTED_VALUE"""),5010662)</f>
        <v>5010662</v>
      </c>
      <c r="C28" s="215" t="str">
        <f ca="1">IFERROR(__xludf.DUMMYFUNCTION("""COMPUTED_VALUE"""),"Beginner")</f>
        <v>Beginner</v>
      </c>
      <c r="D28" s="216" t="str">
        <f ca="1">IFERROR(__xludf.DUMMYFUNCTION("""COMPUTED_VALUE"""),"Growth Hacking Foundations")</f>
        <v>Growth Hacking Foundations</v>
      </c>
      <c r="E28" s="217"/>
      <c r="F28" s="213"/>
      <c r="G28" s="214">
        <f ca="1">IFERROR(__xludf.DUMMYFUNCTION("""COMPUTED_VALUE"""),789569)</f>
        <v>789569</v>
      </c>
      <c r="H28" s="215" t="str">
        <f ca="1">IFERROR(__xludf.DUMMYFUNCTION("""COMPUTED_VALUE"""),"Beginner, Intermediate")</f>
        <v>Beginner, Intermediate</v>
      </c>
      <c r="I28" s="217" t="str">
        <f ca="1">IFERROR(__xludf.DUMMYFUNCTION("""COMPUTED_VALUE"""),"Les fondements du marketing : La gamification")</f>
        <v>Les fondements du marketing : La gamification</v>
      </c>
      <c r="J28" s="217"/>
      <c r="K28" s="213"/>
      <c r="L28" s="215">
        <f ca="1">IFERROR(__xludf.DUMMYFUNCTION("""COMPUTED_VALUE"""),3141844)</f>
        <v>3141844</v>
      </c>
      <c r="M28" s="215" t="str">
        <f ca="1">IFERROR(__xludf.DUMMYFUNCTION("""COMPUTED_VALUE"""),"Beginner, Intermediate")</f>
        <v>Beginner, Intermediate</v>
      </c>
      <c r="N28" s="217" t="str">
        <f ca="1">IFERROR(__xludf.DUMMYFUNCTION("""COMPUTED_VALUE"""),"Fundamentos del marketing digital: Mobile marketing")</f>
        <v>Fundamentos del marketing digital: Mobile marketing</v>
      </c>
      <c r="O28" s="217"/>
      <c r="P28" s="213"/>
      <c r="Q28" s="215">
        <f ca="1">IFERROR(__xludf.DUMMYFUNCTION("""COMPUTED_VALUE"""),708838)</f>
        <v>708838</v>
      </c>
      <c r="R28" s="215" t="str">
        <f ca="1">IFERROR(__xludf.DUMMYFUNCTION("""COMPUTED_VALUE"""),"Beginner, Intermediate")</f>
        <v>Beginner, Intermediate</v>
      </c>
      <c r="S28" s="217" t="str">
        <f ca="1">IFERROR(__xludf.DUMMYFUNCTION("""COMPUTED_VALUE"""),"Google Universal Analytics Grundkurs 1: Planen, Implementieren, Verwalten")</f>
        <v>Google Universal Analytics Grundkurs 1: Planen, Implementieren, Verwalten</v>
      </c>
      <c r="T28" s="217"/>
      <c r="U28" s="213"/>
      <c r="V28" s="215"/>
      <c r="W28" s="215"/>
      <c r="X28" s="217"/>
      <c r="Y28" s="217"/>
      <c r="Z28" s="213"/>
      <c r="AA28" s="215"/>
      <c r="AB28" s="215"/>
      <c r="AC28" s="217"/>
      <c r="AD28" s="217"/>
      <c r="AE28" s="213"/>
      <c r="AF28" s="215"/>
      <c r="AG28" s="215"/>
      <c r="AH28" s="217"/>
      <c r="AI28" s="217"/>
      <c r="AJ28" s="213"/>
    </row>
    <row r="29" spans="1:36" ht="33.75" customHeight="1">
      <c r="A29" s="213"/>
      <c r="B29" s="214">
        <f ca="1">IFERROR(__xludf.DUMMYFUNCTION("""COMPUTED_VALUE"""),601813)</f>
        <v>601813</v>
      </c>
      <c r="C29" s="215" t="str">
        <f ca="1">IFERROR(__xludf.DUMMYFUNCTION("""COMPUTED_VALUE"""),"Beginner")</f>
        <v>Beginner</v>
      </c>
      <c r="D29" s="216" t="str">
        <f ca="1">IFERROR(__xludf.DUMMYFUNCTION("""COMPUTED_VALUE"""),"Lifecycle Marketing Foundations")</f>
        <v>Lifecycle Marketing Foundations</v>
      </c>
      <c r="E29" s="217"/>
      <c r="F29" s="213"/>
      <c r="G29" s="214">
        <f ca="1">IFERROR(__xludf.DUMMYFUNCTION("""COMPUTED_VALUE"""),789577)</f>
        <v>789577</v>
      </c>
      <c r="H29" s="215" t="str">
        <f ca="1">IFERROR(__xludf.DUMMYFUNCTION("""COMPUTED_VALUE"""),"Intermediate")</f>
        <v>Intermediate</v>
      </c>
      <c r="I29" s="217" t="str">
        <f ca="1">IFERROR(__xludf.DUMMYFUNCTION("""COMPUTED_VALUE"""),"Les fondements du marketing : L'attribution et le mix modeling")</f>
        <v>Les fondements du marketing : L'attribution et le mix modeling</v>
      </c>
      <c r="J29" s="217"/>
      <c r="K29" s="213"/>
      <c r="L29" s="215">
        <f ca="1">IFERROR(__xludf.DUMMYFUNCTION("""COMPUTED_VALUE"""),553777)</f>
        <v>553777</v>
      </c>
      <c r="M29" s="215" t="str">
        <f ca="1">IFERROR(__xludf.DUMMYFUNCTION("""COMPUTED_VALUE"""),"Beginner")</f>
        <v>Beginner</v>
      </c>
      <c r="N29" s="217" t="str">
        <f ca="1">IFERROR(__xludf.DUMMYFUNCTION("""COMPUTED_VALUE"""),"Fundamentos del marketing online: Content marketing")</f>
        <v>Fundamentos del marketing online: Content marketing</v>
      </c>
      <c r="O29" s="217"/>
      <c r="P29" s="213"/>
      <c r="Q29" s="215">
        <f ca="1">IFERROR(__xludf.DUMMYFUNCTION("""COMPUTED_VALUE"""),747494)</f>
        <v>747494</v>
      </c>
      <c r="R29" s="215" t="str">
        <f ca="1">IFERROR(__xludf.DUMMYFUNCTION("""COMPUTED_VALUE"""),"Beginner, Intermediate")</f>
        <v>Beginner, Intermediate</v>
      </c>
      <c r="S29" s="217" t="str">
        <f ca="1">IFERROR(__xludf.DUMMYFUNCTION("""COMPUTED_VALUE"""),"Google Universal Analytics Grundkurs 2: Bericht, Erkenntnis, Handlung")</f>
        <v>Google Universal Analytics Grundkurs 2: Bericht, Erkenntnis, Handlung</v>
      </c>
      <c r="T29" s="217"/>
      <c r="U29" s="213"/>
      <c r="V29" s="215"/>
      <c r="W29" s="215"/>
      <c r="X29" s="217"/>
      <c r="Y29" s="217"/>
      <c r="Z29" s="213"/>
      <c r="AA29" s="215"/>
      <c r="AB29" s="215"/>
      <c r="AC29" s="217"/>
      <c r="AD29" s="217"/>
      <c r="AE29" s="213"/>
      <c r="AF29" s="215"/>
      <c r="AG29" s="215"/>
      <c r="AH29" s="217"/>
      <c r="AI29" s="217"/>
      <c r="AJ29" s="213"/>
    </row>
    <row r="30" spans="1:36" ht="33.75" customHeight="1">
      <c r="A30" s="213"/>
      <c r="B30" s="214">
        <f ca="1">IFERROR(__xludf.DUMMYFUNCTION("""COMPUTED_VALUE"""),2808539)</f>
        <v>2808539</v>
      </c>
      <c r="C30" s="215" t="str">
        <f ca="1">IFERROR(__xludf.DUMMYFUNCTION("""COMPUTED_VALUE"""),"Beginner")</f>
        <v>Beginner</v>
      </c>
      <c r="D30" s="216" t="str">
        <f ca="1">IFERROR(__xludf.DUMMYFUNCTION("""COMPUTED_VALUE"""),"Marketing Your Side Hustle")</f>
        <v>Marketing Your Side Hustle</v>
      </c>
      <c r="E30" s="217"/>
      <c r="F30" s="213"/>
      <c r="G30" s="214">
        <f ca="1">IFERROR(__xludf.DUMMYFUNCTION("""COMPUTED_VALUE"""),778431)</f>
        <v>778431</v>
      </c>
      <c r="H30" s="215" t="str">
        <f ca="1">IFERROR(__xludf.DUMMYFUNCTION("""COMPUTED_VALUE"""),"Intermediate")</f>
        <v>Intermediate</v>
      </c>
      <c r="I30" s="217" t="str">
        <f ca="1">IFERROR(__xludf.DUMMYFUNCTION("""COMPUTED_VALUE"""),"Les fondements du marketing : Le comportement des utilisateurs / utilisatrices")</f>
        <v>Les fondements du marketing : Le comportement des utilisateurs / utilisatrices</v>
      </c>
      <c r="J30" s="217"/>
      <c r="K30" s="213"/>
      <c r="L30" s="215">
        <f ca="1">IFERROR(__xludf.DUMMYFUNCTION("""COMPUTED_VALUE"""),487788)</f>
        <v>487788</v>
      </c>
      <c r="M30" s="215" t="str">
        <f ca="1">IFERROR(__xludf.DUMMYFUNCTION("""COMPUTED_VALUE"""),"Beginner")</f>
        <v>Beginner</v>
      </c>
      <c r="N30" s="217" t="str">
        <f ca="1">IFERROR(__xludf.DUMMYFUNCTION("""COMPUTED_VALUE"""),"Fundamentos del marketing online: Display marketing")</f>
        <v>Fundamentos del marketing online: Display marketing</v>
      </c>
      <c r="O30" s="217"/>
      <c r="P30" s="213"/>
      <c r="Q30" s="215">
        <f ca="1">IFERROR(__xludf.DUMMYFUNCTION("""COMPUTED_VALUE"""),2390087)</f>
        <v>2390087</v>
      </c>
      <c r="R30" s="215" t="str">
        <f ca="1">IFERROR(__xludf.DUMMYFUNCTION("""COMPUTED_VALUE"""),"Beginner")</f>
        <v>Beginner</v>
      </c>
      <c r="S30" s="217" t="str">
        <f ca="1">IFERROR(__xludf.DUMMYFUNCTION("""COMPUTED_VALUE"""),"Growth Hacking – Grundlagen")</f>
        <v>Growth Hacking – Grundlagen</v>
      </c>
      <c r="T30" s="217"/>
      <c r="U30" s="213"/>
      <c r="V30" s="215"/>
      <c r="W30" s="215"/>
      <c r="X30" s="217"/>
      <c r="Y30" s="217"/>
      <c r="Z30" s="213"/>
      <c r="AA30" s="215"/>
      <c r="AB30" s="215"/>
      <c r="AC30" s="217"/>
      <c r="AD30" s="217"/>
      <c r="AE30" s="213"/>
      <c r="AF30" s="215"/>
      <c r="AG30" s="215"/>
      <c r="AH30" s="217"/>
      <c r="AI30" s="217"/>
      <c r="AJ30" s="213"/>
    </row>
    <row r="31" spans="1:36" ht="33.75" customHeight="1">
      <c r="A31" s="213"/>
      <c r="B31" s="214">
        <f ca="1">IFERROR(__xludf.DUMMYFUNCTION("""COMPUTED_VALUE"""),737795)</f>
        <v>737795</v>
      </c>
      <c r="C31" s="215" t="str">
        <f ca="1">IFERROR(__xludf.DUMMYFUNCTION("""COMPUTED_VALUE"""),"Beginner")</f>
        <v>Beginner</v>
      </c>
      <c r="D31" s="216" t="str">
        <f ca="1">IFERROR(__xludf.DUMMYFUNCTION("""COMPUTED_VALUE"""),"Marketing Tips")</f>
        <v>Marketing Tips</v>
      </c>
      <c r="E31" s="217"/>
      <c r="F31" s="213"/>
      <c r="G31" s="214">
        <f ca="1">IFERROR(__xludf.DUMMYFUNCTION("""COMPUTED_VALUE"""),778430)</f>
        <v>778430</v>
      </c>
      <c r="H31" s="215" t="str">
        <f ca="1">IFERROR(__xludf.DUMMYFUNCTION("""COMPUTED_VALUE"""),"Intermediate")</f>
        <v>Intermediate</v>
      </c>
      <c r="I31" s="217" t="str">
        <f ca="1">IFERROR(__xludf.DUMMYFUNCTION("""COMPUTED_VALUE"""),"Les fondements du marketing : Les techniques d’idéation")</f>
        <v>Les fondements du marketing : Les techniques d’idéation</v>
      </c>
      <c r="J31" s="217"/>
      <c r="K31" s="213"/>
      <c r="L31" s="215">
        <f ca="1">IFERROR(__xludf.DUMMYFUNCTION("""COMPUTED_VALUE"""),428504)</f>
        <v>428504</v>
      </c>
      <c r="M31" s="215" t="str">
        <f ca="1">IFERROR(__xludf.DUMMYFUNCTION("""COMPUTED_VALUE"""),"Beginner, Intermediate")</f>
        <v>Beginner, Intermediate</v>
      </c>
      <c r="N31" s="217" t="str">
        <f ca="1">IFERROR(__xludf.DUMMYFUNCTION("""COMPUTED_VALUE"""),"Fundamentos del marketing online: Email marketing")</f>
        <v>Fundamentos del marketing online: Email marketing</v>
      </c>
      <c r="O31" s="217"/>
      <c r="P31" s="213"/>
      <c r="Q31" s="215">
        <f ca="1">IFERROR(__xludf.DUMMYFUNCTION("""COMPUTED_VALUE"""),759355)</f>
        <v>759355</v>
      </c>
      <c r="R31" s="215" t="str">
        <f ca="1">IFERROR(__xludf.DUMMYFUNCTION("""COMPUTED_VALUE"""),"All levels")</f>
        <v>All levels</v>
      </c>
      <c r="S31" s="217" t="str">
        <f ca="1">IFERROR(__xludf.DUMMYFUNCTION("""COMPUTED_VALUE"""),"Human Branding: Ihre persönliche Marke entwickeln")</f>
        <v>Human Branding: Ihre persönliche Marke entwickeln</v>
      </c>
      <c r="T31" s="217"/>
      <c r="U31" s="213"/>
      <c r="V31" s="215"/>
      <c r="W31" s="215"/>
      <c r="X31" s="217"/>
      <c r="Y31" s="217"/>
      <c r="Z31" s="213"/>
      <c r="AA31" s="215"/>
      <c r="AB31" s="215"/>
      <c r="AC31" s="217"/>
      <c r="AD31" s="217"/>
      <c r="AE31" s="213"/>
      <c r="AF31" s="215"/>
      <c r="AG31" s="215"/>
      <c r="AH31" s="217"/>
      <c r="AI31" s="217"/>
      <c r="AJ31" s="213"/>
    </row>
    <row r="32" spans="1:36" ht="30">
      <c r="A32" s="213"/>
      <c r="B32" s="214">
        <f ca="1">IFERROR(__xludf.DUMMYFUNCTION("""COMPUTED_VALUE"""),672872)</f>
        <v>672872</v>
      </c>
      <c r="C32" s="215" t="str">
        <f ca="1">IFERROR(__xludf.DUMMYFUNCTION("""COMPUTED_VALUE"""),"Beginner")</f>
        <v>Beginner</v>
      </c>
      <c r="D32" s="216" t="str">
        <f ca="1">IFERROR(__xludf.DUMMYFUNCTION("""COMPUTED_VALUE"""),"Marketing to Humans")</f>
        <v>Marketing to Humans</v>
      </c>
      <c r="E32" s="217"/>
      <c r="F32" s="213"/>
      <c r="G32" s="214">
        <f ca="1">IFERROR(__xludf.DUMMYFUNCTION("""COMPUTED_VALUE"""),519726)</f>
        <v>519726</v>
      </c>
      <c r="H32" s="215" t="str">
        <f ca="1">IFERROR(__xludf.DUMMYFUNCTION("""COMPUTED_VALUE"""),"Beginner")</f>
        <v>Beginner</v>
      </c>
      <c r="I32" s="217" t="str">
        <f ca="1">IFERROR(__xludf.DUMMYFUNCTION("""COMPUTED_VALUE"""),"Les fondements du marketing de contenu")</f>
        <v>Les fondements du marketing de contenu</v>
      </c>
      <c r="J32" s="217"/>
      <c r="K32" s="213"/>
      <c r="L32" s="215">
        <f ca="1">IFERROR(__xludf.DUMMYFUNCTION("""COMPUTED_VALUE"""),475174)</f>
        <v>475174</v>
      </c>
      <c r="M32" s="215" t="str">
        <f ca="1">IFERROR(__xludf.DUMMYFUNCTION("""COMPUTED_VALUE"""),"Beginner")</f>
        <v>Beginner</v>
      </c>
      <c r="N32" s="217" t="str">
        <f ca="1">IFERROR(__xludf.DUMMYFUNCTION("""COMPUTED_VALUE"""),"Fundamentos del marketing online: Search marketing")</f>
        <v>Fundamentos del marketing online: Search marketing</v>
      </c>
      <c r="O32" s="217"/>
      <c r="P32" s="213"/>
      <c r="Q32" s="215">
        <f ca="1">IFERROR(__xludf.DUMMYFUNCTION("""COMPUTED_VALUE"""),2881135)</f>
        <v>2881135</v>
      </c>
      <c r="R32" s="215" t="str">
        <f ca="1">IFERROR(__xludf.DUMMYFUNCTION("""COMPUTED_VALUE"""),"All levels")</f>
        <v>All levels</v>
      </c>
      <c r="S32" s="217" t="str">
        <f ca="1">IFERROR(__xludf.DUMMYFUNCTION("""COMPUTED_VALUE"""),"Ihr optimales LinkedIn Unternehmensprofil")</f>
        <v>Ihr optimales LinkedIn Unternehmensprofil</v>
      </c>
      <c r="T32" s="217"/>
      <c r="U32" s="213"/>
      <c r="V32" s="215"/>
      <c r="W32" s="215"/>
      <c r="X32" s="217"/>
      <c r="Y32" s="217"/>
      <c r="Z32" s="213"/>
      <c r="AA32" s="215"/>
      <c r="AB32" s="215"/>
      <c r="AC32" s="217"/>
      <c r="AD32" s="217"/>
      <c r="AE32" s="213"/>
      <c r="AF32" s="215"/>
      <c r="AG32" s="215"/>
      <c r="AH32" s="217"/>
      <c r="AI32" s="217"/>
      <c r="AJ32" s="213"/>
    </row>
    <row r="33" spans="1:36" ht="33.75" customHeight="1">
      <c r="A33" s="213"/>
      <c r="B33" s="214">
        <f ca="1">IFERROR(__xludf.DUMMYFUNCTION("""COMPUTED_VALUE"""),2211320)</f>
        <v>2211320</v>
      </c>
      <c r="C33" s="215" t="str">
        <f ca="1">IFERROR(__xludf.DUMMYFUNCTION("""COMPUTED_VALUE"""),"Beginner")</f>
        <v>Beginner</v>
      </c>
      <c r="D33" s="216" t="str">
        <f ca="1">IFERROR(__xludf.DUMMYFUNCTION("""COMPUTED_VALUE"""),"Marketing on LinkedIn: The Sophisticated Marketer's Guide")</f>
        <v>Marketing on LinkedIn: The Sophisticated Marketer's Guide</v>
      </c>
      <c r="E33" s="217"/>
      <c r="F33" s="213"/>
      <c r="G33" s="214">
        <f ca="1">IFERROR(__xludf.DUMMYFUNCTION("""COMPUTED_VALUE"""),2825466)</f>
        <v>2825466</v>
      </c>
      <c r="H33" s="215" t="str">
        <f ca="1">IFERROR(__xludf.DUMMYFUNCTION("""COMPUTED_VALUE"""),"Beginner, Intermediate")</f>
        <v>Beginner, Intermediate</v>
      </c>
      <c r="I33" s="217" t="str">
        <f ca="1">IFERROR(__xludf.DUMMYFUNCTION("""COMPUTED_VALUE"""),"Les fondements du marketing en ligne")</f>
        <v>Les fondements du marketing en ligne</v>
      </c>
      <c r="J33" s="217"/>
      <c r="K33" s="213"/>
      <c r="L33" s="215">
        <f ca="1">IFERROR(__xludf.DUMMYFUNCTION("""COMPUTED_VALUE"""),419813)</f>
        <v>419813</v>
      </c>
      <c r="M33" s="215" t="str">
        <f ca="1">IFERROR(__xludf.DUMMYFUNCTION("""COMPUTED_VALUE"""),"Beginner")</f>
        <v>Beginner</v>
      </c>
      <c r="N33" s="217" t="str">
        <f ca="1">IFERROR(__xludf.DUMMYFUNCTION("""COMPUTED_VALUE"""),"Fundamentos del marketing: Growth hacking")</f>
        <v>Fundamentos del marketing: Growth hacking</v>
      </c>
      <c r="O33" s="217"/>
      <c r="P33" s="213"/>
      <c r="Q33" s="215">
        <f ca="1">IFERROR(__xludf.DUMMYFUNCTION("""COMPUTED_VALUE"""),793651)</f>
        <v>793651</v>
      </c>
      <c r="R33" s="215" t="str">
        <f ca="1">IFERROR(__xludf.DUMMYFUNCTION("""COMPUTED_VALUE"""),"All levels")</f>
        <v>All levels</v>
      </c>
      <c r="S33" s="217" t="str">
        <f ca="1">IFERROR(__xludf.DUMMYFUNCTION("""COMPUTED_VALUE"""),"Ihre Kompetenz sichtbar machen")</f>
        <v>Ihre Kompetenz sichtbar machen</v>
      </c>
      <c r="T33" s="217"/>
      <c r="U33" s="213"/>
      <c r="V33" s="215"/>
      <c r="W33" s="215"/>
      <c r="X33" s="217"/>
      <c r="Y33" s="217"/>
      <c r="Z33" s="213"/>
      <c r="AA33" s="215"/>
      <c r="AB33" s="215"/>
      <c r="AC33" s="217"/>
      <c r="AD33" s="217"/>
      <c r="AE33" s="213"/>
      <c r="AF33" s="215"/>
      <c r="AG33" s="215"/>
      <c r="AH33" s="217"/>
      <c r="AI33" s="217"/>
      <c r="AJ33" s="213"/>
    </row>
    <row r="34" spans="1:36" ht="33.75" customHeight="1">
      <c r="A34" s="213"/>
      <c r="B34" s="214">
        <f ca="1">IFERROR(__xludf.DUMMYFUNCTION("""COMPUTED_VALUE"""),2213242)</f>
        <v>2213242</v>
      </c>
      <c r="C34" s="215" t="str">
        <f ca="1">IFERROR(__xludf.DUMMYFUNCTION("""COMPUTED_VALUE"""),"Beginner")</f>
        <v>Beginner</v>
      </c>
      <c r="D34" s="216" t="str">
        <f ca="1">IFERROR(__xludf.DUMMYFUNCTION("""COMPUTED_VALUE"""),"Building a Creative Online Community")</f>
        <v>Building a Creative Online Community</v>
      </c>
      <c r="E34" s="217"/>
      <c r="F34" s="213"/>
      <c r="G34" s="214">
        <f ca="1">IFERROR(__xludf.DUMMYFUNCTION("""COMPUTED_VALUE"""),520860)</f>
        <v>520860</v>
      </c>
      <c r="H34" s="215" t="str">
        <f ca="1">IFERROR(__xludf.DUMMYFUNCTION("""COMPUTED_VALUE"""),"Beginner")</f>
        <v>Beginner</v>
      </c>
      <c r="I34" s="217" t="str">
        <f ca="1">IFERROR(__xludf.DUMMYFUNCTION("""COMPUTED_VALUE"""),"Les fondements du marketing mobile")</f>
        <v>Les fondements du marketing mobile</v>
      </c>
      <c r="J34" s="217"/>
      <c r="K34" s="213"/>
      <c r="L34" s="215">
        <f ca="1">IFERROR(__xludf.DUMMYFUNCTION("""COMPUTED_VALUE"""),551323)</f>
        <v>551323</v>
      </c>
      <c r="M34" s="215" t="str">
        <f ca="1">IFERROR(__xludf.DUMMYFUNCTION("""COMPUTED_VALUE"""),"Beginner")</f>
        <v>Beginner</v>
      </c>
      <c r="N34" s="217" t="str">
        <f ca="1">IFERROR(__xludf.DUMMYFUNCTION("""COMPUTED_VALUE"""),"Fundamentos del marketing: Mercado internacional")</f>
        <v>Fundamentos del marketing: Mercado internacional</v>
      </c>
      <c r="O34" s="217"/>
      <c r="P34" s="213"/>
      <c r="Q34" s="215">
        <f ca="1">IFERROR(__xludf.DUMMYFUNCTION("""COMPUTED_VALUE"""),5025662)</f>
        <v>5025662</v>
      </c>
      <c r="R34" s="215" t="str">
        <f ca="1">IFERROR(__xludf.DUMMYFUNCTION("""COMPUTED_VALUE"""),"Intermediate")</f>
        <v>Intermediate</v>
      </c>
      <c r="S34" s="217" t="str">
        <f ca="1">IFERROR(__xludf.DUMMYFUNCTION("""COMPUTED_VALUE"""),"InDesign: Content First mit Cloudpublishing")</f>
        <v>InDesign: Content First mit Cloudpublishing</v>
      </c>
      <c r="T34" s="217"/>
      <c r="U34" s="213"/>
      <c r="V34" s="215"/>
      <c r="W34" s="215"/>
      <c r="X34" s="217"/>
      <c r="Y34" s="217"/>
      <c r="Z34" s="213"/>
      <c r="AA34" s="215"/>
      <c r="AB34" s="215"/>
      <c r="AC34" s="217"/>
      <c r="AD34" s="217"/>
      <c r="AE34" s="213"/>
      <c r="AF34" s="215"/>
      <c r="AG34" s="215"/>
      <c r="AH34" s="217"/>
      <c r="AI34" s="217"/>
      <c r="AJ34" s="213"/>
    </row>
    <row r="35" spans="1:36" ht="33.75" customHeight="1">
      <c r="A35" s="213"/>
      <c r="B35" s="214">
        <f ca="1">IFERROR(__xludf.DUMMYFUNCTION("""COMPUTED_VALUE"""),2810407)</f>
        <v>2810407</v>
      </c>
      <c r="C35" s="215" t="str">
        <f ca="1">IFERROR(__xludf.DUMMYFUNCTION("""COMPUTED_VALUE"""),"Beginner")</f>
        <v>Beginner</v>
      </c>
      <c r="D35" s="216" t="str">
        <f ca="1">IFERROR(__xludf.DUMMYFUNCTION("""COMPUTED_VALUE"""),"Social Media Video for Business and Marketing")</f>
        <v>Social Media Video for Business and Marketing</v>
      </c>
      <c r="E35" s="217"/>
      <c r="F35" s="213"/>
      <c r="G35" s="214">
        <f ca="1">IFERROR(__xludf.DUMMYFUNCTION("""COMPUTED_VALUE"""),778432)</f>
        <v>778432</v>
      </c>
      <c r="H35" s="215" t="str">
        <f ca="1">IFERROR(__xludf.DUMMYFUNCTION("""COMPUTED_VALUE"""),"Intermediate")</f>
        <v>Intermediate</v>
      </c>
      <c r="I35" s="217" t="str">
        <f ca="1">IFERROR(__xludf.DUMMYFUNCTION("""COMPUTED_VALUE"""),"Les fondements du marketing pour les entreprises de services")</f>
        <v>Les fondements du marketing pour les entreprises de services</v>
      </c>
      <c r="J35" s="217"/>
      <c r="K35" s="213"/>
      <c r="L35" s="215">
        <f ca="1">IFERROR(__xludf.DUMMYFUNCTION("""COMPUTED_VALUE"""),5030423)</f>
        <v>5030423</v>
      </c>
      <c r="M35" s="215" t="str">
        <f ca="1">IFERROR(__xludf.DUMMYFUNCTION("""COMPUTED_VALUE"""),"Advanced")</f>
        <v>Advanced</v>
      </c>
      <c r="N35" s="217" t="str">
        <f ca="1">IFERROR(__xludf.DUMMYFUNCTION("""COMPUTED_VALUE"""),"Google Ads avanzado")</f>
        <v>Google Ads avanzado</v>
      </c>
      <c r="O35" s="217"/>
      <c r="P35" s="213"/>
      <c r="Q35" s="215">
        <f ca="1">IFERROR(__xludf.DUMMYFUNCTION("""COMPUTED_VALUE"""),2940444)</f>
        <v>2940444</v>
      </c>
      <c r="R35" s="215" t="str">
        <f ca="1">IFERROR(__xludf.DUMMYFUNCTION("""COMPUTED_VALUE"""),"Beginner")</f>
        <v>Beginner</v>
      </c>
      <c r="S35" s="217" t="str">
        <f ca="1">IFERROR(__xludf.DUMMYFUNCTION("""COMPUTED_VALUE"""),"Influencer-Marketing – Grundlagen")</f>
        <v>Influencer-Marketing – Grundlagen</v>
      </c>
      <c r="T35" s="217"/>
      <c r="U35" s="213"/>
      <c r="V35" s="215"/>
      <c r="W35" s="215"/>
      <c r="X35" s="217"/>
      <c r="Y35" s="217"/>
      <c r="Z35" s="213"/>
      <c r="AA35" s="215"/>
      <c r="AB35" s="215"/>
      <c r="AC35" s="217"/>
      <c r="AD35" s="217"/>
      <c r="AE35" s="213"/>
      <c r="AF35" s="215"/>
      <c r="AG35" s="215"/>
      <c r="AH35" s="217"/>
      <c r="AI35" s="217"/>
      <c r="AJ35" s="213"/>
    </row>
    <row r="36" spans="1:36" ht="33.75" customHeight="1">
      <c r="A36" s="213"/>
      <c r="B36" s="214">
        <f ca="1">IFERROR(__xludf.DUMMYFUNCTION("""COMPUTED_VALUE"""),2815150)</f>
        <v>2815150</v>
      </c>
      <c r="C36" s="215" t="str">
        <f ca="1">IFERROR(__xludf.DUMMYFUNCTION("""COMPUTED_VALUE"""),"Beginner")</f>
        <v>Beginner</v>
      </c>
      <c r="D36" s="216" t="str">
        <f ca="1">IFERROR(__xludf.DUMMYFUNCTION("""COMPUTED_VALUE"""),"Creating Marketing Objectives")</f>
        <v>Creating Marketing Objectives</v>
      </c>
      <c r="E36" s="217"/>
      <c r="F36" s="213"/>
      <c r="G36" s="214">
        <f ca="1">IFERROR(__xludf.DUMMYFUNCTION("""COMPUTED_VALUE"""),5025497)</f>
        <v>5025497</v>
      </c>
      <c r="H36" s="215" t="str">
        <f ca="1">IFERROR(__xludf.DUMMYFUNCTION("""COMPUTED_VALUE"""),"Beginner, Intermediate")</f>
        <v>Beginner, Intermediate</v>
      </c>
      <c r="I36" s="217" t="str">
        <f ca="1">IFERROR(__xludf.DUMMYFUNCTION("""COMPUTED_VALUE"""),"Les fondements du référencement")</f>
        <v>Les fondements du référencement</v>
      </c>
      <c r="J36" s="217"/>
      <c r="K36" s="213"/>
      <c r="L36" s="215">
        <f ca="1">IFERROR(__xludf.DUMMYFUNCTION("""COMPUTED_VALUE"""),2809578)</f>
        <v>2809578</v>
      </c>
      <c r="M36" s="215" t="str">
        <f ca="1">IFERROR(__xludf.DUMMYFUNCTION("""COMPUTED_VALUE"""),"Advanced")</f>
        <v>Advanced</v>
      </c>
      <c r="N36" s="217" t="str">
        <f ca="1">IFERROR(__xludf.DUMMYFUNCTION("""COMPUTED_VALUE"""),"Google Ads: Creación de campañas")</f>
        <v>Google Ads: Creación de campañas</v>
      </c>
      <c r="O36" s="217"/>
      <c r="P36" s="213"/>
      <c r="Q36" s="215">
        <f ca="1">IFERROR(__xludf.DUMMYFUNCTION("""COMPUTED_VALUE"""),529984)</f>
        <v>529984</v>
      </c>
      <c r="R36" s="215" t="str">
        <f ca="1">IFERROR(__xludf.DUMMYFUNCTION("""COMPUTED_VALUE"""),"Beginner")</f>
        <v>Beginner</v>
      </c>
      <c r="S36" s="217" t="str">
        <f ca="1">IFERROR(__xludf.DUMMYFUNCTION("""COMPUTED_VALUE"""),"Instagram für Kreative")</f>
        <v>Instagram für Kreative</v>
      </c>
      <c r="T36" s="217"/>
      <c r="U36" s="213"/>
      <c r="V36" s="215"/>
      <c r="W36" s="215"/>
      <c r="X36" s="217"/>
      <c r="Y36" s="217"/>
      <c r="Z36" s="213"/>
      <c r="AA36" s="215"/>
      <c r="AB36" s="215"/>
      <c r="AC36" s="217"/>
      <c r="AD36" s="217"/>
      <c r="AE36" s="213"/>
      <c r="AF36" s="215"/>
      <c r="AG36" s="215"/>
      <c r="AH36" s="217"/>
      <c r="AI36" s="217"/>
      <c r="AJ36" s="213"/>
    </row>
    <row r="37" spans="1:36" ht="33.75" customHeight="1">
      <c r="A37" s="213"/>
      <c r="B37" s="214">
        <f ca="1">IFERROR(__xludf.DUMMYFUNCTION("""COMPUTED_VALUE"""),2816003)</f>
        <v>2816003</v>
      </c>
      <c r="C37" s="215" t="str">
        <f ca="1">IFERROR(__xludf.DUMMYFUNCTION("""COMPUTED_VALUE"""),"Beginner")</f>
        <v>Beginner</v>
      </c>
      <c r="D37" s="216" t="str">
        <f ca="1">IFERROR(__xludf.DUMMYFUNCTION("""COMPUTED_VALUE"""),"Determining Market Size for Your Product or Service")</f>
        <v>Determining Market Size for Your Product or Service</v>
      </c>
      <c r="E37" s="217"/>
      <c r="F37" s="213"/>
      <c r="G37" s="214">
        <f ca="1">IFERROR(__xludf.DUMMYFUNCTION("""COMPUTED_VALUE"""),629860)</f>
        <v>629860</v>
      </c>
      <c r="H37" s="215" t="str">
        <f ca="1">IFERROR(__xludf.DUMMYFUNCTION("""COMPUTED_VALUE"""),"Beginner, Intermediate")</f>
        <v>Beginner, Intermediate</v>
      </c>
      <c r="I37" s="217" t="str">
        <f ca="1">IFERROR(__xludf.DUMMYFUNCTION("""COMPUTED_VALUE"""),"Les fondements du SEO international")</f>
        <v>Les fondements du SEO international</v>
      </c>
      <c r="J37" s="217"/>
      <c r="K37" s="213"/>
      <c r="L37" s="215">
        <f ca="1">IFERROR(__xludf.DUMMYFUNCTION("""COMPUTED_VALUE"""),495811)</f>
        <v>495811</v>
      </c>
      <c r="M37" s="215" t="str">
        <f ca="1">IFERROR(__xludf.DUMMYFUNCTION("""COMPUTED_VALUE"""),"Intermediate")</f>
        <v>Intermediate</v>
      </c>
      <c r="N37" s="217" t="str">
        <f ca="1">IFERROR(__xludf.DUMMYFUNCTION("""COMPUTED_VALUE"""),"Google AdWords: Creación de campañas")</f>
        <v>Google AdWords: Creación de campañas</v>
      </c>
      <c r="O37" s="217"/>
      <c r="P37" s="213"/>
      <c r="Q37" s="215">
        <f ca="1">IFERROR(__xludf.DUMMYFUNCTION("""COMPUTED_VALUE"""),3101022)</f>
        <v>3101022</v>
      </c>
      <c r="R37" s="215" t="str">
        <f ca="1">IFERROR(__xludf.DUMMYFUNCTION("""COMPUTED_VALUE"""),"Beginner, Intermediate")</f>
        <v>Beginner, Intermediate</v>
      </c>
      <c r="S37" s="217" t="str">
        <f ca="1">IFERROR(__xludf.DUMMYFUNCTION("""COMPUTED_VALUE"""),"Instagram kennenlernen")</f>
        <v>Instagram kennenlernen</v>
      </c>
      <c r="T37" s="217"/>
      <c r="U37" s="213"/>
      <c r="V37" s="215"/>
      <c r="W37" s="215"/>
      <c r="X37" s="217"/>
      <c r="Y37" s="217"/>
      <c r="Z37" s="213"/>
      <c r="AA37" s="215"/>
      <c r="AB37" s="215"/>
      <c r="AC37" s="217"/>
      <c r="AD37" s="217"/>
      <c r="AE37" s="213"/>
      <c r="AF37" s="215"/>
      <c r="AG37" s="215"/>
      <c r="AH37" s="217"/>
      <c r="AI37" s="217"/>
      <c r="AJ37" s="213"/>
    </row>
    <row r="38" spans="1:36" ht="33.75" customHeight="1">
      <c r="A38" s="213"/>
      <c r="B38" s="214">
        <f ca="1">IFERROR(__xludf.DUMMYFUNCTION("""COMPUTED_VALUE"""),5035823)</f>
        <v>5035823</v>
      </c>
      <c r="C38" s="215" t="str">
        <f ca="1">IFERROR(__xludf.DUMMYFUNCTION("""COMPUTED_VALUE"""),"Beginner")</f>
        <v>Beginner</v>
      </c>
      <c r="D38" s="216" t="str">
        <f ca="1">IFERROR(__xludf.DUMMYFUNCTION("""COMPUTED_VALUE"""),"Social Media Marketing Tips(2019)")</f>
        <v>Social Media Marketing Tips(2019)</v>
      </c>
      <c r="E38" s="217"/>
      <c r="F38" s="213"/>
      <c r="G38" s="214">
        <f ca="1">IFERROR(__xludf.DUMMYFUNCTION("""COMPUTED_VALUE"""),2825599)</f>
        <v>2825599</v>
      </c>
      <c r="H38" s="215" t="str">
        <f ca="1">IFERROR(__xludf.DUMMYFUNCTION("""COMPUTED_VALUE"""),"Beginner, Intermediate")</f>
        <v>Beginner, Intermediate</v>
      </c>
      <c r="I38" s="217" t="str">
        <f ca="1">IFERROR(__xludf.DUMMYFUNCTION("""COMPUTED_VALUE"""),"Les fondements du SEO local")</f>
        <v>Les fondements du SEO local</v>
      </c>
      <c r="J38" s="217"/>
      <c r="K38" s="213"/>
      <c r="L38" s="215">
        <f ca="1">IFERROR(__xludf.DUMMYFUNCTION("""COMPUTED_VALUE"""),2267295)</f>
        <v>2267295</v>
      </c>
      <c r="M38" s="215" t="str">
        <f ca="1">IFERROR(__xludf.DUMMYFUNCTION("""COMPUTED_VALUE"""),"Beginner, Intermediate")</f>
        <v>Beginner, Intermediate</v>
      </c>
      <c r="N38" s="217" t="str">
        <f ca="1">IFERROR(__xludf.DUMMYFUNCTION("""COMPUTED_VALUE"""),"Google Analytics esencial")</f>
        <v>Google Analytics esencial</v>
      </c>
      <c r="O38" s="217"/>
      <c r="P38" s="213"/>
      <c r="Q38" s="215">
        <f ca="1">IFERROR(__xludf.DUMMYFUNCTION("""COMPUTED_VALUE"""),453970)</f>
        <v>453970</v>
      </c>
      <c r="R38" s="215" t="str">
        <f ca="1">IFERROR(__xludf.DUMMYFUNCTION("""COMPUTED_VALUE"""),"Beginner, Intermediate")</f>
        <v>Beginner, Intermediate</v>
      </c>
      <c r="S38" s="217" t="str">
        <f ca="1">IFERROR(__xludf.DUMMYFUNCTION("""COMPUTED_VALUE"""),"Internationales Marketing – Grundlagen")</f>
        <v>Internationales Marketing – Grundlagen</v>
      </c>
      <c r="T38" s="217"/>
      <c r="U38" s="213"/>
      <c r="V38" s="215"/>
      <c r="W38" s="215"/>
      <c r="X38" s="217"/>
      <c r="Y38" s="217"/>
      <c r="Z38" s="213"/>
      <c r="AA38" s="215"/>
      <c r="AB38" s="215"/>
      <c r="AC38" s="217"/>
      <c r="AD38" s="217"/>
      <c r="AE38" s="213"/>
      <c r="AF38" s="215"/>
      <c r="AG38" s="215"/>
      <c r="AH38" s="217"/>
      <c r="AI38" s="217"/>
      <c r="AJ38" s="213"/>
    </row>
    <row r="39" spans="1:36" ht="33.75" customHeight="1">
      <c r="A39" s="213"/>
      <c r="B39" s="214">
        <f ca="1">IFERROR(__xludf.DUMMYFUNCTION("""COMPUTED_VALUE"""),5038216)</f>
        <v>5038216</v>
      </c>
      <c r="C39" s="215" t="str">
        <f ca="1">IFERROR(__xludf.DUMMYFUNCTION("""COMPUTED_VALUE"""),"Beginner")</f>
        <v>Beginner</v>
      </c>
      <c r="D39" s="216" t="str">
        <f ca="1">IFERROR(__xludf.DUMMYFUNCTION("""COMPUTED_VALUE"""),"Marketing Foundations: Automation")</f>
        <v>Marketing Foundations: Automation</v>
      </c>
      <c r="E39" s="217"/>
      <c r="F39" s="213"/>
      <c r="G39" s="214">
        <f ca="1">IFERROR(__xludf.DUMMYFUNCTION("""COMPUTED_VALUE"""),3032256)</f>
        <v>3032256</v>
      </c>
      <c r="H39" s="215" t="str">
        <f ca="1">IFERROR(__xludf.DUMMYFUNCTION("""COMPUTED_VALUE"""),"Beginner, Intermediate")</f>
        <v>Beginner, Intermediate</v>
      </c>
      <c r="I39" s="217" t="str">
        <f ca="1">IFERROR(__xludf.DUMMYFUNCTION("""COMPUTED_VALUE"""),"Les outils du marketing digital")</f>
        <v>Les outils du marketing digital</v>
      </c>
      <c r="J39" s="217"/>
      <c r="K39" s="213"/>
      <c r="L39" s="215">
        <f ca="1">IFERROR(__xludf.DUMMYFUNCTION("""COMPUTED_VALUE"""),2368466)</f>
        <v>2368466</v>
      </c>
      <c r="M39" s="215" t="str">
        <f ca="1">IFERROR(__xludf.DUMMYFUNCTION("""COMPUTED_VALUE"""),"Beginner, Intermediate")</f>
        <v>Beginner, Intermediate</v>
      </c>
      <c r="N39" s="217" t="str">
        <f ca="1">IFERROR(__xludf.DUMMYFUNCTION("""COMPUTED_VALUE"""),"Introducción al marketing digital en tiempos de crisis")</f>
        <v>Introducción al marketing digital en tiempos de crisis</v>
      </c>
      <c r="O39" s="217"/>
      <c r="P39" s="213"/>
      <c r="Q39" s="215">
        <f ca="1">IFERROR(__xludf.DUMMYFUNCTION("""COMPUTED_VALUE"""),761020)</f>
        <v>761020</v>
      </c>
      <c r="R39" s="215" t="str">
        <f ca="1">IFERROR(__xludf.DUMMYFUNCTION("""COMPUTED_VALUE"""),"Beginner, Intermediate")</f>
        <v>Beginner, Intermediate</v>
      </c>
      <c r="S39" s="217" t="str">
        <f ca="1">IFERROR(__xludf.DUMMYFUNCTION("""COMPUTED_VALUE"""),"Kreative Methoden für Marketing und PR")</f>
        <v>Kreative Methoden für Marketing und PR</v>
      </c>
      <c r="T39" s="217"/>
      <c r="U39" s="213"/>
      <c r="V39" s="215"/>
      <c r="W39" s="215"/>
      <c r="X39" s="217"/>
      <c r="Y39" s="217"/>
      <c r="Z39" s="213"/>
      <c r="AA39" s="215"/>
      <c r="AB39" s="215"/>
      <c r="AC39" s="217"/>
      <c r="AD39" s="217"/>
      <c r="AE39" s="213"/>
      <c r="AF39" s="215"/>
      <c r="AG39" s="215"/>
      <c r="AH39" s="217"/>
      <c r="AI39" s="217"/>
      <c r="AJ39" s="213"/>
    </row>
    <row r="40" spans="1:36" ht="33.75" customHeight="1">
      <c r="A40" s="213"/>
      <c r="B40" s="214">
        <f ca="1">IFERROR(__xludf.DUMMYFUNCTION("""COMPUTED_VALUE"""),2813226)</f>
        <v>2813226</v>
      </c>
      <c r="C40" s="215" t="str">
        <f ca="1">IFERROR(__xludf.DUMMYFUNCTION("""COMPUTED_VALUE"""),"Beginner")</f>
        <v>Beginner</v>
      </c>
      <c r="D40" s="216" t="str">
        <f ca="1">IFERROR(__xludf.DUMMYFUNCTION("""COMPUTED_VALUE"""),"Content Marketing: Newsletters")</f>
        <v>Content Marketing: Newsletters</v>
      </c>
      <c r="E40" s="217"/>
      <c r="F40" s="213"/>
      <c r="G40" s="214">
        <f ca="1">IFERROR(__xludf.DUMMYFUNCTION("""COMPUTED_VALUE"""),2982071)</f>
        <v>2982071</v>
      </c>
      <c r="H40" s="215" t="str">
        <f ca="1">IFERROR(__xludf.DUMMYFUNCTION("""COMPUTED_VALUE"""),"Intermediate")</f>
        <v>Intermediate</v>
      </c>
      <c r="I40" s="217" t="str">
        <f ca="1">IFERROR(__xludf.DUMMYFUNCTION("""COMPUTED_VALUE"""),"Les réseaux sociaux pour les entreprises")</f>
        <v>Les réseaux sociaux pour les entreprises</v>
      </c>
      <c r="J40" s="217"/>
      <c r="K40" s="213"/>
      <c r="L40" s="215">
        <f ca="1">IFERROR(__xludf.DUMMYFUNCTION("""COMPUTED_VALUE"""),2925113)</f>
        <v>2925113</v>
      </c>
      <c r="M40" s="215" t="str">
        <f ca="1">IFERROR(__xludf.DUMMYFUNCTION("""COMPUTED_VALUE"""),"Beginner")</f>
        <v>Beginner</v>
      </c>
      <c r="N40" s="217" t="str">
        <f ca="1">IFERROR(__xludf.DUMMYFUNCTION("""COMPUTED_VALUE"""),"La Comunicación Integrada de Marketing o Integrated Marketing Communications")</f>
        <v>La Comunicación Integrada de Marketing o Integrated Marketing Communications</v>
      </c>
      <c r="O40" s="217"/>
      <c r="P40" s="213"/>
      <c r="Q40" s="215">
        <f ca="1">IFERROR(__xludf.DUMMYFUNCTION("""COMPUTED_VALUE"""),734560)</f>
        <v>734560</v>
      </c>
      <c r="R40" s="215" t="str">
        <f ca="1">IFERROR(__xludf.DUMMYFUNCTION("""COMPUTED_VALUE"""),"Beginner")</f>
        <v>Beginner</v>
      </c>
      <c r="S40" s="217" t="str">
        <f ca="1">IFERROR(__xludf.DUMMYFUNCTION("""COMPUTED_VALUE"""),"Kundenkommunikation mit WhatsApp Business")</f>
        <v>Kundenkommunikation mit WhatsApp Business</v>
      </c>
      <c r="T40" s="217"/>
      <c r="U40" s="213"/>
      <c r="V40" s="215"/>
      <c r="W40" s="215"/>
      <c r="X40" s="217"/>
      <c r="Y40" s="217"/>
      <c r="Z40" s="213"/>
      <c r="AA40" s="215"/>
      <c r="AB40" s="215"/>
      <c r="AC40" s="217"/>
      <c r="AD40" s="217"/>
      <c r="AE40" s="213"/>
      <c r="AF40" s="215"/>
      <c r="AG40" s="215"/>
      <c r="AH40" s="217"/>
      <c r="AI40" s="217"/>
      <c r="AJ40" s="213"/>
    </row>
    <row r="41" spans="1:36" ht="33.75" customHeight="1">
      <c r="A41" s="213"/>
      <c r="B41" s="214">
        <f ca="1">IFERROR(__xludf.DUMMYFUNCTION("""COMPUTED_VALUE"""),2814166)</f>
        <v>2814166</v>
      </c>
      <c r="C41" s="215" t="str">
        <f ca="1">IFERROR(__xludf.DUMMYFUNCTION("""COMPUTED_VALUE"""),"Beginner")</f>
        <v>Beginner</v>
      </c>
      <c r="D41" s="216" t="str">
        <f ca="1">IFERROR(__xludf.DUMMYFUNCTION("""COMPUTED_VALUE"""),"Identifying Your Target Market")</f>
        <v>Identifying Your Target Market</v>
      </c>
      <c r="E41" s="217"/>
      <c r="F41" s="213"/>
      <c r="G41" s="214">
        <f ca="1">IFERROR(__xludf.DUMMYFUNCTION("""COMPUTED_VALUE"""),2259761)</f>
        <v>2259761</v>
      </c>
      <c r="H41" s="215" t="str">
        <f ca="1">IFERROR(__xludf.DUMMYFUNCTION("""COMPUTED_VALUE"""),"Advanced")</f>
        <v>Advanced</v>
      </c>
      <c r="I41" s="217" t="str">
        <f ca="1">IFERROR(__xludf.DUMMYFUNCTION("""COMPUTED_VALUE"""),"Les tendances du marketing numérique")</f>
        <v>Les tendances du marketing numérique</v>
      </c>
      <c r="J41" s="217"/>
      <c r="K41" s="213"/>
      <c r="L41" s="215">
        <f ca="1">IFERROR(__xludf.DUMMYFUNCTION("""COMPUTED_VALUE"""),5025689)</f>
        <v>5025689</v>
      </c>
      <c r="M41" s="215" t="str">
        <f ca="1">IFERROR(__xludf.DUMMYFUNCTION("""COMPUTED_VALUE"""),"Intermediate")</f>
        <v>Intermediate</v>
      </c>
      <c r="N41" s="217" t="str">
        <f ca="1">IFERROR(__xludf.DUMMYFUNCTION("""COMPUTED_VALUE"""),"La venta persuasiva")</f>
        <v>La venta persuasiva</v>
      </c>
      <c r="O41" s="217"/>
      <c r="P41" s="213"/>
      <c r="Q41" s="215">
        <f ca="1">IFERROR(__xludf.DUMMYFUNCTION("""COMPUTED_VALUE"""),708837)</f>
        <v>708837</v>
      </c>
      <c r="R41" s="215" t="str">
        <f ca="1">IFERROR(__xludf.DUMMYFUNCTION("""COMPUTED_VALUE"""),"Beginner")</f>
        <v>Beginner</v>
      </c>
      <c r="S41" s="217" t="str">
        <f ca="1">IFERROR(__xludf.DUMMYFUNCTION("""COMPUTED_VALUE"""),"Lean Digital Marketing")</f>
        <v>Lean Digital Marketing</v>
      </c>
      <c r="T41" s="217"/>
      <c r="U41" s="213"/>
      <c r="V41" s="215"/>
      <c r="W41" s="215"/>
      <c r="X41" s="217"/>
      <c r="Y41" s="217"/>
      <c r="Z41" s="213"/>
      <c r="AA41" s="215"/>
      <c r="AB41" s="215"/>
      <c r="AC41" s="217"/>
      <c r="AD41" s="217"/>
      <c r="AE41" s="213"/>
      <c r="AF41" s="215"/>
      <c r="AG41" s="215"/>
      <c r="AH41" s="217"/>
      <c r="AI41" s="217"/>
      <c r="AJ41" s="213"/>
    </row>
    <row r="42" spans="1:36" ht="33.75" customHeight="1">
      <c r="A42" s="213"/>
      <c r="B42" s="214">
        <f ca="1">IFERROR(__xludf.DUMMYFUNCTION("""COMPUTED_VALUE"""),2815022)</f>
        <v>2815022</v>
      </c>
      <c r="C42" s="215" t="str">
        <f ca="1">IFERROR(__xludf.DUMMYFUNCTION("""COMPUTED_VALUE"""),"Beginner")</f>
        <v>Beginner</v>
      </c>
      <c r="D42" s="216" t="str">
        <f ca="1">IFERROR(__xludf.DUMMYFUNCTION("""COMPUTED_VALUE"""),"Market Research Foundations")</f>
        <v>Market Research Foundations</v>
      </c>
      <c r="E42" s="217"/>
      <c r="F42" s="213"/>
      <c r="G42" s="214">
        <f ca="1">IFERROR(__xludf.DUMMYFUNCTION("""COMPUTED_VALUE"""),2825737)</f>
        <v>2825737</v>
      </c>
      <c r="H42" s="215" t="str">
        <f ca="1">IFERROR(__xludf.DUMMYFUNCTION("""COMPUTED_VALUE"""),"Beginner, Intermediate")</f>
        <v>Beginner, Intermediate</v>
      </c>
      <c r="I42" s="217" t="str">
        <f ca="1">IFERROR(__xludf.DUMMYFUNCTION("""COMPUTED_VALUE"""),"L'essentiel de Google Ads")</f>
        <v>L'essentiel de Google Ads</v>
      </c>
      <c r="J42" s="217"/>
      <c r="K42" s="213"/>
      <c r="L42" s="215">
        <f ca="1">IFERROR(__xludf.DUMMYFUNCTION("""COMPUTED_VALUE"""),2811687)</f>
        <v>2811687</v>
      </c>
      <c r="M42" s="215" t="str">
        <f ca="1">IFERROR(__xludf.DUMMYFUNCTION("""COMPUTED_VALUE"""),"Beginner, Intermediate")</f>
        <v>Beginner, Intermediate</v>
      </c>
      <c r="N42" s="217" t="str">
        <f ca="1">IFERROR(__xludf.DUMMYFUNCTION("""COMPUTED_VALUE"""),"LinkedIn Ads: Creación de campañas")</f>
        <v>LinkedIn Ads: Creación de campañas</v>
      </c>
      <c r="O42" s="217"/>
      <c r="P42" s="213"/>
      <c r="Q42" s="215">
        <f ca="1">IFERROR(__xludf.DUMMYFUNCTION("""COMPUTED_VALUE"""),561714)</f>
        <v>561714</v>
      </c>
      <c r="R42" s="215" t="str">
        <f ca="1">IFERROR(__xludf.DUMMYFUNCTION("""COMPUTED_VALUE"""),"Beginner")</f>
        <v>Beginner</v>
      </c>
      <c r="S42" s="217" t="str">
        <f ca="1">IFERROR(__xludf.DUMMYFUNCTION("""COMPUTED_VALUE"""),"LinkedIn Sponsored Content lernen")</f>
        <v>LinkedIn Sponsored Content lernen</v>
      </c>
      <c r="T42" s="217"/>
      <c r="U42" s="213"/>
      <c r="V42" s="215"/>
      <c r="W42" s="215"/>
      <c r="X42" s="217"/>
      <c r="Y42" s="217"/>
      <c r="Z42" s="213"/>
      <c r="AA42" s="215"/>
      <c r="AB42" s="215"/>
      <c r="AC42" s="217"/>
      <c r="AD42" s="217"/>
      <c r="AE42" s="213"/>
      <c r="AF42" s="215"/>
      <c r="AG42" s="215"/>
      <c r="AH42" s="217"/>
      <c r="AI42" s="217"/>
      <c r="AJ42" s="213"/>
    </row>
    <row r="43" spans="1:36" ht="33.75" customHeight="1">
      <c r="A43" s="213"/>
      <c r="B43" s="214">
        <f ca="1">IFERROR(__xludf.DUMMYFUNCTION("""COMPUTED_VALUE"""),2817190)</f>
        <v>2817190</v>
      </c>
      <c r="C43" s="215" t="str">
        <f ca="1">IFERROR(__xludf.DUMMYFUNCTION("""COMPUTED_VALUE"""),"Beginner")</f>
        <v>Beginner</v>
      </c>
      <c r="D43" s="216" t="str">
        <f ca="1">IFERROR(__xludf.DUMMYFUNCTION("""COMPUTED_VALUE"""),"Marketing Foundations")</f>
        <v>Marketing Foundations</v>
      </c>
      <c r="E43" s="217"/>
      <c r="F43" s="213"/>
      <c r="G43" s="214">
        <f ca="1">IFERROR(__xludf.DUMMYFUNCTION("""COMPUTED_VALUE"""),2849244)</f>
        <v>2849244</v>
      </c>
      <c r="H43" s="215" t="str">
        <f ca="1">IFERROR(__xludf.DUMMYFUNCTION("""COMPUTED_VALUE"""),"Beginner, Intermediate")</f>
        <v>Beginner, Intermediate</v>
      </c>
      <c r="I43" s="217" t="str">
        <f ca="1">IFERROR(__xludf.DUMMYFUNCTION("""COMPUTED_VALUE"""),"L'essentiel de Google Search Console")</f>
        <v>L'essentiel de Google Search Console</v>
      </c>
      <c r="J43" s="217"/>
      <c r="K43" s="213"/>
      <c r="L43" s="215">
        <f ca="1">IFERROR(__xludf.DUMMYFUNCTION("""COMPUTED_VALUE"""),2920373)</f>
        <v>2920373</v>
      </c>
      <c r="M43" s="215" t="str">
        <f ca="1">IFERROR(__xludf.DUMMYFUNCTION("""COMPUTED_VALUE"""),"Beginner, Intermediate")</f>
        <v>Beginner, Intermediate</v>
      </c>
      <c r="N43" s="217" t="str">
        <f ca="1">IFERROR(__xludf.DUMMYFUNCTION("""COMPUTED_VALUE"""),"LinkedIn para empresas")</f>
        <v>LinkedIn para empresas</v>
      </c>
      <c r="O43" s="217"/>
      <c r="P43" s="213"/>
      <c r="Q43" s="215">
        <f ca="1">IFERROR(__xludf.DUMMYFUNCTION("""COMPUTED_VALUE"""),561716)</f>
        <v>561716</v>
      </c>
      <c r="R43" s="215" t="str">
        <f ca="1">IFERROR(__xludf.DUMMYFUNCTION("""COMPUTED_VALUE"""),"Beginner")</f>
        <v>Beginner</v>
      </c>
      <c r="S43" s="217" t="str">
        <f ca="1">IFERROR(__xludf.DUMMYFUNCTION("""COMPUTED_VALUE"""),"LinkedIn Sponsored InMail lernen")</f>
        <v>LinkedIn Sponsored InMail lernen</v>
      </c>
      <c r="T43" s="217"/>
      <c r="U43" s="213"/>
      <c r="V43" s="215"/>
      <c r="W43" s="215"/>
      <c r="X43" s="217"/>
      <c r="Y43" s="217"/>
      <c r="Z43" s="213"/>
      <c r="AA43" s="215"/>
      <c r="AB43" s="215"/>
      <c r="AC43" s="217"/>
      <c r="AD43" s="217"/>
      <c r="AE43" s="213"/>
      <c r="AF43" s="215"/>
      <c r="AG43" s="215"/>
      <c r="AH43" s="217"/>
      <c r="AI43" s="217"/>
      <c r="AJ43" s="213"/>
    </row>
    <row r="44" spans="1:36" ht="33.75" customHeight="1">
      <c r="A44" s="213"/>
      <c r="B44" s="214">
        <f ca="1">IFERROR(__xludf.DUMMYFUNCTION("""COMPUTED_VALUE"""),2820163)</f>
        <v>2820163</v>
      </c>
      <c r="C44" s="215" t="str">
        <f ca="1">IFERROR(__xludf.DUMMYFUNCTION("""COMPUTED_VALUE"""),"Beginner")</f>
        <v>Beginner</v>
      </c>
      <c r="D44" s="216" t="str">
        <f ca="1">IFERROR(__xludf.DUMMYFUNCTION("""COMPUTED_VALUE"""),"Shopify Ecommerce for Marketers")</f>
        <v>Shopify Ecommerce for Marketers</v>
      </c>
      <c r="E44" s="217"/>
      <c r="F44" s="213"/>
      <c r="G44" s="214">
        <f ca="1">IFERROR(__xludf.DUMMYFUNCTION("""COMPUTED_VALUE"""),3103251)</f>
        <v>3103251</v>
      </c>
      <c r="H44" s="215" t="str">
        <f ca="1">IFERROR(__xludf.DUMMYFUNCTION("""COMPUTED_VALUE"""),"Beginner, Intermediate")</f>
        <v>Beginner, Intermediate</v>
      </c>
      <c r="I44" s="217" t="str">
        <f ca="1">IFERROR(__xludf.DUMMYFUNCTION("""COMPUTED_VALUE"""),"L'essentiel de YouTube")</f>
        <v>L'essentiel de YouTube</v>
      </c>
      <c r="J44" s="217"/>
      <c r="K44" s="213"/>
      <c r="L44" s="215">
        <f ca="1">IFERROR(__xludf.DUMMYFUNCTION("""COMPUTED_VALUE"""),2814230)</f>
        <v>2814230</v>
      </c>
      <c r="M44" s="215" t="str">
        <f ca="1">IFERROR(__xludf.DUMMYFUNCTION("""COMPUTED_VALUE"""),"Intermediate")</f>
        <v>Intermediate</v>
      </c>
      <c r="N44" s="217" t="str">
        <f ca="1">IFERROR(__xludf.DUMMYFUNCTION("""COMPUTED_VALUE"""),"LinkedIn para Social Selling")</f>
        <v>LinkedIn para Social Selling</v>
      </c>
      <c r="O44" s="217"/>
      <c r="P44" s="213"/>
      <c r="Q44" s="215">
        <f ca="1">IFERROR(__xludf.DUMMYFUNCTION("""COMPUTED_VALUE"""),471151)</f>
        <v>471151</v>
      </c>
      <c r="R44" s="215" t="str">
        <f ca="1">IFERROR(__xludf.DUMMYFUNCTION("""COMPUTED_VALUE"""),"Beginner")</f>
        <v>Beginner</v>
      </c>
      <c r="S44" s="217" t="str">
        <f ca="1">IFERROR(__xludf.DUMMYFUNCTION("""COMPUTED_VALUE"""),"LinkedIn Sponsored Updates kennenlernen")</f>
        <v>LinkedIn Sponsored Updates kennenlernen</v>
      </c>
      <c r="T44" s="217"/>
      <c r="U44" s="213"/>
      <c r="V44" s="215"/>
      <c r="W44" s="215"/>
      <c r="X44" s="217"/>
      <c r="Y44" s="217"/>
      <c r="Z44" s="213"/>
      <c r="AA44" s="215"/>
      <c r="AB44" s="215"/>
      <c r="AC44" s="217"/>
      <c r="AD44" s="217"/>
      <c r="AE44" s="213"/>
      <c r="AF44" s="215"/>
      <c r="AG44" s="215"/>
      <c r="AH44" s="217"/>
      <c r="AI44" s="217"/>
      <c r="AJ44" s="213"/>
    </row>
    <row r="45" spans="1:36" ht="33.75" customHeight="1">
      <c r="A45" s="213"/>
      <c r="B45" s="214">
        <f ca="1">IFERROR(__xludf.DUMMYFUNCTION("""COMPUTED_VALUE"""),2822025)</f>
        <v>2822025</v>
      </c>
      <c r="C45" s="215" t="str">
        <f ca="1">IFERROR(__xludf.DUMMYFUNCTION("""COMPUTED_VALUE"""),"Beginner")</f>
        <v>Beginner</v>
      </c>
      <c r="D45" s="216" t="str">
        <f ca="1">IFERROR(__xludf.DUMMYFUNCTION("""COMPUTED_VALUE"""),"Marketing and Monetizing on YouTube")</f>
        <v>Marketing and Monetizing on YouTube</v>
      </c>
      <c r="E45" s="217"/>
      <c r="F45" s="213"/>
      <c r="G45" s="214">
        <f ca="1">IFERROR(__xludf.DUMMYFUNCTION("""COMPUTED_VALUE"""),2260697)</f>
        <v>2260697</v>
      </c>
      <c r="H45" s="215" t="str">
        <f ca="1">IFERROR(__xludf.DUMMYFUNCTION("""COMPUTED_VALUE"""),"Intermediate")</f>
        <v>Intermediate</v>
      </c>
      <c r="I45" s="217" t="str">
        <f ca="1">IFERROR(__xludf.DUMMYFUNCTION("""COMPUTED_VALUE"""),"L'image de marque en marketing")</f>
        <v>L'image de marque en marketing</v>
      </c>
      <c r="J45" s="217"/>
      <c r="K45" s="213"/>
      <c r="L45" s="215">
        <f ca="1">IFERROR(__xludf.DUMMYFUNCTION("""COMPUTED_VALUE"""),2813366)</f>
        <v>2813366</v>
      </c>
      <c r="M45" s="215" t="str">
        <f ca="1">IFERROR(__xludf.DUMMYFUNCTION("""COMPUTED_VALUE"""),"Beginner")</f>
        <v>Beginner</v>
      </c>
      <c r="N45" s="217" t="str">
        <f ca="1">IFERROR(__xludf.DUMMYFUNCTION("""COMPUTED_VALUE"""),"LinkedIn para ventas")</f>
        <v>LinkedIn para ventas</v>
      </c>
      <c r="O45" s="217"/>
      <c r="P45" s="213"/>
      <c r="Q45" s="215">
        <f ca="1">IFERROR(__xludf.DUMMYFUNCTION("""COMPUTED_VALUE"""),2449041)</f>
        <v>2449041</v>
      </c>
      <c r="R45" s="215" t="str">
        <f ca="1">IFERROR(__xludf.DUMMYFUNCTION("""COMPUTED_VALUE"""),"Beginner")</f>
        <v>Beginner</v>
      </c>
      <c r="S45" s="217" t="str">
        <f ca="1">IFERROR(__xludf.DUMMYFUNCTION("""COMPUTED_VALUE"""),"Marketing Automation – Grundlagen")</f>
        <v>Marketing Automation – Grundlagen</v>
      </c>
      <c r="T45" s="217"/>
      <c r="U45" s="213"/>
      <c r="V45" s="215"/>
      <c r="W45" s="215"/>
      <c r="X45" s="217"/>
      <c r="Y45" s="217"/>
      <c r="Z45" s="213"/>
      <c r="AA45" s="215"/>
      <c r="AB45" s="215"/>
      <c r="AC45" s="217"/>
      <c r="AD45" s="217"/>
      <c r="AE45" s="213"/>
      <c r="AF45" s="215"/>
      <c r="AG45" s="215"/>
      <c r="AH45" s="217"/>
      <c r="AI45" s="217"/>
      <c r="AJ45" s="213"/>
    </row>
    <row r="46" spans="1:36" ht="33.75" customHeight="1">
      <c r="A46" s="213"/>
      <c r="B46" s="214">
        <f ca="1">IFERROR(__xludf.DUMMYFUNCTION("""COMPUTED_VALUE"""),2823142)</f>
        <v>2823142</v>
      </c>
      <c r="C46" s="215" t="str">
        <f ca="1">IFERROR(__xludf.DUMMYFUNCTION("""COMPUTED_VALUE"""),"Beginner")</f>
        <v>Beginner</v>
      </c>
      <c r="D46" s="216" t="str">
        <f ca="1">IFERROR(__xludf.DUMMYFUNCTION("""COMPUTED_VALUE"""),"Content Marketing Foundations")</f>
        <v>Content Marketing Foundations</v>
      </c>
      <c r="E46" s="217"/>
      <c r="F46" s="213"/>
      <c r="G46" s="214">
        <f ca="1">IFERROR(__xludf.DUMMYFUNCTION("""COMPUTED_VALUE"""),2919017)</f>
        <v>2919017</v>
      </c>
      <c r="H46" s="215" t="str">
        <f ca="1">IFERROR(__xludf.DUMMYFUNCTION("""COMPUTED_VALUE"""),"Intermediate")</f>
        <v>Intermediate</v>
      </c>
      <c r="I46" s="217" t="str">
        <f ca="1">IFERROR(__xludf.DUMMYFUNCTION("""COMPUTED_VALUE"""),"Maîtriser le real-time bidding")</f>
        <v>Maîtriser le real-time bidding</v>
      </c>
      <c r="J46" s="217"/>
      <c r="K46" s="213"/>
      <c r="L46" s="215">
        <f ca="1">IFERROR(__xludf.DUMMYFUNCTION("""COMPUTED_VALUE"""),597553)</f>
        <v>597553</v>
      </c>
      <c r="M46" s="215" t="str">
        <f ca="1">IFERROR(__xludf.DUMMYFUNCTION("""COMPUTED_VALUE"""),"Advanced")</f>
        <v>Advanced</v>
      </c>
      <c r="N46" s="217" t="str">
        <f ca="1">IFERROR(__xludf.DUMMYFUNCTION("""COMPUTED_VALUE"""),"Marketing online avanzado: Resolución de problemas")</f>
        <v>Marketing online avanzado: Resolución de problemas</v>
      </c>
      <c r="O46" s="217"/>
      <c r="P46" s="213"/>
      <c r="Q46" s="215">
        <f ca="1">IFERROR(__xludf.DUMMYFUNCTION("""COMPUTED_VALUE"""),2999028)</f>
        <v>2999028</v>
      </c>
      <c r="R46" s="215" t="str">
        <f ca="1">IFERROR(__xludf.DUMMYFUNCTION("""COMPUTED_VALUE"""),"All levels")</f>
        <v>All levels</v>
      </c>
      <c r="S46" s="217" t="str">
        <f ca="1">IFERROR(__xludf.DUMMYFUNCTION("""COMPUTED_VALUE"""),"Marketing in Zeiten der Veränderung")</f>
        <v>Marketing in Zeiten der Veränderung</v>
      </c>
      <c r="T46" s="217"/>
      <c r="U46" s="213"/>
      <c r="V46" s="215"/>
      <c r="W46" s="215"/>
      <c r="X46" s="217"/>
      <c r="Y46" s="217"/>
      <c r="Z46" s="213"/>
      <c r="AA46" s="215"/>
      <c r="AB46" s="215"/>
      <c r="AC46" s="217"/>
      <c r="AD46" s="217"/>
      <c r="AE46" s="213"/>
      <c r="AF46" s="215"/>
      <c r="AG46" s="215"/>
      <c r="AH46" s="217"/>
      <c r="AI46" s="217"/>
      <c r="AJ46" s="213"/>
    </row>
    <row r="47" spans="1:36" ht="33.75" customHeight="1">
      <c r="A47" s="213"/>
      <c r="B47" s="214">
        <f ca="1">IFERROR(__xludf.DUMMYFUNCTION("""COMPUTED_VALUE"""),2825028)</f>
        <v>2825028</v>
      </c>
      <c r="C47" s="215" t="str">
        <f ca="1">IFERROR(__xludf.DUMMYFUNCTION("""COMPUTED_VALUE"""),"Beginner")</f>
        <v>Beginner</v>
      </c>
      <c r="D47" s="216" t="str">
        <f ca="1">IFERROR(__xludf.DUMMYFUNCTION("""COMPUTED_VALUE"""),"Learning Google AdSense")</f>
        <v>Learning Google AdSense</v>
      </c>
      <c r="E47" s="217"/>
      <c r="F47" s="213"/>
      <c r="G47" s="214">
        <f ca="1">IFERROR(__xludf.DUMMYFUNCTION("""COMPUTED_VALUE"""),2849245)</f>
        <v>2849245</v>
      </c>
      <c r="H47" s="215" t="str">
        <f ca="1">IFERROR(__xludf.DUMMYFUNCTION("""COMPUTED_VALUE"""),"Intermediate")</f>
        <v>Intermediate</v>
      </c>
      <c r="I47" s="217" t="str">
        <f ca="1">IFERROR(__xludf.DUMMYFUNCTION("""COMPUTED_VALUE"""),"Maîtriser les crawlers et l'analyse de logs")</f>
        <v>Maîtriser les crawlers et l'analyse de logs</v>
      </c>
      <c r="J47" s="217"/>
      <c r="K47" s="213"/>
      <c r="L47" s="215">
        <f ca="1">IFERROR(__xludf.DUMMYFUNCTION("""COMPUTED_VALUE"""),688035)</f>
        <v>688035</v>
      </c>
      <c r="M47" s="215" t="str">
        <f ca="1">IFERROR(__xludf.DUMMYFUNCTION("""COMPUTED_VALUE"""),"Advanced")</f>
        <v>Advanced</v>
      </c>
      <c r="N47" s="217" t="str">
        <f ca="1">IFERROR(__xludf.DUMMYFUNCTION("""COMPUTED_VALUE"""),"Marketing online avanzado: ROI en redes sociales")</f>
        <v>Marketing online avanzado: ROI en redes sociales</v>
      </c>
      <c r="O47" s="217"/>
      <c r="P47" s="213"/>
      <c r="Q47" s="215">
        <f ca="1">IFERROR(__xludf.DUMMYFUNCTION("""COMPUTED_VALUE"""),559579)</f>
        <v>559579</v>
      </c>
      <c r="R47" s="215" t="str">
        <f ca="1">IFERROR(__xludf.DUMMYFUNCTION("""COMPUTED_VALUE"""),"Beginner")</f>
        <v>Beginner</v>
      </c>
      <c r="S47" s="217" t="str">
        <f ca="1">IFERROR(__xludf.DUMMYFUNCTION("""COMPUTED_VALUE"""),"Marketing mit Facebook Grundkurs")</f>
        <v>Marketing mit Facebook Grundkurs</v>
      </c>
      <c r="T47" s="217"/>
      <c r="U47" s="213"/>
      <c r="V47" s="215"/>
      <c r="W47" s="215"/>
      <c r="X47" s="217"/>
      <c r="Y47" s="217"/>
      <c r="Z47" s="213"/>
      <c r="AA47" s="215"/>
      <c r="AB47" s="215"/>
      <c r="AC47" s="217"/>
      <c r="AD47" s="217"/>
      <c r="AE47" s="213"/>
      <c r="AF47" s="215"/>
      <c r="AG47" s="215"/>
      <c r="AH47" s="217"/>
      <c r="AI47" s="217"/>
      <c r="AJ47" s="213"/>
    </row>
    <row r="48" spans="1:36" ht="33.75" customHeight="1">
      <c r="A48" s="213"/>
      <c r="B48" s="214">
        <f ca="1">IFERROR(__xludf.DUMMYFUNCTION("""COMPUTED_VALUE"""),2825058)</f>
        <v>2825058</v>
      </c>
      <c r="C48" s="215" t="str">
        <f ca="1">IFERROR(__xludf.DUMMYFUNCTION("""COMPUTED_VALUE"""),"Beginner")</f>
        <v>Beginner</v>
      </c>
      <c r="D48" s="216" t="str">
        <f ca="1">IFERROR(__xludf.DUMMYFUNCTION("""COMPUTED_VALUE"""),"Advertising on Twitter")</f>
        <v>Advertising on Twitter</v>
      </c>
      <c r="E48" s="217"/>
      <c r="F48" s="213"/>
      <c r="G48" s="214">
        <f ca="1">IFERROR(__xludf.DUMMYFUNCTION("""COMPUTED_VALUE"""),752394)</f>
        <v>752394</v>
      </c>
      <c r="H48" s="215" t="str">
        <f ca="1">IFERROR(__xludf.DUMMYFUNCTION("""COMPUTED_VALUE"""),"Intermediate")</f>
        <v>Intermediate</v>
      </c>
      <c r="I48" s="217" t="str">
        <f ca="1">IFERROR(__xludf.DUMMYFUNCTION("""COMPUTED_VALUE"""),"Marketing de contenu : Blogs")</f>
        <v>Marketing de contenu : Blogs</v>
      </c>
      <c r="J48" s="217"/>
      <c r="K48" s="213"/>
      <c r="L48" s="215">
        <f ca="1">IFERROR(__xludf.DUMMYFUNCTION("""COMPUTED_VALUE"""),561190)</f>
        <v>561190</v>
      </c>
      <c r="M48" s="215" t="str">
        <f ca="1">IFERROR(__xludf.DUMMYFUNCTION("""COMPUTED_VALUE"""),"Intermediate")</f>
        <v>Intermediate</v>
      </c>
      <c r="N48" s="217" t="str">
        <f ca="1">IFERROR(__xludf.DUMMYFUNCTION("""COMPUTED_VALUE"""),"Marketing online: Automatización de procesos")</f>
        <v>Marketing online: Automatización de procesos</v>
      </c>
      <c r="O48" s="217"/>
      <c r="P48" s="213"/>
      <c r="Q48" s="215">
        <f ca="1">IFERROR(__xludf.DUMMYFUNCTION("""COMPUTED_VALUE"""),2917612)</f>
        <v>2917612</v>
      </c>
      <c r="R48" s="215" t="str">
        <f ca="1">IFERROR(__xludf.DUMMYFUNCTION("""COMPUTED_VALUE"""),"Intermediate")</f>
        <v>Intermediate</v>
      </c>
      <c r="S48" s="217" t="str">
        <f ca="1">IFERROR(__xludf.DUMMYFUNCTION("""COMPUTED_VALUE"""),"Marketing mit Facebook: Werbeanzeigenmanager")</f>
        <v>Marketing mit Facebook: Werbeanzeigenmanager</v>
      </c>
      <c r="T48" s="217"/>
      <c r="U48" s="213"/>
      <c r="V48" s="215"/>
      <c r="W48" s="215"/>
      <c r="X48" s="217"/>
      <c r="Y48" s="217"/>
      <c r="Z48" s="213"/>
      <c r="AA48" s="215"/>
      <c r="AB48" s="215"/>
      <c r="AC48" s="217"/>
      <c r="AD48" s="217"/>
      <c r="AE48" s="213"/>
      <c r="AF48" s="215"/>
      <c r="AG48" s="215"/>
      <c r="AH48" s="217"/>
      <c r="AI48" s="217"/>
      <c r="AJ48" s="213"/>
    </row>
    <row r="49" spans="1:36" ht="33.75" customHeight="1">
      <c r="A49" s="213"/>
      <c r="B49" s="214">
        <f ca="1">IFERROR(__xludf.DUMMYFUNCTION("""COMPUTED_VALUE"""),2825133)</f>
        <v>2825133</v>
      </c>
      <c r="C49" s="215" t="str">
        <f ca="1">IFERROR(__xludf.DUMMYFUNCTION("""COMPUTED_VALUE"""),"Beginner")</f>
        <v>Beginner</v>
      </c>
      <c r="D49" s="216" t="str">
        <f ca="1">IFERROR(__xludf.DUMMYFUNCTION("""COMPUTED_VALUE"""),"Social Media Marketing Foundations")</f>
        <v>Social Media Marketing Foundations</v>
      </c>
      <c r="E49" s="217"/>
      <c r="F49" s="213"/>
      <c r="G49" s="214">
        <f ca="1">IFERROR(__xludf.DUMMYFUNCTION("""COMPUTED_VALUE"""),591262)</f>
        <v>591262</v>
      </c>
      <c r="H49" s="215" t="str">
        <f ca="1">IFERROR(__xludf.DUMMYFUNCTION("""COMPUTED_VALUE"""),"Intermediate")</f>
        <v>Intermediate</v>
      </c>
      <c r="I49" s="217" t="str">
        <f ca="1">IFERROR(__xludf.DUMMYFUNCTION("""COMPUTED_VALUE"""),"Marketing des médias sociaux : Le B2B")</f>
        <v>Marketing des médias sociaux : Le B2B</v>
      </c>
      <c r="J49" s="217"/>
      <c r="K49" s="213"/>
      <c r="L49" s="215">
        <f ca="1">IFERROR(__xludf.DUMMYFUNCTION("""COMPUTED_VALUE"""),402822)</f>
        <v>402822</v>
      </c>
      <c r="M49" s="215" t="str">
        <f ca="1">IFERROR(__xludf.DUMMYFUNCTION("""COMPUTED_VALUE"""),"Intermediate")</f>
        <v>Intermediate</v>
      </c>
      <c r="N49" s="217" t="str">
        <f ca="1">IFERROR(__xludf.DUMMYFUNCTION("""COMPUTED_VALUE"""),"Marketing online: Conversion Rate Optimization")</f>
        <v>Marketing online: Conversion Rate Optimization</v>
      </c>
      <c r="O49" s="217"/>
      <c r="P49" s="213"/>
      <c r="Q49" s="215">
        <f ca="1">IFERROR(__xludf.DUMMYFUNCTION("""COMPUTED_VALUE"""),2878234)</f>
        <v>2878234</v>
      </c>
      <c r="R49" s="215" t="str">
        <f ca="1">IFERROR(__xludf.DUMMYFUNCTION("""COMPUTED_VALUE"""),"Beginner")</f>
        <v>Beginner</v>
      </c>
      <c r="S49" s="217" t="str">
        <f ca="1">IFERROR(__xludf.DUMMYFUNCTION("""COMPUTED_VALUE"""),"Marketing mit Instagram")</f>
        <v>Marketing mit Instagram</v>
      </c>
      <c r="T49" s="217"/>
      <c r="U49" s="213"/>
      <c r="V49" s="215"/>
      <c r="W49" s="215"/>
      <c r="X49" s="217"/>
      <c r="Y49" s="217"/>
      <c r="Z49" s="213"/>
      <c r="AA49" s="215"/>
      <c r="AB49" s="215"/>
      <c r="AC49" s="217"/>
      <c r="AD49" s="217"/>
      <c r="AE49" s="213"/>
      <c r="AF49" s="215"/>
      <c r="AG49" s="215"/>
      <c r="AH49" s="217"/>
      <c r="AI49" s="217"/>
      <c r="AJ49" s="213"/>
    </row>
    <row r="50" spans="1:36" ht="33.75" customHeight="1">
      <c r="A50" s="213"/>
      <c r="B50" s="214">
        <f ca="1">IFERROR(__xludf.DUMMYFUNCTION("""COMPUTED_VALUE"""),2825441)</f>
        <v>2825441</v>
      </c>
      <c r="C50" s="215" t="str">
        <f ca="1">IFERROR(__xludf.DUMMYFUNCTION("""COMPUTED_VALUE"""),"Beginner")</f>
        <v>Beginner</v>
      </c>
      <c r="D50" s="216" t="str">
        <f ca="1">IFERROR(__xludf.DUMMYFUNCTION("""COMPUTED_VALUE"""),"Branding Foundations")</f>
        <v>Branding Foundations</v>
      </c>
      <c r="E50" s="217"/>
      <c r="F50" s="213"/>
      <c r="G50" s="214">
        <f ca="1">IFERROR(__xludf.DUMMYFUNCTION("""COMPUTED_VALUE"""),591265)</f>
        <v>591265</v>
      </c>
      <c r="H50" s="215" t="str">
        <f ca="1">IFERROR(__xludf.DUMMYFUNCTION("""COMPUTED_VALUE"""),"Intermediate")</f>
        <v>Intermediate</v>
      </c>
      <c r="I50" s="217" t="str">
        <f ca="1">IFERROR(__xludf.DUMMYFUNCTION("""COMPUTED_VALUE"""),"Marketing des médias sociaux : Le ROI")</f>
        <v>Marketing des médias sociaux : Le ROI</v>
      </c>
      <c r="J50" s="217"/>
      <c r="K50" s="213"/>
      <c r="L50" s="215">
        <f ca="1">IFERROR(__xludf.DUMMYFUNCTION("""COMPUTED_VALUE"""),2920367)</f>
        <v>2920367</v>
      </c>
      <c r="M50" s="215" t="str">
        <f ca="1">IFERROR(__xludf.DUMMYFUNCTION("""COMPUTED_VALUE"""),"Advanced")</f>
        <v>Advanced</v>
      </c>
      <c r="N50" s="217" t="str">
        <f ca="1">IFERROR(__xludf.DUMMYFUNCTION("""COMPUTED_VALUE"""),"Marketing online: Creación de un calendario editorial")</f>
        <v>Marketing online: Creación de un calendario editorial</v>
      </c>
      <c r="O50" s="217"/>
      <c r="P50" s="213"/>
      <c r="Q50" s="215">
        <f ca="1">IFERROR(__xludf.DUMMYFUNCTION("""COMPUTED_VALUE"""),495016)</f>
        <v>495016</v>
      </c>
      <c r="R50" s="215" t="str">
        <f ca="1">IFERROR(__xludf.DUMMYFUNCTION("""COMPUTED_VALUE"""),"Beginner")</f>
        <v>Beginner</v>
      </c>
      <c r="S50" s="217" t="str">
        <f ca="1">IFERROR(__xludf.DUMMYFUNCTION("""COMPUTED_VALUE"""),"Marketing mit kleinem Budget")</f>
        <v>Marketing mit kleinem Budget</v>
      </c>
      <c r="T50" s="217"/>
      <c r="U50" s="213"/>
      <c r="V50" s="215"/>
      <c r="W50" s="215"/>
      <c r="X50" s="217"/>
      <c r="Y50" s="217"/>
      <c r="Z50" s="213"/>
      <c r="AA50" s="215"/>
      <c r="AB50" s="215"/>
      <c r="AC50" s="217"/>
      <c r="AD50" s="217"/>
      <c r="AE50" s="213"/>
      <c r="AF50" s="215"/>
      <c r="AG50" s="215"/>
      <c r="AH50" s="217"/>
      <c r="AI50" s="217"/>
      <c r="AJ50" s="213"/>
    </row>
    <row r="51" spans="1:36" ht="33.75" customHeight="1">
      <c r="A51" s="213"/>
      <c r="B51" s="214">
        <f ca="1">IFERROR(__xludf.DUMMYFUNCTION("""COMPUTED_VALUE"""),5038214)</f>
        <v>5038214</v>
      </c>
      <c r="C51" s="215" t="str">
        <f ca="1">IFERROR(__xludf.DUMMYFUNCTION("""COMPUTED_VALUE"""),"Beginner")</f>
        <v>Beginner</v>
      </c>
      <c r="D51" s="216" t="str">
        <f ca="1">IFERROR(__xludf.DUMMYFUNCTION("""COMPUTED_VALUE"""),"Marketing to Generation Z")</f>
        <v>Marketing to Generation Z</v>
      </c>
      <c r="E51" s="217"/>
      <c r="F51" s="213"/>
      <c r="G51" s="214">
        <f ca="1">IFERROR(__xludf.DUMMYFUNCTION("""COMPUTED_VALUE"""),3154985)</f>
        <v>3154985</v>
      </c>
      <c r="H51" s="215" t="str">
        <f ca="1">IFERROR(__xludf.DUMMYFUNCTION("""COMPUTED_VALUE"""),"Intermediate")</f>
        <v>Intermediate</v>
      </c>
      <c r="I51" s="217" t="str">
        <f ca="1">IFERROR(__xludf.DUMMYFUNCTION("""COMPUTED_VALUE"""),"Mettre en place une stratégie de marketing digital en B2B")</f>
        <v>Mettre en place une stratégie de marketing digital en B2B</v>
      </c>
      <c r="J51" s="217"/>
      <c r="K51" s="213"/>
      <c r="L51" s="215">
        <f ca="1">IFERROR(__xludf.DUMMYFUNCTION("""COMPUTED_VALUE"""),559600)</f>
        <v>559600</v>
      </c>
      <c r="M51" s="215" t="str">
        <f ca="1">IFERROR(__xludf.DUMMYFUNCTION("""COMPUTED_VALUE"""),"Advanced")</f>
        <v>Advanced</v>
      </c>
      <c r="N51" s="217" t="str">
        <f ca="1">IFERROR(__xludf.DUMMYFUNCTION("""COMPUTED_VALUE"""),"Marketing online: Creación de un plan integral")</f>
        <v>Marketing online: Creación de un plan integral</v>
      </c>
      <c r="O51" s="217"/>
      <c r="P51" s="213"/>
      <c r="Q51" s="215">
        <f ca="1">IFERROR(__xludf.DUMMYFUNCTION("""COMPUTED_VALUE"""),500552)</f>
        <v>500552</v>
      </c>
      <c r="R51" s="215" t="str">
        <f ca="1">IFERROR(__xludf.DUMMYFUNCTION("""COMPUTED_VALUE"""),"Beginner")</f>
        <v>Beginner</v>
      </c>
      <c r="S51" s="217" t="str">
        <f ca="1">IFERROR(__xludf.DUMMYFUNCTION("""COMPUTED_VALUE"""),"Marketing mit Snapchat – Grundlagen")</f>
        <v>Marketing mit Snapchat – Grundlagen</v>
      </c>
      <c r="T51" s="217"/>
      <c r="U51" s="213"/>
      <c r="V51" s="215"/>
      <c r="W51" s="215"/>
      <c r="X51" s="217"/>
      <c r="Y51" s="217"/>
      <c r="Z51" s="213"/>
      <c r="AA51" s="215"/>
      <c r="AB51" s="215"/>
      <c r="AC51" s="217"/>
      <c r="AD51" s="217"/>
      <c r="AE51" s="213"/>
      <c r="AF51" s="215"/>
      <c r="AG51" s="215"/>
      <c r="AH51" s="217"/>
      <c r="AI51" s="217"/>
      <c r="AJ51" s="213"/>
    </row>
    <row r="52" spans="1:36" ht="33.75" customHeight="1">
      <c r="A52" s="213"/>
      <c r="B52" s="214">
        <f ca="1">IFERROR(__xludf.DUMMYFUNCTION("""COMPUTED_VALUE"""),2822427)</f>
        <v>2822427</v>
      </c>
      <c r="C52" s="215" t="str">
        <f ca="1">IFERROR(__xludf.DUMMYFUNCTION("""COMPUTED_VALUE"""),"Beginner")</f>
        <v>Beginner</v>
      </c>
      <c r="D52" s="216" t="str">
        <f ca="1">IFERROR(__xludf.DUMMYFUNCTION("""COMPUTED_VALUE"""),"Marketing Tools: Digital Marketing Tools and Services")</f>
        <v>Marketing Tools: Digital Marketing Tools and Services</v>
      </c>
      <c r="E52" s="217"/>
      <c r="F52" s="213"/>
      <c r="G52" s="214">
        <f ca="1">IFERROR(__xludf.DUMMYFUNCTION("""COMPUTED_VALUE"""),2822673)</f>
        <v>2822673</v>
      </c>
      <c r="H52" s="215" t="str">
        <f ca="1">IFERROR(__xludf.DUMMYFUNCTION("""COMPUTED_VALUE"""),"Advanced")</f>
        <v>Advanced</v>
      </c>
      <c r="I52" s="217" t="str">
        <f ca="1">IFERROR(__xludf.DUMMYFUNCTION("""COMPUTED_VALUE"""),"Mettre en place une stratégie SEO sémantique")</f>
        <v>Mettre en place une stratégie SEO sémantique</v>
      </c>
      <c r="J52" s="217"/>
      <c r="K52" s="213"/>
      <c r="L52" s="215">
        <f ca="1">IFERROR(__xludf.DUMMYFUNCTION("""COMPUTED_VALUE"""),688036)</f>
        <v>688036</v>
      </c>
      <c r="M52" s="215" t="str">
        <f ca="1">IFERROR(__xludf.DUMMYFUNCTION("""COMPUTED_VALUE"""),"Intermediate")</f>
        <v>Intermediate</v>
      </c>
      <c r="N52" s="217" t="str">
        <f ca="1">IFERROR(__xludf.DUMMYFUNCTION("""COMPUTED_VALUE"""),"Marketing online: Herramientas de optimización")</f>
        <v>Marketing online: Herramientas de optimización</v>
      </c>
      <c r="O52" s="217"/>
      <c r="P52" s="213"/>
      <c r="Q52" s="215">
        <f ca="1">IFERROR(__xludf.DUMMYFUNCTION("""COMPUTED_VALUE"""),785472)</f>
        <v>785472</v>
      </c>
      <c r="R52" s="215" t="str">
        <f ca="1">IFERROR(__xludf.DUMMYFUNCTION("""COMPUTED_VALUE"""),"All levels")</f>
        <v>All levels</v>
      </c>
      <c r="S52" s="217" t="str">
        <f ca="1">IFERROR(__xludf.DUMMYFUNCTION("""COMPUTED_VALUE"""),"Marketing mit Social Media Stories")</f>
        <v>Marketing mit Social Media Stories</v>
      </c>
      <c r="T52" s="217"/>
      <c r="U52" s="213"/>
      <c r="V52" s="215"/>
      <c r="W52" s="215"/>
      <c r="X52" s="217"/>
      <c r="Y52" s="217"/>
      <c r="Z52" s="213"/>
      <c r="AA52" s="215"/>
      <c r="AB52" s="215"/>
      <c r="AC52" s="217"/>
      <c r="AD52" s="217"/>
      <c r="AE52" s="213"/>
      <c r="AF52" s="215"/>
      <c r="AG52" s="215"/>
      <c r="AH52" s="217"/>
      <c r="AI52" s="217"/>
      <c r="AJ52" s="213"/>
    </row>
    <row r="53" spans="1:36" ht="33.75" customHeight="1">
      <c r="A53" s="213"/>
      <c r="B53" s="214">
        <f ca="1">IFERROR(__xludf.DUMMYFUNCTION("""COMPUTED_VALUE"""),2822636)</f>
        <v>2822636</v>
      </c>
      <c r="C53" s="215" t="str">
        <f ca="1">IFERROR(__xludf.DUMMYFUNCTION("""COMPUTED_VALUE"""),"Beginner")</f>
        <v>Beginner</v>
      </c>
      <c r="D53" s="216" t="str">
        <f ca="1">IFERROR(__xludf.DUMMYFUNCTION("""COMPUTED_VALUE"""),"Content Marketing for Social Media")</f>
        <v>Content Marketing for Social Media</v>
      </c>
      <c r="E53" s="217"/>
      <c r="F53" s="213"/>
      <c r="G53" s="214">
        <f ca="1">IFERROR(__xludf.DUMMYFUNCTION("""COMPUTED_VALUE"""),2841378)</f>
        <v>2841378</v>
      </c>
      <c r="H53" s="215" t="str">
        <f ca="1">IFERROR(__xludf.DUMMYFUNCTION("""COMPUTED_VALUE"""),"Intermediate")</f>
        <v>Intermediate</v>
      </c>
      <c r="I53" s="217" t="str">
        <f ca="1">IFERROR(__xludf.DUMMYFUNCTION("""COMPUTED_VALUE"""),"Pinterest pour le marketing")</f>
        <v>Pinterest pour le marketing</v>
      </c>
      <c r="J53" s="217"/>
      <c r="K53" s="213"/>
      <c r="L53" s="215">
        <f ca="1">IFERROR(__xludf.DUMMYFUNCTION("""COMPUTED_VALUE"""),494587)</f>
        <v>494587</v>
      </c>
      <c r="M53" s="215" t="str">
        <f ca="1">IFERROR(__xludf.DUMMYFUNCTION("""COMPUTED_VALUE"""),"Beginner")</f>
        <v>Beginner</v>
      </c>
      <c r="N53" s="217" t="str">
        <f ca="1">IFERROR(__xludf.DUMMYFUNCTION("""COMPUTED_VALUE"""),"Marketing para pequeñas empresas")</f>
        <v>Marketing para pequeñas empresas</v>
      </c>
      <c r="O53" s="217"/>
      <c r="P53" s="213"/>
      <c r="Q53" s="215">
        <f ca="1">IFERROR(__xludf.DUMMYFUNCTION("""COMPUTED_VALUE"""),575054)</f>
        <v>575054</v>
      </c>
      <c r="R53" s="215" t="str">
        <f ca="1">IFERROR(__xludf.DUMMYFUNCTION("""COMPUTED_VALUE"""),"Beginner")</f>
        <v>Beginner</v>
      </c>
      <c r="S53" s="217" t="str">
        <f ca="1">IFERROR(__xludf.DUMMYFUNCTION("""COMPUTED_VALUE"""),"Marketing mit Twitter Grundkurs")</f>
        <v>Marketing mit Twitter Grundkurs</v>
      </c>
      <c r="T53" s="217"/>
      <c r="U53" s="213"/>
      <c r="V53" s="215"/>
      <c r="W53" s="215"/>
      <c r="X53" s="217"/>
      <c r="Y53" s="217"/>
      <c r="Z53" s="213"/>
      <c r="AA53" s="215"/>
      <c r="AB53" s="215"/>
      <c r="AC53" s="217"/>
      <c r="AD53" s="217"/>
      <c r="AE53" s="213"/>
      <c r="AF53" s="215"/>
      <c r="AG53" s="215"/>
      <c r="AH53" s="217"/>
      <c r="AI53" s="217"/>
      <c r="AJ53" s="213"/>
    </row>
    <row r="54" spans="1:36" ht="33.75" customHeight="1">
      <c r="A54" s="213"/>
      <c r="B54" s="214">
        <f ca="1">IFERROR(__xludf.DUMMYFUNCTION("""COMPUTED_VALUE"""),2823516)</f>
        <v>2823516</v>
      </c>
      <c r="C54" s="215" t="str">
        <f ca="1">IFERROR(__xludf.DUMMYFUNCTION("""COMPUTED_VALUE"""),"Beginner")</f>
        <v>Beginner</v>
      </c>
      <c r="D54" s="216" t="str">
        <f ca="1">IFERROR(__xludf.DUMMYFUNCTION("""COMPUTED_VALUE"""),"Introduction to Social Media Strategy")</f>
        <v>Introduction to Social Media Strategy</v>
      </c>
      <c r="E54" s="217"/>
      <c r="F54" s="213"/>
      <c r="G54" s="214">
        <f ca="1">IFERROR(__xludf.DUMMYFUNCTION("""COMPUTED_VALUE"""),498445)</f>
        <v>498445</v>
      </c>
      <c r="H54" s="215" t="str">
        <f ca="1">IFERROR(__xludf.DUMMYFUNCTION("""COMPUTED_VALUE"""),"Beginner")</f>
        <v>Beginner</v>
      </c>
      <c r="I54" s="217" t="str">
        <f ca="1">IFERROR(__xludf.DUMMYFUNCTION("""COMPUTED_VALUE"""),"Rédiger un plan marketing")</f>
        <v>Rédiger un plan marketing</v>
      </c>
      <c r="J54" s="217"/>
      <c r="K54" s="213"/>
      <c r="L54" s="215">
        <f ca="1">IFERROR(__xludf.DUMMYFUNCTION("""COMPUTED_VALUE"""),495991)</f>
        <v>495991</v>
      </c>
      <c r="M54" s="215" t="str">
        <f ca="1">IFERROR(__xludf.DUMMYFUNCTION("""COMPUTED_VALUE"""),"Beginner")</f>
        <v>Beginner</v>
      </c>
      <c r="N54" s="217" t="str">
        <f ca="1">IFERROR(__xludf.DUMMYFUNCTION("""COMPUTED_VALUE"""),"Redacta tu plan de marketing")</f>
        <v>Redacta tu plan de marketing</v>
      </c>
      <c r="O54" s="217"/>
      <c r="P54" s="213"/>
      <c r="Q54" s="215">
        <f ca="1">IFERROR(__xludf.DUMMYFUNCTION("""COMPUTED_VALUE"""),2929896)</f>
        <v>2929896</v>
      </c>
      <c r="R54" s="215" t="str">
        <f ca="1">IFERROR(__xludf.DUMMYFUNCTION("""COMPUTED_VALUE"""),"Beginner")</f>
        <v>Beginner</v>
      </c>
      <c r="S54" s="217" t="str">
        <f ca="1">IFERROR(__xludf.DUMMYFUNCTION("""COMPUTED_VALUE"""),"Marketing-Strategien: Das Online-Marketing-Cockpit")</f>
        <v>Marketing-Strategien: Das Online-Marketing-Cockpit</v>
      </c>
      <c r="T54" s="217"/>
      <c r="U54" s="213"/>
      <c r="V54" s="215"/>
      <c r="W54" s="215"/>
      <c r="X54" s="217"/>
      <c r="Y54" s="217"/>
      <c r="Z54" s="213"/>
      <c r="AA54" s="215"/>
      <c r="AB54" s="215"/>
      <c r="AC54" s="217"/>
      <c r="AD54" s="217"/>
      <c r="AE54" s="213"/>
      <c r="AF54" s="215"/>
      <c r="AG54" s="215"/>
      <c r="AH54" s="217"/>
      <c r="AI54" s="217"/>
      <c r="AJ54" s="213"/>
    </row>
    <row r="55" spans="1:36" ht="33.75" customHeight="1">
      <c r="A55" s="213"/>
      <c r="B55" s="214">
        <f ca="1">IFERROR(__xludf.DUMMYFUNCTION("""COMPUTED_VALUE"""),2822476)</f>
        <v>2822476</v>
      </c>
      <c r="C55" s="215" t="str">
        <f ca="1">IFERROR(__xludf.DUMMYFUNCTION("""COMPUTED_VALUE"""),"Beginner")</f>
        <v>Beginner</v>
      </c>
      <c r="D55" s="216" t="str">
        <f ca="1">IFERROR(__xludf.DUMMYFUNCTION("""COMPUTED_VALUE"""),"Small Business Marketing")</f>
        <v>Small Business Marketing</v>
      </c>
      <c r="E55" s="217"/>
      <c r="F55" s="213"/>
      <c r="G55" s="214">
        <f ca="1">IFERROR(__xludf.DUMMYFUNCTION("""COMPUTED_VALUE"""),2841379)</f>
        <v>2841379</v>
      </c>
      <c r="H55" s="215" t="str">
        <f ca="1">IFERROR(__xludf.DUMMYFUNCTION("""COMPUTED_VALUE"""),"Intermediate")</f>
        <v>Intermediate</v>
      </c>
      <c r="I55" s="217" t="str">
        <f ca="1">IFERROR(__xludf.DUMMYFUNCTION("""COMPUTED_VALUE"""),"TikTok pour le marketing")</f>
        <v>TikTok pour le marketing</v>
      </c>
      <c r="J55" s="217"/>
      <c r="K55" s="213"/>
      <c r="L55" s="215">
        <f ca="1">IFERROR(__xludf.DUMMYFUNCTION("""COMPUTED_VALUE"""),568499)</f>
        <v>568499</v>
      </c>
      <c r="M55" s="215" t="str">
        <f ca="1">IFERROR(__xludf.DUMMYFUNCTION("""COMPUTED_VALUE"""),"Intermediate")</f>
        <v>Intermediate</v>
      </c>
      <c r="N55" s="217" t="str">
        <f ca="1">IFERROR(__xludf.DUMMYFUNCTION("""COMPUTED_VALUE"""),"SEO local")</f>
        <v>SEO local</v>
      </c>
      <c r="O55" s="217"/>
      <c r="P55" s="213"/>
      <c r="Q55" s="215">
        <f ca="1">IFERROR(__xludf.DUMMYFUNCTION("""COMPUTED_VALUE"""),2908730)</f>
        <v>2908730</v>
      </c>
      <c r="R55" s="215" t="str">
        <f ca="1">IFERROR(__xludf.DUMMYFUNCTION("""COMPUTED_VALUE"""),"Beginner, Intermediate")</f>
        <v>Beginner, Intermediate</v>
      </c>
      <c r="S55" s="217" t="str">
        <f ca="1">IFERROR(__xludf.DUMMYFUNCTION("""COMPUTED_VALUE"""),"Mehr Aufmerksamkeit in Verkauf und Vertrieb")</f>
        <v>Mehr Aufmerksamkeit in Verkauf und Vertrieb</v>
      </c>
      <c r="T55" s="217"/>
      <c r="U55" s="213"/>
      <c r="V55" s="215"/>
      <c r="W55" s="215"/>
      <c r="X55" s="217"/>
      <c r="Y55" s="217"/>
      <c r="Z55" s="213"/>
      <c r="AA55" s="215"/>
      <c r="AB55" s="215"/>
      <c r="AC55" s="217"/>
      <c r="AD55" s="217"/>
      <c r="AE55" s="213"/>
      <c r="AF55" s="215"/>
      <c r="AG55" s="215"/>
      <c r="AH55" s="217"/>
      <c r="AI55" s="217"/>
      <c r="AJ55" s="213"/>
    </row>
    <row r="56" spans="1:36" ht="33.75" customHeight="1">
      <c r="A56" s="213"/>
      <c r="B56" s="214">
        <f ca="1">IFERROR(__xludf.DUMMYFUNCTION("""COMPUTED_VALUE"""),2823493)</f>
        <v>2823493</v>
      </c>
      <c r="C56" s="215" t="str">
        <f ca="1">IFERROR(__xludf.DUMMYFUNCTION("""COMPUTED_VALUE"""),"Beginner")</f>
        <v>Beginner</v>
      </c>
      <c r="D56" s="216" t="str">
        <f ca="1">IFERROR(__xludf.DUMMYFUNCTION("""COMPUTED_VALUE"""),"Marketing Analytics: Setting and Measuring KPIs")</f>
        <v>Marketing Analytics: Setting and Measuring KPIs</v>
      </c>
      <c r="E56" s="217"/>
      <c r="F56" s="213"/>
      <c r="G56" s="214">
        <f ca="1">IFERROR(__xludf.DUMMYFUNCTION("""COMPUTED_VALUE"""),2422670)</f>
        <v>2422670</v>
      </c>
      <c r="H56" s="215" t="str">
        <f ca="1">IFERROR(__xludf.DUMMYFUNCTION("""COMPUTED_VALUE"""),"Intermediate")</f>
        <v>Intermediate</v>
      </c>
      <c r="I56" s="217" t="str">
        <f ca="1">IFERROR(__xludf.DUMMYFUNCTION("""COMPUTED_VALUE"""),"Word : Créer une newsletter (Microsoft 365/Office 365)")</f>
        <v>Word : Créer une newsletter (Microsoft 365/Office 365)</v>
      </c>
      <c r="J56" s="217"/>
      <c r="K56" s="213"/>
      <c r="L56" s="215">
        <f ca="1">IFERROR(__xludf.DUMMYFUNCTION("""COMPUTED_VALUE"""),474527)</f>
        <v>474527</v>
      </c>
      <c r="M56" s="215" t="str">
        <f ca="1">IFERROR(__xludf.DUMMYFUNCTION("""COMPUTED_VALUE"""),"Intermediate")</f>
        <v>Intermediate</v>
      </c>
      <c r="N56" s="217" t="str">
        <f ca="1">IFERROR(__xludf.DUMMYFUNCTION("""COMPUTED_VALUE"""),"Trucos imprescindibles de marketing online")</f>
        <v>Trucos imprescindibles de marketing online</v>
      </c>
      <c r="O56" s="217"/>
      <c r="P56" s="213"/>
      <c r="Q56" s="215">
        <f ca="1">IFERROR(__xludf.DUMMYFUNCTION("""COMPUTED_VALUE"""),559570)</f>
        <v>559570</v>
      </c>
      <c r="R56" s="215" t="str">
        <f ca="1">IFERROR(__xludf.DUMMYFUNCTION("""COMPUTED_VALUE"""),"Beginner")</f>
        <v>Beginner</v>
      </c>
      <c r="S56" s="217" t="str">
        <f ca="1">IFERROR(__xludf.DUMMYFUNCTION("""COMPUTED_VALUE"""),"Meine Rechte und Pflichten in sozialen Netzwerken")</f>
        <v>Meine Rechte und Pflichten in sozialen Netzwerken</v>
      </c>
      <c r="T56" s="217"/>
      <c r="U56" s="213"/>
      <c r="V56" s="215"/>
      <c r="W56" s="215"/>
      <c r="X56" s="217"/>
      <c r="Y56" s="217"/>
      <c r="Z56" s="213"/>
      <c r="AA56" s="215"/>
      <c r="AB56" s="215"/>
      <c r="AC56" s="217"/>
      <c r="AD56" s="217"/>
      <c r="AE56" s="213"/>
      <c r="AF56" s="215"/>
      <c r="AG56" s="215"/>
      <c r="AH56" s="217"/>
      <c r="AI56" s="217"/>
      <c r="AJ56" s="213"/>
    </row>
    <row r="57" spans="1:36" ht="33.75" customHeight="1">
      <c r="A57" s="213"/>
      <c r="B57" s="214">
        <f ca="1">IFERROR(__xludf.DUMMYFUNCTION("""COMPUTED_VALUE"""),2824266)</f>
        <v>2824266</v>
      </c>
      <c r="C57" s="215" t="str">
        <f ca="1">IFERROR(__xludf.DUMMYFUNCTION("""COMPUTED_VALUE"""),"Beginner")</f>
        <v>Beginner</v>
      </c>
      <c r="D57" s="216" t="str">
        <f ca="1">IFERROR(__xludf.DUMMYFUNCTION("""COMPUTED_VALUE"""),"Building a Winning Enterprise Marketing Strategy")</f>
        <v>Building a Winning Enterprise Marketing Strategy</v>
      </c>
      <c r="E57" s="217"/>
      <c r="F57" s="213"/>
      <c r="G57" s="214">
        <f ca="1">IFERROR(__xludf.DUMMYFUNCTION("""COMPUTED_VALUE"""),2928998)</f>
        <v>2928998</v>
      </c>
      <c r="H57" s="215" t="str">
        <f ca="1">IFERROR(__xludf.DUMMYFUNCTION("""COMPUTED_VALUE"""),"Intermediate")</f>
        <v>Intermediate</v>
      </c>
      <c r="I57" s="217" t="str">
        <f ca="1">IFERROR(__xludf.DUMMYFUNCTION("""COMPUTED_VALUE"""),"WordPress : Optimisation du référencement")</f>
        <v>WordPress : Optimisation du référencement</v>
      </c>
      <c r="J57" s="217"/>
      <c r="K57" s="213"/>
      <c r="L57" s="215">
        <f ca="1">IFERROR(__xludf.DUMMYFUNCTION("""COMPUTED_VALUE"""),561647)</f>
        <v>561647</v>
      </c>
      <c r="M57" s="215" t="str">
        <f ca="1">IFERROR(__xludf.DUMMYFUNCTION("""COMPUTED_VALUE"""),"Advanced")</f>
        <v>Advanced</v>
      </c>
      <c r="N57" s="217" t="str">
        <f ca="1">IFERROR(__xludf.DUMMYFUNCTION("""COMPUTED_VALUE"""),"WordPress avanzado: SEO")</f>
        <v>WordPress avanzado: SEO</v>
      </c>
      <c r="O57" s="217"/>
      <c r="P57" s="213"/>
      <c r="Q57" s="215">
        <f ca="1">IFERROR(__xludf.DUMMYFUNCTION("""COMPUTED_VALUE"""),479173)</f>
        <v>479173</v>
      </c>
      <c r="R57" s="215" t="str">
        <f ca="1">IFERROR(__xludf.DUMMYFUNCTION("""COMPUTED_VALUE"""),"Beginner")</f>
        <v>Beginner</v>
      </c>
      <c r="S57" s="217" t="str">
        <f ca="1">IFERROR(__xludf.DUMMYFUNCTION("""COMPUTED_VALUE"""),"Neuromarketing – Grundlagen")</f>
        <v>Neuromarketing – Grundlagen</v>
      </c>
      <c r="T57" s="217"/>
      <c r="U57" s="213"/>
      <c r="V57" s="215"/>
      <c r="W57" s="215"/>
      <c r="X57" s="217"/>
      <c r="Y57" s="217"/>
      <c r="Z57" s="213"/>
      <c r="AA57" s="215"/>
      <c r="AB57" s="215"/>
      <c r="AC57" s="217"/>
      <c r="AD57" s="217"/>
      <c r="AE57" s="213"/>
      <c r="AF57" s="215"/>
      <c r="AG57" s="215"/>
      <c r="AH57" s="217"/>
      <c r="AI57" s="217"/>
      <c r="AJ57" s="213"/>
    </row>
    <row r="58" spans="1:36" ht="33.75" customHeight="1">
      <c r="A58" s="213"/>
      <c r="B58" s="214">
        <f ca="1">IFERROR(__xludf.DUMMYFUNCTION("""COMPUTED_VALUE"""),2824270)</f>
        <v>2824270</v>
      </c>
      <c r="C58" s="215" t="str">
        <f ca="1">IFERROR(__xludf.DUMMYFUNCTION("""COMPUTED_VALUE"""),"Beginner")</f>
        <v>Beginner</v>
      </c>
      <c r="D58" s="216" t="str">
        <f ca="1">IFERROR(__xludf.DUMMYFUNCTION("""COMPUTED_VALUE"""),"Marketing Foundations: Consumer Behavior")</f>
        <v>Marketing Foundations: Consumer Behavior</v>
      </c>
      <c r="E58" s="217"/>
      <c r="F58" s="213"/>
      <c r="G58" s="214"/>
      <c r="H58" s="215"/>
      <c r="I58" s="217"/>
      <c r="J58" s="217"/>
      <c r="K58" s="213"/>
      <c r="L58" s="215">
        <f ca="1">IFERROR(__xludf.DUMMYFUNCTION("""COMPUTED_VALUE"""),688034)</f>
        <v>688034</v>
      </c>
      <c r="M58" s="215" t="str">
        <f ca="1">IFERROR(__xludf.DUMMYFUNCTION("""COMPUTED_VALUE"""),"Beginner")</f>
        <v>Beginner</v>
      </c>
      <c r="N58" s="217" t="str">
        <f ca="1">IFERROR(__xludf.DUMMYFUNCTION("""COMPUTED_VALUE"""),"YouTube para empresas")</f>
        <v>YouTube para empresas</v>
      </c>
      <c r="O58" s="217"/>
      <c r="P58" s="213"/>
      <c r="Q58" s="215">
        <f ca="1">IFERROR(__xludf.DUMMYFUNCTION("""COMPUTED_VALUE"""),2915509)</f>
        <v>2915509</v>
      </c>
      <c r="R58" s="215" t="str">
        <f ca="1">IFERROR(__xludf.DUMMYFUNCTION("""COMPUTED_VALUE"""),"Beginner, Intermediate")</f>
        <v>Beginner, Intermediate</v>
      </c>
      <c r="S58" s="217" t="str">
        <f ca="1">IFERROR(__xludf.DUMMYFUNCTION("""COMPUTED_VALUE"""),"Personal Branding mit LinkedIn")</f>
        <v>Personal Branding mit LinkedIn</v>
      </c>
      <c r="T58" s="217"/>
      <c r="U58" s="213"/>
      <c r="V58" s="215"/>
      <c r="W58" s="215"/>
      <c r="X58" s="217"/>
      <c r="Y58" s="217"/>
      <c r="Z58" s="213"/>
      <c r="AA58" s="215"/>
      <c r="AB58" s="215"/>
      <c r="AC58" s="217"/>
      <c r="AD58" s="217"/>
      <c r="AE58" s="213"/>
      <c r="AF58" s="215"/>
      <c r="AG58" s="215"/>
      <c r="AH58" s="217"/>
      <c r="AI58" s="217"/>
      <c r="AJ58" s="213"/>
    </row>
    <row r="59" spans="1:36" ht="33.75" customHeight="1">
      <c r="A59" s="213"/>
      <c r="B59" s="214">
        <f ca="1">IFERROR(__xludf.DUMMYFUNCTION("""COMPUTED_VALUE"""),2822317)</f>
        <v>2822317</v>
      </c>
      <c r="C59" s="215" t="str">
        <f ca="1">IFERROR(__xludf.DUMMYFUNCTION("""COMPUTED_VALUE"""),"Beginner")</f>
        <v>Beginner</v>
      </c>
      <c r="D59" s="216" t="str">
        <f ca="1">IFERROR(__xludf.DUMMYFUNCTION("""COMPUTED_VALUE"""),"Creating and Managing a YouTube Channel")</f>
        <v>Creating and Managing a YouTube Channel</v>
      </c>
      <c r="E59" s="217"/>
      <c r="F59" s="213"/>
      <c r="G59" s="214"/>
      <c r="H59" s="215"/>
      <c r="I59" s="217"/>
      <c r="J59" s="217"/>
      <c r="K59" s="213"/>
      <c r="L59" s="215"/>
      <c r="M59" s="215"/>
      <c r="N59" s="217"/>
      <c r="O59" s="217"/>
      <c r="P59" s="213"/>
      <c r="Q59" s="215">
        <f ca="1">IFERROR(__xludf.DUMMYFUNCTION("""COMPUTED_VALUE"""),2825353)</f>
        <v>2825353</v>
      </c>
      <c r="R59" s="215" t="str">
        <f ca="1">IFERROR(__xludf.DUMMYFUNCTION("""COMPUTED_VALUE"""),"Beginner, Intermediate")</f>
        <v>Beginner, Intermediate</v>
      </c>
      <c r="S59" s="217" t="str">
        <f ca="1">IFERROR(__xludf.DUMMYFUNCTION("""COMPUTED_VALUE"""),"Photoshop für PR und Marketing")</f>
        <v>Photoshop für PR und Marketing</v>
      </c>
      <c r="T59" s="217"/>
      <c r="U59" s="213"/>
      <c r="V59" s="215"/>
      <c r="W59" s="215"/>
      <c r="X59" s="217"/>
      <c r="Y59" s="217"/>
      <c r="Z59" s="213"/>
      <c r="AA59" s="215"/>
      <c r="AB59" s="215"/>
      <c r="AC59" s="217"/>
      <c r="AD59" s="217"/>
      <c r="AE59" s="213"/>
      <c r="AF59" s="215"/>
      <c r="AG59" s="215"/>
      <c r="AH59" s="217"/>
      <c r="AI59" s="217"/>
      <c r="AJ59" s="213"/>
    </row>
    <row r="60" spans="1:36" ht="33.75" customHeight="1">
      <c r="A60" s="213"/>
      <c r="B60" s="214">
        <f ca="1">IFERROR(__xludf.DUMMYFUNCTION("""COMPUTED_VALUE"""),2825620)</f>
        <v>2825620</v>
      </c>
      <c r="C60" s="215" t="str">
        <f ca="1">IFERROR(__xludf.DUMMYFUNCTION("""COMPUTED_VALUE"""),"Beginner")</f>
        <v>Beginner</v>
      </c>
      <c r="D60" s="216" t="str">
        <f ca="1">IFERROR(__xludf.DUMMYFUNCTION("""COMPUTED_VALUE"""),"Business Analytics: Marketing Data")</f>
        <v>Business Analytics: Marketing Data</v>
      </c>
      <c r="E60" s="217"/>
      <c r="F60" s="213"/>
      <c r="G60" s="214"/>
      <c r="H60" s="215"/>
      <c r="I60" s="217"/>
      <c r="J60" s="217"/>
      <c r="K60" s="213"/>
      <c r="L60" s="215"/>
      <c r="M60" s="215"/>
      <c r="N60" s="217"/>
      <c r="O60" s="217"/>
      <c r="P60" s="213"/>
      <c r="Q60" s="215">
        <f ca="1">IFERROR(__xludf.DUMMYFUNCTION("""COMPUTED_VALUE"""),2917613)</f>
        <v>2917613</v>
      </c>
      <c r="R60" s="215" t="str">
        <f ca="1">IFERROR(__xludf.DUMMYFUNCTION("""COMPUTED_VALUE"""),"Beginner, Intermediate")</f>
        <v>Beginner, Intermediate</v>
      </c>
      <c r="S60" s="217" t="str">
        <f ca="1">IFERROR(__xludf.DUMMYFUNCTION("""COMPUTED_VALUE"""),"Photoshop für Social Media")</f>
        <v>Photoshop für Social Media</v>
      </c>
      <c r="T60" s="217"/>
      <c r="U60" s="213"/>
      <c r="V60" s="215"/>
      <c r="W60" s="215"/>
      <c r="X60" s="217"/>
      <c r="Y60" s="217"/>
      <c r="Z60" s="213"/>
      <c r="AA60" s="215"/>
      <c r="AB60" s="215"/>
      <c r="AC60" s="217"/>
      <c r="AD60" s="217"/>
      <c r="AE60" s="213"/>
      <c r="AF60" s="215"/>
      <c r="AG60" s="215"/>
      <c r="AH60" s="217"/>
      <c r="AI60" s="217"/>
      <c r="AJ60" s="213"/>
    </row>
    <row r="61" spans="1:36" ht="33.75" customHeight="1">
      <c r="A61" s="213"/>
      <c r="B61" s="214">
        <f ca="1">IFERROR(__xludf.DUMMYFUNCTION("""COMPUTED_VALUE"""),2823572)</f>
        <v>2823572</v>
      </c>
      <c r="C61" s="215" t="str">
        <f ca="1">IFERROR(__xludf.DUMMYFUNCTION("""COMPUTED_VALUE"""),"Beginner")</f>
        <v>Beginner</v>
      </c>
      <c r="D61" s="216" t="str">
        <f ca="1">IFERROR(__xludf.DUMMYFUNCTION("""COMPUTED_VALUE"""),"Creating an Editorial Calendar")</f>
        <v>Creating an Editorial Calendar</v>
      </c>
      <c r="E61" s="217"/>
      <c r="F61" s="213"/>
      <c r="G61" s="214"/>
      <c r="H61" s="215"/>
      <c r="I61" s="217"/>
      <c r="J61" s="217"/>
      <c r="K61" s="213"/>
      <c r="L61" s="215"/>
      <c r="M61" s="215"/>
      <c r="N61" s="217"/>
      <c r="O61" s="217"/>
      <c r="P61" s="213"/>
      <c r="Q61" s="215">
        <f ca="1">IFERROR(__xludf.DUMMYFUNCTION("""COMPUTED_VALUE"""),561711)</f>
        <v>561711</v>
      </c>
      <c r="R61" s="215" t="str">
        <f ca="1">IFERROR(__xludf.DUMMYFUNCTION("""COMPUTED_VALUE"""),"Beginner")</f>
        <v>Beginner</v>
      </c>
      <c r="S61" s="217" t="str">
        <f ca="1">IFERROR(__xludf.DUMMYFUNCTION("""COMPUTED_VALUE"""),"Rechtsgrundlagen für Blogger:innen und Online-Redakteur:innen")</f>
        <v>Rechtsgrundlagen für Blogger:innen und Online-Redakteur:innen</v>
      </c>
      <c r="T61" s="217"/>
      <c r="U61" s="213"/>
      <c r="V61" s="215"/>
      <c r="W61" s="215"/>
      <c r="X61" s="217"/>
      <c r="Y61" s="217"/>
      <c r="Z61" s="213"/>
      <c r="AA61" s="215"/>
      <c r="AB61" s="215"/>
      <c r="AC61" s="217"/>
      <c r="AD61" s="217"/>
      <c r="AE61" s="213"/>
      <c r="AF61" s="215"/>
      <c r="AG61" s="215"/>
      <c r="AH61" s="217"/>
      <c r="AI61" s="217"/>
      <c r="AJ61" s="213"/>
    </row>
    <row r="62" spans="1:36" ht="33.75" customHeight="1">
      <c r="A62" s="213"/>
      <c r="B62" s="214">
        <f ca="1">IFERROR(__xludf.DUMMYFUNCTION("""COMPUTED_VALUE"""),2822696)</f>
        <v>2822696</v>
      </c>
      <c r="C62" s="215" t="str">
        <f ca="1">IFERROR(__xludf.DUMMYFUNCTION("""COMPUTED_VALUE"""),"Beginner")</f>
        <v>Beginner</v>
      </c>
      <c r="D62" s="216" t="str">
        <f ca="1">IFERROR(__xludf.DUMMYFUNCTION("""COMPUTED_VALUE"""),"Affiliate Marketing Foundations")</f>
        <v>Affiliate Marketing Foundations</v>
      </c>
      <c r="E62" s="217"/>
      <c r="F62" s="213"/>
      <c r="G62" s="214"/>
      <c r="H62" s="215"/>
      <c r="I62" s="217"/>
      <c r="J62" s="217"/>
      <c r="K62" s="213"/>
      <c r="L62" s="215"/>
      <c r="M62" s="215"/>
      <c r="N62" s="217"/>
      <c r="O62" s="217"/>
      <c r="P62" s="213"/>
      <c r="Q62" s="215">
        <f ca="1">IFERROR(__xludf.DUMMYFUNCTION("""COMPUTED_VALUE"""),768249)</f>
        <v>768249</v>
      </c>
      <c r="R62" s="215" t="str">
        <f ca="1">IFERROR(__xludf.DUMMYFUNCTION("""COMPUTED_VALUE"""),"All levels")</f>
        <v>All levels</v>
      </c>
      <c r="S62" s="217" t="str">
        <f ca="1">IFERROR(__xludf.DUMMYFUNCTION("""COMPUTED_VALUE"""),"Rechtsgrundlagen: E-Mail-Marketing")</f>
        <v>Rechtsgrundlagen: E-Mail-Marketing</v>
      </c>
      <c r="T62" s="217"/>
      <c r="U62" s="213"/>
      <c r="V62" s="215"/>
      <c r="W62" s="215"/>
      <c r="X62" s="217"/>
      <c r="Y62" s="217"/>
      <c r="Z62" s="213"/>
      <c r="AA62" s="215"/>
      <c r="AB62" s="215"/>
      <c r="AC62" s="217"/>
      <c r="AD62" s="217"/>
      <c r="AE62" s="213"/>
      <c r="AF62" s="215"/>
      <c r="AG62" s="215"/>
      <c r="AH62" s="217"/>
      <c r="AI62" s="217"/>
      <c r="AJ62" s="213"/>
    </row>
    <row r="63" spans="1:36" ht="33.75" customHeight="1">
      <c r="A63" s="213"/>
      <c r="B63" s="214">
        <f ca="1">IFERROR(__xludf.DUMMYFUNCTION("""COMPUTED_VALUE"""),2823594)</f>
        <v>2823594</v>
      </c>
      <c r="C63" s="215" t="str">
        <f ca="1">IFERROR(__xludf.DUMMYFUNCTION("""COMPUTED_VALUE"""),"Beginner")</f>
        <v>Beginner</v>
      </c>
      <c r="D63" s="216" t="str">
        <f ca="1">IFERROR(__xludf.DUMMYFUNCTION("""COMPUTED_VALUE"""),"Programmatic Advertising Foundations")</f>
        <v>Programmatic Advertising Foundations</v>
      </c>
      <c r="E63" s="217"/>
      <c r="F63" s="213"/>
      <c r="G63" s="214"/>
      <c r="H63" s="215"/>
      <c r="I63" s="217"/>
      <c r="J63" s="217"/>
      <c r="K63" s="213"/>
      <c r="L63" s="215"/>
      <c r="M63" s="215"/>
      <c r="N63" s="217"/>
      <c r="O63" s="217"/>
      <c r="P63" s="213"/>
      <c r="Q63" s="215">
        <f ca="1">IFERROR(__xludf.DUMMYFUNCTION("""COMPUTED_VALUE"""),2220836)</f>
        <v>2220836</v>
      </c>
      <c r="R63" s="215" t="str">
        <f ca="1">IFERROR(__xludf.DUMMYFUNCTION("""COMPUTED_VALUE"""),"All levels")</f>
        <v>All levels</v>
      </c>
      <c r="S63" s="217" t="str">
        <f ca="1">IFERROR(__xludf.DUMMYFUNCTION("""COMPUTED_VALUE"""),"Rechtsgrundlagen: Online-Impressum")</f>
        <v>Rechtsgrundlagen: Online-Impressum</v>
      </c>
      <c r="T63" s="217"/>
      <c r="U63" s="213"/>
      <c r="V63" s="215"/>
      <c r="W63" s="215"/>
      <c r="X63" s="217"/>
      <c r="Y63" s="217"/>
      <c r="Z63" s="213"/>
      <c r="AA63" s="215"/>
      <c r="AB63" s="215"/>
      <c r="AC63" s="217"/>
      <c r="AD63" s="217"/>
      <c r="AE63" s="213"/>
      <c r="AF63" s="215"/>
      <c r="AG63" s="215"/>
      <c r="AH63" s="217"/>
      <c r="AI63" s="217"/>
      <c r="AJ63" s="213"/>
    </row>
    <row r="64" spans="1:36" ht="33.75" customHeight="1">
      <c r="A64" s="213"/>
      <c r="B64" s="214">
        <f ca="1">IFERROR(__xludf.DUMMYFUNCTION("""COMPUTED_VALUE"""),2825707)</f>
        <v>2825707</v>
      </c>
      <c r="C64" s="215" t="str">
        <f ca="1">IFERROR(__xludf.DUMMYFUNCTION("""COMPUTED_VALUE"""),"Beginner")</f>
        <v>Beginner</v>
      </c>
      <c r="D64" s="216" t="str">
        <f ca="1">IFERROR(__xludf.DUMMYFUNCTION("""COMPUTED_VALUE"""),"International SEO")</f>
        <v>International SEO</v>
      </c>
      <c r="E64" s="217"/>
      <c r="F64" s="213"/>
      <c r="G64" s="214"/>
      <c r="H64" s="215"/>
      <c r="I64" s="217"/>
      <c r="J64" s="217"/>
      <c r="K64" s="213"/>
      <c r="L64" s="215"/>
      <c r="M64" s="215"/>
      <c r="N64" s="217"/>
      <c r="O64" s="217"/>
      <c r="P64" s="213"/>
      <c r="Q64" s="215">
        <f ca="1">IFERROR(__xludf.DUMMYFUNCTION("""COMPUTED_VALUE"""),510809)</f>
        <v>510809</v>
      </c>
      <c r="R64" s="215" t="str">
        <f ca="1">IFERROR(__xludf.DUMMYFUNCTION("""COMPUTED_VALUE"""),"Beginner")</f>
        <v>Beginner</v>
      </c>
      <c r="S64" s="217" t="str">
        <f ca="1">IFERROR(__xludf.DUMMYFUNCTION("""COMPUTED_VALUE"""),"SEO – Grundlagen")</f>
        <v>SEO – Grundlagen</v>
      </c>
      <c r="T64" s="217"/>
      <c r="U64" s="213"/>
      <c r="V64" s="215"/>
      <c r="W64" s="215"/>
      <c r="X64" s="217"/>
      <c r="Y64" s="217"/>
      <c r="Z64" s="213"/>
      <c r="AA64" s="215"/>
      <c r="AB64" s="215"/>
      <c r="AC64" s="217"/>
      <c r="AD64" s="217"/>
      <c r="AE64" s="213"/>
      <c r="AF64" s="215"/>
      <c r="AG64" s="215"/>
      <c r="AH64" s="217"/>
      <c r="AI64" s="217"/>
      <c r="AJ64" s="213"/>
    </row>
    <row r="65" spans="1:36" ht="33.75" customHeight="1">
      <c r="A65" s="213"/>
      <c r="B65" s="214">
        <f ca="1">IFERROR(__xludf.DUMMYFUNCTION("""COMPUTED_VALUE"""),2835091)</f>
        <v>2835091</v>
      </c>
      <c r="C65" s="215" t="str">
        <f ca="1">IFERROR(__xludf.DUMMYFUNCTION("""COMPUTED_VALUE"""),"Beginner")</f>
        <v>Beginner</v>
      </c>
      <c r="D65" s="216" t="str">
        <f ca="1">IFERROR(__xludf.DUMMYFUNCTION("""COMPUTED_VALUE"""),"Marketing: Customer Segmentation")</f>
        <v>Marketing: Customer Segmentation</v>
      </c>
      <c r="E65" s="217"/>
      <c r="F65" s="213"/>
      <c r="G65" s="214"/>
      <c r="H65" s="215"/>
      <c r="I65" s="217"/>
      <c r="J65" s="217"/>
      <c r="K65" s="213"/>
      <c r="L65" s="215"/>
      <c r="M65" s="215"/>
      <c r="N65" s="217"/>
      <c r="O65" s="217"/>
      <c r="P65" s="213"/>
      <c r="Q65" s="215">
        <f ca="1">IFERROR(__xludf.DUMMYFUNCTION("""COMPUTED_VALUE"""),703228)</f>
        <v>703228</v>
      </c>
      <c r="R65" s="215" t="str">
        <f ca="1">IFERROR(__xludf.DUMMYFUNCTION("""COMPUTED_VALUE"""),"Beginner, Intermediate")</f>
        <v>Beginner, Intermediate</v>
      </c>
      <c r="S65" s="217" t="str">
        <f ca="1">IFERROR(__xludf.DUMMYFUNCTION("""COMPUTED_VALUE"""),"SEO in TYPO3 CMS Grundkurs")</f>
        <v>SEO in TYPO3 CMS Grundkurs</v>
      </c>
      <c r="T65" s="217"/>
      <c r="U65" s="213"/>
      <c r="V65" s="215"/>
      <c r="W65" s="215"/>
      <c r="X65" s="217"/>
      <c r="Y65" s="217"/>
      <c r="Z65" s="213"/>
      <c r="AA65" s="215"/>
      <c r="AB65" s="215"/>
      <c r="AC65" s="217"/>
      <c r="AD65" s="217"/>
      <c r="AE65" s="213"/>
      <c r="AF65" s="215"/>
      <c r="AG65" s="215"/>
      <c r="AH65" s="217"/>
      <c r="AI65" s="217"/>
      <c r="AJ65" s="213"/>
    </row>
    <row r="66" spans="1:36" ht="33.75" customHeight="1">
      <c r="A66" s="213"/>
      <c r="B66" s="214">
        <f ca="1">IFERROR(__xludf.DUMMYFUNCTION("""COMPUTED_VALUE"""),2841308)</f>
        <v>2841308</v>
      </c>
      <c r="C66" s="215" t="str">
        <f ca="1">IFERROR(__xludf.DUMMYFUNCTION("""COMPUTED_VALUE"""),"Beginner")</f>
        <v>Beginner</v>
      </c>
      <c r="D66" s="216" t="str">
        <f ca="1">IFERROR(__xludf.DUMMYFUNCTION("""COMPUTED_VALUE"""),"Marketing on Facebook")</f>
        <v>Marketing on Facebook</v>
      </c>
      <c r="E66" s="217"/>
      <c r="F66" s="213"/>
      <c r="G66" s="214"/>
      <c r="H66" s="215"/>
      <c r="I66" s="217"/>
      <c r="J66" s="217"/>
      <c r="K66" s="213"/>
      <c r="L66" s="215"/>
      <c r="M66" s="215"/>
      <c r="N66" s="217"/>
      <c r="O66" s="217"/>
      <c r="P66" s="213"/>
      <c r="Q66" s="215">
        <f ca="1">IFERROR(__xludf.DUMMYFUNCTION("""COMPUTED_VALUE"""),473062)</f>
        <v>473062</v>
      </c>
      <c r="R66" s="215" t="str">
        <f ca="1">IFERROR(__xludf.DUMMYFUNCTION("""COMPUTED_VALUE"""),"Beginner, Intermediate")</f>
        <v>Beginner, Intermediate</v>
      </c>
      <c r="S66" s="217" t="str">
        <f ca="1">IFERROR(__xludf.DUMMYFUNCTION("""COMPUTED_VALUE"""),"SEO in WordPress – Grundlagen")</f>
        <v>SEO in WordPress – Grundlagen</v>
      </c>
      <c r="T66" s="217"/>
      <c r="U66" s="213"/>
      <c r="V66" s="215"/>
      <c r="W66" s="215"/>
      <c r="X66" s="217"/>
      <c r="Y66" s="217"/>
      <c r="Z66" s="213"/>
      <c r="AA66" s="215"/>
      <c r="AB66" s="215"/>
      <c r="AC66" s="217"/>
      <c r="AD66" s="217"/>
      <c r="AE66" s="213"/>
      <c r="AF66" s="215"/>
      <c r="AG66" s="215"/>
      <c r="AH66" s="217"/>
      <c r="AI66" s="217"/>
      <c r="AJ66" s="213"/>
    </row>
    <row r="67" spans="1:36" ht="33.75" customHeight="1">
      <c r="A67" s="213"/>
      <c r="B67" s="214">
        <f ca="1">IFERROR(__xludf.DUMMYFUNCTION("""COMPUTED_VALUE"""),2871157)</f>
        <v>2871157</v>
      </c>
      <c r="C67" s="215" t="str">
        <f ca="1">IFERROR(__xludf.DUMMYFUNCTION("""COMPUTED_VALUE"""),"Beginner")</f>
        <v>Beginner</v>
      </c>
      <c r="D67" s="216" t="str">
        <f ca="1">IFERROR(__xludf.DUMMYFUNCTION("""COMPUTED_VALUE"""),"Direct Mail Marketing")</f>
        <v>Direct Mail Marketing</v>
      </c>
      <c r="E67" s="217"/>
      <c r="F67" s="213"/>
      <c r="G67" s="214"/>
      <c r="H67" s="215"/>
      <c r="I67" s="217"/>
      <c r="J67" s="217"/>
      <c r="K67" s="213"/>
      <c r="L67" s="215"/>
      <c r="M67" s="215"/>
      <c r="N67" s="217"/>
      <c r="O67" s="217"/>
      <c r="P67" s="213"/>
      <c r="Q67" s="215">
        <f ca="1">IFERROR(__xludf.DUMMYFUNCTION("""COMPUTED_VALUE"""),676478)</f>
        <v>676478</v>
      </c>
      <c r="R67" s="215" t="str">
        <f ca="1">IFERROR(__xludf.DUMMYFUNCTION("""COMPUTED_VALUE"""),"Intermediate")</f>
        <v>Intermediate</v>
      </c>
      <c r="S67" s="217" t="str">
        <f ca="1">IFERROR(__xludf.DUMMYFUNCTION("""COMPUTED_VALUE"""),"SEO: International ausgerichtete Suchmaschinenoptimierung")</f>
        <v>SEO: International ausgerichtete Suchmaschinenoptimierung</v>
      </c>
      <c r="T67" s="217"/>
      <c r="U67" s="213"/>
      <c r="V67" s="215"/>
      <c r="W67" s="215"/>
      <c r="X67" s="217"/>
      <c r="Y67" s="217"/>
      <c r="Z67" s="213"/>
      <c r="AA67" s="215"/>
      <c r="AB67" s="215"/>
      <c r="AC67" s="217"/>
      <c r="AD67" s="217"/>
      <c r="AE67" s="213"/>
      <c r="AF67" s="215"/>
      <c r="AG67" s="215"/>
      <c r="AH67" s="217"/>
      <c r="AI67" s="217"/>
      <c r="AJ67" s="213"/>
    </row>
    <row r="68" spans="1:36" ht="33.75" customHeight="1">
      <c r="A68" s="213"/>
      <c r="B68" s="214">
        <f ca="1">IFERROR(__xludf.DUMMYFUNCTION("""COMPUTED_VALUE"""),2832068)</f>
        <v>2832068</v>
      </c>
      <c r="C68" s="215" t="str">
        <f ca="1">IFERROR(__xludf.DUMMYFUNCTION("""COMPUTED_VALUE"""),"Beginner")</f>
        <v>Beginner</v>
      </c>
      <c r="D68" s="216" t="str">
        <f ca="1">IFERROR(__xludf.DUMMYFUNCTION("""COMPUTED_VALUE"""),"Developing a YouTube Strategy")</f>
        <v>Developing a YouTube Strategy</v>
      </c>
      <c r="E68" s="217"/>
      <c r="F68" s="213"/>
      <c r="G68" s="214"/>
      <c r="H68" s="215"/>
      <c r="I68" s="217"/>
      <c r="J68" s="217"/>
      <c r="K68" s="213"/>
      <c r="L68" s="215"/>
      <c r="M68" s="215"/>
      <c r="N68" s="217"/>
      <c r="O68" s="217"/>
      <c r="P68" s="213"/>
      <c r="Q68" s="215">
        <f ca="1">IFERROR(__xludf.DUMMYFUNCTION("""COMPUTED_VALUE"""),394015)</f>
        <v>394015</v>
      </c>
      <c r="R68" s="215" t="str">
        <f ca="1">IFERROR(__xludf.DUMMYFUNCTION("""COMPUTED_VALUE"""),"Intermediate")</f>
        <v>Intermediate</v>
      </c>
      <c r="S68" s="217" t="str">
        <f ca="1">IFERROR(__xludf.DUMMYFUNCTION("""COMPUTED_VALUE"""),"SEO: Onpage-Optimierung")</f>
        <v>SEO: Onpage-Optimierung</v>
      </c>
      <c r="T68" s="217"/>
      <c r="U68" s="213"/>
      <c r="V68" s="215"/>
      <c r="W68" s="215"/>
      <c r="X68" s="217"/>
      <c r="Y68" s="217"/>
      <c r="Z68" s="213"/>
      <c r="AA68" s="215"/>
      <c r="AB68" s="215"/>
      <c r="AC68" s="217"/>
      <c r="AD68" s="217"/>
      <c r="AE68" s="213"/>
      <c r="AF68" s="215"/>
      <c r="AG68" s="215"/>
      <c r="AH68" s="217"/>
      <c r="AI68" s="217"/>
      <c r="AJ68" s="213"/>
    </row>
    <row r="69" spans="1:36" ht="33.75" customHeight="1">
      <c r="A69" s="213"/>
      <c r="B69" s="214">
        <f ca="1">IFERROR(__xludf.DUMMYFUNCTION("""COMPUTED_VALUE"""),2841614)</f>
        <v>2841614</v>
      </c>
      <c r="C69" s="215" t="str">
        <f ca="1">IFERROR(__xludf.DUMMYFUNCTION("""COMPUTED_VALUE"""),"Beginner")</f>
        <v>Beginner</v>
      </c>
      <c r="D69" s="216" t="str">
        <f ca="1">IFERROR(__xludf.DUMMYFUNCTION("""COMPUTED_VALUE"""),"Designing an Authentic Brand")</f>
        <v>Designing an Authentic Brand</v>
      </c>
      <c r="E69" s="217"/>
      <c r="F69" s="213"/>
      <c r="G69" s="214"/>
      <c r="H69" s="215"/>
      <c r="I69" s="217"/>
      <c r="J69" s="217"/>
      <c r="K69" s="213"/>
      <c r="L69" s="215"/>
      <c r="M69" s="215"/>
      <c r="N69" s="217"/>
      <c r="O69" s="217"/>
      <c r="P69" s="213"/>
      <c r="Q69" s="215">
        <f ca="1">IFERROR(__xludf.DUMMYFUNCTION("""COMPUTED_VALUE"""),676477)</f>
        <v>676477</v>
      </c>
      <c r="R69" s="215" t="str">
        <f ca="1">IFERROR(__xludf.DUMMYFUNCTION("""COMPUTED_VALUE"""),"Intermediate")</f>
        <v>Intermediate</v>
      </c>
      <c r="S69" s="217" t="str">
        <f ca="1">IFERROR(__xludf.DUMMYFUNCTION("""COMPUTED_VALUE"""),"SEO: Optimierung für sprachbasierte Suche")</f>
        <v>SEO: Optimierung für sprachbasierte Suche</v>
      </c>
      <c r="T69" s="217"/>
      <c r="U69" s="213"/>
      <c r="V69" s="215"/>
      <c r="W69" s="215"/>
      <c r="X69" s="217"/>
      <c r="Y69" s="217"/>
      <c r="Z69" s="213"/>
      <c r="AA69" s="215"/>
      <c r="AB69" s="215"/>
      <c r="AC69" s="217"/>
      <c r="AD69" s="217"/>
      <c r="AE69" s="213"/>
      <c r="AF69" s="215"/>
      <c r="AG69" s="215"/>
      <c r="AH69" s="217"/>
      <c r="AI69" s="217"/>
      <c r="AJ69" s="213"/>
    </row>
    <row r="70" spans="1:36" ht="33.75" customHeight="1">
      <c r="A70" s="213"/>
      <c r="B70" s="214">
        <f ca="1">IFERROR(__xludf.DUMMYFUNCTION("""COMPUTED_VALUE"""),2871077)</f>
        <v>2871077</v>
      </c>
      <c r="C70" s="215" t="str">
        <f ca="1">IFERROR(__xludf.DUMMYFUNCTION("""COMPUTED_VALUE"""),"Beginner")</f>
        <v>Beginner</v>
      </c>
      <c r="D70" s="216" t="str">
        <f ca="1">IFERROR(__xludf.DUMMYFUNCTION("""COMPUTED_VALUE"""),"Marketing on Twitter")</f>
        <v>Marketing on Twitter</v>
      </c>
      <c r="E70" s="217"/>
      <c r="F70" s="213"/>
      <c r="G70" s="214"/>
      <c r="H70" s="215"/>
      <c r="I70" s="217"/>
      <c r="J70" s="217"/>
      <c r="K70" s="213"/>
      <c r="L70" s="215"/>
      <c r="M70" s="215"/>
      <c r="N70" s="217"/>
      <c r="O70" s="217"/>
      <c r="P70" s="213"/>
      <c r="Q70" s="215">
        <f ca="1">IFERROR(__xludf.DUMMYFUNCTION("""COMPUTED_VALUE"""),2875014)</f>
        <v>2875014</v>
      </c>
      <c r="R70" s="215" t="str">
        <f ca="1">IFERROR(__xludf.DUMMYFUNCTION("""COMPUTED_VALUE"""),"Beginner")</f>
        <v>Beginner</v>
      </c>
      <c r="S70" s="217" t="str">
        <f ca="1">IFERROR(__xludf.DUMMYFUNCTION("""COMPUTED_VALUE"""),"SEO: Praktische Tipps für Online-Marketing-Manager:innen")</f>
        <v>SEO: Praktische Tipps für Online-Marketing-Manager:innen</v>
      </c>
      <c r="T70" s="217"/>
      <c r="U70" s="213"/>
      <c r="V70" s="215"/>
      <c r="W70" s="215"/>
      <c r="X70" s="217"/>
      <c r="Y70" s="217"/>
      <c r="Z70" s="213"/>
      <c r="AA70" s="215"/>
      <c r="AB70" s="215"/>
      <c r="AC70" s="217"/>
      <c r="AD70" s="217"/>
      <c r="AE70" s="213"/>
      <c r="AF70" s="215"/>
      <c r="AG70" s="215"/>
      <c r="AH70" s="217"/>
      <c r="AI70" s="217"/>
      <c r="AJ70" s="213"/>
    </row>
    <row r="71" spans="1:36" ht="33.75" customHeight="1">
      <c r="A71" s="213"/>
      <c r="B71" s="214">
        <f ca="1">IFERROR(__xludf.DUMMYFUNCTION("""COMPUTED_VALUE"""),2282152)</f>
        <v>2282152</v>
      </c>
      <c r="C71" s="215" t="str">
        <f ca="1">IFERROR(__xludf.DUMMYFUNCTION("""COMPUTED_VALUE"""),"Beginner")</f>
        <v>Beginner</v>
      </c>
      <c r="D71" s="216" t="str">
        <f ca="1">IFERROR(__xludf.DUMMYFUNCTION("""COMPUTED_VALUE"""),"International Marketing Foundations")</f>
        <v>International Marketing Foundations</v>
      </c>
      <c r="E71" s="217"/>
      <c r="F71" s="213"/>
      <c r="G71" s="214"/>
      <c r="H71" s="215"/>
      <c r="I71" s="217"/>
      <c r="J71" s="217"/>
      <c r="K71" s="213"/>
      <c r="L71" s="215"/>
      <c r="M71" s="215"/>
      <c r="N71" s="217"/>
      <c r="O71" s="217"/>
      <c r="P71" s="213"/>
      <c r="Q71" s="215">
        <f ca="1">IFERROR(__xludf.DUMMYFUNCTION("""COMPUTED_VALUE"""),489843)</f>
        <v>489843</v>
      </c>
      <c r="R71" s="215" t="str">
        <f ca="1">IFERROR(__xludf.DUMMYFUNCTION("""COMPUTED_VALUE"""),"Intermediate")</f>
        <v>Intermediate</v>
      </c>
      <c r="S71" s="217" t="str">
        <f ca="1">IFERROR(__xludf.DUMMYFUNCTION("""COMPUTED_VALUE"""),"SEO: Site-Clinics – Suchmaschinenoptimierung für bestehende Websites in der Praxis")</f>
        <v>SEO: Site-Clinics – Suchmaschinenoptimierung für bestehende Websites in der Praxis</v>
      </c>
      <c r="T71" s="217"/>
      <c r="U71" s="213"/>
      <c r="V71" s="215"/>
      <c r="W71" s="215"/>
      <c r="X71" s="217"/>
      <c r="Y71" s="217"/>
      <c r="Z71" s="213"/>
      <c r="AA71" s="215"/>
      <c r="AB71" s="215"/>
      <c r="AC71" s="217"/>
      <c r="AD71" s="217"/>
      <c r="AE71" s="213"/>
      <c r="AF71" s="215"/>
      <c r="AG71" s="215"/>
      <c r="AH71" s="217"/>
      <c r="AI71" s="217"/>
      <c r="AJ71" s="213"/>
    </row>
    <row r="72" spans="1:36" ht="33.75" customHeight="1">
      <c r="A72" s="213"/>
      <c r="B72" s="214">
        <f ca="1">IFERROR(__xludf.DUMMYFUNCTION("""COMPUTED_VALUE"""),2841524)</f>
        <v>2841524</v>
      </c>
      <c r="C72" s="215" t="str">
        <f ca="1">IFERROR(__xludf.DUMMYFUNCTION("""COMPUTED_VALUE"""),"Beginner")</f>
        <v>Beginner</v>
      </c>
      <c r="D72" s="216" t="str">
        <f ca="1">IFERROR(__xludf.DUMMYFUNCTION("""COMPUTED_VALUE"""),"Learning Logo Design")</f>
        <v>Learning Logo Design</v>
      </c>
      <c r="E72" s="217"/>
      <c r="F72" s="213"/>
      <c r="G72" s="214"/>
      <c r="H72" s="215"/>
      <c r="I72" s="217"/>
      <c r="J72" s="217"/>
      <c r="K72" s="213"/>
      <c r="L72" s="215"/>
      <c r="M72" s="215"/>
      <c r="N72" s="217"/>
      <c r="O72" s="217"/>
      <c r="P72" s="213"/>
      <c r="Q72" s="215">
        <f ca="1">IFERROR(__xludf.DUMMYFUNCTION("""COMPUTED_VALUE"""),393155)</f>
        <v>393155</v>
      </c>
      <c r="R72" s="215" t="str">
        <f ca="1">IFERROR(__xludf.DUMMYFUNCTION("""COMPUTED_VALUE"""),"Beginner, Intermediate")</f>
        <v>Beginner, Intermediate</v>
      </c>
      <c r="S72" s="217" t="str">
        <f ca="1">IFERROR(__xludf.DUMMYFUNCTION("""COMPUTED_VALUE"""),"SEO-gerechte Texte")</f>
        <v>SEO-gerechte Texte</v>
      </c>
      <c r="T72" s="217"/>
      <c r="U72" s="213"/>
      <c r="V72" s="215"/>
      <c r="W72" s="215"/>
      <c r="X72" s="217"/>
      <c r="Y72" s="217"/>
      <c r="Z72" s="213"/>
      <c r="AA72" s="215"/>
      <c r="AB72" s="215"/>
      <c r="AC72" s="217"/>
      <c r="AD72" s="217"/>
      <c r="AE72" s="213"/>
      <c r="AF72" s="215"/>
      <c r="AG72" s="215"/>
      <c r="AH72" s="217"/>
      <c r="AI72" s="217"/>
      <c r="AJ72" s="213"/>
    </row>
    <row r="73" spans="1:36" ht="33.75" customHeight="1">
      <c r="A73" s="213"/>
      <c r="B73" s="214">
        <f ca="1">IFERROR(__xludf.DUMMYFUNCTION("""COMPUTED_VALUE"""),2841621)</f>
        <v>2841621</v>
      </c>
      <c r="C73" s="215" t="str">
        <f ca="1">IFERROR(__xludf.DUMMYFUNCTION("""COMPUTED_VALUE"""),"Beginner")</f>
        <v>Beginner</v>
      </c>
      <c r="D73" s="216" t="str">
        <f ca="1">IFERROR(__xludf.DUMMYFUNCTION("""COMPUTED_VALUE"""),"Marketing Virtual Events")</f>
        <v>Marketing Virtual Events</v>
      </c>
      <c r="E73" s="217"/>
      <c r="F73" s="213"/>
      <c r="G73" s="214"/>
      <c r="H73" s="215"/>
      <c r="I73" s="217"/>
      <c r="J73" s="217"/>
      <c r="K73" s="213"/>
      <c r="L73" s="215"/>
      <c r="M73" s="215"/>
      <c r="N73" s="217"/>
      <c r="O73" s="217"/>
      <c r="P73" s="213"/>
      <c r="Q73" s="215">
        <f ca="1">IFERROR(__xludf.DUMMYFUNCTION("""COMPUTED_VALUE"""),2403048)</f>
        <v>2403048</v>
      </c>
      <c r="R73" s="215" t="str">
        <f ca="1">IFERROR(__xludf.DUMMYFUNCTION("""COMPUTED_VALUE"""),"Beginner")</f>
        <v>Beginner</v>
      </c>
      <c r="S73" s="217" t="str">
        <f ca="1">IFERROR(__xludf.DUMMYFUNCTION("""COMPUTED_VALUE"""),"SEO-Strategien: Das SEO-Cockpit")</f>
        <v>SEO-Strategien: Das SEO-Cockpit</v>
      </c>
      <c r="T73" s="217"/>
      <c r="U73" s="213"/>
      <c r="V73" s="215"/>
      <c r="W73" s="215"/>
      <c r="X73" s="217"/>
      <c r="Y73" s="217"/>
      <c r="Z73" s="213"/>
      <c r="AA73" s="215"/>
      <c r="AB73" s="215"/>
      <c r="AC73" s="217"/>
      <c r="AD73" s="217"/>
      <c r="AE73" s="213"/>
      <c r="AF73" s="215"/>
      <c r="AG73" s="215"/>
      <c r="AH73" s="217"/>
      <c r="AI73" s="217"/>
      <c r="AJ73" s="213"/>
    </row>
    <row r="74" spans="1:36" ht="33.75" customHeight="1">
      <c r="A74" s="213"/>
      <c r="B74" s="214">
        <f ca="1">IFERROR(__xludf.DUMMYFUNCTION("""COMPUTED_VALUE"""),2871132)</f>
        <v>2871132</v>
      </c>
      <c r="C74" s="215" t="str">
        <f ca="1">IFERROR(__xludf.DUMMYFUNCTION("""COMPUTED_VALUE"""),"Beginner")</f>
        <v>Beginner</v>
      </c>
      <c r="D74" s="216" t="str">
        <f ca="1">IFERROR(__xludf.DUMMYFUNCTION("""COMPUTED_VALUE"""),"The 22 Immutable Laws of Branding (Blinkist Summary)")</f>
        <v>The 22 Immutable Laws of Branding (Blinkist Summary)</v>
      </c>
      <c r="E74" s="217"/>
      <c r="F74" s="213"/>
      <c r="G74" s="214"/>
      <c r="H74" s="215"/>
      <c r="I74" s="217"/>
      <c r="J74" s="217"/>
      <c r="K74" s="213"/>
      <c r="L74" s="215"/>
      <c r="M74" s="215"/>
      <c r="N74" s="217"/>
      <c r="O74" s="217"/>
      <c r="P74" s="213"/>
      <c r="Q74" s="215">
        <f ca="1">IFERROR(__xludf.DUMMYFUNCTION("""COMPUTED_VALUE"""),514350)</f>
        <v>514350</v>
      </c>
      <c r="R74" s="215" t="str">
        <f ca="1">IFERROR(__xludf.DUMMYFUNCTION("""COMPUTED_VALUE"""),"Beginner")</f>
        <v>Beginner</v>
      </c>
      <c r="S74" s="217" t="str">
        <f ca="1">IFERROR(__xludf.DUMMYFUNCTION("""COMPUTED_VALUE"""),"Snapchat für Kreative")</f>
        <v>Snapchat für Kreative</v>
      </c>
      <c r="T74" s="217"/>
      <c r="U74" s="213"/>
      <c r="V74" s="215"/>
      <c r="W74" s="215"/>
      <c r="X74" s="217"/>
      <c r="Y74" s="217"/>
      <c r="Z74" s="213"/>
      <c r="AA74" s="215"/>
      <c r="AB74" s="215"/>
      <c r="AC74" s="217"/>
      <c r="AD74" s="217"/>
      <c r="AE74" s="213"/>
      <c r="AF74" s="215"/>
      <c r="AG74" s="215"/>
      <c r="AH74" s="217"/>
      <c r="AI74" s="217"/>
      <c r="AJ74" s="213"/>
    </row>
    <row r="75" spans="1:36" ht="33.75" customHeight="1">
      <c r="A75" s="213"/>
      <c r="B75" s="214">
        <f ca="1">IFERROR(__xludf.DUMMYFUNCTION("""COMPUTED_VALUE"""),2873325)</f>
        <v>2873325</v>
      </c>
      <c r="C75" s="215" t="str">
        <f ca="1">IFERROR(__xludf.DUMMYFUNCTION("""COMPUTED_VALUE"""),"Beginner")</f>
        <v>Beginner</v>
      </c>
      <c r="D75" s="216" t="str">
        <f ca="1">IFERROR(__xludf.DUMMYFUNCTION("""COMPUTED_VALUE"""),"How to Build a Following Online")</f>
        <v>How to Build a Following Online</v>
      </c>
      <c r="E75" s="217"/>
      <c r="F75" s="213"/>
      <c r="G75" s="214"/>
      <c r="H75" s="215"/>
      <c r="I75" s="217"/>
      <c r="J75" s="217"/>
      <c r="K75" s="213"/>
      <c r="L75" s="215"/>
      <c r="M75" s="215"/>
      <c r="N75" s="217"/>
      <c r="O75" s="217"/>
      <c r="P75" s="213"/>
      <c r="Q75" s="215">
        <f ca="1">IFERROR(__xludf.DUMMYFUNCTION("""COMPUTED_VALUE"""),3115137)</f>
        <v>3115137</v>
      </c>
      <c r="R75" s="215" t="str">
        <f ca="1">IFERROR(__xludf.DUMMYFUNCTION("""COMPUTED_VALUE"""),"Beginner")</f>
        <v>Beginner</v>
      </c>
      <c r="S75" s="217" t="str">
        <f ca="1">IFERROR(__xludf.DUMMYFUNCTION("""COMPUTED_VALUE"""),"Social Commerce: E-Commerce mit Social Media kennenlernen")</f>
        <v>Social Commerce: E-Commerce mit Social Media kennenlernen</v>
      </c>
      <c r="T75" s="217"/>
      <c r="U75" s="213"/>
      <c r="V75" s="215"/>
      <c r="W75" s="215"/>
      <c r="X75" s="217"/>
      <c r="Y75" s="217"/>
      <c r="Z75" s="213"/>
      <c r="AA75" s="215"/>
      <c r="AB75" s="215"/>
      <c r="AC75" s="217"/>
      <c r="AD75" s="217"/>
      <c r="AE75" s="213"/>
      <c r="AF75" s="215"/>
      <c r="AG75" s="215"/>
      <c r="AH75" s="217"/>
      <c r="AI75" s="217"/>
      <c r="AJ75" s="213"/>
    </row>
    <row r="76" spans="1:36" ht="33.75" customHeight="1">
      <c r="A76" s="213"/>
      <c r="B76" s="214">
        <f ca="1">IFERROR(__xludf.DUMMYFUNCTION("""COMPUTED_VALUE"""),2874334)</f>
        <v>2874334</v>
      </c>
      <c r="C76" s="215" t="str">
        <f ca="1">IFERROR(__xludf.DUMMYFUNCTION("""COMPUTED_VALUE"""),"Beginner")</f>
        <v>Beginner</v>
      </c>
      <c r="D76" s="216" t="str">
        <f ca="1">IFERROR(__xludf.DUMMYFUNCTION("""COMPUTED_VALUE"""),"Marketing Tools: Social Media")</f>
        <v>Marketing Tools: Social Media</v>
      </c>
      <c r="E76" s="217"/>
      <c r="F76" s="213"/>
      <c r="G76" s="214"/>
      <c r="H76" s="215"/>
      <c r="I76" s="217"/>
      <c r="J76" s="217"/>
      <c r="K76" s="213"/>
      <c r="L76" s="215"/>
      <c r="M76" s="215"/>
      <c r="N76" s="217"/>
      <c r="O76" s="217"/>
      <c r="P76" s="213"/>
      <c r="Q76" s="215">
        <f ca="1">IFERROR(__xludf.DUMMYFUNCTION("""COMPUTED_VALUE"""),2841291)</f>
        <v>2841291</v>
      </c>
      <c r="R76" s="215" t="str">
        <f ca="1">IFERROR(__xludf.DUMMYFUNCTION("""COMPUTED_VALUE"""),"All levels")</f>
        <v>All levels</v>
      </c>
      <c r="S76" s="217" t="str">
        <f ca="1">IFERROR(__xludf.DUMMYFUNCTION("""COMPUTED_VALUE"""),"Social Media-Grundlagen: Business-Perspektive")</f>
        <v>Social Media-Grundlagen: Business-Perspektive</v>
      </c>
      <c r="T76" s="217"/>
      <c r="U76" s="213"/>
      <c r="V76" s="215"/>
      <c r="W76" s="215"/>
      <c r="X76" s="217"/>
      <c r="Y76" s="217"/>
      <c r="Z76" s="213"/>
      <c r="AA76" s="215"/>
      <c r="AB76" s="215"/>
      <c r="AC76" s="217"/>
      <c r="AD76" s="217"/>
      <c r="AE76" s="213"/>
      <c r="AF76" s="215"/>
      <c r="AG76" s="215"/>
      <c r="AH76" s="217"/>
      <c r="AI76" s="217"/>
      <c r="AJ76" s="213"/>
    </row>
    <row r="77" spans="1:36" ht="33.75" customHeight="1">
      <c r="A77" s="213"/>
      <c r="B77" s="214">
        <f ca="1">IFERROR(__xludf.DUMMYFUNCTION("""COMPUTED_VALUE"""),2875203)</f>
        <v>2875203</v>
      </c>
      <c r="C77" s="215" t="str">
        <f ca="1">IFERROR(__xludf.DUMMYFUNCTION("""COMPUTED_VALUE"""),"Beginner")</f>
        <v>Beginner</v>
      </c>
      <c r="D77" s="216" t="str">
        <f ca="1">IFERROR(__xludf.DUMMYFUNCTION("""COMPUTED_VALUE"""),"Learning Local SEO")</f>
        <v>Learning Local SEO</v>
      </c>
      <c r="E77" s="217"/>
      <c r="F77" s="213"/>
      <c r="G77" s="214"/>
      <c r="H77" s="215"/>
      <c r="I77" s="217"/>
      <c r="J77" s="217"/>
      <c r="K77" s="213"/>
      <c r="L77" s="215"/>
      <c r="M77" s="215"/>
      <c r="N77" s="217"/>
      <c r="O77" s="217"/>
      <c r="P77" s="213"/>
      <c r="Q77" s="215">
        <f ca="1">IFERROR(__xludf.DUMMYFUNCTION("""COMPUTED_VALUE"""),2822598)</f>
        <v>2822598</v>
      </c>
      <c r="R77" s="215" t="str">
        <f ca="1">IFERROR(__xludf.DUMMYFUNCTION("""COMPUTED_VALUE"""),"Beginner")</f>
        <v>Beginner</v>
      </c>
      <c r="S77" s="217" t="str">
        <f ca="1">IFERROR(__xludf.DUMMYFUNCTION("""COMPUTED_VALUE"""),"Social Media-Marketing – Grundlagen")</f>
        <v>Social Media-Marketing – Grundlagen</v>
      </c>
      <c r="T77" s="217"/>
      <c r="U77" s="213"/>
      <c r="V77" s="215"/>
      <c r="W77" s="215"/>
      <c r="X77" s="217"/>
      <c r="Y77" s="217"/>
      <c r="Z77" s="213"/>
      <c r="AA77" s="215"/>
      <c r="AB77" s="215"/>
      <c r="AC77" s="217"/>
      <c r="AD77" s="217"/>
      <c r="AE77" s="213"/>
      <c r="AF77" s="215"/>
      <c r="AG77" s="215"/>
      <c r="AH77" s="217"/>
      <c r="AI77" s="217"/>
      <c r="AJ77" s="213"/>
    </row>
    <row r="78" spans="1:36" ht="33.75" customHeight="1">
      <c r="A78" s="213"/>
      <c r="B78" s="214">
        <f ca="1">IFERROR(__xludf.DUMMYFUNCTION("""COMPUTED_VALUE"""),2884123)</f>
        <v>2884123</v>
      </c>
      <c r="C78" s="215" t="str">
        <f ca="1">IFERROR(__xludf.DUMMYFUNCTION("""COMPUTED_VALUE"""),"Beginner")</f>
        <v>Beginner</v>
      </c>
      <c r="D78" s="216" t="str">
        <f ca="1">IFERROR(__xludf.DUMMYFUNCTION("""COMPUTED_VALUE"""),"Learning Instagram")</f>
        <v>Learning Instagram</v>
      </c>
      <c r="E78" s="217"/>
      <c r="F78" s="213"/>
      <c r="G78" s="214"/>
      <c r="H78" s="215"/>
      <c r="I78" s="217"/>
      <c r="J78" s="217"/>
      <c r="K78" s="213"/>
      <c r="L78" s="215"/>
      <c r="M78" s="215"/>
      <c r="N78" s="217"/>
      <c r="O78" s="217"/>
      <c r="P78" s="213"/>
      <c r="Q78" s="215">
        <f ca="1">IFERROR(__xludf.DUMMYFUNCTION("""COMPUTED_VALUE"""),3146320)</f>
        <v>3146320</v>
      </c>
      <c r="R78" s="215" t="str">
        <f ca="1">IFERROR(__xludf.DUMMYFUNCTION("""COMPUTED_VALUE"""),"Beginner")</f>
        <v>Beginner</v>
      </c>
      <c r="S78" s="217" t="str">
        <f ca="1">IFERROR(__xludf.DUMMYFUNCTION("""COMPUTED_VALUE"""),"Social Media-Marketing – Grundlagen: Netzwerke, Tools, Tipps und Tricks")</f>
        <v>Social Media-Marketing – Grundlagen: Netzwerke, Tools, Tipps und Tricks</v>
      </c>
      <c r="T78" s="217"/>
      <c r="U78" s="213"/>
      <c r="V78" s="215"/>
      <c r="W78" s="215"/>
      <c r="X78" s="217"/>
      <c r="Y78" s="217"/>
      <c r="Z78" s="213"/>
      <c r="AA78" s="215"/>
      <c r="AB78" s="215"/>
      <c r="AC78" s="217"/>
      <c r="AD78" s="217"/>
      <c r="AE78" s="213"/>
      <c r="AF78" s="215"/>
      <c r="AG78" s="215"/>
      <c r="AH78" s="217"/>
      <c r="AI78" s="217"/>
      <c r="AJ78" s="213"/>
    </row>
    <row r="79" spans="1:36" ht="33.75" customHeight="1">
      <c r="A79" s="213"/>
      <c r="B79" s="214">
        <f ca="1">IFERROR(__xludf.DUMMYFUNCTION("""COMPUTED_VALUE"""),2883053)</f>
        <v>2883053</v>
      </c>
      <c r="C79" s="215" t="str">
        <f ca="1">IFERROR(__xludf.DUMMYFUNCTION("""COMPUTED_VALUE"""),"Beginner")</f>
        <v>Beginner</v>
      </c>
      <c r="D79" s="216" t="str">
        <f ca="1">IFERROR(__xludf.DUMMYFUNCTION("""COMPUTED_VALUE"""),"Jump-Start Your LinkedIn Live Channel")</f>
        <v>Jump-Start Your LinkedIn Live Channel</v>
      </c>
      <c r="E79" s="217"/>
      <c r="F79" s="213"/>
      <c r="G79" s="214"/>
      <c r="H79" s="215"/>
      <c r="I79" s="217"/>
      <c r="J79" s="217"/>
      <c r="K79" s="213"/>
      <c r="L79" s="215"/>
      <c r="M79" s="215"/>
      <c r="N79" s="217"/>
      <c r="O79" s="217"/>
      <c r="P79" s="213"/>
      <c r="Q79" s="215">
        <f ca="1">IFERROR(__xludf.DUMMYFUNCTION("""COMPUTED_VALUE"""),529916)</f>
        <v>529916</v>
      </c>
      <c r="R79" s="215" t="str">
        <f ca="1">IFERROR(__xludf.DUMMYFUNCTION("""COMPUTED_VALUE"""),"All levels")</f>
        <v>All levels</v>
      </c>
      <c r="S79" s="217" t="str">
        <f ca="1">IFERROR(__xludf.DUMMYFUNCTION("""COMPUTED_VALUE"""),"Storytelling für Marketing und PR")</f>
        <v>Storytelling für Marketing und PR</v>
      </c>
      <c r="T79" s="217"/>
      <c r="U79" s="213"/>
      <c r="V79" s="215"/>
      <c r="W79" s="215"/>
      <c r="X79" s="217"/>
      <c r="Y79" s="217"/>
      <c r="Z79" s="213"/>
      <c r="AA79" s="215"/>
      <c r="AB79" s="215"/>
      <c r="AC79" s="217"/>
      <c r="AD79" s="217"/>
      <c r="AE79" s="213"/>
      <c r="AF79" s="215"/>
      <c r="AG79" s="215"/>
      <c r="AH79" s="217"/>
      <c r="AI79" s="217"/>
      <c r="AJ79" s="213"/>
    </row>
    <row r="80" spans="1:36" ht="33.75" customHeight="1">
      <c r="A80" s="213"/>
      <c r="B80" s="214">
        <f ca="1">IFERROR(__xludf.DUMMYFUNCTION("""COMPUTED_VALUE"""),2894046)</f>
        <v>2894046</v>
      </c>
      <c r="C80" s="215" t="str">
        <f ca="1">IFERROR(__xludf.DUMMYFUNCTION("""COMPUTED_VALUE"""),"Beginner")</f>
        <v>Beginner</v>
      </c>
      <c r="D80" s="216" t="str">
        <f ca="1">IFERROR(__xludf.DUMMYFUNCTION("""COMPUTED_VALUE"""),"Marketing: Messaging with Purpose")</f>
        <v>Marketing: Messaging with Purpose</v>
      </c>
      <c r="E80" s="217"/>
      <c r="F80" s="213"/>
      <c r="G80" s="214"/>
      <c r="H80" s="215"/>
      <c r="I80" s="217"/>
      <c r="J80" s="217"/>
      <c r="K80" s="213"/>
      <c r="L80" s="215"/>
      <c r="M80" s="215"/>
      <c r="N80" s="217"/>
      <c r="O80" s="217"/>
      <c r="P80" s="213"/>
      <c r="Q80" s="215">
        <f ca="1">IFERROR(__xludf.DUMMYFUNCTION("""COMPUTED_VALUE"""),2951231)</f>
        <v>2951231</v>
      </c>
      <c r="R80" s="215" t="str">
        <f ca="1">IFERROR(__xludf.DUMMYFUNCTION("""COMPUTED_VALUE"""),"Beginner")</f>
        <v>Beginner</v>
      </c>
      <c r="S80" s="217" t="str">
        <f ca="1">IFERROR(__xludf.DUMMYFUNCTION("""COMPUTED_VALUE"""),"Strategieentwicklung: Ein Überblick")</f>
        <v>Strategieentwicklung: Ein Überblick</v>
      </c>
      <c r="T80" s="217"/>
      <c r="U80" s="213"/>
      <c r="V80" s="215"/>
      <c r="W80" s="215"/>
      <c r="X80" s="217"/>
      <c r="Y80" s="217"/>
      <c r="Z80" s="213"/>
      <c r="AA80" s="215"/>
      <c r="AB80" s="215"/>
      <c r="AC80" s="217"/>
      <c r="AD80" s="217"/>
      <c r="AE80" s="213"/>
      <c r="AF80" s="215"/>
      <c r="AG80" s="215"/>
      <c r="AH80" s="217"/>
      <c r="AI80" s="217"/>
      <c r="AJ80" s="213"/>
    </row>
    <row r="81" spans="1:36" ht="33.75" customHeight="1">
      <c r="A81" s="213"/>
      <c r="B81" s="214">
        <f ca="1">IFERROR(__xludf.DUMMYFUNCTION("""COMPUTED_VALUE"""),2886062)</f>
        <v>2886062</v>
      </c>
      <c r="C81" s="215" t="str">
        <f ca="1">IFERROR(__xludf.DUMMYFUNCTION("""COMPUTED_VALUE"""),"Beginner")</f>
        <v>Beginner</v>
      </c>
      <c r="D81" s="216" t="str">
        <f ca="1">IFERROR(__xludf.DUMMYFUNCTION("""COMPUTED_VALUE"""),"Getting Started with Facebook Shop for Creators")</f>
        <v>Getting Started with Facebook Shop for Creators</v>
      </c>
      <c r="E81" s="217"/>
      <c r="F81" s="213"/>
      <c r="G81" s="214"/>
      <c r="H81" s="215"/>
      <c r="I81" s="217"/>
      <c r="J81" s="217"/>
      <c r="K81" s="213"/>
      <c r="L81" s="215"/>
      <c r="M81" s="215"/>
      <c r="N81" s="217"/>
      <c r="O81" s="217"/>
      <c r="P81" s="213"/>
      <c r="Q81" s="215">
        <f ca="1">IFERROR(__xludf.DUMMYFUNCTION("""COMPUTED_VALUE"""),2422273)</f>
        <v>2422273</v>
      </c>
      <c r="R81" s="215" t="str">
        <f ca="1">IFERROR(__xludf.DUMMYFUNCTION("""COMPUTED_VALUE"""),"Beginner")</f>
        <v>Beginner</v>
      </c>
      <c r="S81" s="217" t="str">
        <f ca="1">IFERROR(__xludf.DUMMYFUNCTION("""COMPUTED_VALUE"""),"TikTok für Unternehmen und Start-Ups")</f>
        <v>TikTok für Unternehmen und Start-Ups</v>
      </c>
      <c r="T81" s="217"/>
      <c r="U81" s="213"/>
      <c r="V81" s="215"/>
      <c r="W81" s="215"/>
      <c r="X81" s="217"/>
      <c r="Y81" s="217"/>
      <c r="Z81" s="213"/>
      <c r="AA81" s="215"/>
      <c r="AB81" s="215"/>
      <c r="AC81" s="217"/>
      <c r="AD81" s="217"/>
      <c r="AE81" s="213"/>
      <c r="AF81" s="215"/>
      <c r="AG81" s="215"/>
      <c r="AH81" s="217"/>
      <c r="AI81" s="217"/>
      <c r="AJ81" s="213"/>
    </row>
    <row r="82" spans="1:36" ht="33.75" customHeight="1">
      <c r="A82" s="213"/>
      <c r="B82" s="214">
        <f ca="1">IFERROR(__xludf.DUMMYFUNCTION("""COMPUTED_VALUE"""),2882060)</f>
        <v>2882060</v>
      </c>
      <c r="C82" s="215" t="str">
        <f ca="1">IFERROR(__xludf.DUMMYFUNCTION("""COMPUTED_VALUE"""),"Beginner")</f>
        <v>Beginner</v>
      </c>
      <c r="D82" s="216" t="str">
        <f ca="1">IFERROR(__xludf.DUMMYFUNCTION("""COMPUTED_VALUE"""),"Building and Engaging with Your Online Following for Creators")</f>
        <v>Building and Engaging with Your Online Following for Creators</v>
      </c>
      <c r="E82" s="217"/>
      <c r="F82" s="213"/>
      <c r="G82" s="214"/>
      <c r="H82" s="215"/>
      <c r="I82" s="217"/>
      <c r="J82" s="217"/>
      <c r="K82" s="213"/>
      <c r="L82" s="215"/>
      <c r="M82" s="215"/>
      <c r="N82" s="217"/>
      <c r="O82" s="217"/>
      <c r="P82" s="213"/>
      <c r="Q82" s="215">
        <f ca="1">IFERROR(__xludf.DUMMYFUNCTION("""COMPUTED_VALUE"""),516406)</f>
        <v>516406</v>
      </c>
      <c r="R82" s="215" t="str">
        <f ca="1">IFERROR(__xludf.DUMMYFUNCTION("""COMPUTED_VALUE"""),"Intermediate")</f>
        <v>Intermediate</v>
      </c>
      <c r="S82" s="217" t="str">
        <f ca="1">IFERROR(__xludf.DUMMYFUNCTION("""COMPUTED_VALUE"""),"Twitter-Marketing: Anzeigen- und Werbe-Kampagnen")</f>
        <v>Twitter-Marketing: Anzeigen- und Werbe-Kampagnen</v>
      </c>
      <c r="T82" s="217"/>
      <c r="U82" s="213"/>
      <c r="V82" s="215"/>
      <c r="W82" s="215"/>
      <c r="X82" s="217"/>
      <c r="Y82" s="217"/>
      <c r="Z82" s="213"/>
      <c r="AA82" s="215"/>
      <c r="AB82" s="215"/>
      <c r="AC82" s="217"/>
      <c r="AD82" s="217"/>
      <c r="AE82" s="213"/>
      <c r="AF82" s="215"/>
      <c r="AG82" s="215"/>
      <c r="AH82" s="217"/>
      <c r="AI82" s="217"/>
      <c r="AJ82" s="213"/>
    </row>
    <row r="83" spans="1:36" ht="33.75" customHeight="1">
      <c r="A83" s="213"/>
      <c r="B83" s="214">
        <f ca="1">IFERROR(__xludf.DUMMYFUNCTION("""COMPUTED_VALUE"""),2422613)</f>
        <v>2422613</v>
      </c>
      <c r="C83" s="215" t="str">
        <f ca="1">IFERROR(__xludf.DUMMYFUNCTION("""COMPUTED_VALUE"""),"Beginner")</f>
        <v>Beginner</v>
      </c>
      <c r="D83" s="216" t="str">
        <f ca="1">IFERROR(__xludf.DUMMYFUNCTION("""COMPUTED_VALUE"""),"Advertising on Instagram")</f>
        <v>Advertising on Instagram</v>
      </c>
      <c r="E83" s="217"/>
      <c r="F83" s="213"/>
      <c r="G83" s="214"/>
      <c r="H83" s="215"/>
      <c r="I83" s="217"/>
      <c r="J83" s="217"/>
      <c r="K83" s="213"/>
      <c r="L83" s="215"/>
      <c r="M83" s="215"/>
      <c r="N83" s="217"/>
      <c r="O83" s="217"/>
      <c r="P83" s="213"/>
      <c r="Q83" s="215">
        <f ca="1">IFERROR(__xludf.DUMMYFUNCTION("""COMPUTED_VALUE"""),195609)</f>
        <v>195609</v>
      </c>
      <c r="R83" s="215" t="str">
        <f ca="1">IFERROR(__xludf.DUMMYFUNCTION("""COMPUTED_VALUE"""),"Intermediate")</f>
        <v>Intermediate</v>
      </c>
      <c r="S83" s="217" t="str">
        <f ca="1">IFERROR(__xludf.DUMMYFUNCTION("""COMPUTED_VALUE"""),"Vermarktung und Präsentation für Fotograf:innen")</f>
        <v>Vermarktung und Präsentation für Fotograf:innen</v>
      </c>
      <c r="T83" s="217"/>
      <c r="U83" s="213"/>
      <c r="V83" s="215"/>
      <c r="W83" s="215"/>
      <c r="X83" s="217"/>
      <c r="Y83" s="217"/>
      <c r="Z83" s="213"/>
      <c r="AA83" s="215"/>
      <c r="AB83" s="215"/>
      <c r="AC83" s="217"/>
      <c r="AD83" s="217"/>
      <c r="AE83" s="213"/>
      <c r="AF83" s="215"/>
      <c r="AG83" s="215"/>
      <c r="AH83" s="217"/>
      <c r="AI83" s="217"/>
      <c r="AJ83" s="213"/>
    </row>
    <row r="84" spans="1:36" ht="33.75" customHeight="1">
      <c r="A84" s="213"/>
      <c r="B84" s="214">
        <f ca="1">IFERROR(__xludf.DUMMYFUNCTION("""COMPUTED_VALUE"""),2425484)</f>
        <v>2425484</v>
      </c>
      <c r="C84" s="215" t="str">
        <f ca="1">IFERROR(__xludf.DUMMYFUNCTION("""COMPUTED_VALUE"""),"Beginner")</f>
        <v>Beginner</v>
      </c>
      <c r="D84" s="216" t="str">
        <f ca="1">IFERROR(__xludf.DUMMYFUNCTION("""COMPUTED_VALUE"""),"Marketing Tools: Automation")</f>
        <v>Marketing Tools: Automation</v>
      </c>
      <c r="E84" s="217"/>
      <c r="F84" s="213"/>
      <c r="G84" s="214"/>
      <c r="H84" s="215"/>
      <c r="I84" s="217"/>
      <c r="J84" s="217"/>
      <c r="K84" s="213"/>
      <c r="L84" s="215"/>
      <c r="M84" s="215"/>
      <c r="N84" s="217"/>
      <c r="O84" s="217"/>
      <c r="P84" s="213"/>
      <c r="Q84" s="215">
        <f ca="1">IFERROR(__xludf.DUMMYFUNCTION("""COMPUTED_VALUE"""),195602)</f>
        <v>195602</v>
      </c>
      <c r="R84" s="215" t="str">
        <f ca="1">IFERROR(__xludf.DUMMYFUNCTION("""COMPUTED_VALUE"""),"Beginner, Intermediate")</f>
        <v>Beginner, Intermediate</v>
      </c>
      <c r="S84" s="217" t="str">
        <f ca="1">IFERROR(__xludf.DUMMYFUNCTION("""COMPUTED_VALUE"""),"Video-SEO mit YouTube – Grundlagen")</f>
        <v>Video-SEO mit YouTube – Grundlagen</v>
      </c>
      <c r="T84" s="217"/>
      <c r="U84" s="213"/>
      <c r="V84" s="215"/>
      <c r="W84" s="215"/>
      <c r="X84" s="217"/>
      <c r="Y84" s="217"/>
      <c r="Z84" s="213"/>
      <c r="AA84" s="215"/>
      <c r="AB84" s="215"/>
      <c r="AC84" s="217"/>
      <c r="AD84" s="217"/>
      <c r="AE84" s="213"/>
      <c r="AF84" s="215"/>
      <c r="AG84" s="215"/>
      <c r="AH84" s="217"/>
      <c r="AI84" s="217"/>
      <c r="AJ84" s="213"/>
    </row>
    <row r="85" spans="1:36" ht="33.75" customHeight="1">
      <c r="A85" s="213"/>
      <c r="B85" s="214">
        <f ca="1">IFERROR(__xludf.DUMMYFUNCTION("""COMPUTED_VALUE"""),2884067)</f>
        <v>2884067</v>
      </c>
      <c r="C85" s="215" t="str">
        <f ca="1">IFERROR(__xludf.DUMMYFUNCTION("""COMPUTED_VALUE"""),"Beginner")</f>
        <v>Beginner</v>
      </c>
      <c r="D85" s="216" t="str">
        <f ca="1">IFERROR(__xludf.DUMMYFUNCTION("""COMPUTED_VALUE"""),"Jump-Start Your Twitch Channel")</f>
        <v>Jump-Start Your Twitch Channel</v>
      </c>
      <c r="E85" s="217"/>
      <c r="F85" s="213"/>
      <c r="G85" s="214"/>
      <c r="H85" s="215"/>
      <c r="I85" s="217"/>
      <c r="J85" s="217"/>
      <c r="K85" s="213"/>
      <c r="L85" s="215"/>
      <c r="M85" s="215"/>
      <c r="N85" s="217"/>
      <c r="O85" s="217"/>
      <c r="P85" s="213"/>
      <c r="Q85" s="215">
        <f ca="1">IFERROR(__xludf.DUMMYFUNCTION("""COMPUTED_VALUE"""),584354)</f>
        <v>584354</v>
      </c>
      <c r="R85" s="215" t="str">
        <f ca="1">IFERROR(__xludf.DUMMYFUNCTION("""COMPUTED_VALUE"""),"Beginner, Intermediate")</f>
        <v>Beginner, Intermediate</v>
      </c>
      <c r="S85" s="217" t="str">
        <f ca="1">IFERROR(__xludf.DUMMYFUNCTION("""COMPUTED_VALUE"""),"Visual Storytelling für Marketing und PR")</f>
        <v>Visual Storytelling für Marketing und PR</v>
      </c>
      <c r="T85" s="217"/>
      <c r="U85" s="213"/>
      <c r="V85" s="215"/>
      <c r="W85" s="215"/>
      <c r="X85" s="217"/>
      <c r="Y85" s="217"/>
      <c r="Z85" s="213"/>
      <c r="AA85" s="215"/>
      <c r="AB85" s="215"/>
      <c r="AC85" s="217"/>
      <c r="AD85" s="217"/>
      <c r="AE85" s="213"/>
      <c r="AF85" s="215"/>
      <c r="AG85" s="215"/>
      <c r="AH85" s="217"/>
      <c r="AI85" s="217"/>
      <c r="AJ85" s="213"/>
    </row>
    <row r="86" spans="1:36" ht="33.75" customHeight="1">
      <c r="A86" s="213"/>
      <c r="B86" s="214">
        <f ca="1">IFERROR(__xludf.DUMMYFUNCTION("""COMPUTED_VALUE"""),2885052)</f>
        <v>2885052</v>
      </c>
      <c r="C86" s="215" t="str">
        <f ca="1">IFERROR(__xludf.DUMMYFUNCTION("""COMPUTED_VALUE"""),"Beginner")</f>
        <v>Beginner</v>
      </c>
      <c r="D86" s="216" t="str">
        <f ca="1">IFERROR(__xludf.DUMMYFUNCTION("""COMPUTED_VALUE"""),"Building an Audience on Instagram for Creators")</f>
        <v>Building an Audience on Instagram for Creators</v>
      </c>
      <c r="E86" s="217"/>
      <c r="F86" s="213"/>
      <c r="G86" s="214"/>
      <c r="H86" s="215"/>
      <c r="I86" s="217"/>
      <c r="J86" s="217"/>
      <c r="K86" s="213"/>
      <c r="L86" s="215"/>
      <c r="M86" s="215"/>
      <c r="N86" s="217"/>
      <c r="O86" s="217"/>
      <c r="P86" s="213"/>
      <c r="Q86" s="215">
        <f ca="1">IFERROR(__xludf.DUMMYFUNCTION("""COMPUTED_VALUE"""),759354)</f>
        <v>759354</v>
      </c>
      <c r="R86" s="215" t="str">
        <f ca="1">IFERROR(__xludf.DUMMYFUNCTION("""COMPUTED_VALUE"""),"Advanced")</f>
        <v>Advanced</v>
      </c>
      <c r="S86" s="217" t="str">
        <f ca="1">IFERROR(__xludf.DUMMYFUNCTION("""COMPUTED_VALUE"""),"Wachstumsstrategien entwickeln")</f>
        <v>Wachstumsstrategien entwickeln</v>
      </c>
      <c r="T86" s="217"/>
      <c r="U86" s="213"/>
      <c r="V86" s="215"/>
      <c r="W86" s="215"/>
      <c r="X86" s="217"/>
      <c r="Y86" s="217"/>
      <c r="Z86" s="213"/>
      <c r="AA86" s="215"/>
      <c r="AB86" s="215"/>
      <c r="AC86" s="217"/>
      <c r="AD86" s="217"/>
      <c r="AE86" s="213"/>
      <c r="AF86" s="215"/>
      <c r="AG86" s="215"/>
      <c r="AH86" s="217"/>
      <c r="AI86" s="217"/>
      <c r="AJ86" s="213"/>
    </row>
    <row r="87" spans="1:36" ht="33.75" customHeight="1">
      <c r="A87" s="213"/>
      <c r="B87" s="214">
        <f ca="1">IFERROR(__xludf.DUMMYFUNCTION("""COMPUTED_VALUE"""),2885053)</f>
        <v>2885053</v>
      </c>
      <c r="C87" s="215" t="str">
        <f ca="1">IFERROR(__xludf.DUMMYFUNCTION("""COMPUTED_VALUE"""),"Beginner")</f>
        <v>Beginner</v>
      </c>
      <c r="D87" s="216" t="str">
        <f ca="1">IFERROR(__xludf.DUMMYFUNCTION("""COMPUTED_VALUE"""),"Making Money with Branded Content for Creators")</f>
        <v>Making Money with Branded Content for Creators</v>
      </c>
      <c r="E87" s="217"/>
      <c r="F87" s="213"/>
      <c r="G87" s="214"/>
      <c r="H87" s="215"/>
      <c r="I87" s="217"/>
      <c r="J87" s="217"/>
      <c r="K87" s="213"/>
      <c r="L87" s="215"/>
      <c r="M87" s="215"/>
      <c r="N87" s="217"/>
      <c r="O87" s="217"/>
      <c r="P87" s="213"/>
      <c r="Q87" s="215">
        <f ca="1">IFERROR(__xludf.DUMMYFUNCTION("""COMPUTED_VALUE"""),2996923)</f>
        <v>2996923</v>
      </c>
      <c r="R87" s="215" t="str">
        <f ca="1">IFERROR(__xludf.DUMMYFUNCTION("""COMPUTED_VALUE"""),"Beginner, Intermediate")</f>
        <v>Beginner, Intermediate</v>
      </c>
      <c r="S87" s="217" t="str">
        <f ca="1">IFERROR(__xludf.DUMMYFUNCTION("""COMPUTED_VALUE"""),"Website-Konzeption mit Storymap und Kanban")</f>
        <v>Website-Konzeption mit Storymap und Kanban</v>
      </c>
      <c r="T87" s="217"/>
      <c r="U87" s="213"/>
      <c r="V87" s="215"/>
      <c r="W87" s="215"/>
      <c r="X87" s="217"/>
      <c r="Y87" s="217"/>
      <c r="Z87" s="213"/>
      <c r="AA87" s="215"/>
      <c r="AB87" s="215"/>
      <c r="AC87" s="217"/>
      <c r="AD87" s="217"/>
      <c r="AE87" s="213"/>
      <c r="AF87" s="215"/>
      <c r="AG87" s="215"/>
      <c r="AH87" s="217"/>
      <c r="AI87" s="217"/>
      <c r="AJ87" s="213"/>
    </row>
    <row r="88" spans="1:36" ht="33.75" customHeight="1">
      <c r="A88" s="213"/>
      <c r="B88" s="214">
        <f ca="1">IFERROR(__xludf.DUMMYFUNCTION("""COMPUTED_VALUE"""),3000143)</f>
        <v>3000143</v>
      </c>
      <c r="C88" s="215" t="str">
        <f ca="1">IFERROR(__xludf.DUMMYFUNCTION("""COMPUTED_VALUE"""),"Beginner")</f>
        <v>Beginner</v>
      </c>
      <c r="D88" s="217" t="str">
        <f ca="1">IFERROR(__xludf.DUMMYFUNCTION("""COMPUTED_VALUE"""),"Marketing Foundations: Analytics")</f>
        <v>Marketing Foundations: Analytics</v>
      </c>
      <c r="E88" s="217"/>
      <c r="F88" s="213"/>
      <c r="G88" s="214"/>
      <c r="H88" s="215"/>
      <c r="I88" s="217"/>
      <c r="J88" s="217"/>
      <c r="K88" s="213"/>
      <c r="L88" s="215"/>
      <c r="M88" s="215"/>
      <c r="N88" s="217"/>
      <c r="O88" s="217"/>
      <c r="P88" s="213"/>
      <c r="Q88" s="215">
        <f ca="1">IFERROR(__xludf.DUMMYFUNCTION("""COMPUTED_VALUE"""),2875010)</f>
        <v>2875010</v>
      </c>
      <c r="R88" s="215" t="str">
        <f ca="1">IFERROR(__xludf.DUMMYFUNCTION("""COMPUTED_VALUE"""),"Beginner")</f>
        <v>Beginner</v>
      </c>
      <c r="S88" s="217" t="str">
        <f ca="1">IFERROR(__xludf.DUMMYFUNCTION("""COMPUTED_VALUE"""),"Werbung auf Instagram")</f>
        <v>Werbung auf Instagram</v>
      </c>
      <c r="T88" s="217"/>
      <c r="U88" s="213"/>
      <c r="V88" s="215"/>
      <c r="W88" s="215"/>
      <c r="X88" s="217"/>
      <c r="Y88" s="217"/>
      <c r="Z88" s="213"/>
      <c r="AA88" s="215"/>
      <c r="AB88" s="215"/>
      <c r="AC88" s="217"/>
      <c r="AD88" s="217"/>
      <c r="AE88" s="213"/>
      <c r="AF88" s="215"/>
      <c r="AG88" s="215"/>
      <c r="AH88" s="217"/>
      <c r="AI88" s="217"/>
      <c r="AJ88" s="213"/>
    </row>
    <row r="89" spans="1:36" ht="30">
      <c r="A89" s="213"/>
      <c r="B89" s="214">
        <f ca="1">IFERROR(__xludf.DUMMYFUNCTION("""COMPUTED_VALUE"""),3003657)</f>
        <v>3003657</v>
      </c>
      <c r="C89" s="215" t="str">
        <f ca="1">IFERROR(__xludf.DUMMYFUNCTION("""COMPUTED_VALUE"""),"Beginner")</f>
        <v>Beginner</v>
      </c>
      <c r="D89" s="216" t="str">
        <f ca="1">IFERROR(__xludf.DUMMYFUNCTION("""COMPUTED_VALUE"""),"Diversity and Inclusion in Marketing: Inclusive Language for Marketers")</f>
        <v>Diversity and Inclusion in Marketing: Inclusive Language for Marketers</v>
      </c>
      <c r="E89" s="217"/>
      <c r="F89" s="213"/>
      <c r="G89" s="214"/>
      <c r="H89" s="215"/>
      <c r="I89" s="217"/>
      <c r="J89" s="217"/>
      <c r="K89" s="213"/>
      <c r="L89" s="215"/>
      <c r="M89" s="215"/>
      <c r="N89" s="217"/>
      <c r="O89" s="217"/>
      <c r="P89" s="213"/>
      <c r="Q89" s="215">
        <f ca="1">IFERROR(__xludf.DUMMYFUNCTION("""COMPUTED_VALUE"""),2823519)</f>
        <v>2823519</v>
      </c>
      <c r="R89" s="215" t="str">
        <f ca="1">IFERROR(__xludf.DUMMYFUNCTION("""COMPUTED_VALUE"""),"Beginner")</f>
        <v>Beginner</v>
      </c>
      <c r="S89" s="217" t="str">
        <f ca="1">IFERROR(__xludf.DUMMYFUNCTION("""COMPUTED_VALUE"""),"Werbung auf LinkedIn")</f>
        <v>Werbung auf LinkedIn</v>
      </c>
      <c r="T89" s="217"/>
      <c r="U89" s="213"/>
      <c r="V89" s="215"/>
      <c r="W89" s="215"/>
      <c r="X89" s="217"/>
      <c r="Y89" s="217"/>
      <c r="Z89" s="213"/>
      <c r="AA89" s="215"/>
      <c r="AB89" s="215"/>
      <c r="AC89" s="217"/>
      <c r="AD89" s="217"/>
      <c r="AE89" s="213"/>
      <c r="AF89" s="215"/>
      <c r="AG89" s="215"/>
      <c r="AH89" s="217"/>
      <c r="AI89" s="217"/>
      <c r="AJ89" s="213"/>
    </row>
    <row r="90" spans="1:36" ht="16">
      <c r="A90" s="213"/>
      <c r="B90" s="214">
        <f ca="1">IFERROR(__xludf.DUMMYFUNCTION("""COMPUTED_VALUE"""),3004107)</f>
        <v>3004107</v>
      </c>
      <c r="C90" s="215" t="str">
        <f ca="1">IFERROR(__xludf.DUMMYFUNCTION("""COMPUTED_VALUE"""),"Beginner")</f>
        <v>Beginner</v>
      </c>
      <c r="D90" s="216" t="str">
        <f ca="1">IFERROR(__xludf.DUMMYFUNCTION("""COMPUTED_VALUE"""),"LinkedIn Creator Mode")</f>
        <v>LinkedIn Creator Mode</v>
      </c>
      <c r="E90" s="217"/>
      <c r="F90" s="213"/>
      <c r="G90" s="214"/>
      <c r="H90" s="215"/>
      <c r="I90" s="217"/>
      <c r="J90" s="217"/>
      <c r="K90" s="213"/>
      <c r="L90" s="215"/>
      <c r="M90" s="215"/>
      <c r="N90" s="217"/>
      <c r="O90" s="217"/>
      <c r="P90" s="213"/>
      <c r="Q90" s="215">
        <f ca="1">IFERROR(__xludf.DUMMYFUNCTION("""COMPUTED_VALUE"""),759358)</f>
        <v>759358</v>
      </c>
      <c r="R90" s="215" t="str">
        <f ca="1">IFERROR(__xludf.DUMMYFUNCTION("""COMPUTED_VALUE"""),"Intermediate")</f>
        <v>Intermediate</v>
      </c>
      <c r="S90" s="217" t="str">
        <f ca="1">IFERROR(__xludf.DUMMYFUNCTION("""COMPUTED_VALUE"""),"WordPress: Professionelles Blog betreiben")</f>
        <v>WordPress: Professionelles Blog betreiben</v>
      </c>
      <c r="T90" s="217"/>
      <c r="U90" s="213"/>
      <c r="V90" s="215"/>
      <c r="W90" s="215"/>
      <c r="X90" s="217"/>
      <c r="Y90" s="217"/>
      <c r="Z90" s="213"/>
      <c r="AA90" s="215"/>
      <c r="AB90" s="215"/>
      <c r="AC90" s="217"/>
      <c r="AD90" s="217"/>
      <c r="AE90" s="213"/>
      <c r="AF90" s="215"/>
      <c r="AG90" s="215"/>
      <c r="AH90" s="217"/>
      <c r="AI90" s="217"/>
      <c r="AJ90" s="213"/>
    </row>
    <row r="91" spans="1:36" ht="16">
      <c r="A91" s="213"/>
      <c r="B91" s="214">
        <f ca="1">IFERROR(__xludf.DUMMYFUNCTION("""COMPUTED_VALUE"""),3156787)</f>
        <v>3156787</v>
      </c>
      <c r="C91" s="215" t="str">
        <f ca="1">IFERROR(__xludf.DUMMYFUNCTION("""COMPUTED_VALUE"""),"Beginner")</f>
        <v>Beginner</v>
      </c>
      <c r="D91" s="216" t="str">
        <f ca="1">IFERROR(__xludf.DUMMYFUNCTION("""COMPUTED_VALUE"""),"Advertising on Facebook")</f>
        <v>Advertising on Facebook</v>
      </c>
      <c r="E91" s="217"/>
      <c r="F91" s="213"/>
      <c r="G91" s="214"/>
      <c r="H91" s="215"/>
      <c r="I91" s="217"/>
      <c r="J91" s="217"/>
      <c r="K91" s="213"/>
      <c r="L91" s="215"/>
      <c r="M91" s="215"/>
      <c r="N91" s="217"/>
      <c r="O91" s="217"/>
      <c r="P91" s="213"/>
      <c r="Q91" s="215"/>
      <c r="R91" s="215"/>
      <c r="S91" s="217"/>
      <c r="T91" s="217"/>
      <c r="U91" s="213"/>
      <c r="V91" s="215"/>
      <c r="W91" s="215"/>
      <c r="X91" s="217"/>
      <c r="Y91" s="217"/>
      <c r="Z91" s="213"/>
      <c r="AA91" s="215"/>
      <c r="AB91" s="215"/>
      <c r="AC91" s="217"/>
      <c r="AD91" s="217"/>
      <c r="AE91" s="213"/>
      <c r="AF91" s="215"/>
      <c r="AG91" s="215"/>
      <c r="AH91" s="217"/>
      <c r="AI91" s="217"/>
      <c r="AJ91" s="213"/>
    </row>
    <row r="92" spans="1:36" ht="30">
      <c r="A92" s="213"/>
      <c r="B92" s="214">
        <f ca="1">IFERROR(__xludf.DUMMYFUNCTION("""COMPUTED_VALUE"""),2423855)</f>
        <v>2423855</v>
      </c>
      <c r="C92" s="215" t="str">
        <f ca="1">IFERROR(__xludf.DUMMYFUNCTION("""COMPUTED_VALUE"""),"Beginner")</f>
        <v>Beginner</v>
      </c>
      <c r="D92" s="216" t="str">
        <f ca="1">IFERROR(__xludf.DUMMYFUNCTION("""COMPUTED_VALUE"""),"Content Marketing: Online Reviews in Social Media")</f>
        <v>Content Marketing: Online Reviews in Social Media</v>
      </c>
      <c r="E92" s="217"/>
      <c r="F92" s="213"/>
      <c r="G92" s="214"/>
      <c r="H92" s="215"/>
      <c r="I92" s="217"/>
      <c r="J92" s="217"/>
      <c r="K92" s="213"/>
      <c r="L92" s="215"/>
      <c r="M92" s="215"/>
      <c r="N92" s="217"/>
      <c r="O92" s="217"/>
      <c r="P92" s="213"/>
      <c r="Q92" s="215"/>
      <c r="R92" s="215"/>
      <c r="S92" s="217"/>
      <c r="T92" s="217"/>
      <c r="U92" s="213"/>
      <c r="V92" s="215"/>
      <c r="W92" s="215"/>
      <c r="X92" s="217"/>
      <c r="Y92" s="217"/>
      <c r="Z92" s="213"/>
      <c r="AA92" s="215"/>
      <c r="AB92" s="215"/>
      <c r="AC92" s="217"/>
      <c r="AD92" s="217"/>
      <c r="AE92" s="213"/>
      <c r="AF92" s="215"/>
      <c r="AG92" s="215"/>
      <c r="AH92" s="217"/>
      <c r="AI92" s="217"/>
      <c r="AJ92" s="213"/>
    </row>
    <row r="93" spans="1:36" ht="16">
      <c r="A93" s="213"/>
      <c r="B93" s="214">
        <f ca="1">IFERROR(__xludf.DUMMYFUNCTION("""COMPUTED_VALUE"""),3003222)</f>
        <v>3003222</v>
      </c>
      <c r="C93" s="215" t="str">
        <f ca="1">IFERROR(__xludf.DUMMYFUNCTION("""COMPUTED_VALUE"""),"Beginner")</f>
        <v>Beginner</v>
      </c>
      <c r="D93" s="216" t="str">
        <f ca="1">IFERROR(__xludf.DUMMYFUNCTION("""COMPUTED_VALUE"""),"Marketing Foundations: Ecommerce")</f>
        <v>Marketing Foundations: Ecommerce</v>
      </c>
      <c r="E93" s="217"/>
      <c r="F93" s="213"/>
      <c r="G93" s="214"/>
      <c r="H93" s="215"/>
      <c r="I93" s="217"/>
      <c r="J93" s="217"/>
      <c r="K93" s="213"/>
      <c r="L93" s="215"/>
      <c r="M93" s="215"/>
      <c r="N93" s="217"/>
      <c r="O93" s="217"/>
      <c r="P93" s="213"/>
      <c r="Q93" s="215"/>
      <c r="R93" s="215"/>
      <c r="S93" s="217"/>
      <c r="T93" s="217"/>
      <c r="U93" s="213"/>
      <c r="V93" s="215"/>
      <c r="W93" s="215"/>
      <c r="X93" s="217"/>
      <c r="Y93" s="217"/>
      <c r="Z93" s="213"/>
      <c r="AA93" s="215"/>
      <c r="AB93" s="215"/>
      <c r="AC93" s="217"/>
      <c r="AD93" s="217"/>
      <c r="AE93" s="213"/>
      <c r="AF93" s="215"/>
      <c r="AG93" s="215"/>
      <c r="AH93" s="217"/>
      <c r="AI93" s="217"/>
      <c r="AJ93" s="213"/>
    </row>
    <row r="94" spans="1:36" ht="16">
      <c r="A94" s="213"/>
      <c r="B94" s="214">
        <f ca="1">IFERROR(__xludf.DUMMYFUNCTION("""COMPUTED_VALUE"""),3011082)</f>
        <v>3011082</v>
      </c>
      <c r="C94" s="215" t="str">
        <f ca="1">IFERROR(__xludf.DUMMYFUNCTION("""COMPUTED_VALUE"""),"Beginner")</f>
        <v>Beginner</v>
      </c>
      <c r="D94" s="216" t="str">
        <f ca="1">IFERROR(__xludf.DUMMYFUNCTION("""COMPUTED_VALUE"""),"The Habits of Successful Marketers")</f>
        <v>The Habits of Successful Marketers</v>
      </c>
      <c r="E94" s="217"/>
      <c r="F94" s="213"/>
      <c r="G94" s="214"/>
      <c r="H94" s="215"/>
      <c r="I94" s="217"/>
      <c r="J94" s="217"/>
      <c r="K94" s="213"/>
      <c r="L94" s="215"/>
      <c r="M94" s="215"/>
      <c r="N94" s="217"/>
      <c r="O94" s="217"/>
      <c r="P94" s="213"/>
      <c r="Q94" s="215"/>
      <c r="R94" s="215"/>
      <c r="S94" s="217"/>
      <c r="T94" s="217"/>
      <c r="U94" s="213"/>
      <c r="V94" s="215"/>
      <c r="W94" s="215"/>
      <c r="X94" s="217"/>
      <c r="Y94" s="217"/>
      <c r="Z94" s="213"/>
      <c r="AA94" s="215"/>
      <c r="AB94" s="215"/>
      <c r="AC94" s="217"/>
      <c r="AD94" s="217"/>
      <c r="AE94" s="213"/>
      <c r="AF94" s="215"/>
      <c r="AG94" s="215"/>
      <c r="AH94" s="217"/>
      <c r="AI94" s="217"/>
      <c r="AJ94" s="213"/>
    </row>
    <row r="95" spans="1:36" ht="30">
      <c r="A95" s="213"/>
      <c r="B95" s="214">
        <f ca="1">IFERROR(__xludf.DUMMYFUNCTION("""COMPUTED_VALUE"""),2427723)</f>
        <v>2427723</v>
      </c>
      <c r="C95" s="215" t="str">
        <f ca="1">IFERROR(__xludf.DUMMYFUNCTION("""COMPUTED_VALUE"""),"Beginner")</f>
        <v>Beginner</v>
      </c>
      <c r="D95" s="216" t="str">
        <f ca="1">IFERROR(__xludf.DUMMYFUNCTION("""COMPUTED_VALUE"""),"Social Media Marketing Strategy: TikTok and Instagram Reels")</f>
        <v>Social Media Marketing Strategy: TikTok and Instagram Reels</v>
      </c>
      <c r="E95" s="217"/>
      <c r="F95" s="213"/>
      <c r="G95" s="214"/>
      <c r="H95" s="215"/>
      <c r="I95" s="217"/>
      <c r="J95" s="217"/>
      <c r="K95" s="213"/>
      <c r="L95" s="215"/>
      <c r="M95" s="215"/>
      <c r="N95" s="217"/>
      <c r="O95" s="217"/>
      <c r="P95" s="213"/>
      <c r="Q95" s="215"/>
      <c r="R95" s="215"/>
      <c r="S95" s="217"/>
      <c r="T95" s="217"/>
      <c r="U95" s="213"/>
      <c r="V95" s="215"/>
      <c r="W95" s="215"/>
      <c r="X95" s="217"/>
      <c r="Y95" s="217"/>
      <c r="Z95" s="213"/>
      <c r="AA95" s="215"/>
      <c r="AB95" s="215"/>
      <c r="AC95" s="217"/>
      <c r="AD95" s="217"/>
      <c r="AE95" s="213"/>
      <c r="AF95" s="215"/>
      <c r="AG95" s="215"/>
      <c r="AH95" s="217"/>
      <c r="AI95" s="217"/>
      <c r="AJ95" s="213"/>
    </row>
    <row r="96" spans="1:36" ht="16">
      <c r="A96" s="213"/>
      <c r="B96" s="214">
        <f ca="1">IFERROR(__xludf.DUMMYFUNCTION("""COMPUTED_VALUE"""),3013035)</f>
        <v>3013035</v>
      </c>
      <c r="C96" s="215" t="str">
        <f ca="1">IFERROR(__xludf.DUMMYFUNCTION("""COMPUTED_VALUE"""),"Beginner")</f>
        <v>Beginner</v>
      </c>
      <c r="D96" s="217" t="str">
        <f ca="1">IFERROR(__xludf.DUMMYFUNCTION("""COMPUTED_VALUE"""),"Social Media for Working Professionals")</f>
        <v>Social Media for Working Professionals</v>
      </c>
      <c r="E96" s="217"/>
      <c r="F96" s="213"/>
      <c r="G96" s="214"/>
      <c r="H96" s="215"/>
      <c r="I96" s="217"/>
      <c r="J96" s="217"/>
      <c r="K96" s="213"/>
      <c r="L96" s="215"/>
      <c r="M96" s="215"/>
      <c r="N96" s="217"/>
      <c r="O96" s="217"/>
      <c r="P96" s="213"/>
      <c r="Q96" s="215"/>
      <c r="R96" s="215"/>
      <c r="S96" s="217"/>
      <c r="T96" s="217"/>
      <c r="U96" s="213"/>
      <c r="V96" s="215"/>
      <c r="W96" s="215"/>
      <c r="X96" s="217"/>
      <c r="Y96" s="217"/>
      <c r="Z96" s="213"/>
      <c r="AA96" s="215"/>
      <c r="AB96" s="215"/>
      <c r="AC96" s="217"/>
      <c r="AD96" s="217"/>
      <c r="AE96" s="213"/>
      <c r="AF96" s="215"/>
      <c r="AG96" s="215"/>
      <c r="AH96" s="217"/>
      <c r="AI96" s="217"/>
      <c r="AJ96" s="213"/>
    </row>
    <row r="97" spans="1:36" ht="16">
      <c r="A97" s="213"/>
      <c r="B97" s="214">
        <f ca="1">IFERROR(__xludf.DUMMYFUNCTION("""COMPUTED_VALUE"""),2423753)</f>
        <v>2423753</v>
      </c>
      <c r="C97" s="215" t="str">
        <f ca="1">IFERROR(__xludf.DUMMYFUNCTION("""COMPUTED_VALUE"""),"Beginner")</f>
        <v>Beginner</v>
      </c>
      <c r="D97" s="217" t="str">
        <f ca="1">IFERROR(__xludf.DUMMYFUNCTION("""COMPUTED_VALUE"""),"Brand Design Foundations")</f>
        <v>Brand Design Foundations</v>
      </c>
      <c r="E97" s="217"/>
      <c r="F97" s="213"/>
      <c r="G97" s="214"/>
      <c r="H97" s="215"/>
      <c r="I97" s="217"/>
      <c r="J97" s="217"/>
      <c r="K97" s="213"/>
      <c r="L97" s="215"/>
      <c r="M97" s="215"/>
      <c r="N97" s="217"/>
      <c r="O97" s="217"/>
      <c r="P97" s="213"/>
      <c r="Q97" s="215"/>
      <c r="R97" s="215"/>
      <c r="S97" s="217"/>
      <c r="T97" s="217"/>
      <c r="U97" s="213"/>
      <c r="V97" s="215"/>
      <c r="W97" s="215"/>
      <c r="X97" s="217"/>
      <c r="Y97" s="217"/>
      <c r="Z97" s="213"/>
      <c r="AA97" s="215"/>
      <c r="AB97" s="215"/>
      <c r="AC97" s="217"/>
      <c r="AD97" s="217"/>
      <c r="AE97" s="213"/>
      <c r="AF97" s="215"/>
      <c r="AG97" s="215"/>
      <c r="AH97" s="217"/>
      <c r="AI97" s="217"/>
      <c r="AJ97" s="213"/>
    </row>
    <row r="98" spans="1:36" ht="30">
      <c r="A98" s="213"/>
      <c r="B98" s="214">
        <f ca="1">IFERROR(__xludf.DUMMYFUNCTION("""COMPUTED_VALUE"""),3008224)</f>
        <v>3008224</v>
      </c>
      <c r="C98" s="215" t="str">
        <f ca="1">IFERROR(__xludf.DUMMYFUNCTION("""COMPUTED_VALUE"""),"Beginner + Intermediate")</f>
        <v>Beginner + Intermediate</v>
      </c>
      <c r="D98" s="217" t="str">
        <f ca="1">IFERROR(__xludf.DUMMYFUNCTION("""COMPUTED_VALUE"""),"Designing for Business")</f>
        <v>Designing for Business</v>
      </c>
      <c r="E98" s="217"/>
      <c r="F98" s="213"/>
      <c r="G98" s="214"/>
      <c r="H98" s="215"/>
      <c r="I98" s="217"/>
      <c r="J98" s="217"/>
      <c r="K98" s="213"/>
      <c r="L98" s="215"/>
      <c r="M98" s="215"/>
      <c r="N98" s="217"/>
      <c r="O98" s="217"/>
      <c r="P98" s="213"/>
      <c r="Q98" s="215"/>
      <c r="R98" s="215"/>
      <c r="S98" s="217"/>
      <c r="T98" s="217"/>
      <c r="U98" s="213"/>
      <c r="V98" s="215"/>
      <c r="W98" s="215"/>
      <c r="X98" s="217"/>
      <c r="Y98" s="217"/>
      <c r="Z98" s="213"/>
      <c r="AA98" s="215"/>
      <c r="AB98" s="215"/>
      <c r="AC98" s="217"/>
      <c r="AD98" s="217"/>
      <c r="AE98" s="213"/>
      <c r="AF98" s="215"/>
      <c r="AG98" s="215"/>
      <c r="AH98" s="217"/>
      <c r="AI98" s="217"/>
      <c r="AJ98" s="213"/>
    </row>
    <row r="99" spans="1:36" ht="30">
      <c r="A99" s="213"/>
      <c r="B99" s="214">
        <f ca="1">IFERROR(__xludf.DUMMYFUNCTION("""COMPUTED_VALUE"""),2210431)</f>
        <v>2210431</v>
      </c>
      <c r="C99" s="215" t="str">
        <f ca="1">IFERROR(__xludf.DUMMYFUNCTION("""COMPUTED_VALUE"""),"Beginner + Intermediate")</f>
        <v>Beginner + Intermediate</v>
      </c>
      <c r="D99" s="217" t="str">
        <f ca="1">IFERROR(__xludf.DUMMYFUNCTION("""COMPUTED_VALUE"""),"Creating Social Content with Adobe Animate CC")</f>
        <v>Creating Social Content with Adobe Animate CC</v>
      </c>
      <c r="E99" s="217"/>
      <c r="F99" s="213"/>
      <c r="G99" s="214"/>
      <c r="H99" s="215"/>
      <c r="I99" s="218"/>
      <c r="J99" s="219"/>
      <c r="K99" s="213"/>
      <c r="L99" s="215"/>
      <c r="M99" s="215"/>
      <c r="N99" s="220"/>
      <c r="O99" s="220"/>
      <c r="P99" s="213"/>
      <c r="Q99" s="215"/>
      <c r="R99" s="215"/>
      <c r="S99" s="220"/>
      <c r="T99" s="220"/>
      <c r="U99" s="213"/>
      <c r="V99" s="215"/>
      <c r="W99" s="215"/>
      <c r="X99" s="220"/>
      <c r="Y99" s="220"/>
      <c r="Z99" s="213"/>
      <c r="AA99" s="215"/>
      <c r="AB99" s="215"/>
      <c r="AC99" s="221"/>
      <c r="AD99" s="221"/>
      <c r="AE99" s="213"/>
      <c r="AF99" s="215"/>
      <c r="AG99" s="215"/>
      <c r="AH99" s="220"/>
      <c r="AI99" s="220"/>
      <c r="AJ99" s="213"/>
    </row>
    <row r="100" spans="1:36" ht="15" customHeight="1">
      <c r="B100">
        <f ca="1">IFERROR(__xludf.DUMMYFUNCTION("""COMPUTED_VALUE"""),2824237)</f>
        <v>2824237</v>
      </c>
      <c r="C100" t="str">
        <f ca="1">IFERROR(__xludf.DUMMYFUNCTION("""COMPUTED_VALUE"""),"Beginner + Intermediate")</f>
        <v>Beginner + Intermediate</v>
      </c>
      <c r="D100" t="str">
        <f ca="1">IFERROR(__xludf.DUMMYFUNCTION("""COMPUTED_VALUE"""),"Social Media for Video Pros")</f>
        <v>Social Media for Video Pros</v>
      </c>
    </row>
    <row r="101" spans="1:36" ht="15" customHeight="1">
      <c r="B101">
        <f ca="1">IFERROR(__xludf.DUMMYFUNCTION("""COMPUTED_VALUE"""),471976)</f>
        <v>471976</v>
      </c>
      <c r="C101" t="str">
        <f ca="1">IFERROR(__xludf.DUMMYFUNCTION("""COMPUTED_VALUE"""),"Beginner + Intermediate")</f>
        <v>Beginner + Intermediate</v>
      </c>
      <c r="D101" t="str">
        <f ca="1">IFERROR(__xludf.DUMMYFUNCTION("""COMPUTED_VALUE"""),"Social Media Marketing for Small Business")</f>
        <v>Social Media Marketing for Small Business</v>
      </c>
    </row>
    <row r="102" spans="1:36" ht="15" customHeight="1">
      <c r="B102">
        <f ca="1">IFERROR(__xludf.DUMMYFUNCTION("""COMPUTED_VALUE"""),157305)</f>
        <v>157305</v>
      </c>
      <c r="C102" t="str">
        <f ca="1">IFERROR(__xludf.DUMMYFUNCTION("""COMPUTED_VALUE"""),"General")</f>
        <v>General</v>
      </c>
      <c r="D102" t="str">
        <f ca="1">IFERROR(__xludf.DUMMYFUNCTION("""COMPUTED_VALUE"""),"Jonah Berger on Viral Marketing")</f>
        <v>Jonah Berger on Viral Marketing</v>
      </c>
    </row>
    <row r="103" spans="1:36" ht="15" customHeight="1">
      <c r="B103">
        <f ca="1">IFERROR(__xludf.DUMMYFUNCTION("""COMPUTED_VALUE"""),737788)</f>
        <v>737788</v>
      </c>
      <c r="C103" t="str">
        <f ca="1">IFERROR(__xludf.DUMMYFUNCTION("""COMPUTED_VALUE"""),"General")</f>
        <v>General</v>
      </c>
      <c r="D103" t="str">
        <f ca="1">IFERROR(__xludf.DUMMYFUNCTION("""COMPUTED_VALUE"""),"SEO Foundations")</f>
        <v>SEO Foundations</v>
      </c>
    </row>
    <row r="104" spans="1:36" ht="15" customHeight="1">
      <c r="B104">
        <f ca="1">IFERROR(__xludf.DUMMYFUNCTION("""COMPUTED_VALUE"""),2818028)</f>
        <v>2818028</v>
      </c>
      <c r="C104" t="str">
        <f ca="1">IFERROR(__xludf.DUMMYFUNCTION("""COMPUTED_VALUE"""),"General")</f>
        <v>General</v>
      </c>
      <c r="D104" t="str">
        <f ca="1">IFERROR(__xludf.DUMMYFUNCTION("""COMPUTED_VALUE"""),"Introduction to Content Marketing")</f>
        <v>Introduction to Content Marketing</v>
      </c>
    </row>
    <row r="105" spans="1:36" ht="15" customHeight="1">
      <c r="B105">
        <f ca="1">IFERROR(__xludf.DUMMYFUNCTION("""COMPUTED_VALUE"""),2838111)</f>
        <v>2838111</v>
      </c>
      <c r="C105" t="str">
        <f ca="1">IFERROR(__xludf.DUMMYFUNCTION("""COMPUTED_VALUE"""),"General")</f>
        <v>General</v>
      </c>
      <c r="D105" t="str">
        <f ca="1">IFERROR(__xludf.DUMMYFUNCTION("""COMPUTED_VALUE"""),"Marketing During a Crisis")</f>
        <v>Marketing During a Crisis</v>
      </c>
    </row>
    <row r="106" spans="1:36" ht="15" customHeight="1">
      <c r="B106">
        <f ca="1">IFERROR(__xludf.DUMMYFUNCTION("""COMPUTED_VALUE"""),2836033)</f>
        <v>2836033</v>
      </c>
      <c r="C106" t="str">
        <f ca="1">IFERROR(__xludf.DUMMYFUNCTION("""COMPUTED_VALUE"""),"General")</f>
        <v>General</v>
      </c>
      <c r="D106" t="str">
        <f ca="1">IFERROR(__xludf.DUMMYFUNCTION("""COMPUTED_VALUE"""),"Disruptive Branding (Blinkist Summary)")</f>
        <v>Disruptive Branding (Blinkist Summary)</v>
      </c>
    </row>
    <row r="107" spans="1:36" ht="15" customHeight="1">
      <c r="B107">
        <f ca="1">IFERROR(__xludf.DUMMYFUNCTION("""COMPUTED_VALUE"""),2870045)</f>
        <v>2870045</v>
      </c>
      <c r="C107" t="str">
        <f ca="1">IFERROR(__xludf.DUMMYFUNCTION("""COMPUTED_VALUE"""),"General")</f>
        <v>General</v>
      </c>
      <c r="D107" t="str">
        <f ca="1">IFERROR(__xludf.DUMMYFUNCTION("""COMPUTED_VALUE"""),"Artificial Intelligence for Marketing")</f>
        <v>Artificial Intelligence for Marketing</v>
      </c>
    </row>
    <row r="108" spans="1:36" ht="15" customHeight="1">
      <c r="B108">
        <f ca="1">IFERROR(__xludf.DUMMYFUNCTION("""COMPUTED_VALUE"""),2834035)</f>
        <v>2834035</v>
      </c>
      <c r="C108" t="str">
        <f ca="1">IFERROR(__xludf.DUMMYFUNCTION("""COMPUTED_VALUE"""),"Intermediate")</f>
        <v>Intermediate</v>
      </c>
      <c r="D108" t="str">
        <f ca="1">IFERROR(__xludf.DUMMYFUNCTION("""COMPUTED_VALUE"""),"Social Media Marketing Trends")</f>
        <v>Social Media Marketing Trends</v>
      </c>
    </row>
    <row r="109" spans="1:36" ht="15" customHeight="1">
      <c r="B109">
        <f ca="1">IFERROR(__xludf.DUMMYFUNCTION("""COMPUTED_VALUE"""),656809)</f>
        <v>656809</v>
      </c>
      <c r="C109" t="str">
        <f ca="1">IFERROR(__xludf.DUMMYFUNCTION("""COMPUTED_VALUE"""),"Intermediate")</f>
        <v>Intermediate</v>
      </c>
      <c r="D109" t="str">
        <f ca="1">IFERROR(__xludf.DUMMYFUNCTION("""COMPUTED_VALUE"""),"B2B Marketing Foundations: Positioning")</f>
        <v>B2B Marketing Foundations: Positioning</v>
      </c>
    </row>
    <row r="110" spans="1:36" ht="15" customHeight="1">
      <c r="B110">
        <f ca="1">IFERROR(__xludf.DUMMYFUNCTION("""COMPUTED_VALUE"""),514231)</f>
        <v>514231</v>
      </c>
      <c r="C110" t="str">
        <f ca="1">IFERROR(__xludf.DUMMYFUNCTION("""COMPUTED_VALUE"""),"Intermediate")</f>
        <v>Intermediate</v>
      </c>
      <c r="D110" t="str">
        <f ca="1">IFERROR(__xludf.DUMMYFUNCTION("""COMPUTED_VALUE"""),"Social Media Marketing: Social CRM")</f>
        <v>Social Media Marketing: Social CRM</v>
      </c>
    </row>
    <row r="111" spans="1:36" ht="15" customHeight="1">
      <c r="B111">
        <f ca="1">IFERROR(__xludf.DUMMYFUNCTION("""COMPUTED_VALUE"""),2808548)</f>
        <v>2808548</v>
      </c>
      <c r="C111" t="str">
        <f ca="1">IFERROR(__xludf.DUMMYFUNCTION("""COMPUTED_VALUE"""),"Intermediate")</f>
        <v>Intermediate</v>
      </c>
      <c r="D111" t="str">
        <f ca="1">IFERROR(__xludf.DUMMYFUNCTION("""COMPUTED_VALUE"""),"Advertising on Pinterest")</f>
        <v>Advertising on Pinterest</v>
      </c>
    </row>
    <row r="112" spans="1:36" ht="15" customHeight="1">
      <c r="B112">
        <f ca="1">IFERROR(__xludf.DUMMYFUNCTION("""COMPUTED_VALUE"""),2849044)</f>
        <v>2849044</v>
      </c>
      <c r="C112" t="str">
        <f ca="1">IFERROR(__xludf.DUMMYFUNCTION("""COMPUTED_VALUE"""),"Intermediate")</f>
        <v>Intermediate</v>
      </c>
      <c r="D112" t="str">
        <f ca="1">IFERROR(__xludf.DUMMYFUNCTION("""COMPUTED_VALUE"""),"Social Media Monitoring: Strategies and Skills")</f>
        <v>Social Media Monitoring: Strategies and Skills</v>
      </c>
    </row>
    <row r="113" spans="2:4" ht="15" customHeight="1">
      <c r="B113">
        <f ca="1">IFERROR(__xludf.DUMMYFUNCTION("""COMPUTED_VALUE"""),2833101)</f>
        <v>2833101</v>
      </c>
      <c r="C113" t="str">
        <f ca="1">IFERROR(__xludf.DUMMYFUNCTION("""COMPUTED_VALUE"""),"Intermediate")</f>
        <v>Intermediate</v>
      </c>
      <c r="D113" t="str">
        <f ca="1">IFERROR(__xludf.DUMMYFUNCTION("""COMPUTED_VALUE"""),"Content Marketing: ROI")</f>
        <v>Content Marketing: ROI</v>
      </c>
    </row>
    <row r="114" spans="2:4" ht="15" customHeight="1">
      <c r="B114">
        <f ca="1">IFERROR(__xludf.DUMMYFUNCTION("""COMPUTED_VALUE"""),2841396)</f>
        <v>2841396</v>
      </c>
      <c r="C114" t="str">
        <f ca="1">IFERROR(__xludf.DUMMYFUNCTION("""COMPUTED_VALUE"""),"Intermediate")</f>
        <v>Intermediate</v>
      </c>
      <c r="D114" t="str">
        <f ca="1">IFERROR(__xludf.DUMMYFUNCTION("""COMPUTED_VALUE"""),"Email Marketing: Strategy and Optimization")</f>
        <v>Email Marketing: Strategy and Optimization</v>
      </c>
    </row>
    <row r="115" spans="2:4" ht="15" customHeight="1">
      <c r="B115">
        <f ca="1">IFERROR(__xludf.DUMMYFUNCTION("""COMPUTED_VALUE"""),2864007)</f>
        <v>2864007</v>
      </c>
      <c r="C115" t="str">
        <f ca="1">IFERROR(__xludf.DUMMYFUNCTION("""COMPUTED_VALUE"""),"Intermediate")</f>
        <v>Intermediate</v>
      </c>
      <c r="D115" t="str">
        <f ca="1">IFERROR(__xludf.DUMMYFUNCTION("""COMPUTED_VALUE"""),"Advertising on YouTube")</f>
        <v>Advertising on YouTube</v>
      </c>
    </row>
    <row r="116" spans="2:4" ht="15" customHeight="1">
      <c r="B116">
        <f ca="1">IFERROR(__xludf.DUMMYFUNCTION("""COMPUTED_VALUE"""),2833073)</f>
        <v>2833073</v>
      </c>
      <c r="C116" t="str">
        <f ca="1">IFERROR(__xludf.DUMMYFUNCTION("""COMPUTED_VALUE"""),"Intermediate")</f>
        <v>Intermediate</v>
      </c>
      <c r="D116" t="str">
        <f ca="1">IFERROR(__xludf.DUMMYFUNCTION("""COMPUTED_VALUE"""),"Create a Go-to-Market Plan")</f>
        <v>Create a Go-to-Market Plan</v>
      </c>
    </row>
    <row r="117" spans="2:4" ht="15" customHeight="1">
      <c r="B117">
        <f ca="1">IFERROR(__xludf.DUMMYFUNCTION("""COMPUTED_VALUE"""),2818029)</f>
        <v>2818029</v>
      </c>
      <c r="C117" t="str">
        <f ca="1">IFERROR(__xludf.DUMMYFUNCTION("""COMPUTED_VALUE"""),"Intermediate")</f>
        <v>Intermediate</v>
      </c>
      <c r="D117" t="str">
        <f ca="1">IFERROR(__xludf.DUMMYFUNCTION("""COMPUTED_VALUE"""),"Growth Hacking Tips")</f>
        <v>Growth Hacking Tips</v>
      </c>
    </row>
    <row r="118" spans="2:4" ht="15" customHeight="1">
      <c r="B118">
        <f ca="1">IFERROR(__xludf.DUMMYFUNCTION("""COMPUTED_VALUE"""),2817189)</f>
        <v>2817189</v>
      </c>
      <c r="C118" t="str">
        <f ca="1">IFERROR(__xludf.DUMMYFUNCTION("""COMPUTED_VALUE"""),"Intermediate")</f>
        <v>Intermediate</v>
      </c>
      <c r="D118" t="str">
        <f ca="1">IFERROR(__xludf.DUMMYFUNCTION("""COMPUTED_VALUE"""),"Improve SEO for Your Ecommerce Site")</f>
        <v>Improve SEO for Your Ecommerce Site</v>
      </c>
    </row>
    <row r="119" spans="2:4" ht="15" customHeight="1">
      <c r="B119">
        <f ca="1">IFERROR(__xludf.DUMMYFUNCTION("""COMPUTED_VALUE"""),2819186)</f>
        <v>2819186</v>
      </c>
      <c r="C119" t="str">
        <f ca="1">IFERROR(__xludf.DUMMYFUNCTION("""COMPUTED_VALUE"""),"Intermediate")</f>
        <v>Intermediate</v>
      </c>
      <c r="D119" t="str">
        <f ca="1">IFERROR(__xludf.DUMMYFUNCTION("""COMPUTED_VALUE"""),"Social Media Marketing: Strategy and Optimization")</f>
        <v>Social Media Marketing: Strategy and Optimization</v>
      </c>
    </row>
    <row r="120" spans="2:4" ht="15" customHeight="1">
      <c r="B120">
        <f ca="1">IFERROR(__xludf.DUMMYFUNCTION("""COMPUTED_VALUE"""),2822059)</f>
        <v>2822059</v>
      </c>
      <c r="C120" t="str">
        <f ca="1">IFERROR(__xludf.DUMMYFUNCTION("""COMPUTED_VALUE"""),"Intermediate")</f>
        <v>Intermediate</v>
      </c>
      <c r="D120" t="str">
        <f ca="1">IFERROR(__xludf.DUMMYFUNCTION("""COMPUTED_VALUE"""),"SEO: Keyword Strategy")</f>
        <v>SEO: Keyword Strategy</v>
      </c>
    </row>
    <row r="121" spans="2:4" ht="15" customHeight="1">
      <c r="B121">
        <f ca="1">IFERROR(__xludf.DUMMYFUNCTION("""COMPUTED_VALUE"""),2823073)</f>
        <v>2823073</v>
      </c>
      <c r="C121" t="str">
        <f ca="1">IFERROR(__xludf.DUMMYFUNCTION("""COMPUTED_VALUE"""),"Intermediate")</f>
        <v>Intermediate</v>
      </c>
      <c r="D121" t="str">
        <f ca="1">IFERROR(__xludf.DUMMYFUNCTION("""COMPUTED_VALUE"""),"SEO: Videos")</f>
        <v>SEO: Videos</v>
      </c>
    </row>
    <row r="122" spans="2:4" ht="15" customHeight="1">
      <c r="B122">
        <f ca="1">IFERROR(__xludf.DUMMYFUNCTION("""COMPUTED_VALUE"""),2226728)</f>
        <v>2226728</v>
      </c>
      <c r="C122" t="str">
        <f ca="1">IFERROR(__xludf.DUMMYFUNCTION("""COMPUTED_VALUE"""),"Intermediate")</f>
        <v>Intermediate</v>
      </c>
      <c r="D122" t="str">
        <f ca="1">IFERROR(__xludf.DUMMYFUNCTION("""COMPUTED_VALUE"""),"Aligning Sales and Marketing")</f>
        <v>Aligning Sales and Marketing</v>
      </c>
    </row>
    <row r="123" spans="2:4" ht="15" customHeight="1">
      <c r="B123">
        <f ca="1">IFERROR(__xludf.DUMMYFUNCTION("""COMPUTED_VALUE"""),2242052)</f>
        <v>2242052</v>
      </c>
      <c r="C123" t="str">
        <f ca="1">IFERROR(__xludf.DUMMYFUNCTION("""COMPUTED_VALUE"""),"Intermediate")</f>
        <v>Intermediate</v>
      </c>
      <c r="D123" t="str">
        <f ca="1">IFERROR(__xludf.DUMMYFUNCTION("""COMPUTED_VALUE"""),"Python for Marketing")</f>
        <v>Python for Marketing</v>
      </c>
    </row>
    <row r="124" spans="2:4" ht="15" customHeight="1">
      <c r="B124">
        <f ca="1">IFERROR(__xludf.DUMMYFUNCTION("""COMPUTED_VALUE"""),2839084)</f>
        <v>2839084</v>
      </c>
      <c r="C124" t="str">
        <f ca="1">IFERROR(__xludf.DUMMYFUNCTION("""COMPUTED_VALUE"""),"Intermediate")</f>
        <v>Intermediate</v>
      </c>
      <c r="D124" t="str">
        <f ca="1">IFERROR(__xludf.DUMMYFUNCTION("""COMPUTED_VALUE"""),"17 Questions to Help Improve Your Marketing")</f>
        <v>17 Questions to Help Improve Your Marketing</v>
      </c>
    </row>
    <row r="125" spans="2:4" ht="15" customHeight="1">
      <c r="B125">
        <f ca="1">IFERROR(__xludf.DUMMYFUNCTION("""COMPUTED_VALUE"""),2833046)</f>
        <v>2833046</v>
      </c>
      <c r="C125" t="str">
        <f ca="1">IFERROR(__xludf.DUMMYFUNCTION("""COMPUTED_VALUE"""),"Intermediate")</f>
        <v>Intermediate</v>
      </c>
      <c r="D125" t="str">
        <f ca="1">IFERROR(__xludf.DUMMYFUNCTION("""COMPUTED_VALUE"""),"Employer Branding on LinkedIn")</f>
        <v>Employer Branding on LinkedIn</v>
      </c>
    </row>
    <row r="126" spans="2:4" ht="15" customHeight="1">
      <c r="B126">
        <f ca="1">IFERROR(__xludf.DUMMYFUNCTION("""COMPUTED_VALUE"""),2849045)</f>
        <v>2849045</v>
      </c>
      <c r="C126" t="str">
        <f ca="1">IFERROR(__xludf.DUMMYFUNCTION("""COMPUTED_VALUE"""),"Intermediate")</f>
        <v>Intermediate</v>
      </c>
      <c r="D126" t="str">
        <f ca="1">IFERROR(__xludf.DUMMYFUNCTION("""COMPUTED_VALUE"""),"Become a Marketing Entrepreneur")</f>
        <v>Become a Marketing Entrepreneur</v>
      </c>
    </row>
    <row r="127" spans="2:4" ht="15" customHeight="1">
      <c r="B127">
        <f ca="1">IFERROR(__xludf.DUMMYFUNCTION("""COMPUTED_VALUE"""),2874017)</f>
        <v>2874017</v>
      </c>
      <c r="C127" t="str">
        <f ca="1">IFERROR(__xludf.DUMMYFUNCTION("""COMPUTED_VALUE"""),"Intermediate")</f>
        <v>Intermediate</v>
      </c>
      <c r="D127" t="str">
        <f ca="1">IFERROR(__xludf.DUMMYFUNCTION("""COMPUTED_VALUE"""),"Market Research: Qualitative")</f>
        <v>Market Research: Qualitative</v>
      </c>
    </row>
    <row r="128" spans="2:4" ht="15" customHeight="1">
      <c r="B128">
        <f ca="1">IFERROR(__xludf.DUMMYFUNCTION("""COMPUTED_VALUE"""),2834042)</f>
        <v>2834042</v>
      </c>
      <c r="C128" t="str">
        <f ca="1">IFERROR(__xludf.DUMMYFUNCTION("""COMPUTED_VALUE"""),"Intermediate")</f>
        <v>Intermediate</v>
      </c>
      <c r="D128" t="str">
        <f ca="1">IFERROR(__xludf.DUMMYFUNCTION("""COMPUTED_VALUE"""),"Social Selling: Reaching Prospects")</f>
        <v>Social Selling: Reaching Prospects</v>
      </c>
    </row>
    <row r="129" spans="2:4" ht="15" customHeight="1">
      <c r="B129">
        <f ca="1">IFERROR(__xludf.DUMMYFUNCTION("""COMPUTED_VALUE"""),2849004)</f>
        <v>2849004</v>
      </c>
      <c r="C129" t="str">
        <f ca="1">IFERROR(__xludf.DUMMYFUNCTION("""COMPUTED_VALUE"""),"Intermediate")</f>
        <v>Intermediate</v>
      </c>
      <c r="D129" t="str">
        <f ca="1">IFERROR(__xludf.DUMMYFUNCTION("""COMPUTED_VALUE"""),"SEO: Ecommerce Strategies")</f>
        <v>SEO: Ecommerce Strategies</v>
      </c>
    </row>
    <row r="130" spans="2:4" ht="15" customHeight="1">
      <c r="B130">
        <f ca="1">IFERROR(__xludf.DUMMYFUNCTION("""COMPUTED_VALUE"""),2875239)</f>
        <v>2875239</v>
      </c>
      <c r="C130" t="str">
        <f ca="1">IFERROR(__xludf.DUMMYFUNCTION("""COMPUTED_VALUE"""),"Intermediate")</f>
        <v>Intermediate</v>
      </c>
      <c r="D130" t="str">
        <f ca="1">IFERROR(__xludf.DUMMYFUNCTION("""COMPUTED_VALUE"""),"Remarketing Strategies with Google Ads and Analytics")</f>
        <v>Remarketing Strategies with Google Ads and Analytics</v>
      </c>
    </row>
    <row r="131" spans="2:4" ht="15" customHeight="1">
      <c r="B131">
        <f ca="1">IFERROR(__xludf.DUMMYFUNCTION("""COMPUTED_VALUE"""),2875242)</f>
        <v>2875242</v>
      </c>
      <c r="C131" t="str">
        <f ca="1">IFERROR(__xludf.DUMMYFUNCTION("""COMPUTED_VALUE"""),"Intermediate")</f>
        <v>Intermediate</v>
      </c>
      <c r="D131" t="str">
        <f ca="1">IFERROR(__xludf.DUMMYFUNCTION("""COMPUTED_VALUE"""),"Technical SEO")</f>
        <v>Technical SEO</v>
      </c>
    </row>
    <row r="132" spans="2:4" ht="15" customHeight="1">
      <c r="B132">
        <f ca="1">IFERROR(__xludf.DUMMYFUNCTION("""COMPUTED_VALUE"""),2882048)</f>
        <v>2882048</v>
      </c>
      <c r="C132" t="str">
        <f ca="1">IFERROR(__xludf.DUMMYFUNCTION("""COMPUTED_VALUE"""),"Intermediate")</f>
        <v>Intermediate</v>
      </c>
      <c r="D132" t="str">
        <f ca="1">IFERROR(__xludf.DUMMYFUNCTION("""COMPUTED_VALUE"""),"Social Media Marketing: ROI")</f>
        <v>Social Media Marketing: ROI</v>
      </c>
    </row>
    <row r="133" spans="2:4" ht="15" customHeight="1">
      <c r="B133">
        <f ca="1">IFERROR(__xludf.DUMMYFUNCTION("""COMPUTED_VALUE"""),2886001)</f>
        <v>2886001</v>
      </c>
      <c r="C133" t="str">
        <f ca="1">IFERROR(__xludf.DUMMYFUNCTION("""COMPUTED_VALUE"""),"Intermediate")</f>
        <v>Intermediate</v>
      </c>
      <c r="D133" t="str">
        <f ca="1">IFERROR(__xludf.DUMMYFUNCTION("""COMPUTED_VALUE"""),"Consumer Behavior Trends: Meet the Postmodern Consumer")</f>
        <v>Consumer Behavior Trends: Meet the Postmodern Consumer</v>
      </c>
    </row>
    <row r="134" spans="2:4" ht="15" customHeight="1">
      <c r="B134">
        <f ca="1">IFERROR(__xludf.DUMMYFUNCTION("""COMPUTED_VALUE"""),2874008)</f>
        <v>2874008</v>
      </c>
      <c r="C134" t="str">
        <f ca="1">IFERROR(__xludf.DUMMYFUNCTION("""COMPUTED_VALUE"""),"Intermediate")</f>
        <v>Intermediate</v>
      </c>
      <c r="D134" t="str">
        <f ca="1">IFERROR(__xludf.DUMMYFUNCTION("""COMPUTED_VALUE"""),"Marketing: Copywriting for Social Media")</f>
        <v>Marketing: Copywriting for Social Media</v>
      </c>
    </row>
    <row r="135" spans="2:4" ht="15" customHeight="1">
      <c r="B135">
        <f ca="1">IFERROR(__xludf.DUMMYFUNCTION("""COMPUTED_VALUE"""),2421500)</f>
        <v>2421500</v>
      </c>
      <c r="C135" t="str">
        <f ca="1">IFERROR(__xludf.DUMMYFUNCTION("""COMPUTED_VALUE"""),"Intermediate")</f>
        <v>Intermediate</v>
      </c>
      <c r="D135" t="str">
        <f ca="1">IFERROR(__xludf.DUMMYFUNCTION("""COMPUTED_VALUE"""),"Augmented Reality Marketing")</f>
        <v>Augmented Reality Marketing</v>
      </c>
    </row>
    <row r="136" spans="2:4" ht="15" customHeight="1">
      <c r="B136">
        <f ca="1">IFERROR(__xludf.DUMMYFUNCTION("""COMPUTED_VALUE"""),2426262)</f>
        <v>2426262</v>
      </c>
      <c r="C136" t="str">
        <f ca="1">IFERROR(__xludf.DUMMYFUNCTION("""COMPUTED_VALUE"""),"Intermediate")</f>
        <v>Intermediate</v>
      </c>
      <c r="D136" t="str">
        <f ca="1">IFERROR(__xludf.DUMMYFUNCTION("""COMPUTED_VALUE"""),"Lead Generation: Multichannel PPC Strategy")</f>
        <v>Lead Generation: Multichannel PPC Strategy</v>
      </c>
    </row>
    <row r="137" spans="2:4" ht="15" customHeight="1">
      <c r="B137">
        <f ca="1">IFERROR(__xludf.DUMMYFUNCTION("""COMPUTED_VALUE"""),2892593)</f>
        <v>2892593</v>
      </c>
      <c r="C137" t="str">
        <f ca="1">IFERROR(__xludf.DUMMYFUNCTION("""COMPUTED_VALUE"""),"Intermediate")</f>
        <v>Intermediate</v>
      </c>
      <c r="D137" t="str">
        <f ca="1">IFERROR(__xludf.DUMMYFUNCTION("""COMPUTED_VALUE"""),"Marketing Attribution and Mix Modeling")</f>
        <v>Marketing Attribution and Mix Modeling</v>
      </c>
    </row>
  </sheetData>
  <mergeCells count="14">
    <mergeCell ref="B1:E1"/>
    <mergeCell ref="L1:O1"/>
    <mergeCell ref="V1:Y1"/>
    <mergeCell ref="AF1:AI1"/>
    <mergeCell ref="B2:E2"/>
    <mergeCell ref="L2:O2"/>
    <mergeCell ref="V2:Y2"/>
    <mergeCell ref="AF2:AI2"/>
    <mergeCell ref="G1:J1"/>
    <mergeCell ref="G2:J2"/>
    <mergeCell ref="Q1:T1"/>
    <mergeCell ref="Q2:T2"/>
    <mergeCell ref="AA1:AD1"/>
    <mergeCell ref="AA2:AD2"/>
  </mergeCells>
  <hyperlinks>
    <hyperlink ref="D4" r:id="rId1" display="https://www.linkedin.com/learning/pricing-strategy-value-based-pricing?trk=ondemandfile" xr:uid="{00000000-0004-0000-1000-000000000000}"/>
    <hyperlink ref="E4" r:id="rId2" display="https://www.linkedin.com/learning/paths/become-an-ama-professional-certified-marketer-in-digital-marketing?trk=ondemandfile" xr:uid="{00000000-0004-0000-1000-000001000000}"/>
    <hyperlink ref="N4" r:id="rId3" display="https://www.linkedin.com/learning/00-agile-marketing?trk=ondemandfile" xr:uid="{00000000-0004-0000-1000-000002000000}"/>
    <hyperlink ref="O4" r:id="rId4" display="https://www.linkedin.com/learning/paths/conviertete-en-experto-seo?trk=ondemandfile" xr:uid="{00000000-0004-0000-1000-000003000000}"/>
    <hyperlink ref="S4" r:id="rId5" display="https://www.linkedin.com/learning/10-minuten-tipps-neue-ideen-fur-ihr-marketing?trk=ondemandfile" xr:uid="{00000000-0004-0000-1000-000004000000}"/>
    <hyperlink ref="T4" r:id="rId6" display="https://www.linkedin.com/learning/paths/online-marketing-expert-in-werden?trk=ondemandfile" xr:uid="{00000000-0004-0000-1000-000005000000}"/>
    <hyperlink ref="X4" r:id="rId7" display="https://www.linkedin.com/learning/learning-facebook-ads-2?trk=ondemandfile" xr:uid="{00000000-0004-0000-1000-000006000000}"/>
    <hyperlink ref="Y4" r:id="rId8" display="https://www.linkedin.com/learning/paths/83f25472-a2a7-30bb-b1c7-b18bc2ba1bba?trk=ondemandfile" xr:uid="{00000000-0004-0000-1000-000007000000}"/>
    <hyperlink ref="AC4" r:id="rId9" display="https://www.linkedin.com/learning/como-comunicar-mas-noticias-aos-clientes?trk=contentmappingfile" xr:uid="{00000000-0004-0000-1000-000008000000}"/>
    <hyperlink ref="AH4" r:id="rId10" display="https://www.linkedin.com/learning/business-innovation-foundations-3?trk=ondemandfile" xr:uid="{00000000-0004-0000-1000-000009000000}"/>
    <hyperlink ref="D5" r:id="rId11" display="https://www.linkedin.com/learning/cmo-foundations-creating-a-marketing-culture?trk=ondemandfile" xr:uid="{00000000-0004-0000-1000-00000A000000}"/>
    <hyperlink ref="E5" r:id="rId12" display="https://www.linkedin.com/learning/paths/become-a-content-strategist-2?trk=ondemandfile" xr:uid="{00000000-0004-0000-1000-00000B000000}"/>
    <hyperlink ref="N5" r:id="rId13" display="https://www.linkedin.com/learning/00-copywriting?trk=ondemandfile" xr:uid="{00000000-0004-0000-1000-00000C000000}"/>
    <hyperlink ref="O5" r:id="rId14" display="https://www.linkedin.com/learning/paths/destaca-en-marketing-digital-en-tiempos-de-transformacion-digital?trk=ondemandfile" xr:uid="{00000000-0004-0000-1000-00000D000000}"/>
    <hyperlink ref="S5" r:id="rId15" display="https://www.linkedin.com/learning/1fc28008-fada-3384-8576-fa23752fe829?trk=ondemandfile" xr:uid="{00000000-0004-0000-1000-00000E000000}"/>
    <hyperlink ref="T5" r:id="rId16" display="https://www.linkedin.com/learning/paths/seo-expert-in-werden?trk=ondemandfile" xr:uid="{00000000-0004-0000-1000-00000F000000}"/>
    <hyperlink ref="X5" r:id="rId17" display="https://www.linkedin.com/learning/google-adsense-essential-training-2019-2?trk=ondemandfile" xr:uid="{00000000-0004-0000-1000-000010000000}"/>
    <hyperlink ref="AH5" r:id="rId18" display="https://www.linkedin.com/learning/developing-a-competitive-strategy-2?trk=ondemandfile" xr:uid="{00000000-0004-0000-1000-000011000000}"/>
    <hyperlink ref="D6" r:id="rId19" display="https://www.linkedin.com/learning/cmo-foundations-measuring-marketing-effectiveness-roi?trk=ondemandfile" xr:uid="{00000000-0004-0000-1000-000012000000}"/>
    <hyperlink ref="E6" r:id="rId20" display="https://www.linkedin.com/learning/paths/become-a-digital-advertising-specialist?trk=ondemandfile" xr:uid="{00000000-0004-0000-1000-000013000000}"/>
    <hyperlink ref="I6" r:id="rId21" display="https://www.linkedin.com/learning/construire-une-strategie-de-link-building?trk=contentmappingfile" xr:uid="{00000000-0004-0000-1000-000014000000}"/>
    <hyperlink ref="N6" r:id="rId22" display="https://www.linkedin.com/learning/aprende-facebook-ads?trk=ondemandfile" xr:uid="{00000000-0004-0000-1000-000015000000}"/>
    <hyperlink ref="O6" r:id="rId23" display="https://www.linkedin.com/learning/paths/convirtete-en-experto-en-marketing-en-social-media?trk=ondemandfile" xr:uid="{00000000-0004-0000-1000-000016000000}"/>
    <hyperlink ref="S6" r:id="rId24" display="https://www.linkedin.com/learning/adobe-spark-grundkurs-2?trk=ondemandfile" xr:uid="{00000000-0004-0000-1000-000017000000}"/>
    <hyperlink ref="T6" r:id="rId25" display="https://www.linkedin.com/learning/paths/erweitern-sie-ihre-online-marketing-skills-ideen-tipps-und-tricks-fur-fortgeschrittene?trk=ondemandfile" xr:uid="{00000000-0004-0000-1000-000018000000}"/>
    <hyperlink ref="X6" r:id="rId26" display="https://www.linkedin.com/learning/google-search-console-essential-training-2019-2?trk=ondemandfile" xr:uid="{00000000-0004-0000-1000-000019000000}"/>
    <hyperlink ref="AH6" r:id="rId27" display="https://www.linkedin.com/learning/digital-marketing-foundations-9601451?trk=contentmappingfile" xr:uid="{00000000-0004-0000-1000-00001A000000}"/>
    <hyperlink ref="D7" r:id="rId28" display="https://www.linkedin.com/learning/blue-ocean-shift?trk=ondemandfile" xr:uid="{00000000-0004-0000-1000-00001B000000}"/>
    <hyperlink ref="E7" r:id="rId29" display="https://www.linkedin.com/learning/paths/become-a-digital-marketing-specialist?trk=ondemandfile" xr:uid="{00000000-0004-0000-1000-00001C000000}"/>
    <hyperlink ref="N7" r:id="rId30" display="https://www.linkedin.com/learning/aprende-linkedin-sponsored-inmail?trk=ondemandfile" xr:uid="{00000000-0004-0000-1000-00001D000000}"/>
    <hyperlink ref="S7" r:id="rId31" display="https://www.linkedin.com/learning/branding-und-markenmanagement-grundlagen?trk=ondemandfile" xr:uid="{00000000-0004-0000-1000-00001E000000}"/>
    <hyperlink ref="T7" r:id="rId32" display="https://www.linkedin.com/learning/paths/social-media-marketing-expert-in-werden?trk=ondemandfile" xr:uid="{00000000-0004-0000-1000-00001F000000}"/>
    <hyperlink ref="X7" r:id="rId33" display="https://www.linkedin.com/learning/google-analytics-essential-training-2021?trk=ondemandfile" xr:uid="{00000000-0004-0000-1000-000020000000}"/>
    <hyperlink ref="AC7" r:id="rId34" display="https://www.linkedin.com/learning/fundamentos-de-inovacao-empresarial?trk=contentmappingfile" xr:uid="{00000000-0004-0000-1000-000021000000}"/>
    <hyperlink ref="AH7" r:id="rId35" display="https://www.linkedin.com/learning/online-marketing-foundations?trk=ondemandfile" xr:uid="{00000000-0004-0000-1000-000022000000}"/>
    <hyperlink ref="D8" r:id="rId36" display="https://www.linkedin.com/learning/brand-leadership-building-brand-and-culture?trk=ondemandfile" xr:uid="{00000000-0004-0000-1000-000023000000}"/>
    <hyperlink ref="E8" r:id="rId37" display="https://www.linkedin.com/learning/paths/become-a-digital-marketer?trk=ondemandfile" xr:uid="{00000000-0004-0000-1000-000024000000}"/>
    <hyperlink ref="N8" r:id="rId38" display="https://www.linkedin.com/learning/aprende-linkedin-sponsored-updates?trk=ondemandfile" xr:uid="{00000000-0004-0000-1000-000025000000}"/>
    <hyperlink ref="S8" r:id="rId39" display="https://www.linkedin.com/learning/c-c-chapman-content-marketing-und-die-kunst-des-storytelling?trk=ondemandfile" xr:uid="{00000000-0004-0000-1000-000026000000}"/>
    <hyperlink ref="X8" r:id="rId40" display="https://www.linkedin.com/learning/advanced-google-analytics-5?trk=ondemandfile" xr:uid="{00000000-0004-0000-1000-000027000000}"/>
    <hyperlink ref="AC8" r:id="rId41" display="https://www.linkedin.com/learning/fundamentos-de-marketing-de-midias-sociais?trk=contentmappingfile" xr:uid="{00000000-0004-0000-1000-000028000000}"/>
    <hyperlink ref="D9" r:id="rId42" display="https://www.linkedin.com/learning/leading-a-marketing-team?trk=ondemandfile" xr:uid="{00000000-0004-0000-1000-000029000000}"/>
    <hyperlink ref="E9" r:id="rId43" display="https://www.linkedin.com/learning/paths/become-a-marketing-coordinator?trk=ondemandfile" xr:uid="{00000000-0004-0000-1000-00002A000000}"/>
    <hyperlink ref="N9" r:id="rId44" display="https://www.linkedin.com/learning/aprende-mailchimp?trk=ondemandfile" xr:uid="{00000000-0004-0000-1000-00002B000000}"/>
    <hyperlink ref="S9" r:id="rId45" display="https://www.linkedin.com/learning/chatbot-konzepte-und-strategien?trk=ondemandfile" xr:uid="{00000000-0004-0000-1000-00002C000000}"/>
    <hyperlink ref="X9" r:id="rId46" display="https://www.linkedin.com/learning/learning-google-ads-2021?trk=ondemandfile" xr:uid="{00000000-0004-0000-1000-00002D000000}"/>
    <hyperlink ref="AC9" r:id="rId47" display="https://www.linkedin.com/learning/fundamentos-do-funil-de-marketing?trk=contentmappingfile" xr:uid="{00000000-0004-0000-1000-00002E000000}"/>
    <hyperlink ref="D10" r:id="rId48" display="https://www.linkedin.com/learning/seo-link-building?trk=ondemandfile" xr:uid="{00000000-0004-0000-1000-00002F000000}"/>
    <hyperlink ref="E10" r:id="rId49" display="https://www.linkedin.com/learning/paths/become-a-marketing-specialist-2?trk=ondemandfile" xr:uid="{00000000-0004-0000-1000-000030000000}"/>
    <hyperlink ref="N10" r:id="rId50" display="https://www.linkedin.com/learning/00-auditorias-seo?trk=ondemandfile" xr:uid="{00000000-0004-0000-1000-000031000000}"/>
    <hyperlink ref="S10" r:id="rId51" display="https://www.linkedin.com/learning/content-creation-fur-social-media-in-10-minuten?trk=ondemandfile" xr:uid="{00000000-0004-0000-1000-000032000000}"/>
    <hyperlink ref="X10" r:id="rId52" display="https://www.linkedin.com/learning/learning-line-ads?trk=contentmappingfile" xr:uid="{00000000-0004-0000-1000-000033000000}"/>
    <hyperlink ref="AC10" r:id="rId53" display="https://www.linkedin.com/learning/tendencias-de-marketing-nas-midias-sociais-para-impulsionar-as-vendas-em-sua-empresa?trk=contentmappingfile" xr:uid="{00000000-0004-0000-1000-000034000000}"/>
    <hyperlink ref="D11" r:id="rId54" display="https://www.linkedin.com/learning/marketing-tools-growth-marketing?trk=ondemandfile" xr:uid="{00000000-0004-0000-1000-000035000000}"/>
    <hyperlink ref="E11" r:id="rId55" display="https://www.linkedin.com/learning/paths/become-an-online-marketing-manager?trk=ondemandfile" xr:uid="{00000000-0004-0000-1000-000036000000}"/>
    <hyperlink ref="N11" r:id="rId56" display="https://www.linkedin.com/learning/00-bing-ads-esencial?trk=ondemandfile" xr:uid="{00000000-0004-0000-1000-000037000000}"/>
    <hyperlink ref="S11" r:id="rId57" display="https://www.linkedin.com/learning/content-first-publishing?trk=ondemandfile" xr:uid="{00000000-0004-0000-1000-000038000000}"/>
    <hyperlink ref="X11" r:id="rId58" display="https://www.linkedin.com/learning/learning-linkedin-sponsored-inmail?trk=ondemandfile" xr:uid="{00000000-0004-0000-1000-000039000000}"/>
    <hyperlink ref="D12" r:id="rId59" display="https://www.linkedin.com/learning/social-media-marketing-tips-8570680?trk=ondemandfile" xr:uid="{00000000-0004-0000-1000-00003A000000}"/>
    <hyperlink ref="E12" r:id="rId60" display="https://www.linkedin.com/learning/paths/become-a-public-relations-specialist?trk=ondemandfile" xr:uid="{00000000-0004-0000-1000-00003B000000}"/>
    <hyperlink ref="N12" r:id="rId61" display="https://www.linkedin.com/learning/c-c-chapman-creador-de-marketing-de-contenido?trk=contentmappingfile" xr:uid="{00000000-0004-0000-1000-00003C000000}"/>
    <hyperlink ref="S12" r:id="rId62" display="https://www.linkedin.com/learning/00-content-marketing?trk=ondemandfile" xr:uid="{00000000-0004-0000-1000-00003D000000}"/>
    <hyperlink ref="X12" r:id="rId63" display="https://www.linkedin.com/learning/fdf89900-3335-373d-95ac-3f330dc8c97a?trk=ondemandfile" xr:uid="{00000000-0004-0000-1000-00003E000000}"/>
    <hyperlink ref="D13" r:id="rId64" display="https://www.linkedin.com/learning/job-interview-tips-for-marketing-managers?trk=ondemandfile" xr:uid="{00000000-0004-0000-1000-00003F000000}"/>
    <hyperlink ref="E13" r:id="rId65" display="https://www.linkedin.com/learning/paths/become-a-social-media-advertising-specialist?trk=ondemandfile" xr:uid="{00000000-0004-0000-1000-000040000000}"/>
    <hyperlink ref="I13" r:id="rId66" display="https://www.linkedin.com/learning/exploiter-les-leviers-du-web-marketing-pour-booster-son-activite?trk=contentmappingfile" xr:uid="{00000000-0004-0000-1000-000041000000}"/>
    <hyperlink ref="N13" r:id="rId67" display="https://www.linkedin.com/learning/como-construir-tu-propio-conjunto-de-tecnologias-de-marketing?trk=ondemandfile" xr:uid="{00000000-0004-0000-1000-000042000000}"/>
    <hyperlink ref="S13" r:id="rId68" display="https://www.linkedin.com/learning/corporate-blogs-grundlagen-2?trk=ondemandfile" xr:uid="{00000000-0004-0000-1000-000043000000}"/>
    <hyperlink ref="X13" r:id="rId69" display="https://www.linkedin.com/learning/seo-fundamentals-2?trk=ondemandfile" xr:uid="{00000000-0004-0000-1000-000044000000}"/>
    <hyperlink ref="D14" r:id="rId70" display="https://www.linkedin.com/learning/advertising-on-linkedin-8986011?trk=ondemandfile" xr:uid="{00000000-0004-0000-1000-000045000000}"/>
    <hyperlink ref="E14" r:id="rId71" display="https://www.linkedin.com/learning/paths/become-a-social-media-marketer?trk=ondemandfile" xr:uid="{00000000-0004-0000-1000-000046000000}"/>
    <hyperlink ref="N14" r:id="rId72" display="https://www.linkedin.com/learning/como-integrar-la-marca-con-la-estrategia-de-marketing?trk=ondemandfile" xr:uid="{00000000-0004-0000-1000-000047000000}"/>
    <hyperlink ref="S14" r:id="rId73" display="https://www.linkedin.com/learning/corporate-design-f-r-online-marketing-projekte?trk=ondemandfile" xr:uid="{00000000-0004-0000-1000-000048000000}"/>
    <hyperlink ref="X14" r:id="rId74" display="https://www.linkedin.com/learning/online-marketing-foundations-2?trk=ondemandfile" xr:uid="{00000000-0004-0000-1000-000049000000}"/>
    <hyperlink ref="D15" r:id="rId75" display="https://www.linkedin.com/learning/integrated-marketing-communication-strategies?trk=ondemandfile" xr:uid="{00000000-0004-0000-1000-00004A000000}"/>
    <hyperlink ref="E15" r:id="rId76" display="https://www.linkedin.com/learning/paths/become-a-marketing-manager?trk=ondemandfile" xr:uid="{00000000-0004-0000-1000-00004B000000}"/>
    <hyperlink ref="N15" r:id="rId77" display="https://www.linkedin.com/learning/como-liderar-un-equipo-de-marketing?trk=ondemandfile" xr:uid="{00000000-0004-0000-1000-00004C000000}"/>
    <hyperlink ref="S15" r:id="rId78" display="https://www.linkedin.com/learning/corporate-influencer-in-mitarbeitende-als-werte-und-markenbotschafter-innen-einsetzen?trk=ondemandfile" xr:uid="{00000000-0004-0000-1000-00004D000000}"/>
    <hyperlink ref="X15" r:id="rId79" display="https://www.linkedin.com/learning/social-media-marketing-foundations-2021?trk=ondemandfile" xr:uid="{00000000-0004-0000-1000-00004E000000}"/>
    <hyperlink ref="D16" r:id="rId80" display="https://www.linkedin.com/learning/seo-competitive-analysis?trk=ondemandfile" xr:uid="{00000000-0004-0000-1000-00004F000000}"/>
    <hyperlink ref="E16" r:id="rId81" display="https://www.linkedin.com/learning/paths/develop-your-marketing-skills?trk=ondemandfile" xr:uid="{00000000-0004-0000-1000-000050000000}"/>
    <hyperlink ref="I16" r:id="rId82" display="https://www.linkedin.com/learning/le-marketing-digital-en-point-de-vente?trk=contentmappingfile" xr:uid="{00000000-0004-0000-1000-000051000000}"/>
    <hyperlink ref="N16" r:id="rId83" display="https://www.linkedin.com/learning/como-vender-con-storytelling-parte-1-los-elementos-de-una-gran-historia?trk=ondemandfile" xr:uid="{00000000-0004-0000-1000-000052000000}"/>
    <hyperlink ref="S16" r:id="rId84" display="https://www.linkedin.com/learning/creator-studio-fur-facebook-und-instagram-grundkurs?trk=ondemandfile" xr:uid="{00000000-0004-0000-1000-000053000000}"/>
    <hyperlink ref="X16" r:id="rId85" display="https://www.linkedin.com/learning/top-10-social-media-management-tools-3?trk=ondemandfile" xr:uid="{00000000-0004-0000-1000-000054000000}"/>
    <hyperlink ref="D17" r:id="rId86" display="https://www.linkedin.com/learning/marketing-tools-seo-8551757?trk=ondemandfile" xr:uid="{00000000-0004-0000-1000-000055000000}"/>
    <hyperlink ref="E17" r:id="rId87" display="https://www.linkedin.com/learning/paths/improve-your-digital-marketing-skills?trk=ondemandfile" xr:uid="{00000000-0004-0000-1000-000056000000}"/>
    <hyperlink ref="N17" r:id="rId88" display="https://www.linkedin.com/learning/00-ideation-for-marketers?trk=ondemandfile" xr:uid="{00000000-0004-0000-1000-000057000000}"/>
    <hyperlink ref="S17" r:id="rId89" display="https://www.linkedin.com/learning/digital-nudging-nutzererfahrung-und-nutzerentscheidungen-positiv-beeinflussen?trk=ondemandfile" xr:uid="{00000000-0004-0000-1000-000058000000}"/>
    <hyperlink ref="X17" r:id="rId90" display="https://www.linkedin.com/learning/instagram-for-business-2020?trk=ondemandfile" xr:uid="{00000000-0004-0000-1000-000059000000}"/>
    <hyperlink ref="D18" r:id="rId91" display="https://www.linkedin.com/learning/building-an-integrated-online-marketing-plan?trk=ondemandfile" xr:uid="{00000000-0004-0000-1000-00005A000000}"/>
    <hyperlink ref="E18" r:id="rId92" display="https://www.linkedin.com/learning/paths/master-digital-marketing?trk=ondemandfile" xr:uid="{00000000-0004-0000-1000-00005B000000}"/>
    <hyperlink ref="N18" r:id="rId93" display="https://www.linkedin.com/learning/00-derechos-de-autor-de-material-audiovisual-para-marketing?trk=ondemandfile" xr:uid="{00000000-0004-0000-1000-00005C000000}"/>
    <hyperlink ref="S18" r:id="rId94" display="https://www.linkedin.com/learning/digitale-kampagnen?trk=ondemandfile" xr:uid="{00000000-0004-0000-1000-00005D000000}"/>
    <hyperlink ref="X18" r:id="rId95" display="https://www.linkedin.com/learning/eec21d44-2b7b-3f20-8f75-a4cf78217baa?trk=ondemandfile" xr:uid="{00000000-0004-0000-1000-00005E000000}"/>
    <hyperlink ref="D19" r:id="rId96" display="https://www.linkedin.com/learning/advanced-seo-search-factors-2?trk=ondemandfile" xr:uid="{00000000-0004-0000-1000-00005F000000}"/>
    <hyperlink ref="N19" r:id="rId97" display="https://www.linkedin.com/learning/disena-proyectos-de-marketing-con-business-model-canvas?trk=contentmappingfile" xr:uid="{00000000-0004-0000-1000-000060000000}"/>
    <hyperlink ref="S19" r:id="rId98" display="https://www.linkedin.com/learning/disrupt-yourself-erfinden-sie-sich-neu?trk=ondemandfile" xr:uid="{00000000-0004-0000-1000-000061000000}"/>
    <hyperlink ref="X19" r:id="rId99" display="https://www.linkedin.com/learning/email-marketing-foundation?trk=ondemandfile" xr:uid="{00000000-0004-0000-1000-000062000000}"/>
    <hyperlink ref="D20" r:id="rId100" display="https://www.linkedin.com/learning/advanced-product-marketing?trk=ondemandfile" xr:uid="{00000000-0004-0000-1000-000063000000}"/>
    <hyperlink ref="I20" r:id="rId101" display="https://www.linkedin.com/learning/le-rgpd-pour-les-marketeurs-marketeuses?trk=contentmappingfile" xr:uid="{00000000-0004-0000-1000-000064000000}"/>
    <hyperlink ref="N20" r:id="rId102" display="https://www.linkedin.com/learning/facebook-ads-avanzado?trk=ondemandfile" xr:uid="{00000000-0004-0000-1000-000065000000}"/>
    <hyperlink ref="S20" r:id="rId103" display="https://www.linkedin.com/learning/competstrat?trk=ondemandfile" xr:uid="{00000000-0004-0000-1000-000066000000}"/>
    <hyperlink ref="X20" r:id="rId104" display="https://www.linkedin.com/learning/social-media-marketing-for-small-business-2?trk=ondemandfile" xr:uid="{00000000-0004-0000-1000-000067000000}"/>
    <hyperlink ref="D21" r:id="rId105" display="https://www.linkedin.com/learning/advanced-lead-generation-2019?trk=ondemandfile" xr:uid="{00000000-0004-0000-1000-000068000000}"/>
    <hyperlink ref="N21" r:id="rId106" display="https://www.linkedin.com/learning/facebook-ads-creacion-de-campanas?trk=ondemandfile" xr:uid="{00000000-0004-0000-1000-000069000000}"/>
    <hyperlink ref="S21" r:id="rId107" display="https://www.linkedin.com/learning/einen-marketingplan-schreiben?trk=ondemandfile" xr:uid="{00000000-0004-0000-1000-00006A000000}"/>
    <hyperlink ref="X21" r:id="rId108" display="https://www.linkedin.com/learning/facebook-for-corporate-pr?trk=ondemandfile" xr:uid="{00000000-0004-0000-1000-00006B000000}"/>
    <hyperlink ref="D22" r:id="rId109" display="https://www.linkedin.com/learning/advanced-google-analytics-4?trk=ondemandfile" xr:uid="{00000000-0004-0000-1000-00006C000000}"/>
    <hyperlink ref="N22" r:id="rId110" display="https://www.linkedin.com/learning/fundamentos-de-marketing-b2b?trk=ondemandfile" xr:uid="{00000000-0004-0000-1000-00006D000000}"/>
    <hyperlink ref="S22" r:id="rId111" display="https://www.linkedin.com/learning/a09c0cea-345d-3357-b2a0-a9a48f1f834d?trk=ondemandfile" xr:uid="{00000000-0004-0000-1000-00006E000000}"/>
    <hyperlink ref="X22" r:id="rId112" display="https://www.linkedin.com/learning/youtube-for-corporate-pr?trk=ondemandfile" xr:uid="{00000000-0004-0000-1000-00006F000000}"/>
    <hyperlink ref="D23" r:id="rId113" display="https://www.linkedin.com/learning/advertising-on-fac-ebook-advanced-2020?trk=ondemandfile" xr:uid="{00000000-0004-0000-1000-000070000000}"/>
    <hyperlink ref="N23" r:id="rId114" display="https://www.linkedin.com/learning/fundamentos-de-seo-2?trk=ondemandfile" xr:uid="{00000000-0004-0000-1000-000071000000}"/>
    <hyperlink ref="S23" r:id="rId115" display="https://www.linkedin.com/learning/executive-summary-personal-branding-mit-linkedin?trk=ondemandfile" xr:uid="{00000000-0004-0000-1000-000072000000}"/>
    <hyperlink ref="X23" r:id="rId116" display="https://www.linkedin.com/learning/boost-sales-wth-seo?trk=ondemandfile" xr:uid="{00000000-0004-0000-1000-000073000000}"/>
    <hyperlink ref="D24" r:id="rId117" display="https://www.linkedin.com/learning/advanced-content-marketing?trk=ondemandfile" xr:uid="{00000000-0004-0000-1000-000074000000}"/>
    <hyperlink ref="N24" r:id="rId118" display="https://www.linkedin.com/learning/fundamentos-del-comercio-electronico-woocommerce-en-wordpress?trk=ondemandfile" xr:uid="{00000000-0004-0000-1000-000075000000}"/>
    <hyperlink ref="S24" r:id="rId119" display="https://www.linkedin.com/learning/facebook-marketing-anzeigen-und-werbe-kampagnen?trk=ondemandfile" xr:uid="{00000000-0004-0000-1000-000076000000}"/>
    <hyperlink ref="X24" r:id="rId120" display="https://www.linkedin.com/learning/developing-a-competitive-strategy-3?trk=ondemandfile" xr:uid="{00000000-0004-0000-1000-000077000000}"/>
    <hyperlink ref="D25" r:id="rId121" display="https://www.linkedin.com/learning/advanced-google-ads?trk=ondemandfile" xr:uid="{00000000-0004-0000-1000-000078000000}"/>
    <hyperlink ref="N25" r:id="rId122" display="https://www.linkedin.com/learning/00-fundamentos-del-content-marketing-blogs?trk=ondemandfile" xr:uid="{00000000-0004-0000-1000-000079000000}"/>
    <hyperlink ref="S25" r:id="rId123" display="https://www.linkedin.com/learning/google-ads-adwords-grundkurs?trk=ondemandfile" xr:uid="{00000000-0004-0000-1000-00007A000000}"/>
    <hyperlink ref="D26" r:id="rId124" display="https://www.linkedin.com/learning/advanced-facebook-advertising-2021?trk=ondemandfile" xr:uid="{00000000-0004-0000-1000-00007B000000}"/>
    <hyperlink ref="I26" r:id="rId125" display="https://www.linkedin.com/learning/les-fondements-du-marketing-17444910?trk=contentmappingfile" xr:uid="{00000000-0004-0000-1000-00007C000000}"/>
    <hyperlink ref="N26" r:id="rId126" display="https://www.linkedin.com/learning/00-como-redactar-un-post-exitoso?trk=ondemandfile" xr:uid="{00000000-0004-0000-1000-00007D000000}"/>
    <hyperlink ref="S26" r:id="rId127" display="https://www.linkedin.com/learning/google-ads-adwords-optimierung-tools-berichte?trk=ondemandfile" xr:uid="{00000000-0004-0000-1000-00007E000000}"/>
    <hyperlink ref="D27" r:id="rId128" display="https://www.linkedin.com/learning/digital-marketing-trends?trk=ondemandfile" xr:uid="{00000000-0004-0000-1000-00007F000000}"/>
    <hyperlink ref="I27" r:id="rId129" display="https://www.linkedin.com/learning/les-fondements-du-marketing-etablir-une-proposition-de-valeur?trk=contentmappingfile" xr:uid="{00000000-0004-0000-1000-000080000000}"/>
    <hyperlink ref="N27" r:id="rId130" display="https://www.linkedin.com/learning/fundamentos-del-marketing?trk=ondemandfile" xr:uid="{00000000-0004-0000-1000-000081000000}"/>
    <hyperlink ref="S27" r:id="rId131" display="https://www.linkedin.com/learning/00-gruppenrichtlinien?trk=ondemandfile" xr:uid="{00000000-0004-0000-1000-000082000000}"/>
    <hyperlink ref="D28" r:id="rId132" display="https://www.linkedin.com/learning/growth-hacking-foundations?trk=ondemandfile" xr:uid="{00000000-0004-0000-1000-000083000000}"/>
    <hyperlink ref="N28" r:id="rId133" display="https://www.linkedin.com/learning/fundamentos-del-marketing-digital-mobile-marketing?trk=ondemandfile" xr:uid="{00000000-0004-0000-1000-000084000000}"/>
    <hyperlink ref="S28" r:id="rId134" display="https://www.linkedin.com/learning/google-universal-analytics-grundkurs-1-planen-implementieren-verwalten?trk=contentmappingfile" xr:uid="{00000000-0004-0000-1000-000085000000}"/>
    <hyperlink ref="D29" r:id="rId135" display="https://www.linkedin.com/learning/lifecycle-marketing-foundations?trk=ondemandfile" xr:uid="{00000000-0004-0000-1000-000086000000}"/>
    <hyperlink ref="N29" r:id="rId136" display="https://www.linkedin.com/learning/content-marketing-fundamentals-2?trk=ondemandfile" xr:uid="{00000000-0004-0000-1000-000087000000}"/>
    <hyperlink ref="S29" r:id="rId137" display="https://www.linkedin.com/learning/google-universal-analytics-grundkurs-2-bericht-erkenntnis-handlung?trk=contentmappingfile" xr:uid="{00000000-0004-0000-1000-000088000000}"/>
    <hyperlink ref="D30" r:id="rId138" display="https://www.linkedin.com/learning/marketing-your-side-hustle?trk=ondemandfile" xr:uid="{00000000-0004-0000-1000-000089000000}"/>
    <hyperlink ref="I30" r:id="rId139" display="https://www.linkedin.com/learning/les-fondements-du-marketing-le-comportement-des-utilisateurs-utilisatrices?trk=contentmappingfile" xr:uid="{00000000-0004-0000-1000-00008A000000}"/>
    <hyperlink ref="N30" r:id="rId140" display="https://www.linkedin.com/learning/fundamentos-del-display-marketing?trk=ondemandfile" xr:uid="{00000000-0004-0000-1000-00008B000000}"/>
    <hyperlink ref="S30" r:id="rId141" display="https://www.linkedin.com/learning/growth-hacking-grundlagen?trk=ondemandfile" xr:uid="{00000000-0004-0000-1000-00008C000000}"/>
    <hyperlink ref="D31" r:id="rId142" display="https://www.linkedin.com/learning/marketing-tips-2?trk=ondemandfile" xr:uid="{00000000-0004-0000-1000-00008D000000}"/>
    <hyperlink ref="N31" r:id="rId143" display="https://www.linkedin.com/learning/fundamentos-del-email-marketing?trk=ondemandfile" xr:uid="{00000000-0004-0000-1000-00008E000000}"/>
    <hyperlink ref="S31" r:id="rId144" display="https://www.linkedin.com/learning/human-branding-ihre-personliche-marke-entwickeln?trk=contentmappingfile" xr:uid="{00000000-0004-0000-1000-00008F000000}"/>
    <hyperlink ref="D32" r:id="rId145" display="https://www.linkedin.com/learning/marketing-to-humans?trk=ondemandfile" xr:uid="{00000000-0004-0000-1000-000090000000}"/>
    <hyperlink ref="N32" r:id="rId146" display="https://www.linkedin.com/learning/fundamentos-del-marketing-online-search-marketing?trk=ondemandfile" xr:uid="{00000000-0004-0000-1000-000091000000}"/>
    <hyperlink ref="S32" r:id="rId147" display="https://www.linkedin.com/learning/ihr-optimales-linkedin-unternehmensprofil?trk=ondemandfile" xr:uid="{00000000-0004-0000-1000-000092000000}"/>
    <hyperlink ref="D33" r:id="rId148" display="https://www.linkedin.com/learning/marketing-on-linkedin-the-sophisticated-marketer-s-guide?trk=ondemandfile" xr:uid="{00000000-0004-0000-1000-000093000000}"/>
    <hyperlink ref="N33" r:id="rId149" display="https://www.linkedin.com/learning/fundamentos-del-growth-hacking?trk=ondemandfile" xr:uid="{00000000-0004-0000-1000-000094000000}"/>
    <hyperlink ref="S33" r:id="rId150" display="https://www.linkedin.com/learning/ihre-kompetenz-sichtbar-machen?trk=ondemandfile" xr:uid="{00000000-0004-0000-1000-000095000000}"/>
    <hyperlink ref="D34" r:id="rId151" display="https://www.linkedin.com/learning/building-a-creative-online-community?trk=ondemandfile" xr:uid="{00000000-0004-0000-1000-000096000000}"/>
    <hyperlink ref="N34" r:id="rId152" display="https://www.linkedin.com/learning/fundamentos-del-marketing-internacional?trk=ondemandfile" xr:uid="{00000000-0004-0000-1000-000097000000}"/>
    <hyperlink ref="S34" r:id="rId153" display="https://www.linkedin.com/learning/indesign-cloudpublishing?trk=ondemandfile" xr:uid="{00000000-0004-0000-1000-000098000000}"/>
    <hyperlink ref="D35" r:id="rId154" display="https://www.linkedin.com/learning/social-media-video-for-business-and-marketing?trk=ondemandfile" xr:uid="{00000000-0004-0000-1000-000099000000}"/>
    <hyperlink ref="N35" r:id="rId155" display="https://www.linkedin.com/learning/google-ads-avanzado?trk=ondemandfile" xr:uid="{00000000-0004-0000-1000-00009A000000}"/>
    <hyperlink ref="S35" r:id="rId156" display="https://www.linkedin.com/learning/influencer-marketing-grundlagen-2?trk=ondemandfile" xr:uid="{00000000-0004-0000-1000-00009B000000}"/>
    <hyperlink ref="D36" r:id="rId157" display="https://www.linkedin.com/learning/creating-marketing-objectives?trk=ondemandfile" xr:uid="{00000000-0004-0000-1000-00009C000000}"/>
    <hyperlink ref="N36" r:id="rId158" display="https://www.linkedin.com/learning/google-ads-creacion-de-campana?trk=ondemandfile" xr:uid="{00000000-0004-0000-1000-00009D000000}"/>
    <hyperlink ref="S36" r:id="rId159" display="https://www.linkedin.com/learning/instagram-f-r-kreative?trk=ondemandfile" xr:uid="{00000000-0004-0000-1000-00009E000000}"/>
    <hyperlink ref="D37" r:id="rId160" display="https://www.linkedin.com/learning/determining-market-size-for-your-product-or-service?trk=ondemandfile" xr:uid="{00000000-0004-0000-1000-00009F000000}"/>
    <hyperlink ref="N37" r:id="rId161" display="https://www.linkedin.com/learning/creaci-n-de-campa-as-con-google-adwords?trk=ondemandfile" xr:uid="{00000000-0004-0000-1000-0000A0000000}"/>
    <hyperlink ref="S37" r:id="rId162" display="https://www.linkedin.com/learning/instagram-kennenlernen?trk=ondemandfile" xr:uid="{00000000-0004-0000-1000-0000A1000000}"/>
    <hyperlink ref="D38" r:id="rId163" display="https://www.linkedin.com/learning/social-media-marketing-tips?trk=ondemandfile" xr:uid="{00000000-0004-0000-1000-0000A2000000}"/>
    <hyperlink ref="N38" r:id="rId164" display="https://www.linkedin.com/learning/google-analytics-esencial-2?trk=ondemandfile" xr:uid="{00000000-0004-0000-1000-0000A3000000}"/>
    <hyperlink ref="S38" r:id="rId165" display="https://www.linkedin.com/learning/internationales-marketing-grundlagen?trk=ondemandfile" xr:uid="{00000000-0004-0000-1000-0000A4000000}"/>
    <hyperlink ref="D39" r:id="rId166" display="https://www.linkedin.com/learning/marketing-foundations-automation?trk=ondemandfile" xr:uid="{00000000-0004-0000-1000-0000A5000000}"/>
    <hyperlink ref="I39" r:id="rId167" display="https://www.linkedin.com/learning/les-outils-du-marketing-digital?trk=contentmappingfile" xr:uid="{00000000-0004-0000-1000-0000A6000000}"/>
    <hyperlink ref="N39" r:id="rId168" display="https://www.linkedin.com/learning/introduccion-al-marketing-digital-en-tiempos-de-crisis?trk=ondemandfile" xr:uid="{00000000-0004-0000-1000-0000A7000000}"/>
    <hyperlink ref="S39" r:id="rId169" display="https://www.linkedin.com/learning/kreative-methoden-fur-marketing-kampagnen?trk=ondemandfile" xr:uid="{00000000-0004-0000-1000-0000A8000000}"/>
    <hyperlink ref="D40" r:id="rId170" display="https://www.linkedin.com/learning/content-marketing-newsletters-2?trk=ondemandfile" xr:uid="{00000000-0004-0000-1000-0000A9000000}"/>
    <hyperlink ref="N40" r:id="rId171" display="https://www.linkedin.com/learning/comunicados-de-marketing?trk=ondemandfile" xr:uid="{00000000-0004-0000-1000-0000AA000000}"/>
    <hyperlink ref="S40" r:id="rId172" display="https://www.linkedin.com/learning/kundenkommunikation-mit-whatsapp-business?trk=ondemandfile" xr:uid="{00000000-0004-0000-1000-0000AB000000}"/>
    <hyperlink ref="D41" r:id="rId173" display="https://www.linkedin.com/learning/identifying-your-target-market?trk=ondemandfile" xr:uid="{00000000-0004-0000-1000-0000AC000000}"/>
    <hyperlink ref="N41" r:id="rId174" display="https://www.linkedin.com/learning/la-venta-persuasiva?trk=ondemandfile" xr:uid="{00000000-0004-0000-1000-0000AD000000}"/>
    <hyperlink ref="S41" r:id="rId175" display="https://www.linkedin.com/learning/lean-digital-marketing?trk=ondemandfile" xr:uid="{00000000-0004-0000-1000-0000AE000000}"/>
    <hyperlink ref="D42" r:id="rId176" display="https://www.linkedin.com/learning/market-research-foundations?trk=ondemandfile" xr:uid="{00000000-0004-0000-1000-0000AF000000}"/>
    <hyperlink ref="N42" r:id="rId177" display="https://www.linkedin.com/learning/linkedin-ads-creacion-de-campanas?trk=ondemandfile" xr:uid="{00000000-0004-0000-1000-0000B0000000}"/>
    <hyperlink ref="S42" r:id="rId178" display="https://www.linkedin.com/learning/00-linkedin-sponsored-content?trk=ondemandfile" xr:uid="{00000000-0004-0000-1000-0000B1000000}"/>
    <hyperlink ref="D43" r:id="rId179" display="https://www.linkedin.com/learning/marketing-foundations-2?trk=ondemandfile" xr:uid="{00000000-0004-0000-1000-0000B2000000}"/>
    <hyperlink ref="N43" r:id="rId180" display="https://www.linkedin.com/learning/linkedin-para-empresas-2?trk=ondemandfile" xr:uid="{00000000-0004-0000-1000-0000B3000000}"/>
    <hyperlink ref="S43" r:id="rId181" display="https://www.linkedin.com/learning/00-linkedin-sponsored-im?trk=ondemandfile" xr:uid="{00000000-0004-0000-1000-0000B4000000}"/>
    <hyperlink ref="D44" r:id="rId182" display="https://www.linkedin.com/learning/build-an-ecommerce-website-using-shopify?trk=ondemandfile" xr:uid="{00000000-0004-0000-1000-0000B5000000}"/>
    <hyperlink ref="N44" r:id="rId183" display="https://www.linkedin.com/learning/linkedin-para-social-selling?trk=ondemandfile" xr:uid="{00000000-0004-0000-1000-0000B6000000}"/>
    <hyperlink ref="S44" r:id="rId184" display="https://www.linkedin.com/learning/e4277b1c-0557-3f48-bfb5-6e8130d302fa?trk=ondemandfile" xr:uid="{00000000-0004-0000-1000-0000B7000000}"/>
    <hyperlink ref="D45" r:id="rId185" display="https://www.linkedin.com/learning/marketing-and-monetizing-on-youtube-2019?trk=ondemandfile" xr:uid="{00000000-0004-0000-1000-0000B8000000}"/>
    <hyperlink ref="N45" r:id="rId186" display="https://www.linkedin.com/learning/linkedin-para-ventas-2?trk=ondemandfile" xr:uid="{00000000-0004-0000-1000-0000B9000000}"/>
    <hyperlink ref="S45" r:id="rId187" display="https://www.linkedin.com/learning/marketing-automation-grundlagen?trk=contentmappingfile" xr:uid="{00000000-0004-0000-1000-0000BA000000}"/>
    <hyperlink ref="D46" r:id="rId188" display="https://www.linkedin.com/learning/content-marketing-foundations-2020?trk=ondemandfile" xr:uid="{00000000-0004-0000-1000-0000BB000000}"/>
    <hyperlink ref="N46" r:id="rId189" display="https://www.linkedin.com/learning/00-marketing-digital-avanzado-resolucion-de-problemas?trk=ondemandfile" xr:uid="{00000000-0004-0000-1000-0000BC000000}"/>
    <hyperlink ref="S46" r:id="rId190" display="https://www.linkedin.com/learning/marketing-in-zeiten-der-veranderung?trk=ondemandfile" xr:uid="{00000000-0004-0000-1000-0000BD000000}"/>
    <hyperlink ref="D47" r:id="rId191" display="https://www.linkedin.com/learning/learning-google-adsense-2?trk=ondemandfile" xr:uid="{00000000-0004-0000-1000-0000BE000000}"/>
    <hyperlink ref="N47" r:id="rId192" display="https://www.linkedin.com/learning/00-social-media-roi?trk=ondemandfile" xr:uid="{00000000-0004-0000-1000-0000BF000000}"/>
    <hyperlink ref="S47" r:id="rId193" display="https://www.linkedin.com/learning/00-facebook-marketing?trk=ondemandfile" xr:uid="{00000000-0004-0000-1000-0000C0000000}"/>
    <hyperlink ref="D48" r:id="rId194" display="https://www.linkedin.com/learning/advertising-on-twitter-2020?trk=ondemandfile" xr:uid="{00000000-0004-0000-1000-0000C1000000}"/>
    <hyperlink ref="N48" r:id="rId195" display="https://www.linkedin.com/learning/00-marketing-online-automatizacion-de-procesos?trk=ondemandfile" xr:uid="{00000000-0004-0000-1000-0000C2000000}"/>
    <hyperlink ref="S48" r:id="rId196" display="https://www.linkedin.com/learning/marketing-mit-facebook-werbeanzeigenmanager?trk=ondemandfile" xr:uid="{00000000-0004-0000-1000-0000C3000000}"/>
    <hyperlink ref="D49" r:id="rId197" display="https://www.linkedin.com/learning/social-media-marketing-foundations-20-20?trk=ondemandfile" xr:uid="{00000000-0004-0000-1000-0000C4000000}"/>
    <hyperlink ref="N49" r:id="rId198" display="https://www.linkedin.com/learning/conversion-rate-optimization?trk=ondemandfile" xr:uid="{00000000-0004-0000-1000-0000C5000000}"/>
    <hyperlink ref="S49" r:id="rId199" display="https://www.linkedin.com/learning/marketing-mit-instagram-2?trk=ondemandfile" xr:uid="{00000000-0004-0000-1000-0000C6000000}"/>
    <hyperlink ref="D50" r:id="rId200" display="https://www.linkedin.com/learning/branding-foundations-2?trk=ondemandfile" xr:uid="{00000000-0004-0000-1000-0000C7000000}"/>
    <hyperlink ref="N50" r:id="rId201" display="https://www.linkedin.com/learning/marketing-online-creacion-de-un-calendario-editorial?trk=ondemandfile" xr:uid="{00000000-0004-0000-1000-0000C8000000}"/>
    <hyperlink ref="S50" r:id="rId202" display="https://www.linkedin.com/learning/marketing-mit-kleinem-budget?trk=ondemandfile" xr:uid="{00000000-0004-0000-1000-0000C9000000}"/>
    <hyperlink ref="D51" r:id="rId203" display="https://www.linkedin.com/learning/marketing-to-generation-z?trk=ondemandfile" xr:uid="{00000000-0004-0000-1000-0000CA000000}"/>
    <hyperlink ref="I51" r:id="rId204" display="https://www.linkedin.com/learning/mettre-en-place-une-strategie-de-marketing-digital-en-b2b?trk=contentmappingfile" xr:uid="{00000000-0004-0000-1000-0000CB000000}"/>
    <hyperlink ref="N51" r:id="rId205" display="https://www.linkedin.com/learning/00-building-an-integrated-online-marketing-plan?trk=ondemandfile" xr:uid="{00000000-0004-0000-1000-0000CC000000}"/>
    <hyperlink ref="S51" r:id="rId206" display="https://www.linkedin.com/learning/marketing-mit-snapchat?trk=ondemandfile" xr:uid="{00000000-0004-0000-1000-0000CD000000}"/>
    <hyperlink ref="D52" r:id="rId207" display="https://www.linkedin.com/learning/marketing-tools-digital-marketing-2?trk=ondemandfile" xr:uid="{00000000-0004-0000-1000-0000CE000000}"/>
    <hyperlink ref="N52" r:id="rId208" display="https://www.linkedin.com/learning/marketing-online-herramientas-de-optimizacion?trk=ondemandfile" xr:uid="{00000000-0004-0000-1000-0000CF000000}"/>
    <hyperlink ref="S52" r:id="rId209" display="https://www.linkedin.com/learning/marketing-mit-social-media-stories?trk=ondemandfile" xr:uid="{00000000-0004-0000-1000-0000D0000000}"/>
    <hyperlink ref="D53" r:id="rId210" display="https://www.linkedin.com/learning/content-marketing-for-social-media?trk=ondemandfile" xr:uid="{00000000-0004-0000-1000-0000D1000000}"/>
    <hyperlink ref="N53" r:id="rId211" display="https://www.linkedin.com/learning/fundamentos-del-marketing-para-peque-as-empresas?trk=ondemandfile" xr:uid="{00000000-0004-0000-1000-0000D2000000}"/>
    <hyperlink ref="S53" r:id="rId212" display="https://www.linkedin.com/learning/00-marketing-mit-twitter?trk=ondemandfile" xr:uid="{00000000-0004-0000-1000-0000D3000000}"/>
    <hyperlink ref="D54" r:id="rId213" display="https://www.linkedin.com/learning/introduction-to-social-media-strategy?trk=ondemandfile" xr:uid="{00000000-0004-0000-1000-0000D4000000}"/>
    <hyperlink ref="N54" r:id="rId214" display="https://www.linkedin.com/learning/redacta-tu-plan-de-marketing?trk=ondemandfile" xr:uid="{00000000-0004-0000-1000-0000D5000000}"/>
    <hyperlink ref="S54" r:id="rId215" display="https://www.linkedin.com/learning/marketing-strategien-das-online-marketing-cockpit?trk=ondemandfile" xr:uid="{00000000-0004-0000-1000-0000D6000000}"/>
    <hyperlink ref="D55" r:id="rId216" display="https://www.linkedin.com/learning/small-business-marketing?trk=ondemandfile" xr:uid="{00000000-0004-0000-1000-0000D7000000}"/>
    <hyperlink ref="N55" r:id="rId217" display="https://www.linkedin.com/learning/00-local-seo?trk=ondemandfile" xr:uid="{00000000-0004-0000-1000-0000D8000000}"/>
    <hyperlink ref="S55" r:id="rId218" display="https://www.linkedin.com/learning/aufmerksamkeit-im-verkauf?trk=ondemandfile" xr:uid="{00000000-0004-0000-1000-0000D9000000}"/>
    <hyperlink ref="D56" r:id="rId219" display="https://www.linkedin.com/learning/marketing-analytics-setting-and-measuring-kpis-2?trk=ondemandfile" xr:uid="{00000000-0004-0000-1000-0000DA000000}"/>
    <hyperlink ref="N56" r:id="rId220" display="https://www.linkedin.com/learning/lunes-de-marketing-digital-trucos-con-guillermo-pareja-y-nico-roddz?trk=ondemandfile" xr:uid="{00000000-0004-0000-1000-0000DB000000}"/>
    <hyperlink ref="S56" r:id="rId221" display="https://www.linkedin.com/learning/00-rechte-in-sozialen-netzwerken?trk=ondemandfile" xr:uid="{00000000-0004-0000-1000-0000DC000000}"/>
    <hyperlink ref="D57" r:id="rId222" display="https://www.linkedin.com/learning/building-a-winning-enterprise-marketing-strategy?trk=ondemandfile" xr:uid="{00000000-0004-0000-1000-0000DD000000}"/>
    <hyperlink ref="N57" r:id="rId223" display="https://www.linkedin.com/learning/00-wordpress-seo?trk=ondemandfile" xr:uid="{00000000-0004-0000-1000-0000DE000000}"/>
    <hyperlink ref="S57" r:id="rId224" display="https://www.linkedin.com/learning/2b71e442-7a58-300a-a24a-0fc99cb52cff?trk=ondemandfile" xr:uid="{00000000-0004-0000-1000-0000DF000000}"/>
    <hyperlink ref="D58" r:id="rId225" display="https://www.linkedin.com/learning/marketing-foundations-consumer-behavior?trk=ondemandfile" xr:uid="{00000000-0004-0000-1000-0000E0000000}"/>
    <hyperlink ref="N58" r:id="rId226" display="https://www.linkedin.com/learning/00-como-anunciarse-en-youtube?trk=ondemandfile" xr:uid="{00000000-0004-0000-1000-0000E1000000}"/>
    <hyperlink ref="S58" r:id="rId227" display="https://www.linkedin.com/learning/personal-branding-mit-linkedin?trk=ondemandfile" xr:uid="{00000000-0004-0000-1000-0000E2000000}"/>
    <hyperlink ref="D59" r:id="rId228" display="https://www.linkedin.com/learning/creating-and-managing-a-youtube-channel-2?trk=ondemandfile" xr:uid="{00000000-0004-0000-1000-0000E3000000}"/>
    <hyperlink ref="S59" r:id="rId229" display="https://www.linkedin.com/learning/photoshop-fur-pr-und-interne-externe-kommunikation?trk=ondemandfile" xr:uid="{00000000-0004-0000-1000-0000E4000000}"/>
    <hyperlink ref="D60" r:id="rId230" display="https://www.linkedin.com/learning/business-analytics-marketing-data?trk=ondemandfile" xr:uid="{00000000-0004-0000-1000-0000E5000000}"/>
    <hyperlink ref="S60" r:id="rId231" display="https://www.linkedin.com/learning/photoshop-fur-social-media?trk=ondemandfile" xr:uid="{00000000-0004-0000-1000-0000E6000000}"/>
    <hyperlink ref="D61" r:id="rId232" display="https://www.linkedin.com/learning/creating-an-editorial-calendar-2?trk=ondemandfile" xr:uid="{00000000-0004-0000-1000-0000E7000000}"/>
    <hyperlink ref="S61" r:id="rId233" display="https://www.linkedin.com/learning/00-recht-fur-blogger?trk=ondemandfile" xr:uid="{00000000-0004-0000-1000-0000E8000000}"/>
    <hyperlink ref="D62" r:id="rId234" display="https://www.linkedin.com/learning/affiliate-marketing-foundations?trk=ondemandfile" xr:uid="{00000000-0004-0000-1000-0000E9000000}"/>
    <hyperlink ref="S62" r:id="rId235" display="https://www.linkedin.com/learning/rechtsgrundlagen-e-mail-marketing?trk=ondemandfile" xr:uid="{00000000-0004-0000-1000-0000EA000000}"/>
    <hyperlink ref="D63" r:id="rId236" display="https://www.linkedin.com/learning/programmatic-advertising-foundations?trk=ondemandfile" xr:uid="{00000000-0004-0000-1000-0000EB000000}"/>
    <hyperlink ref="S63" r:id="rId237" display="https://www.linkedin.com/learning/rechtsgrundlagen-online-impressum?trk=ondemandfile" xr:uid="{00000000-0004-0000-1000-0000EC000000}"/>
    <hyperlink ref="D64" r:id="rId238" display="https://www.linkedin.com/learning/international-seo?trk=ondemandfile" xr:uid="{00000000-0004-0000-1000-0000ED000000}"/>
    <hyperlink ref="S64" r:id="rId239" display="https://www.linkedin.com/learning/cfe008b7-d082-30e4-bd6f-2101e2a43335?trk=ondemandfile" xr:uid="{00000000-0004-0000-1000-0000EE000000}"/>
    <hyperlink ref="D65" r:id="rId240" display="https://www.linkedin.com/learning/marketing-customer-segmentation?trk=ondemandfile" xr:uid="{00000000-0004-0000-1000-0000EF000000}"/>
    <hyperlink ref="S65" r:id="rId241" display="https://www.linkedin.com/learning/bildgestaltung2?trk=ondemandfile" xr:uid="{00000000-0004-0000-1000-0000F0000000}"/>
    <hyperlink ref="D66" r:id="rId242" display="https://www.linkedin.com/learning/marketing-on-facebook?trk=ondemandfile" xr:uid="{00000000-0004-0000-1000-0000F1000000}"/>
    <hyperlink ref="S66" r:id="rId243" display="https://www.linkedin.com/learning/seo-f-r-wordpress?trk=ondemandfile" xr:uid="{00000000-0004-0000-1000-0000F2000000}"/>
    <hyperlink ref="D67" r:id="rId244" display="https://www.linkedin.com/learning/direct-mail-marketing?trk=ondemandfile" xr:uid="{00000000-0004-0000-1000-0000F3000000}"/>
    <hyperlink ref="S67" r:id="rId245" display="https://www.linkedin.com/learning/seo-international-ausgerichtete-suchmaschinenoptimierung?trk=ondemandfile" xr:uid="{00000000-0004-0000-1000-0000F4000000}"/>
    <hyperlink ref="D68" r:id="rId246" display="https://www.linkedin.com/learning/developing-a-youtube-strategy?trk=ondemandfile" xr:uid="{00000000-0004-0000-1000-0000F5000000}"/>
    <hyperlink ref="S68" r:id="rId247" display="https://www.linkedin.com/learning/dcbad499-077d-3987-bdc0-44221ebfe75f?trk=ondemandfile" xr:uid="{00000000-0004-0000-1000-0000F6000000}"/>
    <hyperlink ref="D69" r:id="rId248" display="https://www.linkedin.com/learning/designing-an-authentic-brand?trk=ondemandfile" xr:uid="{00000000-0004-0000-1000-0000F7000000}"/>
    <hyperlink ref="S69" r:id="rId249" display="https://www.linkedin.com/learning/seo-optimierung-fur-sprachbasierte-suche?trk=ondemandfile" xr:uid="{00000000-0004-0000-1000-0000F8000000}"/>
    <hyperlink ref="D70" r:id="rId250" display="https://www.linkedin.com/learning/marketing-on-twitter?trk=ondemandfile" xr:uid="{00000000-0004-0000-1000-0000F9000000}"/>
    <hyperlink ref="S70" r:id="rId251" display="https://www.linkedin.com/learning/seo-praktische-tipps-fur-online-marketing-manager-innen?trk=contentmappingfile" xr:uid="{00000000-0004-0000-1000-0000FA000000}"/>
    <hyperlink ref="D71" r:id="rId252" display="https://www.linkedin.com/learning/international-marketing-foundations?trk=ondemandfile" xr:uid="{00000000-0004-0000-1000-0000FB000000}"/>
    <hyperlink ref="S71" r:id="rId253" display="https://www.linkedin.com/learning/e30c15ea-0ed6-3d79-b62c-b901d96bf19b?trk=ondemandfile" xr:uid="{00000000-0004-0000-1000-0000FC000000}"/>
    <hyperlink ref="D72" r:id="rId254" display="https://www.linkedin.com/learning/learning-logo-design?trk=ondemandfile" xr:uid="{00000000-0004-0000-1000-0000FD000000}"/>
    <hyperlink ref="S72" r:id="rId255" display="https://www.linkedin.com/learning/seo-gerechte-texte?trk=ondemandfile" xr:uid="{00000000-0004-0000-1000-0000FE000000}"/>
    <hyperlink ref="D73" r:id="rId256" display="https://www.linkedin.com/learning/marketing-virtual-events?trk=ondemandfile" xr:uid="{00000000-0004-0000-1000-0000FF000000}"/>
    <hyperlink ref="S73" r:id="rId257" display="https://www.linkedin.com/learning/seo-strategien-das-seo-cockpit?trk=ondemandfile" xr:uid="{00000000-0004-0000-1000-000000010000}"/>
    <hyperlink ref="D74" r:id="rId258" display="https://www.linkedin.com/learning/the-22-immutable-laws-of-branding-blinkist-summary?trk=ondemandfile" xr:uid="{00000000-0004-0000-1000-000001010000}"/>
    <hyperlink ref="S74" r:id="rId259" display="https://www.linkedin.com/learning/snapchat-f-r-kreative?trk=ondemandfile" xr:uid="{00000000-0004-0000-1000-000002010000}"/>
    <hyperlink ref="D75" r:id="rId260" display="https://www.linkedin.com/learning/how-to-build-a-following-online?trk=ondemandfile" xr:uid="{00000000-0004-0000-1000-000003010000}"/>
    <hyperlink ref="S75" r:id="rId261" display="https://www.linkedin.com/learning/social-commerce-e-commerce-mit-social-media-kennenlernen?trk=ondemandfile" xr:uid="{00000000-0004-0000-1000-000004010000}"/>
    <hyperlink ref="D76" r:id="rId262" display="https://www.linkedin.com/learning/marketing-tools-social-media-13951096?trk=ondemandfile" xr:uid="{00000000-0004-0000-1000-000005010000}"/>
    <hyperlink ref="S76" r:id="rId263" display="https://www.linkedin.com/learning/business-perspektive-social-media?trk=ondemandfile" xr:uid="{00000000-0004-0000-1000-000006010000}"/>
    <hyperlink ref="D77" r:id="rId264" display="https://www.linkedin.com/learning/learning-local-seo?trk=ondemandfile" xr:uid="{00000000-0004-0000-1000-000007010000}"/>
    <hyperlink ref="S77" r:id="rId265" display="https://www.linkedin.com/learning/social-media-marketing-grundlagen-2?trk=ondemandfile" xr:uid="{00000000-0004-0000-1000-000008010000}"/>
    <hyperlink ref="D78" r:id="rId266" display="https://www.linkedin.com/learning/learning-instagram-2021?trk=ondemandfile" xr:uid="{00000000-0004-0000-1000-000009010000}"/>
    <hyperlink ref="S78" r:id="rId267" display="https://www.linkedin.com/learning/social-media-marketing-grundlagen-netzwerke-tools-tipps-und-tricks?trk=ondemandfile" xr:uid="{00000000-0004-0000-1000-00000A010000}"/>
    <hyperlink ref="D79" r:id="rId268" display="https://www.linkedin.com/learning/jump-start-your-linkedin-live-channel?trk=ondemandfile" xr:uid="{00000000-0004-0000-1000-00000B010000}"/>
    <hyperlink ref="S79" r:id="rId269" display="https://www.linkedin.com/learning/storytelling?trk=ondemandfile" xr:uid="{00000000-0004-0000-1000-00000C010000}"/>
    <hyperlink ref="D80" r:id="rId270" display="https://www.linkedin.com/learning/marketing-messaging-with-purpose?trk=ondemandfile" xr:uid="{00000000-0004-0000-1000-00000D010000}"/>
    <hyperlink ref="S80" r:id="rId271" display="https://www.linkedin.com/learning/eine-unternehmensstrategie-entwickeln?trk=ondemandfile" xr:uid="{00000000-0004-0000-1000-00000E010000}"/>
    <hyperlink ref="D81" r:id="rId272" display="https://www.linkedin.com/learning/getting-started-with-facebook-shop-for-creators?trk=ondemandfile" xr:uid="{00000000-0004-0000-1000-00000F010000}"/>
    <hyperlink ref="S81" r:id="rId273" display="https://www.linkedin.com/learning/tiktok-fur-unternehmen-und-start-ups?trk=contentmappingfile" xr:uid="{00000000-0004-0000-1000-000010010000}"/>
    <hyperlink ref="D82" r:id="rId274" display="https://www.linkedin.com/learning/building-and-engaging-with-your-online-following-for-creators?trk=ondemandfile" xr:uid="{00000000-0004-0000-1000-000011010000}"/>
    <hyperlink ref="S82" r:id="rId275" display="https://www.linkedin.com/learning/twitter-marketing-anzeigen-und-werbe-kampagnen?trk=ondemandfile" xr:uid="{00000000-0004-0000-1000-000012010000}"/>
    <hyperlink ref="D83" r:id="rId276" display="https://www.linkedin.com/learning/advertising-on-instagram-14314447?trk=ondemandfile" xr:uid="{00000000-0004-0000-1000-000013010000}"/>
    <hyperlink ref="S83" r:id="rId277" display="https://www.linkedin.com/learning/vermarktung-und-pr-sentation-f-r-fotografen?trk=ondemandfile" xr:uid="{00000000-0004-0000-1000-000014010000}"/>
    <hyperlink ref="D84" r:id="rId278" display="https://www.linkedin.com/learning/marketing-tools-automation-14268255?trk=ondemandfile" xr:uid="{00000000-0004-0000-1000-000015010000}"/>
    <hyperlink ref="S84" r:id="rId279" display="https://www.linkedin.com/learning/video-seo-mit-youtube?trk=ondemandfile" xr:uid="{00000000-0004-0000-1000-000016010000}"/>
    <hyperlink ref="D85" r:id="rId280" display="https://www.linkedin.com/learning/jump-start-your-twitch-channel?trk=ondemandfile" xr:uid="{00000000-0004-0000-1000-000017010000}"/>
    <hyperlink ref="S85" r:id="rId281" display="https://www.linkedin.com/learning/00-visuelles-storytelling?trk=ondemandfile" xr:uid="{00000000-0004-0000-1000-000018010000}"/>
    <hyperlink ref="D86" r:id="rId282" display="https://www.linkedin.com/learning/building-an-audience-on-instagram?trk=ondemandfile" xr:uid="{00000000-0004-0000-1000-000019010000}"/>
    <hyperlink ref="S86" r:id="rId283" display="https://www.linkedin.com/learning/growth-strategy?trk=ondemandfile" xr:uid="{00000000-0004-0000-1000-00001A010000}"/>
    <hyperlink ref="D87" r:id="rId284" display="https://www.linkedin.com/learning/making-money-with-branded-content?trk=ondemandfile" xr:uid="{00000000-0004-0000-1000-00001B010000}"/>
    <hyperlink ref="S87" r:id="rId285" display="https://www.linkedin.com/learning/website-konzeption-mit-storymap-und-kanban?trk=ondemandfile" xr:uid="{00000000-0004-0000-1000-00001C010000}"/>
    <hyperlink ref="D88" r:id="rId286" display="https://www.linkedin.com/learning/marketing-foundations-analytics?trk=ondemandfile" xr:uid="{00000000-0004-0000-1000-00001D010000}"/>
    <hyperlink ref="S88" r:id="rId287" display="https://www.linkedin.com/learning/werbung-auf-instagram?trk=ondemandfile" xr:uid="{00000000-0004-0000-1000-00001E010000}"/>
    <hyperlink ref="D89" r:id="rId288" display="https://www.linkedin.com/learning/diversity-and-inclusion-in-marketing-inclusive-language-for-marketers?trk=ondemandfile" xr:uid="{00000000-0004-0000-1000-00001F010000}"/>
    <hyperlink ref="S89" r:id="rId289" display="https://www.linkedin.com/learning/werbung-auf-linkedin-2?trk=ondemandfile" xr:uid="{00000000-0004-0000-1000-000020010000}"/>
    <hyperlink ref="D90" r:id="rId290" display="https://www.linkedin.com/learning/introduction-to-linkedin-creator-mode?trk=ondemandfile" xr:uid="{00000000-0004-0000-1000-000021010000}"/>
    <hyperlink ref="S90" r:id="rId291" display="https://www.linkedin.com/learning/blog-wordpress?trk=ondemandfile" xr:uid="{00000000-0004-0000-1000-000022010000}"/>
    <hyperlink ref="D91" r:id="rId292" display="https://www.linkedin.com/learning/advertising-on-facebook-14321583?trk=ondemandfile" xr:uid="{00000000-0004-0000-1000-000023010000}"/>
    <hyperlink ref="D92" r:id="rId293" display="https://www.linkedin.com/learning/content-marketing-online-reviews-in-social-media?trk=contentmappingfile" xr:uid="{00000000-0004-0000-1000-000024010000}"/>
    <hyperlink ref="D93" r:id="rId294" display="https://www.linkedin.com/learning/marketing-foundations-ecommerce-14401600?trk=contentmappingfile" xr:uid="{00000000-0004-0000-1000-000025010000}"/>
    <hyperlink ref="D94" r:id="rId295" display="https://www.linkedin.com/learning/the-habits-of-successful-marketers?trk=contentmappingfile" xr:uid="{00000000-0004-0000-1000-000026010000}"/>
    <hyperlink ref="D95" r:id="rId296" display="https://www.linkedin.com/learning/social-media-marketing-strategy-tiktok-and-instagram-reels?trk=contentmappingfile" xr:uid="{00000000-0004-0000-1000-000027010000}"/>
    <hyperlink ref="D96" r:id="rId297" display="https://www.linkedin.com/learning/social-media-for-working-professionals?trk=contentmappingfile" xr:uid="{00000000-0004-0000-1000-000028010000}"/>
    <hyperlink ref="D97" r:id="rId298" display="https://www.linkedin.com/learning/brand-design-foundations?trk=contentmappingfile" xr:uid="{00000000-0004-0000-1000-000029010000}"/>
    <hyperlink ref="D98" r:id="rId299" display="https://www.linkedin.com/learning/designing-for-business?trk=contentmappingfile" xr:uid="{00000000-0004-0000-1000-00002A010000}"/>
    <hyperlink ref="D99" r:id="rId300" display="https://www.linkedin.com/learning/creating-social-content-with-adobe-animate-cc?trk=ondemandfile" xr:uid="{00000000-0004-0000-1000-00002B010000}"/>
    <hyperlink ref="D100" r:id="rId301" display="https://www.linkedin.com/learning/social-media-for-video-pros?trk=ondemandfile" xr:uid="{00000000-0004-0000-1000-00002C010000}"/>
    <hyperlink ref="D101" r:id="rId302" display="https://www.linkedin.com/learning/social-media-marketing-for-small-business?trk=ondemandfile" xr:uid="{00000000-0004-0000-1000-00002D010000}"/>
    <hyperlink ref="D102" r:id="rId303" display="https://www.linkedin.com/learning/jonah-berger-on-viral-marketing?trk=ondemandfile" xr:uid="{00000000-0004-0000-1000-00002E010000}"/>
    <hyperlink ref="D103" r:id="rId304" display="https://www.linkedin.com/learning/seo-foundations?trk=ondemandfile" xr:uid="{00000000-0004-0000-1000-00002F010000}"/>
    <hyperlink ref="D104" r:id="rId305" display="https://www.linkedin.com/learning/introduction-to-content-marketing-2?trk=ondemandfile" xr:uid="{00000000-0004-0000-1000-000030010000}"/>
    <hyperlink ref="D105" r:id="rId306" display="https://www.linkedin.com/learning/marketing-during-a-crisis?trk=ondemandfile" xr:uid="{00000000-0004-0000-1000-000031010000}"/>
    <hyperlink ref="D106" r:id="rId307" display="https://www.linkedin.com/learning/disruptive-branding-blinkist-summary?trk=ondemandfile" xr:uid="{00000000-0004-0000-1000-000032010000}"/>
    <hyperlink ref="D107" r:id="rId308" display="https://www.linkedin.com/learning/artificial-intelligence-for-marketing?trk=ondemandfile" xr:uid="{00000000-0004-0000-1000-000033010000}"/>
    <hyperlink ref="D108" r:id="rId309" display="https://www.linkedin.com/learning/social-media-marketing-trends?trk=ondemandfile" xr:uid="{00000000-0004-0000-1000-000034010000}"/>
    <hyperlink ref="D109" r:id="rId310" display="https://www.linkedin.com/learning/b2b-marketing-foundations-positioning?trk=ondemandfile" xr:uid="{00000000-0004-0000-1000-000035010000}"/>
    <hyperlink ref="D110" r:id="rId311" display="https://www.linkedin.com/learning/social-crm-fundamentals?trk=ondemandfile" xr:uid="{00000000-0004-0000-1000-000036010000}"/>
    <hyperlink ref="D111" r:id="rId312" display="https://www.linkedin.com/learning/advertising-on-pinterest-2?trk=ondemandfile" xr:uid="{00000000-0004-0000-1000-000037010000}"/>
    <hyperlink ref="D112" r:id="rId313" display="https://www.linkedin.com/learning/social-media-monitoring-strategies-and-skills?trk=ondemandfile" xr:uid="{00000000-0004-0000-1000-000038010000}"/>
    <hyperlink ref="D113" r:id="rId314" display="https://www.linkedin.com/learning/content-marketing-roi?trk=ondemandfile" xr:uid="{00000000-0004-0000-1000-000039010000}"/>
    <hyperlink ref="D114" r:id="rId315" display="https://www.linkedin.com/learning/email-marketing-strategy-and-optimization?trk=ondemandfile" xr:uid="{00000000-0004-0000-1000-00003A010000}"/>
    <hyperlink ref="D115" r:id="rId316" display="https://www.linkedin.com/learning/advertising-on-youtube?trk=ondemandfile" xr:uid="{00000000-0004-0000-1000-00003B010000}"/>
    <hyperlink ref="D116" r:id="rId317" display="https://www.linkedin.com/learning/create-a-go-to-market-plan-2?trk=ondemandfile" xr:uid="{00000000-0004-0000-1000-00003C010000}"/>
    <hyperlink ref="D117" r:id="rId318" display="https://www.linkedin.com/learning/growth-hacking-tips-2?trk=ondemandfile" xr:uid="{00000000-0004-0000-1000-00003D010000}"/>
    <hyperlink ref="D118" r:id="rId319" display="https://www.linkedin.com/learning/improve-seo-for-your-ecommerce-site?trk=ondemandfile" xr:uid="{00000000-0004-0000-1000-00003E010000}"/>
    <hyperlink ref="D119" r:id="rId320" display="https://www.linkedin.com/learning/social-media-marketing-optimization-2?trk=ondemandfile" xr:uid="{00000000-0004-0000-1000-00003F010000}"/>
    <hyperlink ref="D120" r:id="rId321" display="https://www.linkedin.com/learning/seo-keyword-stra-tegy-2020?trk=ondemandfile" xr:uid="{00000000-0004-0000-1000-000040010000}"/>
    <hyperlink ref="D121" r:id="rId322" display="https://www.linkedin.com/learning/seo-videos-2020?trk=ondemandfile" xr:uid="{00000000-0004-0000-1000-000041010000}"/>
    <hyperlink ref="D122" r:id="rId323" display="https://www.linkedin.com/learning/aligning-sales-and-marketing?trk=ondemandfile" xr:uid="{00000000-0004-0000-1000-000042010000}"/>
    <hyperlink ref="D123" r:id="rId324" display="https://www.linkedin.com/learning/python-for-marketing?trk=ondemandfile" xr:uid="{00000000-0004-0000-1000-000043010000}"/>
    <hyperlink ref="D124" r:id="rId325" display="https://www.linkedin.com/learning/17-questions-to-help-improve-your-marketing?trk=ondemandfile" xr:uid="{00000000-0004-0000-1000-000044010000}"/>
    <hyperlink ref="D125" r:id="rId326" display="https://www.linkedin.com/learning/employer-branding-on-linkedin?trk=ondemandfile" xr:uid="{00000000-0004-0000-1000-000045010000}"/>
    <hyperlink ref="D126" r:id="rId327" display="https://www.linkedin.com/learning/become-a-marketing-entrepreneur?trk=ondemandfile" xr:uid="{00000000-0004-0000-1000-000046010000}"/>
    <hyperlink ref="D127" r:id="rId328" display="https://www.linkedin.com/learning/market-research-qualitative?trk=ondemandfile" xr:uid="{00000000-0004-0000-1000-000047010000}"/>
    <hyperlink ref="D128" r:id="rId329" display="https://www.linkedin.com/learning/social-selling-reaching-prospects?trk=ondemandfile" xr:uid="{00000000-0004-0000-1000-000048010000}"/>
    <hyperlink ref="D129" r:id="rId330" display="https://www.linkedin.com/learning/seo-ecommerce-strategies?trk=ondemandfile" xr:uid="{00000000-0004-0000-1000-000049010000}"/>
    <hyperlink ref="D130" r:id="rId331" display="https://www.linkedin.com/learning/remarketing-strategies-with-google-ads-and-analytics?trk=ondemandfile" xr:uid="{00000000-0004-0000-1000-00004A010000}"/>
    <hyperlink ref="D131" r:id="rId332" display="https://www.linkedin.com/learning/advanced-branding-facelift-q1-2021?trk=ondemandfile" xr:uid="{00000000-0004-0000-1000-00004B010000}"/>
    <hyperlink ref="D132" r:id="rId333" display="https://www.linkedin.com/learning/social-media-marketing-roi-2021?trk=ondemandfile" xr:uid="{00000000-0004-0000-1000-00004C010000}"/>
    <hyperlink ref="D133" r:id="rId334" display="https://www.linkedin.com/learning/consumer-behavior-trends-meet-the-postmodern-consumer?trk=ondemandfile" xr:uid="{00000000-0004-0000-1000-00004D010000}"/>
    <hyperlink ref="D134" r:id="rId335" display="https://www.linkedin.com/learning/marketing-copywriting-for-social-media?trk=ondemandfile" xr:uid="{00000000-0004-0000-1000-00004E010000}"/>
    <hyperlink ref="D135" r:id="rId336" display="https://www.linkedin.com/learning/ar-marketing-strategies?trk=ondemandfile" xr:uid="{00000000-0004-0000-1000-00004F010000}"/>
    <hyperlink ref="D136" r:id="rId337" display="https://www.linkedin.com/learning/lead-generation-multi-channel-ppc-strategy?trk=ondemandfile" xr:uid="{00000000-0004-0000-1000-000050010000}"/>
    <hyperlink ref="D137" r:id="rId338" display="https://www.linkedin.com/learning/marketing-attribution-and-mix-modeling?trk=ondemandfile" xr:uid="{00000000-0004-0000-1000-00005101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Click and enter a value from range 'Competency Titles'!A1:A27" xr:uid="{00000000-0002-0000-1000-000000000000}">
          <x14:formula1>
            <xm:f>#REF!</xm:f>
          </x14:formula1>
          <xm:sqref>B1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69138"/>
    <outlinePr summaryBelow="0" summaryRight="0"/>
  </sheetPr>
  <dimension ref="A1:AJ99"/>
  <sheetViews>
    <sheetView showGridLines="0" workbookViewId="0">
      <pane ySplit="3" topLeftCell="A4" activePane="bottomLeft" state="frozen"/>
      <selection pane="bottomLeft" sqref="A1:XFD1048576"/>
    </sheetView>
  </sheetViews>
  <sheetFormatPr baseColWidth="10" defaultColWidth="11.1640625" defaultRowHeight="15" customHeight="1"/>
  <cols>
    <col min="1" max="1" width="1.1640625" customWidth="1"/>
    <col min="2" max="2" width="11.1640625" customWidth="1"/>
    <col min="3" max="3" width="18.5" customWidth="1"/>
    <col min="4" max="5" width="44.5" customWidth="1"/>
    <col min="6" max="6" width="1.1640625" customWidth="1"/>
    <col min="7" max="7" width="11.1640625" customWidth="1"/>
    <col min="8" max="8" width="19.33203125" customWidth="1"/>
    <col min="9" max="10" width="44.5" customWidth="1"/>
    <col min="11" max="11" width="1.1640625" customWidth="1"/>
    <col min="12" max="12" width="11.1640625" customWidth="1"/>
    <col min="13" max="13" width="20.83203125" customWidth="1"/>
    <col min="14" max="15" width="44.5" customWidth="1"/>
    <col min="16" max="16" width="1.1640625" customWidth="1"/>
    <col min="17" max="17" width="11.1640625" customWidth="1"/>
    <col min="18" max="18" width="19.6640625" customWidth="1"/>
    <col min="19" max="20" width="44.5" customWidth="1"/>
    <col min="21" max="21" width="1.1640625" customWidth="1"/>
    <col min="23" max="23" width="18.6640625" customWidth="1"/>
    <col min="24" max="25" width="44.5" customWidth="1"/>
    <col min="26" max="26" width="1.1640625" customWidth="1"/>
    <col min="27" max="27" width="11.1640625" customWidth="1"/>
    <col min="28" max="28" width="26.6640625" customWidth="1"/>
    <col min="29" max="30" width="44.5" customWidth="1"/>
    <col min="31" max="31" width="1.1640625" customWidth="1"/>
    <col min="32" max="32" width="11.1640625" customWidth="1"/>
    <col min="33" max="33" width="21" customWidth="1"/>
    <col min="34" max="35" width="44.5" customWidth="1"/>
    <col min="36" max="36" width="1.1640625" customWidth="1"/>
  </cols>
  <sheetData>
    <row r="1" spans="1:36" ht="34.5" customHeight="1">
      <c r="A1" s="208"/>
      <c r="B1" s="230" t="s">
        <v>7</v>
      </c>
      <c r="C1" s="222"/>
      <c r="D1" s="222"/>
      <c r="E1" s="222"/>
      <c r="F1" s="208"/>
      <c r="G1" s="230" t="str">
        <f ca="1">IFERROR(__xludf.DUMMYFUNCTION("IFERROR(UNIQUE(FILTER(French!B:B,French!A:A=B1)))"),"Pensée créative et innovation")</f>
        <v>Pensée créative et innovation</v>
      </c>
      <c r="H1" s="222"/>
      <c r="I1" s="222"/>
      <c r="J1" s="222"/>
      <c r="K1" s="208"/>
      <c r="L1" s="230" t="str">
        <f ca="1">IFERROR(__xludf.DUMMYFUNCTION("IFERROR((UNIQUE(FILTER(Spanish!B:B,Spanish!A:A=B1))))"),"Pensamiento creativo e innovación")</f>
        <v>Pensamiento creativo e innovación</v>
      </c>
      <c r="M1" s="222"/>
      <c r="N1" s="222"/>
      <c r="O1" s="222"/>
      <c r="P1" s="208"/>
      <c r="Q1" s="230" t="str">
        <f ca="1">IFERROR(__xludf.DUMMYFUNCTION("IFERROR(UNIQUE(FILTER(German!B:B,German!A:A=B1)))"),"Kreatives Denken und Innovation")</f>
        <v>Kreatives Denken und Innovation</v>
      </c>
      <c r="R1" s="222"/>
      <c r="S1" s="222"/>
      <c r="T1" s="222"/>
      <c r="U1" s="208"/>
      <c r="V1" s="230" t="str">
        <f ca="1">IFERROR(__xludf.DUMMYFUNCTION("IFERROR(UNIQUE(FILTER(Japanese!B:B,Japanese!A:A=B1)))"),"創造的思考とイノベーション")</f>
        <v>創造的思考とイノベーション</v>
      </c>
      <c r="W1" s="222"/>
      <c r="X1" s="222"/>
      <c r="Y1" s="222"/>
      <c r="Z1" s="208"/>
      <c r="AA1" s="230" t="str">
        <f ca="1">IFERROR(__xludf.DUMMYFUNCTION("IFERROR(UNIQUE(FILTER(Portuguese!B:B,Portuguese!A:A=B1)))"),"Pensamento criativo e inovação")</f>
        <v>Pensamento criativo e inovação</v>
      </c>
      <c r="AB1" s="222"/>
      <c r="AC1" s="222"/>
      <c r="AD1" s="222"/>
      <c r="AE1" s="208"/>
      <c r="AF1" s="230" t="str">
        <f ca="1">IFERROR(__xludf.DUMMYFUNCTION("IFERROR(UNIQUE(FILTER(Mandarin!B:B,Mandarin!A:A=B1)))"),"创造性思维与创新")</f>
        <v>创造性思维与创新</v>
      </c>
      <c r="AG1" s="222"/>
      <c r="AH1" s="222"/>
      <c r="AI1" s="222"/>
      <c r="AJ1" s="208"/>
    </row>
    <row r="2" spans="1:36" ht="28" customHeight="1">
      <c r="A2" s="209"/>
      <c r="B2" s="234" t="s">
        <v>4713</v>
      </c>
      <c r="C2" s="222"/>
      <c r="D2" s="222"/>
      <c r="E2" s="222"/>
      <c r="F2" s="209"/>
      <c r="G2" s="231" t="s">
        <v>4714</v>
      </c>
      <c r="H2" s="222"/>
      <c r="I2" s="222"/>
      <c r="J2" s="222"/>
      <c r="K2" s="209"/>
      <c r="L2" s="235" t="s">
        <v>4715</v>
      </c>
      <c r="M2" s="222"/>
      <c r="N2" s="222"/>
      <c r="O2" s="222"/>
      <c r="P2" s="209"/>
      <c r="Q2" s="232" t="s">
        <v>4716</v>
      </c>
      <c r="R2" s="222"/>
      <c r="S2" s="222"/>
      <c r="T2" s="222"/>
      <c r="U2" s="209"/>
      <c r="V2" s="236" t="s">
        <v>4717</v>
      </c>
      <c r="W2" s="222"/>
      <c r="X2" s="222"/>
      <c r="Y2" s="222"/>
      <c r="Z2" s="209"/>
      <c r="AA2" s="233" t="s">
        <v>4718</v>
      </c>
      <c r="AB2" s="222"/>
      <c r="AC2" s="222"/>
      <c r="AD2" s="222"/>
      <c r="AE2" s="209"/>
      <c r="AF2" s="237" t="s">
        <v>4719</v>
      </c>
      <c r="AG2" s="222"/>
      <c r="AH2" s="222"/>
      <c r="AI2" s="222"/>
      <c r="AJ2" s="209"/>
    </row>
    <row r="3" spans="1:36" ht="26" customHeight="1">
      <c r="A3" s="210"/>
      <c r="B3" s="211" t="str">
        <f ca="1">IFERROR(__xludf.DUMMYFUNCTION("FILTER(English!B:B,English!A:A=B1)"),"Course IDs")</f>
        <v>Course IDs</v>
      </c>
      <c r="C3" s="211" t="str">
        <f ca="1">IFERROR(__xludf.DUMMYFUNCTION("FILTER(English!C:C,English!A:A=B1)"),"Levels")</f>
        <v>Levels</v>
      </c>
      <c r="D3" s="211" t="str">
        <f ca="1">IFERROR(__xludf.DUMMYFUNCTION("FILTER(English!D:D,English!A:A=B1)"),"Courses")</f>
        <v>Courses</v>
      </c>
      <c r="E3" s="212" t="str">
        <f ca="1">IFERROR(__xludf.DUMMYFUNCTION("FILTER(English!E:E,English!A:A=B1)"),"Learning Paths")</f>
        <v>Learning Paths</v>
      </c>
      <c r="F3" s="210"/>
      <c r="G3" s="211" t="str">
        <f ca="1">IFERROR(__xludf.DUMMYFUNCTION("FILTER(French!C:C,French!B:B=G1)"),"Course IDs")</f>
        <v>Course IDs</v>
      </c>
      <c r="H3" s="211" t="str">
        <f ca="1">IFERROR(__xludf.DUMMYFUNCTION("FILTER(French!D:D,French!B:B=G1)"),"Levels")</f>
        <v>Levels</v>
      </c>
      <c r="I3" s="211" t="str">
        <f ca="1">IFERROR(__xludf.DUMMYFUNCTION("FILTER(French!E:E,French!B:B=G1)"),"Courses")</f>
        <v>Courses</v>
      </c>
      <c r="J3" s="212" t="str">
        <f ca="1">IFERROR(__xludf.DUMMYFUNCTION("FILTER(French!G:G,French!B:B=G1)"),"Learning Paths")</f>
        <v>Learning Paths</v>
      </c>
      <c r="K3" s="210"/>
      <c r="L3" s="211" t="str">
        <f ca="1">IFERROR(__xludf.DUMMYFUNCTION("FILTER(Spanish!C:C,Spanish!B:B=L1)"),"Course IDs")</f>
        <v>Course IDs</v>
      </c>
      <c r="M3" s="211" t="str">
        <f ca="1">IFERROR(__xludf.DUMMYFUNCTION("FILTER(Spanish!D:D,Spanish!B:B=L1)"),"Levels")</f>
        <v>Levels</v>
      </c>
      <c r="N3" s="211" t="str">
        <f ca="1">IFERROR(__xludf.DUMMYFUNCTION("FILTER(Spanish!E:E,Spanish!B:B=L1)"),"Courses")</f>
        <v>Courses</v>
      </c>
      <c r="O3" s="212" t="str">
        <f ca="1">IFERROR(__xludf.DUMMYFUNCTION("FILTER(Spanish!G:G,Spanish!B:B=L1)"),"Learning Paths")</f>
        <v>Learning Paths</v>
      </c>
      <c r="P3" s="210"/>
      <c r="Q3" s="211" t="str">
        <f ca="1">IFERROR(__xludf.DUMMYFUNCTION("FILTER(German!C:C,German!B:B=Q1)"),"Course IDs")</f>
        <v>Course IDs</v>
      </c>
      <c r="R3" s="211" t="str">
        <f ca="1">IFERROR(__xludf.DUMMYFUNCTION("FILTER(German!D:D,German!B:B=Q1)"),"Levels")</f>
        <v>Levels</v>
      </c>
      <c r="S3" s="211" t="str">
        <f ca="1">IFERROR(__xludf.DUMMYFUNCTION("FILTER(German!E:E,German!B:B=Q1)"),"Courses")</f>
        <v>Courses</v>
      </c>
      <c r="T3" s="212" t="str">
        <f ca="1">IFERROR(__xludf.DUMMYFUNCTION("FILTER(German!G:G,German!B:B=Q1)"),"Learning Paths")</f>
        <v>Learning Paths</v>
      </c>
      <c r="U3" s="210"/>
      <c r="V3" s="211" t="str">
        <f ca="1">IFERROR(__xludf.DUMMYFUNCTION("FILTER(Japanese!C:C,Japanese!B:B=V1)"),"Course IDs")</f>
        <v>Course IDs</v>
      </c>
      <c r="W3" s="211" t="str">
        <f ca="1">IFERROR(__xludf.DUMMYFUNCTION("FILTER(Japanese!D:D,Japanese!B:B=V1)"),"Levels")</f>
        <v>Levels</v>
      </c>
      <c r="X3" s="211" t="str">
        <f ca="1">IFERROR(__xludf.DUMMYFUNCTION("FILTER(Japanese!E:E,Japanese!B:B=V1)"),"Courses")</f>
        <v>Courses</v>
      </c>
      <c r="Y3" s="212" t="str">
        <f ca="1">IFERROR(__xludf.DUMMYFUNCTION("FILTER(Japanese!G:G,Japanese!B:B=V1)"),"Learning Paths")</f>
        <v>Learning Paths</v>
      </c>
      <c r="Z3" s="210"/>
      <c r="AA3" s="211" t="str">
        <f ca="1">IFERROR(__xludf.DUMMYFUNCTION("FILTER(Portuguese!C:C,Portuguese!B:B=AA1)"),"Course IDs")</f>
        <v>Course IDs</v>
      </c>
      <c r="AB3" s="211" t="str">
        <f ca="1">IFERROR(__xludf.DUMMYFUNCTION("FILTER(Portuguese!D:D,Portuguese!B:B=AA1)"),"Levels")</f>
        <v>Levels</v>
      </c>
      <c r="AC3" s="211" t="str">
        <f ca="1">IFERROR(__xludf.DUMMYFUNCTION("FILTER(Portuguese!E:E,Portuguese!B:B=AA1)"),"Courses")</f>
        <v>Courses</v>
      </c>
      <c r="AD3" s="212" t="str">
        <f ca="1">IFERROR(__xludf.DUMMYFUNCTION("FILTER(Portuguese!G:G,Portuguese!B:B=AA1)"),"Learning Paths")</f>
        <v>Learning Paths</v>
      </c>
      <c r="AE3" s="210"/>
      <c r="AF3" s="211" t="str">
        <f ca="1">IFERROR(__xludf.DUMMYFUNCTION("FILTER(Mandarin!C:C,Mandarin!B:B=AF1)"),"Course IDs")</f>
        <v>Course IDs</v>
      </c>
      <c r="AG3" s="211" t="str">
        <f ca="1">IFERROR(__xludf.DUMMYFUNCTION("FILTER(Mandarin!D:D,Mandarin!B:B=AF1)"),"Levels")</f>
        <v>Levels</v>
      </c>
      <c r="AH3" s="211" t="str">
        <f ca="1">IFERROR(__xludf.DUMMYFUNCTION("FILTER(Mandarin!E:E,Mandarin!B:B=AF1)"),"Courses")</f>
        <v>Courses</v>
      </c>
      <c r="AI3" s="212" t="str">
        <f ca="1">IFERROR(__xludf.DUMMYFUNCTION("FILTER(Mandarin!G:G,Mandarin!B:B=AF1)"),"Learning Paths")</f>
        <v>Learning Paths</v>
      </c>
      <c r="AJ3" s="210"/>
    </row>
    <row r="4" spans="1:36" ht="33.75" customHeight="1">
      <c r="A4" s="213"/>
      <c r="B4" s="214">
        <f ca="1">IFERROR(__xludf.DUMMYFUNCTION("""COMPUTED_VALUE"""),2810399)</f>
        <v>2810399</v>
      </c>
      <c r="C4" s="215" t="str">
        <f ca="1">IFERROR(__xludf.DUMMYFUNCTION("""COMPUTED_VALUE"""),"Advanced")</f>
        <v>Advanced</v>
      </c>
      <c r="D4" s="216" t="str">
        <f ca="1">IFERROR(__xludf.DUMMYFUNCTION("""COMPUTED_VALUE"""),"Building Creative Organizations")</f>
        <v>Building Creative Organizations</v>
      </c>
      <c r="E4" s="217" t="str">
        <f ca="1">IFERROR(__xludf.DUMMYFUNCTION("""COMPUTED_VALUE"""),"Fostering Innovation")</f>
        <v>Fostering Innovation</v>
      </c>
      <c r="F4" s="213"/>
      <c r="G4" s="214">
        <f ca="1">IFERROR(__xludf.DUMMYFUNCTION("""COMPUTED_VALUE"""),707920)</f>
        <v>707920</v>
      </c>
      <c r="H4" s="215" t="str">
        <f ca="1">IFERROR(__xludf.DUMMYFUNCTION("""COMPUTED_VALUE"""),"Beginner")</f>
        <v>Beginner</v>
      </c>
      <c r="I4" s="217" t="str">
        <f ca="1">IFERROR(__xludf.DUMMYFUNCTION("""COMPUTED_VALUE"""),"Comprendre le processus créatif en cinq étapes")</f>
        <v>Comprendre le processus créatif en cinq étapes</v>
      </c>
      <c r="J4" s="217" t="str">
        <f ca="1">IFERROR(__xludf.DUMMYFUNCTION("""COMPUTED_VALUE"""),"Innover et partager ses idées en entreprise")</f>
        <v>Innover et partager ses idées en entreprise</v>
      </c>
      <c r="K4" s="213"/>
      <c r="L4" s="215">
        <f ca="1">IFERROR(__xludf.DUMMYFUNCTION("""COMPUTED_VALUE"""),5041935)</f>
        <v>5041935</v>
      </c>
      <c r="M4" s="215" t="str">
        <f ca="1">IFERROR(__xludf.DUMMYFUNCTION("""COMPUTED_VALUE"""),"All levels")</f>
        <v>All levels</v>
      </c>
      <c r="N4" s="217" t="str">
        <f ca="1">IFERROR(__xludf.DUMMYFUNCTION("""COMPUTED_VALUE"""),"Cómo alcanzar la felicidad permanente creando con propósito")</f>
        <v>Cómo alcanzar la felicidad permanente creando con propósito</v>
      </c>
      <c r="O4" s="217" t="str">
        <f ca="1">IFERROR(__xludf.DUMMYFUNCTION("""COMPUTED_VALUE"""),"Profundiza tus competencias en metodologías ágiles y Design Thinking")</f>
        <v>Profundiza tus competencias en metodologías ágiles y Design Thinking</v>
      </c>
      <c r="P4" s="213"/>
      <c r="Q4" s="215">
        <f ca="1">IFERROR(__xludf.DUMMYFUNCTION("""COMPUTED_VALUE"""),778407)</f>
        <v>778407</v>
      </c>
      <c r="R4" s="215" t="str">
        <f ca="1">IFERROR(__xludf.DUMMYFUNCTION("""COMPUTED_VALUE"""),"All levels")</f>
        <v>All levels</v>
      </c>
      <c r="S4" s="217" t="str">
        <f ca="1">IFERROR(__xludf.DUMMYFUNCTION("""COMPUTED_VALUE"""),"1-Minuten-Tipps für mehr Kreativität")</f>
        <v>1-Minuten-Tipps für mehr Kreativität</v>
      </c>
      <c r="T4" s="217" t="str">
        <f ca="1">IFERROR(__xludf.DUMMYFUNCTION("""COMPUTED_VALUE"""),"Erweitern Sie Ihre Kreativitäts-Skills")</f>
        <v>Erweitern Sie Ihre Kreativitäts-Skills</v>
      </c>
      <c r="U4" s="213"/>
      <c r="V4" s="215">
        <f ca="1">IFERROR(__xludf.DUMMYFUNCTION("""COMPUTED_VALUE"""),2875244)</f>
        <v>2875244</v>
      </c>
      <c r="W4" s="215" t="str">
        <f ca="1">IFERROR(__xludf.DUMMYFUNCTION("""COMPUTED_VALUE"""),"Beginner, Intermediate")</f>
        <v>Beginner, Intermediate</v>
      </c>
      <c r="X4" s="217" t="str">
        <f ca="1">IFERROR(__xludf.DUMMYFUNCTION("""COMPUTED_VALUE"""),"アーティスト思考をビジネスで活用する")</f>
        <v>アーティスト思考をビジネスで活用する</v>
      </c>
      <c r="Y4" s="217"/>
      <c r="Z4" s="213"/>
      <c r="AA4" s="215">
        <f ca="1">IFERROR(__xludf.DUMMYFUNCTION("""COMPUTED_VALUE"""),2928594)</f>
        <v>2928594</v>
      </c>
      <c r="AB4" s="215" t="str">
        <f ca="1">IFERROR(__xludf.DUMMYFUNCTION("""COMPUTED_VALUE"""),"Advanced")</f>
        <v>Advanced</v>
      </c>
      <c r="AC4" s="217" t="str">
        <f ca="1">IFERROR(__xludf.DUMMYFUNCTION("""COMPUTED_VALUE"""),"Como Criar Organizações Criativas")</f>
        <v>Como Criar Organizações Criativas</v>
      </c>
      <c r="AD4" s="217" t="str">
        <f ca="1">IFERROR(__xludf.DUMMYFUNCTION("""COMPUTED_VALUE"""),"Trabalho Remoto: Colaboração, Foco e Produtividade")</f>
        <v>Trabalho Remoto: Colaboração, Foco e Produtividade</v>
      </c>
      <c r="AE4" s="213"/>
      <c r="AF4" s="215">
        <f ca="1">IFERROR(__xludf.DUMMYFUNCTION("""COMPUTED_VALUE"""),780076)</f>
        <v>780076</v>
      </c>
      <c r="AG4" s="215" t="str">
        <f ca="1">IFERROR(__xludf.DUMMYFUNCTION("""COMPUTED_VALUE"""),"All levels")</f>
        <v>All levels</v>
      </c>
      <c r="AH4" s="217" t="str">
        <f ca="1">IFERROR(__xludf.DUMMYFUNCTION("""COMPUTED_VALUE"""),"业务创新基础知识")</f>
        <v>业务创新基础知识</v>
      </c>
      <c r="AI4" s="217" t="str">
        <f ca="1">IFERROR(__xludf.DUMMYFUNCTION("""COMPUTED_VALUE"""),"远程工作：团队合作与效率")</f>
        <v>远程工作：团队合作与效率</v>
      </c>
      <c r="AJ4" s="213"/>
    </row>
    <row r="5" spans="1:36" ht="30">
      <c r="A5" s="213"/>
      <c r="B5" s="214">
        <f ca="1">IFERROR(__xludf.DUMMYFUNCTION("""COMPUTED_VALUE"""),2815157)</f>
        <v>2815157</v>
      </c>
      <c r="C5" s="215" t="str">
        <f ca="1">IFERROR(__xludf.DUMMYFUNCTION("""COMPUTED_VALUE"""),"Beginner")</f>
        <v>Beginner</v>
      </c>
      <c r="D5" s="216" t="str">
        <f ca="1">IFERROR(__xludf.DUMMYFUNCTION("""COMPUTED_VALUE"""),"Agile Software Development: Creating an Agile Culture")</f>
        <v>Agile Software Development: Creating an Agile Culture</v>
      </c>
      <c r="E5" s="217" t="str">
        <f ca="1">IFERROR(__xludf.DUMMYFUNCTION("""COMPUTED_VALUE"""),"Develop Your Creative Thinking and Innovation Skills")</f>
        <v>Develop Your Creative Thinking and Innovation Skills</v>
      </c>
      <c r="F5" s="213"/>
      <c r="G5" s="214">
        <f ca="1">IFERROR(__xludf.DUMMYFUNCTION("""COMPUTED_VALUE"""),707936)</f>
        <v>707936</v>
      </c>
      <c r="H5" s="215" t="str">
        <f ca="1">IFERROR(__xludf.DUMMYFUNCTION("""COMPUTED_VALUE"""),"Intermediate")</f>
        <v>Intermediate</v>
      </c>
      <c r="I5" s="217" t="str">
        <f ca="1">IFERROR(__xludf.DUMMYFUNCTION("""COMPUTED_VALUE"""),"Créer des organisations créatives")</f>
        <v>Créer des organisations créatives</v>
      </c>
      <c r="J5" s="217" t="str">
        <f ca="1">IFERROR(__xludf.DUMMYFUNCTION("""COMPUTED_VALUE"""),"Promouvoir l'innovation")</f>
        <v>Promouvoir l'innovation</v>
      </c>
      <c r="K5" s="213"/>
      <c r="L5" s="215">
        <f ca="1">IFERROR(__xludf.DUMMYFUNCTION("""COMPUTED_VALUE"""),466002)</f>
        <v>466002</v>
      </c>
      <c r="M5" s="215" t="str">
        <f ca="1">IFERROR(__xludf.DUMMYFUNCTION("""COMPUTED_VALUE"""),"All levels")</f>
        <v>All levels</v>
      </c>
      <c r="N5" s="217" t="str">
        <f ca="1">IFERROR(__xludf.DUMMYFUNCTION("""COMPUTED_VALUE"""),"Cómo desarrollar la capacidad de ingenio")</f>
        <v>Cómo desarrollar la capacidad de ingenio</v>
      </c>
      <c r="O5" s="217" t="str">
        <f ca="1">IFERROR(__xludf.DUMMYFUNCTION("""COMPUTED_VALUE"""),"Fomenta la innovación")</f>
        <v>Fomenta la innovación</v>
      </c>
      <c r="P5" s="213"/>
      <c r="Q5" s="215">
        <f ca="1">IFERROR(__xludf.DUMMYFUNCTION("""COMPUTED_VALUE"""),759350)</f>
        <v>759350</v>
      </c>
      <c r="R5" s="215" t="str">
        <f ca="1">IFERROR(__xludf.DUMMYFUNCTION("""COMPUTED_VALUE"""),"All levels")</f>
        <v>All levels</v>
      </c>
      <c r="S5" s="217" t="str">
        <f ca="1">IFERROR(__xludf.DUMMYFUNCTION("""COMPUTED_VALUE"""),"Business Visualisierung – agil und kreativ")</f>
        <v>Business Visualisierung – agil und kreativ</v>
      </c>
      <c r="T5" s="217" t="str">
        <f ca="1">IFERROR(__xludf.DUMMYFUNCTION("""COMPUTED_VALUE"""),"Innovation fördern")</f>
        <v>Innovation fördern</v>
      </c>
      <c r="U5" s="213"/>
      <c r="V5" s="215">
        <f ca="1">IFERROR(__xludf.DUMMYFUNCTION("""COMPUTED_VALUE"""),2399622)</f>
        <v>2399622</v>
      </c>
      <c r="W5" s="215" t="str">
        <f ca="1">IFERROR(__xludf.DUMMYFUNCTION("""COMPUTED_VALUE"""),"Advanced")</f>
        <v>Advanced</v>
      </c>
      <c r="X5" s="217" t="str">
        <f ca="1">IFERROR(__xludf.DUMMYFUNCTION("""COMPUTED_VALUE"""),"クリエイティブな組織を作るには")</f>
        <v>クリエイティブな組織を作るには</v>
      </c>
      <c r="Y5" s="217" t="str">
        <f ca="1">IFERROR(__xludf.DUMMYFUNCTION("""COMPUTED_VALUE"""),"困難な時期に自身を高めて問題を乗り切るには")</f>
        <v>困難な時期に自身を高めて問題を乗り切るには</v>
      </c>
      <c r="Z5" s="213"/>
      <c r="AA5" s="215">
        <f ca="1">IFERROR(__xludf.DUMMYFUNCTION("""COMPUTED_VALUE"""),2432276)</f>
        <v>2432276</v>
      </c>
      <c r="AB5" s="215" t="str">
        <f ca="1">IFERROR(__xludf.DUMMYFUNCTION("""COMPUTED_VALUE"""),"Intermediate")</f>
        <v>Intermediate</v>
      </c>
      <c r="AC5" s="217" t="str">
        <f ca="1">IFERROR(__xludf.DUMMYFUNCTION("""COMPUTED_VALUE"""),"Como Estimular o Pensamento Criativo da sua Equipe")</f>
        <v>Como Estimular o Pensamento Criativo da sua Equipe</v>
      </c>
      <c r="AD5" s="217"/>
      <c r="AE5" s="213"/>
      <c r="AF5" s="215">
        <f ca="1">IFERROR(__xludf.DUMMYFUNCTION("""COMPUTED_VALUE"""),797755)</f>
        <v>797755</v>
      </c>
      <c r="AG5" s="215" t="str">
        <f ca="1">IFERROR(__xludf.DUMMYFUNCTION("""COMPUTED_VALUE"""),"Beginner")</f>
        <v>Beginner</v>
      </c>
      <c r="AH5" s="217" t="str">
        <f ca="1">IFERROR(__xludf.DUMMYFUNCTION("""COMPUTED_VALUE"""),"创意五步法")</f>
        <v>创意五步法</v>
      </c>
      <c r="AI5" s="217" t="str">
        <f ca="1">IFERROR(__xludf.DUMMYFUNCTION("""COMPUTED_VALUE"""),"提高问题解决技能")</f>
        <v>提高问题解决技能</v>
      </c>
      <c r="AJ5" s="213"/>
    </row>
    <row r="6" spans="1:36" ht="30">
      <c r="A6" s="213"/>
      <c r="B6" s="214">
        <f ca="1">IFERROR(__xludf.DUMMYFUNCTION("""COMPUTED_VALUE"""),585010)</f>
        <v>585010</v>
      </c>
      <c r="C6" s="215" t="str">
        <f ca="1">IFERROR(__xludf.DUMMYFUNCTION("""COMPUTED_VALUE"""),"Beginner + Intermediate")</f>
        <v>Beginner + Intermediate</v>
      </c>
      <c r="D6" s="216" t="str">
        <f ca="1">IFERROR(__xludf.DUMMYFUNCTION("""COMPUTED_VALUE"""),"Leading with Innovation")</f>
        <v>Leading with Innovation</v>
      </c>
      <c r="E6" s="217" t="str">
        <f ca="1">IFERROR(__xludf.DUMMYFUNCTION("""COMPUTED_VALUE"""),"Improve Your Creativity Skills")</f>
        <v>Improve Your Creativity Skills</v>
      </c>
      <c r="F6" s="213"/>
      <c r="G6" s="214">
        <f ca="1">IFERROR(__xludf.DUMMYFUNCTION("""COMPUTED_VALUE"""),2823373)</f>
        <v>2823373</v>
      </c>
      <c r="H6" s="215" t="str">
        <f ca="1">IFERROR(__xludf.DUMMYFUNCTION("""COMPUTED_VALUE"""),"Intermediate")</f>
        <v>Intermediate</v>
      </c>
      <c r="I6" s="217" t="str">
        <f ca="1">IFERROR(__xludf.DUMMYFUNCTION("""COMPUTED_VALUE"""),"Créer une culture de l'apprentissage")</f>
        <v>Créer une culture de l'apprentissage</v>
      </c>
      <c r="J6" s="217" t="str">
        <f ca="1">IFERROR(__xludf.DUMMYFUNCTION("""COMPUTED_VALUE"""),"Rester compétitif grâce au design thinking")</f>
        <v>Rester compétitif grâce au design thinking</v>
      </c>
      <c r="K6" s="213"/>
      <c r="L6" s="215">
        <f ca="1">IFERROR(__xludf.DUMMYFUNCTION("""COMPUTED_VALUE"""),429636)</f>
        <v>429636</v>
      </c>
      <c r="M6" s="215" t="str">
        <f ca="1">IFERROR(__xludf.DUMMYFUNCTION("""COMPUTED_VALUE"""),"All levels")</f>
        <v>All levels</v>
      </c>
      <c r="N6" s="217" t="str">
        <f ca="1">IFERROR(__xludf.DUMMYFUNCTION("""COMPUTED_VALUE"""),"Cómo generar ideas")</f>
        <v>Cómo generar ideas</v>
      </c>
      <c r="O6" s="217"/>
      <c r="P6" s="213"/>
      <c r="Q6" s="215">
        <f ca="1">IFERROR(__xludf.DUMMYFUNCTION("""COMPUTED_VALUE"""),752385)</f>
        <v>752385</v>
      </c>
      <c r="R6" s="215" t="str">
        <f ca="1">IFERROR(__xludf.DUMMYFUNCTION("""COMPUTED_VALUE"""),"Beginner")</f>
        <v>Beginner</v>
      </c>
      <c r="S6" s="217" t="str">
        <f ca="1">IFERROR(__xludf.DUMMYFUNCTION("""COMPUTED_VALUE"""),"Der kreative Prozess in fünf Schritten")</f>
        <v>Der kreative Prozess in fünf Schritten</v>
      </c>
      <c r="T6" s="217" t="str">
        <f ca="1">IFERROR(__xludf.DUMMYFUNCTION("""COMPUTED_VALUE"""),"Durch Veränderungsprozesse führen")</f>
        <v>Durch Veränderungsprozesse führen</v>
      </c>
      <c r="U6" s="213"/>
      <c r="V6" s="215">
        <f ca="1">IFERROR(__xludf.DUMMYFUNCTION("""COMPUTED_VALUE"""),5016031)</f>
        <v>5016031</v>
      </c>
      <c r="W6" s="215" t="str">
        <f ca="1">IFERROR(__xludf.DUMMYFUNCTION("""COMPUTED_VALUE"""),"Beginner")</f>
        <v>Beginner</v>
      </c>
      <c r="X6" s="217" t="str">
        <f ca="1">IFERROR(__xludf.DUMMYFUNCTION("""COMPUTED_VALUE"""),"クリエイティブになるための５つのステップ")</f>
        <v>クリエイティブになるための５つのステップ</v>
      </c>
      <c r="Y6" s="217"/>
      <c r="Z6" s="213"/>
      <c r="AA6" s="215">
        <f ca="1">IFERROR(__xludf.DUMMYFUNCTION("""COMPUTED_VALUE"""),2841369)</f>
        <v>2841369</v>
      </c>
      <c r="AB6" s="215" t="str">
        <f ca="1">IFERROR(__xludf.DUMMYFUNCTION("""COMPUTED_VALUE"""),"All levels")</f>
        <v>All levels</v>
      </c>
      <c r="AC6" s="217" t="str">
        <f ca="1">IFERROR(__xludf.DUMMYFUNCTION("""COMPUTED_VALUE"""),"Como Estimular o Potencial Criativo de sua Equipe")</f>
        <v>Como Estimular o Potencial Criativo de sua Equipe</v>
      </c>
      <c r="AD6" s="217"/>
      <c r="AE6" s="213"/>
      <c r="AF6" s="215">
        <f ca="1">IFERROR(__xludf.DUMMYFUNCTION("""COMPUTED_VALUE"""),2244052)</f>
        <v>2244052</v>
      </c>
      <c r="AG6" s="215" t="str">
        <f ca="1">IFERROR(__xludf.DUMMYFUNCTION("""COMPUTED_VALUE"""),"Beginner, Intermediate")</f>
        <v>Beginner, Intermediate</v>
      </c>
      <c r="AH6" s="217" t="str">
        <f ca="1">IFERROR(__xludf.DUMMYFUNCTION("""COMPUTED_VALUE"""),"创新型领导力")</f>
        <v>创新型领导力</v>
      </c>
      <c r="AI6" s="217"/>
      <c r="AJ6" s="213"/>
    </row>
    <row r="7" spans="1:36" ht="33.75" customHeight="1">
      <c r="A7" s="213"/>
      <c r="B7" s="214">
        <f ca="1">IFERROR(__xludf.DUMMYFUNCTION("""COMPUTED_VALUE"""),608995)</f>
        <v>608995</v>
      </c>
      <c r="C7" s="215" t="str">
        <f ca="1">IFERROR(__xludf.DUMMYFUNCTION("""COMPUTED_VALUE"""),"General")</f>
        <v>General</v>
      </c>
      <c r="D7" s="216" t="str">
        <f ca="1">IFERROR(__xludf.DUMMYFUNCTION("""COMPUTED_VALUE"""),"Jeff Dyer on Innovation")</f>
        <v>Jeff Dyer on Innovation</v>
      </c>
      <c r="E7" s="217" t="str">
        <f ca="1">IFERROR(__xludf.DUMMYFUNCTION("""COMPUTED_VALUE"""),"Improve Your Problem Solving Skills")</f>
        <v>Improve Your Problem Solving Skills</v>
      </c>
      <c r="F7" s="213"/>
      <c r="G7" s="214">
        <f ca="1">IFERROR(__xludf.DUMMYFUNCTION("""COMPUTED_VALUE"""),2942173)</f>
        <v>2942173</v>
      </c>
      <c r="H7" s="215" t="str">
        <f ca="1">IFERROR(__xludf.DUMMYFUNCTION("""COMPUTED_VALUE"""),"Intermediate")</f>
        <v>Intermediate</v>
      </c>
      <c r="I7" s="217" t="str">
        <f ca="1">IFERROR(__xludf.DUMMYFUNCTION("""COMPUTED_VALUE"""),"Cultiver la pensée critique et la créativité avec des questions")</f>
        <v>Cultiver la pensée critique et la créativité avec des questions</v>
      </c>
      <c r="J7" s="217"/>
      <c r="K7" s="213"/>
      <c r="L7" s="215">
        <f ca="1">IFERROR(__xludf.DUMMYFUNCTION("""COMPUTED_VALUE"""),429492)</f>
        <v>429492</v>
      </c>
      <c r="M7" s="215" t="str">
        <f ca="1">IFERROR(__xludf.DUMMYFUNCTION("""COMPUTED_VALUE"""),"All levels")</f>
        <v>All levels</v>
      </c>
      <c r="N7" s="217" t="str">
        <f ca="1">IFERROR(__xludf.DUMMYFUNCTION("""COMPUTED_VALUE"""),"Cómo generar ideas para un nuevo modelo de negocio")</f>
        <v>Cómo generar ideas para un nuevo modelo de negocio</v>
      </c>
      <c r="O7" s="217"/>
      <c r="P7" s="213"/>
      <c r="Q7" s="215">
        <f ca="1">IFERROR(__xludf.DUMMYFUNCTION("""COMPUTED_VALUE"""),648142)</f>
        <v>648142</v>
      </c>
      <c r="R7" s="215" t="str">
        <f ca="1">IFERROR(__xludf.DUMMYFUNCTION("""COMPUTED_VALUE"""),"Beginner")</f>
        <v>Beginner</v>
      </c>
      <c r="S7" s="217" t="str">
        <f ca="1">IFERROR(__xludf.DUMMYFUNCTION("""COMPUTED_VALUE"""),"Design Thinking – Grundlagen")</f>
        <v>Design Thinking – Grundlagen</v>
      </c>
      <c r="T7" s="217" t="str">
        <f ca="1">IFERROR(__xludf.DUMMYFUNCTION("""COMPUTED_VALUE"""),"Stärken Sie Ihre Schlüsselkompetenzen")</f>
        <v>Stärken Sie Ihre Schlüsselkompetenzen</v>
      </c>
      <c r="U7" s="213"/>
      <c r="V7" s="215">
        <f ca="1">IFERROR(__xludf.DUMMYFUNCTION("""COMPUTED_VALUE"""),5042605)</f>
        <v>5042605</v>
      </c>
      <c r="W7" s="215" t="str">
        <f ca="1">IFERROR(__xludf.DUMMYFUNCTION("""COMPUTED_VALUE"""),"All levels")</f>
        <v>All levels</v>
      </c>
      <c r="X7" s="217" t="str">
        <f ca="1">IFERROR(__xludf.DUMMYFUNCTION("""COMPUTED_VALUE"""),"ビジネスにおけるイノベーションの理論と実践")</f>
        <v>ビジネスにおけるイノベーションの理論と実践</v>
      </c>
      <c r="Y7" s="217"/>
      <c r="Z7" s="213"/>
      <c r="AA7" s="215">
        <f ca="1">IFERROR(__xludf.DUMMYFUNCTION("""COMPUTED_VALUE"""),2930672)</f>
        <v>2930672</v>
      </c>
      <c r="AB7" s="215" t="str">
        <f ca="1">IFERROR(__xludf.DUMMYFUNCTION("""COMPUTED_VALUE"""),"Beginner")</f>
        <v>Beginner</v>
      </c>
      <c r="AC7" s="217" t="str">
        <f ca="1">IFERROR(__xludf.DUMMYFUNCTION("""COMPUTED_VALUE"""),"Como Quebrar a Rotina para Estimular a Criatividade")</f>
        <v>Como Quebrar a Rotina para Estimular a Criatividade</v>
      </c>
      <c r="AD7" s="217"/>
      <c r="AE7" s="213"/>
      <c r="AF7" s="215">
        <f ca="1">IFERROR(__xludf.DUMMYFUNCTION("""COMPUTED_VALUE"""),3050237)</f>
        <v>3050237</v>
      </c>
      <c r="AG7" s="215" t="str">
        <f ca="1">IFERROR(__xludf.DUMMYFUNCTION("""COMPUTED_VALUE"""),"Intermediate")</f>
        <v>Intermediate</v>
      </c>
      <c r="AH7" s="217" t="str">
        <f ca="1">IFERROR(__xludf.DUMMYFUNCTION("""COMPUTED_VALUE"""),"团队管理：升级创意与想法")</f>
        <v>团队管理：升级创意与想法</v>
      </c>
      <c r="AI7" s="217"/>
      <c r="AJ7" s="213"/>
    </row>
    <row r="8" spans="1:36" ht="33.75" customHeight="1">
      <c r="A8" s="213"/>
      <c r="B8" s="214">
        <f ca="1">IFERROR(__xludf.DUMMYFUNCTION("""COMPUTED_VALUE"""),2244040)</f>
        <v>2244040</v>
      </c>
      <c r="C8" s="215" t="str">
        <f ca="1">IFERROR(__xludf.DUMMYFUNCTION("""COMPUTED_VALUE"""),"General")</f>
        <v>General</v>
      </c>
      <c r="D8" s="216" t="str">
        <f ca="1">IFERROR(__xludf.DUMMYFUNCTION("""COMPUTED_VALUE"""),"Mapping Innovation: A Playbook for Navigating a Disruptive Age (getAbstract Summary)")</f>
        <v>Mapping Innovation: A Playbook for Navigating a Disruptive Age (getAbstract Summary)</v>
      </c>
      <c r="E8" s="217" t="str">
        <f ca="1">IFERROR(__xludf.DUMMYFUNCTION("""COMPUTED_VALUE"""),"Stay Competitive Using Design Thinking")</f>
        <v>Stay Competitive Using Design Thinking</v>
      </c>
      <c r="F8" s="213"/>
      <c r="G8" s="214">
        <f ca="1">IFERROR(__xludf.DUMMYFUNCTION("""COMPUTED_VALUE"""),3107705)</f>
        <v>3107705</v>
      </c>
      <c r="H8" s="215" t="str">
        <f ca="1">IFERROR(__xludf.DUMMYFUNCTION("""COMPUTED_VALUE"""),"All levels")</f>
        <v>All levels</v>
      </c>
      <c r="I8" s="217" t="str">
        <f ca="1">IFERROR(__xludf.DUMMYFUNCTION("""COMPUTED_VALUE"""),"Débloquer la créativité de son équipe")</f>
        <v>Débloquer la créativité de son équipe</v>
      </c>
      <c r="J8" s="217"/>
      <c r="K8" s="213"/>
      <c r="L8" s="215">
        <f ca="1">IFERROR(__xludf.DUMMYFUNCTION("""COMPUTED_VALUE"""),2809209)</f>
        <v>2809209</v>
      </c>
      <c r="M8" s="215" t="str">
        <f ca="1">IFERROR(__xludf.DUMMYFUNCTION("""COMPUTED_VALUE"""),"All levels")</f>
        <v>All levels</v>
      </c>
      <c r="N8" s="217" t="str">
        <f ca="1">IFERROR(__xludf.DUMMYFUNCTION("""COMPUTED_VALUE"""),"Cómo superar el bloqueo creativo")</f>
        <v>Cómo superar el bloqueo creativo</v>
      </c>
      <c r="O8" s="217"/>
      <c r="P8" s="213"/>
      <c r="Q8" s="215">
        <f ca="1">IFERROR(__xludf.DUMMYFUNCTION("""COMPUTED_VALUE"""),631820)</f>
        <v>631820</v>
      </c>
      <c r="R8" s="215" t="str">
        <f ca="1">IFERROR(__xludf.DUMMYFUNCTION("""COMPUTED_VALUE"""),"Beginner")</f>
        <v>Beginner</v>
      </c>
      <c r="S8" s="217" t="str">
        <f ca="1">IFERROR(__xludf.DUMMYFUNCTION("""COMPUTED_VALUE"""),"Design Thinking am Praxisbeispiel")</f>
        <v>Design Thinking am Praxisbeispiel</v>
      </c>
      <c r="T8" s="217"/>
      <c r="U8" s="213"/>
      <c r="V8" s="215">
        <f ca="1">IFERROR(__xludf.DUMMYFUNCTION("""COMPUTED_VALUE"""),2848046)</f>
        <v>2848046</v>
      </c>
      <c r="W8" s="215" t="str">
        <f ca="1">IFERROR(__xludf.DUMMYFUNCTION("""COMPUTED_VALUE"""),"Beginner")</f>
        <v>Beginner</v>
      </c>
      <c r="X8" s="217" t="str">
        <f ca="1">IFERROR(__xludf.DUMMYFUNCTION("""COMPUTED_VALUE"""),"ビジネスに役立つアーティスト思考の概念を理解する")</f>
        <v>ビジネスに役立つアーティスト思考の概念を理解する</v>
      </c>
      <c r="Y8" s="217"/>
      <c r="Z8" s="213"/>
      <c r="AA8" s="215">
        <f ca="1">IFERROR(__xludf.DUMMYFUNCTION("""COMPUTED_VALUE"""),753215)</f>
        <v>753215</v>
      </c>
      <c r="AB8" s="215" t="str">
        <f ca="1">IFERROR(__xludf.DUMMYFUNCTION("""COMPUTED_VALUE"""),"All levels")</f>
        <v>All levels</v>
      </c>
      <c r="AC8" s="217" t="str">
        <f ca="1">IFERROR(__xludf.DUMMYFUNCTION("""COMPUTED_VALUE"""),"Desenvolvimento da Inventividade")</f>
        <v>Desenvolvimento da Inventividade</v>
      </c>
      <c r="AD8" s="217"/>
      <c r="AE8" s="213"/>
      <c r="AF8" s="215">
        <f ca="1">IFERROR(__xludf.DUMMYFUNCTION("""COMPUTED_VALUE"""),2825717)</f>
        <v>2825717</v>
      </c>
      <c r="AG8" s="215" t="str">
        <f ca="1">IFERROR(__xludf.DUMMYFUNCTION("""COMPUTED_VALUE"""),"All levels")</f>
        <v>All levels</v>
      </c>
      <c r="AH8" s="217" t="str">
        <f ca="1">IFERROR(__xludf.DUMMYFUNCTION("""COMPUTED_VALUE"""),"培养成长型思维")</f>
        <v>培养成长型思维</v>
      </c>
      <c r="AI8" s="217"/>
      <c r="AJ8" s="213"/>
    </row>
    <row r="9" spans="1:36" ht="33.75" customHeight="1">
      <c r="A9" s="213"/>
      <c r="B9" s="214">
        <f ca="1">IFERROR(__xludf.DUMMYFUNCTION("""COMPUTED_VALUE"""),5015872)</f>
        <v>5015872</v>
      </c>
      <c r="C9" s="215" t="str">
        <f ca="1">IFERROR(__xludf.DUMMYFUNCTION("""COMPUTED_VALUE"""),"Intermediate")</f>
        <v>Intermediate</v>
      </c>
      <c r="D9" s="216" t="str">
        <f ca="1">IFERROR(__xludf.DUMMYFUNCTION("""COMPUTED_VALUE"""),"Built to Last: Successful Habits of Visionary Companies (Blinkist Summary)")</f>
        <v>Built to Last: Successful Habits of Visionary Companies (Blinkist Summary)</v>
      </c>
      <c r="E9" s="217" t="str">
        <f ca="1">IFERROR(__xludf.DUMMYFUNCTION("""COMPUTED_VALUE"""),"Working with Creatives")</f>
        <v>Working with Creatives</v>
      </c>
      <c r="F9" s="213"/>
      <c r="G9" s="214">
        <f ca="1">IFERROR(__xludf.DUMMYFUNCTION("""COMPUTED_VALUE"""),723133)</f>
        <v>723133</v>
      </c>
      <c r="H9" s="215" t="str">
        <f ca="1">IFERROR(__xludf.DUMMYFUNCTION("""COMPUTED_VALUE"""),"Beginner")</f>
        <v>Beginner</v>
      </c>
      <c r="I9" s="217" t="str">
        <f ca="1">IFERROR(__xludf.DUMMYFUNCTION("""COMPUTED_VALUE"""),"Découvrir le design thinking")</f>
        <v>Découvrir le design thinking</v>
      </c>
      <c r="J9" s="217"/>
      <c r="K9" s="213"/>
      <c r="L9" s="215">
        <f ca="1">IFERROR(__xludf.DUMMYFUNCTION("""COMPUTED_VALUE"""),2344113)</f>
        <v>2344113</v>
      </c>
      <c r="M9" s="215" t="str">
        <f ca="1">IFERROR(__xludf.DUMMYFUNCTION("""COMPUTED_VALUE"""),"Intermediate")</f>
        <v>Intermediate</v>
      </c>
      <c r="N9" s="217" t="str">
        <f ca="1">IFERROR(__xludf.DUMMYFUNCTION("""COMPUTED_VALUE"""),"Cómo usar preguntas para fomentar el pensamiento crítico y la curiosidad")</f>
        <v>Cómo usar preguntas para fomentar el pensamiento crítico y la curiosidad</v>
      </c>
      <c r="O9" s="217"/>
      <c r="P9" s="213"/>
      <c r="Q9" s="215">
        <f ca="1">IFERROR(__xludf.DUMMYFUNCTION("""COMPUTED_VALUE"""),784036)</f>
        <v>784036</v>
      </c>
      <c r="R9" s="215" t="str">
        <f ca="1">IFERROR(__xludf.DUMMYFUNCTION("""COMPUTED_VALUE"""),"All levels")</f>
        <v>All levels</v>
      </c>
      <c r="S9" s="217" t="str">
        <f ca="1">IFERROR(__xludf.DUMMYFUNCTION("""COMPUTED_VALUE"""),"Die kreative Organisation")</f>
        <v>Die kreative Organisation</v>
      </c>
      <c r="T9" s="217"/>
      <c r="U9" s="213"/>
      <c r="V9" s="215">
        <f ca="1">IFERROR(__xludf.DUMMYFUNCTION("""COMPUTED_VALUE"""),2877217)</f>
        <v>2877217</v>
      </c>
      <c r="W9" s="215" t="str">
        <f ca="1">IFERROR(__xludf.DUMMYFUNCTION("""COMPUTED_VALUE"""),"All levels")</f>
        <v>All levels</v>
      </c>
      <c r="X9" s="217" t="str">
        <f ca="1">IFERROR(__xludf.DUMMYFUNCTION("""COMPUTED_VALUE"""),"ビジネスに役立つアーティスト思考を簡単なワークショップで養う")</f>
        <v>ビジネスに役立つアーティスト思考を簡単なワークショップで養う</v>
      </c>
      <c r="Y9" s="217"/>
      <c r="Z9" s="213"/>
      <c r="AA9" s="215">
        <f ca="1">IFERROR(__xludf.DUMMYFUNCTION("""COMPUTED_VALUE"""),3159818)</f>
        <v>3159818</v>
      </c>
      <c r="AB9" s="215" t="str">
        <f ca="1">IFERROR(__xludf.DUMMYFUNCTION("""COMPUTED_VALUE"""),"Beginner")</f>
        <v>Beginner</v>
      </c>
      <c r="AC9" s="217" t="str">
        <f ca="1">IFERROR(__xludf.DUMMYFUNCTION("""COMPUTED_VALUE"""),"Fundamentos da Criatividade: Como Despertar o Talento de sua Equipe")</f>
        <v>Fundamentos da Criatividade: Como Despertar o Talento de sua Equipe</v>
      </c>
      <c r="AD9" s="217"/>
      <c r="AE9" s="213"/>
      <c r="AF9" s="215">
        <f ca="1">IFERROR(__xludf.DUMMYFUNCTION("""COMPUTED_VALUE"""),3105032)</f>
        <v>3105032</v>
      </c>
      <c r="AG9" s="215" t="str">
        <f ca="1">IFERROR(__xludf.DUMMYFUNCTION("""COMPUTED_VALUE"""),"Intermediate")</f>
        <v>Intermediate</v>
      </c>
      <c r="AH9" s="217" t="str">
        <f ca="1">IFERROR(__xludf.DUMMYFUNCTION("""COMPUTED_VALUE"""),"培养批判性思维与好奇心：学会提问")</f>
        <v>培养批判性思维与好奇心：学会提问</v>
      </c>
      <c r="AI9" s="217"/>
      <c r="AJ9" s="213"/>
    </row>
    <row r="10" spans="1:36" ht="33.75" customHeight="1">
      <c r="A10" s="213"/>
      <c r="B10" s="214">
        <f ca="1">IFERROR(__xludf.DUMMYFUNCTION("""COMPUTED_VALUE"""),2818081)</f>
        <v>2818081</v>
      </c>
      <c r="C10" s="215" t="str">
        <f ca="1">IFERROR(__xludf.DUMMYFUNCTION("""COMPUTED_VALUE"""),"Intermediate")</f>
        <v>Intermediate</v>
      </c>
      <c r="D10" s="216" t="str">
        <f ca="1">IFERROR(__xludf.DUMMYFUNCTION("""COMPUTED_VALUE"""),"Lean Technology Strategy: Managing the Innovation Portfolio")</f>
        <v>Lean Technology Strategy: Managing the Innovation Portfolio</v>
      </c>
      <c r="E10" s="217"/>
      <c r="F10" s="213"/>
      <c r="G10" s="214">
        <f ca="1">IFERROR(__xludf.DUMMYFUNCTION("""COMPUTED_VALUE"""),723136)</f>
        <v>723136</v>
      </c>
      <c r="H10" s="215" t="str">
        <f ca="1">IFERROR(__xludf.DUMMYFUNCTION("""COMPUTED_VALUE"""),"Beginner")</f>
        <v>Beginner</v>
      </c>
      <c r="I10" s="217" t="str">
        <f ca="1">IFERROR(__xludf.DUMMYFUNCTION("""COMPUTED_VALUE"""),"Découvrir le mind mapping")</f>
        <v>Découvrir le mind mapping</v>
      </c>
      <c r="J10" s="217"/>
      <c r="K10" s="213"/>
      <c r="L10" s="215">
        <f ca="1">IFERROR(__xludf.DUMMYFUNCTION("""COMPUTED_VALUE"""),491893)</f>
        <v>491893</v>
      </c>
      <c r="M10" s="215" t="str">
        <f ca="1">IFERROR(__xludf.DUMMYFUNCTION("""COMPUTED_VALUE"""),"Intermediate")</f>
        <v>Intermediate</v>
      </c>
      <c r="N10" s="217" t="str">
        <f ca="1">IFERROR(__xludf.DUMMYFUNCTION("""COMPUTED_VALUE"""),"Creatividad en la empresa")</f>
        <v>Creatividad en la empresa</v>
      </c>
      <c r="O10" s="217"/>
      <c r="P10" s="213"/>
      <c r="Q10" s="215">
        <f ca="1">IFERROR(__xludf.DUMMYFUNCTION("""COMPUTED_VALUE"""),563969)</f>
        <v>563969</v>
      </c>
      <c r="R10" s="215" t="str">
        <f ca="1">IFERROR(__xludf.DUMMYFUNCTION("""COMPUTED_VALUE"""),"Intermediate")</f>
        <v>Intermediate</v>
      </c>
      <c r="S10" s="217" t="str">
        <f ca="1">IFERROR(__xludf.DUMMYFUNCTION("""COMPUTED_VALUE"""),"Die Teamkreativität steigern")</f>
        <v>Die Teamkreativität steigern</v>
      </c>
      <c r="T10" s="217"/>
      <c r="U10" s="213"/>
      <c r="V10" s="215"/>
      <c r="W10" s="215"/>
      <c r="X10" s="217"/>
      <c r="Y10" s="217"/>
      <c r="Z10" s="213"/>
      <c r="AA10" s="215">
        <f ca="1">IFERROR(__xludf.DUMMYFUNCTION("""COMPUTED_VALUE"""),3161800)</f>
        <v>3161800</v>
      </c>
      <c r="AB10" s="215" t="str">
        <f ca="1">IFERROR(__xludf.DUMMYFUNCTION("""COMPUTED_VALUE"""),"Beginner")</f>
        <v>Beginner</v>
      </c>
      <c r="AC10" s="217" t="str">
        <f ca="1">IFERROR(__xludf.DUMMYFUNCTION("""COMPUTED_VALUE"""),"Fundamentos da Criatividade: Como Despertar sua Curiosidade")</f>
        <v>Fundamentos da Criatividade: Como Despertar sua Curiosidade</v>
      </c>
      <c r="AD10" s="217"/>
      <c r="AE10" s="213"/>
      <c r="AF10" s="215">
        <f ca="1">IFERROR(__xludf.DUMMYFUNCTION("""COMPUTED_VALUE"""),802086)</f>
        <v>802086</v>
      </c>
      <c r="AG10" s="215" t="str">
        <f ca="1">IFERROR(__xludf.DUMMYFUNCTION("""COMPUTED_VALUE"""),"All levels")</f>
        <v>All levels</v>
      </c>
      <c r="AH10" s="217" t="str">
        <f ca="1">IFERROR(__xludf.DUMMYFUNCTION("""COMPUTED_VALUE"""),"培养智谋力")</f>
        <v>培养智谋力</v>
      </c>
      <c r="AI10" s="217"/>
      <c r="AJ10" s="213"/>
    </row>
    <row r="11" spans="1:36" ht="33.75" customHeight="1">
      <c r="A11" s="213"/>
      <c r="B11" s="214">
        <f ca="1">IFERROR(__xludf.DUMMYFUNCTION("""COMPUTED_VALUE"""),492724)</f>
        <v>492724</v>
      </c>
      <c r="C11" s="215" t="str">
        <f ca="1">IFERROR(__xludf.DUMMYFUNCTION("""COMPUTED_VALUE"""),"Advanced")</f>
        <v>Advanced</v>
      </c>
      <c r="D11" s="216" t="str">
        <f ca="1">IFERROR(__xludf.DUMMYFUNCTION("""COMPUTED_VALUE"""),"Service Innovation")</f>
        <v>Service Innovation</v>
      </c>
      <c r="E11" s="217"/>
      <c r="F11" s="213"/>
      <c r="G11" s="214">
        <f ca="1">IFERROR(__xludf.DUMMYFUNCTION("""COMPUTED_VALUE"""),792284)</f>
        <v>792284</v>
      </c>
      <c r="H11" s="215" t="str">
        <f ca="1">IFERROR(__xludf.DUMMYFUNCTION("""COMPUTED_VALUE"""),"Intermediate")</f>
        <v>Intermediate</v>
      </c>
      <c r="I11" s="217" t="str">
        <f ca="1">IFERROR(__xludf.DUMMYFUNCTION("""COMPUTED_VALUE"""),"Design thinking : Le prototypage")</f>
        <v>Design thinking : Le prototypage</v>
      </c>
      <c r="J11" s="217"/>
      <c r="K11" s="213"/>
      <c r="L11" s="215">
        <f ca="1">IFERROR(__xludf.DUMMYFUNCTION("""COMPUTED_VALUE"""),751037)</f>
        <v>751037</v>
      </c>
      <c r="M11" s="215" t="str">
        <f ca="1">IFERROR(__xludf.DUMMYFUNCTION("""COMPUTED_VALUE"""),"Intermediate")</f>
        <v>Intermediate</v>
      </c>
      <c r="N11" s="217" t="str">
        <f ca="1">IFERROR(__xludf.DUMMYFUNCTION("""COMPUTED_VALUE"""),"Creatividad para marketing")</f>
        <v>Creatividad para marketing</v>
      </c>
      <c r="O11" s="217"/>
      <c r="P11" s="213"/>
      <c r="Q11" s="215">
        <f ca="1">IFERROR(__xludf.DUMMYFUNCTION("""COMPUTED_VALUE"""),678927)</f>
        <v>678927</v>
      </c>
      <c r="R11" s="215" t="str">
        <f ca="1">IFERROR(__xludf.DUMMYFUNCTION("""COMPUTED_VALUE"""),"All levels")</f>
        <v>All levels</v>
      </c>
      <c r="S11" s="217" t="str">
        <f ca="1">IFERROR(__xludf.DUMMYFUNCTION("""COMPUTED_VALUE"""),"Disrupt yourself – Erfinden Sie sich neu")</f>
        <v>Disrupt yourself – Erfinden Sie sich neu</v>
      </c>
      <c r="T11" s="217"/>
      <c r="U11" s="213"/>
      <c r="V11" s="215"/>
      <c r="W11" s="215"/>
      <c r="X11" s="217"/>
      <c r="Y11" s="217"/>
      <c r="Z11" s="213"/>
      <c r="AA11" s="215">
        <f ca="1">IFERROR(__xludf.DUMMYFUNCTION("""COMPUTED_VALUE"""),3161802)</f>
        <v>3161802</v>
      </c>
      <c r="AB11" s="215" t="str">
        <f ca="1">IFERROR(__xludf.DUMMYFUNCTION("""COMPUTED_VALUE"""),"Beginner")</f>
        <v>Beginner</v>
      </c>
      <c r="AC11" s="217" t="str">
        <f ca="1">IFERROR(__xludf.DUMMYFUNCTION("""COMPUTED_VALUE"""),"Fundamentos da Criatividade: Como Gerar Ideias Valiosas e Inovar na Prática")</f>
        <v>Fundamentos da Criatividade: Como Gerar Ideias Valiosas e Inovar na Prática</v>
      </c>
      <c r="AD11" s="217"/>
      <c r="AE11" s="213"/>
      <c r="AF11" s="215">
        <f ca="1">IFERROR(__xludf.DUMMYFUNCTION("""COMPUTED_VALUE"""),2824446)</f>
        <v>2824446</v>
      </c>
      <c r="AG11" s="215" t="str">
        <f ca="1">IFERROR(__xludf.DUMMYFUNCTION("""COMPUTED_VALUE"""),"Beginner")</f>
        <v>Beginner</v>
      </c>
      <c r="AH11" s="217" t="str">
        <f ca="1">IFERROR(__xludf.DUMMYFUNCTION("""COMPUTED_VALUE"""),"打破常规")</f>
        <v>打破常规</v>
      </c>
      <c r="AI11" s="217"/>
      <c r="AJ11" s="213"/>
    </row>
    <row r="12" spans="1:36" ht="33.75" customHeight="1">
      <c r="A12" s="213"/>
      <c r="B12" s="214">
        <f ca="1">IFERROR(__xludf.DUMMYFUNCTION("""COMPUTED_VALUE"""),2864209)</f>
        <v>2864209</v>
      </c>
      <c r="C12" s="215" t="str">
        <f ca="1">IFERROR(__xludf.DUMMYFUNCTION("""COMPUTED_VALUE"""),"Advanced")</f>
        <v>Advanced</v>
      </c>
      <c r="D12" s="216" t="str">
        <f ca="1">IFERROR(__xludf.DUMMYFUNCTION("""COMPUTED_VALUE"""),"Innovating Out of Crisis")</f>
        <v>Innovating Out of Crisis</v>
      </c>
      <c r="E12" s="217"/>
      <c r="F12" s="213"/>
      <c r="G12" s="214">
        <f ca="1">IFERROR(__xludf.DUMMYFUNCTION("""COMPUTED_VALUE"""),792285)</f>
        <v>792285</v>
      </c>
      <c r="H12" s="215" t="str">
        <f ca="1">IFERROR(__xludf.DUMMYFUNCTION("""COMPUTED_VALUE"""),"Intermediate")</f>
        <v>Intermediate</v>
      </c>
      <c r="I12" s="217" t="str">
        <f ca="1">IFERROR(__xludf.DUMMYFUNCTION("""COMPUTED_VALUE"""),"Design thinking : L'empathie")</f>
        <v>Design thinking : L'empathie</v>
      </c>
      <c r="J12" s="217"/>
      <c r="K12" s="213"/>
      <c r="L12" s="215">
        <f ca="1">IFERROR(__xludf.DUMMYFUNCTION("""COMPUTED_VALUE"""),404375)</f>
        <v>404375</v>
      </c>
      <c r="M12" s="215" t="str">
        <f ca="1">IFERROR(__xludf.DUMMYFUNCTION("""COMPUTED_VALUE"""),"Intermediate")</f>
        <v>Intermediate</v>
      </c>
      <c r="N12" s="217" t="str">
        <f ca="1">IFERROR(__xludf.DUMMYFUNCTION("""COMPUTED_VALUE"""),"Desarrolla tu creatividad: Trucos")</f>
        <v>Desarrolla tu creatividad: Trucos</v>
      </c>
      <c r="O12" s="217"/>
      <c r="P12" s="213"/>
      <c r="Q12" s="215">
        <f ca="1">IFERROR(__xludf.DUMMYFUNCTION("""COMPUTED_VALUE"""),2815032)</f>
        <v>2815032</v>
      </c>
      <c r="R12" s="215" t="str">
        <f ca="1">IFERROR(__xludf.DUMMYFUNCTION("""COMPUTED_VALUE"""),"All levels")</f>
        <v>All levels</v>
      </c>
      <c r="S12" s="217" t="str">
        <f ca="1">IFERROR(__xludf.DUMMYFUNCTION("""COMPUTED_VALUE"""),"Empathie und Kreativität als neue Schlüsselkompetenzen")</f>
        <v>Empathie und Kreativität als neue Schlüsselkompetenzen</v>
      </c>
      <c r="T12" s="217"/>
      <c r="U12" s="213"/>
      <c r="V12" s="215"/>
      <c r="W12" s="215"/>
      <c r="X12" s="217"/>
      <c r="Y12" s="217"/>
      <c r="Z12" s="213"/>
      <c r="AA12" s="215">
        <f ca="1">IFERROR(__xludf.DUMMYFUNCTION("""COMPUTED_VALUE"""),3160806)</f>
        <v>3160806</v>
      </c>
      <c r="AB12" s="215" t="str">
        <f ca="1">IFERROR(__xludf.DUMMYFUNCTION("""COMPUTED_VALUE"""),"Beginner")</f>
        <v>Beginner</v>
      </c>
      <c r="AC12" s="217" t="str">
        <f ca="1">IFERROR(__xludf.DUMMYFUNCTION("""COMPUTED_VALUE"""),"Fundamentos da Criatividade: Como Soltar sua Imaginação e Encontrar Novas Ideias")</f>
        <v>Fundamentos da Criatividade: Como Soltar sua Imaginação e Encontrar Novas Ideias</v>
      </c>
      <c r="AD12" s="217"/>
      <c r="AE12" s="213"/>
      <c r="AF12" s="215">
        <f ca="1">IFERROR(__xludf.DUMMYFUNCTION("""COMPUTED_VALUE"""),2824441)</f>
        <v>2824441</v>
      </c>
      <c r="AG12" s="215" t="str">
        <f ca="1">IFERROR(__xludf.DUMMYFUNCTION("""COMPUTED_VALUE"""),"Advanced")</f>
        <v>Advanced</v>
      </c>
      <c r="AH12" s="217" t="str">
        <f ca="1">IFERROR(__xludf.DUMMYFUNCTION("""COMPUTED_VALUE"""),"打造企业创造力")</f>
        <v>打造企业创造力</v>
      </c>
      <c r="AI12" s="217"/>
      <c r="AJ12" s="213"/>
    </row>
    <row r="13" spans="1:36" ht="33.75" customHeight="1">
      <c r="A13" s="213"/>
      <c r="B13" s="214">
        <f ca="1">IFERROR(__xludf.DUMMYFUNCTION("""COMPUTED_VALUE"""),2876020)</f>
        <v>2876020</v>
      </c>
      <c r="C13" s="215" t="str">
        <f ca="1">IFERROR(__xludf.DUMMYFUNCTION("""COMPUTED_VALUE"""),"Advanced")</f>
        <v>Advanced</v>
      </c>
      <c r="D13" s="216" t="str">
        <f ca="1">IFERROR(__xludf.DUMMYFUNCTION("""COMPUTED_VALUE"""),"Executing on Innovation: A Process That Scales")</f>
        <v>Executing on Innovation: A Process That Scales</v>
      </c>
      <c r="E13" s="217"/>
      <c r="F13" s="213"/>
      <c r="G13" s="214">
        <f ca="1">IFERROR(__xludf.DUMMYFUNCTION("""COMPUTED_VALUE"""),481712)</f>
        <v>481712</v>
      </c>
      <c r="H13" s="215" t="str">
        <f ca="1">IFERROR(__xludf.DUMMYFUNCTION("""COMPUTED_VALUE"""),"Intermediate")</f>
        <v>Intermediate</v>
      </c>
      <c r="I13" s="217" t="str">
        <f ca="1">IFERROR(__xludf.DUMMYFUNCTION("""COMPUTED_VALUE"""),"Développer la créativité d'une équipe")</f>
        <v>Développer la créativité d'une équipe</v>
      </c>
      <c r="J13" s="217"/>
      <c r="K13" s="213"/>
      <c r="L13" s="215">
        <f ca="1">IFERROR(__xludf.DUMMYFUNCTION("""COMPUTED_VALUE"""),708566)</f>
        <v>708566</v>
      </c>
      <c r="M13" s="215" t="str">
        <f ca="1">IFERROR(__xludf.DUMMYFUNCTION("""COMPUTED_VALUE"""),"Intermediate")</f>
        <v>Intermediate</v>
      </c>
      <c r="N13" s="217" t="str">
        <f ca="1">IFERROR(__xludf.DUMMYFUNCTION("""COMPUTED_VALUE"""),"Desarrollar la creatividad en las organizaciones")</f>
        <v>Desarrollar la creatividad en las organizaciones</v>
      </c>
      <c r="O13" s="217"/>
      <c r="P13" s="213"/>
      <c r="Q13" s="215">
        <f ca="1">IFERROR(__xludf.DUMMYFUNCTION("""COMPUTED_VALUE"""),5025620)</f>
        <v>5025620</v>
      </c>
      <c r="R13" s="215" t="str">
        <f ca="1">IFERROR(__xludf.DUMMYFUNCTION("""COMPUTED_VALUE"""),"Beginner, Intermediate")</f>
        <v>Beginner, Intermediate</v>
      </c>
      <c r="S13" s="217" t="str">
        <f ca="1">IFERROR(__xludf.DUMMYFUNCTION("""COMPUTED_VALUE"""),"Führen mit Innovation")</f>
        <v>Führen mit Innovation</v>
      </c>
      <c r="T13" s="217"/>
      <c r="U13" s="213"/>
      <c r="V13" s="215"/>
      <c r="W13" s="215"/>
      <c r="X13" s="217"/>
      <c r="Y13" s="217"/>
      <c r="Z13" s="213"/>
      <c r="AA13" s="215">
        <f ca="1">IFERROR(__xludf.DUMMYFUNCTION("""COMPUTED_VALUE"""),3159819)</f>
        <v>3159819</v>
      </c>
      <c r="AB13" s="215" t="str">
        <f ca="1">IFERROR(__xludf.DUMMYFUNCTION("""COMPUTED_VALUE"""),"Beginner")</f>
        <v>Beginner</v>
      </c>
      <c r="AC13" s="217" t="str">
        <f ca="1">IFERROR(__xludf.DUMMYFUNCTION("""COMPUTED_VALUE"""),"Fundamentos da Criatividade: O Processo de Criação de Ideias")</f>
        <v>Fundamentos da Criatividade: O Processo de Criação de Ideias</v>
      </c>
      <c r="AD13" s="217"/>
      <c r="AE13" s="213"/>
      <c r="AF13" s="215">
        <f ca="1">IFERROR(__xludf.DUMMYFUNCTION("""COMPUTED_VALUE"""),2823602)</f>
        <v>2823602</v>
      </c>
      <c r="AG13" s="215" t="str">
        <f ca="1">IFERROR(__xludf.DUMMYFUNCTION("""COMPUTED_VALUE"""),"All levels")</f>
        <v>All levels</v>
      </c>
      <c r="AH13" s="217" t="str">
        <f ca="1">IFERROR(__xludf.DUMMYFUNCTION("""COMPUTED_VALUE"""),"放下内在批评：释放创造力")</f>
        <v>放下内在批评：释放创造力</v>
      </c>
      <c r="AI13" s="217"/>
      <c r="AJ13" s="213"/>
    </row>
    <row r="14" spans="1:36" ht="33.75" customHeight="1">
      <c r="A14" s="213"/>
      <c r="B14" s="214">
        <f ca="1">IFERROR(__xludf.DUMMYFUNCTION("""COMPUTED_VALUE"""),2813223)</f>
        <v>2813223</v>
      </c>
      <c r="C14" s="215" t="str">
        <f ca="1">IFERROR(__xludf.DUMMYFUNCTION("""COMPUTED_VALUE"""),"General")</f>
        <v>General</v>
      </c>
      <c r="D14" s="216" t="str">
        <f ca="1">IFERROR(__xludf.DUMMYFUNCTION("""COMPUTED_VALUE"""),"Leading like a Futurist")</f>
        <v>Leading like a Futurist</v>
      </c>
      <c r="E14" s="217"/>
      <c r="F14" s="213"/>
      <c r="G14" s="214">
        <f ca="1">IFERROR(__xludf.DUMMYFUNCTION("""COMPUTED_VALUE"""),2467112)</f>
        <v>2467112</v>
      </c>
      <c r="H14" s="215" t="str">
        <f ca="1">IFERROR(__xludf.DUMMYFUNCTION("""COMPUTED_VALUE"""),"All levels")</f>
        <v>All levels</v>
      </c>
      <c r="I14" s="217" t="str">
        <f ca="1">IFERROR(__xludf.DUMMYFUNCTION("""COMPUTED_VALUE"""),"Développer sa créativité pour innover")</f>
        <v>Développer sa créativité pour innover</v>
      </c>
      <c r="J14" s="217"/>
      <c r="K14" s="213"/>
      <c r="L14" s="215">
        <f ca="1">IFERROR(__xludf.DUMMYFUNCTION("""COMPUTED_VALUE"""),2430309)</f>
        <v>2430309</v>
      </c>
      <c r="M14" s="215" t="str">
        <f ca="1">IFERROR(__xludf.DUMMYFUNCTION("""COMPUTED_VALUE"""),"All levels")</f>
        <v>All levels</v>
      </c>
      <c r="N14" s="217" t="str">
        <f ca="1">IFERROR(__xludf.DUMMYFUNCTION("""COMPUTED_VALUE"""),"Desbloquea la creatividad de tu equipo")</f>
        <v>Desbloquea la creatividad de tu equipo</v>
      </c>
      <c r="O14" s="217"/>
      <c r="P14" s="213"/>
      <c r="Q14" s="215">
        <f ca="1">IFERROR(__xludf.DUMMYFUNCTION("""COMPUTED_VALUE"""),612280)</f>
        <v>612280</v>
      </c>
      <c r="R14" s="215" t="str">
        <f ca="1">IFERROR(__xludf.DUMMYFUNCTION("""COMPUTED_VALUE"""),"Beginner")</f>
        <v>Beginner</v>
      </c>
      <c r="S14" s="217" t="str">
        <f ca="1">IFERROR(__xludf.DUMMYFUNCTION("""COMPUTED_VALUE"""),"Ideation: Visuelles Denken und Ideenfindung")</f>
        <v>Ideation: Visuelles Denken und Ideenfindung</v>
      </c>
      <c r="T14" s="217"/>
      <c r="U14" s="213"/>
      <c r="V14" s="215"/>
      <c r="W14" s="215"/>
      <c r="X14" s="217"/>
      <c r="Y14" s="217"/>
      <c r="Z14" s="213"/>
      <c r="AA14" s="215">
        <f ca="1">IFERROR(__xludf.DUMMYFUNCTION("""COMPUTED_VALUE"""),753078)</f>
        <v>753078</v>
      </c>
      <c r="AB14" s="215" t="str">
        <f ca="1">IFERROR(__xludf.DUMMYFUNCTION("""COMPUTED_VALUE"""),"All levels")</f>
        <v>All levels</v>
      </c>
      <c r="AC14" s="217" t="str">
        <f ca="1">IFERROR(__xludf.DUMMYFUNCTION("""COMPUTED_VALUE"""),"Fundamentos de Inovação Empresarial")</f>
        <v>Fundamentos de Inovação Empresarial</v>
      </c>
      <c r="AD14" s="217"/>
      <c r="AE14" s="213"/>
      <c r="AF14" s="215">
        <f ca="1">IFERROR(__xludf.DUMMYFUNCTION("""COMPUTED_VALUE"""),3105031)</f>
        <v>3105031</v>
      </c>
      <c r="AG14" s="215" t="str">
        <f ca="1">IFERROR(__xludf.DUMMYFUNCTION("""COMPUTED_VALUE"""),"All levels")</f>
        <v>All levels</v>
      </c>
      <c r="AH14" s="217" t="str">
        <f ca="1">IFERROR(__xludf.DUMMYFUNCTION("""COMPUTED_VALUE"""),"激发团队创造力")</f>
        <v>激发团队创造力</v>
      </c>
      <c r="AI14" s="217"/>
      <c r="AJ14" s="213"/>
    </row>
    <row r="15" spans="1:36" ht="33.75" customHeight="1">
      <c r="A15" s="213"/>
      <c r="B15" s="214">
        <f ca="1">IFERROR(__xludf.DUMMYFUNCTION("""COMPUTED_VALUE"""),2825455)</f>
        <v>2825455</v>
      </c>
      <c r="C15" s="215" t="str">
        <f ca="1">IFERROR(__xludf.DUMMYFUNCTION("""COMPUTED_VALUE"""),"Intermediate")</f>
        <v>Intermediate</v>
      </c>
      <c r="D15" s="216" t="str">
        <f ca="1">IFERROR(__xludf.DUMMYFUNCTION("""COMPUTED_VALUE"""),"Balancing Innovation and Risk")</f>
        <v>Balancing Innovation and Risk</v>
      </c>
      <c r="E15" s="217"/>
      <c r="F15" s="213"/>
      <c r="G15" s="214">
        <f ca="1">IFERROR(__xludf.DUMMYFUNCTION("""COMPUTED_VALUE"""),3107703)</f>
        <v>3107703</v>
      </c>
      <c r="H15" s="215" t="str">
        <f ca="1">IFERROR(__xludf.DUMMYFUNCTION("""COMPUTED_VALUE"""),"Intermediate")</f>
        <v>Intermediate</v>
      </c>
      <c r="I15" s="217" t="str">
        <f ca="1">IFERROR(__xludf.DUMMYFUNCTION("""COMPUTED_VALUE"""),"Développer son ingéniosité")</f>
        <v>Développer son ingéniosité</v>
      </c>
      <c r="J15" s="217"/>
      <c r="K15" s="213"/>
      <c r="L15" s="215">
        <f ca="1">IFERROR(__xludf.DUMMYFUNCTION("""COMPUTED_VALUE"""),2817178)</f>
        <v>2817178</v>
      </c>
      <c r="M15" s="215" t="str">
        <f ca="1">IFERROR(__xludf.DUMMYFUNCTION("""COMPUTED_VALUE"""),"Beginner, Intermediate")</f>
        <v>Beginner, Intermediate</v>
      </c>
      <c r="N15" s="217" t="str">
        <f ca="1">IFERROR(__xludf.DUMMYFUNCTION("""COMPUTED_VALUE"""),"Design Thinking: Implementar el proceso")</f>
        <v>Design Thinking: Implementar el proceso</v>
      </c>
      <c r="O15" s="217"/>
      <c r="P15" s="213"/>
      <c r="Q15" s="215">
        <f ca="1">IFERROR(__xludf.DUMMYFUNCTION("""COMPUTED_VALUE"""),645723)</f>
        <v>645723</v>
      </c>
      <c r="R15" s="215" t="str">
        <f ca="1">IFERROR(__xludf.DUMMYFUNCTION("""COMPUTED_VALUE"""),"All levels")</f>
        <v>All levels</v>
      </c>
      <c r="S15" s="217" t="str">
        <f ca="1">IFERROR(__xludf.DUMMYFUNCTION("""COMPUTED_VALUE"""),"Ihre Ideen durchsetzen")</f>
        <v>Ihre Ideen durchsetzen</v>
      </c>
      <c r="T15" s="217"/>
      <c r="U15" s="213"/>
      <c r="V15" s="215"/>
      <c r="W15" s="215"/>
      <c r="X15" s="217"/>
      <c r="Y15" s="217"/>
      <c r="Z15" s="213"/>
      <c r="AA15" s="215">
        <f ca="1">IFERROR(__xludf.DUMMYFUNCTION("""COMPUTED_VALUE"""),2388472)</f>
        <v>2388472</v>
      </c>
      <c r="AB15" s="215" t="str">
        <f ca="1">IFERROR(__xludf.DUMMYFUNCTION("""COMPUTED_VALUE"""),"Advanced")</f>
        <v>Advanced</v>
      </c>
      <c r="AC15" s="217" t="str">
        <f ca="1">IFERROR(__xludf.DUMMYFUNCTION("""COMPUTED_VALUE"""),"Liderança Criativa: Como Estimular o Pensamento Inovador em sua Equipe")</f>
        <v>Liderança Criativa: Como Estimular o Pensamento Inovador em sua Equipe</v>
      </c>
      <c r="AD15" s="217"/>
      <c r="AE15" s="213"/>
      <c r="AF15" s="215">
        <f ca="1">IFERROR(__xludf.DUMMYFUNCTION("""COMPUTED_VALUE"""),797750)</f>
        <v>797750</v>
      </c>
      <c r="AG15" s="215" t="str">
        <f ca="1">IFERROR(__xludf.DUMMYFUNCTION("""COMPUTED_VALUE"""),"Intermediate")</f>
        <v>Intermediate</v>
      </c>
      <c r="AH15" s="217" t="str">
        <f ca="1">IFERROR(__xludf.DUMMYFUNCTION("""COMPUTED_VALUE"""),"领导者的冒险精神")</f>
        <v>领导者的冒险精神</v>
      </c>
      <c r="AI15" s="217"/>
      <c r="AJ15" s="213"/>
    </row>
    <row r="16" spans="1:36" ht="33.75" customHeight="1">
      <c r="A16" s="213"/>
      <c r="B16" s="214">
        <f ca="1">IFERROR(__xludf.DUMMYFUNCTION("""COMPUTED_VALUE"""),784282)</f>
        <v>784282</v>
      </c>
      <c r="C16" s="215" t="str">
        <f ca="1">IFERROR(__xludf.DUMMYFUNCTION("""COMPUTED_VALUE"""),"Intermediate")</f>
        <v>Intermediate</v>
      </c>
      <c r="D16" s="216" t="str">
        <f ca="1">IFERROR(__xludf.DUMMYFUNCTION("""COMPUTED_VALUE"""),"Strategic Focus for Managers")</f>
        <v>Strategic Focus for Managers</v>
      </c>
      <c r="E16" s="217"/>
      <c r="F16" s="213"/>
      <c r="G16" s="214">
        <f ca="1">IFERROR(__xludf.DUMMYFUNCTION("""COMPUTED_VALUE"""),3107704)</f>
        <v>3107704</v>
      </c>
      <c r="H16" s="215" t="str">
        <f ca="1">IFERROR(__xludf.DUMMYFUNCTION("""COMPUTED_VALUE"""),"Beginner")</f>
        <v>Beginner</v>
      </c>
      <c r="I16" s="217" t="str">
        <f ca="1">IFERROR(__xludf.DUMMYFUNCTION("""COMPUTED_VALUE"""),"Encourager son équipe à apprendre")</f>
        <v>Encourager son équipe à apprendre</v>
      </c>
      <c r="J16" s="217"/>
      <c r="K16" s="213"/>
      <c r="L16" s="215">
        <f ca="1">IFERROR(__xludf.DUMMYFUNCTION("""COMPUTED_VALUE"""),2817177)</f>
        <v>2817177</v>
      </c>
      <c r="M16" s="215" t="str">
        <f ca="1">IFERROR(__xludf.DUMMYFUNCTION("""COMPUTED_VALUE"""),"Beginner, Intermediate")</f>
        <v>Beginner, Intermediate</v>
      </c>
      <c r="N16" s="217" t="str">
        <f ca="1">IFERROR(__xludf.DUMMYFUNCTION("""COMPUTED_VALUE"""),"Fundamentos de Design Thinking")</f>
        <v>Fundamentos de Design Thinking</v>
      </c>
      <c r="O16" s="217"/>
      <c r="P16" s="213"/>
      <c r="Q16" s="215">
        <f ca="1">IFERROR(__xludf.DUMMYFUNCTION("""COMPUTED_VALUE"""),713867)</f>
        <v>713867</v>
      </c>
      <c r="R16" s="215" t="str">
        <f ca="1">IFERROR(__xludf.DUMMYFUNCTION("""COMPUTED_VALUE"""),"All levels")</f>
        <v>All levels</v>
      </c>
      <c r="S16" s="217" t="str">
        <f ca="1">IFERROR(__xludf.DUMMYFUNCTION("""COMPUTED_VALUE"""),"Innovation in Unternehmen")</f>
        <v>Innovation in Unternehmen</v>
      </c>
      <c r="T16" s="217"/>
      <c r="U16" s="213"/>
      <c r="V16" s="215"/>
      <c r="W16" s="215"/>
      <c r="X16" s="217"/>
      <c r="Y16" s="217"/>
      <c r="Z16" s="213"/>
      <c r="AA16" s="215">
        <f ca="1">IFERROR(__xludf.DUMMYFUNCTION("""COMPUTED_VALUE"""),2841370)</f>
        <v>2841370</v>
      </c>
      <c r="AB16" s="215" t="str">
        <f ca="1">IFERROR(__xludf.DUMMYFUNCTION("""COMPUTED_VALUE"""),"Intermediate")</f>
        <v>Intermediate</v>
      </c>
      <c r="AC16" s="217" t="str">
        <f ca="1">IFERROR(__xludf.DUMMYFUNCTION("""COMPUTED_VALUE"""),"O Poder das Perguntas para Estimular o Pensamento Crítico e a Curiosidade")</f>
        <v>O Poder das Perguntas para Estimular o Pensamento Crítico e a Curiosidade</v>
      </c>
      <c r="AD16" s="217"/>
      <c r="AE16" s="213"/>
      <c r="AF16" s="215">
        <f ca="1">IFERROR(__xludf.DUMMYFUNCTION("""COMPUTED_VALUE"""),802087)</f>
        <v>802087</v>
      </c>
      <c r="AG16" s="215" t="str">
        <f ca="1">IFERROR(__xludf.DUMMYFUNCTION("""COMPUTED_VALUE"""),"All levels")</f>
        <v>All levels</v>
      </c>
      <c r="AH16" s="217" t="str">
        <f ca="1">IFERROR(__xludf.DUMMYFUNCTION("""COMPUTED_VALUE"""),"颠覆自我")</f>
        <v>颠覆自我</v>
      </c>
      <c r="AI16" s="217"/>
      <c r="AJ16" s="213"/>
    </row>
    <row r="17" spans="1:36" ht="33.75" customHeight="1">
      <c r="A17" s="213"/>
      <c r="B17" s="214">
        <f ca="1">IFERROR(__xludf.DUMMYFUNCTION("""COMPUTED_VALUE"""),2807856)</f>
        <v>2807856</v>
      </c>
      <c r="C17" s="215" t="str">
        <f ca="1">IFERROR(__xludf.DUMMYFUNCTION("""COMPUTED_VALUE"""),"General")</f>
        <v>General</v>
      </c>
      <c r="D17" s="216" t="str">
        <f ca="1">IFERROR(__xludf.DUMMYFUNCTION("""COMPUTED_VALUE"""),"Unlock Your Team's Creativity")</f>
        <v>Unlock Your Team's Creativity</v>
      </c>
      <c r="E17" s="217"/>
      <c r="F17" s="213"/>
      <c r="G17" s="214">
        <f ca="1">IFERROR(__xludf.DUMMYFUNCTION("""COMPUTED_VALUE"""),5025546)</f>
        <v>5025546</v>
      </c>
      <c r="H17" s="215" t="str">
        <f ca="1">IFERROR(__xludf.DUMMYFUNCTION("""COMPUTED_VALUE"""),"Intermediate")</f>
        <v>Intermediate</v>
      </c>
      <c r="I17" s="217" t="str">
        <f ca="1">IFERROR(__xludf.DUMMYFUNCTION("""COMPUTED_VALUE"""),"Être à la pointe de l'innovation")</f>
        <v>Être à la pointe de l'innovation</v>
      </c>
      <c r="J17" s="217"/>
      <c r="K17" s="213"/>
      <c r="L17" s="215">
        <f ca="1">IFERROR(__xludf.DUMMYFUNCTION("""COMPUTED_VALUE"""),2834025)</f>
        <v>2834025</v>
      </c>
      <c r="M17" s="215" t="str">
        <f ca="1">IFERROR(__xludf.DUMMYFUNCTION("""COMPUTED_VALUE"""),"Beginner")</f>
        <v>Beginner</v>
      </c>
      <c r="N17" s="217" t="str">
        <f ca="1">IFERROR(__xludf.DUMMYFUNCTION("""COMPUTED_VALUE"""),"Fundamentos de la economía naranja")</f>
        <v>Fundamentos de la economía naranja</v>
      </c>
      <c r="O17" s="217"/>
      <c r="P17" s="213"/>
      <c r="Q17" s="215">
        <f ca="1">IFERROR(__xludf.DUMMYFUNCTION("""COMPUTED_VALUE"""),738365)</f>
        <v>738365</v>
      </c>
      <c r="R17" s="215" t="str">
        <f ca="1">IFERROR(__xludf.DUMMYFUNCTION("""COMPUTED_VALUE"""),"Intermediate")</f>
        <v>Intermediate</v>
      </c>
      <c r="S17" s="217" t="str">
        <f ca="1">IFERROR(__xludf.DUMMYFUNCTION("""COMPUTED_VALUE"""),"Innovative Techniken im Kundenservice")</f>
        <v>Innovative Techniken im Kundenservice</v>
      </c>
      <c r="T17" s="217"/>
      <c r="U17" s="213"/>
      <c r="V17" s="215"/>
      <c r="W17" s="215"/>
      <c r="X17" s="217"/>
      <c r="Y17" s="217"/>
      <c r="Z17" s="213"/>
      <c r="AA17" s="215">
        <f ca="1">IFERROR(__xludf.DUMMYFUNCTION("""COMPUTED_VALUE"""),753228)</f>
        <v>753228</v>
      </c>
      <c r="AB17" s="215" t="str">
        <f ca="1">IFERROR(__xludf.DUMMYFUNCTION("""COMPUTED_VALUE"""),"Beginner")</f>
        <v>Beginner</v>
      </c>
      <c r="AC17" s="217" t="str">
        <f ca="1">IFERROR(__xludf.DUMMYFUNCTION("""COMPUTED_VALUE"""),"O Processo Criativo em Cinco Etapas")</f>
        <v>O Processo Criativo em Cinco Etapas</v>
      </c>
      <c r="AD17" s="217"/>
      <c r="AE17" s="213"/>
      <c r="AF17" s="215"/>
      <c r="AG17" s="215"/>
      <c r="AH17" s="217"/>
      <c r="AI17" s="217"/>
      <c r="AJ17" s="213"/>
    </row>
    <row r="18" spans="1:36" ht="33.75" customHeight="1">
      <c r="A18" s="213"/>
      <c r="B18" s="214">
        <f ca="1">IFERROR(__xludf.DUMMYFUNCTION("""COMPUTED_VALUE"""),685022)</f>
        <v>685022</v>
      </c>
      <c r="C18" s="215" t="str">
        <f ca="1">IFERROR(__xludf.DUMMYFUNCTION("""COMPUTED_VALUE"""),"Intermediate")</f>
        <v>Intermediate</v>
      </c>
      <c r="D18" s="216" t="str">
        <f ca="1">IFERROR(__xludf.DUMMYFUNCTION("""COMPUTED_VALUE"""),"Using Questions to Foster Critical Thinking and Curiosity")</f>
        <v>Using Questions to Foster Critical Thinking and Curiosity</v>
      </c>
      <c r="E18" s="217"/>
      <c r="F18" s="213"/>
      <c r="G18" s="214">
        <f ca="1">IFERROR(__xludf.DUMMYFUNCTION("""COMPUTED_VALUE"""),2835105)</f>
        <v>2835105</v>
      </c>
      <c r="H18" s="215" t="str">
        <f ca="1">IFERROR(__xludf.DUMMYFUNCTION("""COMPUTED_VALUE"""),"All levels")</f>
        <v>All levels</v>
      </c>
      <c r="I18" s="217" t="str">
        <f ca="1">IFERROR(__xludf.DUMMYFUNCTION("""COMPUTED_VALUE"""),"La créativité pour tous : Série hebdomadaire")</f>
        <v>La créativité pour tous : Série hebdomadaire</v>
      </c>
      <c r="J18" s="217"/>
      <c r="K18" s="213"/>
      <c r="L18" s="215">
        <f ca="1">IFERROR(__xludf.DUMMYFUNCTION("""COMPUTED_VALUE"""),2865000)</f>
        <v>2865000</v>
      </c>
      <c r="M18" s="215" t="str">
        <f ca="1">IFERROR(__xludf.DUMMYFUNCTION("""COMPUTED_VALUE"""),"All levels")</f>
        <v>All levels</v>
      </c>
      <c r="N18" s="217" t="str">
        <f ca="1">IFERROR(__xludf.DUMMYFUNCTION("""COMPUTED_VALUE"""),"Fundamentos de matemática: Aplicaciones útiles en tu día a día")</f>
        <v>Fundamentos de matemática: Aplicaciones útiles en tu día a día</v>
      </c>
      <c r="O18" s="217"/>
      <c r="P18" s="213"/>
      <c r="Q18" s="215">
        <f ca="1">IFERROR(__xludf.DUMMYFUNCTION("""COMPUTED_VALUE"""),2810237)</f>
        <v>2810237</v>
      </c>
      <c r="R18" s="215" t="str">
        <f ca="1">IFERROR(__xludf.DUMMYFUNCTION("""COMPUTED_VALUE"""),"Beginner")</f>
        <v>Beginner</v>
      </c>
      <c r="S18" s="217" t="str">
        <f ca="1">IFERROR(__xludf.DUMMYFUNCTION("""COMPUTED_VALUE"""),"Kreative Ideen entwickeln: Arten von Kreativität")</f>
        <v>Kreative Ideen entwickeln: Arten von Kreativität</v>
      </c>
      <c r="T18" s="217"/>
      <c r="U18" s="213"/>
      <c r="V18" s="215"/>
      <c r="W18" s="215"/>
      <c r="X18" s="217"/>
      <c r="Y18" s="217"/>
      <c r="Z18" s="213"/>
      <c r="AA18" s="215">
        <f ca="1">IFERROR(__xludf.DUMMYFUNCTION("""COMPUTED_VALUE"""),2902080)</f>
        <v>2902080</v>
      </c>
      <c r="AB18" s="215" t="str">
        <f ca="1">IFERROR(__xludf.DUMMYFUNCTION("""COMPUTED_VALUE"""),"All levels")</f>
        <v>All levels</v>
      </c>
      <c r="AC18" s="217" t="str">
        <f ca="1">IFERROR(__xludf.DUMMYFUNCTION("""COMPUTED_VALUE"""),"Técnicas para Desbloquear a Criatividade e Estimular a Inovação")</f>
        <v>Técnicas para Desbloquear a Criatividade e Estimular a Inovação</v>
      </c>
      <c r="AD18" s="217"/>
      <c r="AE18" s="213"/>
      <c r="AF18" s="215"/>
      <c r="AG18" s="215"/>
      <c r="AH18" s="217"/>
      <c r="AI18" s="217"/>
      <c r="AJ18" s="213"/>
    </row>
    <row r="19" spans="1:36" ht="33.75" customHeight="1">
      <c r="A19" s="213"/>
      <c r="B19" s="214">
        <f ca="1">IFERROR(__xludf.DUMMYFUNCTION("""COMPUTED_VALUE"""),2297062)</f>
        <v>2297062</v>
      </c>
      <c r="C19" s="215" t="str">
        <f ca="1">IFERROR(__xludf.DUMMYFUNCTION("""COMPUTED_VALUE"""),"Intermediate")</f>
        <v>Intermediate</v>
      </c>
      <c r="D19" s="216" t="str">
        <f ca="1">IFERROR(__xludf.DUMMYFUNCTION("""COMPUTED_VALUE"""),"The Business Case for Creativity")</f>
        <v>The Business Case for Creativity</v>
      </c>
      <c r="E19" s="217"/>
      <c r="F19" s="213"/>
      <c r="G19" s="214">
        <f ca="1">IFERROR(__xludf.DUMMYFUNCTION("""COMPUTED_VALUE"""),771372)</f>
        <v>771372</v>
      </c>
      <c r="H19" s="215" t="str">
        <f ca="1">IFERROR(__xludf.DUMMYFUNCTION("""COMPUTED_VALUE"""),"Advanced")</f>
        <v>Advanced</v>
      </c>
      <c r="I19" s="217" t="str">
        <f ca="1">IFERROR(__xludf.DUMMYFUNCTION("""COMPUTED_VALUE"""),"La minute créative pour les leaders : Série")</f>
        <v>La minute créative pour les leaders : Série</v>
      </c>
      <c r="J19" s="217"/>
      <c r="K19" s="213"/>
      <c r="L19" s="215">
        <f ca="1">IFERROR(__xludf.DUMMYFUNCTION("""COMPUTED_VALUE"""),2861077)</f>
        <v>2861077</v>
      </c>
      <c r="M19" s="215" t="str">
        <f ca="1">IFERROR(__xludf.DUMMYFUNCTION("""COMPUTED_VALUE"""),"Beginner")</f>
        <v>Beginner</v>
      </c>
      <c r="N19" s="217" t="str">
        <f ca="1">IFERROR(__xludf.DUMMYFUNCTION("""COMPUTED_VALUE"""),"Fundamentos de matemática: Bases y cálculo mental")</f>
        <v>Fundamentos de matemática: Bases y cálculo mental</v>
      </c>
      <c r="O19" s="217"/>
      <c r="P19" s="213"/>
      <c r="Q19" s="215">
        <f ca="1">IFERROR(__xludf.DUMMYFUNCTION("""COMPUTED_VALUE"""),2809212)</f>
        <v>2809212</v>
      </c>
      <c r="R19" s="215" t="str">
        <f ca="1">IFERROR(__xludf.DUMMYFUNCTION("""COMPUTED_VALUE"""),"Beginner")</f>
        <v>Beginner</v>
      </c>
      <c r="S19" s="217" t="str">
        <f ca="1">IFERROR(__xludf.DUMMYFUNCTION("""COMPUTED_VALUE"""),"Kreative Ideen entwickeln: Basiswissen")</f>
        <v>Kreative Ideen entwickeln: Basiswissen</v>
      </c>
      <c r="T19" s="217"/>
      <c r="U19" s="213"/>
      <c r="V19" s="215"/>
      <c r="W19" s="215"/>
      <c r="X19" s="217"/>
      <c r="Y19" s="217"/>
      <c r="Z19" s="213"/>
      <c r="AA19" s="215">
        <f ca="1">IFERROR(__xludf.DUMMYFUNCTION("""COMPUTED_VALUE"""),753217)</f>
        <v>753217</v>
      </c>
      <c r="AB19" s="215" t="str">
        <f ca="1">IFERROR(__xludf.DUMMYFUNCTION("""COMPUTED_VALUE"""),"All levels")</f>
        <v>All levels</v>
      </c>
      <c r="AC19" s="217" t="str">
        <f ca="1">IFERROR(__xludf.DUMMYFUNCTION("""COMPUTED_VALUE"""),"Transforme-se com a Inovação Disruptiva")</f>
        <v>Transforme-se com a Inovação Disruptiva</v>
      </c>
      <c r="AD19" s="217"/>
      <c r="AE19" s="213"/>
      <c r="AF19" s="215"/>
      <c r="AG19" s="215"/>
      <c r="AH19" s="217"/>
      <c r="AI19" s="217"/>
      <c r="AJ19" s="213"/>
    </row>
    <row r="20" spans="1:36" ht="33.75" customHeight="1">
      <c r="A20" s="213"/>
      <c r="B20" s="214">
        <f ca="1">IFERROR(__xludf.DUMMYFUNCTION("""COMPUTED_VALUE"""),2888004)</f>
        <v>2888004</v>
      </c>
      <c r="C20" s="215" t="str">
        <f ca="1">IFERROR(__xludf.DUMMYFUNCTION("""COMPUTED_VALUE"""),"Intermediate")</f>
        <v>Intermediate</v>
      </c>
      <c r="D20" s="216" t="str">
        <f ca="1">IFERROR(__xludf.DUMMYFUNCTION("""COMPUTED_VALUE"""),"Creative Thinking Strategies for Leaders")</f>
        <v>Creative Thinking Strategies for Leaders</v>
      </c>
      <c r="E20" s="217"/>
      <c r="F20" s="213"/>
      <c r="G20" s="214">
        <f ca="1">IFERROR(__xludf.DUMMYFUNCTION("""COMPUTED_VALUE"""),605125)</f>
        <v>605125</v>
      </c>
      <c r="H20" s="215" t="str">
        <f ca="1">IFERROR(__xludf.DUMMYFUNCTION("""COMPUTED_VALUE"""),"All levels")</f>
        <v>All levels</v>
      </c>
      <c r="I20" s="217" t="str">
        <f ca="1">IFERROR(__xludf.DUMMYFUNCTION("""COMPUTED_VALUE"""),"Les fondements de l'innovation commerciale")</f>
        <v>Les fondements de l'innovation commerciale</v>
      </c>
      <c r="J20" s="217"/>
      <c r="K20" s="213"/>
      <c r="L20" s="215">
        <f ca="1">IFERROR(__xludf.DUMMYFUNCTION("""COMPUTED_VALUE"""),608979)</f>
        <v>608979</v>
      </c>
      <c r="M20" s="215" t="str">
        <f ca="1">IFERROR(__xludf.DUMMYFUNCTION("""COMPUTED_VALUE"""),"Beginner")</f>
        <v>Beginner</v>
      </c>
      <c r="N20" s="217" t="str">
        <f ca="1">IFERROR(__xludf.DUMMYFUNCTION("""COMPUTED_VALUE"""),"Innovación en la empresa")</f>
        <v>Innovación en la empresa</v>
      </c>
      <c r="O20" s="217"/>
      <c r="P20" s="213"/>
      <c r="Q20" s="215">
        <f ca="1">IFERROR(__xludf.DUMMYFUNCTION("""COMPUTED_VALUE"""),2810238)</f>
        <v>2810238</v>
      </c>
      <c r="R20" s="215" t="str">
        <f ca="1">IFERROR(__xludf.DUMMYFUNCTION("""COMPUTED_VALUE"""),"Intermediate")</f>
        <v>Intermediate</v>
      </c>
      <c r="S20" s="217" t="str">
        <f ca="1">IFERROR(__xludf.DUMMYFUNCTION("""COMPUTED_VALUE"""),"Kreative Ideen entwickeln: Die kreative Persönlichkeit")</f>
        <v>Kreative Ideen entwickeln: Die kreative Persönlichkeit</v>
      </c>
      <c r="T20" s="217"/>
      <c r="U20" s="213"/>
      <c r="V20" s="215"/>
      <c r="W20" s="215"/>
      <c r="X20" s="217"/>
      <c r="Y20" s="217"/>
      <c r="Z20" s="213"/>
      <c r="AA20" s="215">
        <f ca="1">IFERROR(__xludf.DUMMYFUNCTION("""COMPUTED_VALUE"""),2910535)</f>
        <v>2910535</v>
      </c>
      <c r="AB20" s="215" t="str">
        <f ca="1">IFERROR(__xludf.DUMMYFUNCTION("""COMPUTED_VALUE"""),"All levels")</f>
        <v>All levels</v>
      </c>
      <c r="AC20" s="217" t="str">
        <f ca="1">IFERROR(__xludf.DUMMYFUNCTION("""COMPUTED_VALUE"""),"Truques Criativos para Líderes")</f>
        <v>Truques Criativos para Líderes</v>
      </c>
      <c r="AD20" s="217"/>
      <c r="AE20" s="213"/>
      <c r="AF20" s="215"/>
      <c r="AG20" s="215"/>
      <c r="AH20" s="217"/>
      <c r="AI20" s="217"/>
      <c r="AJ20" s="213"/>
    </row>
    <row r="21" spans="1:36" ht="33.75" customHeight="1">
      <c r="A21" s="213"/>
      <c r="B21" s="214">
        <f ca="1">IFERROR(__xludf.DUMMYFUNCTION("""COMPUTED_VALUE"""),2299017)</f>
        <v>2299017</v>
      </c>
      <c r="C21" s="215" t="str">
        <f ca="1">IFERROR(__xludf.DUMMYFUNCTION("""COMPUTED_VALUE"""),"Advanced")</f>
        <v>Advanced</v>
      </c>
      <c r="D21" s="216" t="str">
        <f ca="1">IFERROR(__xludf.DUMMYFUNCTION("""COMPUTED_VALUE"""),"Developing Your Creativity as a Leader")</f>
        <v>Developing Your Creativity as a Leader</v>
      </c>
      <c r="E21" s="217"/>
      <c r="F21" s="213"/>
      <c r="G21" s="214">
        <f ca="1">IFERROR(__xludf.DUMMYFUNCTION("""COMPUTED_VALUE"""),707937)</f>
        <v>707937</v>
      </c>
      <c r="H21" s="215" t="str">
        <f ca="1">IFERROR(__xludf.DUMMYFUNCTION("""COMPUTED_VALUE"""),"Intermediate")</f>
        <v>Intermediate</v>
      </c>
      <c r="I21" s="217" t="str">
        <f ca="1">IFERROR(__xludf.DUMMYFUNCTION("""COMPUTED_VALUE"""),"Sortir de la routine")</f>
        <v>Sortir de la routine</v>
      </c>
      <c r="J21" s="217"/>
      <c r="K21" s="213"/>
      <c r="L21" s="215">
        <f ca="1">IFERROR(__xludf.DUMMYFUNCTION("""COMPUTED_VALUE"""),5025621)</f>
        <v>5025621</v>
      </c>
      <c r="M21" s="215" t="str">
        <f ca="1">IFERROR(__xludf.DUMMYFUNCTION("""COMPUTED_VALUE"""),"Beginner")</f>
        <v>Beginner</v>
      </c>
      <c r="N21" s="217" t="str">
        <f ca="1">IFERROR(__xludf.DUMMYFUNCTION("""COMPUTED_VALUE"""),"Liderazgo con innovación")</f>
        <v>Liderazgo con innovación</v>
      </c>
      <c r="O21" s="217"/>
      <c r="P21" s="213"/>
      <c r="Q21" s="215">
        <f ca="1">IFERROR(__xludf.DUMMYFUNCTION("""COMPUTED_VALUE"""),2809211)</f>
        <v>2809211</v>
      </c>
      <c r="R21" s="215" t="str">
        <f ca="1">IFERROR(__xludf.DUMMYFUNCTION("""COMPUTED_VALUE"""),"Intermediate")</f>
        <v>Intermediate</v>
      </c>
      <c r="S21" s="217" t="str">
        <f ca="1">IFERROR(__xludf.DUMMYFUNCTION("""COMPUTED_VALUE"""),"Kreative Ideen entwickeln: Ideen bewerten")</f>
        <v>Kreative Ideen entwickeln: Ideen bewerten</v>
      </c>
      <c r="T21" s="217"/>
      <c r="U21" s="213"/>
      <c r="V21" s="215"/>
      <c r="W21" s="215"/>
      <c r="X21" s="217"/>
      <c r="Y21" s="217"/>
      <c r="Z21" s="213"/>
      <c r="AA21" s="215"/>
      <c r="AB21" s="215"/>
      <c r="AC21" s="217"/>
      <c r="AD21" s="217"/>
      <c r="AE21" s="213"/>
      <c r="AF21" s="215"/>
      <c r="AG21" s="215"/>
      <c r="AH21" s="217"/>
      <c r="AI21" s="217"/>
      <c r="AJ21" s="213"/>
    </row>
    <row r="22" spans="1:36" ht="33.75" customHeight="1">
      <c r="A22" s="213"/>
      <c r="B22" s="214">
        <f ca="1">IFERROR(__xludf.DUMMYFUNCTION("""COMPUTED_VALUE"""),548712)</f>
        <v>548712</v>
      </c>
      <c r="C22" s="215" t="str">
        <f ca="1">IFERROR(__xludf.DUMMYFUNCTION("""COMPUTED_VALUE"""),"Beginner")</f>
        <v>Beginner</v>
      </c>
      <c r="D22" s="216" t="str">
        <f ca="1">IFERROR(__xludf.DUMMYFUNCTION("""COMPUTED_VALUE"""),"Thinking Creatively")</f>
        <v>Thinking Creatively</v>
      </c>
      <c r="E22" s="217"/>
      <c r="F22" s="213"/>
      <c r="G22" s="214">
        <f ca="1">IFERROR(__xludf.DUMMYFUNCTION("""COMPUTED_VALUE"""),610659)</f>
        <v>610659</v>
      </c>
      <c r="H22" s="215" t="str">
        <f ca="1">IFERROR(__xludf.DUMMYFUNCTION("""COMPUTED_VALUE"""),"Intermediate")</f>
        <v>Intermediate</v>
      </c>
      <c r="I22" s="217" t="str">
        <f ca="1">IFERROR(__xludf.DUMMYFUNCTION("""COMPUTED_VALUE"""),"Sortir du cadre")</f>
        <v>Sortir du cadre</v>
      </c>
      <c r="J22" s="217"/>
      <c r="K22" s="213"/>
      <c r="L22" s="215">
        <f ca="1">IFERROR(__xludf.DUMMYFUNCTION("""COMPUTED_VALUE"""),2841041)</f>
        <v>2841041</v>
      </c>
      <c r="M22" s="215" t="str">
        <f ca="1">IFERROR(__xludf.DUMMYFUNCTION("""COMPUTED_VALUE"""),"Advanced")</f>
        <v>Advanced</v>
      </c>
      <c r="N22" s="217" t="str">
        <f ca="1">IFERROR(__xludf.DUMMYFUNCTION("""COMPUTED_VALUE"""),"Liderazgo creativo")</f>
        <v>Liderazgo creativo</v>
      </c>
      <c r="O22" s="217"/>
      <c r="P22" s="213"/>
      <c r="Q22" s="215">
        <f ca="1">IFERROR(__xludf.DUMMYFUNCTION("""COMPUTED_VALUE"""),2810236)</f>
        <v>2810236</v>
      </c>
      <c r="R22" s="215" t="str">
        <f ca="1">IFERROR(__xludf.DUMMYFUNCTION("""COMPUTED_VALUE"""),"Intermediate")</f>
        <v>Intermediate</v>
      </c>
      <c r="S22" s="217" t="str">
        <f ca="1">IFERROR(__xludf.DUMMYFUNCTION("""COMPUTED_VALUE"""),"Kreative Ideen entwickeln: innere und äußere Blockaden überwinden")</f>
        <v>Kreative Ideen entwickeln: innere und äußere Blockaden überwinden</v>
      </c>
      <c r="T22" s="217"/>
      <c r="U22" s="213"/>
      <c r="V22" s="215"/>
      <c r="W22" s="215"/>
      <c r="X22" s="217"/>
      <c r="Y22" s="217"/>
      <c r="Z22" s="213"/>
      <c r="AA22" s="215"/>
      <c r="AB22" s="215"/>
      <c r="AC22" s="217"/>
      <c r="AD22" s="217"/>
      <c r="AE22" s="213"/>
      <c r="AF22" s="215"/>
      <c r="AG22" s="215"/>
      <c r="AH22" s="217"/>
      <c r="AI22" s="217"/>
      <c r="AJ22" s="213"/>
    </row>
    <row r="23" spans="1:36" ht="33.75" customHeight="1">
      <c r="A23" s="213"/>
      <c r="B23" s="214">
        <f ca="1">IFERROR(__xludf.DUMMYFUNCTION("""COMPUTED_VALUE"""),178137)</f>
        <v>178137</v>
      </c>
      <c r="C23" s="215" t="str">
        <f ca="1">IFERROR(__xludf.DUMMYFUNCTION("""COMPUTED_VALUE"""),"Beginner")</f>
        <v>Beginner</v>
      </c>
      <c r="D23" s="216" t="str">
        <f ca="1">IFERROR(__xludf.DUMMYFUNCTION("""COMPUTED_VALUE"""),"Learning Brainstorming")</f>
        <v>Learning Brainstorming</v>
      </c>
      <c r="E23" s="217"/>
      <c r="F23" s="213"/>
      <c r="G23" s="214"/>
      <c r="H23" s="215"/>
      <c r="I23" s="217"/>
      <c r="J23" s="217"/>
      <c r="K23" s="213"/>
      <c r="L23" s="215">
        <f ca="1">IFERROR(__xludf.DUMMYFUNCTION("""COMPUTED_VALUE"""),688052)</f>
        <v>688052</v>
      </c>
      <c r="M23" s="215" t="str">
        <f ca="1">IFERROR(__xludf.DUMMYFUNCTION("""COMPUTED_VALUE"""),"All levels")</f>
        <v>All levels</v>
      </c>
      <c r="N23" s="217" t="str">
        <f ca="1">IFERROR(__xludf.DUMMYFUNCTION("""COMPUTED_VALUE"""),"Los cinco pasos del proceso creativo")</f>
        <v>Los cinco pasos del proceso creativo</v>
      </c>
      <c r="O23" s="217"/>
      <c r="P23" s="213"/>
      <c r="Q23" s="215">
        <f ca="1">IFERROR(__xludf.DUMMYFUNCTION("""COMPUTED_VALUE"""),2809210)</f>
        <v>2809210</v>
      </c>
      <c r="R23" s="215" t="str">
        <f ca="1">IFERROR(__xludf.DUMMYFUNCTION("""COMPUTED_VALUE"""),"All levels")</f>
        <v>All levels</v>
      </c>
      <c r="S23" s="217" t="str">
        <f ca="1">IFERROR(__xludf.DUMMYFUNCTION("""COMPUTED_VALUE"""),"Kreative Ideen entwickeln: Tipps &amp; Tricks")</f>
        <v>Kreative Ideen entwickeln: Tipps &amp; Tricks</v>
      </c>
      <c r="T23" s="217"/>
      <c r="U23" s="213"/>
      <c r="V23" s="215"/>
      <c r="W23" s="215"/>
      <c r="X23" s="217"/>
      <c r="Y23" s="217"/>
      <c r="Z23" s="213"/>
      <c r="AA23" s="215"/>
      <c r="AB23" s="215"/>
      <c r="AC23" s="217"/>
      <c r="AD23" s="217"/>
      <c r="AE23" s="213"/>
      <c r="AF23" s="215"/>
      <c r="AG23" s="215"/>
      <c r="AH23" s="217"/>
      <c r="AI23" s="217"/>
      <c r="AJ23" s="213"/>
    </row>
    <row r="24" spans="1:36" ht="33.75" customHeight="1">
      <c r="A24" s="213"/>
      <c r="B24" s="214">
        <f ca="1">IFERROR(__xludf.DUMMYFUNCTION("""COMPUTED_VALUE"""),2804654)</f>
        <v>2804654</v>
      </c>
      <c r="C24" s="215" t="str">
        <f ca="1">IFERROR(__xludf.DUMMYFUNCTION("""COMPUTED_VALUE"""),"Beginner")</f>
        <v>Beginner</v>
      </c>
      <c r="D24" s="216" t="str">
        <f ca="1">IFERROR(__xludf.DUMMYFUNCTION("""COMPUTED_VALUE"""),"Take a More Creative Approach to Problem-Solving")</f>
        <v>Take a More Creative Approach to Problem-Solving</v>
      </c>
      <c r="E24" s="217"/>
      <c r="F24" s="213"/>
      <c r="G24" s="214"/>
      <c r="H24" s="215"/>
      <c r="I24" s="217"/>
      <c r="J24" s="217"/>
      <c r="K24" s="213"/>
      <c r="L24" s="215">
        <f ca="1">IFERROR(__xludf.DUMMYFUNCTION("""COMPUTED_VALUE"""),730897)</f>
        <v>730897</v>
      </c>
      <c r="M24" s="215" t="str">
        <f ca="1">IFERROR(__xludf.DUMMYFUNCTION("""COMPUTED_VALUE"""),"Intermediate")</f>
        <v>Intermediate</v>
      </c>
      <c r="N24" s="217" t="str">
        <f ca="1">IFERROR(__xludf.DUMMYFUNCTION("""COMPUTED_VALUE"""),"Técnicas innovadoras de atención al cliente")</f>
        <v>Técnicas innovadoras de atención al cliente</v>
      </c>
      <c r="O24" s="217"/>
      <c r="P24" s="213"/>
      <c r="Q24" s="215">
        <f ca="1">IFERROR(__xludf.DUMMYFUNCTION("""COMPUTED_VALUE"""),5039149)</f>
        <v>5039149</v>
      </c>
      <c r="R24" s="215" t="str">
        <f ca="1">IFERROR(__xludf.DUMMYFUNCTION("""COMPUTED_VALUE"""),"All levels")</f>
        <v>All levels</v>
      </c>
      <c r="S24" s="217" t="str">
        <f ca="1">IFERROR(__xludf.DUMMYFUNCTION("""COMPUTED_VALUE"""),"Kreative Ideen in 10 Minuten")</f>
        <v>Kreative Ideen in 10 Minuten</v>
      </c>
      <c r="T24" s="217"/>
      <c r="U24" s="213"/>
      <c r="V24" s="215"/>
      <c r="W24" s="215"/>
      <c r="X24" s="217"/>
      <c r="Y24" s="217"/>
      <c r="Z24" s="213"/>
      <c r="AA24" s="215"/>
      <c r="AB24" s="215"/>
      <c r="AC24" s="217"/>
      <c r="AD24" s="217"/>
      <c r="AE24" s="213"/>
      <c r="AF24" s="215"/>
      <c r="AG24" s="215"/>
      <c r="AH24" s="217"/>
      <c r="AI24" s="217"/>
      <c r="AJ24" s="213"/>
    </row>
    <row r="25" spans="1:36" ht="33.75" customHeight="1">
      <c r="A25" s="213"/>
      <c r="B25" s="214">
        <f ca="1">IFERROR(__xludf.DUMMYFUNCTION("""COMPUTED_VALUE"""),178138)</f>
        <v>178138</v>
      </c>
      <c r="C25" s="215" t="str">
        <f ca="1">IFERROR(__xludf.DUMMYFUNCTION("""COMPUTED_VALUE"""),"Beginner")</f>
        <v>Beginner</v>
      </c>
      <c r="D25" s="216" t="str">
        <f ca="1">IFERROR(__xludf.DUMMYFUNCTION("""COMPUTED_VALUE"""),"The Five-Step Creative Process")</f>
        <v>The Five-Step Creative Process</v>
      </c>
      <c r="E25" s="217"/>
      <c r="F25" s="213"/>
      <c r="G25" s="214"/>
      <c r="H25" s="215"/>
      <c r="I25" s="217"/>
      <c r="J25" s="217"/>
      <c r="K25" s="213"/>
      <c r="L25" s="215">
        <f ca="1">IFERROR(__xludf.DUMMYFUNCTION("""COMPUTED_VALUE"""),703865)</f>
        <v>703865</v>
      </c>
      <c r="M25" s="215" t="str">
        <f ca="1">IFERROR(__xludf.DUMMYFUNCTION("""COMPUTED_VALUE"""),"All levels")</f>
        <v>All levels</v>
      </c>
      <c r="N25" s="217" t="str">
        <f ca="1">IFERROR(__xludf.DUMMYFUNCTION("""COMPUTED_VALUE"""),"Trucos creativos para líderes")</f>
        <v>Trucos creativos para líderes</v>
      </c>
      <c r="O25" s="217"/>
      <c r="P25" s="213"/>
      <c r="Q25" s="215">
        <f ca="1">IFERROR(__xludf.DUMMYFUNCTION("""COMPUTED_VALUE"""),761020)</f>
        <v>761020</v>
      </c>
      <c r="R25" s="215" t="str">
        <f ca="1">IFERROR(__xludf.DUMMYFUNCTION("""COMPUTED_VALUE"""),"Beginner, Intermediate")</f>
        <v>Beginner, Intermediate</v>
      </c>
      <c r="S25" s="217" t="str">
        <f ca="1">IFERROR(__xludf.DUMMYFUNCTION("""COMPUTED_VALUE"""),"Kreative Methoden für Marketing und PR")</f>
        <v>Kreative Methoden für Marketing und PR</v>
      </c>
      <c r="T25" s="217"/>
      <c r="U25" s="213"/>
      <c r="V25" s="215"/>
      <c r="W25" s="215"/>
      <c r="X25" s="217"/>
      <c r="Y25" s="217"/>
      <c r="Z25" s="213"/>
      <c r="AA25" s="215"/>
      <c r="AB25" s="215"/>
      <c r="AC25" s="217"/>
      <c r="AD25" s="217"/>
      <c r="AE25" s="213"/>
      <c r="AF25" s="215"/>
      <c r="AG25" s="215"/>
      <c r="AH25" s="217"/>
      <c r="AI25" s="217"/>
      <c r="AJ25" s="213"/>
    </row>
    <row r="26" spans="1:36" ht="33.75" customHeight="1">
      <c r="A26" s="213"/>
      <c r="B26" s="214">
        <f ca="1">IFERROR(__xludf.DUMMYFUNCTION("""COMPUTED_VALUE"""),2213242)</f>
        <v>2213242</v>
      </c>
      <c r="C26" s="215" t="str">
        <f ca="1">IFERROR(__xludf.DUMMYFUNCTION("""COMPUTED_VALUE"""),"Beginner")</f>
        <v>Beginner</v>
      </c>
      <c r="D26" s="216" t="str">
        <f ca="1">IFERROR(__xludf.DUMMYFUNCTION("""COMPUTED_VALUE"""),"Building a Creative Online Community")</f>
        <v>Building a Creative Online Community</v>
      </c>
      <c r="E26" s="217"/>
      <c r="F26" s="213"/>
      <c r="G26" s="214"/>
      <c r="H26" s="215"/>
      <c r="I26" s="217"/>
      <c r="J26" s="217"/>
      <c r="K26" s="213"/>
      <c r="L26" s="215">
        <f ca="1">IFERROR(__xludf.DUMMYFUNCTION("""COMPUTED_VALUE"""),190318)</f>
        <v>190318</v>
      </c>
      <c r="M26" s="215" t="str">
        <f ca="1">IFERROR(__xludf.DUMMYFUNCTION("""COMPUTED_VALUE"""),"Intermediate")</f>
        <v>Intermediate</v>
      </c>
      <c r="N26" s="217" t="str">
        <f ca="1">IFERROR(__xludf.DUMMYFUNCTION("""COMPUTED_VALUE"""),"Trucos para gente creativa")</f>
        <v>Trucos para gente creativa</v>
      </c>
      <c r="O26" s="217"/>
      <c r="P26" s="213"/>
      <c r="Q26" s="215">
        <f ca="1">IFERROR(__xludf.DUMMYFUNCTION("""COMPUTED_VALUE"""),761001)</f>
        <v>761001</v>
      </c>
      <c r="R26" s="215" t="str">
        <f ca="1">IFERROR(__xludf.DUMMYFUNCTION("""COMPUTED_VALUE"""),"Intermediate")</f>
        <v>Intermediate</v>
      </c>
      <c r="S26" s="217" t="str">
        <f ca="1">IFERROR(__xludf.DUMMYFUNCTION("""COMPUTED_VALUE"""),"Kreativnetzwerke aufbauen")</f>
        <v>Kreativnetzwerke aufbauen</v>
      </c>
      <c r="T26" s="217"/>
      <c r="U26" s="213"/>
      <c r="V26" s="215"/>
      <c r="W26" s="215"/>
      <c r="X26" s="217"/>
      <c r="Y26" s="217"/>
      <c r="Z26" s="213"/>
      <c r="AA26" s="215"/>
      <c r="AB26" s="215"/>
      <c r="AC26" s="217"/>
      <c r="AD26" s="217"/>
      <c r="AE26" s="213"/>
      <c r="AF26" s="215"/>
      <c r="AG26" s="215"/>
      <c r="AH26" s="217"/>
      <c r="AI26" s="217"/>
      <c r="AJ26" s="213"/>
    </row>
    <row r="27" spans="1:36" ht="33.75" customHeight="1">
      <c r="A27" s="213"/>
      <c r="B27" s="214">
        <f ca="1">IFERROR(__xludf.DUMMYFUNCTION("""COMPUTED_VALUE"""),2822032)</f>
        <v>2822032</v>
      </c>
      <c r="C27" s="215" t="str">
        <f ca="1">IFERROR(__xludf.DUMMYFUNCTION("""COMPUTED_VALUE"""),"Beginner")</f>
        <v>Beginner</v>
      </c>
      <c r="D27" s="216" t="str">
        <f ca="1">IFERROR(__xludf.DUMMYFUNCTION("""COMPUTED_VALUE"""),"Icebreakers for Teams, Meetings, and Groups")</f>
        <v>Icebreakers for Teams, Meetings, and Groups</v>
      </c>
      <c r="E27" s="217"/>
      <c r="F27" s="213"/>
      <c r="G27" s="214"/>
      <c r="H27" s="215"/>
      <c r="I27" s="217"/>
      <c r="J27" s="217"/>
      <c r="K27" s="213"/>
      <c r="L27" s="215"/>
      <c r="M27" s="215"/>
      <c r="N27" s="217"/>
      <c r="O27" s="217"/>
      <c r="P27" s="213"/>
      <c r="Q27" s="215">
        <f ca="1">IFERROR(__xludf.DUMMYFUNCTION("""COMPUTED_VALUE"""),512750)</f>
        <v>512750</v>
      </c>
      <c r="R27" s="215" t="str">
        <f ca="1">IFERROR(__xludf.DUMMYFUNCTION("""COMPUTED_VALUE"""),"All levels")</f>
        <v>All levels</v>
      </c>
      <c r="S27" s="217" t="str">
        <f ca="1">IFERROR(__xludf.DUMMYFUNCTION("""COMPUTED_VALUE"""),"Visuelles Denken im Business-Umfeld")</f>
        <v>Visuelles Denken im Business-Umfeld</v>
      </c>
      <c r="T27" s="217"/>
      <c r="U27" s="213"/>
      <c r="V27" s="215"/>
      <c r="W27" s="215"/>
      <c r="X27" s="217"/>
      <c r="Y27" s="217"/>
      <c r="Z27" s="213"/>
      <c r="AA27" s="215"/>
      <c r="AB27" s="215"/>
      <c r="AC27" s="217"/>
      <c r="AD27" s="217"/>
      <c r="AE27" s="213"/>
      <c r="AF27" s="215"/>
      <c r="AG27" s="215"/>
      <c r="AH27" s="217"/>
      <c r="AI27" s="217"/>
      <c r="AJ27" s="213"/>
    </row>
    <row r="28" spans="1:36" ht="33.75" customHeight="1">
      <c r="A28" s="213"/>
      <c r="B28" s="214">
        <f ca="1">IFERROR(__xludf.DUMMYFUNCTION("""COMPUTED_VALUE"""),2823256)</f>
        <v>2823256</v>
      </c>
      <c r="C28" s="215" t="str">
        <f ca="1">IFERROR(__xludf.DUMMYFUNCTION("""COMPUTED_VALUE"""),"Beginner")</f>
        <v>Beginner</v>
      </c>
      <c r="D28" s="216" t="str">
        <f ca="1">IFERROR(__xludf.DUMMYFUNCTION("""COMPUTED_VALUE"""),"How Getting Curious Helps You Achieve Everything")</f>
        <v>How Getting Curious Helps You Achieve Everything</v>
      </c>
      <c r="E28" s="217"/>
      <c r="F28" s="213"/>
      <c r="G28" s="214"/>
      <c r="H28" s="215"/>
      <c r="I28" s="217"/>
      <c r="J28" s="217"/>
      <c r="K28" s="213"/>
      <c r="L28" s="215"/>
      <c r="M28" s="215"/>
      <c r="N28" s="217"/>
      <c r="O28" s="217"/>
      <c r="P28" s="213"/>
      <c r="Q28" s="215"/>
      <c r="R28" s="215"/>
      <c r="S28" s="217"/>
      <c r="T28" s="217"/>
      <c r="U28" s="213"/>
      <c r="V28" s="215"/>
      <c r="W28" s="215"/>
      <c r="X28" s="217"/>
      <c r="Y28" s="217"/>
      <c r="Z28" s="213"/>
      <c r="AA28" s="215"/>
      <c r="AB28" s="215"/>
      <c r="AC28" s="217"/>
      <c r="AD28" s="217"/>
      <c r="AE28" s="213"/>
      <c r="AF28" s="215"/>
      <c r="AG28" s="215"/>
      <c r="AH28" s="217"/>
      <c r="AI28" s="217"/>
      <c r="AJ28" s="213"/>
    </row>
    <row r="29" spans="1:36" ht="33.75" customHeight="1">
      <c r="A29" s="213"/>
      <c r="B29" s="214">
        <f ca="1">IFERROR(__xludf.DUMMYFUNCTION("""COMPUTED_VALUE"""),2426604)</f>
        <v>2426604</v>
      </c>
      <c r="C29" s="215" t="str">
        <f ca="1">IFERROR(__xludf.DUMMYFUNCTION("""COMPUTED_VALUE"""),"Beginner")</f>
        <v>Beginner</v>
      </c>
      <c r="D29" s="216" t="str">
        <f ca="1">IFERROR(__xludf.DUMMYFUNCTION("""COMPUTED_VALUE"""),"The 4 Lenses of Innovation (getAbstract Summary)")</f>
        <v>The 4 Lenses of Innovation (getAbstract Summary)</v>
      </c>
      <c r="E29" s="217"/>
      <c r="F29" s="213"/>
      <c r="G29" s="214"/>
      <c r="H29" s="215"/>
      <c r="I29" s="217"/>
      <c r="J29" s="217"/>
      <c r="K29" s="213"/>
      <c r="L29" s="215"/>
      <c r="M29" s="215"/>
      <c r="N29" s="217"/>
      <c r="O29" s="217"/>
      <c r="P29" s="213"/>
      <c r="Q29" s="215"/>
      <c r="R29" s="215"/>
      <c r="S29" s="217"/>
      <c r="T29" s="217"/>
      <c r="U29" s="213"/>
      <c r="V29" s="215"/>
      <c r="W29" s="215"/>
      <c r="X29" s="217"/>
      <c r="Y29" s="217"/>
      <c r="Z29" s="213"/>
      <c r="AA29" s="215"/>
      <c r="AB29" s="215"/>
      <c r="AC29" s="217"/>
      <c r="AD29" s="217"/>
      <c r="AE29" s="213"/>
      <c r="AF29" s="215"/>
      <c r="AG29" s="215"/>
      <c r="AH29" s="217"/>
      <c r="AI29" s="217"/>
      <c r="AJ29" s="213"/>
    </row>
    <row r="30" spans="1:36" ht="33.75" customHeight="1">
      <c r="A30" s="213"/>
      <c r="B30" s="214">
        <f ca="1">IFERROR(__xludf.DUMMYFUNCTION("""COMPUTED_VALUE"""),2426261)</f>
        <v>2426261</v>
      </c>
      <c r="C30" s="215" t="str">
        <f ca="1">IFERROR(__xludf.DUMMYFUNCTION("""COMPUTED_VALUE"""),"Beginner")</f>
        <v>Beginner</v>
      </c>
      <c r="D30" s="216" t="str">
        <f ca="1">IFERROR(__xludf.DUMMYFUNCTION("""COMPUTED_VALUE"""),"Four Simple Strategies to Boost Creativity and Productivity")</f>
        <v>Four Simple Strategies to Boost Creativity and Productivity</v>
      </c>
      <c r="E30" s="217"/>
      <c r="F30" s="213"/>
      <c r="G30" s="214"/>
      <c r="H30" s="215"/>
      <c r="I30" s="217"/>
      <c r="J30" s="217"/>
      <c r="K30" s="213"/>
      <c r="L30" s="215"/>
      <c r="M30" s="215"/>
      <c r="N30" s="217"/>
      <c r="O30" s="217"/>
      <c r="P30" s="213"/>
      <c r="Q30" s="215"/>
      <c r="R30" s="215"/>
      <c r="S30" s="217"/>
      <c r="T30" s="217"/>
      <c r="U30" s="213"/>
      <c r="V30" s="215"/>
      <c r="W30" s="215"/>
      <c r="X30" s="217"/>
      <c r="Y30" s="217"/>
      <c r="Z30" s="213"/>
      <c r="AA30" s="215"/>
      <c r="AB30" s="215"/>
      <c r="AC30" s="217"/>
      <c r="AD30" s="217"/>
      <c r="AE30" s="213"/>
      <c r="AF30" s="215"/>
      <c r="AG30" s="215"/>
      <c r="AH30" s="217"/>
      <c r="AI30" s="217"/>
      <c r="AJ30" s="213"/>
    </row>
    <row r="31" spans="1:36" ht="33.75" customHeight="1">
      <c r="A31" s="213"/>
      <c r="B31" s="214">
        <f ca="1">IFERROR(__xludf.DUMMYFUNCTION("""COMPUTED_VALUE"""),2833086)</f>
        <v>2833086</v>
      </c>
      <c r="C31" s="215" t="str">
        <f ca="1">IFERROR(__xludf.DUMMYFUNCTION("""COMPUTED_VALUE"""),"Beginner")</f>
        <v>Beginner</v>
      </c>
      <c r="D31" s="216" t="str">
        <f ca="1">IFERROR(__xludf.DUMMYFUNCTION("""COMPUTED_VALUE"""),"Business Innovation Foundations")</f>
        <v>Business Innovation Foundations</v>
      </c>
      <c r="E31" s="217"/>
      <c r="F31" s="213"/>
      <c r="G31" s="214"/>
      <c r="H31" s="215"/>
      <c r="I31" s="217"/>
      <c r="J31" s="217"/>
      <c r="K31" s="213"/>
      <c r="L31" s="215"/>
      <c r="M31" s="215"/>
      <c r="N31" s="217"/>
      <c r="O31" s="217"/>
      <c r="P31" s="213"/>
      <c r="Q31" s="215"/>
      <c r="R31" s="215"/>
      <c r="S31" s="217"/>
      <c r="T31" s="217"/>
      <c r="U31" s="213"/>
      <c r="V31" s="215"/>
      <c r="W31" s="215"/>
      <c r="X31" s="217"/>
      <c r="Y31" s="217"/>
      <c r="Z31" s="213"/>
      <c r="AA31" s="215"/>
      <c r="AB31" s="215"/>
      <c r="AC31" s="217"/>
      <c r="AD31" s="217"/>
      <c r="AE31" s="213"/>
      <c r="AF31" s="215"/>
      <c r="AG31" s="215"/>
      <c r="AH31" s="217"/>
      <c r="AI31" s="217"/>
      <c r="AJ31" s="213"/>
    </row>
    <row r="32" spans="1:36" ht="30">
      <c r="A32" s="213"/>
      <c r="B32" s="214">
        <f ca="1">IFERROR(__xludf.DUMMYFUNCTION("""COMPUTED_VALUE"""),2833044)</f>
        <v>2833044</v>
      </c>
      <c r="C32" s="215" t="str">
        <f ca="1">IFERROR(__xludf.DUMMYFUNCTION("""COMPUTED_VALUE"""),"Beginner + Intermediate")</f>
        <v>Beginner + Intermediate</v>
      </c>
      <c r="D32" s="216" t="str">
        <f ca="1">IFERROR(__xludf.DUMMYFUNCTION("""COMPUTED_VALUE"""),"Introduction to Responsible AI Algorithm Design")</f>
        <v>Introduction to Responsible AI Algorithm Design</v>
      </c>
      <c r="E32" s="217"/>
      <c r="F32" s="213"/>
      <c r="G32" s="214"/>
      <c r="H32" s="215"/>
      <c r="I32" s="217"/>
      <c r="J32" s="217"/>
      <c r="K32" s="213"/>
      <c r="L32" s="215"/>
      <c r="M32" s="215"/>
      <c r="N32" s="217"/>
      <c r="O32" s="217"/>
      <c r="P32" s="213"/>
      <c r="Q32" s="215"/>
      <c r="R32" s="215"/>
      <c r="S32" s="217"/>
      <c r="T32" s="217"/>
      <c r="U32" s="213"/>
      <c r="V32" s="215"/>
      <c r="W32" s="215"/>
      <c r="X32" s="217"/>
      <c r="Y32" s="217"/>
      <c r="Z32" s="213"/>
      <c r="AA32" s="215"/>
      <c r="AB32" s="215"/>
      <c r="AC32" s="217"/>
      <c r="AD32" s="217"/>
      <c r="AE32" s="213"/>
      <c r="AF32" s="215"/>
      <c r="AG32" s="215"/>
      <c r="AH32" s="217"/>
      <c r="AI32" s="217"/>
      <c r="AJ32" s="213"/>
    </row>
    <row r="33" spans="1:36" ht="33.75" customHeight="1">
      <c r="A33" s="213"/>
      <c r="B33" s="214">
        <f ca="1">IFERROR(__xludf.DUMMYFUNCTION("""COMPUTED_VALUE"""),2833091)</f>
        <v>2833091</v>
      </c>
      <c r="C33" s="215" t="str">
        <f ca="1">IFERROR(__xludf.DUMMYFUNCTION("""COMPUTED_VALUE"""),"Beginner + Intermediate")</f>
        <v>Beginner + Intermediate</v>
      </c>
      <c r="D33" s="216" t="str">
        <f ca="1">IFERROR(__xludf.DUMMYFUNCTION("""COMPUTED_VALUE"""),"How Blockchains Will Change Business")</f>
        <v>How Blockchains Will Change Business</v>
      </c>
      <c r="E33" s="217"/>
      <c r="F33" s="213"/>
      <c r="G33" s="214"/>
      <c r="H33" s="215"/>
      <c r="I33" s="217"/>
      <c r="J33" s="217"/>
      <c r="K33" s="213"/>
      <c r="L33" s="215"/>
      <c r="M33" s="215"/>
      <c r="N33" s="217"/>
      <c r="O33" s="217"/>
      <c r="P33" s="213"/>
      <c r="Q33" s="215"/>
      <c r="R33" s="215"/>
      <c r="S33" s="217"/>
      <c r="T33" s="217"/>
      <c r="U33" s="213"/>
      <c r="V33" s="215"/>
      <c r="W33" s="215"/>
      <c r="X33" s="217"/>
      <c r="Y33" s="217"/>
      <c r="Z33" s="213"/>
      <c r="AA33" s="215"/>
      <c r="AB33" s="215"/>
      <c r="AC33" s="217"/>
      <c r="AD33" s="217"/>
      <c r="AE33" s="213"/>
      <c r="AF33" s="215"/>
      <c r="AG33" s="215"/>
      <c r="AH33" s="217"/>
      <c r="AI33" s="217"/>
      <c r="AJ33" s="213"/>
    </row>
    <row r="34" spans="1:36" ht="33.75" customHeight="1">
      <c r="A34" s="213"/>
      <c r="B34" s="214">
        <f ca="1">IFERROR(__xludf.DUMMYFUNCTION("""COMPUTED_VALUE"""),2840016)</f>
        <v>2840016</v>
      </c>
      <c r="C34" s="215" t="str">
        <f ca="1">IFERROR(__xludf.DUMMYFUNCTION("""COMPUTED_VALUE"""),"Beginner + Intermediate")</f>
        <v>Beginner + Intermediate</v>
      </c>
      <c r="D34" s="216" t="str">
        <f ca="1">IFERROR(__xludf.DUMMYFUNCTION("""COMPUTED_VALUE"""),"Design Thinking: Implementing the Process")</f>
        <v>Design Thinking: Implementing the Process</v>
      </c>
      <c r="E34" s="217"/>
      <c r="F34" s="213"/>
      <c r="G34" s="214"/>
      <c r="H34" s="215"/>
      <c r="I34" s="217"/>
      <c r="J34" s="217"/>
      <c r="K34" s="213"/>
      <c r="L34" s="215"/>
      <c r="M34" s="215"/>
      <c r="N34" s="217"/>
      <c r="O34" s="217"/>
      <c r="P34" s="213"/>
      <c r="Q34" s="215"/>
      <c r="R34" s="215"/>
      <c r="S34" s="217"/>
      <c r="T34" s="217"/>
      <c r="U34" s="213"/>
      <c r="V34" s="215"/>
      <c r="W34" s="215"/>
      <c r="X34" s="217"/>
      <c r="Y34" s="217"/>
      <c r="Z34" s="213"/>
      <c r="AA34" s="215"/>
      <c r="AB34" s="215"/>
      <c r="AC34" s="217"/>
      <c r="AD34" s="217"/>
      <c r="AE34" s="213"/>
      <c r="AF34" s="215"/>
      <c r="AG34" s="215"/>
      <c r="AH34" s="217"/>
      <c r="AI34" s="217"/>
      <c r="AJ34" s="213"/>
    </row>
    <row r="35" spans="1:36" ht="33.75" customHeight="1">
      <c r="A35" s="213"/>
      <c r="B35" s="214">
        <f ca="1">IFERROR(__xludf.DUMMYFUNCTION("""COMPUTED_VALUE"""),2824376)</f>
        <v>2824376</v>
      </c>
      <c r="C35" s="215" t="str">
        <f ca="1">IFERROR(__xludf.DUMMYFUNCTION("""COMPUTED_VALUE"""),"Beginner + Intermediate")</f>
        <v>Beginner + Intermediate</v>
      </c>
      <c r="D35" s="216" t="str">
        <f ca="1">IFERROR(__xludf.DUMMYFUNCTION("""COMPUTED_VALUE"""),"Charles Adler: A Story of Kickstarting an Idea")</f>
        <v>Charles Adler: A Story of Kickstarting an Idea</v>
      </c>
      <c r="E35" s="217"/>
      <c r="F35" s="213"/>
      <c r="G35" s="214"/>
      <c r="H35" s="215"/>
      <c r="I35" s="217"/>
      <c r="J35" s="217"/>
      <c r="K35" s="213"/>
      <c r="L35" s="215"/>
      <c r="M35" s="215"/>
      <c r="N35" s="217"/>
      <c r="O35" s="217"/>
      <c r="P35" s="213"/>
      <c r="Q35" s="215"/>
      <c r="R35" s="215"/>
      <c r="S35" s="217"/>
      <c r="T35" s="217"/>
      <c r="U35" s="213"/>
      <c r="V35" s="215"/>
      <c r="W35" s="215"/>
      <c r="X35" s="217"/>
      <c r="Y35" s="217"/>
      <c r="Z35" s="213"/>
      <c r="AA35" s="215"/>
      <c r="AB35" s="215"/>
      <c r="AC35" s="217"/>
      <c r="AD35" s="217"/>
      <c r="AE35" s="213"/>
      <c r="AF35" s="215"/>
      <c r="AG35" s="215"/>
      <c r="AH35" s="217"/>
      <c r="AI35" s="217"/>
      <c r="AJ35" s="213"/>
    </row>
    <row r="36" spans="1:36" ht="33.75" customHeight="1">
      <c r="A36" s="213"/>
      <c r="B36" s="214">
        <f ca="1">IFERROR(__xludf.DUMMYFUNCTION("""COMPUTED_VALUE"""),2824108)</f>
        <v>2824108</v>
      </c>
      <c r="C36" s="215" t="str">
        <f ca="1">IFERROR(__xludf.DUMMYFUNCTION("""COMPUTED_VALUE"""),"Beginner + Intermediate")</f>
        <v>Beginner + Intermediate</v>
      </c>
      <c r="D36" s="216" t="str">
        <f ca="1">IFERROR(__xludf.DUMMYFUNCTION("""COMPUTED_VALUE"""),"Practical Creativity for Everyone")</f>
        <v>Practical Creativity for Everyone</v>
      </c>
      <c r="E36" s="217"/>
      <c r="F36" s="213"/>
      <c r="G36" s="214"/>
      <c r="H36" s="215"/>
      <c r="I36" s="217"/>
      <c r="J36" s="217"/>
      <c r="K36" s="213"/>
      <c r="L36" s="215"/>
      <c r="M36" s="215"/>
      <c r="N36" s="217"/>
      <c r="O36" s="217"/>
      <c r="P36" s="213"/>
      <c r="Q36" s="215"/>
      <c r="R36" s="215"/>
      <c r="S36" s="217"/>
      <c r="T36" s="217"/>
      <c r="U36" s="213"/>
      <c r="V36" s="215"/>
      <c r="W36" s="215"/>
      <c r="X36" s="217"/>
      <c r="Y36" s="217"/>
      <c r="Z36" s="213"/>
      <c r="AA36" s="215"/>
      <c r="AB36" s="215"/>
      <c r="AC36" s="217"/>
      <c r="AD36" s="217"/>
      <c r="AE36" s="213"/>
      <c r="AF36" s="215"/>
      <c r="AG36" s="215"/>
      <c r="AH36" s="217"/>
      <c r="AI36" s="217"/>
      <c r="AJ36" s="213"/>
    </row>
    <row r="37" spans="1:36" ht="33.75" customHeight="1">
      <c r="A37" s="213"/>
      <c r="B37" s="214">
        <f ca="1">IFERROR(__xludf.DUMMYFUNCTION("""COMPUTED_VALUE"""),5030976)</f>
        <v>5030976</v>
      </c>
      <c r="C37" s="215" t="str">
        <f ca="1">IFERROR(__xludf.DUMMYFUNCTION("""COMPUTED_VALUE"""),"Beginner + Intermediate")</f>
        <v>Beginner + Intermediate</v>
      </c>
      <c r="D37" s="216" t="str">
        <f ca="1">IFERROR(__xludf.DUMMYFUNCTION("""COMPUTED_VALUE"""),"Graphic Design Foundations: Ideas, Concepts, and Form")</f>
        <v>Graphic Design Foundations: Ideas, Concepts, and Form</v>
      </c>
      <c r="E37" s="217"/>
      <c r="F37" s="213"/>
      <c r="G37" s="214"/>
      <c r="H37" s="215"/>
      <c r="I37" s="217"/>
      <c r="J37" s="217"/>
      <c r="K37" s="213"/>
      <c r="L37" s="215"/>
      <c r="M37" s="215"/>
      <c r="N37" s="217"/>
      <c r="O37" s="217"/>
      <c r="P37" s="213"/>
      <c r="Q37" s="215"/>
      <c r="R37" s="215"/>
      <c r="S37" s="217"/>
      <c r="T37" s="217"/>
      <c r="U37" s="213"/>
      <c r="V37" s="215"/>
      <c r="W37" s="215"/>
      <c r="X37" s="217"/>
      <c r="Y37" s="217"/>
      <c r="Z37" s="213"/>
      <c r="AA37" s="215"/>
      <c r="AB37" s="215"/>
      <c r="AC37" s="217"/>
      <c r="AD37" s="217"/>
      <c r="AE37" s="213"/>
      <c r="AF37" s="215"/>
      <c r="AG37" s="215"/>
      <c r="AH37" s="217"/>
      <c r="AI37" s="217"/>
      <c r="AJ37" s="213"/>
    </row>
    <row r="38" spans="1:36" ht="33.75" customHeight="1">
      <c r="A38" s="213"/>
      <c r="B38" s="214">
        <f ca="1">IFERROR(__xludf.DUMMYFUNCTION("""COMPUTED_VALUE"""),782124)</f>
        <v>782124</v>
      </c>
      <c r="C38" s="215" t="str">
        <f ca="1">IFERROR(__xludf.DUMMYFUNCTION("""COMPUTED_VALUE"""),"Beginner + Intermediate")</f>
        <v>Beginner + Intermediate</v>
      </c>
      <c r="D38" s="216" t="str">
        <f ca="1">IFERROR(__xludf.DUMMYFUNCTION("""COMPUTED_VALUE"""),"Applied Curiosity")</f>
        <v>Applied Curiosity</v>
      </c>
      <c r="E38" s="217"/>
      <c r="F38" s="213"/>
      <c r="G38" s="214"/>
      <c r="H38" s="215"/>
      <c r="I38" s="217"/>
      <c r="J38" s="217"/>
      <c r="K38" s="213"/>
      <c r="L38" s="215"/>
      <c r="M38" s="215"/>
      <c r="N38" s="217"/>
      <c r="O38" s="217"/>
      <c r="P38" s="213"/>
      <c r="Q38" s="215"/>
      <c r="R38" s="215"/>
      <c r="S38" s="217"/>
      <c r="T38" s="217"/>
      <c r="U38" s="213"/>
      <c r="V38" s="215"/>
      <c r="W38" s="215"/>
      <c r="X38" s="217"/>
      <c r="Y38" s="217"/>
      <c r="Z38" s="213"/>
      <c r="AA38" s="215"/>
      <c r="AB38" s="215"/>
      <c r="AC38" s="217"/>
      <c r="AD38" s="217"/>
      <c r="AE38" s="213"/>
      <c r="AF38" s="215"/>
      <c r="AG38" s="215"/>
      <c r="AH38" s="217"/>
      <c r="AI38" s="217"/>
      <c r="AJ38" s="213"/>
    </row>
    <row r="39" spans="1:36" ht="33.75" customHeight="1">
      <c r="A39" s="213"/>
      <c r="B39" s="214">
        <f ca="1">IFERROR(__xludf.DUMMYFUNCTION("""COMPUTED_VALUE"""),138322)</f>
        <v>138322</v>
      </c>
      <c r="C39" s="215" t="str">
        <f ca="1">IFERROR(__xludf.DUMMYFUNCTION("""COMPUTED_VALUE"""),"Beginner + Intermediate")</f>
        <v>Beginner + Intermediate</v>
      </c>
      <c r="D39" s="216" t="str">
        <f ca="1">IFERROR(__xludf.DUMMYFUNCTION("""COMPUTED_VALUE"""),"Creativity: Generate Ideas in Greater Quantity and Quality")</f>
        <v>Creativity: Generate Ideas in Greater Quantity and Quality</v>
      </c>
      <c r="E39" s="217"/>
      <c r="F39" s="213"/>
      <c r="G39" s="214"/>
      <c r="H39" s="215"/>
      <c r="I39" s="217"/>
      <c r="J39" s="217"/>
      <c r="K39" s="213"/>
      <c r="L39" s="215"/>
      <c r="M39" s="215"/>
      <c r="N39" s="217"/>
      <c r="O39" s="217"/>
      <c r="P39" s="213"/>
      <c r="Q39" s="215"/>
      <c r="R39" s="215"/>
      <c r="S39" s="217"/>
      <c r="T39" s="217"/>
      <c r="U39" s="213"/>
      <c r="V39" s="215"/>
      <c r="W39" s="215"/>
      <c r="X39" s="217"/>
      <c r="Y39" s="217"/>
      <c r="Z39" s="213"/>
      <c r="AA39" s="215"/>
      <c r="AB39" s="215"/>
      <c r="AC39" s="217"/>
      <c r="AD39" s="217"/>
      <c r="AE39" s="213"/>
      <c r="AF39" s="215"/>
      <c r="AG39" s="215"/>
      <c r="AH39" s="217"/>
      <c r="AI39" s="217"/>
      <c r="AJ39" s="213"/>
    </row>
    <row r="40" spans="1:36" ht="33.75" customHeight="1">
      <c r="A40" s="213"/>
      <c r="B40" s="214">
        <f ca="1">IFERROR(__xludf.DUMMYFUNCTION("""COMPUTED_VALUE"""),774900)</f>
        <v>774900</v>
      </c>
      <c r="C40" s="215" t="str">
        <f ca="1">IFERROR(__xludf.DUMMYFUNCTION("""COMPUTED_VALUE"""),"General")</f>
        <v>General</v>
      </c>
      <c r="D40" s="216" t="str">
        <f ca="1">IFERROR(__xludf.DUMMYFUNCTION("""COMPUTED_VALUE"""),"Creativity Tips for All Weekly")</f>
        <v>Creativity Tips for All Weekly</v>
      </c>
      <c r="E40" s="217"/>
      <c r="F40" s="213"/>
      <c r="G40" s="214"/>
      <c r="H40" s="215"/>
      <c r="I40" s="217"/>
      <c r="J40" s="217"/>
      <c r="K40" s="213"/>
      <c r="L40" s="215"/>
      <c r="M40" s="215"/>
      <c r="N40" s="217"/>
      <c r="O40" s="217"/>
      <c r="P40" s="213"/>
      <c r="Q40" s="215"/>
      <c r="R40" s="215"/>
      <c r="S40" s="217"/>
      <c r="T40" s="217"/>
      <c r="U40" s="213"/>
      <c r="V40" s="215"/>
      <c r="W40" s="215"/>
      <c r="X40" s="217"/>
      <c r="Y40" s="217"/>
      <c r="Z40" s="213"/>
      <c r="AA40" s="215"/>
      <c r="AB40" s="215"/>
      <c r="AC40" s="217"/>
      <c r="AD40" s="217"/>
      <c r="AE40" s="213"/>
      <c r="AF40" s="215"/>
      <c r="AG40" s="215"/>
      <c r="AH40" s="217"/>
      <c r="AI40" s="217"/>
      <c r="AJ40" s="213"/>
    </row>
    <row r="41" spans="1:36" ht="33.75" customHeight="1">
      <c r="A41" s="213"/>
      <c r="B41" s="214">
        <f ca="1">IFERROR(__xludf.DUMMYFUNCTION("""COMPUTED_VALUE"""),706920)</f>
        <v>706920</v>
      </c>
      <c r="C41" s="215" t="str">
        <f ca="1">IFERROR(__xludf.DUMMYFUNCTION("""COMPUTED_VALUE"""),"General")</f>
        <v>General</v>
      </c>
      <c r="D41" s="216" t="str">
        <f ca="1">IFERROR(__xludf.DUMMYFUNCTION("""COMPUTED_VALUE"""),"Working with Creatives")</f>
        <v>Working with Creatives</v>
      </c>
      <c r="E41" s="217"/>
      <c r="F41" s="213"/>
      <c r="G41" s="214"/>
      <c r="H41" s="215"/>
      <c r="I41" s="217"/>
      <c r="J41" s="217"/>
      <c r="K41" s="213"/>
      <c r="L41" s="215"/>
      <c r="M41" s="215"/>
      <c r="N41" s="217"/>
      <c r="O41" s="217"/>
      <c r="P41" s="213"/>
      <c r="Q41" s="215"/>
      <c r="R41" s="215"/>
      <c r="S41" s="217"/>
      <c r="T41" s="217"/>
      <c r="U41" s="213"/>
      <c r="V41" s="215"/>
      <c r="W41" s="215"/>
      <c r="X41" s="217"/>
      <c r="Y41" s="217"/>
      <c r="Z41" s="213"/>
      <c r="AA41" s="215"/>
      <c r="AB41" s="215"/>
      <c r="AC41" s="217"/>
      <c r="AD41" s="217"/>
      <c r="AE41" s="213"/>
      <c r="AF41" s="215"/>
      <c r="AG41" s="215"/>
      <c r="AH41" s="217"/>
      <c r="AI41" s="217"/>
      <c r="AJ41" s="213"/>
    </row>
    <row r="42" spans="1:36" ht="33.75" customHeight="1">
      <c r="A42" s="213"/>
      <c r="B42" s="214">
        <f ca="1">IFERROR(__xludf.DUMMYFUNCTION("""COMPUTED_VALUE"""),2839072)</f>
        <v>2839072</v>
      </c>
      <c r="C42" s="215" t="str">
        <f ca="1">IFERROR(__xludf.DUMMYFUNCTION("""COMPUTED_VALUE"""),"General")</f>
        <v>General</v>
      </c>
      <c r="D42" s="216" t="str">
        <f ca="1">IFERROR(__xludf.DUMMYFUNCTION("""COMPUTED_VALUE"""),"How to Boost Your Creativity at Home in 10 Days")</f>
        <v>How to Boost Your Creativity at Home in 10 Days</v>
      </c>
      <c r="E42" s="217"/>
      <c r="F42" s="213"/>
      <c r="G42" s="214"/>
      <c r="H42" s="215"/>
      <c r="I42" s="217"/>
      <c r="J42" s="217"/>
      <c r="K42" s="213"/>
      <c r="L42" s="215"/>
      <c r="M42" s="215"/>
      <c r="N42" s="217"/>
      <c r="O42" s="217"/>
      <c r="P42" s="213"/>
      <c r="Q42" s="215"/>
      <c r="R42" s="215"/>
      <c r="S42" s="217"/>
      <c r="T42" s="217"/>
      <c r="U42" s="213"/>
      <c r="V42" s="215"/>
      <c r="W42" s="215"/>
      <c r="X42" s="217"/>
      <c r="Y42" s="217"/>
      <c r="Z42" s="213"/>
      <c r="AA42" s="215"/>
      <c r="AB42" s="215"/>
      <c r="AC42" s="217"/>
      <c r="AD42" s="217"/>
      <c r="AE42" s="213"/>
      <c r="AF42" s="215"/>
      <c r="AG42" s="215"/>
      <c r="AH42" s="217"/>
      <c r="AI42" s="217"/>
      <c r="AJ42" s="213"/>
    </row>
    <row r="43" spans="1:36" ht="33.75" customHeight="1">
      <c r="A43" s="213"/>
      <c r="B43" s="214">
        <f ca="1">IFERROR(__xludf.DUMMYFUNCTION("""COMPUTED_VALUE"""),2831007)</f>
        <v>2831007</v>
      </c>
      <c r="C43" s="215" t="str">
        <f ca="1">IFERROR(__xludf.DUMMYFUNCTION("""COMPUTED_VALUE"""),"General")</f>
        <v>General</v>
      </c>
      <c r="D43" s="216" t="str">
        <f ca="1">IFERROR(__xludf.DUMMYFUNCTION("""COMPUTED_VALUE"""),"21-Day Creative Exercise Desk Challenge")</f>
        <v>21-Day Creative Exercise Desk Challenge</v>
      </c>
      <c r="E43" s="217"/>
      <c r="F43" s="213"/>
      <c r="G43" s="214"/>
      <c r="H43" s="215"/>
      <c r="I43" s="217"/>
      <c r="J43" s="217"/>
      <c r="K43" s="213"/>
      <c r="L43" s="215"/>
      <c r="M43" s="215"/>
      <c r="N43" s="217"/>
      <c r="O43" s="217"/>
      <c r="P43" s="213"/>
      <c r="Q43" s="215"/>
      <c r="R43" s="215"/>
      <c r="S43" s="217"/>
      <c r="T43" s="217"/>
      <c r="U43" s="213"/>
      <c r="V43" s="215"/>
      <c r="W43" s="215"/>
      <c r="X43" s="217"/>
      <c r="Y43" s="217"/>
      <c r="Z43" s="213"/>
      <c r="AA43" s="215"/>
      <c r="AB43" s="215"/>
      <c r="AC43" s="217"/>
      <c r="AD43" s="217"/>
      <c r="AE43" s="213"/>
      <c r="AF43" s="215"/>
      <c r="AG43" s="215"/>
      <c r="AH43" s="217"/>
      <c r="AI43" s="217"/>
      <c r="AJ43" s="213"/>
    </row>
    <row r="44" spans="1:36" ht="33.75" customHeight="1">
      <c r="A44" s="213"/>
      <c r="B44" s="214">
        <f ca="1">IFERROR(__xludf.DUMMYFUNCTION("""COMPUTED_VALUE"""),2823037)</f>
        <v>2823037</v>
      </c>
      <c r="C44" s="215" t="str">
        <f ca="1">IFERROR(__xludf.DUMMYFUNCTION("""COMPUTED_VALUE"""),"General")</f>
        <v>General</v>
      </c>
      <c r="D44" s="216" t="str">
        <f ca="1">IFERROR(__xludf.DUMMYFUNCTION("""COMPUTED_VALUE"""),"Banish Your Inner Critic to Unleash Creativity")</f>
        <v>Banish Your Inner Critic to Unleash Creativity</v>
      </c>
      <c r="E44" s="217"/>
      <c r="F44" s="213"/>
      <c r="G44" s="214"/>
      <c r="H44" s="215"/>
      <c r="I44" s="217"/>
      <c r="J44" s="217"/>
      <c r="K44" s="213"/>
      <c r="L44" s="215"/>
      <c r="M44" s="215"/>
      <c r="N44" s="217"/>
      <c r="O44" s="217"/>
      <c r="P44" s="213"/>
      <c r="Q44" s="215"/>
      <c r="R44" s="215"/>
      <c r="S44" s="217"/>
      <c r="T44" s="217"/>
      <c r="U44" s="213"/>
      <c r="V44" s="215"/>
      <c r="W44" s="215"/>
      <c r="X44" s="217"/>
      <c r="Y44" s="217"/>
      <c r="Z44" s="213"/>
      <c r="AA44" s="215"/>
      <c r="AB44" s="215"/>
      <c r="AC44" s="217"/>
      <c r="AD44" s="217"/>
      <c r="AE44" s="213"/>
      <c r="AF44" s="215"/>
      <c r="AG44" s="215"/>
      <c r="AH44" s="217"/>
      <c r="AI44" s="217"/>
      <c r="AJ44" s="213"/>
    </row>
    <row r="45" spans="1:36" ht="33.75" customHeight="1">
      <c r="A45" s="213"/>
      <c r="B45" s="214">
        <f ca="1">IFERROR(__xludf.DUMMYFUNCTION("""COMPUTED_VALUE"""),2825163)</f>
        <v>2825163</v>
      </c>
      <c r="C45" s="215" t="str">
        <f ca="1">IFERROR(__xludf.DUMMYFUNCTION("""COMPUTED_VALUE"""),"General")</f>
        <v>General</v>
      </c>
      <c r="D45" s="216" t="str">
        <f ca="1">IFERROR(__xludf.DUMMYFUNCTION("""COMPUTED_VALUE"""),"Implementing Creative Feedback the Win-Win Way")</f>
        <v>Implementing Creative Feedback the Win-Win Way</v>
      </c>
      <c r="E45" s="217"/>
      <c r="F45" s="213"/>
      <c r="G45" s="214"/>
      <c r="H45" s="215"/>
      <c r="I45" s="217"/>
      <c r="J45" s="217"/>
      <c r="K45" s="213"/>
      <c r="L45" s="215"/>
      <c r="M45" s="215"/>
      <c r="N45" s="217"/>
      <c r="O45" s="217"/>
      <c r="P45" s="213"/>
      <c r="Q45" s="215"/>
      <c r="R45" s="215"/>
      <c r="S45" s="217"/>
      <c r="T45" s="217"/>
      <c r="U45" s="213"/>
      <c r="V45" s="215"/>
      <c r="W45" s="215"/>
      <c r="X45" s="217"/>
      <c r="Y45" s="217"/>
      <c r="Z45" s="213"/>
      <c r="AA45" s="215"/>
      <c r="AB45" s="215"/>
      <c r="AC45" s="217"/>
      <c r="AD45" s="217"/>
      <c r="AE45" s="213"/>
      <c r="AF45" s="215"/>
      <c r="AG45" s="215"/>
      <c r="AH45" s="217"/>
      <c r="AI45" s="217"/>
      <c r="AJ45" s="213"/>
    </row>
    <row r="46" spans="1:36" ht="33.75" customHeight="1">
      <c r="A46" s="213"/>
      <c r="B46" s="214">
        <f ca="1">IFERROR(__xludf.DUMMYFUNCTION("""COMPUTED_VALUE"""),2804662)</f>
        <v>2804662</v>
      </c>
      <c r="C46" s="215" t="str">
        <f ca="1">IFERROR(__xludf.DUMMYFUNCTION("""COMPUTED_VALUE"""),"General")</f>
        <v>General</v>
      </c>
      <c r="D46" s="216" t="str">
        <f ca="1">IFERROR(__xludf.DUMMYFUNCTION("""COMPUTED_VALUE"""),"Branding Strategy: Define Your Creative Edge")</f>
        <v>Branding Strategy: Define Your Creative Edge</v>
      </c>
      <c r="E46" s="217"/>
      <c r="F46" s="213"/>
      <c r="G46" s="214"/>
      <c r="H46" s="215"/>
      <c r="I46" s="217"/>
      <c r="J46" s="217"/>
      <c r="K46" s="213"/>
      <c r="L46" s="215"/>
      <c r="M46" s="215"/>
      <c r="N46" s="217"/>
      <c r="O46" s="217"/>
      <c r="P46" s="213"/>
      <c r="Q46" s="215"/>
      <c r="R46" s="215"/>
      <c r="S46" s="217"/>
      <c r="T46" s="217"/>
      <c r="U46" s="213"/>
      <c r="V46" s="215"/>
      <c r="W46" s="215"/>
      <c r="X46" s="217"/>
      <c r="Y46" s="217"/>
      <c r="Z46" s="213"/>
      <c r="AA46" s="215"/>
      <c r="AB46" s="215"/>
      <c r="AC46" s="217"/>
      <c r="AD46" s="217"/>
      <c r="AE46" s="213"/>
      <c r="AF46" s="215"/>
      <c r="AG46" s="215"/>
      <c r="AH46" s="217"/>
      <c r="AI46" s="217"/>
      <c r="AJ46" s="213"/>
    </row>
    <row r="47" spans="1:36" ht="33.75" customHeight="1">
      <c r="A47" s="213"/>
      <c r="B47" s="214">
        <f ca="1">IFERROR(__xludf.DUMMYFUNCTION("""COMPUTED_VALUE"""),2836030)</f>
        <v>2836030</v>
      </c>
      <c r="C47" s="215" t="str">
        <f ca="1">IFERROR(__xludf.DUMMYFUNCTION("""COMPUTED_VALUE"""),"General")</f>
        <v>General</v>
      </c>
      <c r="D47" s="216" t="str">
        <f ca="1">IFERROR(__xludf.DUMMYFUNCTION("""COMPUTED_VALUE"""),"Unlocking Creativity (Blinkist Summary)")</f>
        <v>Unlocking Creativity (Blinkist Summary)</v>
      </c>
      <c r="E47" s="217"/>
      <c r="F47" s="213"/>
      <c r="G47" s="214"/>
      <c r="H47" s="215"/>
      <c r="I47" s="217"/>
      <c r="J47" s="217"/>
      <c r="K47" s="213"/>
      <c r="L47" s="215"/>
      <c r="M47" s="215"/>
      <c r="N47" s="217"/>
      <c r="O47" s="217"/>
      <c r="P47" s="213"/>
      <c r="Q47" s="215"/>
      <c r="R47" s="215"/>
      <c r="S47" s="217"/>
      <c r="T47" s="217"/>
      <c r="U47" s="213"/>
      <c r="V47" s="215"/>
      <c r="W47" s="215"/>
      <c r="X47" s="217"/>
      <c r="Y47" s="217"/>
      <c r="Z47" s="213"/>
      <c r="AA47" s="215"/>
      <c r="AB47" s="215"/>
      <c r="AC47" s="217"/>
      <c r="AD47" s="217"/>
      <c r="AE47" s="213"/>
      <c r="AF47" s="215"/>
      <c r="AG47" s="215"/>
      <c r="AH47" s="217"/>
      <c r="AI47" s="217"/>
      <c r="AJ47" s="213"/>
    </row>
    <row r="48" spans="1:36" ht="33.75" customHeight="1">
      <c r="A48" s="213"/>
      <c r="B48" s="214">
        <f ca="1">IFERROR(__xludf.DUMMYFUNCTION("""COMPUTED_VALUE"""),2841399)</f>
        <v>2841399</v>
      </c>
      <c r="C48" s="215" t="str">
        <f ca="1">IFERROR(__xludf.DUMMYFUNCTION("""COMPUTED_VALUE"""),"General")</f>
        <v>General</v>
      </c>
      <c r="D48" s="216" t="str">
        <f ca="1">IFERROR(__xludf.DUMMYFUNCTION("""COMPUTED_VALUE"""),"Design Thinking: Understanding the Process")</f>
        <v>Design Thinking: Understanding the Process</v>
      </c>
      <c r="E48" s="217"/>
      <c r="F48" s="213"/>
      <c r="G48" s="214"/>
      <c r="H48" s="215"/>
      <c r="I48" s="217"/>
      <c r="J48" s="217"/>
      <c r="K48" s="213"/>
      <c r="L48" s="215"/>
      <c r="M48" s="215"/>
      <c r="N48" s="217"/>
      <c r="O48" s="217"/>
      <c r="P48" s="213"/>
      <c r="Q48" s="215"/>
      <c r="R48" s="215"/>
      <c r="S48" s="217"/>
      <c r="T48" s="217"/>
      <c r="U48" s="213"/>
      <c r="V48" s="215"/>
      <c r="W48" s="215"/>
      <c r="X48" s="217"/>
      <c r="Y48" s="217"/>
      <c r="Z48" s="213"/>
      <c r="AA48" s="215"/>
      <c r="AB48" s="215"/>
      <c r="AC48" s="217"/>
      <c r="AD48" s="217"/>
      <c r="AE48" s="213"/>
      <c r="AF48" s="215"/>
      <c r="AG48" s="215"/>
      <c r="AH48" s="217"/>
      <c r="AI48" s="217"/>
      <c r="AJ48" s="213"/>
    </row>
    <row r="49" spans="1:36" ht="33.75" customHeight="1">
      <c r="A49" s="213"/>
      <c r="B49" s="214">
        <f ca="1">IFERROR(__xludf.DUMMYFUNCTION("""COMPUTED_VALUE"""),571620)</f>
        <v>571620</v>
      </c>
      <c r="C49" s="215" t="str">
        <f ca="1">IFERROR(__xludf.DUMMYFUNCTION("""COMPUTED_VALUE"""),"General")</f>
        <v>General</v>
      </c>
      <c r="D49" s="216" t="str">
        <f ca="1">IFERROR(__xludf.DUMMYFUNCTION("""COMPUTED_VALUE"""),"Smarter Cities: Using Data to Drive Urban Innovation")</f>
        <v>Smarter Cities: Using Data to Drive Urban Innovation</v>
      </c>
      <c r="E49" s="217"/>
      <c r="F49" s="213"/>
      <c r="G49" s="214"/>
      <c r="H49" s="215"/>
      <c r="I49" s="217"/>
      <c r="J49" s="217"/>
      <c r="K49" s="213"/>
      <c r="L49" s="215"/>
      <c r="M49" s="215"/>
      <c r="N49" s="217"/>
      <c r="O49" s="217"/>
      <c r="P49" s="213"/>
      <c r="Q49" s="215"/>
      <c r="R49" s="215"/>
      <c r="S49" s="217"/>
      <c r="T49" s="217"/>
      <c r="U49" s="213"/>
      <c r="V49" s="215"/>
      <c r="W49" s="215"/>
      <c r="X49" s="217"/>
      <c r="Y49" s="217"/>
      <c r="Z49" s="213"/>
      <c r="AA49" s="215"/>
      <c r="AB49" s="215"/>
      <c r="AC49" s="217"/>
      <c r="AD49" s="217"/>
      <c r="AE49" s="213"/>
      <c r="AF49" s="215"/>
      <c r="AG49" s="215"/>
      <c r="AH49" s="217"/>
      <c r="AI49" s="217"/>
      <c r="AJ49" s="213"/>
    </row>
    <row r="50" spans="1:36" ht="33.75" customHeight="1">
      <c r="A50" s="213"/>
      <c r="B50" s="214">
        <f ca="1">IFERROR(__xludf.DUMMYFUNCTION("""COMPUTED_VALUE"""),2887259)</f>
        <v>2887259</v>
      </c>
      <c r="C50" s="215" t="str">
        <f ca="1">IFERROR(__xludf.DUMMYFUNCTION("""COMPUTED_VALUE"""),"General")</f>
        <v>General</v>
      </c>
      <c r="D50" s="216" t="str">
        <f ca="1">IFERROR(__xludf.DUMMYFUNCTION("""COMPUTED_VALUE"""),"Conducting a SWOT Analysis")</f>
        <v>Conducting a SWOT Analysis</v>
      </c>
      <c r="E50" s="217"/>
      <c r="F50" s="213"/>
      <c r="G50" s="214"/>
      <c r="H50" s="215"/>
      <c r="I50" s="217"/>
      <c r="J50" s="217"/>
      <c r="K50" s="213"/>
      <c r="L50" s="215"/>
      <c r="M50" s="215"/>
      <c r="N50" s="217"/>
      <c r="O50" s="217"/>
      <c r="P50" s="213"/>
      <c r="Q50" s="215"/>
      <c r="R50" s="215"/>
      <c r="S50" s="217"/>
      <c r="T50" s="217"/>
      <c r="U50" s="213"/>
      <c r="V50" s="215"/>
      <c r="W50" s="215"/>
      <c r="X50" s="217"/>
      <c r="Y50" s="217"/>
      <c r="Z50" s="213"/>
      <c r="AA50" s="215"/>
      <c r="AB50" s="215"/>
      <c r="AC50" s="217"/>
      <c r="AD50" s="217"/>
      <c r="AE50" s="213"/>
      <c r="AF50" s="215"/>
      <c r="AG50" s="215"/>
      <c r="AH50" s="217"/>
      <c r="AI50" s="217"/>
      <c r="AJ50" s="213"/>
    </row>
    <row r="51" spans="1:36" ht="33.75" customHeight="1">
      <c r="A51" s="213"/>
      <c r="B51" s="214">
        <f ca="1">IFERROR(__xludf.DUMMYFUNCTION("""COMPUTED_VALUE"""),2423502)</f>
        <v>2423502</v>
      </c>
      <c r="C51" s="215" t="str">
        <f ca="1">IFERROR(__xludf.DUMMYFUNCTION("""COMPUTED_VALUE"""),"General")</f>
        <v>General</v>
      </c>
      <c r="D51" s="216" t="str">
        <f ca="1">IFERROR(__xludf.DUMMYFUNCTION("""COMPUTED_VALUE"""),"Creativity at Work: A Short Course from Seth Godin")</f>
        <v>Creativity at Work: A Short Course from Seth Godin</v>
      </c>
      <c r="E51" s="217"/>
      <c r="F51" s="213"/>
      <c r="G51" s="214"/>
      <c r="H51" s="215"/>
      <c r="I51" s="217"/>
      <c r="J51" s="217"/>
      <c r="K51" s="213"/>
      <c r="L51" s="215"/>
      <c r="M51" s="215"/>
      <c r="N51" s="217"/>
      <c r="O51" s="217"/>
      <c r="P51" s="213"/>
      <c r="Q51" s="215"/>
      <c r="R51" s="215"/>
      <c r="S51" s="217"/>
      <c r="T51" s="217"/>
      <c r="U51" s="213"/>
      <c r="V51" s="215"/>
      <c r="W51" s="215"/>
      <c r="X51" s="217"/>
      <c r="Y51" s="217"/>
      <c r="Z51" s="213"/>
      <c r="AA51" s="215"/>
      <c r="AB51" s="215"/>
      <c r="AC51" s="217"/>
      <c r="AD51" s="217"/>
      <c r="AE51" s="213"/>
      <c r="AF51" s="215"/>
      <c r="AG51" s="215"/>
      <c r="AH51" s="217"/>
      <c r="AI51" s="217"/>
      <c r="AJ51" s="213"/>
    </row>
    <row r="52" spans="1:36" ht="33.75" customHeight="1">
      <c r="A52" s="213"/>
      <c r="B52" s="214">
        <f ca="1">IFERROR(__xludf.DUMMYFUNCTION("""COMPUTED_VALUE"""),3013038)</f>
        <v>3013038</v>
      </c>
      <c r="C52" s="215" t="str">
        <f ca="1">IFERROR(__xludf.DUMMYFUNCTION("""COMPUTED_VALUE"""),"General")</f>
        <v>General</v>
      </c>
      <c r="D52" s="216" t="str">
        <f ca="1">IFERROR(__xludf.DUMMYFUNCTION("""COMPUTED_VALUE"""),"Creative Confidence (Blinkist Summary)")</f>
        <v>Creative Confidence (Blinkist Summary)</v>
      </c>
      <c r="E52" s="217"/>
      <c r="F52" s="213"/>
      <c r="G52" s="214"/>
      <c r="H52" s="215"/>
      <c r="I52" s="217"/>
      <c r="J52" s="217"/>
      <c r="K52" s="213"/>
      <c r="L52" s="215"/>
      <c r="M52" s="215"/>
      <c r="N52" s="217"/>
      <c r="O52" s="217"/>
      <c r="P52" s="213"/>
      <c r="Q52" s="215"/>
      <c r="R52" s="215"/>
      <c r="S52" s="217"/>
      <c r="T52" s="217"/>
      <c r="U52" s="213"/>
      <c r="V52" s="215"/>
      <c r="W52" s="215"/>
      <c r="X52" s="217"/>
      <c r="Y52" s="217"/>
      <c r="Z52" s="213"/>
      <c r="AA52" s="215"/>
      <c r="AB52" s="215"/>
      <c r="AC52" s="217"/>
      <c r="AD52" s="217"/>
      <c r="AE52" s="213"/>
      <c r="AF52" s="215"/>
      <c r="AG52" s="215"/>
      <c r="AH52" s="217"/>
      <c r="AI52" s="217"/>
      <c r="AJ52" s="213"/>
    </row>
    <row r="53" spans="1:36" ht="33.75" customHeight="1">
      <c r="A53" s="213"/>
      <c r="B53" s="214">
        <f ca="1">IFERROR(__xludf.DUMMYFUNCTION("""COMPUTED_VALUE"""),2873280)</f>
        <v>2873280</v>
      </c>
      <c r="C53" s="215" t="str">
        <f ca="1">IFERROR(__xludf.DUMMYFUNCTION("""COMPUTED_VALUE"""),"General")</f>
        <v>General</v>
      </c>
      <c r="D53" s="216" t="str">
        <f ca="1">IFERROR(__xludf.DUMMYFUNCTION("""COMPUTED_VALUE"""),"Productive Creativity")</f>
        <v>Productive Creativity</v>
      </c>
      <c r="E53" s="217"/>
      <c r="F53" s="213"/>
      <c r="G53" s="214"/>
      <c r="H53" s="215"/>
      <c r="I53" s="217"/>
      <c r="J53" s="217"/>
      <c r="K53" s="213"/>
      <c r="L53" s="215"/>
      <c r="M53" s="215"/>
      <c r="N53" s="217"/>
      <c r="O53" s="217"/>
      <c r="P53" s="213"/>
      <c r="Q53" s="215"/>
      <c r="R53" s="215"/>
      <c r="S53" s="217"/>
      <c r="T53" s="217"/>
      <c r="U53" s="213"/>
      <c r="V53" s="215"/>
      <c r="W53" s="215"/>
      <c r="X53" s="217"/>
      <c r="Y53" s="217"/>
      <c r="Z53" s="213"/>
      <c r="AA53" s="215"/>
      <c r="AB53" s="215"/>
      <c r="AC53" s="217"/>
      <c r="AD53" s="217"/>
      <c r="AE53" s="213"/>
      <c r="AF53" s="215"/>
      <c r="AG53" s="215"/>
      <c r="AH53" s="217"/>
      <c r="AI53" s="217"/>
      <c r="AJ53" s="213"/>
    </row>
    <row r="54" spans="1:36" ht="33.75" customHeight="1">
      <c r="A54" s="213"/>
      <c r="B54" s="214">
        <f ca="1">IFERROR(__xludf.DUMMYFUNCTION("""COMPUTED_VALUE"""),2880063)</f>
        <v>2880063</v>
      </c>
      <c r="C54" s="215" t="str">
        <f ca="1">IFERROR(__xludf.DUMMYFUNCTION("""COMPUTED_VALUE"""),"General")</f>
        <v>General</v>
      </c>
      <c r="D54" s="216" t="str">
        <f ca="1">IFERROR(__xludf.DUMMYFUNCTION("""COMPUTED_VALUE"""),"Unique Ways to Generate Creative Ideas")</f>
        <v>Unique Ways to Generate Creative Ideas</v>
      </c>
      <c r="E54" s="217"/>
      <c r="F54" s="213"/>
      <c r="G54" s="214"/>
      <c r="H54" s="215"/>
      <c r="I54" s="217"/>
      <c r="J54" s="217"/>
      <c r="K54" s="213"/>
      <c r="L54" s="215"/>
      <c r="M54" s="215"/>
      <c r="N54" s="217"/>
      <c r="O54" s="217"/>
      <c r="P54" s="213"/>
      <c r="Q54" s="215"/>
      <c r="R54" s="215"/>
      <c r="S54" s="217"/>
      <c r="T54" s="217"/>
      <c r="U54" s="213"/>
      <c r="V54" s="215"/>
      <c r="W54" s="215"/>
      <c r="X54" s="217"/>
      <c r="Y54" s="217"/>
      <c r="Z54" s="213"/>
      <c r="AA54" s="215"/>
      <c r="AB54" s="215"/>
      <c r="AC54" s="217"/>
      <c r="AD54" s="217"/>
      <c r="AE54" s="213"/>
      <c r="AF54" s="215"/>
      <c r="AG54" s="215"/>
      <c r="AH54" s="217"/>
      <c r="AI54" s="217"/>
      <c r="AJ54" s="213"/>
    </row>
    <row r="55" spans="1:36" ht="33.75" customHeight="1">
      <c r="A55" s="213"/>
      <c r="B55" s="214">
        <f ca="1">IFERROR(__xludf.DUMMYFUNCTION("""COMPUTED_VALUE"""),2885072)</f>
        <v>2885072</v>
      </c>
      <c r="C55" s="215" t="str">
        <f ca="1">IFERROR(__xludf.DUMMYFUNCTION("""COMPUTED_VALUE"""),"General")</f>
        <v>General</v>
      </c>
      <c r="D55" s="216" t="str">
        <f ca="1">IFERROR(__xludf.DUMMYFUNCTION("""COMPUTED_VALUE"""),"Finding Creativity in Uncertain Times")</f>
        <v>Finding Creativity in Uncertain Times</v>
      </c>
      <c r="E55" s="217"/>
      <c r="F55" s="213"/>
      <c r="G55" s="214"/>
      <c r="H55" s="215"/>
      <c r="I55" s="217"/>
      <c r="J55" s="217"/>
      <c r="K55" s="213"/>
      <c r="L55" s="215"/>
      <c r="M55" s="215"/>
      <c r="N55" s="217"/>
      <c r="O55" s="217"/>
      <c r="P55" s="213"/>
      <c r="Q55" s="215"/>
      <c r="R55" s="215"/>
      <c r="S55" s="217"/>
      <c r="T55" s="217"/>
      <c r="U55" s="213"/>
      <c r="V55" s="215"/>
      <c r="W55" s="215"/>
      <c r="X55" s="217"/>
      <c r="Y55" s="217"/>
      <c r="Z55" s="213"/>
      <c r="AA55" s="215"/>
      <c r="AB55" s="215"/>
      <c r="AC55" s="217"/>
      <c r="AD55" s="217"/>
      <c r="AE55" s="213"/>
      <c r="AF55" s="215"/>
      <c r="AG55" s="215"/>
      <c r="AH55" s="217"/>
      <c r="AI55" s="217"/>
      <c r="AJ55" s="213"/>
    </row>
    <row r="56" spans="1:36" ht="33.75" customHeight="1">
      <c r="A56" s="213"/>
      <c r="B56" s="214">
        <f ca="1">IFERROR(__xludf.DUMMYFUNCTION("""COMPUTED_VALUE"""),2841547)</f>
        <v>2841547</v>
      </c>
      <c r="C56" s="215" t="str">
        <f ca="1">IFERROR(__xludf.DUMMYFUNCTION("""COMPUTED_VALUE"""),"Intermediate")</f>
        <v>Intermediate</v>
      </c>
      <c r="D56" s="216" t="str">
        <f ca="1">IFERROR(__xludf.DUMMYFUNCTION("""COMPUTED_VALUE"""),"UX Deep Dive: Remote Research")</f>
        <v>UX Deep Dive: Remote Research</v>
      </c>
      <c r="E56" s="217"/>
      <c r="F56" s="213"/>
      <c r="G56" s="214"/>
      <c r="H56" s="215"/>
      <c r="I56" s="217"/>
      <c r="J56" s="217"/>
      <c r="K56" s="213"/>
      <c r="L56" s="215"/>
      <c r="M56" s="215"/>
      <c r="N56" s="217"/>
      <c r="O56" s="217"/>
      <c r="P56" s="213"/>
      <c r="Q56" s="215"/>
      <c r="R56" s="215"/>
      <c r="S56" s="217"/>
      <c r="T56" s="217"/>
      <c r="U56" s="213"/>
      <c r="V56" s="215"/>
      <c r="W56" s="215"/>
      <c r="X56" s="217"/>
      <c r="Y56" s="217"/>
      <c r="Z56" s="213"/>
      <c r="AA56" s="215"/>
      <c r="AB56" s="215"/>
      <c r="AC56" s="217"/>
      <c r="AD56" s="217"/>
      <c r="AE56" s="213"/>
      <c r="AF56" s="215"/>
      <c r="AG56" s="215"/>
      <c r="AH56" s="217"/>
      <c r="AI56" s="217"/>
      <c r="AJ56" s="213"/>
    </row>
    <row r="57" spans="1:36" ht="33.75" customHeight="1">
      <c r="A57" s="213"/>
      <c r="B57" s="214">
        <f ca="1">IFERROR(__xludf.DUMMYFUNCTION("""COMPUTED_VALUE"""),718627)</f>
        <v>718627</v>
      </c>
      <c r="C57" s="215" t="str">
        <f ca="1">IFERROR(__xludf.DUMMYFUNCTION("""COMPUTED_VALUE"""),"Intermediate")</f>
        <v>Intermediate</v>
      </c>
      <c r="D57" s="216" t="str">
        <f ca="1">IFERROR(__xludf.DUMMYFUNCTION("""COMPUTED_VALUE"""),"Enhancing Team Innovation")</f>
        <v>Enhancing Team Innovation</v>
      </c>
      <c r="E57" s="217"/>
      <c r="F57" s="213"/>
      <c r="G57" s="214"/>
      <c r="H57" s="215"/>
      <c r="I57" s="217"/>
      <c r="J57" s="217"/>
      <c r="K57" s="213"/>
      <c r="L57" s="215"/>
      <c r="M57" s="215"/>
      <c r="N57" s="217"/>
      <c r="O57" s="217"/>
      <c r="P57" s="213"/>
      <c r="Q57" s="215"/>
      <c r="R57" s="215"/>
      <c r="S57" s="217"/>
      <c r="T57" s="217"/>
      <c r="U57" s="213"/>
      <c r="V57" s="215"/>
      <c r="W57" s="215"/>
      <c r="X57" s="217"/>
      <c r="Y57" s="217"/>
      <c r="Z57" s="213"/>
      <c r="AA57" s="215"/>
      <c r="AB57" s="215"/>
      <c r="AC57" s="217"/>
      <c r="AD57" s="217"/>
      <c r="AE57" s="213"/>
      <c r="AF57" s="215"/>
      <c r="AG57" s="215"/>
      <c r="AH57" s="217"/>
      <c r="AI57" s="217"/>
      <c r="AJ57" s="213"/>
    </row>
    <row r="58" spans="1:36" ht="33.75" customHeight="1">
      <c r="A58" s="213"/>
      <c r="B58" s="214">
        <f ca="1">IFERROR(__xludf.DUMMYFUNCTION("""COMPUTED_VALUE"""),2824253)</f>
        <v>2824253</v>
      </c>
      <c r="C58" s="215" t="str">
        <f ca="1">IFERROR(__xludf.DUMMYFUNCTION("""COMPUTED_VALUE"""),"Intermediate")</f>
        <v>Intermediate</v>
      </c>
      <c r="D58" s="216" t="str">
        <f ca="1">IFERROR(__xludf.DUMMYFUNCTION("""COMPUTED_VALUE"""),"Psychological Safety: Clear Blocks to Innovation, Collaboration, and Risk-Taking")</f>
        <v>Psychological Safety: Clear Blocks to Innovation, Collaboration, and Risk-Taking</v>
      </c>
      <c r="E58" s="217"/>
      <c r="F58" s="213"/>
      <c r="G58" s="214"/>
      <c r="H58" s="215"/>
      <c r="I58" s="217"/>
      <c r="J58" s="217"/>
      <c r="K58" s="213"/>
      <c r="L58" s="215"/>
      <c r="M58" s="215"/>
      <c r="N58" s="217"/>
      <c r="O58" s="217"/>
      <c r="P58" s="213"/>
      <c r="Q58" s="215"/>
      <c r="R58" s="215"/>
      <c r="S58" s="217"/>
      <c r="T58" s="217"/>
      <c r="U58" s="213"/>
      <c r="V58" s="215"/>
      <c r="W58" s="215"/>
      <c r="X58" s="217"/>
      <c r="Y58" s="217"/>
      <c r="Z58" s="213"/>
      <c r="AA58" s="215"/>
      <c r="AB58" s="215"/>
      <c r="AC58" s="217"/>
      <c r="AD58" s="217"/>
      <c r="AE58" s="213"/>
      <c r="AF58" s="215"/>
      <c r="AG58" s="215"/>
      <c r="AH58" s="217"/>
      <c r="AI58" s="217"/>
      <c r="AJ58" s="213"/>
    </row>
    <row r="59" spans="1:36" ht="33.75" customHeight="1">
      <c r="A59" s="213"/>
      <c r="B59" s="214">
        <f ca="1">IFERROR(__xludf.DUMMYFUNCTION("""COMPUTED_VALUE"""),2836022)</f>
        <v>2836022</v>
      </c>
      <c r="C59" s="215" t="str">
        <f ca="1">IFERROR(__xludf.DUMMYFUNCTION("""COMPUTED_VALUE"""),"Intermediate")</f>
        <v>Intermediate</v>
      </c>
      <c r="D59" s="216" t="str">
        <f ca="1">IFERROR(__xludf.DUMMYFUNCTION("""COMPUTED_VALUE"""),"Managing Innovation")</f>
        <v>Managing Innovation</v>
      </c>
      <c r="E59" s="217"/>
      <c r="F59" s="213"/>
      <c r="G59" s="214"/>
      <c r="H59" s="215"/>
      <c r="I59" s="217"/>
      <c r="J59" s="217"/>
      <c r="K59" s="213"/>
      <c r="L59" s="215"/>
      <c r="M59" s="215"/>
      <c r="N59" s="217"/>
      <c r="O59" s="217"/>
      <c r="P59" s="213"/>
      <c r="Q59" s="215"/>
      <c r="R59" s="215"/>
      <c r="S59" s="217"/>
      <c r="T59" s="217"/>
      <c r="U59" s="213"/>
      <c r="V59" s="215"/>
      <c r="W59" s="215"/>
      <c r="X59" s="217"/>
      <c r="Y59" s="217"/>
      <c r="Z59" s="213"/>
      <c r="AA59" s="215"/>
      <c r="AB59" s="215"/>
      <c r="AC59" s="217"/>
      <c r="AD59" s="217"/>
      <c r="AE59" s="213"/>
      <c r="AF59" s="215"/>
      <c r="AG59" s="215"/>
      <c r="AH59" s="217"/>
      <c r="AI59" s="217"/>
      <c r="AJ59" s="213"/>
    </row>
    <row r="60" spans="1:36" ht="33.75" customHeight="1">
      <c r="A60" s="213"/>
      <c r="B60" s="214">
        <f ca="1">IFERROR(__xludf.DUMMYFUNCTION("""COMPUTED_VALUE"""),2837260)</f>
        <v>2837260</v>
      </c>
      <c r="C60" s="215" t="str">
        <f ca="1">IFERROR(__xludf.DUMMYFUNCTION("""COMPUTED_VALUE"""),"Intermediate")</f>
        <v>Intermediate</v>
      </c>
      <c r="D60" s="216" t="str">
        <f ca="1">IFERROR(__xludf.DUMMYFUNCTION("""COMPUTED_VALUE"""),"The Definitive Drucker (getAbstract Summary)")</f>
        <v>The Definitive Drucker (getAbstract Summary)</v>
      </c>
      <c r="E60" s="217"/>
      <c r="F60" s="213"/>
      <c r="G60" s="214"/>
      <c r="H60" s="215"/>
      <c r="I60" s="217"/>
      <c r="J60" s="217"/>
      <c r="K60" s="213"/>
      <c r="L60" s="215"/>
      <c r="M60" s="215"/>
      <c r="N60" s="217"/>
      <c r="O60" s="217"/>
      <c r="P60" s="213"/>
      <c r="Q60" s="215"/>
      <c r="R60" s="215"/>
      <c r="S60" s="217"/>
      <c r="T60" s="217"/>
      <c r="U60" s="213"/>
      <c r="V60" s="215"/>
      <c r="W60" s="215"/>
      <c r="X60" s="217"/>
      <c r="Y60" s="217"/>
      <c r="Z60" s="213"/>
      <c r="AA60" s="215"/>
      <c r="AB60" s="215"/>
      <c r="AC60" s="217"/>
      <c r="AD60" s="217"/>
      <c r="AE60" s="213"/>
      <c r="AF60" s="215"/>
      <c r="AG60" s="215"/>
      <c r="AH60" s="217"/>
      <c r="AI60" s="217"/>
      <c r="AJ60" s="213"/>
    </row>
    <row r="61" spans="1:36" ht="33.75" customHeight="1">
      <c r="A61" s="213"/>
      <c r="B61" s="214"/>
      <c r="C61" s="215"/>
      <c r="D61" s="216"/>
      <c r="E61" s="217"/>
      <c r="F61" s="213"/>
      <c r="G61" s="214"/>
      <c r="H61" s="215"/>
      <c r="I61" s="217"/>
      <c r="J61" s="217"/>
      <c r="K61" s="213"/>
      <c r="L61" s="215"/>
      <c r="M61" s="215"/>
      <c r="N61" s="217"/>
      <c r="O61" s="217"/>
      <c r="P61" s="213"/>
      <c r="Q61" s="215"/>
      <c r="R61" s="215"/>
      <c r="S61" s="217"/>
      <c r="T61" s="217"/>
      <c r="U61" s="213"/>
      <c r="V61" s="215"/>
      <c r="W61" s="215"/>
      <c r="X61" s="217"/>
      <c r="Y61" s="217"/>
      <c r="Z61" s="213"/>
      <c r="AA61" s="215"/>
      <c r="AB61" s="215"/>
      <c r="AC61" s="217"/>
      <c r="AD61" s="217"/>
      <c r="AE61" s="213"/>
      <c r="AF61" s="215"/>
      <c r="AG61" s="215"/>
      <c r="AH61" s="217"/>
      <c r="AI61" s="217"/>
      <c r="AJ61" s="213"/>
    </row>
    <row r="62" spans="1:36" ht="33.75" customHeight="1">
      <c r="A62" s="213"/>
      <c r="B62" s="214"/>
      <c r="C62" s="215"/>
      <c r="D62" s="216"/>
      <c r="E62" s="217"/>
      <c r="F62" s="213"/>
      <c r="G62" s="214"/>
      <c r="H62" s="215"/>
      <c r="I62" s="217"/>
      <c r="J62" s="217"/>
      <c r="K62" s="213"/>
      <c r="L62" s="215"/>
      <c r="M62" s="215"/>
      <c r="N62" s="217"/>
      <c r="O62" s="217"/>
      <c r="P62" s="213"/>
      <c r="Q62" s="215"/>
      <c r="R62" s="215"/>
      <c r="S62" s="217"/>
      <c r="T62" s="217"/>
      <c r="U62" s="213"/>
      <c r="V62" s="215"/>
      <c r="W62" s="215"/>
      <c r="X62" s="217"/>
      <c r="Y62" s="217"/>
      <c r="Z62" s="213"/>
      <c r="AA62" s="215"/>
      <c r="AB62" s="215"/>
      <c r="AC62" s="217"/>
      <c r="AD62" s="217"/>
      <c r="AE62" s="213"/>
      <c r="AF62" s="215"/>
      <c r="AG62" s="215"/>
      <c r="AH62" s="217"/>
      <c r="AI62" s="217"/>
      <c r="AJ62" s="213"/>
    </row>
    <row r="63" spans="1:36" ht="33.75" customHeight="1">
      <c r="A63" s="213"/>
      <c r="B63" s="214"/>
      <c r="C63" s="215"/>
      <c r="D63" s="216"/>
      <c r="E63" s="217"/>
      <c r="F63" s="213"/>
      <c r="G63" s="214"/>
      <c r="H63" s="215"/>
      <c r="I63" s="217"/>
      <c r="J63" s="217"/>
      <c r="K63" s="213"/>
      <c r="L63" s="215"/>
      <c r="M63" s="215"/>
      <c r="N63" s="217"/>
      <c r="O63" s="217"/>
      <c r="P63" s="213"/>
      <c r="Q63" s="215"/>
      <c r="R63" s="215"/>
      <c r="S63" s="217"/>
      <c r="T63" s="217"/>
      <c r="U63" s="213"/>
      <c r="V63" s="215"/>
      <c r="W63" s="215"/>
      <c r="X63" s="217"/>
      <c r="Y63" s="217"/>
      <c r="Z63" s="213"/>
      <c r="AA63" s="215"/>
      <c r="AB63" s="215"/>
      <c r="AC63" s="217"/>
      <c r="AD63" s="217"/>
      <c r="AE63" s="213"/>
      <c r="AF63" s="215"/>
      <c r="AG63" s="215"/>
      <c r="AH63" s="217"/>
      <c r="AI63" s="217"/>
      <c r="AJ63" s="213"/>
    </row>
    <row r="64" spans="1:36" ht="33.75" customHeight="1">
      <c r="A64" s="213"/>
      <c r="B64" s="214"/>
      <c r="C64" s="215"/>
      <c r="D64" s="216"/>
      <c r="E64" s="217"/>
      <c r="F64" s="213"/>
      <c r="G64" s="214"/>
      <c r="H64" s="215"/>
      <c r="I64" s="217"/>
      <c r="J64" s="217"/>
      <c r="K64" s="213"/>
      <c r="L64" s="215"/>
      <c r="M64" s="215"/>
      <c r="N64" s="217"/>
      <c r="O64" s="217"/>
      <c r="P64" s="213"/>
      <c r="Q64" s="215"/>
      <c r="R64" s="215"/>
      <c r="S64" s="217"/>
      <c r="T64" s="217"/>
      <c r="U64" s="213"/>
      <c r="V64" s="215"/>
      <c r="W64" s="215"/>
      <c r="X64" s="217"/>
      <c r="Y64" s="217"/>
      <c r="Z64" s="213"/>
      <c r="AA64" s="215"/>
      <c r="AB64" s="215"/>
      <c r="AC64" s="217"/>
      <c r="AD64" s="217"/>
      <c r="AE64" s="213"/>
      <c r="AF64" s="215"/>
      <c r="AG64" s="215"/>
      <c r="AH64" s="217"/>
      <c r="AI64" s="217"/>
      <c r="AJ64" s="213"/>
    </row>
    <row r="65" spans="1:36" ht="33.75" customHeight="1">
      <c r="A65" s="213"/>
      <c r="B65" s="214"/>
      <c r="C65" s="215"/>
      <c r="D65" s="216"/>
      <c r="E65" s="217"/>
      <c r="F65" s="213"/>
      <c r="G65" s="214"/>
      <c r="H65" s="215"/>
      <c r="I65" s="217"/>
      <c r="J65" s="217"/>
      <c r="K65" s="213"/>
      <c r="L65" s="215"/>
      <c r="M65" s="215"/>
      <c r="N65" s="217"/>
      <c r="O65" s="217"/>
      <c r="P65" s="213"/>
      <c r="Q65" s="215"/>
      <c r="R65" s="215"/>
      <c r="S65" s="217"/>
      <c r="T65" s="217"/>
      <c r="U65" s="213"/>
      <c r="V65" s="215"/>
      <c r="W65" s="215"/>
      <c r="X65" s="217"/>
      <c r="Y65" s="217"/>
      <c r="Z65" s="213"/>
      <c r="AA65" s="215"/>
      <c r="AB65" s="215"/>
      <c r="AC65" s="217"/>
      <c r="AD65" s="217"/>
      <c r="AE65" s="213"/>
      <c r="AF65" s="215"/>
      <c r="AG65" s="215"/>
      <c r="AH65" s="217"/>
      <c r="AI65" s="217"/>
      <c r="AJ65" s="213"/>
    </row>
    <row r="66" spans="1:36" ht="33.75" customHeight="1">
      <c r="A66" s="213"/>
      <c r="B66" s="214"/>
      <c r="C66" s="215"/>
      <c r="D66" s="216"/>
      <c r="E66" s="217"/>
      <c r="F66" s="213"/>
      <c r="G66" s="214"/>
      <c r="H66" s="215"/>
      <c r="I66" s="217"/>
      <c r="J66" s="217"/>
      <c r="K66" s="213"/>
      <c r="L66" s="215"/>
      <c r="M66" s="215"/>
      <c r="N66" s="217"/>
      <c r="O66" s="217"/>
      <c r="P66" s="213"/>
      <c r="Q66" s="215"/>
      <c r="R66" s="215"/>
      <c r="S66" s="217"/>
      <c r="T66" s="217"/>
      <c r="U66" s="213"/>
      <c r="V66" s="215"/>
      <c r="W66" s="215"/>
      <c r="X66" s="217"/>
      <c r="Y66" s="217"/>
      <c r="Z66" s="213"/>
      <c r="AA66" s="215"/>
      <c r="AB66" s="215"/>
      <c r="AC66" s="217"/>
      <c r="AD66" s="217"/>
      <c r="AE66" s="213"/>
      <c r="AF66" s="215"/>
      <c r="AG66" s="215"/>
      <c r="AH66" s="217"/>
      <c r="AI66" s="217"/>
      <c r="AJ66" s="213"/>
    </row>
    <row r="67" spans="1:36" ht="33.75" customHeight="1">
      <c r="A67" s="213"/>
      <c r="B67" s="214"/>
      <c r="C67" s="215"/>
      <c r="D67" s="216"/>
      <c r="E67" s="217"/>
      <c r="F67" s="213"/>
      <c r="G67" s="214"/>
      <c r="H67" s="215"/>
      <c r="I67" s="217"/>
      <c r="J67" s="217"/>
      <c r="K67" s="213"/>
      <c r="L67" s="215"/>
      <c r="M67" s="215"/>
      <c r="N67" s="217"/>
      <c r="O67" s="217"/>
      <c r="P67" s="213"/>
      <c r="Q67" s="215"/>
      <c r="R67" s="215"/>
      <c r="S67" s="217"/>
      <c r="T67" s="217"/>
      <c r="U67" s="213"/>
      <c r="V67" s="215"/>
      <c r="W67" s="215"/>
      <c r="X67" s="217"/>
      <c r="Y67" s="217"/>
      <c r="Z67" s="213"/>
      <c r="AA67" s="215"/>
      <c r="AB67" s="215"/>
      <c r="AC67" s="217"/>
      <c r="AD67" s="217"/>
      <c r="AE67" s="213"/>
      <c r="AF67" s="215"/>
      <c r="AG67" s="215"/>
      <c r="AH67" s="217"/>
      <c r="AI67" s="217"/>
      <c r="AJ67" s="213"/>
    </row>
    <row r="68" spans="1:36" ht="33.75" customHeight="1">
      <c r="A68" s="213"/>
      <c r="B68" s="214"/>
      <c r="C68" s="215"/>
      <c r="D68" s="216"/>
      <c r="E68" s="217"/>
      <c r="F68" s="213"/>
      <c r="G68" s="214"/>
      <c r="H68" s="215"/>
      <c r="I68" s="217"/>
      <c r="J68" s="217"/>
      <c r="K68" s="213"/>
      <c r="L68" s="215"/>
      <c r="M68" s="215"/>
      <c r="N68" s="217"/>
      <c r="O68" s="217"/>
      <c r="P68" s="213"/>
      <c r="Q68" s="215"/>
      <c r="R68" s="215"/>
      <c r="S68" s="217"/>
      <c r="T68" s="217"/>
      <c r="U68" s="213"/>
      <c r="V68" s="215"/>
      <c r="W68" s="215"/>
      <c r="X68" s="217"/>
      <c r="Y68" s="217"/>
      <c r="Z68" s="213"/>
      <c r="AA68" s="215"/>
      <c r="AB68" s="215"/>
      <c r="AC68" s="217"/>
      <c r="AD68" s="217"/>
      <c r="AE68" s="213"/>
      <c r="AF68" s="215"/>
      <c r="AG68" s="215"/>
      <c r="AH68" s="217"/>
      <c r="AI68" s="217"/>
      <c r="AJ68" s="213"/>
    </row>
    <row r="69" spans="1:36" ht="33.75" customHeight="1">
      <c r="A69" s="213"/>
      <c r="B69" s="214"/>
      <c r="C69" s="215"/>
      <c r="D69" s="216"/>
      <c r="E69" s="217"/>
      <c r="F69" s="213"/>
      <c r="G69" s="214"/>
      <c r="H69" s="215"/>
      <c r="I69" s="217"/>
      <c r="J69" s="217"/>
      <c r="K69" s="213"/>
      <c r="L69" s="215"/>
      <c r="M69" s="215"/>
      <c r="N69" s="217"/>
      <c r="O69" s="217"/>
      <c r="P69" s="213"/>
      <c r="Q69" s="215"/>
      <c r="R69" s="215"/>
      <c r="S69" s="217"/>
      <c r="T69" s="217"/>
      <c r="U69" s="213"/>
      <c r="V69" s="215"/>
      <c r="W69" s="215"/>
      <c r="X69" s="217"/>
      <c r="Y69" s="217"/>
      <c r="Z69" s="213"/>
      <c r="AA69" s="215"/>
      <c r="AB69" s="215"/>
      <c r="AC69" s="217"/>
      <c r="AD69" s="217"/>
      <c r="AE69" s="213"/>
      <c r="AF69" s="215"/>
      <c r="AG69" s="215"/>
      <c r="AH69" s="217"/>
      <c r="AI69" s="217"/>
      <c r="AJ69" s="213"/>
    </row>
    <row r="70" spans="1:36" ht="33.75" customHeight="1">
      <c r="A70" s="213"/>
      <c r="B70" s="214"/>
      <c r="C70" s="215"/>
      <c r="D70" s="216"/>
      <c r="E70" s="217"/>
      <c r="F70" s="213"/>
      <c r="G70" s="214"/>
      <c r="H70" s="215"/>
      <c r="I70" s="217"/>
      <c r="J70" s="217"/>
      <c r="K70" s="213"/>
      <c r="L70" s="215"/>
      <c r="M70" s="215"/>
      <c r="N70" s="217"/>
      <c r="O70" s="217"/>
      <c r="P70" s="213"/>
      <c r="Q70" s="215"/>
      <c r="R70" s="215"/>
      <c r="S70" s="217"/>
      <c r="T70" s="217"/>
      <c r="U70" s="213"/>
      <c r="V70" s="215"/>
      <c r="W70" s="215"/>
      <c r="X70" s="217"/>
      <c r="Y70" s="217"/>
      <c r="Z70" s="213"/>
      <c r="AA70" s="215"/>
      <c r="AB70" s="215"/>
      <c r="AC70" s="217"/>
      <c r="AD70" s="217"/>
      <c r="AE70" s="213"/>
      <c r="AF70" s="215"/>
      <c r="AG70" s="215"/>
      <c r="AH70" s="217"/>
      <c r="AI70" s="217"/>
      <c r="AJ70" s="213"/>
    </row>
    <row r="71" spans="1:36" ht="33.75" customHeight="1">
      <c r="A71" s="213"/>
      <c r="B71" s="214"/>
      <c r="C71" s="215"/>
      <c r="D71" s="216"/>
      <c r="E71" s="217"/>
      <c r="F71" s="213"/>
      <c r="G71" s="214"/>
      <c r="H71" s="215"/>
      <c r="I71" s="217"/>
      <c r="J71" s="217"/>
      <c r="K71" s="213"/>
      <c r="L71" s="215"/>
      <c r="M71" s="215"/>
      <c r="N71" s="217"/>
      <c r="O71" s="217"/>
      <c r="P71" s="213"/>
      <c r="Q71" s="215"/>
      <c r="R71" s="215"/>
      <c r="S71" s="217"/>
      <c r="T71" s="217"/>
      <c r="U71" s="213"/>
      <c r="V71" s="215"/>
      <c r="W71" s="215"/>
      <c r="X71" s="217"/>
      <c r="Y71" s="217"/>
      <c r="Z71" s="213"/>
      <c r="AA71" s="215"/>
      <c r="AB71" s="215"/>
      <c r="AC71" s="217"/>
      <c r="AD71" s="217"/>
      <c r="AE71" s="213"/>
      <c r="AF71" s="215"/>
      <c r="AG71" s="215"/>
      <c r="AH71" s="217"/>
      <c r="AI71" s="217"/>
      <c r="AJ71" s="213"/>
    </row>
    <row r="72" spans="1:36" ht="33.75" customHeight="1">
      <c r="A72" s="213"/>
      <c r="B72" s="214"/>
      <c r="C72" s="215"/>
      <c r="D72" s="216"/>
      <c r="E72" s="217"/>
      <c r="F72" s="213"/>
      <c r="G72" s="214"/>
      <c r="H72" s="215"/>
      <c r="I72" s="217"/>
      <c r="J72" s="217"/>
      <c r="K72" s="213"/>
      <c r="L72" s="215"/>
      <c r="M72" s="215"/>
      <c r="N72" s="217"/>
      <c r="O72" s="217"/>
      <c r="P72" s="213"/>
      <c r="Q72" s="215"/>
      <c r="R72" s="215"/>
      <c r="S72" s="217"/>
      <c r="T72" s="217"/>
      <c r="U72" s="213"/>
      <c r="V72" s="215"/>
      <c r="W72" s="215"/>
      <c r="X72" s="217"/>
      <c r="Y72" s="217"/>
      <c r="Z72" s="213"/>
      <c r="AA72" s="215"/>
      <c r="AB72" s="215"/>
      <c r="AC72" s="217"/>
      <c r="AD72" s="217"/>
      <c r="AE72" s="213"/>
      <c r="AF72" s="215"/>
      <c r="AG72" s="215"/>
      <c r="AH72" s="217"/>
      <c r="AI72" s="217"/>
      <c r="AJ72" s="213"/>
    </row>
    <row r="73" spans="1:36" ht="33.75" customHeight="1">
      <c r="A73" s="213"/>
      <c r="B73" s="214"/>
      <c r="C73" s="215"/>
      <c r="D73" s="216"/>
      <c r="E73" s="217"/>
      <c r="F73" s="213"/>
      <c r="G73" s="214"/>
      <c r="H73" s="215"/>
      <c r="I73" s="217"/>
      <c r="J73" s="217"/>
      <c r="K73" s="213"/>
      <c r="L73" s="215"/>
      <c r="M73" s="215"/>
      <c r="N73" s="217"/>
      <c r="O73" s="217"/>
      <c r="P73" s="213"/>
      <c r="Q73" s="215"/>
      <c r="R73" s="215"/>
      <c r="S73" s="217"/>
      <c r="T73" s="217"/>
      <c r="U73" s="213"/>
      <c r="V73" s="215"/>
      <c r="W73" s="215"/>
      <c r="X73" s="217"/>
      <c r="Y73" s="217"/>
      <c r="Z73" s="213"/>
      <c r="AA73" s="215"/>
      <c r="AB73" s="215"/>
      <c r="AC73" s="217"/>
      <c r="AD73" s="217"/>
      <c r="AE73" s="213"/>
      <c r="AF73" s="215"/>
      <c r="AG73" s="215"/>
      <c r="AH73" s="217"/>
      <c r="AI73" s="217"/>
      <c r="AJ73" s="213"/>
    </row>
    <row r="74" spans="1:36" ht="33.75" customHeight="1">
      <c r="A74" s="213"/>
      <c r="B74" s="214"/>
      <c r="C74" s="215"/>
      <c r="D74" s="216"/>
      <c r="E74" s="217"/>
      <c r="F74" s="213"/>
      <c r="G74" s="214"/>
      <c r="H74" s="215"/>
      <c r="I74" s="217"/>
      <c r="J74" s="217"/>
      <c r="K74" s="213"/>
      <c r="L74" s="215"/>
      <c r="M74" s="215"/>
      <c r="N74" s="217"/>
      <c r="O74" s="217"/>
      <c r="P74" s="213"/>
      <c r="Q74" s="215"/>
      <c r="R74" s="215"/>
      <c r="S74" s="217"/>
      <c r="T74" s="217"/>
      <c r="U74" s="213"/>
      <c r="V74" s="215"/>
      <c r="W74" s="215"/>
      <c r="X74" s="217"/>
      <c r="Y74" s="217"/>
      <c r="Z74" s="213"/>
      <c r="AA74" s="215"/>
      <c r="AB74" s="215"/>
      <c r="AC74" s="217"/>
      <c r="AD74" s="217"/>
      <c r="AE74" s="213"/>
      <c r="AF74" s="215"/>
      <c r="AG74" s="215"/>
      <c r="AH74" s="217"/>
      <c r="AI74" s="217"/>
      <c r="AJ74" s="213"/>
    </row>
    <row r="75" spans="1:36" ht="33.75" customHeight="1">
      <c r="A75" s="213"/>
      <c r="B75" s="214"/>
      <c r="C75" s="215"/>
      <c r="D75" s="216"/>
      <c r="E75" s="217"/>
      <c r="F75" s="213"/>
      <c r="G75" s="214"/>
      <c r="H75" s="215"/>
      <c r="I75" s="217"/>
      <c r="J75" s="217"/>
      <c r="K75" s="213"/>
      <c r="L75" s="215"/>
      <c r="M75" s="215"/>
      <c r="N75" s="217"/>
      <c r="O75" s="217"/>
      <c r="P75" s="213"/>
      <c r="Q75" s="215"/>
      <c r="R75" s="215"/>
      <c r="S75" s="217"/>
      <c r="T75" s="217"/>
      <c r="U75" s="213"/>
      <c r="V75" s="215"/>
      <c r="W75" s="215"/>
      <c r="X75" s="217"/>
      <c r="Y75" s="217"/>
      <c r="Z75" s="213"/>
      <c r="AA75" s="215"/>
      <c r="AB75" s="215"/>
      <c r="AC75" s="217"/>
      <c r="AD75" s="217"/>
      <c r="AE75" s="213"/>
      <c r="AF75" s="215"/>
      <c r="AG75" s="215"/>
      <c r="AH75" s="217"/>
      <c r="AI75" s="217"/>
      <c r="AJ75" s="213"/>
    </row>
    <row r="76" spans="1:36" ht="33.75" customHeight="1">
      <c r="A76" s="213"/>
      <c r="B76" s="214"/>
      <c r="C76" s="215"/>
      <c r="D76" s="216"/>
      <c r="E76" s="217"/>
      <c r="F76" s="213"/>
      <c r="G76" s="214"/>
      <c r="H76" s="215"/>
      <c r="I76" s="217"/>
      <c r="J76" s="217"/>
      <c r="K76" s="213"/>
      <c r="L76" s="215"/>
      <c r="M76" s="215"/>
      <c r="N76" s="217"/>
      <c r="O76" s="217"/>
      <c r="P76" s="213"/>
      <c r="Q76" s="215"/>
      <c r="R76" s="215"/>
      <c r="S76" s="217"/>
      <c r="T76" s="217"/>
      <c r="U76" s="213"/>
      <c r="V76" s="215"/>
      <c r="W76" s="215"/>
      <c r="X76" s="217"/>
      <c r="Y76" s="217"/>
      <c r="Z76" s="213"/>
      <c r="AA76" s="215"/>
      <c r="AB76" s="215"/>
      <c r="AC76" s="217"/>
      <c r="AD76" s="217"/>
      <c r="AE76" s="213"/>
      <c r="AF76" s="215"/>
      <c r="AG76" s="215"/>
      <c r="AH76" s="217"/>
      <c r="AI76" s="217"/>
      <c r="AJ76" s="213"/>
    </row>
    <row r="77" spans="1:36" ht="33.75" customHeight="1">
      <c r="A77" s="213"/>
      <c r="B77" s="214"/>
      <c r="C77" s="215"/>
      <c r="D77" s="216"/>
      <c r="E77" s="217"/>
      <c r="F77" s="213"/>
      <c r="G77" s="214"/>
      <c r="H77" s="215"/>
      <c r="I77" s="217"/>
      <c r="J77" s="217"/>
      <c r="K77" s="213"/>
      <c r="L77" s="215"/>
      <c r="M77" s="215"/>
      <c r="N77" s="217"/>
      <c r="O77" s="217"/>
      <c r="P77" s="213"/>
      <c r="Q77" s="215"/>
      <c r="R77" s="215"/>
      <c r="S77" s="217"/>
      <c r="T77" s="217"/>
      <c r="U77" s="213"/>
      <c r="V77" s="215"/>
      <c r="W77" s="215"/>
      <c r="X77" s="217"/>
      <c r="Y77" s="217"/>
      <c r="Z77" s="213"/>
      <c r="AA77" s="215"/>
      <c r="AB77" s="215"/>
      <c r="AC77" s="217"/>
      <c r="AD77" s="217"/>
      <c r="AE77" s="213"/>
      <c r="AF77" s="215"/>
      <c r="AG77" s="215"/>
      <c r="AH77" s="217"/>
      <c r="AI77" s="217"/>
      <c r="AJ77" s="213"/>
    </row>
    <row r="78" spans="1:36" ht="33.75" customHeight="1">
      <c r="A78" s="213"/>
      <c r="B78" s="214"/>
      <c r="C78" s="215"/>
      <c r="D78" s="216"/>
      <c r="E78" s="217"/>
      <c r="F78" s="213"/>
      <c r="G78" s="214"/>
      <c r="H78" s="215"/>
      <c r="I78" s="217"/>
      <c r="J78" s="217"/>
      <c r="K78" s="213"/>
      <c r="L78" s="215"/>
      <c r="M78" s="215"/>
      <c r="N78" s="217"/>
      <c r="O78" s="217"/>
      <c r="P78" s="213"/>
      <c r="Q78" s="215"/>
      <c r="R78" s="215"/>
      <c r="S78" s="217"/>
      <c r="T78" s="217"/>
      <c r="U78" s="213"/>
      <c r="V78" s="215"/>
      <c r="W78" s="215"/>
      <c r="X78" s="217"/>
      <c r="Y78" s="217"/>
      <c r="Z78" s="213"/>
      <c r="AA78" s="215"/>
      <c r="AB78" s="215"/>
      <c r="AC78" s="217"/>
      <c r="AD78" s="217"/>
      <c r="AE78" s="213"/>
      <c r="AF78" s="215"/>
      <c r="AG78" s="215"/>
      <c r="AH78" s="217"/>
      <c r="AI78" s="217"/>
      <c r="AJ78" s="213"/>
    </row>
    <row r="79" spans="1:36" ht="33.75" customHeight="1">
      <c r="A79" s="213"/>
      <c r="B79" s="214"/>
      <c r="C79" s="215"/>
      <c r="D79" s="216"/>
      <c r="E79" s="217"/>
      <c r="F79" s="213"/>
      <c r="G79" s="214"/>
      <c r="H79" s="215"/>
      <c r="I79" s="217"/>
      <c r="J79" s="217"/>
      <c r="K79" s="213"/>
      <c r="L79" s="215"/>
      <c r="M79" s="215"/>
      <c r="N79" s="217"/>
      <c r="O79" s="217"/>
      <c r="P79" s="213"/>
      <c r="Q79" s="215"/>
      <c r="R79" s="215"/>
      <c r="S79" s="217"/>
      <c r="T79" s="217"/>
      <c r="U79" s="213"/>
      <c r="V79" s="215"/>
      <c r="W79" s="215"/>
      <c r="X79" s="217"/>
      <c r="Y79" s="217"/>
      <c r="Z79" s="213"/>
      <c r="AA79" s="215"/>
      <c r="AB79" s="215"/>
      <c r="AC79" s="217"/>
      <c r="AD79" s="217"/>
      <c r="AE79" s="213"/>
      <c r="AF79" s="215"/>
      <c r="AG79" s="215"/>
      <c r="AH79" s="217"/>
      <c r="AI79" s="217"/>
      <c r="AJ79" s="213"/>
    </row>
    <row r="80" spans="1:36" ht="33.75" customHeight="1">
      <c r="A80" s="213"/>
      <c r="B80" s="214"/>
      <c r="C80" s="215"/>
      <c r="D80" s="216"/>
      <c r="E80" s="217"/>
      <c r="F80" s="213"/>
      <c r="G80" s="214"/>
      <c r="H80" s="215"/>
      <c r="I80" s="217"/>
      <c r="J80" s="217"/>
      <c r="K80" s="213"/>
      <c r="L80" s="215"/>
      <c r="M80" s="215"/>
      <c r="N80" s="217"/>
      <c r="O80" s="217"/>
      <c r="P80" s="213"/>
      <c r="Q80" s="215"/>
      <c r="R80" s="215"/>
      <c r="S80" s="217"/>
      <c r="T80" s="217"/>
      <c r="U80" s="213"/>
      <c r="V80" s="215"/>
      <c r="W80" s="215"/>
      <c r="X80" s="217"/>
      <c r="Y80" s="217"/>
      <c r="Z80" s="213"/>
      <c r="AA80" s="215"/>
      <c r="AB80" s="215"/>
      <c r="AC80" s="217"/>
      <c r="AD80" s="217"/>
      <c r="AE80" s="213"/>
      <c r="AF80" s="215"/>
      <c r="AG80" s="215"/>
      <c r="AH80" s="217"/>
      <c r="AI80" s="217"/>
      <c r="AJ80" s="213"/>
    </row>
    <row r="81" spans="1:36" ht="33.75" customHeight="1">
      <c r="A81" s="213"/>
      <c r="B81" s="214"/>
      <c r="C81" s="215"/>
      <c r="D81" s="216"/>
      <c r="E81" s="217"/>
      <c r="F81" s="213"/>
      <c r="G81" s="214"/>
      <c r="H81" s="215"/>
      <c r="I81" s="217"/>
      <c r="J81" s="217"/>
      <c r="K81" s="213"/>
      <c r="L81" s="215"/>
      <c r="M81" s="215"/>
      <c r="N81" s="217"/>
      <c r="O81" s="217"/>
      <c r="P81" s="213"/>
      <c r="Q81" s="215"/>
      <c r="R81" s="215"/>
      <c r="S81" s="217"/>
      <c r="T81" s="217"/>
      <c r="U81" s="213"/>
      <c r="V81" s="215"/>
      <c r="W81" s="215"/>
      <c r="X81" s="217"/>
      <c r="Y81" s="217"/>
      <c r="Z81" s="213"/>
      <c r="AA81" s="215"/>
      <c r="AB81" s="215"/>
      <c r="AC81" s="217"/>
      <c r="AD81" s="217"/>
      <c r="AE81" s="213"/>
      <c r="AF81" s="215"/>
      <c r="AG81" s="215"/>
      <c r="AH81" s="217"/>
      <c r="AI81" s="217"/>
      <c r="AJ81" s="213"/>
    </row>
    <row r="82" spans="1:36" ht="33.75" customHeight="1">
      <c r="A82" s="213"/>
      <c r="B82" s="214"/>
      <c r="C82" s="215"/>
      <c r="D82" s="216"/>
      <c r="E82" s="217"/>
      <c r="F82" s="213"/>
      <c r="G82" s="214"/>
      <c r="H82" s="215"/>
      <c r="I82" s="217"/>
      <c r="J82" s="217"/>
      <c r="K82" s="213"/>
      <c r="L82" s="215"/>
      <c r="M82" s="215"/>
      <c r="N82" s="217"/>
      <c r="O82" s="217"/>
      <c r="P82" s="213"/>
      <c r="Q82" s="215"/>
      <c r="R82" s="215"/>
      <c r="S82" s="217"/>
      <c r="T82" s="217"/>
      <c r="U82" s="213"/>
      <c r="V82" s="215"/>
      <c r="W82" s="215"/>
      <c r="X82" s="217"/>
      <c r="Y82" s="217"/>
      <c r="Z82" s="213"/>
      <c r="AA82" s="215"/>
      <c r="AB82" s="215"/>
      <c r="AC82" s="217"/>
      <c r="AD82" s="217"/>
      <c r="AE82" s="213"/>
      <c r="AF82" s="215"/>
      <c r="AG82" s="215"/>
      <c r="AH82" s="217"/>
      <c r="AI82" s="217"/>
      <c r="AJ82" s="213"/>
    </row>
    <row r="83" spans="1:36" ht="33.75" customHeight="1">
      <c r="A83" s="213"/>
      <c r="B83" s="214"/>
      <c r="C83" s="215"/>
      <c r="D83" s="216"/>
      <c r="E83" s="217"/>
      <c r="F83" s="213"/>
      <c r="G83" s="214"/>
      <c r="H83" s="215"/>
      <c r="I83" s="217"/>
      <c r="J83" s="217"/>
      <c r="K83" s="213"/>
      <c r="L83" s="215"/>
      <c r="M83" s="215"/>
      <c r="N83" s="217"/>
      <c r="O83" s="217"/>
      <c r="P83" s="213"/>
      <c r="Q83" s="215"/>
      <c r="R83" s="215"/>
      <c r="S83" s="217"/>
      <c r="T83" s="217"/>
      <c r="U83" s="213"/>
      <c r="V83" s="215"/>
      <c r="W83" s="215"/>
      <c r="X83" s="217"/>
      <c r="Y83" s="217"/>
      <c r="Z83" s="213"/>
      <c r="AA83" s="215"/>
      <c r="AB83" s="215"/>
      <c r="AC83" s="217"/>
      <c r="AD83" s="217"/>
      <c r="AE83" s="213"/>
      <c r="AF83" s="215"/>
      <c r="AG83" s="215"/>
      <c r="AH83" s="217"/>
      <c r="AI83" s="217"/>
      <c r="AJ83" s="213"/>
    </row>
    <row r="84" spans="1:36" ht="33.75" customHeight="1">
      <c r="A84" s="213"/>
      <c r="B84" s="214"/>
      <c r="C84" s="215"/>
      <c r="D84" s="216"/>
      <c r="E84" s="217"/>
      <c r="F84" s="213"/>
      <c r="G84" s="214"/>
      <c r="H84" s="215"/>
      <c r="I84" s="217"/>
      <c r="J84" s="217"/>
      <c r="K84" s="213"/>
      <c r="L84" s="215"/>
      <c r="M84" s="215"/>
      <c r="N84" s="217"/>
      <c r="O84" s="217"/>
      <c r="P84" s="213"/>
      <c r="Q84" s="215"/>
      <c r="R84" s="215"/>
      <c r="S84" s="217"/>
      <c r="T84" s="217"/>
      <c r="U84" s="213"/>
      <c r="V84" s="215"/>
      <c r="W84" s="215"/>
      <c r="X84" s="217"/>
      <c r="Y84" s="217"/>
      <c r="Z84" s="213"/>
      <c r="AA84" s="215"/>
      <c r="AB84" s="215"/>
      <c r="AC84" s="217"/>
      <c r="AD84" s="217"/>
      <c r="AE84" s="213"/>
      <c r="AF84" s="215"/>
      <c r="AG84" s="215"/>
      <c r="AH84" s="217"/>
      <c r="AI84" s="217"/>
      <c r="AJ84" s="213"/>
    </row>
    <row r="85" spans="1:36" ht="33.75" customHeight="1">
      <c r="A85" s="213"/>
      <c r="B85" s="214"/>
      <c r="C85" s="215"/>
      <c r="D85" s="216"/>
      <c r="E85" s="217"/>
      <c r="F85" s="213"/>
      <c r="G85" s="214"/>
      <c r="H85" s="215"/>
      <c r="I85" s="217"/>
      <c r="J85" s="217"/>
      <c r="K85" s="213"/>
      <c r="L85" s="215"/>
      <c r="M85" s="215"/>
      <c r="N85" s="217"/>
      <c r="O85" s="217"/>
      <c r="P85" s="213"/>
      <c r="Q85" s="215"/>
      <c r="R85" s="215"/>
      <c r="S85" s="217"/>
      <c r="T85" s="217"/>
      <c r="U85" s="213"/>
      <c r="V85" s="215"/>
      <c r="W85" s="215"/>
      <c r="X85" s="217"/>
      <c r="Y85" s="217"/>
      <c r="Z85" s="213"/>
      <c r="AA85" s="215"/>
      <c r="AB85" s="215"/>
      <c r="AC85" s="217"/>
      <c r="AD85" s="217"/>
      <c r="AE85" s="213"/>
      <c r="AF85" s="215"/>
      <c r="AG85" s="215"/>
      <c r="AH85" s="217"/>
      <c r="AI85" s="217"/>
      <c r="AJ85" s="213"/>
    </row>
    <row r="86" spans="1:36" ht="33.75" customHeight="1">
      <c r="A86" s="213"/>
      <c r="B86" s="214"/>
      <c r="C86" s="215"/>
      <c r="D86" s="216"/>
      <c r="E86" s="217"/>
      <c r="F86" s="213"/>
      <c r="G86" s="214"/>
      <c r="H86" s="215"/>
      <c r="I86" s="217"/>
      <c r="J86" s="217"/>
      <c r="K86" s="213"/>
      <c r="L86" s="215"/>
      <c r="M86" s="215"/>
      <c r="N86" s="217"/>
      <c r="O86" s="217"/>
      <c r="P86" s="213"/>
      <c r="Q86" s="215"/>
      <c r="R86" s="215"/>
      <c r="S86" s="217"/>
      <c r="T86" s="217"/>
      <c r="U86" s="213"/>
      <c r="V86" s="215"/>
      <c r="W86" s="215"/>
      <c r="X86" s="217"/>
      <c r="Y86" s="217"/>
      <c r="Z86" s="213"/>
      <c r="AA86" s="215"/>
      <c r="AB86" s="215"/>
      <c r="AC86" s="217"/>
      <c r="AD86" s="217"/>
      <c r="AE86" s="213"/>
      <c r="AF86" s="215"/>
      <c r="AG86" s="215"/>
      <c r="AH86" s="217"/>
      <c r="AI86" s="217"/>
      <c r="AJ86" s="213"/>
    </row>
    <row r="87" spans="1:36" ht="33.75" customHeight="1">
      <c r="A87" s="213"/>
      <c r="B87" s="214"/>
      <c r="C87" s="215"/>
      <c r="D87" s="216"/>
      <c r="E87" s="217"/>
      <c r="F87" s="213"/>
      <c r="G87" s="214"/>
      <c r="H87" s="215"/>
      <c r="I87" s="217"/>
      <c r="J87" s="217"/>
      <c r="K87" s="213"/>
      <c r="L87" s="215"/>
      <c r="M87" s="215"/>
      <c r="N87" s="217"/>
      <c r="O87" s="217"/>
      <c r="P87" s="213"/>
      <c r="Q87" s="215"/>
      <c r="R87" s="215"/>
      <c r="S87" s="217"/>
      <c r="T87" s="217"/>
      <c r="U87" s="213"/>
      <c r="V87" s="215"/>
      <c r="W87" s="215"/>
      <c r="X87" s="217"/>
      <c r="Y87" s="217"/>
      <c r="Z87" s="213"/>
      <c r="AA87" s="215"/>
      <c r="AB87" s="215"/>
      <c r="AC87" s="217"/>
      <c r="AD87" s="217"/>
      <c r="AE87" s="213"/>
      <c r="AF87" s="215"/>
      <c r="AG87" s="215"/>
      <c r="AH87" s="217"/>
      <c r="AI87" s="217"/>
      <c r="AJ87" s="213"/>
    </row>
    <row r="88" spans="1:36" ht="33.75" customHeight="1">
      <c r="A88" s="213"/>
      <c r="B88" s="214"/>
      <c r="C88" s="215"/>
      <c r="D88" s="217"/>
      <c r="E88" s="217"/>
      <c r="F88" s="213"/>
      <c r="G88" s="214"/>
      <c r="H88" s="215"/>
      <c r="I88" s="217"/>
      <c r="J88" s="217"/>
      <c r="K88" s="213"/>
      <c r="L88" s="215"/>
      <c r="M88" s="215"/>
      <c r="N88" s="217"/>
      <c r="O88" s="217"/>
      <c r="P88" s="213"/>
      <c r="Q88" s="215"/>
      <c r="R88" s="215"/>
      <c r="S88" s="217"/>
      <c r="T88" s="217"/>
      <c r="U88" s="213"/>
      <c r="V88" s="215"/>
      <c r="W88" s="215"/>
      <c r="X88" s="217"/>
      <c r="Y88" s="217"/>
      <c r="Z88" s="213"/>
      <c r="AA88" s="215"/>
      <c r="AB88" s="215"/>
      <c r="AC88" s="217"/>
      <c r="AD88" s="217"/>
      <c r="AE88" s="213"/>
      <c r="AF88" s="215"/>
      <c r="AG88" s="215"/>
      <c r="AH88" s="217"/>
      <c r="AI88" s="217"/>
      <c r="AJ88" s="213"/>
    </row>
    <row r="89" spans="1:36" ht="16">
      <c r="A89" s="213"/>
      <c r="B89" s="214"/>
      <c r="C89" s="215"/>
      <c r="D89" s="216"/>
      <c r="E89" s="217"/>
      <c r="F89" s="213"/>
      <c r="G89" s="214"/>
      <c r="H89" s="215"/>
      <c r="I89" s="217"/>
      <c r="J89" s="217"/>
      <c r="K89" s="213"/>
      <c r="L89" s="215"/>
      <c r="M89" s="215"/>
      <c r="N89" s="217"/>
      <c r="O89" s="217"/>
      <c r="P89" s="213"/>
      <c r="Q89" s="215"/>
      <c r="R89" s="215"/>
      <c r="S89" s="217"/>
      <c r="T89" s="217"/>
      <c r="U89" s="213"/>
      <c r="V89" s="215"/>
      <c r="W89" s="215"/>
      <c r="X89" s="217"/>
      <c r="Y89" s="217"/>
      <c r="Z89" s="213"/>
      <c r="AA89" s="215"/>
      <c r="AB89" s="215"/>
      <c r="AC89" s="217"/>
      <c r="AD89" s="217"/>
      <c r="AE89" s="213"/>
      <c r="AF89" s="215"/>
      <c r="AG89" s="215"/>
      <c r="AH89" s="217"/>
      <c r="AI89" s="217"/>
      <c r="AJ89" s="213"/>
    </row>
    <row r="90" spans="1:36" ht="16">
      <c r="A90" s="213"/>
      <c r="B90" s="214"/>
      <c r="C90" s="215"/>
      <c r="D90" s="216"/>
      <c r="E90" s="217"/>
      <c r="F90" s="213"/>
      <c r="G90" s="214"/>
      <c r="H90" s="215"/>
      <c r="I90" s="217"/>
      <c r="J90" s="217"/>
      <c r="K90" s="213"/>
      <c r="L90" s="215"/>
      <c r="M90" s="215"/>
      <c r="N90" s="217"/>
      <c r="O90" s="217"/>
      <c r="P90" s="213"/>
      <c r="Q90" s="215"/>
      <c r="R90" s="215"/>
      <c r="S90" s="217"/>
      <c r="T90" s="217"/>
      <c r="U90" s="213"/>
      <c r="V90" s="215"/>
      <c r="W90" s="215"/>
      <c r="X90" s="217"/>
      <c r="Y90" s="217"/>
      <c r="Z90" s="213"/>
      <c r="AA90" s="215"/>
      <c r="AB90" s="215"/>
      <c r="AC90" s="217"/>
      <c r="AD90" s="217"/>
      <c r="AE90" s="213"/>
      <c r="AF90" s="215"/>
      <c r="AG90" s="215"/>
      <c r="AH90" s="217"/>
      <c r="AI90" s="217"/>
      <c r="AJ90" s="213"/>
    </row>
    <row r="91" spans="1:36" ht="16">
      <c r="A91" s="213"/>
      <c r="B91" s="214"/>
      <c r="C91" s="215"/>
      <c r="D91" s="216"/>
      <c r="E91" s="217"/>
      <c r="F91" s="213"/>
      <c r="G91" s="214"/>
      <c r="H91" s="215"/>
      <c r="I91" s="217"/>
      <c r="J91" s="217"/>
      <c r="K91" s="213"/>
      <c r="L91" s="215"/>
      <c r="M91" s="215"/>
      <c r="N91" s="217"/>
      <c r="O91" s="217"/>
      <c r="P91" s="213"/>
      <c r="Q91" s="215"/>
      <c r="R91" s="215"/>
      <c r="S91" s="217"/>
      <c r="T91" s="217"/>
      <c r="U91" s="213"/>
      <c r="V91" s="215"/>
      <c r="W91" s="215"/>
      <c r="X91" s="217"/>
      <c r="Y91" s="217"/>
      <c r="Z91" s="213"/>
      <c r="AA91" s="215"/>
      <c r="AB91" s="215"/>
      <c r="AC91" s="217"/>
      <c r="AD91" s="217"/>
      <c r="AE91" s="213"/>
      <c r="AF91" s="215"/>
      <c r="AG91" s="215"/>
      <c r="AH91" s="217"/>
      <c r="AI91" s="217"/>
      <c r="AJ91" s="213"/>
    </row>
    <row r="92" spans="1:36" ht="16">
      <c r="A92" s="213"/>
      <c r="B92" s="214"/>
      <c r="C92" s="215"/>
      <c r="D92" s="216"/>
      <c r="E92" s="217"/>
      <c r="F92" s="213"/>
      <c r="G92" s="214"/>
      <c r="H92" s="215"/>
      <c r="I92" s="217"/>
      <c r="J92" s="217"/>
      <c r="K92" s="213"/>
      <c r="L92" s="215"/>
      <c r="M92" s="215"/>
      <c r="N92" s="217"/>
      <c r="O92" s="217"/>
      <c r="P92" s="213"/>
      <c r="Q92" s="215"/>
      <c r="R92" s="215"/>
      <c r="S92" s="217"/>
      <c r="T92" s="217"/>
      <c r="U92" s="213"/>
      <c r="V92" s="215"/>
      <c r="W92" s="215"/>
      <c r="X92" s="217"/>
      <c r="Y92" s="217"/>
      <c r="Z92" s="213"/>
      <c r="AA92" s="215"/>
      <c r="AB92" s="215"/>
      <c r="AC92" s="217"/>
      <c r="AD92" s="217"/>
      <c r="AE92" s="213"/>
      <c r="AF92" s="215"/>
      <c r="AG92" s="215"/>
      <c r="AH92" s="217"/>
      <c r="AI92" s="217"/>
      <c r="AJ92" s="213"/>
    </row>
    <row r="93" spans="1:36" ht="16">
      <c r="A93" s="213"/>
      <c r="B93" s="214"/>
      <c r="C93" s="215"/>
      <c r="D93" s="216"/>
      <c r="E93" s="217"/>
      <c r="F93" s="213"/>
      <c r="G93" s="214"/>
      <c r="H93" s="215"/>
      <c r="I93" s="217"/>
      <c r="J93" s="217"/>
      <c r="K93" s="213"/>
      <c r="L93" s="215"/>
      <c r="M93" s="215"/>
      <c r="N93" s="217"/>
      <c r="O93" s="217"/>
      <c r="P93" s="213"/>
      <c r="Q93" s="215"/>
      <c r="R93" s="215"/>
      <c r="S93" s="217"/>
      <c r="T93" s="217"/>
      <c r="U93" s="213"/>
      <c r="V93" s="215"/>
      <c r="W93" s="215"/>
      <c r="X93" s="217"/>
      <c r="Y93" s="217"/>
      <c r="Z93" s="213"/>
      <c r="AA93" s="215"/>
      <c r="AB93" s="215"/>
      <c r="AC93" s="217"/>
      <c r="AD93" s="217"/>
      <c r="AE93" s="213"/>
      <c r="AF93" s="215"/>
      <c r="AG93" s="215"/>
      <c r="AH93" s="217"/>
      <c r="AI93" s="217"/>
      <c r="AJ93" s="213"/>
    </row>
    <row r="94" spans="1:36" ht="16">
      <c r="A94" s="213"/>
      <c r="B94" s="214"/>
      <c r="C94" s="215"/>
      <c r="D94" s="216"/>
      <c r="E94" s="217"/>
      <c r="F94" s="213"/>
      <c r="G94" s="214"/>
      <c r="H94" s="215"/>
      <c r="I94" s="217"/>
      <c r="J94" s="217"/>
      <c r="K94" s="213"/>
      <c r="L94" s="215"/>
      <c r="M94" s="215"/>
      <c r="N94" s="217"/>
      <c r="O94" s="217"/>
      <c r="P94" s="213"/>
      <c r="Q94" s="215"/>
      <c r="R94" s="215"/>
      <c r="S94" s="217"/>
      <c r="T94" s="217"/>
      <c r="U94" s="213"/>
      <c r="V94" s="215"/>
      <c r="W94" s="215"/>
      <c r="X94" s="217"/>
      <c r="Y94" s="217"/>
      <c r="Z94" s="213"/>
      <c r="AA94" s="215"/>
      <c r="AB94" s="215"/>
      <c r="AC94" s="217"/>
      <c r="AD94" s="217"/>
      <c r="AE94" s="213"/>
      <c r="AF94" s="215"/>
      <c r="AG94" s="215"/>
      <c r="AH94" s="217"/>
      <c r="AI94" s="217"/>
      <c r="AJ94" s="213"/>
    </row>
    <row r="95" spans="1:36" ht="16">
      <c r="A95" s="213"/>
      <c r="B95" s="214"/>
      <c r="C95" s="215"/>
      <c r="D95" s="216"/>
      <c r="E95" s="217"/>
      <c r="F95" s="213"/>
      <c r="G95" s="214"/>
      <c r="H95" s="215"/>
      <c r="I95" s="217"/>
      <c r="J95" s="217"/>
      <c r="K95" s="213"/>
      <c r="L95" s="215"/>
      <c r="M95" s="215"/>
      <c r="N95" s="217"/>
      <c r="O95" s="217"/>
      <c r="P95" s="213"/>
      <c r="Q95" s="215"/>
      <c r="R95" s="215"/>
      <c r="S95" s="217"/>
      <c r="T95" s="217"/>
      <c r="U95" s="213"/>
      <c r="V95" s="215"/>
      <c r="W95" s="215"/>
      <c r="X95" s="217"/>
      <c r="Y95" s="217"/>
      <c r="Z95" s="213"/>
      <c r="AA95" s="215"/>
      <c r="AB95" s="215"/>
      <c r="AC95" s="217"/>
      <c r="AD95" s="217"/>
      <c r="AE95" s="213"/>
      <c r="AF95" s="215"/>
      <c r="AG95" s="215"/>
      <c r="AH95" s="217"/>
      <c r="AI95" s="217"/>
      <c r="AJ95" s="213"/>
    </row>
    <row r="96" spans="1:36" ht="16">
      <c r="A96" s="213"/>
      <c r="B96" s="214"/>
      <c r="C96" s="215"/>
      <c r="D96" s="217"/>
      <c r="E96" s="217"/>
      <c r="F96" s="213"/>
      <c r="G96" s="214"/>
      <c r="H96" s="215"/>
      <c r="I96" s="217"/>
      <c r="J96" s="217"/>
      <c r="K96" s="213"/>
      <c r="L96" s="215"/>
      <c r="M96" s="215"/>
      <c r="N96" s="217"/>
      <c r="O96" s="217"/>
      <c r="P96" s="213"/>
      <c r="Q96" s="215"/>
      <c r="R96" s="215"/>
      <c r="S96" s="217"/>
      <c r="T96" s="217"/>
      <c r="U96" s="213"/>
      <c r="V96" s="215"/>
      <c r="W96" s="215"/>
      <c r="X96" s="217"/>
      <c r="Y96" s="217"/>
      <c r="Z96" s="213"/>
      <c r="AA96" s="215"/>
      <c r="AB96" s="215"/>
      <c r="AC96" s="217"/>
      <c r="AD96" s="217"/>
      <c r="AE96" s="213"/>
      <c r="AF96" s="215"/>
      <c r="AG96" s="215"/>
      <c r="AH96" s="217"/>
      <c r="AI96" s="217"/>
      <c r="AJ96" s="213"/>
    </row>
    <row r="97" spans="1:36" ht="16">
      <c r="A97" s="213"/>
      <c r="B97" s="214"/>
      <c r="C97" s="215"/>
      <c r="D97" s="217"/>
      <c r="E97" s="217"/>
      <c r="F97" s="213"/>
      <c r="G97" s="214"/>
      <c r="H97" s="215"/>
      <c r="I97" s="217"/>
      <c r="J97" s="217"/>
      <c r="K97" s="213"/>
      <c r="L97" s="215"/>
      <c r="M97" s="215"/>
      <c r="N97" s="217"/>
      <c r="O97" s="217"/>
      <c r="P97" s="213"/>
      <c r="Q97" s="215"/>
      <c r="R97" s="215"/>
      <c r="S97" s="217"/>
      <c r="T97" s="217"/>
      <c r="U97" s="213"/>
      <c r="V97" s="215"/>
      <c r="W97" s="215"/>
      <c r="X97" s="217"/>
      <c r="Y97" s="217"/>
      <c r="Z97" s="213"/>
      <c r="AA97" s="215"/>
      <c r="AB97" s="215"/>
      <c r="AC97" s="217"/>
      <c r="AD97" s="217"/>
      <c r="AE97" s="213"/>
      <c r="AF97" s="215"/>
      <c r="AG97" s="215"/>
      <c r="AH97" s="217"/>
      <c r="AI97" s="217"/>
      <c r="AJ97" s="213"/>
    </row>
    <row r="98" spans="1:36" ht="16">
      <c r="A98" s="213"/>
      <c r="B98" s="214"/>
      <c r="C98" s="215"/>
      <c r="D98" s="217"/>
      <c r="E98" s="217"/>
      <c r="F98" s="213"/>
      <c r="G98" s="214"/>
      <c r="H98" s="215"/>
      <c r="I98" s="217"/>
      <c r="J98" s="217"/>
      <c r="K98" s="213"/>
      <c r="L98" s="215"/>
      <c r="M98" s="215"/>
      <c r="N98" s="217"/>
      <c r="O98" s="217"/>
      <c r="P98" s="213"/>
      <c r="Q98" s="215"/>
      <c r="R98" s="215"/>
      <c r="S98" s="217"/>
      <c r="T98" s="217"/>
      <c r="U98" s="213"/>
      <c r="V98" s="215"/>
      <c r="W98" s="215"/>
      <c r="X98" s="217"/>
      <c r="Y98" s="217"/>
      <c r="Z98" s="213"/>
      <c r="AA98" s="215"/>
      <c r="AB98" s="215"/>
      <c r="AC98" s="217"/>
      <c r="AD98" s="217"/>
      <c r="AE98" s="213"/>
      <c r="AF98" s="215"/>
      <c r="AG98" s="215"/>
      <c r="AH98" s="217"/>
      <c r="AI98" s="217"/>
      <c r="AJ98" s="213"/>
    </row>
    <row r="99" spans="1:36" ht="16">
      <c r="A99" s="213"/>
      <c r="B99" s="214"/>
      <c r="C99" s="215"/>
      <c r="D99" s="217"/>
      <c r="E99" s="217"/>
      <c r="F99" s="213"/>
      <c r="G99" s="214"/>
      <c r="H99" s="215"/>
      <c r="I99" s="218"/>
      <c r="J99" s="219"/>
      <c r="K99" s="213"/>
      <c r="L99" s="215"/>
      <c r="M99" s="215"/>
      <c r="N99" s="220"/>
      <c r="O99" s="220"/>
      <c r="P99" s="213"/>
      <c r="Q99" s="215"/>
      <c r="R99" s="215"/>
      <c r="S99" s="220"/>
      <c r="T99" s="220"/>
      <c r="U99" s="213"/>
      <c r="V99" s="215"/>
      <c r="W99" s="215"/>
      <c r="X99" s="220"/>
      <c r="Y99" s="220"/>
      <c r="Z99" s="213"/>
      <c r="AA99" s="215"/>
      <c r="AB99" s="215"/>
      <c r="AC99" s="221"/>
      <c r="AD99" s="221"/>
      <c r="AE99" s="213"/>
      <c r="AF99" s="215"/>
      <c r="AG99" s="215"/>
      <c r="AH99" s="220"/>
      <c r="AI99" s="220"/>
      <c r="AJ99" s="213"/>
    </row>
  </sheetData>
  <mergeCells count="14">
    <mergeCell ref="B1:E1"/>
    <mergeCell ref="L1:O1"/>
    <mergeCell ref="V1:Y1"/>
    <mergeCell ref="AF1:AI1"/>
    <mergeCell ref="B2:E2"/>
    <mergeCell ref="L2:O2"/>
    <mergeCell ref="V2:Y2"/>
    <mergeCell ref="AF2:AI2"/>
    <mergeCell ref="G1:J1"/>
    <mergeCell ref="G2:J2"/>
    <mergeCell ref="Q1:T1"/>
    <mergeCell ref="Q2:T2"/>
    <mergeCell ref="AA1:AD1"/>
    <mergeCell ref="AA2:AD2"/>
  </mergeCells>
  <hyperlinks>
    <hyperlink ref="D4" r:id="rId1" display="https://www.linkedin.com/learning/building-creative-organizations-2?trk=ondemandfile" xr:uid="{00000000-0004-0000-1100-000000000000}"/>
    <hyperlink ref="E4" r:id="rId2" display="https://www.linkedin.com/learning/paths/fostering-innovation?trk=ondemandfile" xr:uid="{00000000-0004-0000-1100-000001000000}"/>
    <hyperlink ref="N4" r:id="rId3" display="https://www.linkedin.com/learning/alcanzar-la-felicidad-permanente-creando-con-proposito?trk=ondemandfile" xr:uid="{00000000-0004-0000-1100-000002000000}"/>
    <hyperlink ref="O4" r:id="rId4" display="https://www.linkedin.com/learning/paths/profundiza-tus-competencias-en-metodologias-agiles-y-design-thinking?trk=ondemandfile" xr:uid="{00000000-0004-0000-1100-000003000000}"/>
    <hyperlink ref="S4" r:id="rId5" display="https://www.linkedin.com/learning/1-minuten-tipps-fur-mehr-kreativitat?trk=ondemandfile" xr:uid="{00000000-0004-0000-1100-000004000000}"/>
    <hyperlink ref="T4" r:id="rId6" display="https://www.linkedin.com/learning/paths/erweitern-sie-ihre-kreativitats-skills?trk=ondemandfile" xr:uid="{00000000-0004-0000-1100-000005000000}"/>
    <hyperlink ref="X4" r:id="rId7" display="https://www.linkedin.com/learning/implementing-artist-thinking-at-work?trk=ondemandfile" xr:uid="{00000000-0004-0000-1100-000006000000}"/>
    <hyperlink ref="AD4" r:id="rId8" display="https://www.linkedin.com/learning/paths/trabalho-remoto-colaboracao-foco-e-produtividade?trk=ondemandfile" xr:uid="{00000000-0004-0000-1100-000007000000}"/>
    <hyperlink ref="AH4" r:id="rId9" display="https://www.linkedin.com/learning/business-innovation-foundations-3?trk=ondemandfile" xr:uid="{00000000-0004-0000-1100-000008000000}"/>
    <hyperlink ref="AI4" r:id="rId10" display="https://www.linkedin.com/learning/paths/07304244-eccf-3d14-923a-8ca64b7fb518?trk=ondemandfile" xr:uid="{00000000-0004-0000-1100-000009000000}"/>
    <hyperlink ref="D5" r:id="rId11" display="https://www.linkedin.com/learning/agile-software-development-creating-an-agile-culture?trk=ondemandfile" xr:uid="{00000000-0004-0000-1100-00000A000000}"/>
    <hyperlink ref="E5" r:id="rId12" display="https://www.linkedin.com/learning/paths/develop-your-creative-thinking-and-innovation-skills?trk=ondemandfile" xr:uid="{00000000-0004-0000-1100-00000B000000}"/>
    <hyperlink ref="N5" r:id="rId13" display="https://www.linkedin.com/learning/c-mo-desarrollar-la-capacidad-de-ingenio?trk=ondemandfile" xr:uid="{00000000-0004-0000-1100-00000C000000}"/>
    <hyperlink ref="O5" r:id="rId14" display="https://www.linkedin.com/learning/paths/fomenta-la-innovacion?trk=ondemandfile" xr:uid="{00000000-0004-0000-1100-00000D000000}"/>
    <hyperlink ref="S5" r:id="rId15" display="https://www.linkedin.com/learning/business-visualisierung-agil-und-kreativ?trk=ondemandfile" xr:uid="{00000000-0004-0000-1100-00000E000000}"/>
    <hyperlink ref="T5" r:id="rId16" display="https://www.linkedin.com/learning/paths/innovation-fordern?trk=ondemandfile" xr:uid="{00000000-0004-0000-1100-00000F000000}"/>
    <hyperlink ref="X5" r:id="rId17" display="https://www.linkedin.com/learning/building-creative-organizations-14148692?trk=ondemandfile" xr:uid="{00000000-0004-0000-1100-000010000000}"/>
    <hyperlink ref="Y5" r:id="rId18" display="https://www.linkedin.com/learning/paths/31070ed0-b901-3bf1-af9c-de2667146e4d?trk=ondemandfile" xr:uid="{00000000-0004-0000-1100-000011000000}"/>
    <hyperlink ref="AC5" r:id="rId19" display="https://www.linkedin.com/learning/como-estimular-o-pensamento-criativo-da-sua-equipe?trk=contentmappingfile" xr:uid="{00000000-0004-0000-1100-000012000000}"/>
    <hyperlink ref="AH5" r:id="rId20" display="https://www.linkedin.com/learning/4af0047b-f4e3-3e5c-bd8b-8371734c0dfa?trk=ondemandfile" xr:uid="{00000000-0004-0000-1100-000013000000}"/>
    <hyperlink ref="AI5" r:id="rId21" display="https://www.linkedin.com/learning/paths/7c8dafed-8f63-35a2-ada2-7dbeaf731ce4?trk=ondemandfile" xr:uid="{00000000-0004-0000-1100-000014000000}"/>
    <hyperlink ref="D6" r:id="rId22" display="https://www.linkedin.com/learning/leading-with-innovation?trk=ondemandfile" xr:uid="{00000000-0004-0000-1100-000015000000}"/>
    <hyperlink ref="E6" r:id="rId23" display="https://www.linkedin.com/learning/paths/improve-your-creativity-skills?trk=ondemandfile" xr:uid="{00000000-0004-0000-1100-000016000000}"/>
    <hyperlink ref="N6" r:id="rId24" display="https://www.linkedin.com/learning/como-generar-ideas?trk=ondemandfile" xr:uid="{00000000-0004-0000-1100-000017000000}"/>
    <hyperlink ref="S6" r:id="rId25" display="https://www.linkedin.com/learning/der-kreative-prozess-in-funf-schritten?trk=ondemandfile" xr:uid="{00000000-0004-0000-1100-000018000000}"/>
    <hyperlink ref="T6" r:id="rId26" display="https://www.linkedin.com/learning/paths/durch-veranderungsprozesse-fuhren?trk=ondemandfile" xr:uid="{00000000-0004-0000-1100-000019000000}"/>
    <hyperlink ref="X6" r:id="rId27" display="https://www.linkedin.com/learning/the-five-step-creative-process-3?trk=ondemandfile" xr:uid="{00000000-0004-0000-1100-00001A000000}"/>
    <hyperlink ref="AH6" r:id="rId28" display="https://www.linkedin.com/learning/leading-with-innovation-4?trk=ondemandfile" xr:uid="{00000000-0004-0000-1100-00001B000000}"/>
    <hyperlink ref="D7" r:id="rId29" display="https://www.linkedin.com/learning/jeff-dyer-on-innovation?trk=ondemandfile" xr:uid="{00000000-0004-0000-1100-00001C000000}"/>
    <hyperlink ref="E7" r:id="rId30" display="https://www.linkedin.com/learning/paths/improve-your-problem-solving-skills?trk=ondemandfile" xr:uid="{00000000-0004-0000-1100-00001D000000}"/>
    <hyperlink ref="N7" r:id="rId31" display="https://www.linkedin.com/learning/c-mo-tener-ideas-para-un-nuevo-modelo-de-negocio?trk=ondemandfile" xr:uid="{00000000-0004-0000-1100-00001E000000}"/>
    <hyperlink ref="S7" r:id="rId32" display="https://www.linkedin.com/learning/design-thinking-grundlagen?trk=ondemandfile" xr:uid="{00000000-0004-0000-1100-00001F000000}"/>
    <hyperlink ref="T7" r:id="rId33" display="https://de.linkedin.com/learning/paths/starken-sie-ihre-schlusselkompetenzen?trk=ondemandfile" xr:uid="{00000000-0004-0000-1100-000020000000}"/>
    <hyperlink ref="X7" r:id="rId34" display="https://www.linkedin.com/learning/5fc8e748-923d-3c9f-86c2-46dea2131cf2?trk=ondemandfile" xr:uid="{00000000-0004-0000-1100-000021000000}"/>
    <hyperlink ref="AH7" r:id="rId35" display="https://www.linkedin.com/learning/managing-for-better-ideas-14547440?trk=contentmappingfile" xr:uid="{00000000-0004-0000-1100-000022000000}"/>
    <hyperlink ref="D8" r:id="rId36" display="https://www.linkedin.com/learning/mapping-innovation-a-playbook-for-navigating-a-disruptive-age-getabstract-summary?trk=ondemandfile" xr:uid="{00000000-0004-0000-1100-000023000000}"/>
    <hyperlink ref="E8" r:id="rId37" display="https://www.linkedin.com/learning/paths/stay-competitive-using-design-thinking?trk=ondemandfile" xr:uid="{00000000-0004-0000-1100-000024000000}"/>
    <hyperlink ref="N8" r:id="rId38" display="https://www.linkedin.com/learning/como-superar-el-bloqueo-creativo?trk=ondemandfile" xr:uid="{00000000-0004-0000-1100-000025000000}"/>
    <hyperlink ref="S8" r:id="rId39" display="https://www.linkedin.com/learning/00-design-thinking?trk=ondemandfile" xr:uid="{00000000-0004-0000-1100-000026000000}"/>
    <hyperlink ref="X8" r:id="rId40" display="https://www.linkedin.com/learning/understanding-the-concept-of-artist-thinking?trk=ondemandfile" xr:uid="{00000000-0004-0000-1100-000027000000}"/>
    <hyperlink ref="AH8" r:id="rId41" display="https://www.linkedin.com/learning/cultivating-a-growth-mindset-3?trk=ondemandfile" xr:uid="{00000000-0004-0000-1100-000028000000}"/>
    <hyperlink ref="D9" r:id="rId42" display="https://www.linkedin.com/learning/built-to-last-successful-habits-of-visionary-companies?trk=ondemandfile" xr:uid="{00000000-0004-0000-1100-000029000000}"/>
    <hyperlink ref="E9" r:id="rId43" display="https://www.linkedin.com/learning/paths/working-with-creatives-2?trk=ondemandfile" xr:uid="{00000000-0004-0000-1100-00002A000000}"/>
    <hyperlink ref="N9" r:id="rId44" display="https://www.linkedin.com/learning/como-usar-preguntas-para-fomentar-el-pensamiento-critico-y-la-curiosidad?trk=ondemandfile" xr:uid="{00000000-0004-0000-1100-00002B000000}"/>
    <hyperlink ref="S9" r:id="rId45" display="https://www.linkedin.com/learning/die-kreative-organisation?trk=ondemandfile" xr:uid="{00000000-0004-0000-1100-00002C000000}"/>
    <hyperlink ref="X9" r:id="rId46" display="https://www.linkedin.com/learning/enhancing-artist-thinking-with-simple-workshops-for-work?trk=ondemandfile" xr:uid="{00000000-0004-0000-1100-00002D000000}"/>
    <hyperlink ref="AC9" r:id="rId47" display="https://www.linkedin.com/learning/fundamentos-da-criatividade-como-despertar-o-talento-de-sua-equipe?trk=contentmappingfile" xr:uid="{00000000-0004-0000-1100-00002E000000}"/>
    <hyperlink ref="AH9" r:id="rId48" display="https://www.linkedin.com/learning/using-questions-to-foster-critical-thinking-and-curiosity-2?trk=ondemandfile" xr:uid="{00000000-0004-0000-1100-00002F000000}"/>
    <hyperlink ref="D10" r:id="rId49" display="https://www.linkedin.com/learning/lean-technology-strategy-managing-the-innovation-portfolio?trk=ondemandfile" xr:uid="{00000000-0004-0000-1100-000030000000}"/>
    <hyperlink ref="N10" r:id="rId50" display="https://www.linkedin.com/learning/creatividad-en-la-empresa?trk=ondemandfile" xr:uid="{00000000-0004-0000-1100-000031000000}"/>
    <hyperlink ref="S10" r:id="rId51" display="https://www.linkedin.com/learning/00-teamkreativitat?trk=ondemandfile" xr:uid="{00000000-0004-0000-1100-000032000000}"/>
    <hyperlink ref="AC10" r:id="rId52" display="https://www.linkedin.com/learning/fundamentos-da-criatividade-como-despertar-sua-curiosidade?trk=contentmappingfile" xr:uid="{00000000-0004-0000-1100-000033000000}"/>
    <hyperlink ref="AH10" r:id="rId53" display="https://www.linkedin.com/learning/developing-resourcefulness-2?trk=ondemandfile" xr:uid="{00000000-0004-0000-1100-000034000000}"/>
    <hyperlink ref="D11" r:id="rId54" display="https://www.linkedin.com/learning/service-innovation?trk=ondemandfile" xr:uid="{00000000-0004-0000-1100-000035000000}"/>
    <hyperlink ref="N11" r:id="rId55" display="https://www.linkedin.com/learning/00-ideation-for-marketers?trk=ondemandfile" xr:uid="{00000000-0004-0000-1100-000036000000}"/>
    <hyperlink ref="S11" r:id="rId56" display="https://www.linkedin.com/learning/disrupt-yourself-erfinden-sie-sich-neu?trk=ondemandfile" xr:uid="{00000000-0004-0000-1100-000037000000}"/>
    <hyperlink ref="AC11" r:id="rId57" display="https://www.linkedin.com/learning/fundamentos-da-criatividade-como-gerar-ideias-valiosas-e-inovar-na-pratica?trk=contentmappingfile" xr:uid="{00000000-0004-0000-1100-000038000000}"/>
    <hyperlink ref="AH11" r:id="rId58" display="https://www.linkedin.com/learning/breaking-out-of-a-rut-2?trk=ondemandfile" xr:uid="{00000000-0004-0000-1100-000039000000}"/>
    <hyperlink ref="D12" r:id="rId59" display="https://www.linkedin.com/learning/innovating-out-of-crisis?trk=ondemandfile" xr:uid="{00000000-0004-0000-1100-00003A000000}"/>
    <hyperlink ref="N12" r:id="rId60" display="https://www.linkedin.com/learning/desarrolla-tu-creatividad-trucos?trk=ondemandfile" xr:uid="{00000000-0004-0000-1100-00003B000000}"/>
    <hyperlink ref="S12" r:id="rId61" display="https://www.linkedin.com/learning/empathie-und-kreativitat-als-neue-schlusselkompetenzen?trk=ondemandfile" xr:uid="{00000000-0004-0000-1100-00003C000000}"/>
    <hyperlink ref="AC12" r:id="rId62" display="https://www.linkedin.com/learning/fundamentos-da-criatividade-como-soltar-sua-imaginacao-e-encontrar-novas-ideias?trk=contentmappingfile" xr:uid="{00000000-0004-0000-1100-00003D000000}"/>
    <hyperlink ref="AH12" r:id="rId63" display="https://www.linkedin.com/learning/building-creative-organizations-3?trk=ondemandfile" xr:uid="{00000000-0004-0000-1100-00003E000000}"/>
    <hyperlink ref="D13" r:id="rId64" display="https://www.linkedin.com/learning/executing-on-innovation-a-process-that-scales?trk=ondemandfile" xr:uid="{00000000-0004-0000-1100-00003F000000}"/>
    <hyperlink ref="N13" r:id="rId65" display="https://www.linkedin.com/learning/00-building-creative-organizations?trk=ondemandfile" xr:uid="{00000000-0004-0000-1100-000040000000}"/>
    <hyperlink ref="S13" r:id="rId66" display="https://www.linkedin.com/learning/fuhren-mit-innovation?trk=ondemandfile" xr:uid="{00000000-0004-0000-1100-000041000000}"/>
    <hyperlink ref="AC13" r:id="rId67" display="https://www.linkedin.com/learning/fundamentos-da-criatividade-o-processo-de-criacao-de-ideias?trk=contentmappingfile" xr:uid="{00000000-0004-0000-1100-000042000000}"/>
    <hyperlink ref="AH13" r:id="rId68" display="https://www.linkedin.com/learning/banish-your-inner-critic-to-unleash-creativity?trk=ondemandfile" xr:uid="{00000000-0004-0000-1100-000043000000}"/>
    <hyperlink ref="D14" r:id="rId69" display="https://www.linkedin.com/learning/futures-centered-design?trk=ondemandfile" xr:uid="{00000000-0004-0000-1100-000044000000}"/>
    <hyperlink ref="I14" r:id="rId70" display="https://www.linkedin.com/learning/developper-sa-creativite-pour-innover?trk=contentmappingfile" xr:uid="{00000000-0004-0000-1100-000045000000}"/>
    <hyperlink ref="N14" r:id="rId71" display="https://www.linkedin.com/learning/desbloquea-la-creatividad-de-tu-equipo?trk=contentmappingfile" xr:uid="{00000000-0004-0000-1100-000046000000}"/>
    <hyperlink ref="S14" r:id="rId72" display="https://www.linkedin.com/learning/00-visuelles-denken?trk=ondemandfile" xr:uid="{00000000-0004-0000-1100-000047000000}"/>
    <hyperlink ref="AC14" r:id="rId73" display="https://www.linkedin.com/learning/fundamentos-de-inovacao-empresarial?trk=contentmappingfile" xr:uid="{00000000-0004-0000-1100-000048000000}"/>
    <hyperlink ref="AH14" r:id="rId74" display="https://www.linkedin.com/learning/unlock-your-team-s-creativity-2?trk=ondemandfile" xr:uid="{00000000-0004-0000-1100-000049000000}"/>
    <hyperlink ref="D15" r:id="rId75" display="https://www.linkedin.com/learning/balancing-innovation-and-risk?trk=ondemandfile" xr:uid="{00000000-0004-0000-1100-00004A000000}"/>
    <hyperlink ref="N15" r:id="rId76" display="https://www.linkedin.com/learning/design-thinking-implementar-el-proceso?trk=ondemandfile" xr:uid="{00000000-0004-0000-1100-00004B000000}"/>
    <hyperlink ref="S15" r:id="rId77" display="https://www.linkedin.com/learning/ihre-ideen-durchsetzen?trk=ondemandfile" xr:uid="{00000000-0004-0000-1100-00004C000000}"/>
    <hyperlink ref="AH15" r:id="rId78" display="https://www.linkedin.com/learning/risk-taking-for-leaders-2?trk=ondemandfile" xr:uid="{00000000-0004-0000-1100-00004D000000}"/>
    <hyperlink ref="D16" r:id="rId79" display="https://www.linkedin.com/learning/strategic-focus-for-managers?trk=ondemandfile" xr:uid="{00000000-0004-0000-1100-00004E000000}"/>
    <hyperlink ref="N16" r:id="rId80" display="https://www.linkedin.com/learning/design-thinking-entender-el-proceso?trk=ondemandfile" xr:uid="{00000000-0004-0000-1100-00004F000000}"/>
    <hyperlink ref="S16" r:id="rId81" display="https://www.linkedin.com/learning/innovation-in-unternehmen?trk=ondemandfile" xr:uid="{00000000-0004-0000-1100-000050000000}"/>
    <hyperlink ref="AH16" r:id="rId82" display="https://www.linkedin.com/learning/disrupting-yourself-2?trk=ondemandfile" xr:uid="{00000000-0004-0000-1100-000051000000}"/>
    <hyperlink ref="D17" r:id="rId83" display="https://www.linkedin.com/learning/unleash-your-team-s-creativity?trk=ondemandfile" xr:uid="{00000000-0004-0000-1100-000052000000}"/>
    <hyperlink ref="N17" r:id="rId84" display="https://www.linkedin.com/learning/fundamentos-de-la-economia-naranja?trk=ondemandfile" xr:uid="{00000000-0004-0000-1100-000053000000}"/>
    <hyperlink ref="S17" r:id="rId85" display="https://www.linkedin.com/learning/innovative-techniken-im-kundenservice?trk=ondemandfile" xr:uid="{00000000-0004-0000-1100-000054000000}"/>
    <hyperlink ref="D18" r:id="rId86" display="https://www.linkedin.com/learning/using-questions-to-coach-and-lead?trk=ondemandfile" xr:uid="{00000000-0004-0000-1100-000055000000}"/>
    <hyperlink ref="N18" r:id="rId87" display="https://www.linkedin.com/learning/fundamentos-de-matematica-aplicaciones-utiles-en-tu-dia-a-dia?trk=ondemandfile" xr:uid="{00000000-0004-0000-1100-000056000000}"/>
    <hyperlink ref="S18" r:id="rId88" display="https://www.linkedin.com/learning/kreative-ideen-entwickeln-arten-von-kreativitat?trk=ondemandfile" xr:uid="{00000000-0004-0000-1100-000057000000}"/>
    <hyperlink ref="D19" r:id="rId89" display="https://www.linkedin.com/learning/the-business-case-for-creativity?trk=ondemandfile" xr:uid="{00000000-0004-0000-1100-000058000000}"/>
    <hyperlink ref="N19" r:id="rId90" display="https://www.linkedin.com/learning/fundamentos-de-matematica-bases-y-calculo-mental?trk=ondemandfile" xr:uid="{00000000-0004-0000-1100-000059000000}"/>
    <hyperlink ref="S19" r:id="rId91" display="https://www.linkedin.com/learning/kreative-ideen-entwickeln?trk=ondemandfile" xr:uid="{00000000-0004-0000-1100-00005A000000}"/>
    <hyperlink ref="D20" r:id="rId92" display="https://www.linkedin.com/learning/creative-thinking-strategies-for-leaders?trk=ondemandfile" xr:uid="{00000000-0004-0000-1100-00005B000000}"/>
    <hyperlink ref="N20" r:id="rId93" display="https://www.linkedin.com/learning/00-business-innovation?trk=ondemandfile" xr:uid="{00000000-0004-0000-1100-00005C000000}"/>
    <hyperlink ref="S20" r:id="rId94" display="https://www.linkedin.com/learning/kreative-ideen-entwickeln-die-kreative-personlichkeit?trk=ondemandfile" xr:uid="{00000000-0004-0000-1100-00005D000000}"/>
    <hyperlink ref="D21" r:id="rId95" display="https://www.linkedin.com/learning/developing-your-creativity-as-a-leader?trk=ondemandfile" xr:uid="{00000000-0004-0000-1100-00005E000000}"/>
    <hyperlink ref="N21" r:id="rId96" display="https://www.linkedin.com/learning/leading-with-innovation-3?trk=ondemandfile" xr:uid="{00000000-0004-0000-1100-00005F000000}"/>
    <hyperlink ref="S21" r:id="rId97" display="https://www.linkedin.com/learning/kreative-ideen-entwickeln-ideen-bewerten?trk=ondemandfile" xr:uid="{00000000-0004-0000-1100-000060000000}"/>
    <hyperlink ref="D22" r:id="rId98" display="https://www.linkedin.com/learning/creative-thinking?trk=ondemandfile" xr:uid="{00000000-0004-0000-1100-000061000000}"/>
    <hyperlink ref="N22" r:id="rId99" display="https://www.linkedin.com/learning/liderazgo-creativo?trk=ondemandfile" xr:uid="{00000000-0004-0000-1100-000062000000}"/>
    <hyperlink ref="S22" r:id="rId100" display="https://www.linkedin.com/learning/kreative-ideen-entwickeln-einfalle-fordern-und-hindern?trk=ondemandfile" xr:uid="{00000000-0004-0000-1100-000063000000}"/>
    <hyperlink ref="D23" r:id="rId101" display="https://www.linkedin.com/learning/brainstorming-basics?trk=ondemandfile" xr:uid="{00000000-0004-0000-1100-000064000000}"/>
    <hyperlink ref="N23" r:id="rId102" display="https://www.linkedin.com/learning/00-los-cinco-pasos-del-proceso-creativo?trk=ondemandfile" xr:uid="{00000000-0004-0000-1100-000065000000}"/>
    <hyperlink ref="S23" r:id="rId103" display="https://www.linkedin.com/learning/kreative-ideen-entwickeln-tipps-tricks?trk=ondemandfile" xr:uid="{00000000-0004-0000-1100-000066000000}"/>
    <hyperlink ref="D24" r:id="rId104" display="https://www.linkedin.com/learning/boosting-your-team-s-creativity-and-green-lighting-ideas?trk=ondemandfile" xr:uid="{00000000-0004-0000-1100-000067000000}"/>
    <hyperlink ref="N24" r:id="rId105" display="https://www.linkedin.com/learning/tecnicas-innovadoras-de-atencion-al-cliente?trk=ondemandfile" xr:uid="{00000000-0004-0000-1100-000068000000}"/>
    <hyperlink ref="S24" r:id="rId106" display="https://www.linkedin.com/learning/kreative-ideen-in-10-minuten?trk=ondemandfile" xr:uid="{00000000-0004-0000-1100-000069000000}"/>
    <hyperlink ref="D25" r:id="rId107" display="https://www.linkedin.com/learning/the-five-step-creative-process?trk=ondemandfile" xr:uid="{00000000-0004-0000-1100-00006A000000}"/>
    <hyperlink ref="N25" r:id="rId108" display="https://www.linkedin.com/learning/00-en-un-minuto-trucos-creativos?trk=ondemandfile" xr:uid="{00000000-0004-0000-1100-00006B000000}"/>
    <hyperlink ref="S25" r:id="rId109" display="https://www.linkedin.com/learning/kreative-methoden-fur-marketing-kampagnen?trk=ondemandfile" xr:uid="{00000000-0004-0000-1100-00006C000000}"/>
    <hyperlink ref="D26" r:id="rId110" display="https://www.linkedin.com/learning/building-a-creative-online-community?trk=ondemandfile" xr:uid="{00000000-0004-0000-1100-00006D000000}"/>
    <hyperlink ref="N26" r:id="rId111" display="https://www.linkedin.com/learning/gente-creativa-trucos?trk=ondemandfile" xr:uid="{00000000-0004-0000-1100-00006E000000}"/>
    <hyperlink ref="S26" r:id="rId112" display="https://www.linkedin.com/learning/kreativnetzwerk?trk=ondemandfile" xr:uid="{00000000-0004-0000-1100-00006F000000}"/>
    <hyperlink ref="D27" r:id="rId113" display="https://www.linkedin.com/learning/icebreakers-for-teams-meetings-and-groups?trk=ondemandfile" xr:uid="{00000000-0004-0000-1100-000070000000}"/>
    <hyperlink ref="S27" r:id="rId114" display="https://www.linkedin.com/learning/visuelles-denken-im-business-umfeld?trk=ondemandfile" xr:uid="{00000000-0004-0000-1100-000071000000}"/>
    <hyperlink ref="D28" r:id="rId115" display="https://www.linkedin.com/learning/how-getting-curious-helps-you-achieve-everything?trk=ondemandfile" xr:uid="{00000000-0004-0000-1100-000072000000}"/>
    <hyperlink ref="D29" r:id="rId116" display="https://www.linkedin.com/learning/the-4-lenses-of-innovation-getabstract-summary?trk=ondemandfile" xr:uid="{00000000-0004-0000-1100-000073000000}"/>
    <hyperlink ref="D30" r:id="rId117" display="https://www.linkedin.com/learning/four-simple-strategies-to-boost-creativity-and-productivity?trk=ondemandfile" xr:uid="{00000000-0004-0000-1100-000074000000}"/>
    <hyperlink ref="D31" r:id="rId118" display="https://www.linkedin.com/learning/business-innovation-foundations-2020?trk=ondemandfile" xr:uid="{00000000-0004-0000-1100-000075000000}"/>
    <hyperlink ref="D32" r:id="rId119" display="https://www.linkedin.com/learning/introduction-to-responsible-ai-algorithm-design?trk=ondemandfile" xr:uid="{00000000-0004-0000-1100-000076000000}"/>
    <hyperlink ref="D33" r:id="rId120" display="https://www.linkedin.com/learning/how-blockchains-will-change-business?trk=ondemandfile" xr:uid="{00000000-0004-0000-1100-000077000000}"/>
    <hyperlink ref="D34" r:id="rId121" display="https://www.linkedin.com/learning/design-thinking-implementing-the-process?trk=ondemandfile" xr:uid="{00000000-0004-0000-1100-000078000000}"/>
    <hyperlink ref="D35" r:id="rId122" display="https://www.linkedin.com/learning/charles-adler-a-story-of-kickstarting-an-idea?trk=ondemandfile" xr:uid="{00000000-0004-0000-1100-000079000000}"/>
    <hyperlink ref="D36" r:id="rId123" display="https://www.linkedin.com/learning/practical-creativity-for-everyone?trk=ondemandfile" xr:uid="{00000000-0004-0000-1100-00007A000000}"/>
    <hyperlink ref="D37" r:id="rId124" display="https://www.linkedin.com/learning/graphic-design-foundations-ideas-concepts-and-form?trk=ondemandfile" xr:uid="{00000000-0004-0000-1100-00007B000000}"/>
    <hyperlink ref="D38" r:id="rId125" display="https://www.linkedin.com/learning/applied-curiosity?trk=ondemandfile" xr:uid="{00000000-0004-0000-1100-00007C000000}"/>
    <hyperlink ref="D39" r:id="rId126" display="https://www.linkedin.com/learning/creativity-generate-ideas-in-greater-quantity-and-quality?trk=ondemandfile" xr:uid="{00000000-0004-0000-1100-00007D000000}"/>
    <hyperlink ref="D40" r:id="rId127" display="https://www.linkedin.com/learning/creativity-for-all?trk=ondemandfile" xr:uid="{00000000-0004-0000-1100-00007E000000}"/>
    <hyperlink ref="D41" r:id="rId128" display="https://www.linkedin.com/learning/illustrator-cc-2018-one-on-one-advanced-revision-2?trk=ondemandfile" xr:uid="{00000000-0004-0000-1100-00007F000000}"/>
    <hyperlink ref="D42" r:id="rId129" display="https://www.linkedin.com/learning/how-to-boost-your-creativity-at-home-in-10-days?trk=ondemandfile" xr:uid="{00000000-0004-0000-1100-000080000000}"/>
    <hyperlink ref="D43" r:id="rId130" display="https://www.linkedin.com/learning/21-day-creative-exercise-desk-challenge?trk=ondemandfile" xr:uid="{00000000-0004-0000-1100-000081000000}"/>
    <hyperlink ref="D44" r:id="rId131" display="https://www.linkedin.com/learning/banish-your-inner-critic-to-unleash-creativity-3?trk=ondemandfile" xr:uid="{00000000-0004-0000-1100-000082000000}"/>
    <hyperlink ref="D45" r:id="rId132" display="https://www.linkedin.com/learning/implementing-creative-feedback-the-win-win-way?trk=ondemandfile" xr:uid="{00000000-0004-0000-1100-000083000000}"/>
    <hyperlink ref="D46" r:id="rId133" display="https://www.linkedin.com/learning/branding-strategy-define-your-creative-edge?trk=ondemandfile" xr:uid="{00000000-0004-0000-1100-000084000000}"/>
    <hyperlink ref="D47" r:id="rId134" display="https://www.linkedin.com/learning/unlocking-creativity-blinkist-summary?trk=ondemandfile" xr:uid="{00000000-0004-0000-1100-000085000000}"/>
    <hyperlink ref="D48" r:id="rId135" display="https://www.linkedin.com/learning/design-thinking-understanding-the-process?trk=ondemandfile" xr:uid="{00000000-0004-0000-1100-000086000000}"/>
    <hyperlink ref="D49" r:id="rId136" display="https://www.linkedin.com/learning/smart-cities-solving-urban-problems-using-technology-2?trk=ondemandfile" xr:uid="{00000000-0004-0000-1100-000087000000}"/>
    <hyperlink ref="D50" r:id="rId137" display="https://www.linkedin.com/learning/conducting-a-swot-analysis?trk=ondemandfile" xr:uid="{00000000-0004-0000-1100-000088000000}"/>
    <hyperlink ref="D51" r:id="rId138" display="https://www.linkedin.com/learning/creativity-at-work-a-short-course-from-seth-godin?trk=ondemandfile" xr:uid="{00000000-0004-0000-1100-000089000000}"/>
    <hyperlink ref="D52" r:id="rId139" display="https://www.linkedin.com/learning/creative-confidence-blinkist-summary?trk=ondemandfile" xr:uid="{00000000-0004-0000-1100-00008A000000}"/>
    <hyperlink ref="D53" r:id="rId140" display="https://www.linkedin.com/learning/productive-creativity?trk=ondemandfile" xr:uid="{00000000-0004-0000-1100-00008B000000}"/>
    <hyperlink ref="D54" r:id="rId141" display="https://www.linkedin.com/learning/unique-ways-to-generate-creative-ideas?trk=contentmappingfile" xr:uid="{00000000-0004-0000-1100-00008C000000}"/>
    <hyperlink ref="D55" r:id="rId142" display="https://www.linkedin.com/learning/finding-creativity-in-uncertain-times?trk=contentmappingfile" xr:uid="{00000000-0004-0000-1100-00008D000000}"/>
    <hyperlink ref="D56" r:id="rId143" display="https://www.linkedin.com/learning/ux-deep-dive-remote-research?trk=ondemandfile" xr:uid="{00000000-0004-0000-1100-00008E000000}"/>
    <hyperlink ref="D57" r:id="rId144" display="https://www.linkedin.com/learning/enhancing-team-innovation?trk=ondemandfile" xr:uid="{00000000-0004-0000-1100-00008F000000}"/>
    <hyperlink ref="D58" r:id="rId145" display="https://www.linkedin.com/learning/promoting-psychological-safety-to-encourage-employees-to-take-risks?trk=ondemandfile" xr:uid="{00000000-0004-0000-1100-000090000000}"/>
    <hyperlink ref="D59" r:id="rId146" display="https://www.linkedin.com/learning/managing-innovation?trk=ondemandfile" xr:uid="{00000000-0004-0000-1100-000091000000}"/>
    <hyperlink ref="D60" r:id="rId147" display="https://www.linkedin.com/learning/the-definitive-drucker-getabstract-summary?trk=ondemandfile" xr:uid="{00000000-0004-0000-1100-000092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Click and enter a value from range 'Competency Titles'!A1:A27" xr:uid="{00000000-0002-0000-1100-000000000000}">
          <x14:formula1>
            <xm:f>#REF!</xm:f>
          </x14:formula1>
          <xm:sqref>B1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C0000"/>
    <outlinePr summaryBelow="0" summaryRight="0"/>
  </sheetPr>
  <dimension ref="A1:AJ99"/>
  <sheetViews>
    <sheetView showGridLines="0" workbookViewId="0">
      <pane ySplit="3" topLeftCell="A4" activePane="bottomLeft" state="frozen"/>
      <selection pane="bottomLeft" sqref="A1:XFD1048576"/>
    </sheetView>
  </sheetViews>
  <sheetFormatPr baseColWidth="10" defaultColWidth="11.1640625" defaultRowHeight="15" customHeight="1"/>
  <cols>
    <col min="1" max="1" width="1.1640625" customWidth="1"/>
    <col min="2" max="2" width="11.1640625" customWidth="1"/>
    <col min="3" max="3" width="18.5" customWidth="1"/>
    <col min="4" max="5" width="44.5" customWidth="1"/>
    <col min="6" max="6" width="1.1640625" customWidth="1"/>
    <col min="7" max="7" width="11.1640625" customWidth="1"/>
    <col min="8" max="8" width="19.33203125" customWidth="1"/>
    <col min="9" max="10" width="44.5" customWidth="1"/>
    <col min="11" max="11" width="1.1640625" customWidth="1"/>
    <col min="12" max="12" width="11.1640625" customWidth="1"/>
    <col min="13" max="13" width="20.83203125" customWidth="1"/>
    <col min="14" max="15" width="44.5" customWidth="1"/>
    <col min="16" max="16" width="1.1640625" customWidth="1"/>
    <col min="17" max="17" width="11.1640625" customWidth="1"/>
    <col min="18" max="18" width="19.6640625" customWidth="1"/>
    <col min="19" max="20" width="44.5" customWidth="1"/>
    <col min="21" max="21" width="1.1640625" customWidth="1"/>
    <col min="23" max="23" width="18.6640625" customWidth="1"/>
    <col min="24" max="25" width="44.5" customWidth="1"/>
    <col min="26" max="26" width="1.1640625" customWidth="1"/>
    <col min="27" max="27" width="11.1640625" customWidth="1"/>
    <col min="28" max="28" width="26.6640625" customWidth="1"/>
    <col min="29" max="30" width="44.5" customWidth="1"/>
    <col min="31" max="31" width="1.1640625" customWidth="1"/>
    <col min="32" max="32" width="11.1640625" customWidth="1"/>
    <col min="33" max="33" width="21" customWidth="1"/>
    <col min="34" max="35" width="44.5" customWidth="1"/>
    <col min="36" max="36" width="1.1640625" customWidth="1"/>
  </cols>
  <sheetData>
    <row r="1" spans="1:36" ht="34.5" customHeight="1">
      <c r="A1" s="208"/>
      <c r="B1" s="230" t="s">
        <v>8</v>
      </c>
      <c r="C1" s="222"/>
      <c r="D1" s="222"/>
      <c r="E1" s="222"/>
      <c r="F1" s="208"/>
      <c r="G1" s="230" t="str">
        <f ca="1">IFERROR(__xludf.DUMMYFUNCTION("IFERROR(UNIQUE(FILTER(French!B:B,French!A:A=B1)))"),"Pensée critique, prise de décision et résolution de problèmes")</f>
        <v>Pensée critique, prise de décision et résolution de problèmes</v>
      </c>
      <c r="H1" s="222"/>
      <c r="I1" s="222"/>
      <c r="J1" s="222"/>
      <c r="K1" s="208"/>
      <c r="L1" s="230" t="str">
        <f ca="1">IFERROR(__xludf.DUMMYFUNCTION("IFERROR((UNIQUE(FILTER(Spanish!B:B,Spanish!A:A=B1))))"),"Pensamiento crítico, toma de decisiones y resolución de problemas")</f>
        <v>Pensamiento crítico, toma de decisiones y resolución de problemas</v>
      </c>
      <c r="M1" s="222"/>
      <c r="N1" s="222"/>
      <c r="O1" s="222"/>
      <c r="P1" s="208"/>
      <c r="Q1" s="230" t="str">
        <f ca="1">IFERROR(__xludf.DUMMYFUNCTION("IFERROR(UNIQUE(FILTER(German!B:B,German!A:A=B1)))"),"Kritisch denken, Entscheidungen treffen, Probleme lösen")</f>
        <v>Kritisch denken, Entscheidungen treffen, Probleme lösen</v>
      </c>
      <c r="R1" s="222"/>
      <c r="S1" s="222"/>
      <c r="T1" s="222"/>
      <c r="U1" s="208"/>
      <c r="V1" s="230" t="str">
        <f ca="1">IFERROR(__xludf.DUMMYFUNCTION("IFERROR(UNIQUE(FILTER(Japanese!B:B,Japanese!A:A=B1)))"),"クリティカルシンキング、意思決定と問題解決")</f>
        <v>クリティカルシンキング、意思決定と問題解決</v>
      </c>
      <c r="W1" s="222"/>
      <c r="X1" s="222"/>
      <c r="Y1" s="222"/>
      <c r="Z1" s="208"/>
      <c r="AA1" s="230" t="str">
        <f ca="1">IFERROR(__xludf.DUMMYFUNCTION("IFERROR(UNIQUE(FILTER(Portuguese!B:B,Portuguese!A:A=B1)))"),"Pensamento crítico, tomada de decisões e resolução de problemas")</f>
        <v>Pensamento crítico, tomada de decisões e resolução de problemas</v>
      </c>
      <c r="AB1" s="222"/>
      <c r="AC1" s="222"/>
      <c r="AD1" s="222"/>
      <c r="AE1" s="208"/>
      <c r="AF1" s="230" t="str">
        <f ca="1">IFERROR(__xludf.DUMMYFUNCTION("IFERROR(UNIQUE(FILTER(Mandarin!B:B,Mandarin!A:A=B1)))"),"批判性思维、决策和解决问题")</f>
        <v>批判性思维、决策和解决问题</v>
      </c>
      <c r="AG1" s="222"/>
      <c r="AH1" s="222"/>
      <c r="AI1" s="222"/>
      <c r="AJ1" s="208"/>
    </row>
    <row r="2" spans="1:36" ht="28" customHeight="1">
      <c r="A2" s="209"/>
      <c r="B2" s="234" t="s">
        <v>4713</v>
      </c>
      <c r="C2" s="222"/>
      <c r="D2" s="222"/>
      <c r="E2" s="222"/>
      <c r="F2" s="209"/>
      <c r="G2" s="231" t="s">
        <v>4714</v>
      </c>
      <c r="H2" s="222"/>
      <c r="I2" s="222"/>
      <c r="J2" s="222"/>
      <c r="K2" s="209"/>
      <c r="L2" s="235" t="s">
        <v>4715</v>
      </c>
      <c r="M2" s="222"/>
      <c r="N2" s="222"/>
      <c r="O2" s="222"/>
      <c r="P2" s="209"/>
      <c r="Q2" s="232" t="s">
        <v>4716</v>
      </c>
      <c r="R2" s="222"/>
      <c r="S2" s="222"/>
      <c r="T2" s="222"/>
      <c r="U2" s="209"/>
      <c r="V2" s="236" t="s">
        <v>4717</v>
      </c>
      <c r="W2" s="222"/>
      <c r="X2" s="222"/>
      <c r="Y2" s="222"/>
      <c r="Z2" s="209"/>
      <c r="AA2" s="233" t="s">
        <v>4718</v>
      </c>
      <c r="AB2" s="222"/>
      <c r="AC2" s="222"/>
      <c r="AD2" s="222"/>
      <c r="AE2" s="209"/>
      <c r="AF2" s="237" t="s">
        <v>4719</v>
      </c>
      <c r="AG2" s="222"/>
      <c r="AH2" s="222"/>
      <c r="AI2" s="222"/>
      <c r="AJ2" s="209"/>
    </row>
    <row r="3" spans="1:36" ht="26" customHeight="1">
      <c r="A3" s="210"/>
      <c r="B3" s="211" t="str">
        <f ca="1">IFERROR(__xludf.DUMMYFUNCTION("FILTER(English!B:B,English!A:A=B1)"),"Course IDs")</f>
        <v>Course IDs</v>
      </c>
      <c r="C3" s="211" t="str">
        <f ca="1">IFERROR(__xludf.DUMMYFUNCTION("FILTER(English!C:C,English!A:A=B1)"),"Levels")</f>
        <v>Levels</v>
      </c>
      <c r="D3" s="211" t="str">
        <f ca="1">IFERROR(__xludf.DUMMYFUNCTION("FILTER(English!D:D,English!A:A=B1)"),"Courses")</f>
        <v>Courses</v>
      </c>
      <c r="E3" s="212" t="str">
        <f ca="1">IFERROR(__xludf.DUMMYFUNCTION("FILTER(English!E:E,English!A:A=B1)"),"Learning Paths")</f>
        <v>Learning Paths</v>
      </c>
      <c r="F3" s="210"/>
      <c r="G3" s="211" t="str">
        <f ca="1">IFERROR(__xludf.DUMMYFUNCTION("FILTER(French!C:C,French!B:B=G1)"),"Course IDs")</f>
        <v>Course IDs</v>
      </c>
      <c r="H3" s="211" t="str">
        <f ca="1">IFERROR(__xludf.DUMMYFUNCTION("FILTER(French!D:D,French!B:B=G1)"),"Levels")</f>
        <v>Levels</v>
      </c>
      <c r="I3" s="211" t="str">
        <f ca="1">IFERROR(__xludf.DUMMYFUNCTION("FILTER(French!E:E,French!B:B=G1)"),"Courses")</f>
        <v>Courses</v>
      </c>
      <c r="J3" s="212" t="str">
        <f ca="1">IFERROR(__xludf.DUMMYFUNCTION("FILTER(French!G:G,French!B:B=G1)"),"Learning Paths")</f>
        <v>Learning Paths</v>
      </c>
      <c r="K3" s="210"/>
      <c r="L3" s="211" t="str">
        <f ca="1">IFERROR(__xludf.DUMMYFUNCTION("FILTER(Spanish!C:C,Spanish!B:B=L1)"),"Course IDs")</f>
        <v>Course IDs</v>
      </c>
      <c r="M3" s="211" t="str">
        <f ca="1">IFERROR(__xludf.DUMMYFUNCTION("FILTER(Spanish!D:D,Spanish!B:B=L1)"),"Levels")</f>
        <v>Levels</v>
      </c>
      <c r="N3" s="211" t="str">
        <f ca="1">IFERROR(__xludf.DUMMYFUNCTION("FILTER(Spanish!E:E,Spanish!B:B=L1)"),"Courses")</f>
        <v>Courses</v>
      </c>
      <c r="O3" s="212" t="str">
        <f ca="1">IFERROR(__xludf.DUMMYFUNCTION("FILTER(Spanish!G:G,Spanish!B:B=L1)"),"Learning Paths")</f>
        <v>Learning Paths</v>
      </c>
      <c r="P3" s="210"/>
      <c r="Q3" s="211" t="str">
        <f ca="1">IFERROR(__xludf.DUMMYFUNCTION("FILTER(German!C:C,German!B:B=Q1)"),"Course IDs")</f>
        <v>Course IDs</v>
      </c>
      <c r="R3" s="211" t="str">
        <f ca="1">IFERROR(__xludf.DUMMYFUNCTION("FILTER(German!D:D,German!B:B=Q1)"),"Levels")</f>
        <v>Levels</v>
      </c>
      <c r="S3" s="211" t="str">
        <f ca="1">IFERROR(__xludf.DUMMYFUNCTION("FILTER(German!E:E,German!B:B=Q1)"),"Courses")</f>
        <v>Courses</v>
      </c>
      <c r="T3" s="212" t="str">
        <f ca="1">IFERROR(__xludf.DUMMYFUNCTION("FILTER(German!G:G,German!B:B=Q1)"),"Learning Paths")</f>
        <v>Learning Paths</v>
      </c>
      <c r="U3" s="210"/>
      <c r="V3" s="211" t="str">
        <f ca="1">IFERROR(__xludf.DUMMYFUNCTION("FILTER(Japanese!C:C,Japanese!B:B=V1)"),"Course IDs")</f>
        <v>Course IDs</v>
      </c>
      <c r="W3" s="211" t="str">
        <f ca="1">IFERROR(__xludf.DUMMYFUNCTION("FILTER(Japanese!D:D,Japanese!B:B=V1)"),"Levels")</f>
        <v>Levels</v>
      </c>
      <c r="X3" s="211" t="str">
        <f ca="1">IFERROR(__xludf.DUMMYFUNCTION("FILTER(Japanese!E:E,Japanese!B:B=V1)"),"Courses")</f>
        <v>Courses</v>
      </c>
      <c r="Y3" s="212" t="str">
        <f ca="1">IFERROR(__xludf.DUMMYFUNCTION("FILTER(Japanese!G:G,Japanese!B:B=V1)"),"Learning Paths")</f>
        <v>Learning Paths</v>
      </c>
      <c r="Z3" s="210"/>
      <c r="AA3" s="211" t="str">
        <f ca="1">IFERROR(__xludf.DUMMYFUNCTION("FILTER(Portuguese!C:C,Portuguese!B:B=AA1)"),"Course IDs")</f>
        <v>Course IDs</v>
      </c>
      <c r="AB3" s="211" t="str">
        <f ca="1">IFERROR(__xludf.DUMMYFUNCTION("FILTER(Portuguese!D:D,Portuguese!B:B=AA1)"),"Levels")</f>
        <v>Levels</v>
      </c>
      <c r="AC3" s="211" t="str">
        <f ca="1">IFERROR(__xludf.DUMMYFUNCTION("FILTER(Portuguese!E:E,Portuguese!B:B=AA1)"),"Courses")</f>
        <v>Courses</v>
      </c>
      <c r="AD3" s="212" t="str">
        <f ca="1">IFERROR(__xludf.DUMMYFUNCTION("FILTER(Portuguese!G:G,Portuguese!B:B=AA1)"),"Learning Paths")</f>
        <v>Learning Paths</v>
      </c>
      <c r="AE3" s="210"/>
      <c r="AF3" s="211" t="str">
        <f ca="1">IFERROR(__xludf.DUMMYFUNCTION("FILTER(Mandarin!C:C,Mandarin!B:B=AF1)"),"Course IDs")</f>
        <v>Course IDs</v>
      </c>
      <c r="AG3" s="211" t="str">
        <f ca="1">IFERROR(__xludf.DUMMYFUNCTION("FILTER(Mandarin!D:D,Mandarin!B:B=AF1)"),"Levels")</f>
        <v>Levels</v>
      </c>
      <c r="AH3" s="211" t="str">
        <f ca="1">IFERROR(__xludf.DUMMYFUNCTION("FILTER(Mandarin!E:E,Mandarin!B:B=AF1)"),"Courses")</f>
        <v>Courses</v>
      </c>
      <c r="AI3" s="212" t="str">
        <f ca="1">IFERROR(__xludf.DUMMYFUNCTION("FILTER(Mandarin!G:G,Mandarin!B:B=AF1)"),"Learning Paths")</f>
        <v>Learning Paths</v>
      </c>
      <c r="AJ3" s="210"/>
    </row>
    <row r="4" spans="1:36" ht="33.75" customHeight="1">
      <c r="A4" s="213"/>
      <c r="B4" s="214">
        <f ca="1">IFERROR(__xludf.DUMMYFUNCTION("""COMPUTED_VALUE"""),740417)</f>
        <v>740417</v>
      </c>
      <c r="C4" s="215" t="str">
        <f ca="1">IFERROR(__xludf.DUMMYFUNCTION("""COMPUTED_VALUE"""),"Beginner")</f>
        <v>Beginner</v>
      </c>
      <c r="D4" s="216" t="str">
        <f ca="1">IFERROR(__xludf.DUMMYFUNCTION("""COMPUTED_VALUE"""),"CMO Foundations: Measuring Marketing Effectiveness (ROI)")</f>
        <v>CMO Foundations: Measuring Marketing Effectiveness (ROI)</v>
      </c>
      <c r="E4" s="217" t="str">
        <f ca="1">IFERROR(__xludf.DUMMYFUNCTION("""COMPUTED_VALUE"""),"Develop Critical-Thinking, Decision-Making, and Problem-Solving Skills ")</f>
        <v xml:space="preserve">Develop Critical-Thinking, Decision-Making, and Problem-Solving Skills </v>
      </c>
      <c r="F4" s="213"/>
      <c r="G4" s="214">
        <f ca="1">IFERROR(__xludf.DUMMYFUNCTION("""COMPUTED_VALUE"""),3107697)</f>
        <v>3107697</v>
      </c>
      <c r="H4" s="215" t="str">
        <f ca="1">IFERROR(__xludf.DUMMYFUNCTION("""COMPUTED_VALUE"""),"Advanced")</f>
        <v>Advanced</v>
      </c>
      <c r="I4" s="217" t="str">
        <f ca="1">IFERROR(__xludf.DUMMYFUNCTION("""COMPUTED_VALUE"""),"Adopter la pensée critique pour mieux juger et mieux décider")</f>
        <v>Adopter la pensée critique pour mieux juger et mieux décider</v>
      </c>
      <c r="J4" s="217" t="str">
        <f ca="1">IFERROR(__xludf.DUMMYFUNCTION("""COMPUTED_VALUE"""),"Trouver des solutions et prendre de bonnes decisions")</f>
        <v>Trouver des solutions et prendre de bonnes decisions</v>
      </c>
      <c r="K4" s="213"/>
      <c r="L4" s="215">
        <f ca="1">IFERROR(__xludf.DUMMYFUNCTION("""COMPUTED_VALUE"""),588022)</f>
        <v>588022</v>
      </c>
      <c r="M4" s="215" t="str">
        <f ca="1">IFERROR(__xludf.DUMMYFUNCTION("""COMPUTED_VALUE"""),"Beginner")</f>
        <v>Beginner</v>
      </c>
      <c r="N4" s="217" t="str">
        <f ca="1">IFERROR(__xludf.DUMMYFUNCTION("""COMPUTED_VALUE"""),"Cómo aprender del fracaso")</f>
        <v>Cómo aprender del fracaso</v>
      </c>
      <c r="O4" s="217" t="str">
        <f ca="1">IFERROR(__xludf.DUMMYFUNCTION("""COMPUTED_VALUE"""),"Domina las habilidades de vida personales")</f>
        <v>Domina las habilidades de vida personales</v>
      </c>
      <c r="P4" s="213"/>
      <c r="Q4" s="215">
        <f ca="1">IFERROR(__xludf.DUMMYFUNCTION("""COMPUTED_VALUE"""),520929)</f>
        <v>520929</v>
      </c>
      <c r="R4" s="215" t="str">
        <f ca="1">IFERROR(__xludf.DUMMYFUNCTION("""COMPUTED_VALUE"""),"All levels")</f>
        <v>All levels</v>
      </c>
      <c r="S4" s="217" t="str">
        <f ca="1">IFERROR(__xludf.DUMMYFUNCTION("""COMPUTED_VALUE"""),"Aus Misserfolgen lernen")</f>
        <v>Aus Misserfolgen lernen</v>
      </c>
      <c r="T4" s="217" t="str">
        <f ca="1">IFERROR(__xludf.DUMMYFUNCTION("""COMPUTED_VALUE"""),"Ihre Problemlösungsfähigkeiten verbessern")</f>
        <v>Ihre Problemlösungsfähigkeiten verbessern</v>
      </c>
      <c r="U4" s="213"/>
      <c r="V4" s="215">
        <f ca="1">IFERROR(__xludf.DUMMYFUNCTION("""COMPUTED_VALUE"""),709794)</f>
        <v>709794</v>
      </c>
      <c r="W4" s="215" t="str">
        <f ca="1">IFERROR(__xludf.DUMMYFUNCTION("""COMPUTED_VALUE"""),"All levels")</f>
        <v>All levels</v>
      </c>
      <c r="X4" s="217" t="str">
        <f ca="1">IFERROR(__xludf.DUMMYFUNCTION("""COMPUTED_VALUE"""),"クリティカルシンキング")</f>
        <v>クリティカルシンキング</v>
      </c>
      <c r="Y4" s="217" t="str">
        <f ca="1">IFERROR(__xludf.DUMMYFUNCTION("""COMPUTED_VALUE"""),"困難な時期に自身を高めて問題を乗り切るには")</f>
        <v>困難な時期に自身を高めて問題を乗り切るには</v>
      </c>
      <c r="Z4" s="213"/>
      <c r="AA4" s="215">
        <f ca="1">IFERROR(__xludf.DUMMYFUNCTION("""COMPUTED_VALUE"""),753200)</f>
        <v>753200</v>
      </c>
      <c r="AB4" s="215" t="str">
        <f ca="1">IFERROR(__xludf.DUMMYFUNCTION("""COMPUTED_VALUE"""),"All levels")</f>
        <v>All levels</v>
      </c>
      <c r="AC4" s="217" t="str">
        <f ca="1">IFERROR(__xludf.DUMMYFUNCTION("""COMPUTED_VALUE"""),"Como Melhorar seu Discernimento")</f>
        <v>Como Melhorar seu Discernimento</v>
      </c>
      <c r="AD4" s="217" t="str">
        <f ca="1">IFERROR(__xludf.DUMMYFUNCTION("""COMPUTED_VALUE"""),"Como superar os desafios e se reinventar em tempos difíceis")</f>
        <v>Como superar os desafios e se reinventar em tempos difíceis</v>
      </c>
      <c r="AE4" s="213"/>
      <c r="AF4" s="215">
        <f ca="1">IFERROR(__xludf.DUMMYFUNCTION("""COMPUTED_VALUE"""),5041722)</f>
        <v>5041722</v>
      </c>
      <c r="AG4" s="215" t="str">
        <f ca="1">IFERROR(__xludf.DUMMYFUNCTION("""COMPUTED_VALUE"""),"All levels")</f>
        <v>All levels</v>
      </c>
      <c r="AH4" s="217" t="str">
        <f ca="1">IFERROR(__xludf.DUMMYFUNCTION("""COMPUTED_VALUE"""),"从失败中学习")</f>
        <v>从失败中学习</v>
      </c>
      <c r="AI4" s="217" t="str">
        <f ca="1">IFERROR(__xludf.DUMMYFUNCTION("""COMPUTED_VALUE"""),"提升自我：度过艰难时期")</f>
        <v>提升自我：度过艰难时期</v>
      </c>
      <c r="AJ4" s="213"/>
    </row>
    <row r="5" spans="1:36" ht="30">
      <c r="A5" s="213"/>
      <c r="B5" s="214">
        <f ca="1">IFERROR(__xludf.DUMMYFUNCTION("""COMPUTED_VALUE"""),782126)</f>
        <v>782126</v>
      </c>
      <c r="C5" s="215" t="str">
        <f ca="1">IFERROR(__xludf.DUMMYFUNCTION("""COMPUTED_VALUE"""),"General")</f>
        <v>General</v>
      </c>
      <c r="D5" s="216" t="str">
        <f ca="1">IFERROR(__xludf.DUMMYFUNCTION("""COMPUTED_VALUE"""),"Reid Hoffman and Chris Yeh on Blitzscaling")</f>
        <v>Reid Hoffman and Chris Yeh on Blitzscaling</v>
      </c>
      <c r="E5" s="217" t="str">
        <f ca="1">IFERROR(__xludf.DUMMYFUNCTION("""COMPUTED_VALUE"""),"Improve Your Organizational Skills")</f>
        <v>Improve Your Organizational Skills</v>
      </c>
      <c r="F5" s="213"/>
      <c r="G5" s="214">
        <f ca="1">IFERROR(__xludf.DUMMYFUNCTION("""COMPUTED_VALUE"""),464632)</f>
        <v>464632</v>
      </c>
      <c r="H5" s="215" t="str">
        <f ca="1">IFERROR(__xludf.DUMMYFUNCTION("""COMPUTED_VALUE"""),"All levels")</f>
        <v>All levels</v>
      </c>
      <c r="I5" s="217" t="str">
        <f ca="1">IFERROR(__xludf.DUMMYFUNCTION("""COMPUTED_VALUE"""),"Améliorer sa faculté de juger")</f>
        <v>Améliorer sa faculté de juger</v>
      </c>
      <c r="J5" s="217"/>
      <c r="K5" s="213"/>
      <c r="L5" s="215">
        <f ca="1">IFERROR(__xludf.DUMMYFUNCTION("""COMPUTED_VALUE"""),530961)</f>
        <v>530961</v>
      </c>
      <c r="M5" s="215" t="str">
        <f ca="1">IFERROR(__xludf.DUMMYFUNCTION("""COMPUTED_VALUE"""),"All levels")</f>
        <v>All levels</v>
      </c>
      <c r="N5" s="217" t="str">
        <f ca="1">IFERROR(__xludf.DUMMYFUNCTION("""COMPUTED_VALUE"""),"Cómo aumentar la resiliencia")</f>
        <v>Cómo aumentar la resiliencia</v>
      </c>
      <c r="O5" s="217" t="str">
        <f ca="1">IFERROR(__xludf.DUMMYFUNCTION("""COMPUTED_VALUE"""),"Domina las habilidades de vida a nivel de liderazgo")</f>
        <v>Domina las habilidades de vida a nivel de liderazgo</v>
      </c>
      <c r="P5" s="213"/>
      <c r="Q5" s="215">
        <f ca="1">IFERROR(__xludf.DUMMYFUNCTION("""COMPUTED_VALUE"""),5033509)</f>
        <v>5033509</v>
      </c>
      <c r="R5" s="215" t="str">
        <f ca="1">IFERROR(__xludf.DUMMYFUNCTION("""COMPUTED_VALUE"""),"All levels")</f>
        <v>All levels</v>
      </c>
      <c r="S5" s="217" t="str">
        <f ca="1">IFERROR(__xludf.DUMMYFUNCTION("""COMPUTED_VALUE"""),"Berufliche Ziele setzen und erreichen")</f>
        <v>Berufliche Ziele setzen und erreichen</v>
      </c>
      <c r="T5" s="217"/>
      <c r="U5" s="213"/>
      <c r="V5" s="215">
        <f ca="1">IFERROR(__xludf.DUMMYFUNCTION("""COMPUTED_VALUE"""),3022813)</f>
        <v>3022813</v>
      </c>
      <c r="W5" s="215" t="str">
        <f ca="1">IFERROR(__xludf.DUMMYFUNCTION("""COMPUTED_VALUE"""),"All levels")</f>
        <v>All levels</v>
      </c>
      <c r="X5" s="217" t="str">
        <f ca="1">IFERROR(__xludf.DUMMYFUNCTION("""COMPUTED_VALUE"""),"スマートシンキング：複雑な問題に対処するには")</f>
        <v>スマートシンキング：複雑な問題に対処するには</v>
      </c>
      <c r="Y5" s="217"/>
      <c r="Z5" s="213"/>
      <c r="AA5" s="215">
        <f ca="1">IFERROR(__xludf.DUMMYFUNCTION("""COMPUTED_VALUE"""),800898)</f>
        <v>800898</v>
      </c>
      <c r="AB5" s="215" t="str">
        <f ca="1">IFERROR(__xludf.DUMMYFUNCTION("""COMPUTED_VALUE"""),"All levels")</f>
        <v>All levels</v>
      </c>
      <c r="AC5" s="217" t="str">
        <f ca="1">IFERROR(__xludf.DUMMYFUNCTION("""COMPUTED_VALUE"""),"Como Aprender com o Fracasso")</f>
        <v>Como Aprender com o Fracasso</v>
      </c>
      <c r="AD5" s="217"/>
      <c r="AE5" s="213"/>
      <c r="AF5" s="215">
        <f ca="1">IFERROR(__xludf.DUMMYFUNCTION("""COMPUTED_VALUE"""),730563)</f>
        <v>730563</v>
      </c>
      <c r="AG5" s="215" t="str">
        <f ca="1">IFERROR(__xludf.DUMMYFUNCTION("""COMPUTED_VALUE"""),"All levels")</f>
        <v>All levels</v>
      </c>
      <c r="AH5" s="217" t="str">
        <f ca="1">IFERROR(__xludf.DUMMYFUNCTION("""COMPUTED_VALUE"""),"决策策略")</f>
        <v>决策策略</v>
      </c>
      <c r="AI5" s="217" t="str">
        <f ca="1">IFERROR(__xludf.DUMMYFUNCTION("""COMPUTED_VALUE"""),"掌握职场中的人际关系软技能")</f>
        <v>掌握职场中的人际关系软技能</v>
      </c>
      <c r="AJ5" s="213"/>
    </row>
    <row r="6" spans="1:36" ht="16">
      <c r="A6" s="213"/>
      <c r="B6" s="214">
        <f ca="1">IFERROR(__xludf.DUMMYFUNCTION("""COMPUTED_VALUE"""),661749)</f>
        <v>661749</v>
      </c>
      <c r="C6" s="215" t="str">
        <f ca="1">IFERROR(__xludf.DUMMYFUNCTION("""COMPUTED_VALUE"""),"General")</f>
        <v>General</v>
      </c>
      <c r="D6" s="216" t="str">
        <f ca="1">IFERROR(__xludf.DUMMYFUNCTION("""COMPUTED_VALUE"""),"Learning Agility")</f>
        <v>Learning Agility</v>
      </c>
      <c r="E6" s="217" t="str">
        <f ca="1">IFERROR(__xludf.DUMMYFUNCTION("""COMPUTED_VALUE"""),"Improve Your Problem-Solving Skills")</f>
        <v>Improve Your Problem-Solving Skills</v>
      </c>
      <c r="F6" s="213"/>
      <c r="G6" s="214">
        <f ca="1">IFERROR(__xludf.DUMMYFUNCTION("""COMPUTED_VALUE"""),560464)</f>
        <v>560464</v>
      </c>
      <c r="H6" s="215" t="str">
        <f ca="1">IFERROR(__xludf.DUMMYFUNCTION("""COMPUTED_VALUE"""),"All levels")</f>
        <v>All levels</v>
      </c>
      <c r="I6" s="217" t="str">
        <f ca="1">IFERROR(__xludf.DUMMYFUNCTION("""COMPUTED_VALUE"""),"Apprendre de ses échecs")</f>
        <v>Apprendre de ses échecs</v>
      </c>
      <c r="J6" s="217"/>
      <c r="K6" s="213"/>
      <c r="L6" s="215">
        <f ca="1">IFERROR(__xludf.DUMMYFUNCTION("""COMPUTED_VALUE"""),561223)</f>
        <v>561223</v>
      </c>
      <c r="M6" s="215" t="str">
        <f ca="1">IFERROR(__xludf.DUMMYFUNCTION("""COMPUTED_VALUE"""),"All levels")</f>
        <v>All levels</v>
      </c>
      <c r="N6" s="217" t="str">
        <f ca="1">IFERROR(__xludf.DUMMYFUNCTION("""COMPUTED_VALUE"""),"Cómo decir que no")</f>
        <v>Cómo decir que no</v>
      </c>
      <c r="O6" s="217" t="str">
        <f ca="1">IFERROR(__xludf.DUMMYFUNCTION("""COMPUTED_VALUE"""),"Mejora tus habilidades para resolver problemas")</f>
        <v>Mejora tus habilidades para resolver problemas</v>
      </c>
      <c r="P6" s="213"/>
      <c r="Q6" s="215">
        <f ca="1">IFERROR(__xludf.DUMMYFUNCTION("""COMPUTED_VALUE"""),514910)</f>
        <v>514910</v>
      </c>
      <c r="R6" s="215" t="str">
        <f ca="1">IFERROR(__xludf.DUMMYFUNCTION("""COMPUTED_VALUE"""),"All levels")</f>
        <v>All levels</v>
      </c>
      <c r="S6" s="217" t="str">
        <f ca="1">IFERROR(__xludf.DUMMYFUNCTION("""COMPUTED_VALUE"""),"Businessprobleme lösen")</f>
        <v>Businessprobleme lösen</v>
      </c>
      <c r="T6" s="217"/>
      <c r="U6" s="213"/>
      <c r="V6" s="215">
        <f ca="1">IFERROR(__xludf.DUMMYFUNCTION("""COMPUTED_VALUE"""),5039197)</f>
        <v>5039197</v>
      </c>
      <c r="W6" s="215" t="str">
        <f ca="1">IFERROR(__xludf.DUMMYFUNCTION("""COMPUTED_VALUE"""),"All levels")</f>
        <v>All levels</v>
      </c>
      <c r="X6" s="217" t="str">
        <f ca="1">IFERROR(__xludf.DUMMYFUNCTION("""COMPUTED_VALUE"""),"判断力の高め方")</f>
        <v>判断力の高め方</v>
      </c>
      <c r="Y6" s="217"/>
      <c r="Z6" s="213"/>
      <c r="AA6" s="215">
        <f ca="1">IFERROR(__xludf.DUMMYFUNCTION("""COMPUTED_VALUE"""),753101)</f>
        <v>753101</v>
      </c>
      <c r="AB6" s="215" t="str">
        <f ca="1">IFERROR(__xludf.DUMMYFUNCTION("""COMPUTED_VALUE"""),"All levels")</f>
        <v>All levels</v>
      </c>
      <c r="AC6" s="217" t="str">
        <f ca="1">IFERROR(__xludf.DUMMYFUNCTION("""COMPUTED_VALUE"""),"Como Desenvolver a Resiliência")</f>
        <v>Como Desenvolver a Resiliência</v>
      </c>
      <c r="AD6" s="217"/>
      <c r="AE6" s="213"/>
      <c r="AF6" s="215">
        <f ca="1">IFERROR(__xludf.DUMMYFUNCTION("""COMPUTED_VALUE"""),773688)</f>
        <v>773688</v>
      </c>
      <c r="AG6" s="215" t="str">
        <f ca="1">IFERROR(__xludf.DUMMYFUNCTION("""COMPUTED_VALUE"""),"All levels")</f>
        <v>All levels</v>
      </c>
      <c r="AH6" s="217" t="str">
        <f ca="1">IFERROR(__xludf.DUMMYFUNCTION("""COMPUTED_VALUE"""),"培养复原力")</f>
        <v>培养复原力</v>
      </c>
      <c r="AI6" s="217" t="str">
        <f ca="1">IFERROR(__xludf.DUMMYFUNCTION("""COMPUTED_VALUE"""),"提高问题解决技能")</f>
        <v>提高问题解决技能</v>
      </c>
      <c r="AJ6" s="213"/>
    </row>
    <row r="7" spans="1:36" ht="33.75" customHeight="1">
      <c r="A7" s="213"/>
      <c r="B7" s="214">
        <f ca="1">IFERROR(__xludf.DUMMYFUNCTION("""COMPUTED_VALUE"""),373992)</f>
        <v>373992</v>
      </c>
      <c r="C7" s="215" t="str">
        <f ca="1">IFERROR(__xludf.DUMMYFUNCTION("""COMPUTED_VALUE"""),"Intermediate")</f>
        <v>Intermediate</v>
      </c>
      <c r="D7" s="216" t="str">
        <f ca="1">IFERROR(__xludf.DUMMYFUNCTION("""COMPUTED_VALUE"""),"Executive Decision-Making")</f>
        <v>Executive Decision-Making</v>
      </c>
      <c r="E7" s="217" t="str">
        <f ca="1">IFERROR(__xludf.DUMMYFUNCTION("""COMPUTED_VALUE"""),"Master In-Demand Professional Soft Skills")</f>
        <v>Master In-Demand Professional Soft Skills</v>
      </c>
      <c r="F7" s="213"/>
      <c r="G7" s="214">
        <f ca="1">IFERROR(__xludf.DUMMYFUNCTION("""COMPUTED_VALUE"""),3107658)</f>
        <v>3107658</v>
      </c>
      <c r="H7" s="215" t="str">
        <f ca="1">IFERROR(__xludf.DUMMYFUNCTION("""COMPUTED_VALUE"""),"Intermediate")</f>
        <v>Intermediate</v>
      </c>
      <c r="I7" s="217" t="str">
        <f ca="1">IFERROR(__xludf.DUMMYFUNCTION("""COMPUTED_VALUE"""),"Construire la résilience en tant que leader")</f>
        <v>Construire la résilience en tant que leader</v>
      </c>
      <c r="J7" s="217"/>
      <c r="K7" s="213"/>
      <c r="L7" s="215">
        <f ca="1">IFERROR(__xludf.DUMMYFUNCTION("""COMPUTED_VALUE"""),5025676)</f>
        <v>5025676</v>
      </c>
      <c r="M7" s="215" t="str">
        <f ca="1">IFERROR(__xludf.DUMMYFUNCTION("""COMPUTED_VALUE"""),"All levels")</f>
        <v>All levels</v>
      </c>
      <c r="N7" s="217" t="str">
        <f ca="1">IFERROR(__xludf.DUMMYFUNCTION("""COMPUTED_VALUE"""),"Cómo gestionar los puntos ciegos del liderazgo")</f>
        <v>Cómo gestionar los puntos ciegos del liderazgo</v>
      </c>
      <c r="O7" s="217"/>
      <c r="P7" s="213"/>
      <c r="Q7" s="215">
        <f ca="1">IFERROR(__xludf.DUMMYFUNCTION("""COMPUTED_VALUE"""),690407)</f>
        <v>690407</v>
      </c>
      <c r="R7" s="215" t="str">
        <f ca="1">IFERROR(__xludf.DUMMYFUNCTION("""COMPUTED_VALUE"""),"Intermediate")</f>
        <v>Intermediate</v>
      </c>
      <c r="S7" s="217" t="str">
        <f ca="1">IFERROR(__xludf.DUMMYFUNCTION("""COMPUTED_VALUE"""),"Entscheidungen auf Führungsebene treffen")</f>
        <v>Entscheidungen auf Führungsebene treffen</v>
      </c>
      <c r="T7" s="217"/>
      <c r="U7" s="213"/>
      <c r="V7" s="215">
        <f ca="1">IFERROR(__xludf.DUMMYFUNCTION("""COMPUTED_VALUE"""),780519)</f>
        <v>780519</v>
      </c>
      <c r="W7" s="215" t="str">
        <f ca="1">IFERROR(__xludf.DUMMYFUNCTION("""COMPUTED_VALUE"""),"All levels")</f>
        <v>All levels</v>
      </c>
      <c r="X7" s="217" t="str">
        <f ca="1">IFERROR(__xludf.DUMMYFUNCTION("""COMPUTED_VALUE"""),"困難から立ち直るには")</f>
        <v>困難から立ち直るには</v>
      </c>
      <c r="Y7" s="217"/>
      <c r="Z7" s="213"/>
      <c r="AA7" s="215">
        <f ca="1">IFERROR(__xludf.DUMMYFUNCTION("""COMPUTED_VALUE"""),753070)</f>
        <v>753070</v>
      </c>
      <c r="AB7" s="215" t="str">
        <f ca="1">IFERROR(__xludf.DUMMYFUNCTION("""COMPUTED_VALUE"""),"All levels")</f>
        <v>All levels</v>
      </c>
      <c r="AC7" s="217" t="str">
        <f ca="1">IFERROR(__xludf.DUMMYFUNCTION("""COMPUTED_VALUE"""),"Pensamento Crítico")</f>
        <v>Pensamento Crítico</v>
      </c>
      <c r="AD7" s="217"/>
      <c r="AE7" s="213"/>
      <c r="AF7" s="215">
        <f ca="1">IFERROR(__xludf.DUMMYFUNCTION("""COMPUTED_VALUE"""),2825717)</f>
        <v>2825717</v>
      </c>
      <c r="AG7" s="215" t="str">
        <f ca="1">IFERROR(__xludf.DUMMYFUNCTION("""COMPUTED_VALUE"""),"All levels")</f>
        <v>All levels</v>
      </c>
      <c r="AH7" s="217" t="str">
        <f ca="1">IFERROR(__xludf.DUMMYFUNCTION("""COMPUTED_VALUE"""),"培养成长型思维")</f>
        <v>培养成长型思维</v>
      </c>
      <c r="AI7" s="217"/>
      <c r="AJ7" s="213"/>
    </row>
    <row r="8" spans="1:36" ht="33.75" customHeight="1">
      <c r="A8" s="213"/>
      <c r="B8" s="214">
        <f ca="1">IFERROR(__xludf.DUMMYFUNCTION("""COMPUTED_VALUE"""),5015873)</f>
        <v>5015873</v>
      </c>
      <c r="C8" s="215" t="str">
        <f ca="1">IFERROR(__xludf.DUMMYFUNCTION("""COMPUTED_VALUE"""),"Intermediate")</f>
        <v>Intermediate</v>
      </c>
      <c r="D8" s="216" t="str">
        <f ca="1">IFERROR(__xludf.DUMMYFUNCTION("""COMPUTED_VALUE"""),"Start with Why: How Great Leaders Inspire Everyone to Take Action (Blinkist Summary)")</f>
        <v>Start with Why: How Great Leaders Inspire Everyone to Take Action (Blinkist Summary)</v>
      </c>
      <c r="E8" s="217"/>
      <c r="F8" s="213"/>
      <c r="G8" s="214">
        <f ca="1">IFERROR(__xludf.DUMMYFUNCTION("""COMPUTED_VALUE"""),2250561)</f>
        <v>2250561</v>
      </c>
      <c r="H8" s="215" t="str">
        <f ca="1">IFERROR(__xludf.DUMMYFUNCTION("""COMPUTED_VALUE"""),"Intermediate")</f>
        <v>Intermediate</v>
      </c>
      <c r="I8" s="217" t="str">
        <f ca="1">IFERROR(__xludf.DUMMYFUNCTION("""COMPUTED_VALUE"""),"Créer des conversations constructives avec des clients exigeants / clientes exigeantes")</f>
        <v>Créer des conversations constructives avec des clients exigeants / clientes exigeantes</v>
      </c>
      <c r="J8" s="217"/>
      <c r="K8" s="213"/>
      <c r="L8" s="215">
        <f ca="1">IFERROR(__xludf.DUMMYFUNCTION("""COMPUTED_VALUE"""),498951)</f>
        <v>498951</v>
      </c>
      <c r="M8" s="215" t="str">
        <f ca="1">IFERROR(__xludf.DUMMYFUNCTION("""COMPUTED_VALUE"""),"All levels")</f>
        <v>All levels</v>
      </c>
      <c r="N8" s="217" t="str">
        <f ca="1">IFERROR(__xludf.DUMMYFUNCTION("""COMPUTED_VALUE"""),"Cómo mejorar tu capacidad de toma de decisiones")</f>
        <v>Cómo mejorar tu capacidad de toma de decisiones</v>
      </c>
      <c r="O8" s="217"/>
      <c r="P8" s="213"/>
      <c r="Q8" s="215">
        <f ca="1">IFERROR(__xludf.DUMMYFUNCTION("""COMPUTED_VALUE"""),496630)</f>
        <v>496630</v>
      </c>
      <c r="R8" s="215" t="str">
        <f ca="1">IFERROR(__xludf.DUMMYFUNCTION("""COMPUTED_VALUE"""),"All levels")</f>
        <v>All levels</v>
      </c>
      <c r="S8" s="217" t="str">
        <f ca="1">IFERROR(__xludf.DUMMYFUNCTION("""COMPUTED_VALUE"""),"Entscheidungsfindung im Businessumfeld")</f>
        <v>Entscheidungsfindung im Businessumfeld</v>
      </c>
      <c r="T8" s="217"/>
      <c r="U8" s="213"/>
      <c r="V8" s="215">
        <f ca="1">IFERROR(__xludf.DUMMYFUNCTION("""COMPUTED_VALUE"""),2848300)</f>
        <v>2848300</v>
      </c>
      <c r="W8" s="215" t="str">
        <f ca="1">IFERROR(__xludf.DUMMYFUNCTION("""COMPUTED_VALUE"""),"Beginner")</f>
        <v>Beginner</v>
      </c>
      <c r="X8" s="217" t="str">
        <f ca="1">IFERROR(__xludf.DUMMYFUNCTION("""COMPUTED_VALUE"""),"戦略的思考術")</f>
        <v>戦略的思考術</v>
      </c>
      <c r="Y8" s="217"/>
      <c r="Z8" s="213"/>
      <c r="AA8" s="215">
        <f ca="1">IFERROR(__xludf.DUMMYFUNCTION("""COMPUTED_VALUE"""),753100)</f>
        <v>753100</v>
      </c>
      <c r="AB8" s="215" t="str">
        <f ca="1">IFERROR(__xludf.DUMMYFUNCTION("""COMPUTED_VALUE"""),"Beginner")</f>
        <v>Beginner</v>
      </c>
      <c r="AC8" s="217" t="str">
        <f ca="1">IFERROR(__xludf.DUMMYFUNCTION("""COMPUTED_VALUE"""),"Fundamentos da Melhoria de Processos")</f>
        <v>Fundamentos da Melhoria de Processos</v>
      </c>
      <c r="AD8" s="217"/>
      <c r="AE8" s="213"/>
      <c r="AF8" s="215">
        <f ca="1">IFERROR(__xludf.DUMMYFUNCTION("""COMPUTED_VALUE"""),3105032)</f>
        <v>3105032</v>
      </c>
      <c r="AG8" s="215" t="str">
        <f ca="1">IFERROR(__xludf.DUMMYFUNCTION("""COMPUTED_VALUE"""),"Intermediate")</f>
        <v>Intermediate</v>
      </c>
      <c r="AH8" s="217" t="str">
        <f ca="1">IFERROR(__xludf.DUMMYFUNCTION("""COMPUTED_VALUE"""),"培养批判性思维与好奇心：学会提问")</f>
        <v>培养批判性思维与好奇心：学会提问</v>
      </c>
      <c r="AI8" s="217"/>
      <c r="AJ8" s="213"/>
    </row>
    <row r="9" spans="1:36" ht="33.75" customHeight="1">
      <c r="A9" s="213"/>
      <c r="B9" s="214">
        <f ca="1">IFERROR(__xludf.DUMMYFUNCTION("""COMPUTED_VALUE"""),2881075)</f>
        <v>2881075</v>
      </c>
      <c r="C9" s="215" t="str">
        <f ca="1">IFERROR(__xludf.DUMMYFUNCTION("""COMPUTED_VALUE"""),"Advanced")</f>
        <v>Advanced</v>
      </c>
      <c r="D9" s="216" t="str">
        <f ca="1">IFERROR(__xludf.DUMMYFUNCTION("""COMPUTED_VALUE"""),"Critical Thinking for More Effective Communication")</f>
        <v>Critical Thinking for More Effective Communication</v>
      </c>
      <c r="E9" s="217"/>
      <c r="F9" s="213"/>
      <c r="G9" s="214">
        <f ca="1">IFERROR(__xludf.DUMMYFUNCTION("""COMPUTED_VALUE"""),2942173)</f>
        <v>2942173</v>
      </c>
      <c r="H9" s="215" t="str">
        <f ca="1">IFERROR(__xludf.DUMMYFUNCTION("""COMPUTED_VALUE"""),"Intermediate")</f>
        <v>Intermediate</v>
      </c>
      <c r="I9" s="217" t="str">
        <f ca="1">IFERROR(__xludf.DUMMYFUNCTION("""COMPUTED_VALUE"""),"Cultiver la pensée critique et la créativité avec des questions")</f>
        <v>Cultiver la pensée critique et la créativité avec des questions</v>
      </c>
      <c r="J9" s="217"/>
      <c r="K9" s="213"/>
      <c r="L9" s="215">
        <f ca="1">IFERROR(__xludf.DUMMYFUNCTION("""COMPUTED_VALUE"""),5025675)</f>
        <v>5025675</v>
      </c>
      <c r="M9" s="215" t="str">
        <f ca="1">IFERROR(__xludf.DUMMYFUNCTION("""COMPUTED_VALUE"""),"Beginner")</f>
        <v>Beginner</v>
      </c>
      <c r="N9" s="217" t="str">
        <f ca="1">IFERROR(__xludf.DUMMYFUNCTION("""COMPUTED_VALUE"""),"Cómo superar los sesgos cognitivos")</f>
        <v>Cómo superar los sesgos cognitivos</v>
      </c>
      <c r="O9" s="217"/>
      <c r="P9" s="213"/>
      <c r="Q9" s="215">
        <f ca="1">IFERROR(__xludf.DUMMYFUNCTION("""COMPUTED_VALUE"""),2211775)</f>
        <v>2211775</v>
      </c>
      <c r="R9" s="215" t="str">
        <f ca="1">IFERROR(__xludf.DUMMYFUNCTION("""COMPUTED_VALUE"""),"Beginner")</f>
        <v>Beginner</v>
      </c>
      <c r="S9" s="217" t="str">
        <f ca="1">IFERROR(__xludf.DUMMYFUNCTION("""COMPUTED_VALUE"""),"Grundlagen der User Experience für Entscheider:innen")</f>
        <v>Grundlagen der User Experience für Entscheider:innen</v>
      </c>
      <c r="T9" s="217"/>
      <c r="U9" s="213"/>
      <c r="V9" s="215">
        <f ca="1">IFERROR(__xludf.DUMMYFUNCTION("""COMPUTED_VALUE"""),2410752)</f>
        <v>2410752</v>
      </c>
      <c r="W9" s="215" t="str">
        <f ca="1">IFERROR(__xludf.DUMMYFUNCTION("""COMPUTED_VALUE"""),"Intermediate")</f>
        <v>Intermediate</v>
      </c>
      <c r="X9" s="217" t="str">
        <f ca="1">IFERROR(__xludf.DUMMYFUNCTION("""COMPUTED_VALUE"""),"批判的思考と好奇心を育む質問の使い方")</f>
        <v>批判的思考と好奇心を育む質問の使い方</v>
      </c>
      <c r="Y9" s="217"/>
      <c r="Z9" s="213"/>
      <c r="AA9" s="215">
        <f ca="1">IFERROR(__xludf.DUMMYFUNCTION("""COMPUTED_VALUE"""),733749)</f>
        <v>733749</v>
      </c>
      <c r="AB9" s="215" t="str">
        <f ca="1">IFERROR(__xludf.DUMMYFUNCTION("""COMPUTED_VALUE"""),"Beginner")</f>
        <v>Beginner</v>
      </c>
      <c r="AC9" s="217" t="str">
        <f ca="1">IFERROR(__xludf.DUMMYFUNCTION("""COMPUTED_VALUE"""),"Estratégias de Tomada de Decisão")</f>
        <v>Estratégias de Tomada de Decisão</v>
      </c>
      <c r="AD9" s="217"/>
      <c r="AE9" s="213"/>
      <c r="AF9" s="215">
        <f ca="1">IFERROR(__xludf.DUMMYFUNCTION("""COMPUTED_VALUE"""),797747)</f>
        <v>797747</v>
      </c>
      <c r="AG9" s="215" t="str">
        <f ca="1">IFERROR(__xludf.DUMMYFUNCTION("""COMPUTED_VALUE"""),"All levels")</f>
        <v>All levels</v>
      </c>
      <c r="AH9" s="217" t="str">
        <f ca="1">IFERROR(__xludf.DUMMYFUNCTION("""COMPUTED_VALUE"""),"如何让你的想法得到认可")</f>
        <v>如何让你的想法得到认可</v>
      </c>
      <c r="AI9" s="217"/>
      <c r="AJ9" s="213"/>
    </row>
    <row r="10" spans="1:36" ht="33.75" customHeight="1">
      <c r="A10" s="213"/>
      <c r="B10" s="214">
        <f ca="1">IFERROR(__xludf.DUMMYFUNCTION("""COMPUTED_VALUE"""),2890118)</f>
        <v>2890118</v>
      </c>
      <c r="C10" s="215" t="str">
        <f ca="1">IFERROR(__xludf.DUMMYFUNCTION("""COMPUTED_VALUE"""),"Beginner")</f>
        <v>Beginner</v>
      </c>
      <c r="D10" s="216" t="str">
        <f ca="1">IFERROR(__xludf.DUMMYFUNCTION("""COMPUTED_VALUE"""),"Overcoming Decision-Making Traps")</f>
        <v>Overcoming Decision-Making Traps</v>
      </c>
      <c r="E10" s="217"/>
      <c r="F10" s="213"/>
      <c r="G10" s="214">
        <f ca="1">IFERROR(__xludf.DUMMYFUNCTION("""COMPUTED_VALUE"""),714748)</f>
        <v>714748</v>
      </c>
      <c r="H10" s="215" t="str">
        <f ca="1">IFERROR(__xludf.DUMMYFUNCTION("""COMPUTED_VALUE"""),"All levels")</f>
        <v>All levels</v>
      </c>
      <c r="I10" s="217" t="str">
        <f ca="1">IFERROR(__xludf.DUMMYFUNCTION("""COMPUTED_VALUE"""),"De l’impuissance au pouvoir : La prise de contrôle")</f>
        <v>De l’impuissance au pouvoir : La prise de contrôle</v>
      </c>
      <c r="J10" s="217"/>
      <c r="K10" s="213"/>
      <c r="L10" s="215">
        <f ca="1">IFERROR(__xludf.DUMMYFUNCTION("""COMPUTED_VALUE"""),190401)</f>
        <v>190401</v>
      </c>
      <c r="M10" s="215" t="str">
        <f ca="1">IFERROR(__xludf.DUMMYFUNCTION("""COMPUTED_VALUE"""),"All levels")</f>
        <v>All levels</v>
      </c>
      <c r="N10" s="217" t="str">
        <f ca="1">IFERROR(__xludf.DUMMYFUNCTION("""COMPUTED_VALUE"""),"Cómo tomar decisiones")</f>
        <v>Cómo tomar decisiones</v>
      </c>
      <c r="O10" s="217"/>
      <c r="P10" s="213"/>
      <c r="Q10" s="215">
        <f ca="1">IFERROR(__xludf.DUMMYFUNCTION("""COMPUTED_VALUE"""),565182)</f>
        <v>565182</v>
      </c>
      <c r="R10" s="215" t="str">
        <f ca="1">IFERROR(__xludf.DUMMYFUNCTION("""COMPUTED_VALUE"""),"All levels")</f>
        <v>All levels</v>
      </c>
      <c r="S10" s="217" t="str">
        <f ca="1">IFERROR(__xludf.DUMMYFUNCTION("""COMPUTED_VALUE"""),"Ihr Urteilsvermögen verbessern")</f>
        <v>Ihr Urteilsvermögen verbessern</v>
      </c>
      <c r="T10" s="217"/>
      <c r="U10" s="213"/>
      <c r="V10" s="215">
        <f ca="1">IFERROR(__xludf.DUMMYFUNCTION("""COMPUTED_VALUE"""),2205133)</f>
        <v>2205133</v>
      </c>
      <c r="W10" s="215" t="str">
        <f ca="1">IFERROR(__xludf.DUMMYFUNCTION("""COMPUTED_VALUE"""),"Intermediate")</f>
        <v>Intermediate</v>
      </c>
      <c r="X10" s="217" t="str">
        <f ca="1">IFERROR(__xludf.DUMMYFUNCTION("""COMPUTED_VALUE"""),"経営幹部として意思決定を行うには")</f>
        <v>経営幹部として意思決定を行うには</v>
      </c>
      <c r="Y10" s="217"/>
      <c r="Z10" s="213"/>
      <c r="AA10" s="215">
        <f ca="1">IFERROR(__xludf.DUMMYFUNCTION("""COMPUTED_VALUE"""),753083)</f>
        <v>753083</v>
      </c>
      <c r="AB10" s="215" t="str">
        <f ca="1">IFERROR(__xludf.DUMMYFUNCTION("""COMPUTED_VALUE"""),"Intermediate")</f>
        <v>Intermediate</v>
      </c>
      <c r="AC10" s="217" t="str">
        <f ca="1">IFERROR(__xludf.DUMMYFUNCTION("""COMPUTED_VALUE"""),"Tomada de Decisões Executivas")</f>
        <v>Tomada de Decisões Executivas</v>
      </c>
      <c r="AD10" s="217"/>
      <c r="AE10" s="213"/>
      <c r="AF10" s="215">
        <f ca="1">IFERROR(__xludf.DUMMYFUNCTION("""COMPUTED_VALUE"""),5018436)</f>
        <v>5018436</v>
      </c>
      <c r="AG10" s="215" t="str">
        <f ca="1">IFERROR(__xludf.DUMMYFUNCTION("""COMPUTED_VALUE"""),"All levels")</f>
        <v>All levels</v>
      </c>
      <c r="AH10" s="217" t="str">
        <f ca="1">IFERROR(__xludf.DUMMYFUNCTION("""COMPUTED_VALUE"""),"学习的敏锐度")</f>
        <v>学习的敏锐度</v>
      </c>
      <c r="AI10" s="217"/>
      <c r="AJ10" s="213"/>
    </row>
    <row r="11" spans="1:36" ht="33.75" customHeight="1">
      <c r="A11" s="213"/>
      <c r="B11" s="214">
        <f ca="1">IFERROR(__xludf.DUMMYFUNCTION("""COMPUTED_VALUE"""),2883063)</f>
        <v>2883063</v>
      </c>
      <c r="C11" s="215" t="str">
        <f ca="1">IFERROR(__xludf.DUMMYFUNCTION("""COMPUTED_VALUE"""),"Intermediate")</f>
        <v>Intermediate</v>
      </c>
      <c r="D11" s="216" t="str">
        <f ca="1">IFERROR(__xludf.DUMMYFUNCTION("""COMPUTED_VALUE"""),"Developing a Critical Thinking Mindset")</f>
        <v>Developing a Critical Thinking Mindset</v>
      </c>
      <c r="E11" s="217"/>
      <c r="F11" s="213"/>
      <c r="G11" s="214">
        <f ca="1">IFERROR(__xludf.DUMMYFUNCTION("""COMPUTED_VALUE"""),511184)</f>
        <v>511184</v>
      </c>
      <c r="H11" s="215" t="str">
        <f ca="1">IFERROR(__xludf.DUMMYFUNCTION("""COMPUTED_VALUE"""),"All levels")</f>
        <v>All levels</v>
      </c>
      <c r="I11" s="217" t="str">
        <f ca="1">IFERROR(__xludf.DUMMYFUNCTION("""COMPUTED_VALUE"""),"Développer la résilience")</f>
        <v>Développer la résilience</v>
      </c>
      <c r="J11" s="217"/>
      <c r="K11" s="213"/>
      <c r="L11" s="215">
        <f ca="1">IFERROR(__xludf.DUMMYFUNCTION("""COMPUTED_VALUE"""),714740)</f>
        <v>714740</v>
      </c>
      <c r="M11" s="215" t="str">
        <f ca="1">IFERROR(__xludf.DUMMYFUNCTION("""COMPUTED_VALUE"""),"Beginner")</f>
        <v>Beginner</v>
      </c>
      <c r="N11" s="217" t="str">
        <f ca="1">IFERROR(__xludf.DUMMYFUNCTION("""COMPUTED_VALUE"""),"Cómo y por qué desarrollar una mentalidad de aprendizaje continuo")</f>
        <v>Cómo y por qué desarrollar una mentalidad de aprendizaje continuo</v>
      </c>
      <c r="O11" s="217"/>
      <c r="P11" s="213"/>
      <c r="Q11" s="215">
        <f ca="1">IFERROR(__xludf.DUMMYFUNCTION("""COMPUTED_VALUE"""),649166)</f>
        <v>649166</v>
      </c>
      <c r="R11" s="215" t="str">
        <f ca="1">IFERROR(__xludf.DUMMYFUNCTION("""COMPUTED_VALUE"""),"All levels")</f>
        <v>All levels</v>
      </c>
      <c r="S11" s="217" t="str">
        <f ca="1">IFERROR(__xludf.DUMMYFUNCTION("""COMPUTED_VALUE"""),"Kritisches Denken")</f>
        <v>Kritisches Denken</v>
      </c>
      <c r="T11" s="217"/>
      <c r="U11" s="213"/>
      <c r="V11" s="215">
        <f ca="1">IFERROR(__xludf.DUMMYFUNCTION("""COMPUTED_VALUE"""),5029082)</f>
        <v>5029082</v>
      </c>
      <c r="W11" s="215" t="str">
        <f ca="1">IFERROR(__xludf.DUMMYFUNCTION("""COMPUTED_VALUE"""),"All levels")</f>
        <v>All levels</v>
      </c>
      <c r="X11" s="217" t="str">
        <f ca="1">IFERROR(__xludf.DUMMYFUNCTION("""COMPUTED_VALUE"""),"適切な意思決定をするには")</f>
        <v>適切な意思決定をするには</v>
      </c>
      <c r="Y11" s="217"/>
      <c r="Z11" s="213"/>
      <c r="AA11" s="215">
        <f ca="1">IFERROR(__xludf.DUMMYFUNCTION("""COMPUTED_VALUE"""),778027)</f>
        <v>778027</v>
      </c>
      <c r="AB11" s="215" t="str">
        <f ca="1">IFERROR(__xludf.DUMMYFUNCTION("""COMPUTED_VALUE"""),"Beginner")</f>
        <v>Beginner</v>
      </c>
      <c r="AC11" s="217" t="str">
        <f ca="1">IFERROR(__xludf.DUMMYFUNCTION("""COMPUTED_VALUE"""),"Pensamento Estratégico")</f>
        <v>Pensamento Estratégico</v>
      </c>
      <c r="AD11" s="217"/>
      <c r="AE11" s="213"/>
      <c r="AF11" s="215">
        <f ca="1">IFERROR(__xludf.DUMMYFUNCTION("""COMPUTED_VALUE"""),2822703)</f>
        <v>2822703</v>
      </c>
      <c r="AG11" s="215" t="str">
        <f ca="1">IFERROR(__xludf.DUMMYFUNCTION("""COMPUTED_VALUE"""),"Beginner")</f>
        <v>Beginner</v>
      </c>
      <c r="AH11" s="217" t="str">
        <f ca="1">IFERROR(__xludf.DUMMYFUNCTION("""COMPUTED_VALUE"""),"建立自信")</f>
        <v>建立自信</v>
      </c>
      <c r="AI11" s="217"/>
      <c r="AJ11" s="213"/>
    </row>
    <row r="12" spans="1:36" ht="33.75" customHeight="1">
      <c r="A12" s="213"/>
      <c r="B12" s="214">
        <f ca="1">IFERROR(__xludf.DUMMYFUNCTION("""COMPUTED_VALUE"""),685022)</f>
        <v>685022</v>
      </c>
      <c r="C12" s="215" t="str">
        <f ca="1">IFERROR(__xludf.DUMMYFUNCTION("""COMPUTED_VALUE"""),"Intermediate")</f>
        <v>Intermediate</v>
      </c>
      <c r="D12" s="216" t="str">
        <f ca="1">IFERROR(__xludf.DUMMYFUNCTION("""COMPUTED_VALUE"""),"Using Questions to Foster Critical Thinking and Curiosity")</f>
        <v>Using Questions to Foster Critical Thinking and Curiosity</v>
      </c>
      <c r="E12" s="217"/>
      <c r="F12" s="213"/>
      <c r="G12" s="214">
        <f ca="1">IFERROR(__xludf.DUMMYFUNCTION("""COMPUTED_VALUE"""),3054062)</f>
        <v>3054062</v>
      </c>
      <c r="H12" s="215" t="str">
        <f ca="1">IFERROR(__xludf.DUMMYFUNCTION("""COMPUTED_VALUE"""),"All levels")</f>
        <v>All levels</v>
      </c>
      <c r="I12" s="217" t="str">
        <f ca="1">IFERROR(__xludf.DUMMYFUNCTION("""COMPUTED_VALUE"""),"Développer son agilité cérébrale")</f>
        <v>Développer son agilité cérébrale</v>
      </c>
      <c r="J12" s="217"/>
      <c r="K12" s="213"/>
      <c r="L12" s="215">
        <f ca="1">IFERROR(__xludf.DUMMYFUNCTION("""COMPUTED_VALUE"""),508725)</f>
        <v>508725</v>
      </c>
      <c r="M12" s="215" t="str">
        <f ca="1">IFERROR(__xludf.DUMMYFUNCTION("""COMPUTED_VALUE"""),"Beginner, Intermediate")</f>
        <v>Beginner, Intermediate</v>
      </c>
      <c r="N12" s="217" t="str">
        <f ca="1">IFERROR(__xludf.DUMMYFUNCTION("""COMPUTED_VALUE"""),"Del victimismo a la acción: Asume el control")</f>
        <v>Del victimismo a la acción: Asume el control</v>
      </c>
      <c r="O12" s="217"/>
      <c r="P12" s="213"/>
      <c r="Q12" s="215">
        <f ca="1">IFERROR(__xludf.DUMMYFUNCTION("""COMPUTED_VALUE"""),2892046)</f>
        <v>2892046</v>
      </c>
      <c r="R12" s="215" t="str">
        <f ca="1">IFERROR(__xludf.DUMMYFUNCTION("""COMPUTED_VALUE"""),"Advanced")</f>
        <v>Advanced</v>
      </c>
      <c r="S12" s="217" t="str">
        <f ca="1">IFERROR(__xludf.DUMMYFUNCTION("""COMPUTED_VALUE"""),"Kritisches Denken für besseres Urteilsvermögen und bessere Entscheidungsfindung")</f>
        <v>Kritisches Denken für besseres Urteilsvermögen und bessere Entscheidungsfindung</v>
      </c>
      <c r="T12" s="217"/>
      <c r="U12" s="213"/>
      <c r="V12" s="215"/>
      <c r="W12" s="215"/>
      <c r="X12" s="217"/>
      <c r="Y12" s="217"/>
      <c r="Z12" s="213"/>
      <c r="AA12" s="215">
        <f ca="1">IFERROR(__xludf.DUMMYFUNCTION("""COMPUTED_VALUE"""),733879)</f>
        <v>733879</v>
      </c>
      <c r="AB12" s="215" t="str">
        <f ca="1">IFERROR(__xludf.DUMMYFUNCTION("""COMPUTED_VALUE"""),"All levels")</f>
        <v>All levels</v>
      </c>
      <c r="AC12" s="217" t="str">
        <f ca="1">IFERROR(__xludf.DUMMYFUNCTION("""COMPUTED_VALUE"""),"Como Influenciar as Pessoas")</f>
        <v>Como Influenciar as Pessoas</v>
      </c>
      <c r="AD12" s="217"/>
      <c r="AE12" s="213"/>
      <c r="AF12" s="215">
        <f ca="1">IFERROR(__xludf.DUMMYFUNCTION("""COMPUTED_VALUE"""),730570)</f>
        <v>730570</v>
      </c>
      <c r="AG12" s="215" t="str">
        <f ca="1">IFERROR(__xludf.DUMMYFUNCTION("""COMPUTED_VALUE"""),"All levels")</f>
        <v>All levels</v>
      </c>
      <c r="AH12" s="217" t="str">
        <f ca="1">IFERROR(__xludf.DUMMYFUNCTION("""COMPUTED_VALUE"""),"影响他人")</f>
        <v>影响他人</v>
      </c>
      <c r="AI12" s="217"/>
      <c r="AJ12" s="213"/>
    </row>
    <row r="13" spans="1:36" ht="33.75" customHeight="1">
      <c r="A13" s="213"/>
      <c r="B13" s="214">
        <f ca="1">IFERROR(__xludf.DUMMYFUNCTION("""COMPUTED_VALUE"""),2833051)</f>
        <v>2833051</v>
      </c>
      <c r="C13" s="215" t="str">
        <f ca="1">IFERROR(__xludf.DUMMYFUNCTION("""COMPUTED_VALUE"""),"Intermediate")</f>
        <v>Intermediate</v>
      </c>
      <c r="D13" s="216" t="str">
        <f ca="1">IFERROR(__xludf.DUMMYFUNCTION("""COMPUTED_VALUE"""),"Making Key Decisions as a Manager")</f>
        <v>Making Key Decisions as a Manager</v>
      </c>
      <c r="E13" s="217"/>
      <c r="F13" s="213"/>
      <c r="G13" s="214">
        <f ca="1">IFERROR(__xludf.DUMMYFUNCTION("""COMPUTED_VALUE"""),575896)</f>
        <v>575896</v>
      </c>
      <c r="H13" s="215" t="str">
        <f ca="1">IFERROR(__xludf.DUMMYFUNCTION("""COMPUTED_VALUE"""),"All levels")</f>
        <v>All levels</v>
      </c>
      <c r="I13" s="217" t="str">
        <f ca="1">IFERROR(__xludf.DUMMYFUNCTION("""COMPUTED_VALUE"""),"Développer son esprit critique")</f>
        <v>Développer son esprit critique</v>
      </c>
      <c r="J13" s="217"/>
      <c r="K13" s="213"/>
      <c r="L13" s="215">
        <f ca="1">IFERROR(__xludf.DUMMYFUNCTION("""COMPUTED_VALUE"""),2841040)</f>
        <v>2841040</v>
      </c>
      <c r="M13" s="215" t="str">
        <f ca="1">IFERROR(__xludf.DUMMYFUNCTION("""COMPUTED_VALUE"""),"Beginner, Intermediate")</f>
        <v>Beginner, Intermediate</v>
      </c>
      <c r="N13" s="217" t="str">
        <f ca="1">IFERROR(__xludf.DUMMYFUNCTION("""COMPUTED_VALUE"""),"Estrategias para salir de una crisis empresarial")</f>
        <v>Estrategias para salir de una crisis empresarial</v>
      </c>
      <c r="O13" s="217"/>
      <c r="P13" s="213"/>
      <c r="Q13" s="215">
        <f ca="1">IFERROR(__xludf.DUMMYFUNCTION("""COMPUTED_VALUE"""),3103623)</f>
        <v>3103623</v>
      </c>
      <c r="R13" s="215" t="str">
        <f ca="1">IFERROR(__xludf.DUMMYFUNCTION("""COMPUTED_VALUE"""),"All levels")</f>
        <v>All levels</v>
      </c>
      <c r="S13" s="217" t="str">
        <f ca="1">IFERROR(__xludf.DUMMYFUNCTION("""COMPUTED_VALUE"""),"Mentale Stärke für mehr Erfolg im Beruf")</f>
        <v>Mentale Stärke für mehr Erfolg im Beruf</v>
      </c>
      <c r="T13" s="217"/>
      <c r="U13" s="213"/>
      <c r="V13" s="215"/>
      <c r="W13" s="215"/>
      <c r="X13" s="217"/>
      <c r="Y13" s="217"/>
      <c r="Z13" s="213"/>
      <c r="AA13" s="215">
        <f ca="1">IFERROR(__xludf.DUMMYFUNCTION("""COMPUTED_VALUE"""),753205)</f>
        <v>753205</v>
      </c>
      <c r="AB13" s="215" t="str">
        <f ca="1">IFERROR(__xludf.DUMMYFUNCTION("""COMPUTED_VALUE"""),"All levels")</f>
        <v>All levels</v>
      </c>
      <c r="AC13" s="217" t="str">
        <f ca="1">IFERROR(__xludf.DUMMYFUNCTION("""COMPUTED_VALUE"""),"Como Obter Aprovação para suas Ideias")</f>
        <v>Como Obter Aprovação para suas Ideias</v>
      </c>
      <c r="AD13" s="217"/>
      <c r="AE13" s="213"/>
      <c r="AF13" s="215">
        <f ca="1">IFERROR(__xludf.DUMMYFUNCTION("""COMPUTED_VALUE"""),2252268)</f>
        <v>2252268</v>
      </c>
      <c r="AG13" s="215" t="str">
        <f ca="1">IFERROR(__xludf.DUMMYFUNCTION("""COMPUTED_VALUE"""),"Beginner")</f>
        <v>Beginner</v>
      </c>
      <c r="AH13" s="217" t="str">
        <f ca="1">IFERROR(__xludf.DUMMYFUNCTION("""COMPUTED_VALUE"""),"战略思维")</f>
        <v>战略思维</v>
      </c>
      <c r="AI13" s="217"/>
      <c r="AJ13" s="213"/>
    </row>
    <row r="14" spans="1:36" ht="33.75" customHeight="1">
      <c r="A14" s="213"/>
      <c r="B14" s="214">
        <f ca="1">IFERROR(__xludf.DUMMYFUNCTION("""COMPUTED_VALUE"""),778180)</f>
        <v>778180</v>
      </c>
      <c r="C14" s="215" t="str">
        <f ca="1">IFERROR(__xludf.DUMMYFUNCTION("""COMPUTED_VALUE"""),"Intermediate")</f>
        <v>Intermediate</v>
      </c>
      <c r="D14" s="216" t="str">
        <f ca="1">IFERROR(__xludf.DUMMYFUNCTION("""COMPUTED_VALUE"""),"Leading with Intelligent Disobedience")</f>
        <v>Leading with Intelligent Disobedience</v>
      </c>
      <c r="E14" s="217"/>
      <c r="F14" s="213"/>
      <c r="G14" s="214">
        <f ca="1">IFERROR(__xludf.DUMMYFUNCTION("""COMPUTED_VALUE"""),778444)</f>
        <v>778444</v>
      </c>
      <c r="H14" s="215" t="str">
        <f ca="1">IFERROR(__xludf.DUMMYFUNCTION("""COMPUTED_VALUE"""),"All levels")</f>
        <v>All levels</v>
      </c>
      <c r="I14" s="217" t="str">
        <f ca="1">IFERROR(__xludf.DUMMYFUNCTION("""COMPUTED_VALUE"""),"Développer un état d'esprit d'apprenant")</f>
        <v>Développer un état d'esprit d'apprenant</v>
      </c>
      <c r="J14" s="217"/>
      <c r="K14" s="213"/>
      <c r="L14" s="215">
        <f ca="1">IFERROR(__xludf.DUMMYFUNCTION("""COMPUTED_VALUE"""),479575)</f>
        <v>479575</v>
      </c>
      <c r="M14" s="215" t="str">
        <f ca="1">IFERROR(__xludf.DUMMYFUNCTION("""COMPUTED_VALUE"""),"All levels")</f>
        <v>All levels</v>
      </c>
      <c r="N14" s="217" t="str">
        <f ca="1">IFERROR(__xludf.DUMMYFUNCTION("""COMPUTED_VALUE"""),"Estrategias para tomar decisiones")</f>
        <v>Estrategias para tomar decisiones</v>
      </c>
      <c r="O14" s="217"/>
      <c r="P14" s="213"/>
      <c r="Q14" s="215">
        <f ca="1">IFERROR(__xludf.DUMMYFUNCTION("""COMPUTED_VALUE"""),2835056)</f>
        <v>2835056</v>
      </c>
      <c r="R14" s="215" t="str">
        <f ca="1">IFERROR(__xludf.DUMMYFUNCTION("""COMPUTED_VALUE"""),"Intermediate")</f>
        <v>Intermediate</v>
      </c>
      <c r="S14" s="217" t="str">
        <f ca="1">IFERROR(__xludf.DUMMYFUNCTION("""COMPUTED_VALUE"""),"Mit Fragen kritisches Denken und Neugierde fördern")</f>
        <v>Mit Fragen kritisches Denken und Neugierde fördern</v>
      </c>
      <c r="T14" s="217"/>
      <c r="U14" s="213"/>
      <c r="V14" s="215"/>
      <c r="W14" s="215"/>
      <c r="X14" s="217"/>
      <c r="Y14" s="217"/>
      <c r="Z14" s="213"/>
      <c r="AA14" s="215">
        <f ca="1">IFERROR(__xludf.DUMMYFUNCTION("""COMPUTED_VALUE"""),2928584)</f>
        <v>2928584</v>
      </c>
      <c r="AB14" s="215" t="str">
        <f ca="1">IFERROR(__xludf.DUMMYFUNCTION("""COMPUTED_VALUE"""),"Beginner + Intermediate")</f>
        <v>Beginner + Intermediate</v>
      </c>
      <c r="AC14" s="217" t="str">
        <f ca="1">IFERROR(__xludf.DUMMYFUNCTION("""COMPUTED_VALUE"""),"Da Vitimização à Ação: Como Assumir o Controle")</f>
        <v>Da Vitimização à Ação: Como Assumir o Controle</v>
      </c>
      <c r="AD14" s="217"/>
      <c r="AE14" s="213"/>
      <c r="AF14" s="215">
        <f ca="1">IFERROR(__xludf.DUMMYFUNCTION("""COMPUTED_VALUE"""),767912)</f>
        <v>767912</v>
      </c>
      <c r="AG14" s="215" t="str">
        <f ca="1">IFERROR(__xludf.DUMMYFUNCTION("""COMPUTED_VALUE"""),"All levels")</f>
        <v>All levels</v>
      </c>
      <c r="AH14" s="217" t="str">
        <f ca="1">IFERROR(__xludf.DUMMYFUNCTION("""COMPUTED_VALUE"""),"批判性思维")</f>
        <v>批判性思维</v>
      </c>
      <c r="AI14" s="217"/>
      <c r="AJ14" s="213"/>
    </row>
    <row r="15" spans="1:36" ht="33.75" customHeight="1">
      <c r="A15" s="213"/>
      <c r="B15" s="214">
        <f ca="1">IFERROR(__xludf.DUMMYFUNCTION("""COMPUTED_VALUE"""),3156782)</f>
        <v>3156782</v>
      </c>
      <c r="C15" s="215" t="str">
        <f ca="1">IFERROR(__xludf.DUMMYFUNCTION("""COMPUTED_VALUE"""),"Intermediate")</f>
        <v>Intermediate</v>
      </c>
      <c r="D15" s="216" t="str">
        <f ca="1">IFERROR(__xludf.DUMMYFUNCTION("""COMPUTED_VALUE"""),"Crafting Questions to Make Better Decisions")</f>
        <v>Crafting Questions to Make Better Decisions</v>
      </c>
      <c r="E15" s="217"/>
      <c r="F15" s="213"/>
      <c r="G15" s="214">
        <f ca="1">IFERROR(__xludf.DUMMYFUNCTION("""COMPUTED_VALUE"""),2833062)</f>
        <v>2833062</v>
      </c>
      <c r="H15" s="215" t="str">
        <f ca="1">IFERROR(__xludf.DUMMYFUNCTION("""COMPUTED_VALUE"""),"Intermediate")</f>
        <v>Intermediate</v>
      </c>
      <c r="I15" s="217" t="str">
        <f ca="1">IFERROR(__xludf.DUMMYFUNCTION("""COMPUTED_VALUE"""),"Devenir un leader d'opinion")</f>
        <v>Devenir un leader d'opinion</v>
      </c>
      <c r="J15" s="217"/>
      <c r="K15" s="213"/>
      <c r="L15" s="215">
        <f ca="1">IFERROR(__xludf.DUMMYFUNCTION("""COMPUTED_VALUE"""),502996)</f>
        <v>502996</v>
      </c>
      <c r="M15" s="215" t="str">
        <f ca="1">IFERROR(__xludf.DUMMYFUNCTION("""COMPUTED_VALUE"""),"All levels")</f>
        <v>All levels</v>
      </c>
      <c r="N15" s="217" t="str">
        <f ca="1">IFERROR(__xludf.DUMMYFUNCTION("""COMPUTED_VALUE"""),"Fred Kofman y la gestión de conflictos")</f>
        <v>Fred Kofman y la gestión de conflictos</v>
      </c>
      <c r="O15" s="217"/>
      <c r="P15" s="213"/>
      <c r="Q15" s="215">
        <f ca="1">IFERROR(__xludf.DUMMYFUNCTION("""COMPUTED_VALUE"""),3206018)</f>
        <v>3206018</v>
      </c>
      <c r="R15" s="215" t="str">
        <f ca="1">IFERROR(__xludf.DUMMYFUNCTION("""COMPUTED_VALUE"""),"All levels")</f>
        <v>All levels</v>
      </c>
      <c r="S15" s="217" t="str">
        <f ca="1">IFERROR(__xludf.DUMMYFUNCTION("""COMPUTED_VALUE"""),"Probleme konfliktfrei lösen mit Inspektor Columbo (Columbos Regeln®)")</f>
        <v>Probleme konfliktfrei lösen mit Inspektor Columbo (Columbos Regeln®)</v>
      </c>
      <c r="T15" s="217"/>
      <c r="U15" s="213"/>
      <c r="V15" s="215"/>
      <c r="W15" s="215"/>
      <c r="X15" s="217"/>
      <c r="Y15" s="217"/>
      <c r="Z15" s="213"/>
      <c r="AA15" s="215">
        <f ca="1">IFERROR(__xludf.DUMMYFUNCTION("""COMPUTED_VALUE"""),2282124)</f>
        <v>2282124</v>
      </c>
      <c r="AB15" s="215" t="str">
        <f ca="1">IFERROR(__xludf.DUMMYFUNCTION("""COMPUTED_VALUE"""),"Beginner")</f>
        <v>Beginner</v>
      </c>
      <c r="AC15" s="217" t="str">
        <f ca="1">IFERROR(__xludf.DUMMYFUNCTION("""COMPUTED_VALUE"""),"Como Desenvolver a Autoconfiança")</f>
        <v>Como Desenvolver a Autoconfiança</v>
      </c>
      <c r="AD15" s="217"/>
      <c r="AE15" s="213"/>
      <c r="AF15" s="215">
        <f ca="1">IFERROR(__xludf.DUMMYFUNCTION("""COMPUTED_VALUE"""),2883004)</f>
        <v>2883004</v>
      </c>
      <c r="AG15" s="215" t="str">
        <f ca="1">IFERROR(__xludf.DUMMYFUNCTION("""COMPUTED_VALUE"""),"Advanced")</f>
        <v>Advanced</v>
      </c>
      <c r="AH15" s="217" t="str">
        <f ca="1">IFERROR(__xludf.DUMMYFUNCTION("""COMPUTED_VALUE"""),"批判性思维：提高判断与决策力")</f>
        <v>批判性思维：提高判断与决策力</v>
      </c>
      <c r="AI15" s="217"/>
      <c r="AJ15" s="213"/>
    </row>
    <row r="16" spans="1:36" ht="33.75" customHeight="1">
      <c r="A16" s="213"/>
      <c r="B16" s="214">
        <f ca="1">IFERROR(__xludf.DUMMYFUNCTION("""COMPUTED_VALUE"""),3000781)</f>
        <v>3000781</v>
      </c>
      <c r="C16" s="215" t="str">
        <f ca="1">IFERROR(__xludf.DUMMYFUNCTION("""COMPUTED_VALUE"""),"General")</f>
        <v>General</v>
      </c>
      <c r="D16" s="216" t="str">
        <f ca="1">IFERROR(__xludf.DUMMYFUNCTION("""COMPUTED_VALUE"""),"The Secret to Better Decisions: Stop Hoarding Chips")</f>
        <v>The Secret to Better Decisions: Stop Hoarding Chips</v>
      </c>
      <c r="E16" s="217"/>
      <c r="F16" s="213"/>
      <c r="G16" s="214">
        <f ca="1">IFERROR(__xludf.DUMMYFUNCTION("""COMPUTED_VALUE"""),583591)</f>
        <v>583591</v>
      </c>
      <c r="H16" s="215" t="str">
        <f ca="1">IFERROR(__xludf.DUMMYFUNCTION("""COMPUTED_VALUE"""),"All levels")</f>
        <v>All levels</v>
      </c>
      <c r="I16" s="217" t="str">
        <f ca="1">IFERROR(__xludf.DUMMYFUNCTION("""COMPUTED_VALUE"""),"Faire approuver ses idées")</f>
        <v>Faire approuver ses idées</v>
      </c>
      <c r="J16" s="217"/>
      <c r="K16" s="213"/>
      <c r="L16" s="215">
        <f ca="1">IFERROR(__xludf.DUMMYFUNCTION("""COMPUTED_VALUE"""),631125)</f>
        <v>631125</v>
      </c>
      <c r="M16" s="215" t="str">
        <f ca="1">IFERROR(__xludf.DUMMYFUNCTION("""COMPUTED_VALUE"""),"All levels")</f>
        <v>All levels</v>
      </c>
      <c r="N16" s="217" t="str">
        <f ca="1">IFERROR(__xludf.DUMMYFUNCTION("""COMPUTED_VALUE"""),"Fundamentos de la resolución de conflictos")</f>
        <v>Fundamentos de la resolución de conflictos</v>
      </c>
      <c r="O16" s="217"/>
      <c r="P16" s="213"/>
      <c r="Q16" s="215">
        <f ca="1">IFERROR(__xludf.DUMMYFUNCTION("""COMPUTED_VALUE"""),703225)</f>
        <v>703225</v>
      </c>
      <c r="R16" s="215" t="str">
        <f ca="1">IFERROR(__xludf.DUMMYFUNCTION("""COMPUTED_VALUE"""),"Intermediate")</f>
        <v>Intermediate</v>
      </c>
      <c r="S16" s="217" t="str">
        <f ca="1">IFERROR(__xludf.DUMMYFUNCTION("""COMPUTED_VALUE"""),"Strategisches Denken und Handeln für Führungskräfte")</f>
        <v>Strategisches Denken und Handeln für Führungskräfte</v>
      </c>
      <c r="T16" s="217"/>
      <c r="U16" s="213"/>
      <c r="V16" s="215"/>
      <c r="W16" s="215"/>
      <c r="X16" s="217"/>
      <c r="Y16" s="217"/>
      <c r="Z16" s="213"/>
      <c r="AA16" s="215">
        <f ca="1">IFERROR(__xludf.DUMMYFUNCTION("""COMPUTED_VALUE"""),2929567)</f>
        <v>2929567</v>
      </c>
      <c r="AB16" s="215" t="str">
        <f ca="1">IFERROR(__xludf.DUMMYFUNCTION("""COMPUTED_VALUE"""),"Beginner")</f>
        <v>Beginner</v>
      </c>
      <c r="AC16" s="217" t="str">
        <f ca="1">IFERROR(__xludf.DUMMYFUNCTION("""COMPUTED_VALUE"""),"Como Desenvolver a Autoliderança")</f>
        <v>Como Desenvolver a Autoliderança</v>
      </c>
      <c r="AD16" s="217"/>
      <c r="AE16" s="213"/>
      <c r="AF16" s="215">
        <f ca="1">IFERROR(__xludf.DUMMYFUNCTION("""COMPUTED_VALUE"""),5001654)</f>
        <v>5001654</v>
      </c>
      <c r="AG16" s="215" t="str">
        <f ca="1">IFERROR(__xludf.DUMMYFUNCTION("""COMPUTED_VALUE"""),"All levels")</f>
        <v>All levels</v>
      </c>
      <c r="AH16" s="217" t="str">
        <f ca="1">IFERROR(__xludf.DUMMYFUNCTION("""COMPUTED_VALUE"""),"提高专注力")</f>
        <v>提高专注力</v>
      </c>
      <c r="AI16" s="217"/>
      <c r="AJ16" s="213"/>
    </row>
    <row r="17" spans="1:36" ht="33.75" customHeight="1">
      <c r="A17" s="213"/>
      <c r="B17" s="214">
        <f ca="1">IFERROR(__xludf.DUMMYFUNCTION("""COMPUTED_VALUE"""),2813143)</f>
        <v>2813143</v>
      </c>
      <c r="C17" s="215" t="str">
        <f ca="1">IFERROR(__xludf.DUMMYFUNCTION("""COMPUTED_VALUE"""),"Advanced")</f>
        <v>Advanced</v>
      </c>
      <c r="D17" s="216" t="str">
        <f ca="1">IFERROR(__xludf.DUMMYFUNCTION("""COMPUTED_VALUE"""),"Critical Thinking for Better Judgment and Decision-Making")</f>
        <v>Critical Thinking for Better Judgment and Decision-Making</v>
      </c>
      <c r="E17" s="217"/>
      <c r="F17" s="213"/>
      <c r="G17" s="214">
        <f ca="1">IFERROR(__xludf.DUMMYFUNCTION("""COMPUTED_VALUE"""),561059)</f>
        <v>561059</v>
      </c>
      <c r="H17" s="215" t="str">
        <f ca="1">IFERROR(__xludf.DUMMYFUNCTION("""COMPUTED_VALUE"""),"All levels")</f>
        <v>All levels</v>
      </c>
      <c r="I17" s="217" t="str">
        <f ca="1">IFERROR(__xludf.DUMMYFUNCTION("""COMPUTED_VALUE"""),"Influencer les autres")</f>
        <v>Influencer les autres</v>
      </c>
      <c r="J17" s="217"/>
      <c r="K17" s="213"/>
      <c r="L17" s="215">
        <f ca="1">IFERROR(__xludf.DUMMYFUNCTION("""COMPUTED_VALUE"""),651774)</f>
        <v>651774</v>
      </c>
      <c r="M17" s="215" t="str">
        <f ca="1">IFERROR(__xludf.DUMMYFUNCTION("""COMPUTED_VALUE"""),"Intermediate")</f>
        <v>Intermediate</v>
      </c>
      <c r="N17" s="217" t="str">
        <f ca="1">IFERROR(__xludf.DUMMYFUNCTION("""COMPUTED_VALUE"""),"Gestión de proyectos: Resolución de problemas")</f>
        <v>Gestión de proyectos: Resolución de problemas</v>
      </c>
      <c r="O17" s="217"/>
      <c r="P17" s="213"/>
      <c r="Q17" s="215">
        <f ca="1">IFERROR(__xludf.DUMMYFUNCTION("""COMPUTED_VALUE"""),544923)</f>
        <v>544923</v>
      </c>
      <c r="R17" s="215" t="str">
        <f ca="1">IFERROR(__xludf.DUMMYFUNCTION("""COMPUTED_VALUE"""),"All levels")</f>
        <v>All levels</v>
      </c>
      <c r="S17" s="217" t="str">
        <f ca="1">IFERROR(__xludf.DUMMYFUNCTION("""COMPUTED_VALUE"""),"Systemisch denken, fragen und handeln – eine Einführung")</f>
        <v>Systemisch denken, fragen und handeln – eine Einführung</v>
      </c>
      <c r="T17" s="217"/>
      <c r="U17" s="213"/>
      <c r="V17" s="215"/>
      <c r="W17" s="215"/>
      <c r="X17" s="217"/>
      <c r="Y17" s="217"/>
      <c r="Z17" s="213"/>
      <c r="AA17" s="215">
        <f ca="1">IFERROR(__xludf.DUMMYFUNCTION("""COMPUTED_VALUE"""),753101)</f>
        <v>753101</v>
      </c>
      <c r="AB17" s="215" t="str">
        <f ca="1">IFERROR(__xludf.DUMMYFUNCTION("""COMPUTED_VALUE"""),"All levels")</f>
        <v>All levels</v>
      </c>
      <c r="AC17" s="217" t="str">
        <f ca="1">IFERROR(__xludf.DUMMYFUNCTION("""COMPUTED_VALUE"""),"Como Desenvolver a Resiliência")</f>
        <v>Como Desenvolver a Resiliência</v>
      </c>
      <c r="AD17" s="217"/>
      <c r="AE17" s="213"/>
      <c r="AF17" s="215">
        <f ca="1">IFERROR(__xludf.DUMMYFUNCTION("""COMPUTED_VALUE"""),779391)</f>
        <v>779391</v>
      </c>
      <c r="AG17" s="215" t="str">
        <f ca="1">IFERROR(__xludf.DUMMYFUNCTION("""COMPUTED_VALUE"""),"All levels")</f>
        <v>All levels</v>
      </c>
      <c r="AH17" s="217" t="str">
        <f ca="1">IFERROR(__xludf.DUMMYFUNCTION("""COMPUTED_VALUE"""),"提高判断力")</f>
        <v>提高判断力</v>
      </c>
      <c r="AI17" s="217"/>
      <c r="AJ17" s="213"/>
    </row>
    <row r="18" spans="1:36" ht="33.75" customHeight="1">
      <c r="A18" s="213"/>
      <c r="B18" s="214">
        <f ca="1">IFERROR(__xludf.DUMMYFUNCTION("""COMPUTED_VALUE"""),2851002)</f>
        <v>2851002</v>
      </c>
      <c r="C18" s="215" t="str">
        <f ca="1">IFERROR(__xludf.DUMMYFUNCTION("""COMPUTED_VALUE"""),"Advanced")</f>
        <v>Advanced</v>
      </c>
      <c r="D18" s="216" t="str">
        <f ca="1">IFERROR(__xludf.DUMMYFUNCTION("""COMPUTED_VALUE"""),"Privacy in the New World of Work")</f>
        <v>Privacy in the New World of Work</v>
      </c>
      <c r="E18" s="217"/>
      <c r="F18" s="213"/>
      <c r="G18" s="214">
        <f ca="1">IFERROR(__xludf.DUMMYFUNCTION("""COMPUTED_VALUE"""),2393118)</f>
        <v>2393118</v>
      </c>
      <c r="H18" s="215" t="str">
        <f ca="1">IFERROR(__xludf.DUMMYFUNCTION("""COMPUTED_VALUE"""),"Intermediate")</f>
        <v>Intermediate</v>
      </c>
      <c r="I18" s="217" t="str">
        <f ca="1">IFERROR(__xludf.DUMMYFUNCTION("""COMPUTED_VALUE"""),"La minute de formation : L'amélioration des processus")</f>
        <v>La minute de formation : L'amélioration des processus</v>
      </c>
      <c r="J18" s="217"/>
      <c r="K18" s="213"/>
      <c r="L18" s="215">
        <f ca="1">IFERROR(__xludf.DUMMYFUNCTION("""COMPUTED_VALUE"""),3115669)</f>
        <v>3115669</v>
      </c>
      <c r="M18" s="215" t="str">
        <f ca="1">IFERROR(__xludf.DUMMYFUNCTION("""COMPUTED_VALUE"""),"Beginner, Intermediate")</f>
        <v>Beginner, Intermediate</v>
      </c>
      <c r="N18" s="217" t="str">
        <f ca="1">IFERROR(__xludf.DUMMYFUNCTION("""COMPUTED_VALUE"""),"Gestión del estrés en tiempos de incertidumbre: Vivir o sobrevivir")</f>
        <v>Gestión del estrés en tiempos de incertidumbre: Vivir o sobrevivir</v>
      </c>
      <c r="O18" s="217"/>
      <c r="P18" s="213"/>
      <c r="Q18" s="215">
        <f ca="1">IFERROR(__xludf.DUMMYFUNCTION("""COMPUTED_VALUE"""),2388005)</f>
        <v>2388005</v>
      </c>
      <c r="R18" s="215" t="str">
        <f ca="1">IFERROR(__xludf.DUMMYFUNCTION("""COMPUTED_VALUE"""),"All levels")</f>
        <v>All levels</v>
      </c>
      <c r="S18" s="217" t="str">
        <f ca="1">IFERROR(__xludf.DUMMYFUNCTION("""COMPUTED_VALUE"""),"Techniken zur Problemlösung")</f>
        <v>Techniken zur Problemlösung</v>
      </c>
      <c r="T18" s="217"/>
      <c r="U18" s="213"/>
      <c r="V18" s="215"/>
      <c r="W18" s="215"/>
      <c r="X18" s="217"/>
      <c r="Y18" s="217"/>
      <c r="Z18" s="213"/>
      <c r="AA18" s="215">
        <f ca="1">IFERROR(__xludf.DUMMYFUNCTION("""COMPUTED_VALUE"""),2392460)</f>
        <v>2392460</v>
      </c>
      <c r="AB18" s="215" t="str">
        <f ca="1">IFERROR(__xludf.DUMMYFUNCTION("""COMPUTED_VALUE"""),"Advanced")</f>
        <v>Advanced</v>
      </c>
      <c r="AC18" s="217" t="str">
        <f ca="1">IFERROR(__xludf.DUMMYFUNCTION("""COMPUTED_VALUE"""),"Como Usar o Pensamento Crítico para Refinar o Julgamento e a Tomada de Decisões")</f>
        <v>Como Usar o Pensamento Crítico para Refinar o Julgamento e a Tomada de Decisões</v>
      </c>
      <c r="AD18" s="217"/>
      <c r="AE18" s="213"/>
      <c r="AF18" s="215">
        <f ca="1">IFERROR(__xludf.DUMMYFUNCTION("""COMPUTED_VALUE"""),2257255)</f>
        <v>2257255</v>
      </c>
      <c r="AG18" s="215" t="str">
        <f ca="1">IFERROR(__xludf.DUMMYFUNCTION("""COMPUTED_VALUE"""),"Beginner")</f>
        <v>Beginner</v>
      </c>
      <c r="AH18" s="217" t="str">
        <f ca="1">IFERROR(__xludf.DUMMYFUNCTION("""COMPUTED_VALUE"""),"无意识偏见")</f>
        <v>无意识偏见</v>
      </c>
      <c r="AI18" s="217"/>
      <c r="AJ18" s="213"/>
    </row>
    <row r="19" spans="1:36" ht="33.75" customHeight="1">
      <c r="A19" s="213"/>
      <c r="B19" s="214">
        <f ca="1">IFERROR(__xludf.DUMMYFUNCTION("""COMPUTED_VALUE"""),661751)</f>
        <v>661751</v>
      </c>
      <c r="C19" s="215" t="str">
        <f ca="1">IFERROR(__xludf.DUMMYFUNCTION("""COMPUTED_VALUE"""),"Beginner")</f>
        <v>Beginner</v>
      </c>
      <c r="D19" s="216" t="str">
        <f ca="1">IFERROR(__xludf.DUMMYFUNCTION("""COMPUTED_VALUE"""),"Developing a Learning Mindset")</f>
        <v>Developing a Learning Mindset</v>
      </c>
      <c r="E19" s="217"/>
      <c r="F19" s="213"/>
      <c r="G19" s="214">
        <f ca="1">IFERROR(__xludf.DUMMYFUNCTION("""COMPUTED_VALUE"""),796895)</f>
        <v>796895</v>
      </c>
      <c r="H19" s="215" t="str">
        <f ca="1">IFERROR(__xludf.DUMMYFUNCTION("""COMPUTED_VALUE"""),"Intermediate")</f>
        <v>Intermediate</v>
      </c>
      <c r="I19" s="217" t="str">
        <f ca="1">IFERROR(__xludf.DUMMYFUNCTION("""COMPUTED_VALUE"""),"La réflexion stratégique")</f>
        <v>La réflexion stratégique</v>
      </c>
      <c r="J19" s="217"/>
      <c r="K19" s="213"/>
      <c r="L19" s="215">
        <f ca="1">IFERROR(__xludf.DUMMYFUNCTION("""COMPUTED_VALUE"""),766240)</f>
        <v>766240</v>
      </c>
      <c r="M19" s="215" t="str">
        <f ca="1">IFERROR(__xludf.DUMMYFUNCTION("""COMPUTED_VALUE"""),"All levels")</f>
        <v>All levels</v>
      </c>
      <c r="N19" s="217" t="str">
        <f ca="1">IFERROR(__xludf.DUMMYFUNCTION("""COMPUTED_VALUE"""),"Intrapreneurship y mentalidad de crecimiento")</f>
        <v>Intrapreneurship y mentalidad de crecimiento</v>
      </c>
      <c r="O19" s="217"/>
      <c r="P19" s="213"/>
      <c r="Q19" s="215">
        <f ca="1">IFERROR(__xludf.DUMMYFUNCTION("""COMPUTED_VALUE"""),563971)</f>
        <v>563971</v>
      </c>
      <c r="R19" s="215" t="str">
        <f ca="1">IFERROR(__xludf.DUMMYFUNCTION("""COMPUTED_VALUE"""),"Beginner")</f>
        <v>Beginner</v>
      </c>
      <c r="S19" s="217" t="str">
        <f ca="1">IFERROR(__xludf.DUMMYFUNCTION("""COMPUTED_VALUE"""),"Typische Probleme in Projekten lösen")</f>
        <v>Typische Probleme in Projekten lösen</v>
      </c>
      <c r="T19" s="217"/>
      <c r="U19" s="213"/>
      <c r="V19" s="215"/>
      <c r="W19" s="215"/>
      <c r="X19" s="217"/>
      <c r="Y19" s="217"/>
      <c r="Z19" s="213"/>
      <c r="AA19" s="215"/>
      <c r="AB19" s="215"/>
      <c r="AC19" s="217"/>
      <c r="AD19" s="217"/>
      <c r="AE19" s="213"/>
      <c r="AF19" s="215">
        <f ca="1">IFERROR(__xludf.DUMMYFUNCTION("""COMPUTED_VALUE"""),773687)</f>
        <v>773687</v>
      </c>
      <c r="AG19" s="215" t="str">
        <f ca="1">IFERROR(__xludf.DUMMYFUNCTION("""COMPUTED_VALUE"""),"Beginner")</f>
        <v>Beginner</v>
      </c>
      <c r="AH19" s="217" t="str">
        <f ca="1">IFERROR(__xludf.DUMMYFUNCTION("""COMPUTED_VALUE"""),"流程改进基础知识")</f>
        <v>流程改进基础知识</v>
      </c>
      <c r="AI19" s="217"/>
      <c r="AJ19" s="213"/>
    </row>
    <row r="20" spans="1:36" ht="33.75" customHeight="1">
      <c r="A20" s="213"/>
      <c r="B20" s="214">
        <f ca="1">IFERROR(__xludf.DUMMYFUNCTION("""COMPUTED_VALUE"""),114903)</f>
        <v>114903</v>
      </c>
      <c r="C20" s="215" t="str">
        <f ca="1">IFERROR(__xludf.DUMMYFUNCTION("""COMPUTED_VALUE"""),"Beginner")</f>
        <v>Beginner</v>
      </c>
      <c r="D20" s="216" t="str">
        <f ca="1">IFERROR(__xludf.DUMMYFUNCTION("""COMPUTED_VALUE"""),"Monday Productivity Pointers")</f>
        <v>Monday Productivity Pointers</v>
      </c>
      <c r="E20" s="217"/>
      <c r="F20" s="213"/>
      <c r="G20" s="214">
        <f ca="1">IFERROR(__xludf.DUMMYFUNCTION("""COMPUTED_VALUE"""),707921)</f>
        <v>707921</v>
      </c>
      <c r="H20" s="215" t="str">
        <f ca="1">IFERROR(__xludf.DUMMYFUNCTION("""COMPUTED_VALUE"""),"All levels")</f>
        <v>All levels</v>
      </c>
      <c r="I20" s="217" t="str">
        <f ca="1">IFERROR(__xludf.DUMMYFUNCTION("""COMPUTED_VALUE"""),"Les fondements de l'amélioration des processus")</f>
        <v>Les fondements de l'amélioration des processus</v>
      </c>
      <c r="J20" s="217"/>
      <c r="K20" s="213"/>
      <c r="L20" s="215">
        <f ca="1">IFERROR(__xludf.DUMMYFUNCTION("""COMPUTED_VALUE"""),5025581)</f>
        <v>5025581</v>
      </c>
      <c r="M20" s="215" t="str">
        <f ca="1">IFERROR(__xludf.DUMMYFUNCTION("""COMPUTED_VALUE"""),"Advanced")</f>
        <v>Advanced</v>
      </c>
      <c r="N20" s="217" t="str">
        <f ca="1">IFERROR(__xludf.DUMMYFUNCTION("""COMPUTED_VALUE"""),"Mejora tu competencia en conflictos")</f>
        <v>Mejora tu competencia en conflictos</v>
      </c>
      <c r="O20" s="217"/>
      <c r="P20" s="213"/>
      <c r="Q20" s="215">
        <f ca="1">IFERROR(__xludf.DUMMYFUNCTION("""COMPUTED_VALUE"""),5018536)</f>
        <v>5018536</v>
      </c>
      <c r="R20" s="215" t="str">
        <f ca="1">IFERROR(__xludf.DUMMYFUNCTION("""COMPUTED_VALUE"""),"Beginner")</f>
        <v>Beginner</v>
      </c>
      <c r="S20" s="217" t="str">
        <f ca="1">IFERROR(__xludf.DUMMYFUNCTION("""COMPUTED_VALUE"""),"Unconscious Bias – Unbewusste Denkmuster erkennen und ändern")</f>
        <v>Unconscious Bias – Unbewusste Denkmuster erkennen und ändern</v>
      </c>
      <c r="T20" s="217"/>
      <c r="U20" s="213"/>
      <c r="V20" s="215"/>
      <c r="W20" s="215"/>
      <c r="X20" s="217"/>
      <c r="Y20" s="217"/>
      <c r="Z20" s="213"/>
      <c r="AA20" s="215"/>
      <c r="AB20" s="215"/>
      <c r="AC20" s="217"/>
      <c r="AD20" s="217"/>
      <c r="AE20" s="213"/>
      <c r="AF20" s="215">
        <f ca="1">IFERROR(__xludf.DUMMYFUNCTION("""COMPUTED_VALUE"""),3051375)</f>
        <v>3051375</v>
      </c>
      <c r="AG20" s="215" t="str">
        <f ca="1">IFERROR(__xludf.DUMMYFUNCTION("""COMPUTED_VALUE"""),"All levels")</f>
        <v>All levels</v>
      </c>
      <c r="AH20" s="217" t="str">
        <f ca="1">IFERROR(__xludf.DUMMYFUNCTION("""COMPUTED_VALUE"""),"聪明思维：应对复杂问题")</f>
        <v>聪明思维：应对复杂问题</v>
      </c>
      <c r="AI20" s="217"/>
      <c r="AJ20" s="213"/>
    </row>
    <row r="21" spans="1:36" ht="33.75" customHeight="1">
      <c r="A21" s="213"/>
      <c r="B21" s="214">
        <f ca="1">IFERROR(__xludf.DUMMYFUNCTION("""COMPUTED_VALUE"""),553700)</f>
        <v>553700</v>
      </c>
      <c r="C21" s="215" t="str">
        <f ca="1">IFERROR(__xludf.DUMMYFUNCTION("""COMPUTED_VALUE"""),"Beginner")</f>
        <v>Beginner</v>
      </c>
      <c r="D21" s="216" t="str">
        <f ca="1">IFERROR(__xludf.DUMMYFUNCTION("""COMPUTED_VALUE"""),"Problem Solving Techniques")</f>
        <v>Problem Solving Techniques</v>
      </c>
      <c r="E21" s="217"/>
      <c r="F21" s="213"/>
      <c r="G21" s="214">
        <f ca="1">IFERROR(__xludf.DUMMYFUNCTION("""COMPUTED_VALUE"""),193497)</f>
        <v>193497</v>
      </c>
      <c r="H21" s="215" t="str">
        <f ca="1">IFERROR(__xludf.DUMMYFUNCTION("""COMPUTED_VALUE"""),"All levels")</f>
        <v>All levels</v>
      </c>
      <c r="I21" s="217" t="str">
        <f ca="1">IFERROR(__xludf.DUMMYFUNCTION("""COMPUTED_VALUE"""),"Prendre de bonnes décisions")</f>
        <v>Prendre de bonnes décisions</v>
      </c>
      <c r="J21" s="217"/>
      <c r="K21" s="213"/>
      <c r="L21" s="215">
        <f ca="1">IFERROR(__xludf.DUMMYFUNCTION("""COMPUTED_VALUE"""),403327)</f>
        <v>403327</v>
      </c>
      <c r="M21" s="215" t="str">
        <f ca="1">IFERROR(__xludf.DUMMYFUNCTION("""COMPUTED_VALUE"""),"Beginner")</f>
        <v>Beginner</v>
      </c>
      <c r="N21" s="217" t="str">
        <f ca="1">IFERROR(__xludf.DUMMYFUNCTION("""COMPUTED_VALUE"""),"Pensamiento computacional")</f>
        <v>Pensamiento computacional</v>
      </c>
      <c r="O21" s="217"/>
      <c r="P21" s="213"/>
      <c r="Q21" s="215">
        <f ca="1">IFERROR(__xludf.DUMMYFUNCTION("""COMPUTED_VALUE"""),565181)</f>
        <v>565181</v>
      </c>
      <c r="R21" s="215" t="str">
        <f ca="1">IFERROR(__xludf.DUMMYFUNCTION("""COMPUTED_VALUE"""),"Beginner, Intermediate")</f>
        <v>Beginner, Intermediate</v>
      </c>
      <c r="S21" s="217" t="str">
        <f ca="1">IFERROR(__xludf.DUMMYFUNCTION("""COMPUTED_VALUE"""),"Von Ohnmacht zu Macht: Kontrolle übernehmen")</f>
        <v>Von Ohnmacht zu Macht: Kontrolle übernehmen</v>
      </c>
      <c r="T21" s="217"/>
      <c r="U21" s="213"/>
      <c r="V21" s="215"/>
      <c r="W21" s="215"/>
      <c r="X21" s="217"/>
      <c r="Y21" s="217"/>
      <c r="Z21" s="213"/>
      <c r="AA21" s="215"/>
      <c r="AB21" s="215"/>
      <c r="AC21" s="217"/>
      <c r="AD21" s="217"/>
      <c r="AE21" s="213"/>
      <c r="AF21" s="215">
        <f ca="1">IFERROR(__xludf.DUMMYFUNCTION("""COMPUTED_VALUE"""),2876172)</f>
        <v>2876172</v>
      </c>
      <c r="AG21" s="215" t="str">
        <f ca="1">IFERROR(__xludf.DUMMYFUNCTION("""COMPUTED_VALUE"""),"Intermediate")</f>
        <v>Intermediate</v>
      </c>
      <c r="AH21" s="217" t="str">
        <f ca="1">IFERROR(__xludf.DUMMYFUNCTION("""COMPUTED_VALUE"""),"解决方案销售")</f>
        <v>解决方案销售</v>
      </c>
      <c r="AI21" s="217"/>
      <c r="AJ21" s="213"/>
    </row>
    <row r="22" spans="1:36" ht="33.75" customHeight="1">
      <c r="A22" s="213"/>
      <c r="B22" s="214">
        <f ca="1">IFERROR(__xludf.DUMMYFUNCTION("""COMPUTED_VALUE"""),365729)</f>
        <v>365729</v>
      </c>
      <c r="C22" s="215" t="str">
        <f ca="1">IFERROR(__xludf.DUMMYFUNCTION("""COMPUTED_VALUE"""),"Beginner")</f>
        <v>Beginner</v>
      </c>
      <c r="D22" s="216" t="str">
        <f ca="1">IFERROR(__xludf.DUMMYFUNCTION("""COMPUTED_VALUE"""),"Process Improvement Foundations")</f>
        <v>Process Improvement Foundations</v>
      </c>
      <c r="E22" s="217"/>
      <c r="F22" s="213"/>
      <c r="G22" s="214">
        <f ca="1">IFERROR(__xludf.DUMMYFUNCTION("""COMPUTED_VALUE"""),641776)</f>
        <v>641776</v>
      </c>
      <c r="H22" s="215" t="str">
        <f ca="1">IFERROR(__xludf.DUMMYFUNCTION("""COMPUTED_VALUE"""),"Intermediate")</f>
        <v>Intermediate</v>
      </c>
      <c r="I22" s="217" t="str">
        <f ca="1">IFERROR(__xludf.DUMMYFUNCTION("""COMPUTED_VALUE"""),"Prendre des décisions exécutives")</f>
        <v>Prendre des décisions exécutives</v>
      </c>
      <c r="J22" s="217"/>
      <c r="K22" s="213"/>
      <c r="L22" s="215">
        <f ca="1">IFERROR(__xludf.DUMMYFUNCTION("""COMPUTED_VALUE"""),597560)</f>
        <v>597560</v>
      </c>
      <c r="M22" s="215" t="str">
        <f ca="1">IFERROR(__xludf.DUMMYFUNCTION("""COMPUTED_VALUE"""),"Beginner")</f>
        <v>Beginner</v>
      </c>
      <c r="N22" s="217" t="str">
        <f ca="1">IFERROR(__xludf.DUMMYFUNCTION("""COMPUTED_VALUE"""),"Pensamiento crítico")</f>
        <v>Pensamiento crítico</v>
      </c>
      <c r="O22" s="217"/>
      <c r="P22" s="213"/>
      <c r="Q22" s="215">
        <f ca="1">IFERROR(__xludf.DUMMYFUNCTION("""COMPUTED_VALUE"""),5033458)</f>
        <v>5033458</v>
      </c>
      <c r="R22" s="215" t="str">
        <f ca="1">IFERROR(__xludf.DUMMYFUNCTION("""COMPUTED_VALUE"""),"All levels")</f>
        <v>All levels</v>
      </c>
      <c r="S22" s="217" t="str">
        <f ca="1">IFERROR(__xludf.DUMMYFUNCTION("""COMPUTED_VALUE"""),"Ziele für Mitarbeiter:innen und Teams setzen")</f>
        <v>Ziele für Mitarbeiter:innen und Teams setzen</v>
      </c>
      <c r="T22" s="217"/>
      <c r="U22" s="213"/>
      <c r="V22" s="215"/>
      <c r="W22" s="215"/>
      <c r="X22" s="217"/>
      <c r="Y22" s="217"/>
      <c r="Z22" s="213"/>
      <c r="AA22" s="215"/>
      <c r="AB22" s="215"/>
      <c r="AC22" s="217"/>
      <c r="AD22" s="217"/>
      <c r="AE22" s="213"/>
      <c r="AF22" s="215">
        <f ca="1">IFERROR(__xludf.DUMMYFUNCTION("""COMPUTED_VALUE"""),3102031)</f>
        <v>3102031</v>
      </c>
      <c r="AG22" s="215" t="str">
        <f ca="1">IFERROR(__xludf.DUMMYFUNCTION("""COMPUTED_VALUE"""),"Beginner")</f>
        <v>Beginner</v>
      </c>
      <c r="AH22" s="217" t="str">
        <f ca="1">IFERROR(__xludf.DUMMYFUNCTION("""COMPUTED_VALUE"""),"问题解决策略")</f>
        <v>问题解决策略</v>
      </c>
      <c r="AI22" s="217"/>
      <c r="AJ22" s="213"/>
    </row>
    <row r="23" spans="1:36" ht="33.75" customHeight="1">
      <c r="A23" s="213"/>
      <c r="B23" s="214">
        <f ca="1">IFERROR(__xludf.DUMMYFUNCTION("""COMPUTED_VALUE"""),155342)</f>
        <v>155342</v>
      </c>
      <c r="C23" s="215" t="str">
        <f ca="1">IFERROR(__xludf.DUMMYFUNCTION("""COMPUTED_VALUE"""),"Beginner")</f>
        <v>Beginner</v>
      </c>
      <c r="D23" s="216" t="str">
        <f ca="1">IFERROR(__xludf.DUMMYFUNCTION("""COMPUTED_VALUE"""),"Solving Business Problems")</f>
        <v>Solving Business Problems</v>
      </c>
      <c r="E23" s="217"/>
      <c r="F23" s="213"/>
      <c r="G23" s="214">
        <f ca="1">IFERROR(__xludf.DUMMYFUNCTION("""COMPUTED_VALUE"""),494451)</f>
        <v>494451</v>
      </c>
      <c r="H23" s="215" t="str">
        <f ca="1">IFERROR(__xludf.DUMMYFUNCTION("""COMPUTED_VALUE"""),"All levels")</f>
        <v>All levels</v>
      </c>
      <c r="I23" s="217" t="str">
        <f ca="1">IFERROR(__xludf.DUMMYFUNCTION("""COMPUTED_VALUE"""),"Prendre des décisions stratégiques")</f>
        <v>Prendre des décisions stratégiques</v>
      </c>
      <c r="J23" s="217"/>
      <c r="K23" s="213"/>
      <c r="L23" s="215">
        <f ca="1">IFERROR(__xludf.DUMMYFUNCTION("""COMPUTED_VALUE"""),5025629)</f>
        <v>5025629</v>
      </c>
      <c r="M23" s="215" t="str">
        <f ca="1">IFERROR(__xludf.DUMMYFUNCTION("""COMPUTED_VALUE"""),"Beginner")</f>
        <v>Beginner</v>
      </c>
      <c r="N23" s="217" t="str">
        <f ca="1">IFERROR(__xludf.DUMMYFUNCTION("""COMPUTED_VALUE"""),"Pensamiento estratégico")</f>
        <v>Pensamiento estratégico</v>
      </c>
      <c r="O23" s="217"/>
      <c r="P23" s="213"/>
      <c r="Q23" s="215">
        <f ca="1">IFERROR(__xludf.DUMMYFUNCTION("""COMPUTED_VALUE"""),593896)</f>
        <v>593896</v>
      </c>
      <c r="R23" s="215" t="str">
        <f ca="1">IFERROR(__xludf.DUMMYFUNCTION("""COMPUTED_VALUE"""),"Intermediate")</f>
        <v>Intermediate</v>
      </c>
      <c r="S23" s="217" t="str">
        <f ca="1">IFERROR(__xludf.DUMMYFUNCTION("""COMPUTED_VALUE"""),"Zielvereinbarungsgespräche führen")</f>
        <v>Zielvereinbarungsgespräche führen</v>
      </c>
      <c r="T23" s="217"/>
      <c r="U23" s="213"/>
      <c r="V23" s="215"/>
      <c r="W23" s="215"/>
      <c r="X23" s="217"/>
      <c r="Y23" s="217"/>
      <c r="Z23" s="213"/>
      <c r="AA23" s="215"/>
      <c r="AB23" s="215"/>
      <c r="AC23" s="217"/>
      <c r="AD23" s="217"/>
      <c r="AE23" s="213"/>
      <c r="AF23" s="215">
        <f ca="1">IFERROR(__xludf.DUMMYFUNCTION("""COMPUTED_VALUE"""),2810411)</f>
        <v>2810411</v>
      </c>
      <c r="AG23" s="215" t="str">
        <f ca="1">IFERROR(__xludf.DUMMYFUNCTION("""COMPUTED_VALUE"""),"Beginner, Intermediate")</f>
        <v>Beginner, Intermediate</v>
      </c>
      <c r="AH23" s="217" t="str">
        <f ca="1">IFERROR(__xludf.DUMMYFUNCTION("""COMPUTED_VALUE"""),"项目管理：解决常见项目问题")</f>
        <v>项目管理：解决常见项目问题</v>
      </c>
      <c r="AI23" s="217"/>
      <c r="AJ23" s="213"/>
    </row>
    <row r="24" spans="1:36" ht="33.75" customHeight="1">
      <c r="A24" s="213"/>
      <c r="B24" s="214">
        <f ca="1">IFERROR(__xludf.DUMMYFUNCTION("""COMPUTED_VALUE"""),2816034)</f>
        <v>2816034</v>
      </c>
      <c r="C24" s="215" t="str">
        <f ca="1">IFERROR(__xludf.DUMMYFUNCTION("""COMPUTED_VALUE"""),"Beginner")</f>
        <v>Beginner</v>
      </c>
      <c r="D24" s="216" t="str">
        <f ca="1">IFERROR(__xludf.DUMMYFUNCTION("""COMPUTED_VALUE"""),"Crafting Problem and Solution Statements")</f>
        <v>Crafting Problem and Solution Statements</v>
      </c>
      <c r="E24" s="217"/>
      <c r="F24" s="213"/>
      <c r="G24" s="214">
        <f ca="1">IFERROR(__xludf.DUMMYFUNCTION("""COMPUTED_VALUE"""),538858)</f>
        <v>538858</v>
      </c>
      <c r="H24" s="215" t="str">
        <f ca="1">IFERROR(__xludf.DUMMYFUNCTION("""COMPUTED_VALUE"""),"All levels")</f>
        <v>All levels</v>
      </c>
      <c r="I24" s="217" t="str">
        <f ca="1">IFERROR(__xludf.DUMMYFUNCTION("""COMPUTED_VALUE"""),"Résoudre des problèmes métier")</f>
        <v>Résoudre des problèmes métier</v>
      </c>
      <c r="J24" s="217"/>
      <c r="K24" s="213"/>
      <c r="L24" s="215">
        <f ca="1">IFERROR(__xludf.DUMMYFUNCTION("""COMPUTED_VALUE"""),502982)</f>
        <v>502982</v>
      </c>
      <c r="M24" s="215" t="str">
        <f ca="1">IFERROR(__xludf.DUMMYFUNCTION("""COMPUTED_VALUE"""),"All levels")</f>
        <v>All levels</v>
      </c>
      <c r="N24" s="217" t="str">
        <f ca="1">IFERROR(__xludf.DUMMYFUNCTION("""COMPUTED_VALUE"""),"Resolución de problemas empresariales")</f>
        <v>Resolución de problemas empresariales</v>
      </c>
      <c r="O24" s="217"/>
      <c r="P24" s="213"/>
      <c r="Q24" s="215"/>
      <c r="R24" s="215"/>
      <c r="S24" s="217"/>
      <c r="T24" s="217"/>
      <c r="U24" s="213"/>
      <c r="V24" s="215"/>
      <c r="W24" s="215"/>
      <c r="X24" s="217"/>
      <c r="Y24" s="217"/>
      <c r="Z24" s="213"/>
      <c r="AA24" s="215"/>
      <c r="AB24" s="215"/>
      <c r="AC24" s="217"/>
      <c r="AD24" s="217"/>
      <c r="AE24" s="213"/>
      <c r="AF24" s="215">
        <f ca="1">IFERROR(__xludf.DUMMYFUNCTION("""COMPUTED_VALUE"""),773669)</f>
        <v>773669</v>
      </c>
      <c r="AG24" s="215" t="str">
        <f ca="1">IFERROR(__xludf.DUMMYFUNCTION("""COMPUTED_VALUE"""),"Intermediate")</f>
        <v>Intermediate</v>
      </c>
      <c r="AH24" s="217" t="str">
        <f ca="1">IFERROR(__xludf.DUMMYFUNCTION("""COMPUTED_VALUE"""),"高层决策的制定")</f>
        <v>高层决策的制定</v>
      </c>
      <c r="AI24" s="217"/>
      <c r="AJ24" s="213"/>
    </row>
    <row r="25" spans="1:36" ht="33.75" customHeight="1">
      <c r="A25" s="213"/>
      <c r="B25" s="214">
        <f ca="1">IFERROR(__xludf.DUMMYFUNCTION("""COMPUTED_VALUE"""),2823137)</f>
        <v>2823137</v>
      </c>
      <c r="C25" s="215" t="str">
        <f ca="1">IFERROR(__xludf.DUMMYFUNCTION("""COMPUTED_VALUE"""),"Beginner")</f>
        <v>Beginner</v>
      </c>
      <c r="D25" s="216" t="str">
        <f ca="1">IFERROR(__xludf.DUMMYFUNCTION("""COMPUTED_VALUE"""),"Improving Your Judgment for Better Decision-Making")</f>
        <v>Improving Your Judgment for Better Decision-Making</v>
      </c>
      <c r="E25" s="217"/>
      <c r="F25" s="213"/>
      <c r="G25" s="214">
        <f ca="1">IFERROR(__xludf.DUMMYFUNCTION("""COMPUTED_VALUE"""),800574)</f>
        <v>800574</v>
      </c>
      <c r="H25" s="215" t="str">
        <f ca="1">IFERROR(__xludf.DUMMYFUNCTION("""COMPUTED_VALUE"""),"Intermediate")</f>
        <v>Intermediate</v>
      </c>
      <c r="I25" s="217" t="str">
        <f ca="1">IFERROR(__xludf.DUMMYFUNCTION("""COMPUTED_VALUE"""),"Résoudre les problèmes de gestion de projet les plus fréquents")</f>
        <v>Résoudre les problèmes de gestion de projet les plus fréquents</v>
      </c>
      <c r="J25" s="217"/>
      <c r="K25" s="213"/>
      <c r="L25" s="215">
        <f ca="1">IFERROR(__xludf.DUMMYFUNCTION("""COMPUTED_VALUE"""),608983)</f>
        <v>608983</v>
      </c>
      <c r="M25" s="215" t="str">
        <f ca="1">IFERROR(__xludf.DUMMYFUNCTION("""COMPUTED_VALUE"""),"Beginner")</f>
        <v>Beginner</v>
      </c>
      <c r="N25" s="217" t="str">
        <f ca="1">IFERROR(__xludf.DUMMYFUNCTION("""COMPUTED_VALUE"""),"Toma de decisiones ejecutivas")</f>
        <v>Toma de decisiones ejecutivas</v>
      </c>
      <c r="O25" s="217"/>
      <c r="P25" s="213"/>
      <c r="Q25" s="215"/>
      <c r="R25" s="215"/>
      <c r="S25" s="217"/>
      <c r="T25" s="217"/>
      <c r="U25" s="213"/>
      <c r="V25" s="215"/>
      <c r="W25" s="215"/>
      <c r="X25" s="217"/>
      <c r="Y25" s="217"/>
      <c r="Z25" s="213"/>
      <c r="AA25" s="215"/>
      <c r="AB25" s="215"/>
      <c r="AC25" s="217"/>
      <c r="AD25" s="217"/>
      <c r="AE25" s="213"/>
      <c r="AF25" s="215"/>
      <c r="AG25" s="215"/>
      <c r="AH25" s="217"/>
      <c r="AI25" s="217"/>
      <c r="AJ25" s="213"/>
    </row>
    <row r="26" spans="1:36" ht="33.75" customHeight="1">
      <c r="A26" s="213"/>
      <c r="B26" s="214">
        <f ca="1">IFERROR(__xludf.DUMMYFUNCTION("""COMPUTED_VALUE"""),2822455)</f>
        <v>2822455</v>
      </c>
      <c r="C26" s="215" t="str">
        <f ca="1">IFERROR(__xludf.DUMMYFUNCTION("""COMPUTED_VALUE"""),"Beginner")</f>
        <v>Beginner</v>
      </c>
      <c r="D26" s="216" t="str">
        <f ca="1">IFERROR(__xludf.DUMMYFUNCTION("""COMPUTED_VALUE"""),"Overcoming Cognitive Bias")</f>
        <v>Overcoming Cognitive Bias</v>
      </c>
      <c r="E26" s="217"/>
      <c r="F26" s="213"/>
      <c r="G26" s="214">
        <f ca="1">IFERROR(__xludf.DUMMYFUNCTION("""COMPUTED_VALUE"""),2823375)</f>
        <v>2823375</v>
      </c>
      <c r="H26" s="215" t="str">
        <f ca="1">IFERROR(__xludf.DUMMYFUNCTION("""COMPUTED_VALUE"""),"Beginner")</f>
        <v>Beginner</v>
      </c>
      <c r="I26" s="217" t="str">
        <f ca="1">IFERROR(__xludf.DUMMYFUNCTION("""COMPUTED_VALUE"""),"Se responsabiliser")</f>
        <v>Se responsabiliser</v>
      </c>
      <c r="J26" s="217"/>
      <c r="K26" s="213"/>
      <c r="L26" s="215">
        <f ca="1">IFERROR(__xludf.DUMMYFUNCTION("""COMPUTED_VALUE"""),2988200)</f>
        <v>2988200</v>
      </c>
      <c r="M26" s="215" t="str">
        <f ca="1">IFERROR(__xludf.DUMMYFUNCTION("""COMPUTED_VALUE"""),"Advanced")</f>
        <v>Advanced</v>
      </c>
      <c r="N26" s="217" t="str">
        <f ca="1">IFERROR(__xludf.DUMMYFUNCTION("""COMPUTED_VALUE"""),"Toma de decisiones en situaciones de gran estrés")</f>
        <v>Toma de decisiones en situaciones de gran estrés</v>
      </c>
      <c r="O26" s="217"/>
      <c r="P26" s="213"/>
      <c r="Q26" s="215"/>
      <c r="R26" s="215"/>
      <c r="S26" s="217"/>
      <c r="T26" s="217"/>
      <c r="U26" s="213"/>
      <c r="V26" s="215"/>
      <c r="W26" s="215"/>
      <c r="X26" s="217"/>
      <c r="Y26" s="217"/>
      <c r="Z26" s="213"/>
      <c r="AA26" s="215"/>
      <c r="AB26" s="215"/>
      <c r="AC26" s="217"/>
      <c r="AD26" s="217"/>
      <c r="AE26" s="213"/>
      <c r="AF26" s="215"/>
      <c r="AG26" s="215"/>
      <c r="AH26" s="217"/>
      <c r="AI26" s="217"/>
      <c r="AJ26" s="213"/>
    </row>
    <row r="27" spans="1:36" ht="33.75" customHeight="1">
      <c r="A27" s="213"/>
      <c r="B27" s="214">
        <f ca="1">IFERROR(__xludf.DUMMYFUNCTION("""COMPUTED_VALUE"""),2825480)</f>
        <v>2825480</v>
      </c>
      <c r="C27" s="215" t="str">
        <f ca="1">IFERROR(__xludf.DUMMYFUNCTION("""COMPUTED_VALUE"""),"Beginner")</f>
        <v>Beginner</v>
      </c>
      <c r="D27" s="216" t="str">
        <f ca="1">IFERROR(__xludf.DUMMYFUNCTION("""COMPUTED_VALUE"""),"Improving Your Thinking")</f>
        <v>Improving Your Thinking</v>
      </c>
      <c r="E27" s="217"/>
      <c r="F27" s="213"/>
      <c r="G27" s="214">
        <f ca="1">IFERROR(__xludf.DUMMYFUNCTION("""COMPUTED_VALUE"""),2951286)</f>
        <v>2951286</v>
      </c>
      <c r="H27" s="215" t="str">
        <f ca="1">IFERROR(__xludf.DUMMYFUNCTION("""COMPUTED_VALUE"""),"Beginner")</f>
        <v>Beginner</v>
      </c>
      <c r="I27" s="217" t="str">
        <f ca="1">IFERROR(__xludf.DUMMYFUNCTION("""COMPUTED_VALUE"""),"Techniques de résolution de problèmes")</f>
        <v>Techniques de résolution de problèmes</v>
      </c>
      <c r="J27" s="217"/>
      <c r="K27" s="213"/>
      <c r="L27" s="215"/>
      <c r="M27" s="215"/>
      <c r="N27" s="217"/>
      <c r="O27" s="217"/>
      <c r="P27" s="213"/>
      <c r="Q27" s="215"/>
      <c r="R27" s="215"/>
      <c r="S27" s="217"/>
      <c r="T27" s="217"/>
      <c r="U27" s="213"/>
      <c r="V27" s="215"/>
      <c r="W27" s="215"/>
      <c r="X27" s="217"/>
      <c r="Y27" s="217"/>
      <c r="Z27" s="213"/>
      <c r="AA27" s="215"/>
      <c r="AB27" s="215"/>
      <c r="AC27" s="217"/>
      <c r="AD27" s="217"/>
      <c r="AE27" s="213"/>
      <c r="AF27" s="215"/>
      <c r="AG27" s="215"/>
      <c r="AH27" s="217"/>
      <c r="AI27" s="217"/>
      <c r="AJ27" s="213"/>
    </row>
    <row r="28" spans="1:36" ht="33.75" customHeight="1">
      <c r="A28" s="213"/>
      <c r="B28" s="214">
        <f ca="1">IFERROR(__xludf.DUMMYFUNCTION("""COMPUTED_VALUE"""),2881017)</f>
        <v>2881017</v>
      </c>
      <c r="C28" s="215" t="str">
        <f ca="1">IFERROR(__xludf.DUMMYFUNCTION("""COMPUTED_VALUE"""),"Beginner")</f>
        <v>Beginner</v>
      </c>
      <c r="D28" s="216" t="str">
        <f ca="1">IFERROR(__xludf.DUMMYFUNCTION("""COMPUTED_VALUE"""),"How to Use Data Visualization to Make Better Decisions—Faster")</f>
        <v>How to Use Data Visualization to Make Better Decisions—Faster</v>
      </c>
      <c r="E28" s="217"/>
      <c r="F28" s="213"/>
      <c r="G28" s="214"/>
      <c r="H28" s="215"/>
      <c r="I28" s="217"/>
      <c r="J28" s="217"/>
      <c r="K28" s="213"/>
      <c r="L28" s="215"/>
      <c r="M28" s="215"/>
      <c r="N28" s="217"/>
      <c r="O28" s="217"/>
      <c r="P28" s="213"/>
      <c r="Q28" s="215"/>
      <c r="R28" s="215"/>
      <c r="S28" s="217"/>
      <c r="T28" s="217"/>
      <c r="U28" s="213"/>
      <c r="V28" s="215"/>
      <c r="W28" s="215"/>
      <c r="X28" s="217"/>
      <c r="Y28" s="217"/>
      <c r="Z28" s="213"/>
      <c r="AA28" s="215"/>
      <c r="AB28" s="215"/>
      <c r="AC28" s="217"/>
      <c r="AD28" s="217"/>
      <c r="AE28" s="213"/>
      <c r="AF28" s="215"/>
      <c r="AG28" s="215"/>
      <c r="AH28" s="217"/>
      <c r="AI28" s="217"/>
      <c r="AJ28" s="213"/>
    </row>
    <row r="29" spans="1:36" ht="33.75" customHeight="1">
      <c r="A29" s="213"/>
      <c r="B29" s="214">
        <f ca="1">IFERROR(__xludf.DUMMYFUNCTION("""COMPUTED_VALUE"""),2423652)</f>
        <v>2423652</v>
      </c>
      <c r="C29" s="215" t="str">
        <f ca="1">IFERROR(__xludf.DUMMYFUNCTION("""COMPUTED_VALUE"""),"Beginner")</f>
        <v>Beginner</v>
      </c>
      <c r="D29" s="216" t="str">
        <f ca="1">IFERROR(__xludf.DUMMYFUNCTION("""COMPUTED_VALUE"""),"Simple Habits for Complex Times (getAbstract Summary)")</f>
        <v>Simple Habits for Complex Times (getAbstract Summary)</v>
      </c>
      <c r="E29" s="217"/>
      <c r="F29" s="213"/>
      <c r="G29" s="214"/>
      <c r="H29" s="215"/>
      <c r="I29" s="217"/>
      <c r="J29" s="217"/>
      <c r="K29" s="213"/>
      <c r="L29" s="215"/>
      <c r="M29" s="215"/>
      <c r="N29" s="217"/>
      <c r="O29" s="217"/>
      <c r="P29" s="213"/>
      <c r="Q29" s="215"/>
      <c r="R29" s="215"/>
      <c r="S29" s="217"/>
      <c r="T29" s="217"/>
      <c r="U29" s="213"/>
      <c r="V29" s="215"/>
      <c r="W29" s="215"/>
      <c r="X29" s="217"/>
      <c r="Y29" s="217"/>
      <c r="Z29" s="213"/>
      <c r="AA29" s="215"/>
      <c r="AB29" s="215"/>
      <c r="AC29" s="217"/>
      <c r="AD29" s="217"/>
      <c r="AE29" s="213"/>
      <c r="AF29" s="215"/>
      <c r="AG29" s="215"/>
      <c r="AH29" s="217"/>
      <c r="AI29" s="217"/>
      <c r="AJ29" s="213"/>
    </row>
    <row r="30" spans="1:36" ht="33.75" customHeight="1">
      <c r="A30" s="213"/>
      <c r="B30" s="214">
        <f ca="1">IFERROR(__xludf.DUMMYFUNCTION("""COMPUTED_VALUE"""),2427506)</f>
        <v>2427506</v>
      </c>
      <c r="C30" s="215" t="str">
        <f ca="1">IFERROR(__xludf.DUMMYFUNCTION("""COMPUTED_VALUE"""),"Beginner")</f>
        <v>Beginner</v>
      </c>
      <c r="D30" s="216" t="str">
        <f ca="1">IFERROR(__xludf.DUMMYFUNCTION("""COMPUTED_VALUE"""),"Emotional Intelligence as an Inclusivity Booster")</f>
        <v>Emotional Intelligence as an Inclusivity Booster</v>
      </c>
      <c r="E30" s="217"/>
      <c r="F30" s="213"/>
      <c r="G30" s="214"/>
      <c r="H30" s="215"/>
      <c r="I30" s="217"/>
      <c r="J30" s="217"/>
      <c r="K30" s="213"/>
      <c r="L30" s="215"/>
      <c r="M30" s="215"/>
      <c r="N30" s="217"/>
      <c r="O30" s="217"/>
      <c r="P30" s="213"/>
      <c r="Q30" s="215"/>
      <c r="R30" s="215"/>
      <c r="S30" s="217"/>
      <c r="T30" s="217"/>
      <c r="U30" s="213"/>
      <c r="V30" s="215"/>
      <c r="W30" s="215"/>
      <c r="X30" s="217"/>
      <c r="Y30" s="217"/>
      <c r="Z30" s="213"/>
      <c r="AA30" s="215"/>
      <c r="AB30" s="215"/>
      <c r="AC30" s="217"/>
      <c r="AD30" s="217"/>
      <c r="AE30" s="213"/>
      <c r="AF30" s="215"/>
      <c r="AG30" s="215"/>
      <c r="AH30" s="217"/>
      <c r="AI30" s="217"/>
      <c r="AJ30" s="213"/>
    </row>
    <row r="31" spans="1:36" ht="33.75" customHeight="1">
      <c r="A31" s="213"/>
      <c r="B31" s="214">
        <f ca="1">IFERROR(__xludf.DUMMYFUNCTION("""COMPUTED_VALUE"""),2824108)</f>
        <v>2824108</v>
      </c>
      <c r="C31" s="215" t="str">
        <f ca="1">IFERROR(__xludf.DUMMYFUNCTION("""COMPUTED_VALUE"""),"Beginner + Intermediate")</f>
        <v>Beginner + Intermediate</v>
      </c>
      <c r="D31" s="216" t="str">
        <f ca="1">IFERROR(__xludf.DUMMYFUNCTION("""COMPUTED_VALUE"""),"Practical Creativity for Everyone")</f>
        <v>Practical Creativity for Everyone</v>
      </c>
      <c r="E31" s="217"/>
      <c r="F31" s="213"/>
      <c r="G31" s="214"/>
      <c r="H31" s="215"/>
      <c r="I31" s="217"/>
      <c r="J31" s="217"/>
      <c r="K31" s="213"/>
      <c r="L31" s="215"/>
      <c r="M31" s="215"/>
      <c r="N31" s="217"/>
      <c r="O31" s="217"/>
      <c r="P31" s="213"/>
      <c r="Q31" s="215"/>
      <c r="R31" s="215"/>
      <c r="S31" s="217"/>
      <c r="T31" s="217"/>
      <c r="U31" s="213"/>
      <c r="V31" s="215"/>
      <c r="W31" s="215"/>
      <c r="X31" s="217"/>
      <c r="Y31" s="217"/>
      <c r="Z31" s="213"/>
      <c r="AA31" s="215"/>
      <c r="AB31" s="215"/>
      <c r="AC31" s="217"/>
      <c r="AD31" s="217"/>
      <c r="AE31" s="213"/>
      <c r="AF31" s="215"/>
      <c r="AG31" s="215"/>
      <c r="AH31" s="217"/>
      <c r="AI31" s="217"/>
      <c r="AJ31" s="213"/>
    </row>
    <row r="32" spans="1:36" ht="16">
      <c r="A32" s="213"/>
      <c r="B32" s="214">
        <f ca="1">IFERROR(__xludf.DUMMYFUNCTION("""COMPUTED_VALUE"""),170777)</f>
        <v>170777</v>
      </c>
      <c r="C32" s="215" t="str">
        <f ca="1">IFERROR(__xludf.DUMMYFUNCTION("""COMPUTED_VALUE"""),"General")</f>
        <v>General</v>
      </c>
      <c r="D32" s="216" t="str">
        <f ca="1">IFERROR(__xludf.DUMMYFUNCTION("""COMPUTED_VALUE"""),"Building Resilience")</f>
        <v>Building Resilience</v>
      </c>
      <c r="E32" s="217"/>
      <c r="F32" s="213"/>
      <c r="G32" s="214"/>
      <c r="H32" s="215"/>
      <c r="I32" s="217"/>
      <c r="J32" s="217"/>
      <c r="K32" s="213"/>
      <c r="L32" s="215"/>
      <c r="M32" s="215"/>
      <c r="N32" s="217"/>
      <c r="O32" s="217"/>
      <c r="P32" s="213"/>
      <c r="Q32" s="215"/>
      <c r="R32" s="215"/>
      <c r="S32" s="217"/>
      <c r="T32" s="217"/>
      <c r="U32" s="213"/>
      <c r="V32" s="215"/>
      <c r="W32" s="215"/>
      <c r="X32" s="217"/>
      <c r="Y32" s="217"/>
      <c r="Z32" s="213"/>
      <c r="AA32" s="215"/>
      <c r="AB32" s="215"/>
      <c r="AC32" s="217"/>
      <c r="AD32" s="217"/>
      <c r="AE32" s="213"/>
      <c r="AF32" s="215"/>
      <c r="AG32" s="215"/>
      <c r="AH32" s="217"/>
      <c r="AI32" s="217"/>
      <c r="AJ32" s="213"/>
    </row>
    <row r="33" spans="1:36" ht="33.75" customHeight="1">
      <c r="A33" s="213"/>
      <c r="B33" s="214">
        <f ca="1">IFERROR(__xludf.DUMMYFUNCTION("""COMPUTED_VALUE"""),424116)</f>
        <v>424116</v>
      </c>
      <c r="C33" s="215" t="str">
        <f ca="1">IFERROR(__xludf.DUMMYFUNCTION("""COMPUTED_VALUE"""),"General")</f>
        <v>General</v>
      </c>
      <c r="D33" s="216" t="str">
        <f ca="1">IFERROR(__xludf.DUMMYFUNCTION("""COMPUTED_VALUE"""),"Critical Thinking")</f>
        <v>Critical Thinking</v>
      </c>
      <c r="E33" s="217"/>
      <c r="F33" s="213"/>
      <c r="G33" s="214"/>
      <c r="H33" s="215"/>
      <c r="I33" s="217"/>
      <c r="J33" s="217"/>
      <c r="K33" s="213"/>
      <c r="L33" s="215"/>
      <c r="M33" s="215"/>
      <c r="N33" s="217"/>
      <c r="O33" s="217"/>
      <c r="P33" s="213"/>
      <c r="Q33" s="215"/>
      <c r="R33" s="215"/>
      <c r="S33" s="217"/>
      <c r="T33" s="217"/>
      <c r="U33" s="213"/>
      <c r="V33" s="215"/>
      <c r="W33" s="215"/>
      <c r="X33" s="217"/>
      <c r="Y33" s="217"/>
      <c r="Z33" s="213"/>
      <c r="AA33" s="215"/>
      <c r="AB33" s="215"/>
      <c r="AC33" s="217"/>
      <c r="AD33" s="217"/>
      <c r="AE33" s="213"/>
      <c r="AF33" s="215"/>
      <c r="AG33" s="215"/>
      <c r="AH33" s="217"/>
      <c r="AI33" s="217"/>
      <c r="AJ33" s="213"/>
    </row>
    <row r="34" spans="1:36" ht="33.75" customHeight="1">
      <c r="A34" s="213"/>
      <c r="B34" s="214">
        <f ca="1">IFERROR(__xludf.DUMMYFUNCTION("""COMPUTED_VALUE"""),718628)</f>
        <v>718628</v>
      </c>
      <c r="C34" s="215" t="str">
        <f ca="1">IFERROR(__xludf.DUMMYFUNCTION("""COMPUTED_VALUE"""),"General")</f>
        <v>General</v>
      </c>
      <c r="D34" s="216" t="str">
        <f ca="1">IFERROR(__xludf.DUMMYFUNCTION("""COMPUTED_VALUE"""),"Cultivating a Growth Mindset")</f>
        <v>Cultivating a Growth Mindset</v>
      </c>
      <c r="E34" s="217"/>
      <c r="F34" s="213"/>
      <c r="G34" s="214"/>
      <c r="H34" s="215"/>
      <c r="I34" s="217"/>
      <c r="J34" s="217"/>
      <c r="K34" s="213"/>
      <c r="L34" s="215"/>
      <c r="M34" s="215"/>
      <c r="N34" s="217"/>
      <c r="O34" s="217"/>
      <c r="P34" s="213"/>
      <c r="Q34" s="215"/>
      <c r="R34" s="215"/>
      <c r="S34" s="217"/>
      <c r="T34" s="217"/>
      <c r="U34" s="213"/>
      <c r="V34" s="215"/>
      <c r="W34" s="215"/>
      <c r="X34" s="217"/>
      <c r="Y34" s="217"/>
      <c r="Z34" s="213"/>
      <c r="AA34" s="215"/>
      <c r="AB34" s="215"/>
      <c r="AC34" s="217"/>
      <c r="AD34" s="217"/>
      <c r="AE34" s="213"/>
      <c r="AF34" s="215"/>
      <c r="AG34" s="215"/>
      <c r="AH34" s="217"/>
      <c r="AI34" s="217"/>
      <c r="AJ34" s="213"/>
    </row>
    <row r="35" spans="1:36" ht="33.75" customHeight="1">
      <c r="A35" s="213"/>
      <c r="B35" s="214">
        <f ca="1">IFERROR(__xludf.DUMMYFUNCTION("""COMPUTED_VALUE"""),777381)</f>
        <v>777381</v>
      </c>
      <c r="C35" s="215" t="str">
        <f ca="1">IFERROR(__xludf.DUMMYFUNCTION("""COMPUTED_VALUE"""),"General")</f>
        <v>General</v>
      </c>
      <c r="D35" s="216" t="str">
        <f ca="1">IFERROR(__xludf.DUMMYFUNCTION("""COMPUTED_VALUE"""),"Delivering Results Effectively")</f>
        <v>Delivering Results Effectively</v>
      </c>
      <c r="E35" s="217"/>
      <c r="F35" s="213"/>
      <c r="G35" s="214"/>
      <c r="H35" s="215"/>
      <c r="I35" s="217"/>
      <c r="J35" s="217"/>
      <c r="K35" s="213"/>
      <c r="L35" s="215"/>
      <c r="M35" s="215"/>
      <c r="N35" s="217"/>
      <c r="O35" s="217"/>
      <c r="P35" s="213"/>
      <c r="Q35" s="215"/>
      <c r="R35" s="215"/>
      <c r="S35" s="217"/>
      <c r="T35" s="217"/>
      <c r="U35" s="213"/>
      <c r="V35" s="215"/>
      <c r="W35" s="215"/>
      <c r="X35" s="217"/>
      <c r="Y35" s="217"/>
      <c r="Z35" s="213"/>
      <c r="AA35" s="215"/>
      <c r="AB35" s="215"/>
      <c r="AC35" s="217"/>
      <c r="AD35" s="217"/>
      <c r="AE35" s="213"/>
      <c r="AF35" s="215"/>
      <c r="AG35" s="215"/>
      <c r="AH35" s="217"/>
      <c r="AI35" s="217"/>
      <c r="AJ35" s="213"/>
    </row>
    <row r="36" spans="1:36" ht="33.75" customHeight="1">
      <c r="A36" s="213"/>
      <c r="B36" s="214">
        <f ca="1">IFERROR(__xludf.DUMMYFUNCTION("""COMPUTED_VALUE"""),718618)</f>
        <v>718618</v>
      </c>
      <c r="C36" s="215" t="str">
        <f ca="1">IFERROR(__xludf.DUMMYFUNCTION("""COMPUTED_VALUE"""),"General")</f>
        <v>General</v>
      </c>
      <c r="D36" s="216" t="str">
        <f ca="1">IFERROR(__xludf.DUMMYFUNCTION("""COMPUTED_VALUE"""),"Enhancing Resilience")</f>
        <v>Enhancing Resilience</v>
      </c>
      <c r="E36" s="217"/>
      <c r="F36" s="213"/>
      <c r="G36" s="214"/>
      <c r="H36" s="215"/>
      <c r="I36" s="217"/>
      <c r="J36" s="217"/>
      <c r="K36" s="213"/>
      <c r="L36" s="215"/>
      <c r="M36" s="215"/>
      <c r="N36" s="217"/>
      <c r="O36" s="217"/>
      <c r="P36" s="213"/>
      <c r="Q36" s="215"/>
      <c r="R36" s="215"/>
      <c r="S36" s="217"/>
      <c r="T36" s="217"/>
      <c r="U36" s="213"/>
      <c r="V36" s="215"/>
      <c r="W36" s="215"/>
      <c r="X36" s="217"/>
      <c r="Y36" s="217"/>
      <c r="Z36" s="213"/>
      <c r="AA36" s="215"/>
      <c r="AB36" s="215"/>
      <c r="AC36" s="217"/>
      <c r="AD36" s="217"/>
      <c r="AE36" s="213"/>
      <c r="AF36" s="215"/>
      <c r="AG36" s="215"/>
      <c r="AH36" s="217"/>
      <c r="AI36" s="217"/>
      <c r="AJ36" s="213"/>
    </row>
    <row r="37" spans="1:36" ht="33.75" customHeight="1">
      <c r="A37" s="213"/>
      <c r="B37" s="214">
        <f ca="1">IFERROR(__xludf.DUMMYFUNCTION("""COMPUTED_VALUE"""),458641)</f>
        <v>458641</v>
      </c>
      <c r="C37" s="215" t="str">
        <f ca="1">IFERROR(__xludf.DUMMYFUNCTION("""COMPUTED_VALUE"""),"General")</f>
        <v>General</v>
      </c>
      <c r="D37" s="216" t="str">
        <f ca="1">IFERROR(__xludf.DUMMYFUNCTION("""COMPUTED_VALUE"""),"Fred Kofman on Making Commitments")</f>
        <v>Fred Kofman on Making Commitments</v>
      </c>
      <c r="E37" s="217"/>
      <c r="F37" s="213"/>
      <c r="G37" s="214"/>
      <c r="H37" s="215"/>
      <c r="I37" s="217"/>
      <c r="J37" s="217"/>
      <c r="K37" s="213"/>
      <c r="L37" s="215"/>
      <c r="M37" s="215"/>
      <c r="N37" s="217"/>
      <c r="O37" s="217"/>
      <c r="P37" s="213"/>
      <c r="Q37" s="215"/>
      <c r="R37" s="215"/>
      <c r="S37" s="217"/>
      <c r="T37" s="217"/>
      <c r="U37" s="213"/>
      <c r="V37" s="215"/>
      <c r="W37" s="215"/>
      <c r="X37" s="217"/>
      <c r="Y37" s="217"/>
      <c r="Z37" s="213"/>
      <c r="AA37" s="215"/>
      <c r="AB37" s="215"/>
      <c r="AC37" s="217"/>
      <c r="AD37" s="217"/>
      <c r="AE37" s="213"/>
      <c r="AF37" s="215"/>
      <c r="AG37" s="215"/>
      <c r="AH37" s="217"/>
      <c r="AI37" s="217"/>
      <c r="AJ37" s="213"/>
    </row>
    <row r="38" spans="1:36" ht="33.75" customHeight="1">
      <c r="A38" s="213"/>
      <c r="B38" s="214">
        <f ca="1">IFERROR(__xludf.DUMMYFUNCTION("""COMPUTED_VALUE"""),363225)</f>
        <v>363225</v>
      </c>
      <c r="C38" s="215" t="str">
        <f ca="1">IFERROR(__xludf.DUMMYFUNCTION("""COMPUTED_VALUE"""),"General")</f>
        <v>General</v>
      </c>
      <c r="D38" s="216" t="str">
        <f ca="1">IFERROR(__xludf.DUMMYFUNCTION("""COMPUTED_VALUE"""),"Learning from Failure")</f>
        <v>Learning from Failure</v>
      </c>
      <c r="E38" s="217"/>
      <c r="F38" s="213"/>
      <c r="G38" s="214"/>
      <c r="H38" s="215"/>
      <c r="I38" s="217"/>
      <c r="J38" s="217"/>
      <c r="K38" s="213"/>
      <c r="L38" s="215"/>
      <c r="M38" s="215"/>
      <c r="N38" s="217"/>
      <c r="O38" s="217"/>
      <c r="P38" s="213"/>
      <c r="Q38" s="215"/>
      <c r="R38" s="215"/>
      <c r="S38" s="217"/>
      <c r="T38" s="217"/>
      <c r="U38" s="213"/>
      <c r="V38" s="215"/>
      <c r="W38" s="215"/>
      <c r="X38" s="217"/>
      <c r="Y38" s="217"/>
      <c r="Z38" s="213"/>
      <c r="AA38" s="215"/>
      <c r="AB38" s="215"/>
      <c r="AC38" s="217"/>
      <c r="AD38" s="217"/>
      <c r="AE38" s="213"/>
      <c r="AF38" s="215"/>
      <c r="AG38" s="215"/>
      <c r="AH38" s="217"/>
      <c r="AI38" s="217"/>
      <c r="AJ38" s="213"/>
    </row>
    <row r="39" spans="1:36" ht="33.75" customHeight="1">
      <c r="A39" s="213"/>
      <c r="B39" s="214">
        <f ca="1">IFERROR(__xludf.DUMMYFUNCTION("""COMPUTED_VALUE"""),737763)</f>
        <v>737763</v>
      </c>
      <c r="C39" s="215" t="str">
        <f ca="1">IFERROR(__xludf.DUMMYFUNCTION("""COMPUTED_VALUE"""),"General")</f>
        <v>General</v>
      </c>
      <c r="D39" s="216" t="str">
        <f ca="1">IFERROR(__xludf.DUMMYFUNCTION("""COMPUTED_VALUE"""),"Prioritizing Your Tasks")</f>
        <v>Prioritizing Your Tasks</v>
      </c>
      <c r="E39" s="217"/>
      <c r="F39" s="213"/>
      <c r="G39" s="214"/>
      <c r="H39" s="215"/>
      <c r="I39" s="217"/>
      <c r="J39" s="217"/>
      <c r="K39" s="213"/>
      <c r="L39" s="215"/>
      <c r="M39" s="215"/>
      <c r="N39" s="217"/>
      <c r="O39" s="217"/>
      <c r="P39" s="213"/>
      <c r="Q39" s="215"/>
      <c r="R39" s="215"/>
      <c r="S39" s="217"/>
      <c r="T39" s="217"/>
      <c r="U39" s="213"/>
      <c r="V39" s="215"/>
      <c r="W39" s="215"/>
      <c r="X39" s="217"/>
      <c r="Y39" s="217"/>
      <c r="Z39" s="213"/>
      <c r="AA39" s="215"/>
      <c r="AB39" s="215"/>
      <c r="AC39" s="217"/>
      <c r="AD39" s="217"/>
      <c r="AE39" s="213"/>
      <c r="AF39" s="215"/>
      <c r="AG39" s="215"/>
      <c r="AH39" s="217"/>
      <c r="AI39" s="217"/>
      <c r="AJ39" s="213"/>
    </row>
    <row r="40" spans="1:36" ht="33.75" customHeight="1">
      <c r="A40" s="213"/>
      <c r="B40" s="214">
        <f ca="1">IFERROR(__xludf.DUMMYFUNCTION("""COMPUTED_VALUE"""),669533)</f>
        <v>669533</v>
      </c>
      <c r="C40" s="215" t="str">
        <f ca="1">IFERROR(__xludf.DUMMYFUNCTION("""COMPUTED_VALUE"""),"General")</f>
        <v>General</v>
      </c>
      <c r="D40" s="216" t="str">
        <f ca="1">IFERROR(__xludf.DUMMYFUNCTION("""COMPUTED_VALUE"""),"Sheryl Sandberg and Adam Grant on Option B: Building Resilience")</f>
        <v>Sheryl Sandberg and Adam Grant on Option B: Building Resilience</v>
      </c>
      <c r="E40" s="217"/>
      <c r="F40" s="213"/>
      <c r="G40" s="214"/>
      <c r="H40" s="215"/>
      <c r="I40" s="217"/>
      <c r="J40" s="217"/>
      <c r="K40" s="213"/>
      <c r="L40" s="215"/>
      <c r="M40" s="215"/>
      <c r="N40" s="217"/>
      <c r="O40" s="217"/>
      <c r="P40" s="213"/>
      <c r="Q40" s="215"/>
      <c r="R40" s="215"/>
      <c r="S40" s="217"/>
      <c r="T40" s="217"/>
      <c r="U40" s="213"/>
      <c r="V40" s="215"/>
      <c r="W40" s="215"/>
      <c r="X40" s="217"/>
      <c r="Y40" s="217"/>
      <c r="Z40" s="213"/>
      <c r="AA40" s="215"/>
      <c r="AB40" s="215"/>
      <c r="AC40" s="217"/>
      <c r="AD40" s="217"/>
      <c r="AE40" s="213"/>
      <c r="AF40" s="215"/>
      <c r="AG40" s="215"/>
      <c r="AH40" s="217"/>
      <c r="AI40" s="217"/>
      <c r="AJ40" s="213"/>
    </row>
    <row r="41" spans="1:36" ht="33.75" customHeight="1">
      <c r="A41" s="213"/>
      <c r="B41" s="214">
        <f ca="1">IFERROR(__xludf.DUMMYFUNCTION("""COMPUTED_VALUE"""),728377)</f>
        <v>728377</v>
      </c>
      <c r="C41" s="215" t="str">
        <f ca="1">IFERROR(__xludf.DUMMYFUNCTION("""COMPUTED_VALUE"""),"General")</f>
        <v>General</v>
      </c>
      <c r="D41" s="216" t="str">
        <f ca="1">IFERROR(__xludf.DUMMYFUNCTION("""COMPUTED_VALUE"""),"Successful Goal Setting")</f>
        <v>Successful Goal Setting</v>
      </c>
      <c r="E41" s="217"/>
      <c r="F41" s="213"/>
      <c r="G41" s="214"/>
      <c r="H41" s="215"/>
      <c r="I41" s="217"/>
      <c r="J41" s="217"/>
      <c r="K41" s="213"/>
      <c r="L41" s="215"/>
      <c r="M41" s="215"/>
      <c r="N41" s="217"/>
      <c r="O41" s="217"/>
      <c r="P41" s="213"/>
      <c r="Q41" s="215"/>
      <c r="R41" s="215"/>
      <c r="S41" s="217"/>
      <c r="T41" s="217"/>
      <c r="U41" s="213"/>
      <c r="V41" s="215"/>
      <c r="W41" s="215"/>
      <c r="X41" s="217"/>
      <c r="Y41" s="217"/>
      <c r="Z41" s="213"/>
      <c r="AA41" s="215"/>
      <c r="AB41" s="215"/>
      <c r="AC41" s="217"/>
      <c r="AD41" s="217"/>
      <c r="AE41" s="213"/>
      <c r="AF41" s="215"/>
      <c r="AG41" s="215"/>
      <c r="AH41" s="217"/>
      <c r="AI41" s="217"/>
      <c r="AJ41" s="213"/>
    </row>
    <row r="42" spans="1:36" ht="33.75" customHeight="1">
      <c r="A42" s="213"/>
      <c r="B42" s="214">
        <f ca="1">IFERROR(__xludf.DUMMYFUNCTION("""COMPUTED_VALUE"""),387349)</f>
        <v>387349</v>
      </c>
      <c r="C42" s="215" t="str">
        <f ca="1">IFERROR(__xludf.DUMMYFUNCTION("""COMPUTED_VALUE"""),"General")</f>
        <v>General</v>
      </c>
      <c r="D42" s="216" t="str">
        <f ca="1">IFERROR(__xludf.DUMMYFUNCTION("""COMPUTED_VALUE"""),"Powerless to Powerful: Taking Control")</f>
        <v>Powerless to Powerful: Taking Control</v>
      </c>
      <c r="E42" s="217"/>
      <c r="F42" s="213"/>
      <c r="G42" s="214"/>
      <c r="H42" s="215"/>
      <c r="I42" s="217"/>
      <c r="J42" s="217"/>
      <c r="K42" s="213"/>
      <c r="L42" s="215"/>
      <c r="M42" s="215"/>
      <c r="N42" s="217"/>
      <c r="O42" s="217"/>
      <c r="P42" s="213"/>
      <c r="Q42" s="215"/>
      <c r="R42" s="215"/>
      <c r="S42" s="217"/>
      <c r="T42" s="217"/>
      <c r="U42" s="213"/>
      <c r="V42" s="215"/>
      <c r="W42" s="215"/>
      <c r="X42" s="217"/>
      <c r="Y42" s="217"/>
      <c r="Z42" s="213"/>
      <c r="AA42" s="215"/>
      <c r="AB42" s="215"/>
      <c r="AC42" s="217"/>
      <c r="AD42" s="217"/>
      <c r="AE42" s="213"/>
      <c r="AF42" s="215"/>
      <c r="AG42" s="215"/>
      <c r="AH42" s="217"/>
      <c r="AI42" s="217"/>
      <c r="AJ42" s="213"/>
    </row>
    <row r="43" spans="1:36" ht="33.75" customHeight="1">
      <c r="A43" s="213"/>
      <c r="B43" s="214">
        <f ca="1">IFERROR(__xludf.DUMMYFUNCTION("""COMPUTED_VALUE"""),5015863)</f>
        <v>5015863</v>
      </c>
      <c r="C43" s="215" t="str">
        <f ca="1">IFERROR(__xludf.DUMMYFUNCTION("""COMPUTED_VALUE"""),"General")</f>
        <v>General</v>
      </c>
      <c r="D43" s="216" t="str">
        <f ca="1">IFERROR(__xludf.DUMMYFUNCTION("""COMPUTED_VALUE"""),"Making Quick Decisions")</f>
        <v>Making Quick Decisions</v>
      </c>
      <c r="E43" s="217"/>
      <c r="F43" s="213"/>
      <c r="G43" s="214"/>
      <c r="H43" s="215"/>
      <c r="I43" s="217"/>
      <c r="J43" s="217"/>
      <c r="K43" s="213"/>
      <c r="L43" s="215"/>
      <c r="M43" s="215"/>
      <c r="N43" s="217"/>
      <c r="O43" s="217"/>
      <c r="P43" s="213"/>
      <c r="Q43" s="215"/>
      <c r="R43" s="215"/>
      <c r="S43" s="217"/>
      <c r="T43" s="217"/>
      <c r="U43" s="213"/>
      <c r="V43" s="215"/>
      <c r="W43" s="215"/>
      <c r="X43" s="217"/>
      <c r="Y43" s="217"/>
      <c r="Z43" s="213"/>
      <c r="AA43" s="215"/>
      <c r="AB43" s="215"/>
      <c r="AC43" s="217"/>
      <c r="AD43" s="217"/>
      <c r="AE43" s="213"/>
      <c r="AF43" s="215"/>
      <c r="AG43" s="215"/>
      <c r="AH43" s="217"/>
      <c r="AI43" s="217"/>
      <c r="AJ43" s="213"/>
    </row>
    <row r="44" spans="1:36" ht="33.75" customHeight="1">
      <c r="A44" s="213"/>
      <c r="B44" s="214">
        <f ca="1">IFERROR(__xludf.DUMMYFUNCTION("""COMPUTED_VALUE"""),2837270)</f>
        <v>2837270</v>
      </c>
      <c r="C44" s="215" t="str">
        <f ca="1">IFERROR(__xludf.DUMMYFUNCTION("""COMPUTED_VALUE"""),"General")</f>
        <v>General</v>
      </c>
      <c r="D44" s="216" t="str">
        <f ca="1">IFERROR(__xludf.DUMMYFUNCTION("""COMPUTED_VALUE"""),"The Undercover Economist: The Economics behind Everyday Decisions (Blinkist Summary)")</f>
        <v>The Undercover Economist: The Economics behind Everyday Decisions (Blinkist Summary)</v>
      </c>
      <c r="E44" s="217"/>
      <c r="F44" s="213"/>
      <c r="G44" s="214"/>
      <c r="H44" s="215"/>
      <c r="I44" s="217"/>
      <c r="J44" s="217"/>
      <c r="K44" s="213"/>
      <c r="L44" s="215"/>
      <c r="M44" s="215"/>
      <c r="N44" s="217"/>
      <c r="O44" s="217"/>
      <c r="P44" s="213"/>
      <c r="Q44" s="215"/>
      <c r="R44" s="215"/>
      <c r="S44" s="217"/>
      <c r="T44" s="217"/>
      <c r="U44" s="213"/>
      <c r="V44" s="215"/>
      <c r="W44" s="215"/>
      <c r="X44" s="217"/>
      <c r="Y44" s="217"/>
      <c r="Z44" s="213"/>
      <c r="AA44" s="215"/>
      <c r="AB44" s="215"/>
      <c r="AC44" s="217"/>
      <c r="AD44" s="217"/>
      <c r="AE44" s="213"/>
      <c r="AF44" s="215"/>
      <c r="AG44" s="215"/>
      <c r="AH44" s="217"/>
      <c r="AI44" s="217"/>
      <c r="AJ44" s="213"/>
    </row>
    <row r="45" spans="1:36" ht="33.75" customHeight="1">
      <c r="A45" s="213"/>
      <c r="B45" s="214">
        <f ca="1">IFERROR(__xludf.DUMMYFUNCTION("""COMPUTED_VALUE"""),2241056)</f>
        <v>2241056</v>
      </c>
      <c r="C45" s="215" t="str">
        <f ca="1">IFERROR(__xludf.DUMMYFUNCTION("""COMPUTED_VALUE"""),"General")</f>
        <v>General</v>
      </c>
      <c r="D45" s="216" t="str">
        <f ca="1">IFERROR(__xludf.DUMMYFUNCTION("""COMPUTED_VALUE"""),"The Decision Makeover (getAbstract Summary)")</f>
        <v>The Decision Makeover (getAbstract Summary)</v>
      </c>
      <c r="E45" s="217"/>
      <c r="F45" s="213"/>
      <c r="G45" s="214"/>
      <c r="H45" s="215"/>
      <c r="I45" s="217"/>
      <c r="J45" s="217"/>
      <c r="K45" s="213"/>
      <c r="L45" s="215"/>
      <c r="M45" s="215"/>
      <c r="N45" s="217"/>
      <c r="O45" s="217"/>
      <c r="P45" s="213"/>
      <c r="Q45" s="215"/>
      <c r="R45" s="215"/>
      <c r="S45" s="217"/>
      <c r="T45" s="217"/>
      <c r="U45" s="213"/>
      <c r="V45" s="215"/>
      <c r="W45" s="215"/>
      <c r="X45" s="217"/>
      <c r="Y45" s="217"/>
      <c r="Z45" s="213"/>
      <c r="AA45" s="215"/>
      <c r="AB45" s="215"/>
      <c r="AC45" s="217"/>
      <c r="AD45" s="217"/>
      <c r="AE45" s="213"/>
      <c r="AF45" s="215"/>
      <c r="AG45" s="215"/>
      <c r="AH45" s="217"/>
      <c r="AI45" s="217"/>
      <c r="AJ45" s="213"/>
    </row>
    <row r="46" spans="1:36" ht="33.75" customHeight="1">
      <c r="A46" s="213"/>
      <c r="B46" s="214">
        <f ca="1">IFERROR(__xludf.DUMMYFUNCTION("""COMPUTED_VALUE"""),2885199)</f>
        <v>2885199</v>
      </c>
      <c r="C46" s="215" t="str">
        <f ca="1">IFERROR(__xludf.DUMMYFUNCTION("""COMPUTED_VALUE"""),"General")</f>
        <v>General</v>
      </c>
      <c r="D46" s="216" t="str">
        <f ca="1">IFERROR(__xludf.DUMMYFUNCTION("""COMPUTED_VALUE"""),"Critical Thinking and Problem Solving")</f>
        <v>Critical Thinking and Problem Solving</v>
      </c>
      <c r="E46" s="217"/>
      <c r="F46" s="213"/>
      <c r="G46" s="214"/>
      <c r="H46" s="215"/>
      <c r="I46" s="217"/>
      <c r="J46" s="217"/>
      <c r="K46" s="213"/>
      <c r="L46" s="215"/>
      <c r="M46" s="215"/>
      <c r="N46" s="217"/>
      <c r="O46" s="217"/>
      <c r="P46" s="213"/>
      <c r="Q46" s="215"/>
      <c r="R46" s="215"/>
      <c r="S46" s="217"/>
      <c r="T46" s="217"/>
      <c r="U46" s="213"/>
      <c r="V46" s="215"/>
      <c r="W46" s="215"/>
      <c r="X46" s="217"/>
      <c r="Y46" s="217"/>
      <c r="Z46" s="213"/>
      <c r="AA46" s="215"/>
      <c r="AB46" s="215"/>
      <c r="AC46" s="217"/>
      <c r="AD46" s="217"/>
      <c r="AE46" s="213"/>
      <c r="AF46" s="215"/>
      <c r="AG46" s="215"/>
      <c r="AH46" s="217"/>
      <c r="AI46" s="217"/>
      <c r="AJ46" s="213"/>
    </row>
    <row r="47" spans="1:36" ht="33.75" customHeight="1">
      <c r="A47" s="213"/>
      <c r="B47" s="214">
        <f ca="1">IFERROR(__xludf.DUMMYFUNCTION("""COMPUTED_VALUE"""),2423502)</f>
        <v>2423502</v>
      </c>
      <c r="C47" s="215" t="str">
        <f ca="1">IFERROR(__xludf.DUMMYFUNCTION("""COMPUTED_VALUE"""),"General")</f>
        <v>General</v>
      </c>
      <c r="D47" s="216" t="str">
        <f ca="1">IFERROR(__xludf.DUMMYFUNCTION("""COMPUTED_VALUE"""),"Creativity at Work: A Short Course from Seth Godin")</f>
        <v>Creativity at Work: A Short Course from Seth Godin</v>
      </c>
      <c r="E47" s="217"/>
      <c r="F47" s="213"/>
      <c r="G47" s="214"/>
      <c r="H47" s="215"/>
      <c r="I47" s="217"/>
      <c r="J47" s="217"/>
      <c r="K47" s="213"/>
      <c r="L47" s="215"/>
      <c r="M47" s="215"/>
      <c r="N47" s="217"/>
      <c r="O47" s="217"/>
      <c r="P47" s="213"/>
      <c r="Q47" s="215"/>
      <c r="R47" s="215"/>
      <c r="S47" s="217"/>
      <c r="T47" s="217"/>
      <c r="U47" s="213"/>
      <c r="V47" s="215"/>
      <c r="W47" s="215"/>
      <c r="X47" s="217"/>
      <c r="Y47" s="217"/>
      <c r="Z47" s="213"/>
      <c r="AA47" s="215"/>
      <c r="AB47" s="215"/>
      <c r="AC47" s="217"/>
      <c r="AD47" s="217"/>
      <c r="AE47" s="213"/>
      <c r="AF47" s="215"/>
      <c r="AG47" s="215"/>
      <c r="AH47" s="217"/>
      <c r="AI47" s="217"/>
      <c r="AJ47" s="213"/>
    </row>
    <row r="48" spans="1:36" ht="33.75" customHeight="1">
      <c r="A48" s="213"/>
      <c r="B48" s="214">
        <f ca="1">IFERROR(__xludf.DUMMYFUNCTION("""COMPUTED_VALUE"""),2882045)</f>
        <v>2882045</v>
      </c>
      <c r="C48" s="215" t="str">
        <f ca="1">IFERROR(__xludf.DUMMYFUNCTION("""COMPUTED_VALUE"""),"General")</f>
        <v>General</v>
      </c>
      <c r="D48" s="216" t="str">
        <f ca="1">IFERROR(__xludf.DUMMYFUNCTION("""COMPUTED_VALUE"""),"Think Like a Lawyer to Make Decisions and Solve Problems")</f>
        <v>Think Like a Lawyer to Make Decisions and Solve Problems</v>
      </c>
      <c r="E48" s="217"/>
      <c r="F48" s="213"/>
      <c r="G48" s="214"/>
      <c r="H48" s="215"/>
      <c r="I48" s="217"/>
      <c r="J48" s="217"/>
      <c r="K48" s="213"/>
      <c r="L48" s="215"/>
      <c r="M48" s="215"/>
      <c r="N48" s="217"/>
      <c r="O48" s="217"/>
      <c r="P48" s="213"/>
      <c r="Q48" s="215"/>
      <c r="R48" s="215"/>
      <c r="S48" s="217"/>
      <c r="T48" s="217"/>
      <c r="U48" s="213"/>
      <c r="V48" s="215"/>
      <c r="W48" s="215"/>
      <c r="X48" s="217"/>
      <c r="Y48" s="217"/>
      <c r="Z48" s="213"/>
      <c r="AA48" s="215"/>
      <c r="AB48" s="215"/>
      <c r="AC48" s="217"/>
      <c r="AD48" s="217"/>
      <c r="AE48" s="213"/>
      <c r="AF48" s="215"/>
      <c r="AG48" s="215"/>
      <c r="AH48" s="217"/>
      <c r="AI48" s="217"/>
      <c r="AJ48" s="213"/>
    </row>
    <row r="49" spans="1:36" ht="33.75" customHeight="1">
      <c r="A49" s="213"/>
      <c r="B49" s="214">
        <f ca="1">IFERROR(__xludf.DUMMYFUNCTION("""COMPUTED_VALUE"""),3010106)</f>
        <v>3010106</v>
      </c>
      <c r="C49" s="215" t="str">
        <f ca="1">IFERROR(__xludf.DUMMYFUNCTION("""COMPUTED_VALUE"""),"General")</f>
        <v>General</v>
      </c>
      <c r="D49" s="216" t="str">
        <f ca="1">IFERROR(__xludf.DUMMYFUNCTION("""COMPUTED_VALUE"""),"Smarter Faster Better (Blinkist Summary)")</f>
        <v>Smarter Faster Better (Blinkist Summary)</v>
      </c>
      <c r="E49" s="217"/>
      <c r="F49" s="213"/>
      <c r="G49" s="214"/>
      <c r="H49" s="215"/>
      <c r="I49" s="217"/>
      <c r="J49" s="217"/>
      <c r="K49" s="213"/>
      <c r="L49" s="215"/>
      <c r="M49" s="215"/>
      <c r="N49" s="217"/>
      <c r="O49" s="217"/>
      <c r="P49" s="213"/>
      <c r="Q49" s="215"/>
      <c r="R49" s="215"/>
      <c r="S49" s="217"/>
      <c r="T49" s="217"/>
      <c r="U49" s="213"/>
      <c r="V49" s="215"/>
      <c r="W49" s="215"/>
      <c r="X49" s="217"/>
      <c r="Y49" s="217"/>
      <c r="Z49" s="213"/>
      <c r="AA49" s="215"/>
      <c r="AB49" s="215"/>
      <c r="AC49" s="217"/>
      <c r="AD49" s="217"/>
      <c r="AE49" s="213"/>
      <c r="AF49" s="215"/>
      <c r="AG49" s="215"/>
      <c r="AH49" s="217"/>
      <c r="AI49" s="217"/>
      <c r="AJ49" s="213"/>
    </row>
    <row r="50" spans="1:36" ht="33.75" customHeight="1">
      <c r="A50" s="213"/>
      <c r="B50" s="214">
        <f ca="1">IFERROR(__xludf.DUMMYFUNCTION("""COMPUTED_VALUE"""),3010107)</f>
        <v>3010107</v>
      </c>
      <c r="C50" s="215" t="str">
        <f ca="1">IFERROR(__xludf.DUMMYFUNCTION("""COMPUTED_VALUE"""),"General")</f>
        <v>General</v>
      </c>
      <c r="D50" s="216" t="str">
        <f ca="1">IFERROR(__xludf.DUMMYFUNCTION("""COMPUTED_VALUE"""),"Thinking, Fast and Slow (Blinkist Summary)")</f>
        <v>Thinking, Fast and Slow (Blinkist Summary)</v>
      </c>
      <c r="E50" s="217"/>
      <c r="F50" s="213"/>
      <c r="G50" s="214"/>
      <c r="H50" s="215"/>
      <c r="I50" s="217"/>
      <c r="J50" s="217"/>
      <c r="K50" s="213"/>
      <c r="L50" s="215"/>
      <c r="M50" s="215"/>
      <c r="N50" s="217"/>
      <c r="O50" s="217"/>
      <c r="P50" s="213"/>
      <c r="Q50" s="215"/>
      <c r="R50" s="215"/>
      <c r="S50" s="217"/>
      <c r="T50" s="217"/>
      <c r="U50" s="213"/>
      <c r="V50" s="215"/>
      <c r="W50" s="215"/>
      <c r="X50" s="217"/>
      <c r="Y50" s="217"/>
      <c r="Z50" s="213"/>
      <c r="AA50" s="215"/>
      <c r="AB50" s="215"/>
      <c r="AC50" s="217"/>
      <c r="AD50" s="217"/>
      <c r="AE50" s="213"/>
      <c r="AF50" s="215"/>
      <c r="AG50" s="215"/>
      <c r="AH50" s="217"/>
      <c r="AI50" s="217"/>
      <c r="AJ50" s="213"/>
    </row>
    <row r="51" spans="1:36" ht="33.75" customHeight="1">
      <c r="A51" s="213"/>
      <c r="B51" s="214">
        <f ca="1">IFERROR(__xludf.DUMMYFUNCTION("""COMPUTED_VALUE"""),2424406)</f>
        <v>2424406</v>
      </c>
      <c r="C51" s="215" t="str">
        <f ca="1">IFERROR(__xludf.DUMMYFUNCTION("""COMPUTED_VALUE"""),"General")</f>
        <v>General</v>
      </c>
      <c r="D51" s="216" t="str">
        <f ca="1">IFERROR(__xludf.DUMMYFUNCTION("""COMPUTED_VALUE"""),"Overcome Overthinking")</f>
        <v>Overcome Overthinking</v>
      </c>
      <c r="E51" s="217"/>
      <c r="F51" s="213"/>
      <c r="G51" s="214"/>
      <c r="H51" s="215"/>
      <c r="I51" s="217"/>
      <c r="J51" s="217"/>
      <c r="K51" s="213"/>
      <c r="L51" s="215"/>
      <c r="M51" s="215"/>
      <c r="N51" s="217"/>
      <c r="O51" s="217"/>
      <c r="P51" s="213"/>
      <c r="Q51" s="215"/>
      <c r="R51" s="215"/>
      <c r="S51" s="217"/>
      <c r="T51" s="217"/>
      <c r="U51" s="213"/>
      <c r="V51" s="215"/>
      <c r="W51" s="215"/>
      <c r="X51" s="217"/>
      <c r="Y51" s="217"/>
      <c r="Z51" s="213"/>
      <c r="AA51" s="215"/>
      <c r="AB51" s="215"/>
      <c r="AC51" s="217"/>
      <c r="AD51" s="217"/>
      <c r="AE51" s="213"/>
      <c r="AF51" s="215"/>
      <c r="AG51" s="215"/>
      <c r="AH51" s="217"/>
      <c r="AI51" s="217"/>
      <c r="AJ51" s="213"/>
    </row>
    <row r="52" spans="1:36" ht="33.75" customHeight="1">
      <c r="A52" s="213"/>
      <c r="B52" s="214">
        <f ca="1">IFERROR(__xludf.DUMMYFUNCTION("""COMPUTED_VALUE"""),753898)</f>
        <v>753898</v>
      </c>
      <c r="C52" s="215" t="str">
        <f ca="1">IFERROR(__xludf.DUMMYFUNCTION("""COMPUTED_VALUE"""),"Intermediate")</f>
        <v>Intermediate</v>
      </c>
      <c r="D52" s="216" t="str">
        <f ca="1">IFERROR(__xludf.DUMMYFUNCTION("""COMPUTED_VALUE"""),"Cultivating Mental Agility")</f>
        <v>Cultivating Mental Agility</v>
      </c>
      <c r="E52" s="217"/>
      <c r="F52" s="213"/>
      <c r="G52" s="214"/>
      <c r="H52" s="215"/>
      <c r="I52" s="217"/>
      <c r="J52" s="217"/>
      <c r="K52" s="213"/>
      <c r="L52" s="215"/>
      <c r="M52" s="215"/>
      <c r="N52" s="217"/>
      <c r="O52" s="217"/>
      <c r="P52" s="213"/>
      <c r="Q52" s="215"/>
      <c r="R52" s="215"/>
      <c r="S52" s="217"/>
      <c r="T52" s="217"/>
      <c r="U52" s="213"/>
      <c r="V52" s="215"/>
      <c r="W52" s="215"/>
      <c r="X52" s="217"/>
      <c r="Y52" s="217"/>
      <c r="Z52" s="213"/>
      <c r="AA52" s="215"/>
      <c r="AB52" s="215"/>
      <c r="AC52" s="217"/>
      <c r="AD52" s="217"/>
      <c r="AE52" s="213"/>
      <c r="AF52" s="215"/>
      <c r="AG52" s="215"/>
      <c r="AH52" s="217"/>
      <c r="AI52" s="217"/>
      <c r="AJ52" s="213"/>
    </row>
    <row r="53" spans="1:36" ht="33.75" customHeight="1">
      <c r="A53" s="213"/>
      <c r="B53" s="214">
        <f ca="1">IFERROR(__xludf.DUMMYFUNCTION("""COMPUTED_VALUE"""),2972405)</f>
        <v>2972405</v>
      </c>
      <c r="C53" s="215" t="str">
        <f ca="1">IFERROR(__xludf.DUMMYFUNCTION("""COMPUTED_VALUE"""),"Intermediate")</f>
        <v>Intermediate</v>
      </c>
      <c r="D53" s="216" t="str">
        <f ca="1">IFERROR(__xludf.DUMMYFUNCTION("""COMPUTED_VALUE"""),"Decision-Making in High-Stress Situations")</f>
        <v>Decision-Making in High-Stress Situations</v>
      </c>
      <c r="E53" s="217"/>
      <c r="F53" s="213"/>
      <c r="G53" s="214"/>
      <c r="H53" s="215"/>
      <c r="I53" s="217"/>
      <c r="J53" s="217"/>
      <c r="K53" s="213"/>
      <c r="L53" s="215"/>
      <c r="M53" s="215"/>
      <c r="N53" s="217"/>
      <c r="O53" s="217"/>
      <c r="P53" s="213"/>
      <c r="Q53" s="215"/>
      <c r="R53" s="215"/>
      <c r="S53" s="217"/>
      <c r="T53" s="217"/>
      <c r="U53" s="213"/>
      <c r="V53" s="215"/>
      <c r="W53" s="215"/>
      <c r="X53" s="217"/>
      <c r="Y53" s="217"/>
      <c r="Z53" s="213"/>
      <c r="AA53" s="215"/>
      <c r="AB53" s="215"/>
      <c r="AC53" s="217"/>
      <c r="AD53" s="217"/>
      <c r="AE53" s="213"/>
      <c r="AF53" s="215"/>
      <c r="AG53" s="215"/>
      <c r="AH53" s="217"/>
      <c r="AI53" s="217"/>
      <c r="AJ53" s="213"/>
    </row>
    <row r="54" spans="1:36" ht="33.75" customHeight="1">
      <c r="A54" s="213"/>
      <c r="B54" s="214">
        <f ca="1">IFERROR(__xludf.DUMMYFUNCTION("""COMPUTED_VALUE"""),2876175)</f>
        <v>2876175</v>
      </c>
      <c r="C54" s="215" t="str">
        <f ca="1">IFERROR(__xludf.DUMMYFUNCTION("""COMPUTED_VALUE"""),"Intermediate")</f>
        <v>Intermediate</v>
      </c>
      <c r="D54" s="216" t="str">
        <f ca="1">IFERROR(__xludf.DUMMYFUNCTION("""COMPUTED_VALUE"""),"How to Fix Bad Agile")</f>
        <v>How to Fix Bad Agile</v>
      </c>
      <c r="E54" s="217"/>
      <c r="F54" s="213"/>
      <c r="G54" s="214"/>
      <c r="H54" s="215"/>
      <c r="I54" s="217"/>
      <c r="J54" s="217"/>
      <c r="K54" s="213"/>
      <c r="L54" s="215"/>
      <c r="M54" s="215"/>
      <c r="N54" s="217"/>
      <c r="O54" s="217"/>
      <c r="P54" s="213"/>
      <c r="Q54" s="215"/>
      <c r="R54" s="215"/>
      <c r="S54" s="217"/>
      <c r="T54" s="217"/>
      <c r="U54" s="213"/>
      <c r="V54" s="215"/>
      <c r="W54" s="215"/>
      <c r="X54" s="217"/>
      <c r="Y54" s="217"/>
      <c r="Z54" s="213"/>
      <c r="AA54" s="215"/>
      <c r="AB54" s="215"/>
      <c r="AC54" s="217"/>
      <c r="AD54" s="217"/>
      <c r="AE54" s="213"/>
      <c r="AF54" s="215"/>
      <c r="AG54" s="215"/>
      <c r="AH54" s="217"/>
      <c r="AI54" s="217"/>
      <c r="AJ54" s="213"/>
    </row>
    <row r="55" spans="1:36" ht="33.75" customHeight="1">
      <c r="A55" s="213"/>
      <c r="B55" s="214"/>
      <c r="C55" s="215"/>
      <c r="D55" s="216"/>
      <c r="E55" s="217"/>
      <c r="F55" s="213"/>
      <c r="G55" s="214"/>
      <c r="H55" s="215"/>
      <c r="I55" s="217"/>
      <c r="J55" s="217"/>
      <c r="K55" s="213"/>
      <c r="L55" s="215"/>
      <c r="M55" s="215"/>
      <c r="N55" s="217"/>
      <c r="O55" s="217"/>
      <c r="P55" s="213"/>
      <c r="Q55" s="215"/>
      <c r="R55" s="215"/>
      <c r="S55" s="217"/>
      <c r="T55" s="217"/>
      <c r="U55" s="213"/>
      <c r="V55" s="215"/>
      <c r="W55" s="215"/>
      <c r="X55" s="217"/>
      <c r="Y55" s="217"/>
      <c r="Z55" s="213"/>
      <c r="AA55" s="215"/>
      <c r="AB55" s="215"/>
      <c r="AC55" s="217"/>
      <c r="AD55" s="217"/>
      <c r="AE55" s="213"/>
      <c r="AF55" s="215"/>
      <c r="AG55" s="215"/>
      <c r="AH55" s="217"/>
      <c r="AI55" s="217"/>
      <c r="AJ55" s="213"/>
    </row>
    <row r="56" spans="1:36" ht="33.75" customHeight="1">
      <c r="A56" s="213"/>
      <c r="B56" s="214"/>
      <c r="C56" s="215"/>
      <c r="D56" s="216"/>
      <c r="E56" s="217"/>
      <c r="F56" s="213"/>
      <c r="G56" s="214"/>
      <c r="H56" s="215"/>
      <c r="I56" s="217"/>
      <c r="J56" s="217"/>
      <c r="K56" s="213"/>
      <c r="L56" s="215"/>
      <c r="M56" s="215"/>
      <c r="N56" s="217"/>
      <c r="O56" s="217"/>
      <c r="P56" s="213"/>
      <c r="Q56" s="215"/>
      <c r="R56" s="215"/>
      <c r="S56" s="217"/>
      <c r="T56" s="217"/>
      <c r="U56" s="213"/>
      <c r="V56" s="215"/>
      <c r="W56" s="215"/>
      <c r="X56" s="217"/>
      <c r="Y56" s="217"/>
      <c r="Z56" s="213"/>
      <c r="AA56" s="215"/>
      <c r="AB56" s="215"/>
      <c r="AC56" s="217"/>
      <c r="AD56" s="217"/>
      <c r="AE56" s="213"/>
      <c r="AF56" s="215"/>
      <c r="AG56" s="215"/>
      <c r="AH56" s="217"/>
      <c r="AI56" s="217"/>
      <c r="AJ56" s="213"/>
    </row>
    <row r="57" spans="1:36" ht="33.75" customHeight="1">
      <c r="A57" s="213"/>
      <c r="B57" s="214"/>
      <c r="C57" s="215"/>
      <c r="D57" s="216"/>
      <c r="E57" s="217"/>
      <c r="F57" s="213"/>
      <c r="G57" s="214"/>
      <c r="H57" s="215"/>
      <c r="I57" s="217"/>
      <c r="J57" s="217"/>
      <c r="K57" s="213"/>
      <c r="L57" s="215"/>
      <c r="M57" s="215"/>
      <c r="N57" s="217"/>
      <c r="O57" s="217"/>
      <c r="P57" s="213"/>
      <c r="Q57" s="215"/>
      <c r="R57" s="215"/>
      <c r="S57" s="217"/>
      <c r="T57" s="217"/>
      <c r="U57" s="213"/>
      <c r="V57" s="215"/>
      <c r="W57" s="215"/>
      <c r="X57" s="217"/>
      <c r="Y57" s="217"/>
      <c r="Z57" s="213"/>
      <c r="AA57" s="215"/>
      <c r="AB57" s="215"/>
      <c r="AC57" s="217"/>
      <c r="AD57" s="217"/>
      <c r="AE57" s="213"/>
      <c r="AF57" s="215"/>
      <c r="AG57" s="215"/>
      <c r="AH57" s="217"/>
      <c r="AI57" s="217"/>
      <c r="AJ57" s="213"/>
    </row>
    <row r="58" spans="1:36" ht="33.75" customHeight="1">
      <c r="A58" s="213"/>
      <c r="B58" s="214"/>
      <c r="C58" s="215"/>
      <c r="D58" s="216"/>
      <c r="E58" s="217"/>
      <c r="F58" s="213"/>
      <c r="G58" s="214"/>
      <c r="H58" s="215"/>
      <c r="I58" s="217"/>
      <c r="J58" s="217"/>
      <c r="K58" s="213"/>
      <c r="L58" s="215"/>
      <c r="M58" s="215"/>
      <c r="N58" s="217"/>
      <c r="O58" s="217"/>
      <c r="P58" s="213"/>
      <c r="Q58" s="215"/>
      <c r="R58" s="215"/>
      <c r="S58" s="217"/>
      <c r="T58" s="217"/>
      <c r="U58" s="213"/>
      <c r="V58" s="215"/>
      <c r="W58" s="215"/>
      <c r="X58" s="217"/>
      <c r="Y58" s="217"/>
      <c r="Z58" s="213"/>
      <c r="AA58" s="215"/>
      <c r="AB58" s="215"/>
      <c r="AC58" s="217"/>
      <c r="AD58" s="217"/>
      <c r="AE58" s="213"/>
      <c r="AF58" s="215"/>
      <c r="AG58" s="215"/>
      <c r="AH58" s="217"/>
      <c r="AI58" s="217"/>
      <c r="AJ58" s="213"/>
    </row>
    <row r="59" spans="1:36" ht="33.75" customHeight="1">
      <c r="A59" s="213"/>
      <c r="B59" s="214"/>
      <c r="C59" s="215"/>
      <c r="D59" s="216"/>
      <c r="E59" s="217"/>
      <c r="F59" s="213"/>
      <c r="G59" s="214"/>
      <c r="H59" s="215"/>
      <c r="I59" s="217"/>
      <c r="J59" s="217"/>
      <c r="K59" s="213"/>
      <c r="L59" s="215"/>
      <c r="M59" s="215"/>
      <c r="N59" s="217"/>
      <c r="O59" s="217"/>
      <c r="P59" s="213"/>
      <c r="Q59" s="215"/>
      <c r="R59" s="215"/>
      <c r="S59" s="217"/>
      <c r="T59" s="217"/>
      <c r="U59" s="213"/>
      <c r="V59" s="215"/>
      <c r="W59" s="215"/>
      <c r="X59" s="217"/>
      <c r="Y59" s="217"/>
      <c r="Z59" s="213"/>
      <c r="AA59" s="215"/>
      <c r="AB59" s="215"/>
      <c r="AC59" s="217"/>
      <c r="AD59" s="217"/>
      <c r="AE59" s="213"/>
      <c r="AF59" s="215"/>
      <c r="AG59" s="215"/>
      <c r="AH59" s="217"/>
      <c r="AI59" s="217"/>
      <c r="AJ59" s="213"/>
    </row>
    <row r="60" spans="1:36" ht="33.75" customHeight="1">
      <c r="A60" s="213"/>
      <c r="B60" s="214"/>
      <c r="C60" s="215"/>
      <c r="D60" s="216"/>
      <c r="E60" s="217"/>
      <c r="F60" s="213"/>
      <c r="G60" s="214"/>
      <c r="H60" s="215"/>
      <c r="I60" s="217"/>
      <c r="J60" s="217"/>
      <c r="K60" s="213"/>
      <c r="L60" s="215"/>
      <c r="M60" s="215"/>
      <c r="N60" s="217"/>
      <c r="O60" s="217"/>
      <c r="P60" s="213"/>
      <c r="Q60" s="215"/>
      <c r="R60" s="215"/>
      <c r="S60" s="217"/>
      <c r="T60" s="217"/>
      <c r="U60" s="213"/>
      <c r="V60" s="215"/>
      <c r="W60" s="215"/>
      <c r="X60" s="217"/>
      <c r="Y60" s="217"/>
      <c r="Z60" s="213"/>
      <c r="AA60" s="215"/>
      <c r="AB60" s="215"/>
      <c r="AC60" s="217"/>
      <c r="AD60" s="217"/>
      <c r="AE60" s="213"/>
      <c r="AF60" s="215"/>
      <c r="AG60" s="215"/>
      <c r="AH60" s="217"/>
      <c r="AI60" s="217"/>
      <c r="AJ60" s="213"/>
    </row>
    <row r="61" spans="1:36" ht="33.75" customHeight="1">
      <c r="A61" s="213"/>
      <c r="B61" s="214"/>
      <c r="C61" s="215"/>
      <c r="D61" s="216"/>
      <c r="E61" s="217"/>
      <c r="F61" s="213"/>
      <c r="G61" s="214"/>
      <c r="H61" s="215"/>
      <c r="I61" s="217"/>
      <c r="J61" s="217"/>
      <c r="K61" s="213"/>
      <c r="L61" s="215"/>
      <c r="M61" s="215"/>
      <c r="N61" s="217"/>
      <c r="O61" s="217"/>
      <c r="P61" s="213"/>
      <c r="Q61" s="215"/>
      <c r="R61" s="215"/>
      <c r="S61" s="217"/>
      <c r="T61" s="217"/>
      <c r="U61" s="213"/>
      <c r="V61" s="215"/>
      <c r="W61" s="215"/>
      <c r="X61" s="217"/>
      <c r="Y61" s="217"/>
      <c r="Z61" s="213"/>
      <c r="AA61" s="215"/>
      <c r="AB61" s="215"/>
      <c r="AC61" s="217"/>
      <c r="AD61" s="217"/>
      <c r="AE61" s="213"/>
      <c r="AF61" s="215"/>
      <c r="AG61" s="215"/>
      <c r="AH61" s="217"/>
      <c r="AI61" s="217"/>
      <c r="AJ61" s="213"/>
    </row>
    <row r="62" spans="1:36" ht="33.75" customHeight="1">
      <c r="A62" s="213"/>
      <c r="B62" s="214"/>
      <c r="C62" s="215"/>
      <c r="D62" s="216"/>
      <c r="E62" s="217"/>
      <c r="F62" s="213"/>
      <c r="G62" s="214"/>
      <c r="H62" s="215"/>
      <c r="I62" s="217"/>
      <c r="J62" s="217"/>
      <c r="K62" s="213"/>
      <c r="L62" s="215"/>
      <c r="M62" s="215"/>
      <c r="N62" s="217"/>
      <c r="O62" s="217"/>
      <c r="P62" s="213"/>
      <c r="Q62" s="215"/>
      <c r="R62" s="215"/>
      <c r="S62" s="217"/>
      <c r="T62" s="217"/>
      <c r="U62" s="213"/>
      <c r="V62" s="215"/>
      <c r="W62" s="215"/>
      <c r="X62" s="217"/>
      <c r="Y62" s="217"/>
      <c r="Z62" s="213"/>
      <c r="AA62" s="215"/>
      <c r="AB62" s="215"/>
      <c r="AC62" s="217"/>
      <c r="AD62" s="217"/>
      <c r="AE62" s="213"/>
      <c r="AF62" s="215"/>
      <c r="AG62" s="215"/>
      <c r="AH62" s="217"/>
      <c r="AI62" s="217"/>
      <c r="AJ62" s="213"/>
    </row>
    <row r="63" spans="1:36" ht="33.75" customHeight="1">
      <c r="A63" s="213"/>
      <c r="B63" s="214"/>
      <c r="C63" s="215"/>
      <c r="D63" s="216"/>
      <c r="E63" s="217"/>
      <c r="F63" s="213"/>
      <c r="G63" s="214"/>
      <c r="H63" s="215"/>
      <c r="I63" s="217"/>
      <c r="J63" s="217"/>
      <c r="K63" s="213"/>
      <c r="L63" s="215"/>
      <c r="M63" s="215"/>
      <c r="N63" s="217"/>
      <c r="O63" s="217"/>
      <c r="P63" s="213"/>
      <c r="Q63" s="215"/>
      <c r="R63" s="215"/>
      <c r="S63" s="217"/>
      <c r="T63" s="217"/>
      <c r="U63" s="213"/>
      <c r="V63" s="215"/>
      <c r="W63" s="215"/>
      <c r="X63" s="217"/>
      <c r="Y63" s="217"/>
      <c r="Z63" s="213"/>
      <c r="AA63" s="215"/>
      <c r="AB63" s="215"/>
      <c r="AC63" s="217"/>
      <c r="AD63" s="217"/>
      <c r="AE63" s="213"/>
      <c r="AF63" s="215"/>
      <c r="AG63" s="215"/>
      <c r="AH63" s="217"/>
      <c r="AI63" s="217"/>
      <c r="AJ63" s="213"/>
    </row>
    <row r="64" spans="1:36" ht="33.75" customHeight="1">
      <c r="A64" s="213"/>
      <c r="B64" s="214"/>
      <c r="C64" s="215"/>
      <c r="D64" s="216"/>
      <c r="E64" s="217"/>
      <c r="F64" s="213"/>
      <c r="G64" s="214"/>
      <c r="H64" s="215"/>
      <c r="I64" s="217"/>
      <c r="J64" s="217"/>
      <c r="K64" s="213"/>
      <c r="L64" s="215"/>
      <c r="M64" s="215"/>
      <c r="N64" s="217"/>
      <c r="O64" s="217"/>
      <c r="P64" s="213"/>
      <c r="Q64" s="215"/>
      <c r="R64" s="215"/>
      <c r="S64" s="217"/>
      <c r="T64" s="217"/>
      <c r="U64" s="213"/>
      <c r="V64" s="215"/>
      <c r="W64" s="215"/>
      <c r="X64" s="217"/>
      <c r="Y64" s="217"/>
      <c r="Z64" s="213"/>
      <c r="AA64" s="215"/>
      <c r="AB64" s="215"/>
      <c r="AC64" s="217"/>
      <c r="AD64" s="217"/>
      <c r="AE64" s="213"/>
      <c r="AF64" s="215"/>
      <c r="AG64" s="215"/>
      <c r="AH64" s="217"/>
      <c r="AI64" s="217"/>
      <c r="AJ64" s="213"/>
    </row>
    <row r="65" spans="1:36" ht="33.75" customHeight="1">
      <c r="A65" s="213"/>
      <c r="B65" s="214"/>
      <c r="C65" s="215"/>
      <c r="D65" s="216"/>
      <c r="E65" s="217"/>
      <c r="F65" s="213"/>
      <c r="G65" s="214"/>
      <c r="H65" s="215"/>
      <c r="I65" s="217"/>
      <c r="J65" s="217"/>
      <c r="K65" s="213"/>
      <c r="L65" s="215"/>
      <c r="M65" s="215"/>
      <c r="N65" s="217"/>
      <c r="O65" s="217"/>
      <c r="P65" s="213"/>
      <c r="Q65" s="215"/>
      <c r="R65" s="215"/>
      <c r="S65" s="217"/>
      <c r="T65" s="217"/>
      <c r="U65" s="213"/>
      <c r="V65" s="215"/>
      <c r="W65" s="215"/>
      <c r="X65" s="217"/>
      <c r="Y65" s="217"/>
      <c r="Z65" s="213"/>
      <c r="AA65" s="215"/>
      <c r="AB65" s="215"/>
      <c r="AC65" s="217"/>
      <c r="AD65" s="217"/>
      <c r="AE65" s="213"/>
      <c r="AF65" s="215"/>
      <c r="AG65" s="215"/>
      <c r="AH65" s="217"/>
      <c r="AI65" s="217"/>
      <c r="AJ65" s="213"/>
    </row>
    <row r="66" spans="1:36" ht="33.75" customHeight="1">
      <c r="A66" s="213"/>
      <c r="B66" s="214"/>
      <c r="C66" s="215"/>
      <c r="D66" s="216"/>
      <c r="E66" s="217"/>
      <c r="F66" s="213"/>
      <c r="G66" s="214"/>
      <c r="H66" s="215"/>
      <c r="I66" s="217"/>
      <c r="J66" s="217"/>
      <c r="K66" s="213"/>
      <c r="L66" s="215"/>
      <c r="M66" s="215"/>
      <c r="N66" s="217"/>
      <c r="O66" s="217"/>
      <c r="P66" s="213"/>
      <c r="Q66" s="215"/>
      <c r="R66" s="215"/>
      <c r="S66" s="217"/>
      <c r="T66" s="217"/>
      <c r="U66" s="213"/>
      <c r="V66" s="215"/>
      <c r="W66" s="215"/>
      <c r="X66" s="217"/>
      <c r="Y66" s="217"/>
      <c r="Z66" s="213"/>
      <c r="AA66" s="215"/>
      <c r="AB66" s="215"/>
      <c r="AC66" s="217"/>
      <c r="AD66" s="217"/>
      <c r="AE66" s="213"/>
      <c r="AF66" s="215"/>
      <c r="AG66" s="215"/>
      <c r="AH66" s="217"/>
      <c r="AI66" s="217"/>
      <c r="AJ66" s="213"/>
    </row>
    <row r="67" spans="1:36" ht="33.75" customHeight="1">
      <c r="A67" s="213"/>
      <c r="B67" s="214"/>
      <c r="C67" s="215"/>
      <c r="D67" s="216"/>
      <c r="E67" s="217"/>
      <c r="F67" s="213"/>
      <c r="G67" s="214"/>
      <c r="H67" s="215"/>
      <c r="I67" s="217"/>
      <c r="J67" s="217"/>
      <c r="K67" s="213"/>
      <c r="L67" s="215"/>
      <c r="M67" s="215"/>
      <c r="N67" s="217"/>
      <c r="O67" s="217"/>
      <c r="P67" s="213"/>
      <c r="Q67" s="215"/>
      <c r="R67" s="215"/>
      <c r="S67" s="217"/>
      <c r="T67" s="217"/>
      <c r="U67" s="213"/>
      <c r="V67" s="215"/>
      <c r="W67" s="215"/>
      <c r="X67" s="217"/>
      <c r="Y67" s="217"/>
      <c r="Z67" s="213"/>
      <c r="AA67" s="215"/>
      <c r="AB67" s="215"/>
      <c r="AC67" s="217"/>
      <c r="AD67" s="217"/>
      <c r="AE67" s="213"/>
      <c r="AF67" s="215"/>
      <c r="AG67" s="215"/>
      <c r="AH67" s="217"/>
      <c r="AI67" s="217"/>
      <c r="AJ67" s="213"/>
    </row>
    <row r="68" spans="1:36" ht="33.75" customHeight="1">
      <c r="A68" s="213"/>
      <c r="B68" s="214"/>
      <c r="C68" s="215"/>
      <c r="D68" s="216"/>
      <c r="E68" s="217"/>
      <c r="F68" s="213"/>
      <c r="G68" s="214"/>
      <c r="H68" s="215"/>
      <c r="I68" s="217"/>
      <c r="J68" s="217"/>
      <c r="K68" s="213"/>
      <c r="L68" s="215"/>
      <c r="M68" s="215"/>
      <c r="N68" s="217"/>
      <c r="O68" s="217"/>
      <c r="P68" s="213"/>
      <c r="Q68" s="215"/>
      <c r="R68" s="215"/>
      <c r="S68" s="217"/>
      <c r="T68" s="217"/>
      <c r="U68" s="213"/>
      <c r="V68" s="215"/>
      <c r="W68" s="215"/>
      <c r="X68" s="217"/>
      <c r="Y68" s="217"/>
      <c r="Z68" s="213"/>
      <c r="AA68" s="215"/>
      <c r="AB68" s="215"/>
      <c r="AC68" s="217"/>
      <c r="AD68" s="217"/>
      <c r="AE68" s="213"/>
      <c r="AF68" s="215"/>
      <c r="AG68" s="215"/>
      <c r="AH68" s="217"/>
      <c r="AI68" s="217"/>
      <c r="AJ68" s="213"/>
    </row>
    <row r="69" spans="1:36" ht="33.75" customHeight="1">
      <c r="A69" s="213"/>
      <c r="B69" s="214"/>
      <c r="C69" s="215"/>
      <c r="D69" s="216"/>
      <c r="E69" s="217"/>
      <c r="F69" s="213"/>
      <c r="G69" s="214"/>
      <c r="H69" s="215"/>
      <c r="I69" s="217"/>
      <c r="J69" s="217"/>
      <c r="K69" s="213"/>
      <c r="L69" s="215"/>
      <c r="M69" s="215"/>
      <c r="N69" s="217"/>
      <c r="O69" s="217"/>
      <c r="P69" s="213"/>
      <c r="Q69" s="215"/>
      <c r="R69" s="215"/>
      <c r="S69" s="217"/>
      <c r="T69" s="217"/>
      <c r="U69" s="213"/>
      <c r="V69" s="215"/>
      <c r="W69" s="215"/>
      <c r="X69" s="217"/>
      <c r="Y69" s="217"/>
      <c r="Z69" s="213"/>
      <c r="AA69" s="215"/>
      <c r="AB69" s="215"/>
      <c r="AC69" s="217"/>
      <c r="AD69" s="217"/>
      <c r="AE69" s="213"/>
      <c r="AF69" s="215"/>
      <c r="AG69" s="215"/>
      <c r="AH69" s="217"/>
      <c r="AI69" s="217"/>
      <c r="AJ69" s="213"/>
    </row>
    <row r="70" spans="1:36" ht="33.75" customHeight="1">
      <c r="A70" s="213"/>
      <c r="B70" s="214"/>
      <c r="C70" s="215"/>
      <c r="D70" s="216"/>
      <c r="E70" s="217"/>
      <c r="F70" s="213"/>
      <c r="G70" s="214"/>
      <c r="H70" s="215"/>
      <c r="I70" s="217"/>
      <c r="J70" s="217"/>
      <c r="K70" s="213"/>
      <c r="L70" s="215"/>
      <c r="M70" s="215"/>
      <c r="N70" s="217"/>
      <c r="O70" s="217"/>
      <c r="P70" s="213"/>
      <c r="Q70" s="215"/>
      <c r="R70" s="215"/>
      <c r="S70" s="217"/>
      <c r="T70" s="217"/>
      <c r="U70" s="213"/>
      <c r="V70" s="215"/>
      <c r="W70" s="215"/>
      <c r="X70" s="217"/>
      <c r="Y70" s="217"/>
      <c r="Z70" s="213"/>
      <c r="AA70" s="215"/>
      <c r="AB70" s="215"/>
      <c r="AC70" s="217"/>
      <c r="AD70" s="217"/>
      <c r="AE70" s="213"/>
      <c r="AF70" s="215"/>
      <c r="AG70" s="215"/>
      <c r="AH70" s="217"/>
      <c r="AI70" s="217"/>
      <c r="AJ70" s="213"/>
    </row>
    <row r="71" spans="1:36" ht="33.75" customHeight="1">
      <c r="A71" s="213"/>
      <c r="B71" s="214"/>
      <c r="C71" s="215"/>
      <c r="D71" s="216"/>
      <c r="E71" s="217"/>
      <c r="F71" s="213"/>
      <c r="G71" s="214"/>
      <c r="H71" s="215"/>
      <c r="I71" s="217"/>
      <c r="J71" s="217"/>
      <c r="K71" s="213"/>
      <c r="L71" s="215"/>
      <c r="M71" s="215"/>
      <c r="N71" s="217"/>
      <c r="O71" s="217"/>
      <c r="P71" s="213"/>
      <c r="Q71" s="215"/>
      <c r="R71" s="215"/>
      <c r="S71" s="217"/>
      <c r="T71" s="217"/>
      <c r="U71" s="213"/>
      <c r="V71" s="215"/>
      <c r="W71" s="215"/>
      <c r="X71" s="217"/>
      <c r="Y71" s="217"/>
      <c r="Z71" s="213"/>
      <c r="AA71" s="215"/>
      <c r="AB71" s="215"/>
      <c r="AC71" s="217"/>
      <c r="AD71" s="217"/>
      <c r="AE71" s="213"/>
      <c r="AF71" s="215"/>
      <c r="AG71" s="215"/>
      <c r="AH71" s="217"/>
      <c r="AI71" s="217"/>
      <c r="AJ71" s="213"/>
    </row>
    <row r="72" spans="1:36" ht="33.75" customHeight="1">
      <c r="A72" s="213"/>
      <c r="B72" s="214"/>
      <c r="C72" s="215"/>
      <c r="D72" s="216"/>
      <c r="E72" s="217"/>
      <c r="F72" s="213"/>
      <c r="G72" s="214"/>
      <c r="H72" s="215"/>
      <c r="I72" s="217"/>
      <c r="J72" s="217"/>
      <c r="K72" s="213"/>
      <c r="L72" s="215"/>
      <c r="M72" s="215"/>
      <c r="N72" s="217"/>
      <c r="O72" s="217"/>
      <c r="P72" s="213"/>
      <c r="Q72" s="215"/>
      <c r="R72" s="215"/>
      <c r="S72" s="217"/>
      <c r="T72" s="217"/>
      <c r="U72" s="213"/>
      <c r="V72" s="215"/>
      <c r="W72" s="215"/>
      <c r="X72" s="217"/>
      <c r="Y72" s="217"/>
      <c r="Z72" s="213"/>
      <c r="AA72" s="215"/>
      <c r="AB72" s="215"/>
      <c r="AC72" s="217"/>
      <c r="AD72" s="217"/>
      <c r="AE72" s="213"/>
      <c r="AF72" s="215"/>
      <c r="AG72" s="215"/>
      <c r="AH72" s="217"/>
      <c r="AI72" s="217"/>
      <c r="AJ72" s="213"/>
    </row>
    <row r="73" spans="1:36" ht="33.75" customHeight="1">
      <c r="A73" s="213"/>
      <c r="B73" s="214"/>
      <c r="C73" s="215"/>
      <c r="D73" s="216"/>
      <c r="E73" s="217"/>
      <c r="F73" s="213"/>
      <c r="G73" s="214"/>
      <c r="H73" s="215"/>
      <c r="I73" s="217"/>
      <c r="J73" s="217"/>
      <c r="K73" s="213"/>
      <c r="L73" s="215"/>
      <c r="M73" s="215"/>
      <c r="N73" s="217"/>
      <c r="O73" s="217"/>
      <c r="P73" s="213"/>
      <c r="Q73" s="215"/>
      <c r="R73" s="215"/>
      <c r="S73" s="217"/>
      <c r="T73" s="217"/>
      <c r="U73" s="213"/>
      <c r="V73" s="215"/>
      <c r="W73" s="215"/>
      <c r="X73" s="217"/>
      <c r="Y73" s="217"/>
      <c r="Z73" s="213"/>
      <c r="AA73" s="215"/>
      <c r="AB73" s="215"/>
      <c r="AC73" s="217"/>
      <c r="AD73" s="217"/>
      <c r="AE73" s="213"/>
      <c r="AF73" s="215"/>
      <c r="AG73" s="215"/>
      <c r="AH73" s="217"/>
      <c r="AI73" s="217"/>
      <c r="AJ73" s="213"/>
    </row>
    <row r="74" spans="1:36" ht="33.75" customHeight="1">
      <c r="A74" s="213"/>
      <c r="B74" s="214"/>
      <c r="C74" s="215"/>
      <c r="D74" s="216"/>
      <c r="E74" s="217"/>
      <c r="F74" s="213"/>
      <c r="G74" s="214"/>
      <c r="H74" s="215"/>
      <c r="I74" s="217"/>
      <c r="J74" s="217"/>
      <c r="K74" s="213"/>
      <c r="L74" s="215"/>
      <c r="M74" s="215"/>
      <c r="N74" s="217"/>
      <c r="O74" s="217"/>
      <c r="P74" s="213"/>
      <c r="Q74" s="215"/>
      <c r="R74" s="215"/>
      <c r="S74" s="217"/>
      <c r="T74" s="217"/>
      <c r="U74" s="213"/>
      <c r="V74" s="215"/>
      <c r="W74" s="215"/>
      <c r="X74" s="217"/>
      <c r="Y74" s="217"/>
      <c r="Z74" s="213"/>
      <c r="AA74" s="215"/>
      <c r="AB74" s="215"/>
      <c r="AC74" s="217"/>
      <c r="AD74" s="217"/>
      <c r="AE74" s="213"/>
      <c r="AF74" s="215"/>
      <c r="AG74" s="215"/>
      <c r="AH74" s="217"/>
      <c r="AI74" s="217"/>
      <c r="AJ74" s="213"/>
    </row>
    <row r="75" spans="1:36" ht="33.75" customHeight="1">
      <c r="A75" s="213"/>
      <c r="B75" s="214"/>
      <c r="C75" s="215"/>
      <c r="D75" s="216"/>
      <c r="E75" s="217"/>
      <c r="F75" s="213"/>
      <c r="G75" s="214"/>
      <c r="H75" s="215"/>
      <c r="I75" s="217"/>
      <c r="J75" s="217"/>
      <c r="K75" s="213"/>
      <c r="L75" s="215"/>
      <c r="M75" s="215"/>
      <c r="N75" s="217"/>
      <c r="O75" s="217"/>
      <c r="P75" s="213"/>
      <c r="Q75" s="215"/>
      <c r="R75" s="215"/>
      <c r="S75" s="217"/>
      <c r="T75" s="217"/>
      <c r="U75" s="213"/>
      <c r="V75" s="215"/>
      <c r="W75" s="215"/>
      <c r="X75" s="217"/>
      <c r="Y75" s="217"/>
      <c r="Z75" s="213"/>
      <c r="AA75" s="215"/>
      <c r="AB75" s="215"/>
      <c r="AC75" s="217"/>
      <c r="AD75" s="217"/>
      <c r="AE75" s="213"/>
      <c r="AF75" s="215"/>
      <c r="AG75" s="215"/>
      <c r="AH75" s="217"/>
      <c r="AI75" s="217"/>
      <c r="AJ75" s="213"/>
    </row>
    <row r="76" spans="1:36" ht="33.75" customHeight="1">
      <c r="A76" s="213"/>
      <c r="B76" s="214"/>
      <c r="C76" s="215"/>
      <c r="D76" s="216"/>
      <c r="E76" s="217"/>
      <c r="F76" s="213"/>
      <c r="G76" s="214"/>
      <c r="H76" s="215"/>
      <c r="I76" s="217"/>
      <c r="J76" s="217"/>
      <c r="K76" s="213"/>
      <c r="L76" s="215"/>
      <c r="M76" s="215"/>
      <c r="N76" s="217"/>
      <c r="O76" s="217"/>
      <c r="P76" s="213"/>
      <c r="Q76" s="215"/>
      <c r="R76" s="215"/>
      <c r="S76" s="217"/>
      <c r="T76" s="217"/>
      <c r="U76" s="213"/>
      <c r="V76" s="215"/>
      <c r="W76" s="215"/>
      <c r="X76" s="217"/>
      <c r="Y76" s="217"/>
      <c r="Z76" s="213"/>
      <c r="AA76" s="215"/>
      <c r="AB76" s="215"/>
      <c r="AC76" s="217"/>
      <c r="AD76" s="217"/>
      <c r="AE76" s="213"/>
      <c r="AF76" s="215"/>
      <c r="AG76" s="215"/>
      <c r="AH76" s="217"/>
      <c r="AI76" s="217"/>
      <c r="AJ76" s="213"/>
    </row>
    <row r="77" spans="1:36" ht="33.75" customHeight="1">
      <c r="A77" s="213"/>
      <c r="B77" s="214"/>
      <c r="C77" s="215"/>
      <c r="D77" s="216"/>
      <c r="E77" s="217"/>
      <c r="F77" s="213"/>
      <c r="G77" s="214"/>
      <c r="H77" s="215"/>
      <c r="I77" s="217"/>
      <c r="J77" s="217"/>
      <c r="K77" s="213"/>
      <c r="L77" s="215"/>
      <c r="M77" s="215"/>
      <c r="N77" s="217"/>
      <c r="O77" s="217"/>
      <c r="P77" s="213"/>
      <c r="Q77" s="215"/>
      <c r="R77" s="215"/>
      <c r="S77" s="217"/>
      <c r="T77" s="217"/>
      <c r="U77" s="213"/>
      <c r="V77" s="215"/>
      <c r="W77" s="215"/>
      <c r="X77" s="217"/>
      <c r="Y77" s="217"/>
      <c r="Z77" s="213"/>
      <c r="AA77" s="215"/>
      <c r="AB77" s="215"/>
      <c r="AC77" s="217"/>
      <c r="AD77" s="217"/>
      <c r="AE77" s="213"/>
      <c r="AF77" s="215"/>
      <c r="AG77" s="215"/>
      <c r="AH77" s="217"/>
      <c r="AI77" s="217"/>
      <c r="AJ77" s="213"/>
    </row>
    <row r="78" spans="1:36" ht="33.75" customHeight="1">
      <c r="A78" s="213"/>
      <c r="B78" s="214"/>
      <c r="C78" s="215"/>
      <c r="D78" s="216"/>
      <c r="E78" s="217"/>
      <c r="F78" s="213"/>
      <c r="G78" s="214"/>
      <c r="H78" s="215"/>
      <c r="I78" s="217"/>
      <c r="J78" s="217"/>
      <c r="K78" s="213"/>
      <c r="L78" s="215"/>
      <c r="M78" s="215"/>
      <c r="N78" s="217"/>
      <c r="O78" s="217"/>
      <c r="P78" s="213"/>
      <c r="Q78" s="215"/>
      <c r="R78" s="215"/>
      <c r="S78" s="217"/>
      <c r="T78" s="217"/>
      <c r="U78" s="213"/>
      <c r="V78" s="215"/>
      <c r="W78" s="215"/>
      <c r="X78" s="217"/>
      <c r="Y78" s="217"/>
      <c r="Z78" s="213"/>
      <c r="AA78" s="215"/>
      <c r="AB78" s="215"/>
      <c r="AC78" s="217"/>
      <c r="AD78" s="217"/>
      <c r="AE78" s="213"/>
      <c r="AF78" s="215"/>
      <c r="AG78" s="215"/>
      <c r="AH78" s="217"/>
      <c r="AI78" s="217"/>
      <c r="AJ78" s="213"/>
    </row>
    <row r="79" spans="1:36" ht="33.75" customHeight="1">
      <c r="A79" s="213"/>
      <c r="B79" s="214"/>
      <c r="C79" s="215"/>
      <c r="D79" s="216"/>
      <c r="E79" s="217"/>
      <c r="F79" s="213"/>
      <c r="G79" s="214"/>
      <c r="H79" s="215"/>
      <c r="I79" s="217"/>
      <c r="J79" s="217"/>
      <c r="K79" s="213"/>
      <c r="L79" s="215"/>
      <c r="M79" s="215"/>
      <c r="N79" s="217"/>
      <c r="O79" s="217"/>
      <c r="P79" s="213"/>
      <c r="Q79" s="215"/>
      <c r="R79" s="215"/>
      <c r="S79" s="217"/>
      <c r="T79" s="217"/>
      <c r="U79" s="213"/>
      <c r="V79" s="215"/>
      <c r="W79" s="215"/>
      <c r="X79" s="217"/>
      <c r="Y79" s="217"/>
      <c r="Z79" s="213"/>
      <c r="AA79" s="215"/>
      <c r="AB79" s="215"/>
      <c r="AC79" s="217"/>
      <c r="AD79" s="217"/>
      <c r="AE79" s="213"/>
      <c r="AF79" s="215"/>
      <c r="AG79" s="215"/>
      <c r="AH79" s="217"/>
      <c r="AI79" s="217"/>
      <c r="AJ79" s="213"/>
    </row>
    <row r="80" spans="1:36" ht="33.75" customHeight="1">
      <c r="A80" s="213"/>
      <c r="B80" s="214"/>
      <c r="C80" s="215"/>
      <c r="D80" s="216"/>
      <c r="E80" s="217"/>
      <c r="F80" s="213"/>
      <c r="G80" s="214"/>
      <c r="H80" s="215"/>
      <c r="I80" s="217"/>
      <c r="J80" s="217"/>
      <c r="K80" s="213"/>
      <c r="L80" s="215"/>
      <c r="M80" s="215"/>
      <c r="N80" s="217"/>
      <c r="O80" s="217"/>
      <c r="P80" s="213"/>
      <c r="Q80" s="215"/>
      <c r="R80" s="215"/>
      <c r="S80" s="217"/>
      <c r="T80" s="217"/>
      <c r="U80" s="213"/>
      <c r="V80" s="215"/>
      <c r="W80" s="215"/>
      <c r="X80" s="217"/>
      <c r="Y80" s="217"/>
      <c r="Z80" s="213"/>
      <c r="AA80" s="215"/>
      <c r="AB80" s="215"/>
      <c r="AC80" s="217"/>
      <c r="AD80" s="217"/>
      <c r="AE80" s="213"/>
      <c r="AF80" s="215"/>
      <c r="AG80" s="215"/>
      <c r="AH80" s="217"/>
      <c r="AI80" s="217"/>
      <c r="AJ80" s="213"/>
    </row>
    <row r="81" spans="1:36" ht="33.75" customHeight="1">
      <c r="A81" s="213"/>
      <c r="B81" s="214"/>
      <c r="C81" s="215"/>
      <c r="D81" s="216"/>
      <c r="E81" s="217"/>
      <c r="F81" s="213"/>
      <c r="G81" s="214"/>
      <c r="H81" s="215"/>
      <c r="I81" s="217"/>
      <c r="J81" s="217"/>
      <c r="K81" s="213"/>
      <c r="L81" s="215"/>
      <c r="M81" s="215"/>
      <c r="N81" s="217"/>
      <c r="O81" s="217"/>
      <c r="P81" s="213"/>
      <c r="Q81" s="215"/>
      <c r="R81" s="215"/>
      <c r="S81" s="217"/>
      <c r="T81" s="217"/>
      <c r="U81" s="213"/>
      <c r="V81" s="215"/>
      <c r="W81" s="215"/>
      <c r="X81" s="217"/>
      <c r="Y81" s="217"/>
      <c r="Z81" s="213"/>
      <c r="AA81" s="215"/>
      <c r="AB81" s="215"/>
      <c r="AC81" s="217"/>
      <c r="AD81" s="217"/>
      <c r="AE81" s="213"/>
      <c r="AF81" s="215"/>
      <c r="AG81" s="215"/>
      <c r="AH81" s="217"/>
      <c r="AI81" s="217"/>
      <c r="AJ81" s="213"/>
    </row>
    <row r="82" spans="1:36" ht="33.75" customHeight="1">
      <c r="A82" s="213"/>
      <c r="B82" s="214"/>
      <c r="C82" s="215"/>
      <c r="D82" s="216"/>
      <c r="E82" s="217"/>
      <c r="F82" s="213"/>
      <c r="G82" s="214"/>
      <c r="H82" s="215"/>
      <c r="I82" s="217"/>
      <c r="J82" s="217"/>
      <c r="K82" s="213"/>
      <c r="L82" s="215"/>
      <c r="M82" s="215"/>
      <c r="N82" s="217"/>
      <c r="O82" s="217"/>
      <c r="P82" s="213"/>
      <c r="Q82" s="215"/>
      <c r="R82" s="215"/>
      <c r="S82" s="217"/>
      <c r="T82" s="217"/>
      <c r="U82" s="213"/>
      <c r="V82" s="215"/>
      <c r="W82" s="215"/>
      <c r="X82" s="217"/>
      <c r="Y82" s="217"/>
      <c r="Z82" s="213"/>
      <c r="AA82" s="215"/>
      <c r="AB82" s="215"/>
      <c r="AC82" s="217"/>
      <c r="AD82" s="217"/>
      <c r="AE82" s="213"/>
      <c r="AF82" s="215"/>
      <c r="AG82" s="215"/>
      <c r="AH82" s="217"/>
      <c r="AI82" s="217"/>
      <c r="AJ82" s="213"/>
    </row>
    <row r="83" spans="1:36" ht="33.75" customHeight="1">
      <c r="A83" s="213"/>
      <c r="B83" s="214"/>
      <c r="C83" s="215"/>
      <c r="D83" s="216"/>
      <c r="E83" s="217"/>
      <c r="F83" s="213"/>
      <c r="G83" s="214"/>
      <c r="H83" s="215"/>
      <c r="I83" s="217"/>
      <c r="J83" s="217"/>
      <c r="K83" s="213"/>
      <c r="L83" s="215"/>
      <c r="M83" s="215"/>
      <c r="N83" s="217"/>
      <c r="O83" s="217"/>
      <c r="P83" s="213"/>
      <c r="Q83" s="215"/>
      <c r="R83" s="215"/>
      <c r="S83" s="217"/>
      <c r="T83" s="217"/>
      <c r="U83" s="213"/>
      <c r="V83" s="215"/>
      <c r="W83" s="215"/>
      <c r="X83" s="217"/>
      <c r="Y83" s="217"/>
      <c r="Z83" s="213"/>
      <c r="AA83" s="215"/>
      <c r="AB83" s="215"/>
      <c r="AC83" s="217"/>
      <c r="AD83" s="217"/>
      <c r="AE83" s="213"/>
      <c r="AF83" s="215"/>
      <c r="AG83" s="215"/>
      <c r="AH83" s="217"/>
      <c r="AI83" s="217"/>
      <c r="AJ83" s="213"/>
    </row>
    <row r="84" spans="1:36" ht="33.75" customHeight="1">
      <c r="A84" s="213"/>
      <c r="B84" s="214"/>
      <c r="C84" s="215"/>
      <c r="D84" s="216"/>
      <c r="E84" s="217"/>
      <c r="F84" s="213"/>
      <c r="G84" s="214"/>
      <c r="H84" s="215"/>
      <c r="I84" s="217"/>
      <c r="J84" s="217"/>
      <c r="K84" s="213"/>
      <c r="L84" s="215"/>
      <c r="M84" s="215"/>
      <c r="N84" s="217"/>
      <c r="O84" s="217"/>
      <c r="P84" s="213"/>
      <c r="Q84" s="215"/>
      <c r="R84" s="215"/>
      <c r="S84" s="217"/>
      <c r="T84" s="217"/>
      <c r="U84" s="213"/>
      <c r="V84" s="215"/>
      <c r="W84" s="215"/>
      <c r="X84" s="217"/>
      <c r="Y84" s="217"/>
      <c r="Z84" s="213"/>
      <c r="AA84" s="215"/>
      <c r="AB84" s="215"/>
      <c r="AC84" s="217"/>
      <c r="AD84" s="217"/>
      <c r="AE84" s="213"/>
      <c r="AF84" s="215"/>
      <c r="AG84" s="215"/>
      <c r="AH84" s="217"/>
      <c r="AI84" s="217"/>
      <c r="AJ84" s="213"/>
    </row>
    <row r="85" spans="1:36" ht="33.75" customHeight="1">
      <c r="A85" s="213"/>
      <c r="B85" s="214"/>
      <c r="C85" s="215"/>
      <c r="D85" s="216"/>
      <c r="E85" s="217"/>
      <c r="F85" s="213"/>
      <c r="G85" s="214"/>
      <c r="H85" s="215"/>
      <c r="I85" s="217"/>
      <c r="J85" s="217"/>
      <c r="K85" s="213"/>
      <c r="L85" s="215"/>
      <c r="M85" s="215"/>
      <c r="N85" s="217"/>
      <c r="O85" s="217"/>
      <c r="P85" s="213"/>
      <c r="Q85" s="215"/>
      <c r="R85" s="215"/>
      <c r="S85" s="217"/>
      <c r="T85" s="217"/>
      <c r="U85" s="213"/>
      <c r="V85" s="215"/>
      <c r="W85" s="215"/>
      <c r="X85" s="217"/>
      <c r="Y85" s="217"/>
      <c r="Z85" s="213"/>
      <c r="AA85" s="215"/>
      <c r="AB85" s="215"/>
      <c r="AC85" s="217"/>
      <c r="AD85" s="217"/>
      <c r="AE85" s="213"/>
      <c r="AF85" s="215"/>
      <c r="AG85" s="215"/>
      <c r="AH85" s="217"/>
      <c r="AI85" s="217"/>
      <c r="AJ85" s="213"/>
    </row>
    <row r="86" spans="1:36" ht="33.75" customHeight="1">
      <c r="A86" s="213"/>
      <c r="B86" s="214"/>
      <c r="C86" s="215"/>
      <c r="D86" s="216"/>
      <c r="E86" s="217"/>
      <c r="F86" s="213"/>
      <c r="G86" s="214"/>
      <c r="H86" s="215"/>
      <c r="I86" s="217"/>
      <c r="J86" s="217"/>
      <c r="K86" s="213"/>
      <c r="L86" s="215"/>
      <c r="M86" s="215"/>
      <c r="N86" s="217"/>
      <c r="O86" s="217"/>
      <c r="P86" s="213"/>
      <c r="Q86" s="215"/>
      <c r="R86" s="215"/>
      <c r="S86" s="217"/>
      <c r="T86" s="217"/>
      <c r="U86" s="213"/>
      <c r="V86" s="215"/>
      <c r="W86" s="215"/>
      <c r="X86" s="217"/>
      <c r="Y86" s="217"/>
      <c r="Z86" s="213"/>
      <c r="AA86" s="215"/>
      <c r="AB86" s="215"/>
      <c r="AC86" s="217"/>
      <c r="AD86" s="217"/>
      <c r="AE86" s="213"/>
      <c r="AF86" s="215"/>
      <c r="AG86" s="215"/>
      <c r="AH86" s="217"/>
      <c r="AI86" s="217"/>
      <c r="AJ86" s="213"/>
    </row>
    <row r="87" spans="1:36" ht="33.75" customHeight="1">
      <c r="A87" s="213"/>
      <c r="B87" s="214"/>
      <c r="C87" s="215"/>
      <c r="D87" s="216"/>
      <c r="E87" s="217"/>
      <c r="F87" s="213"/>
      <c r="G87" s="214"/>
      <c r="H87" s="215"/>
      <c r="I87" s="217"/>
      <c r="J87" s="217"/>
      <c r="K87" s="213"/>
      <c r="L87" s="215"/>
      <c r="M87" s="215"/>
      <c r="N87" s="217"/>
      <c r="O87" s="217"/>
      <c r="P87" s="213"/>
      <c r="Q87" s="215"/>
      <c r="R87" s="215"/>
      <c r="S87" s="217"/>
      <c r="T87" s="217"/>
      <c r="U87" s="213"/>
      <c r="V87" s="215"/>
      <c r="W87" s="215"/>
      <c r="X87" s="217"/>
      <c r="Y87" s="217"/>
      <c r="Z87" s="213"/>
      <c r="AA87" s="215"/>
      <c r="AB87" s="215"/>
      <c r="AC87" s="217"/>
      <c r="AD87" s="217"/>
      <c r="AE87" s="213"/>
      <c r="AF87" s="215"/>
      <c r="AG87" s="215"/>
      <c r="AH87" s="217"/>
      <c r="AI87" s="217"/>
      <c r="AJ87" s="213"/>
    </row>
    <row r="88" spans="1:36" ht="33.75" customHeight="1">
      <c r="A88" s="213"/>
      <c r="B88" s="214"/>
      <c r="C88" s="215"/>
      <c r="D88" s="217"/>
      <c r="E88" s="217"/>
      <c r="F88" s="213"/>
      <c r="G88" s="214"/>
      <c r="H88" s="215"/>
      <c r="I88" s="217"/>
      <c r="J88" s="217"/>
      <c r="K88" s="213"/>
      <c r="L88" s="215"/>
      <c r="M88" s="215"/>
      <c r="N88" s="217"/>
      <c r="O88" s="217"/>
      <c r="P88" s="213"/>
      <c r="Q88" s="215"/>
      <c r="R88" s="215"/>
      <c r="S88" s="217"/>
      <c r="T88" s="217"/>
      <c r="U88" s="213"/>
      <c r="V88" s="215"/>
      <c r="W88" s="215"/>
      <c r="X88" s="217"/>
      <c r="Y88" s="217"/>
      <c r="Z88" s="213"/>
      <c r="AA88" s="215"/>
      <c r="AB88" s="215"/>
      <c r="AC88" s="217"/>
      <c r="AD88" s="217"/>
      <c r="AE88" s="213"/>
      <c r="AF88" s="215"/>
      <c r="AG88" s="215"/>
      <c r="AH88" s="217"/>
      <c r="AI88" s="217"/>
      <c r="AJ88" s="213"/>
    </row>
    <row r="89" spans="1:36" ht="16">
      <c r="A89" s="213"/>
      <c r="B89" s="214"/>
      <c r="C89" s="215"/>
      <c r="D89" s="216"/>
      <c r="E89" s="217"/>
      <c r="F89" s="213"/>
      <c r="G89" s="214"/>
      <c r="H89" s="215"/>
      <c r="I89" s="217"/>
      <c r="J89" s="217"/>
      <c r="K89" s="213"/>
      <c r="L89" s="215"/>
      <c r="M89" s="215"/>
      <c r="N89" s="217"/>
      <c r="O89" s="217"/>
      <c r="P89" s="213"/>
      <c r="Q89" s="215"/>
      <c r="R89" s="215"/>
      <c r="S89" s="217"/>
      <c r="T89" s="217"/>
      <c r="U89" s="213"/>
      <c r="V89" s="215"/>
      <c r="W89" s="215"/>
      <c r="X89" s="217"/>
      <c r="Y89" s="217"/>
      <c r="Z89" s="213"/>
      <c r="AA89" s="215"/>
      <c r="AB89" s="215"/>
      <c r="AC89" s="217"/>
      <c r="AD89" s="217"/>
      <c r="AE89" s="213"/>
      <c r="AF89" s="215"/>
      <c r="AG89" s="215"/>
      <c r="AH89" s="217"/>
      <c r="AI89" s="217"/>
      <c r="AJ89" s="213"/>
    </row>
    <row r="90" spans="1:36" ht="16">
      <c r="A90" s="213"/>
      <c r="B90" s="214"/>
      <c r="C90" s="215"/>
      <c r="D90" s="216"/>
      <c r="E90" s="217"/>
      <c r="F90" s="213"/>
      <c r="G90" s="214"/>
      <c r="H90" s="215"/>
      <c r="I90" s="217"/>
      <c r="J90" s="217"/>
      <c r="K90" s="213"/>
      <c r="L90" s="215"/>
      <c r="M90" s="215"/>
      <c r="N90" s="217"/>
      <c r="O90" s="217"/>
      <c r="P90" s="213"/>
      <c r="Q90" s="215"/>
      <c r="R90" s="215"/>
      <c r="S90" s="217"/>
      <c r="T90" s="217"/>
      <c r="U90" s="213"/>
      <c r="V90" s="215"/>
      <c r="W90" s="215"/>
      <c r="X90" s="217"/>
      <c r="Y90" s="217"/>
      <c r="Z90" s="213"/>
      <c r="AA90" s="215"/>
      <c r="AB90" s="215"/>
      <c r="AC90" s="217"/>
      <c r="AD90" s="217"/>
      <c r="AE90" s="213"/>
      <c r="AF90" s="215"/>
      <c r="AG90" s="215"/>
      <c r="AH90" s="217"/>
      <c r="AI90" s="217"/>
      <c r="AJ90" s="213"/>
    </row>
    <row r="91" spans="1:36" ht="16">
      <c r="A91" s="213"/>
      <c r="B91" s="214"/>
      <c r="C91" s="215"/>
      <c r="D91" s="216"/>
      <c r="E91" s="217"/>
      <c r="F91" s="213"/>
      <c r="G91" s="214"/>
      <c r="H91" s="215"/>
      <c r="I91" s="217"/>
      <c r="J91" s="217"/>
      <c r="K91" s="213"/>
      <c r="L91" s="215"/>
      <c r="M91" s="215"/>
      <c r="N91" s="217"/>
      <c r="O91" s="217"/>
      <c r="P91" s="213"/>
      <c r="Q91" s="215"/>
      <c r="R91" s="215"/>
      <c r="S91" s="217"/>
      <c r="T91" s="217"/>
      <c r="U91" s="213"/>
      <c r="V91" s="215"/>
      <c r="W91" s="215"/>
      <c r="X91" s="217"/>
      <c r="Y91" s="217"/>
      <c r="Z91" s="213"/>
      <c r="AA91" s="215"/>
      <c r="AB91" s="215"/>
      <c r="AC91" s="217"/>
      <c r="AD91" s="217"/>
      <c r="AE91" s="213"/>
      <c r="AF91" s="215"/>
      <c r="AG91" s="215"/>
      <c r="AH91" s="217"/>
      <c r="AI91" s="217"/>
      <c r="AJ91" s="213"/>
    </row>
    <row r="92" spans="1:36" ht="16">
      <c r="A92" s="213"/>
      <c r="B92" s="214"/>
      <c r="C92" s="215"/>
      <c r="D92" s="216"/>
      <c r="E92" s="217"/>
      <c r="F92" s="213"/>
      <c r="G92" s="214"/>
      <c r="H92" s="215"/>
      <c r="I92" s="217"/>
      <c r="J92" s="217"/>
      <c r="K92" s="213"/>
      <c r="L92" s="215"/>
      <c r="M92" s="215"/>
      <c r="N92" s="217"/>
      <c r="O92" s="217"/>
      <c r="P92" s="213"/>
      <c r="Q92" s="215"/>
      <c r="R92" s="215"/>
      <c r="S92" s="217"/>
      <c r="T92" s="217"/>
      <c r="U92" s="213"/>
      <c r="V92" s="215"/>
      <c r="W92" s="215"/>
      <c r="X92" s="217"/>
      <c r="Y92" s="217"/>
      <c r="Z92" s="213"/>
      <c r="AA92" s="215"/>
      <c r="AB92" s="215"/>
      <c r="AC92" s="217"/>
      <c r="AD92" s="217"/>
      <c r="AE92" s="213"/>
      <c r="AF92" s="215"/>
      <c r="AG92" s="215"/>
      <c r="AH92" s="217"/>
      <c r="AI92" s="217"/>
      <c r="AJ92" s="213"/>
    </row>
    <row r="93" spans="1:36" ht="16">
      <c r="A93" s="213"/>
      <c r="B93" s="214"/>
      <c r="C93" s="215"/>
      <c r="D93" s="216"/>
      <c r="E93" s="217"/>
      <c r="F93" s="213"/>
      <c r="G93" s="214"/>
      <c r="H93" s="215"/>
      <c r="I93" s="217"/>
      <c r="J93" s="217"/>
      <c r="K93" s="213"/>
      <c r="L93" s="215"/>
      <c r="M93" s="215"/>
      <c r="N93" s="217"/>
      <c r="O93" s="217"/>
      <c r="P93" s="213"/>
      <c r="Q93" s="215"/>
      <c r="R93" s="215"/>
      <c r="S93" s="217"/>
      <c r="T93" s="217"/>
      <c r="U93" s="213"/>
      <c r="V93" s="215"/>
      <c r="W93" s="215"/>
      <c r="X93" s="217"/>
      <c r="Y93" s="217"/>
      <c r="Z93" s="213"/>
      <c r="AA93" s="215"/>
      <c r="AB93" s="215"/>
      <c r="AC93" s="217"/>
      <c r="AD93" s="217"/>
      <c r="AE93" s="213"/>
      <c r="AF93" s="215"/>
      <c r="AG93" s="215"/>
      <c r="AH93" s="217"/>
      <c r="AI93" s="217"/>
      <c r="AJ93" s="213"/>
    </row>
    <row r="94" spans="1:36" ht="16">
      <c r="A94" s="213"/>
      <c r="B94" s="214"/>
      <c r="C94" s="215"/>
      <c r="D94" s="216"/>
      <c r="E94" s="217"/>
      <c r="F94" s="213"/>
      <c r="G94" s="214"/>
      <c r="H94" s="215"/>
      <c r="I94" s="217"/>
      <c r="J94" s="217"/>
      <c r="K94" s="213"/>
      <c r="L94" s="215"/>
      <c r="M94" s="215"/>
      <c r="N94" s="217"/>
      <c r="O94" s="217"/>
      <c r="P94" s="213"/>
      <c r="Q94" s="215"/>
      <c r="R94" s="215"/>
      <c r="S94" s="217"/>
      <c r="T94" s="217"/>
      <c r="U94" s="213"/>
      <c r="V94" s="215"/>
      <c r="W94" s="215"/>
      <c r="X94" s="217"/>
      <c r="Y94" s="217"/>
      <c r="Z94" s="213"/>
      <c r="AA94" s="215"/>
      <c r="AB94" s="215"/>
      <c r="AC94" s="217"/>
      <c r="AD94" s="217"/>
      <c r="AE94" s="213"/>
      <c r="AF94" s="215"/>
      <c r="AG94" s="215"/>
      <c r="AH94" s="217"/>
      <c r="AI94" s="217"/>
      <c r="AJ94" s="213"/>
    </row>
    <row r="95" spans="1:36" ht="16">
      <c r="A95" s="213"/>
      <c r="B95" s="214"/>
      <c r="C95" s="215"/>
      <c r="D95" s="216"/>
      <c r="E95" s="217"/>
      <c r="F95" s="213"/>
      <c r="G95" s="214"/>
      <c r="H95" s="215"/>
      <c r="I95" s="217"/>
      <c r="J95" s="217"/>
      <c r="K95" s="213"/>
      <c r="L95" s="215"/>
      <c r="M95" s="215"/>
      <c r="N95" s="217"/>
      <c r="O95" s="217"/>
      <c r="P95" s="213"/>
      <c r="Q95" s="215"/>
      <c r="R95" s="215"/>
      <c r="S95" s="217"/>
      <c r="T95" s="217"/>
      <c r="U95" s="213"/>
      <c r="V95" s="215"/>
      <c r="W95" s="215"/>
      <c r="X95" s="217"/>
      <c r="Y95" s="217"/>
      <c r="Z95" s="213"/>
      <c r="AA95" s="215"/>
      <c r="AB95" s="215"/>
      <c r="AC95" s="217"/>
      <c r="AD95" s="217"/>
      <c r="AE95" s="213"/>
      <c r="AF95" s="215"/>
      <c r="AG95" s="215"/>
      <c r="AH95" s="217"/>
      <c r="AI95" s="217"/>
      <c r="AJ95" s="213"/>
    </row>
    <row r="96" spans="1:36" ht="16">
      <c r="A96" s="213"/>
      <c r="B96" s="214"/>
      <c r="C96" s="215"/>
      <c r="D96" s="217"/>
      <c r="E96" s="217"/>
      <c r="F96" s="213"/>
      <c r="G96" s="214"/>
      <c r="H96" s="215"/>
      <c r="I96" s="217"/>
      <c r="J96" s="217"/>
      <c r="K96" s="213"/>
      <c r="L96" s="215"/>
      <c r="M96" s="215"/>
      <c r="N96" s="217"/>
      <c r="O96" s="217"/>
      <c r="P96" s="213"/>
      <c r="Q96" s="215"/>
      <c r="R96" s="215"/>
      <c r="S96" s="217"/>
      <c r="T96" s="217"/>
      <c r="U96" s="213"/>
      <c r="V96" s="215"/>
      <c r="W96" s="215"/>
      <c r="X96" s="217"/>
      <c r="Y96" s="217"/>
      <c r="Z96" s="213"/>
      <c r="AA96" s="215"/>
      <c r="AB96" s="215"/>
      <c r="AC96" s="217"/>
      <c r="AD96" s="217"/>
      <c r="AE96" s="213"/>
      <c r="AF96" s="215"/>
      <c r="AG96" s="215"/>
      <c r="AH96" s="217"/>
      <c r="AI96" s="217"/>
      <c r="AJ96" s="213"/>
    </row>
    <row r="97" spans="1:36" ht="16">
      <c r="A97" s="213"/>
      <c r="B97" s="214"/>
      <c r="C97" s="215"/>
      <c r="D97" s="217"/>
      <c r="E97" s="217"/>
      <c r="F97" s="213"/>
      <c r="G97" s="214"/>
      <c r="H97" s="215"/>
      <c r="I97" s="217"/>
      <c r="J97" s="217"/>
      <c r="K97" s="213"/>
      <c r="L97" s="215"/>
      <c r="M97" s="215"/>
      <c r="N97" s="217"/>
      <c r="O97" s="217"/>
      <c r="P97" s="213"/>
      <c r="Q97" s="215"/>
      <c r="R97" s="215"/>
      <c r="S97" s="217"/>
      <c r="T97" s="217"/>
      <c r="U97" s="213"/>
      <c r="V97" s="215"/>
      <c r="W97" s="215"/>
      <c r="X97" s="217"/>
      <c r="Y97" s="217"/>
      <c r="Z97" s="213"/>
      <c r="AA97" s="215"/>
      <c r="AB97" s="215"/>
      <c r="AC97" s="217"/>
      <c r="AD97" s="217"/>
      <c r="AE97" s="213"/>
      <c r="AF97" s="215"/>
      <c r="AG97" s="215"/>
      <c r="AH97" s="217"/>
      <c r="AI97" s="217"/>
      <c r="AJ97" s="213"/>
    </row>
    <row r="98" spans="1:36" ht="16">
      <c r="A98" s="213"/>
      <c r="B98" s="214"/>
      <c r="C98" s="215"/>
      <c r="D98" s="217"/>
      <c r="E98" s="217"/>
      <c r="F98" s="213"/>
      <c r="G98" s="214"/>
      <c r="H98" s="215"/>
      <c r="I98" s="217"/>
      <c r="J98" s="217"/>
      <c r="K98" s="213"/>
      <c r="L98" s="215"/>
      <c r="M98" s="215"/>
      <c r="N98" s="217"/>
      <c r="O98" s="217"/>
      <c r="P98" s="213"/>
      <c r="Q98" s="215"/>
      <c r="R98" s="215"/>
      <c r="S98" s="217"/>
      <c r="T98" s="217"/>
      <c r="U98" s="213"/>
      <c r="V98" s="215"/>
      <c r="W98" s="215"/>
      <c r="X98" s="217"/>
      <c r="Y98" s="217"/>
      <c r="Z98" s="213"/>
      <c r="AA98" s="215"/>
      <c r="AB98" s="215"/>
      <c r="AC98" s="217"/>
      <c r="AD98" s="217"/>
      <c r="AE98" s="213"/>
      <c r="AF98" s="215"/>
      <c r="AG98" s="215"/>
      <c r="AH98" s="217"/>
      <c r="AI98" s="217"/>
      <c r="AJ98" s="213"/>
    </row>
    <row r="99" spans="1:36" ht="16">
      <c r="A99" s="213"/>
      <c r="B99" s="214"/>
      <c r="C99" s="215"/>
      <c r="D99" s="217"/>
      <c r="E99" s="217"/>
      <c r="F99" s="213"/>
      <c r="G99" s="214"/>
      <c r="H99" s="215"/>
      <c r="I99" s="218"/>
      <c r="J99" s="219"/>
      <c r="K99" s="213"/>
      <c r="L99" s="215"/>
      <c r="M99" s="215"/>
      <c r="N99" s="220"/>
      <c r="O99" s="220"/>
      <c r="P99" s="213"/>
      <c r="Q99" s="215"/>
      <c r="R99" s="215"/>
      <c r="S99" s="220"/>
      <c r="T99" s="220"/>
      <c r="U99" s="213"/>
      <c r="V99" s="215"/>
      <c r="W99" s="215"/>
      <c r="X99" s="220"/>
      <c r="Y99" s="220"/>
      <c r="Z99" s="213"/>
      <c r="AA99" s="215"/>
      <c r="AB99" s="215"/>
      <c r="AC99" s="221"/>
      <c r="AD99" s="221"/>
      <c r="AE99" s="213"/>
      <c r="AF99" s="215"/>
      <c r="AG99" s="215"/>
      <c r="AH99" s="220"/>
      <c r="AI99" s="220"/>
      <c r="AJ99" s="213"/>
    </row>
  </sheetData>
  <mergeCells count="14">
    <mergeCell ref="B1:E1"/>
    <mergeCell ref="L1:O1"/>
    <mergeCell ref="V1:Y1"/>
    <mergeCell ref="AF1:AI1"/>
    <mergeCell ref="B2:E2"/>
    <mergeCell ref="L2:O2"/>
    <mergeCell ref="V2:Y2"/>
    <mergeCell ref="AF2:AI2"/>
    <mergeCell ref="G1:J1"/>
    <mergeCell ref="G2:J2"/>
    <mergeCell ref="Q1:T1"/>
    <mergeCell ref="Q2:T2"/>
    <mergeCell ref="AA1:AD1"/>
    <mergeCell ref="AA2:AD2"/>
  </mergeCells>
  <hyperlinks>
    <hyperlink ref="D4" r:id="rId1" display="https://www.linkedin.com/learning/cmo-foundations-measuring-marketing-effectiveness-roi?trk=ondemandfile" xr:uid="{00000000-0004-0000-1200-000000000000}"/>
    <hyperlink ref="E4" r:id="rId2" display="https://www.linkedin.com/learning/paths/develop-critical-thinking-decision-making-and-problem-solving-skills?trk=ondemandfile" xr:uid="{00000000-0004-0000-1200-000001000000}"/>
    <hyperlink ref="N4" r:id="rId3" display="https://www.linkedin.com/learning/00-learning-from-failure?trk=ondemandfile" xr:uid="{00000000-0004-0000-1200-000002000000}"/>
    <hyperlink ref="O4" r:id="rId4" display="https://www.linkedin.com/learning/paths/domina-las-habilidades-de-vida-personales?trk=ondemandfile" xr:uid="{00000000-0004-0000-1200-000003000000}"/>
    <hyperlink ref="S4" r:id="rId5" display="https://www.linkedin.com/learning/aus-misserfolgen-lernen?trk=ondemandfile" xr:uid="{00000000-0004-0000-1200-000004000000}"/>
    <hyperlink ref="T4" r:id="rId6" display="https://www.linkedin.com/learning/paths/ihre-problemlosungsfahigkeiten-verbessern?trk=ondemandfile" xr:uid="{00000000-0004-0000-1200-000005000000}"/>
    <hyperlink ref="X4" r:id="rId7" display="https://www.linkedin.com/learning/critical-thinking-2?trk=ondemandfile" xr:uid="{00000000-0004-0000-1200-000006000000}"/>
    <hyperlink ref="Y4" r:id="rId8" display="https://www.linkedin.com/learning/paths/31070ed0-b901-3bf1-af9c-de2667146e4d?trk=ondemandfile" xr:uid="{00000000-0004-0000-1200-000007000000}"/>
    <hyperlink ref="AC4" r:id="rId9" display="https://www.linkedin.com/learning/como-melhorar-seu-discernimento?trk=ondemandfile" xr:uid="{00000000-0004-0000-1200-000008000000}"/>
    <hyperlink ref="AD4" r:id="rId10" display="https://www.linkedin.com/learning/paths/como-superar-os-desafios-e-se-reinventar-em-tempos-dificeis?trk=ondemandfile" xr:uid="{00000000-0004-0000-1200-000009000000}"/>
    <hyperlink ref="AH4" r:id="rId11" display="https://www.linkedin.com/learning/learning-from-failure-2?trk=ondemandfile" xr:uid="{00000000-0004-0000-1200-00000A000000}"/>
    <hyperlink ref="AI4" r:id="rId12" display="https://www.linkedin.com/learning/paths/5e7d3101-368f-3335-9206-178f9e406630?trk=ondemandfile" xr:uid="{00000000-0004-0000-1200-00000B000000}"/>
    <hyperlink ref="D5" r:id="rId13" display="https://www.linkedin.com/learning/reid-hoffman-and-chris-yeh-on-blitzscaling?trk=ondemandfile" xr:uid="{00000000-0004-0000-1200-00000C000000}"/>
    <hyperlink ref="E5" r:id="rId14" display="https://www.linkedin.com/learning/paths/improve-your-organizational-skills?trk=ondemandfile" xr:uid="{00000000-0004-0000-1200-00000D000000}"/>
    <hyperlink ref="N5" r:id="rId15" display="https://www.linkedin.com/learning/c-mo-aumentar-la-resiliencia?trk=ondemandfile" xr:uid="{00000000-0004-0000-1200-00000E000000}"/>
    <hyperlink ref="O5" r:id="rId16" display="https://www.linkedin.com/learning/paths/domina-las-habilidades-de-vida-a-nivel-de-liderazgo?trk=ondemandfile" xr:uid="{00000000-0004-0000-1200-00000F000000}"/>
    <hyperlink ref="S5" r:id="rId17" display="https://www.linkedin.com/learning/berufliche-ziele-setzen-und-erreichen?trk=ondemandfile" xr:uid="{00000000-0004-0000-1200-000010000000}"/>
    <hyperlink ref="X5" r:id="rId18" display="https://www.linkedin.com/learning/smart-thinking-overcoming-complexity-15924090?trk=contentmappingfile" xr:uid="{00000000-0004-0000-1200-000011000000}"/>
    <hyperlink ref="AC5" r:id="rId19" display="https://www.linkedin.com/learning/como-aprender-com-o-fracasso?trk=ondemandfile" xr:uid="{00000000-0004-0000-1200-000012000000}"/>
    <hyperlink ref="AH5" r:id="rId20" display="https://www.linkedin.com/learning/decision-making-strategies-2?trk=ondemandfile" xr:uid="{00000000-0004-0000-1200-000013000000}"/>
    <hyperlink ref="AI5" r:id="rId21" display="https://www.linkedin.com/learning/paths/87c473ed-01ce-32f8-90ac-61be15e449c9?trk=ondemandfile" xr:uid="{00000000-0004-0000-1200-000014000000}"/>
    <hyperlink ref="D6" r:id="rId22" display="https://www.linkedin.com/learning/learning-agility?trk=ondemandfile" xr:uid="{00000000-0004-0000-1200-000015000000}"/>
    <hyperlink ref="E6" r:id="rId23" display="https://www.linkedin.com/learning/paths/improve-your-problem-solving-skills?trk=ondemandfile" xr:uid="{00000000-0004-0000-1200-000016000000}"/>
    <hyperlink ref="N6" r:id="rId24" display="https://www.linkedin.com/learning/00-learning-to-say-no?trk=ondemandfile" xr:uid="{00000000-0004-0000-1200-000017000000}"/>
    <hyperlink ref="O6" r:id="rId25" display="https://www.linkedin.com/learning/paths/mejora-tus-habilidades-para-resolver-problemas?trk=ondemandfile" xr:uid="{00000000-0004-0000-1200-000018000000}"/>
    <hyperlink ref="S6" r:id="rId26" display="https://www.linkedin.com/learning/businessprobleme-l-sen?trk=ondemandfile" xr:uid="{00000000-0004-0000-1200-000019000000}"/>
    <hyperlink ref="X6" r:id="rId27" display="https://www.linkedin.com/learning/improving-your-judgment-3?trk=ondemandfile" xr:uid="{00000000-0004-0000-1200-00001A000000}"/>
    <hyperlink ref="AC6" r:id="rId28" display="https://www.linkedin.com/learning/como-desenvolver-a-resiliencia?trk=ondemandfile" xr:uid="{00000000-0004-0000-1200-00001B000000}"/>
    <hyperlink ref="AH6" r:id="rId29" display="https://www.linkedin.com/learning/9b4bd443-b907-3050-9476-0ec0b08dfda8?trk=ondemandfile" xr:uid="{00000000-0004-0000-1200-00001C000000}"/>
    <hyperlink ref="AI6" r:id="rId30" display="https://www.linkedin.com/learning/paths/7c8dafed-8f63-35a2-ada2-7dbeaf731ce4?trk=ondemandfile" xr:uid="{00000000-0004-0000-1200-00001D000000}"/>
    <hyperlink ref="D7" r:id="rId31" display="https://www.linkedin.com/learning/executive-decision-making?trk=ondemandfile" xr:uid="{00000000-0004-0000-1200-00001E000000}"/>
    <hyperlink ref="E7" r:id="rId32" display="https://www.linkedin.com/learning/paths/master-in-demand-professional-soft-skills?trk=ondemandfile" xr:uid="{00000000-0004-0000-1200-00001F000000}"/>
    <hyperlink ref="N7" r:id="rId33" display="https://www.linkedin.com/learning/como-gestionar-los-puntos-ciegos-del-liderazgo?trk=ondemandfile" xr:uid="{00000000-0004-0000-1200-000020000000}"/>
    <hyperlink ref="S7" r:id="rId34" display="https://www.linkedin.com/learning/entscheidungen-auf-fuhrungsebene-treffen?trk=ondemandfile" xr:uid="{00000000-0004-0000-1200-000021000000}"/>
    <hyperlink ref="X7" r:id="rId35" display="https://www.linkedin.com/learning/building-resilience-4?trk=ondemandfile" xr:uid="{00000000-0004-0000-1200-000022000000}"/>
    <hyperlink ref="AC7" r:id="rId36" display="https://www.linkedin.com/learning/pensamento-critico?trk=ondemandfile" xr:uid="{00000000-0004-0000-1200-000023000000}"/>
    <hyperlink ref="AH7" r:id="rId37" display="https://www.linkedin.com/learning/cultivating-a-growth-mindset-3?trk=ondemandfile" xr:uid="{00000000-0004-0000-1200-000024000000}"/>
    <hyperlink ref="D8" r:id="rId38" display="https://www.linkedin.com/learning/start-with-why?trk=ondemandfile" xr:uid="{00000000-0004-0000-1200-000025000000}"/>
    <hyperlink ref="I8" r:id="rId39" display="https://www.linkedin.com/learning/creer-des-conversations-constructives-avec-des-clients-exigeants-clientes-exigeantes?trk=contentmappingfile" xr:uid="{00000000-0004-0000-1200-000026000000}"/>
    <hyperlink ref="N8" r:id="rId40" display="https://www.linkedin.com/learning/como-mejorar-tu-capacidad-de-toma-de-decisiones?trk=ondemandfile" xr:uid="{00000000-0004-0000-1200-000027000000}"/>
    <hyperlink ref="S8" r:id="rId41" display="https://www.linkedin.com/learning/8806380a-9091-31ee-accd-2c173a41388d?trk=ondemandfile" xr:uid="{00000000-0004-0000-1200-000028000000}"/>
    <hyperlink ref="X8" r:id="rId42" display="https://www.linkedin.com/learning/strategic-thinking-14127846?trk=ondemandfile" xr:uid="{00000000-0004-0000-1200-000029000000}"/>
    <hyperlink ref="AC8" r:id="rId43" display="https://www.linkedin.com/learning/fundamentos-da-melhoria-de-processos?trk=ondemandfile" xr:uid="{00000000-0004-0000-1200-00002A000000}"/>
    <hyperlink ref="AH8" r:id="rId44" display="https://www.linkedin.com/learning/using-questions-to-foster-critical-thinking-and-curiosity-2?trk=ondemandfile" xr:uid="{00000000-0004-0000-1200-00002B000000}"/>
    <hyperlink ref="D9" r:id="rId45" display="https://www.linkedin.com/learning/applying-critical-thinking-strategies-to-communicate-effectively?trk=ondemandfile" xr:uid="{00000000-0004-0000-1200-00002C000000}"/>
    <hyperlink ref="N9" r:id="rId46" display="https://www.linkedin.com/learning/como-superar-los-sesgos-cognitivos?trk=ondemandfile" xr:uid="{00000000-0004-0000-1200-00002D000000}"/>
    <hyperlink ref="S9" r:id="rId47" display="https://www.linkedin.com/learning/grundlagen-der-user-experience-fur-entscheider?trk=ondemandfile" xr:uid="{00000000-0004-0000-1200-00002E000000}"/>
    <hyperlink ref="X9" r:id="rId48" display="https://www.linkedin.com/learning/using-questions-to-foster-critical-thinking-and-curiosity-16505090?trk=contentmappingfile" xr:uid="{00000000-0004-0000-1200-00002F000000}"/>
    <hyperlink ref="AC9" r:id="rId49" display="https://www.linkedin.com/learning/estrategias-de-tomada-de-decisao?trk=ondemandfile" xr:uid="{00000000-0004-0000-1200-000030000000}"/>
    <hyperlink ref="AH9" r:id="rId50" display="https://www.linkedin.com/learning/getting-your-ideas-approved-3?trk=ondemandfile" xr:uid="{00000000-0004-0000-1200-000031000000}"/>
    <hyperlink ref="D10" r:id="rId51" display="https://www.linkedin.com/learning/overcoming-decision-making-traps?trk=ondemandfile" xr:uid="{00000000-0004-0000-1200-000032000000}"/>
    <hyperlink ref="I10" r:id="rId52" display="https://www.linkedin.com/learning/de-l-impuissance-au-pouvoir-la-prise-de-controle?trk=contentmappingfile" xr:uid="{00000000-0004-0000-1200-000033000000}"/>
    <hyperlink ref="N10" r:id="rId53" display="https://www.linkedin.com/learning/c-mo-tomar-decisiones?trk=ondemandfile" xr:uid="{00000000-0004-0000-1200-000034000000}"/>
    <hyperlink ref="S10" r:id="rId54" display="https://www.linkedin.com/learning/00-urteilsvermogen?trk=ondemandfile" xr:uid="{00000000-0004-0000-1200-000035000000}"/>
    <hyperlink ref="X10" r:id="rId55" display="https://www.linkedin.com/learning/executive-decision-making-4?trk=ondemandfile" xr:uid="{00000000-0004-0000-1200-000036000000}"/>
    <hyperlink ref="AC10" r:id="rId56" display="https://www.linkedin.com/learning/tomada-de-decisoes-executivas?trk=ondemandfile" xr:uid="{00000000-0004-0000-1200-000037000000}"/>
    <hyperlink ref="AH10" r:id="rId57" display="https://www.linkedin.com/learning/learning-agility-2?trk=ondemandfile" xr:uid="{00000000-0004-0000-1200-000038000000}"/>
    <hyperlink ref="D11" r:id="rId58" display="https://www.linkedin.com/learning/developing-a-critical-thinking-mindset?trk=ondemandfile" xr:uid="{00000000-0004-0000-1200-000039000000}"/>
    <hyperlink ref="N11" r:id="rId59" display="https://www.linkedin.com/learning/00-por-que-aprender?trk=ondemandfile" xr:uid="{00000000-0004-0000-1200-00003A000000}"/>
    <hyperlink ref="S11" r:id="rId60" display="https://www.linkedin.com/learning/kritisches-denken?trk=ondemandfile" xr:uid="{00000000-0004-0000-1200-00003B000000}"/>
    <hyperlink ref="X11" r:id="rId61" display="https://www.linkedin.com/learning/decision-making-strategies-3?trk=ondemandfile" xr:uid="{00000000-0004-0000-1200-00003C000000}"/>
    <hyperlink ref="AC11" r:id="rId62" display="https://www.linkedin.com/learning/pensamento-estrategico?trk=ondemandfile" xr:uid="{00000000-0004-0000-1200-00003D000000}"/>
    <hyperlink ref="AH11" r:id="rId63" display="https://www.linkedin.com/learning/building-self-confidence?trk=ondemandfile" xr:uid="{00000000-0004-0000-1200-00003E000000}"/>
    <hyperlink ref="D12" r:id="rId64" display="https://www.linkedin.com/learning/using-questions-to-coach-and-lead?trk=ondemandfile" xr:uid="{00000000-0004-0000-1200-00003F000000}"/>
    <hyperlink ref="I12" r:id="rId65" display="https://www.linkedin.com/learning/developper-son-agilite-cerebrale?trk=contentmappingfile" xr:uid="{00000000-0004-0000-1200-000040000000}"/>
    <hyperlink ref="N12" r:id="rId66" display="https://www.linkedin.com/learning/del-victimismo-a-la-acci-n-asume-el-control?trk=ondemandfile" xr:uid="{00000000-0004-0000-1200-000041000000}"/>
    <hyperlink ref="S12" r:id="rId67" display="https://www.linkedin.com/learning/kritisches-denken-fur-besseres-urteilsvermogen-und-bessere-entscheidungsfindung?trk=contentmappingfile" xr:uid="{00000000-0004-0000-1200-000042000000}"/>
    <hyperlink ref="AC12" r:id="rId68" display="https://www.linkedin.com/learning/como-influenciar-as-pessoas?trk=ondemandfile" xr:uid="{00000000-0004-0000-1200-000043000000}"/>
    <hyperlink ref="AH12" r:id="rId69" display="https://www.linkedin.com/learning/influencing-others-4?trk=ondemandfile" xr:uid="{00000000-0004-0000-1200-000044000000}"/>
    <hyperlink ref="D13" r:id="rId70" display="https://www.linkedin.com/learning/making-key-decisions-as-a-manager?trk=ondemandfile" xr:uid="{00000000-0004-0000-1200-000045000000}"/>
    <hyperlink ref="N13" r:id="rId71" display="https://www.linkedin.com/learning/estrategias-para-salir-de-una-crisis-empresarial?trk=ondemandfile" xr:uid="{00000000-0004-0000-1200-000046000000}"/>
    <hyperlink ref="S13" r:id="rId72" display="https://www.linkedin.com/learning/mentale-starke-fur-mehr-erfolg-im-beruf?trk=ondemandfile" xr:uid="{00000000-0004-0000-1200-000047000000}"/>
    <hyperlink ref="AC13" r:id="rId73" display="https://www.linkedin.com/learning/como-obter-aprovacao-para-suas-ideias?trk=ondemandfile" xr:uid="{00000000-0004-0000-1200-000048000000}"/>
    <hyperlink ref="AH13" r:id="rId74" display="https://www.linkedin.com/learning/strategic-thinking-4?trk=ondemandfile" xr:uid="{00000000-0004-0000-1200-000049000000}"/>
    <hyperlink ref="D14" r:id="rId75" display="https://www.linkedin.com/learning/2020-vlog-leading-with-intelligent-disobedience?trk=ondemandfile" xr:uid="{00000000-0004-0000-1200-00004A000000}"/>
    <hyperlink ref="N14" r:id="rId76" display="https://www.linkedin.com/learning/estrategias-para-tomar-decisiones?trk=ondemandfile" xr:uid="{00000000-0004-0000-1200-00004B000000}"/>
    <hyperlink ref="S14" r:id="rId77" display="https://www.linkedin.com/learning/mit-fragen-kritisches-denken-und-neugierde-fordern?trk=ondemandfile" xr:uid="{00000000-0004-0000-1200-00004C000000}"/>
    <hyperlink ref="AC14" r:id="rId78" display="https://www.linkedin.com/learning/da-vitimizacao-a-acao-como-assumir-o-controle?trk=ondemandfile" xr:uid="{00000000-0004-0000-1200-00004D000000}"/>
    <hyperlink ref="AH14" r:id="rId79" display="https://www.linkedin.com/learning/critical-thinking-3?trk=ondemandfile" xr:uid="{00000000-0004-0000-1200-00004E000000}"/>
    <hyperlink ref="D15" r:id="rId80" display="https://www.linkedin.com/learning/crafting-questions-to-make-better-decisions?trk=ondemandfile" xr:uid="{00000000-0004-0000-1200-00004F000000}"/>
    <hyperlink ref="N15" r:id="rId81" display="https://www.linkedin.com/learning/fred-kofman-y-la-gesti-n-de-conflictos?trk=ondemandfile" xr:uid="{00000000-0004-0000-1200-000050000000}"/>
    <hyperlink ref="S15" r:id="rId82" display="https://www.linkedin.com/learning/probleme-konfliktfrei-losen-mit-inspektor-columbo-columbos-regeln?trk=contentmappingfile" xr:uid="{00000000-0004-0000-1200-000051000000}"/>
    <hyperlink ref="AC15" r:id="rId83" display="https://www.linkedin.com/learning/como-desenvolver-a-autoconfianca?trk=ondemandfile" xr:uid="{00000000-0004-0000-1200-000052000000}"/>
    <hyperlink ref="AH15" r:id="rId84" display="https://www.linkedin.com/learning/critical-thinking-for-better-judgment-and-decision-making-2?trk=ondemandfile" xr:uid="{00000000-0004-0000-1200-000053000000}"/>
    <hyperlink ref="D16" r:id="rId85" display="https://www.linkedin.com/learning/the-secret-to-better-decisions-stop-hoarding-chips?trk=ondemandfile" xr:uid="{00000000-0004-0000-1200-000054000000}"/>
    <hyperlink ref="N16" r:id="rId86" display="https://www.linkedin.com/learning/00-conflict-resolution-fundamentals?trk=ondemandfile" xr:uid="{00000000-0004-0000-1200-000055000000}"/>
    <hyperlink ref="S16" r:id="rId87" display="https://www.linkedin.com/learning/strategisches-denken?trk=ondemandfile" xr:uid="{00000000-0004-0000-1200-000056000000}"/>
    <hyperlink ref="AC16" r:id="rId88" display="https://www.linkedin.com/learning/como-desenvolver-a-autolideranca?trk=ondemandfile" xr:uid="{00000000-0004-0000-1200-000057000000}"/>
    <hyperlink ref="AH16" r:id="rId89" display="https://www.linkedin.com/learning/improving-your-focus-3?trk=ondemandfile" xr:uid="{00000000-0004-0000-1200-000058000000}"/>
    <hyperlink ref="D17" r:id="rId90" display="https://www.linkedin.com/learning/critical-thinking-for-better-judgment-and-decision-making?trk=ondemandfile" xr:uid="{00000000-0004-0000-1200-000059000000}"/>
    <hyperlink ref="N17" r:id="rId91" display="https://www.linkedin.com/learning/00-solving-common-project-problems?trk=ondemandfile" xr:uid="{00000000-0004-0000-1200-00005A000000}"/>
    <hyperlink ref="S17" r:id="rId92" display="https://www.linkedin.com/learning/65e30dde-df28-3a85-89cd-faaf0c298709?trk=ondemandfile" xr:uid="{00000000-0004-0000-1200-00005B000000}"/>
    <hyperlink ref="AC17" r:id="rId93" display="https://www.linkedin.com/learning/como-desenvolver-a-resiliencia?trk=ondemandfile" xr:uid="{00000000-0004-0000-1200-00005C000000}"/>
    <hyperlink ref="AH17" r:id="rId94" display="https://www.linkedin.com/learning/improving-your-judgment-2?trk=ondemandfile" xr:uid="{00000000-0004-0000-1200-00005D000000}"/>
    <hyperlink ref="D18" r:id="rId95" display="https://www.linkedin.com/learning/privacy-in-the-age-of-covid?trk=ondemandfile" xr:uid="{00000000-0004-0000-1200-00005E000000}"/>
    <hyperlink ref="N18" r:id="rId96" display="https://www.linkedin.com/learning/gestion-del-estres-en-tiempos-de-incertidumbre-vivir-o-sobrevivir?trk=ondemandfile" xr:uid="{00000000-0004-0000-1200-00005F000000}"/>
    <hyperlink ref="S18" r:id="rId97" display="https://www.linkedin.com/learning/techniken-zur-problemlosung?trk=contentmappingfile" xr:uid="{00000000-0004-0000-1200-000060000000}"/>
    <hyperlink ref="AC18" r:id="rId98" display="https://www.linkedin.com/learning/como-usar-o-pensamento-critico-para-refinar-o-julgamento-e-a-tomada-de-decisoes?trk=ondemandfile" xr:uid="{00000000-0004-0000-1200-000061000000}"/>
    <hyperlink ref="AH18" r:id="rId99" display="https://www.linkedin.com/learning/unconscious-bias-4?trk=ondemandfile" xr:uid="{00000000-0004-0000-1200-000062000000}"/>
    <hyperlink ref="D19" r:id="rId100" display="https://www.linkedin.com/learning/developing-a-learning-mindset?trk=ondemandfile" xr:uid="{00000000-0004-0000-1200-000063000000}"/>
    <hyperlink ref="N19" r:id="rId101" display="https://www.linkedin.com/learning/00-intrapreneurship-y-mentalidad-de-crecimiento?trk=ondemandfile" xr:uid="{00000000-0004-0000-1200-000064000000}"/>
    <hyperlink ref="S19" r:id="rId102" display="https://www.linkedin.com/learning/00-projprobl?trk=ondemandfile" xr:uid="{00000000-0004-0000-1200-000065000000}"/>
    <hyperlink ref="AH19" r:id="rId103" display="https://www.linkedin.com/learning/process-improvement-foundations-2?trk=ondemandfile" xr:uid="{00000000-0004-0000-1200-000066000000}"/>
    <hyperlink ref="D20" r:id="rId104" display="https://www.linkedin.com/learning/monday-productivity-pointers?trk=ondemandfile" xr:uid="{00000000-0004-0000-1200-000067000000}"/>
    <hyperlink ref="N20" r:id="rId105" display="https://www.linkedin.com/learning/mejora-tu-competencia-en-conflictos?trk=ondemandfile" xr:uid="{00000000-0004-0000-1200-000068000000}"/>
    <hyperlink ref="S20" r:id="rId106" display="https://www.linkedin.com/learning/unconscious-bias-unbewusste-denkmuster-erkennen-und-andern?trk=ondemandfile" xr:uid="{00000000-0004-0000-1200-000069000000}"/>
    <hyperlink ref="AH20" r:id="rId107" display="https://www.linkedin.com/learning/smart-thinking-overcoming-complexity-14592064?trk=contentmappingfile" xr:uid="{00000000-0004-0000-1200-00006A000000}"/>
    <hyperlink ref="D21" r:id="rId108" display="https://www.linkedin.com/learning/problem-solving-techniques?trk=ondemandfile" xr:uid="{00000000-0004-0000-1200-00006B000000}"/>
    <hyperlink ref="N21" r:id="rId109" display="https://www.linkedin.com/learning/pensamiento-computacional?trk=ondemandfile" xr:uid="{00000000-0004-0000-1200-00006C000000}"/>
    <hyperlink ref="S21" r:id="rId110" display="https://www.linkedin.com/learning/00-ohnmaechtig?trk=ondemandfile" xr:uid="{00000000-0004-0000-1200-00006D000000}"/>
    <hyperlink ref="AH21" r:id="rId111" display="https://www.linkedin.com/learning/solution-selling?trk=ondemandfile" xr:uid="{00000000-0004-0000-1200-00006E000000}"/>
    <hyperlink ref="D22" r:id="rId112" display="https://www.linkedin.com/learning/process-improvement-foundations?trk=ondemandfile" xr:uid="{00000000-0004-0000-1200-00006F000000}"/>
    <hyperlink ref="N22" r:id="rId113" display="https://www.linkedin.com/learning/00-critical-thinking?trk=ondemandfile" xr:uid="{00000000-0004-0000-1200-000070000000}"/>
    <hyperlink ref="S22" r:id="rId114" display="https://www.linkedin.com/learning/ziele-fur-mitarbeiter-innen-und-teams-setzen?trk=ondemandfile" xr:uid="{00000000-0004-0000-1200-000071000000}"/>
    <hyperlink ref="AH22" r:id="rId115" display="https://www.linkedin.com/learning/problem-solving-techniques-2?trk=ondemandfile" xr:uid="{00000000-0004-0000-1200-000072000000}"/>
    <hyperlink ref="D23" r:id="rId116" display="https://www.linkedin.com/learning/solving-business-problems?trk=ondemandfile" xr:uid="{00000000-0004-0000-1200-000073000000}"/>
    <hyperlink ref="N23" r:id="rId117" display="https://www.linkedin.com/learning/pensamiento-estrategico?trk=ondemandfile" xr:uid="{00000000-0004-0000-1200-000074000000}"/>
    <hyperlink ref="S23" r:id="rId118" display="https://www.linkedin.com/learning/00-zielvereinbarung?trk=ondemandfile" xr:uid="{00000000-0004-0000-1200-000075000000}"/>
    <hyperlink ref="AH23" r:id="rId119" display="https://www.linkedin.com/learning/project-management-solving-common-project-problems-3?trk=ondemandfile" xr:uid="{00000000-0004-0000-1200-000076000000}"/>
    <hyperlink ref="D24" r:id="rId120" display="https://www.linkedin.com/learning/crafting-problem-and-solution-statements?trk=ondemandfile" xr:uid="{00000000-0004-0000-1200-000077000000}"/>
    <hyperlink ref="N24" r:id="rId121" display="https://www.linkedin.com/learning/resoluci-n-de-problemas-empresariales?trk=ondemandfile" xr:uid="{00000000-0004-0000-1200-000078000000}"/>
    <hyperlink ref="AH24" r:id="rId122" display="https://www.linkedin.com/learning/executive-decision-making-3?trk=ondemandfile" xr:uid="{00000000-0004-0000-1200-000079000000}"/>
    <hyperlink ref="D25" r:id="rId123" display="https://www.linkedin.com/learning/improving-your-judgment-for-better-decision-making?trk=ondemandfile" xr:uid="{00000000-0004-0000-1200-00007A000000}"/>
    <hyperlink ref="N25" r:id="rId124" display="https://www.linkedin.com/learning/00-executive-decision-making?trk=ondemandfile" xr:uid="{00000000-0004-0000-1200-00007B000000}"/>
    <hyperlink ref="D26" r:id="rId125" display="https://www.linkedin.com/learning/overcoming-cognitive-bias?trk=ondemandfile" xr:uid="{00000000-0004-0000-1200-00007C000000}"/>
    <hyperlink ref="N26" r:id="rId126" display="https://www.linkedin.com/learning/toma-de-decisiones-en-situaciones-de-gran-estres?trk=ondemandfile" xr:uid="{00000000-0004-0000-1200-00007D000000}"/>
    <hyperlink ref="D27" r:id="rId127" display="https://www.linkedin.com/learning/improving-your-thinking?trk=ondemandfile" xr:uid="{00000000-0004-0000-1200-00007E000000}"/>
    <hyperlink ref="D28" r:id="rId128" display="https://www.linkedin.com/learning/how-to-use-data-visualization-to-make-better-decisions-faster?trk=ondemandfile" xr:uid="{00000000-0004-0000-1200-00007F000000}"/>
    <hyperlink ref="D29" r:id="rId129" display="https://www.linkedin.com/learning/simple-habits-for-complex-times-getabstract-summary?trk=ondemandfile" xr:uid="{00000000-0004-0000-1200-000080000000}"/>
    <hyperlink ref="D30" r:id="rId130" display="https://www.linkedin.com/learning/emotional-intelligence-as-an-inclusivity-booster?trk=ondemandfile" xr:uid="{00000000-0004-0000-1200-000081000000}"/>
    <hyperlink ref="D31" r:id="rId131" display="https://www.linkedin.com/learning/practical-creativity-for-everyone?trk=ondemandfile" xr:uid="{00000000-0004-0000-1200-000082000000}"/>
    <hyperlink ref="D32" r:id="rId132" display="https://www.linkedin.com/learning/building-resilience?trk=ondemandfile" xr:uid="{00000000-0004-0000-1200-000083000000}"/>
    <hyperlink ref="D33" r:id="rId133" display="https://www.linkedin.com/learning/critical-thinking?trk=ondemandfile" xr:uid="{00000000-0004-0000-1200-000084000000}"/>
    <hyperlink ref="D34" r:id="rId134" display="https://www.linkedin.com/learning/cultivating-a-growth-mindset?trk=ondemandfile" xr:uid="{00000000-0004-0000-1200-000085000000}"/>
    <hyperlink ref="D35" r:id="rId135" display="https://www.linkedin.com/learning/delivering-results-effectively?trk=ondemandfile" xr:uid="{00000000-0004-0000-1200-000086000000}"/>
    <hyperlink ref="D36" r:id="rId136" display="https://www.linkedin.com/learning/enhancing-resilience?trk=ondemandfile" xr:uid="{00000000-0004-0000-1200-000087000000}"/>
    <hyperlink ref="D37" r:id="rId137" display="https://www.linkedin.com/learning/fred-kofman-on-making-commitments?trk=ondemandfile" xr:uid="{00000000-0004-0000-1200-000088000000}"/>
    <hyperlink ref="D38" r:id="rId138" display="https://www.linkedin.com/learning/learning-from-failure?trk=ondemandfile" xr:uid="{00000000-0004-0000-1200-000089000000}"/>
    <hyperlink ref="D39" r:id="rId139" display="https://www.linkedin.com/learning/prioritizing-your-tasks?trk=ondemandfile" xr:uid="{00000000-0004-0000-1200-00008A000000}"/>
    <hyperlink ref="D40" r:id="rId140" display="https://www.linkedin.com/learning/sheryl-sandberg-and-adam-grant-on-option-b?trk=ondemandfile" xr:uid="{00000000-0004-0000-1200-00008B000000}"/>
    <hyperlink ref="D41" r:id="rId141" display="https://www.linkedin.com/learning/successful-goal-setting?trk=ondemandfile" xr:uid="{00000000-0004-0000-1200-00008C000000}"/>
    <hyperlink ref="D42" r:id="rId142" display="https://www.linkedin.com/learning/powerless-to-powerful-taking-control?trk=ondemandfile" xr:uid="{00000000-0004-0000-1200-00008D000000}"/>
    <hyperlink ref="D43" r:id="rId143" display="https://www.linkedin.com/learning/making-decisions-2019?trk=ondemandfile" xr:uid="{00000000-0004-0000-1200-00008E000000}"/>
    <hyperlink ref="D44" r:id="rId144" display="https://www.linkedin.com/learning/good-economics-for-hard-times-blinkist-summary?trk=ondemandfile" xr:uid="{00000000-0004-0000-1200-00008F000000}"/>
    <hyperlink ref="D45" r:id="rId145" display="https://www.linkedin.com/learning/presence-bringing-your-boldest-self-to-your-biggest-challenges-getabstract-summary?trk=ondemandfile" xr:uid="{00000000-0004-0000-1200-000090000000}"/>
    <hyperlink ref="D46" r:id="rId146" display="https://www.linkedin.com/learning/critical-thinking-and-problem-solving?trk=ondemandfile" xr:uid="{00000000-0004-0000-1200-000091000000}"/>
    <hyperlink ref="D47" r:id="rId147" display="https://www.linkedin.com/learning/creativity-at-work-a-short-course-from-seth-godin?trk=ondemandfile" xr:uid="{00000000-0004-0000-1200-000092000000}"/>
    <hyperlink ref="D48" r:id="rId148" display="https://www.linkedin.com/learning/how-to-think-like-a-lawyer-to-make-decisions-and-solve-problems?trk=ondemandfile" xr:uid="{00000000-0004-0000-1200-000093000000}"/>
    <hyperlink ref="D49" r:id="rId149" display="https://www.linkedin.com/learning/smarter-faster-better-blinkist-summary?trk=ondemandfile" xr:uid="{00000000-0004-0000-1200-000094000000}"/>
    <hyperlink ref="D50" r:id="rId150" display="https://www.linkedin.com/learning/thinking-fast-and-slow-blinkist-summary?trk=ondemandfile" xr:uid="{00000000-0004-0000-1200-000095000000}"/>
    <hyperlink ref="D51" r:id="rId151" display="https://www.linkedin.com/learning/overcome-overthinking?trk=ondemandfile" xr:uid="{00000000-0004-0000-1200-000096000000}"/>
    <hyperlink ref="D52" r:id="rId152" display="https://www.linkedin.com/learning/cultivating-mental-agility?trk=ondemandfile" xr:uid="{00000000-0004-0000-1200-000097000000}"/>
    <hyperlink ref="D53" r:id="rId153" display="https://www.linkedin.com/learning/decision-making-in-high-stress-situations?trk=ondemandfile" xr:uid="{00000000-0004-0000-1200-000098000000}"/>
    <hyperlink ref="D54" r:id="rId154" display="https://www.linkedin.com/learning/how-to-fix-bad-agile?trk=ondemandfile" xr:uid="{00000000-0004-0000-1200-000099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Click and enter a value from range 'Competency Titles'!A1:A27" xr:uid="{00000000-0002-0000-1200-000000000000}">
          <x14:formula1>
            <xm:f>#REF!</xm:f>
          </x14:formula1>
          <xm:sqref>B1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41B47"/>
    <outlinePr summaryBelow="0" summaryRight="0"/>
  </sheetPr>
  <dimension ref="A1:AJ99"/>
  <sheetViews>
    <sheetView showGridLines="0" workbookViewId="0">
      <pane ySplit="3" topLeftCell="A4" activePane="bottomLeft" state="frozen"/>
      <selection pane="bottomLeft" sqref="A1:XFD1048576"/>
    </sheetView>
  </sheetViews>
  <sheetFormatPr baseColWidth="10" defaultColWidth="11.1640625" defaultRowHeight="15" customHeight="1"/>
  <cols>
    <col min="1" max="1" width="1.1640625" customWidth="1"/>
    <col min="2" max="2" width="11.1640625" customWidth="1"/>
    <col min="3" max="3" width="18.5" customWidth="1"/>
    <col min="4" max="5" width="44.5" customWidth="1"/>
    <col min="6" max="6" width="1.1640625" customWidth="1"/>
    <col min="7" max="7" width="11.1640625" customWidth="1"/>
    <col min="8" max="8" width="19.33203125" customWidth="1"/>
    <col min="9" max="10" width="44.5" customWidth="1"/>
    <col min="11" max="11" width="1.1640625" customWidth="1"/>
    <col min="12" max="12" width="11.1640625" customWidth="1"/>
    <col min="13" max="13" width="20.83203125" customWidth="1"/>
    <col min="14" max="15" width="44.5" customWidth="1"/>
    <col min="16" max="16" width="1.1640625" customWidth="1"/>
    <col min="17" max="17" width="11.1640625" customWidth="1"/>
    <col min="18" max="18" width="19.6640625" customWidth="1"/>
    <col min="19" max="20" width="44.5" customWidth="1"/>
    <col min="21" max="21" width="1.1640625" customWidth="1"/>
    <col min="23" max="23" width="18.6640625" customWidth="1"/>
    <col min="24" max="25" width="44.5" customWidth="1"/>
    <col min="26" max="26" width="1.1640625" customWidth="1"/>
    <col min="27" max="27" width="11.1640625" customWidth="1"/>
    <col min="28" max="28" width="26.6640625" customWidth="1"/>
    <col min="29" max="30" width="44.5" customWidth="1"/>
    <col min="31" max="31" width="1.1640625" customWidth="1"/>
    <col min="32" max="32" width="11.1640625" customWidth="1"/>
    <col min="33" max="33" width="21" customWidth="1"/>
    <col min="34" max="35" width="44.5" customWidth="1"/>
    <col min="36" max="36" width="1.1640625" customWidth="1"/>
  </cols>
  <sheetData>
    <row r="1" spans="1:36" ht="34.5" customHeight="1">
      <c r="A1" s="208"/>
      <c r="B1" s="230" t="s">
        <v>9</v>
      </c>
      <c r="C1" s="222"/>
      <c r="D1" s="222"/>
      <c r="E1" s="222"/>
      <c r="F1" s="208"/>
      <c r="G1" s="230" t="str">
        <f ca="1">IFERROR(__xludf.DUMMYFUNCTION("IFERROR(UNIQUE(FILTER(French!B:B,French!A:A=B1)))"),"Focus sur le client")</f>
        <v>Focus sur le client</v>
      </c>
      <c r="H1" s="222"/>
      <c r="I1" s="222"/>
      <c r="J1" s="222"/>
      <c r="K1" s="208"/>
      <c r="L1" s="230" t="str">
        <f ca="1">IFERROR(__xludf.DUMMYFUNCTION("IFERROR((UNIQUE(FILTER(Spanish!B:B,Spanish!A:A=B1))))"),"Enfoque al cliente")</f>
        <v>Enfoque al cliente</v>
      </c>
      <c r="M1" s="222"/>
      <c r="N1" s="222"/>
      <c r="O1" s="222"/>
      <c r="P1" s="208"/>
      <c r="Q1" s="230" t="str">
        <f ca="1">IFERROR(__xludf.DUMMYFUNCTION("IFERROR(UNIQUE(FILTER(German!B:B,German!A:A=B1)))"),"Kundenorientierung")</f>
        <v>Kundenorientierung</v>
      </c>
      <c r="R1" s="222"/>
      <c r="S1" s="222"/>
      <c r="T1" s="222"/>
      <c r="U1" s="208"/>
      <c r="V1" s="230" t="str">
        <f ca="1">IFERROR(__xludf.DUMMYFUNCTION("IFERROR(UNIQUE(FILTER(Japanese!B:B,Japanese!A:A=B1)))"),"顧客重視")</f>
        <v>顧客重視</v>
      </c>
      <c r="W1" s="222"/>
      <c r="X1" s="222"/>
      <c r="Y1" s="222"/>
      <c r="Z1" s="208"/>
      <c r="AA1" s="230" t="str">
        <f ca="1">IFERROR(__xludf.DUMMYFUNCTION("IFERROR(UNIQUE(FILTER(Portuguese!B:B,Portuguese!A:A=B1)))"),"Foco no cliente")</f>
        <v>Foco no cliente</v>
      </c>
      <c r="AB1" s="222"/>
      <c r="AC1" s="222"/>
      <c r="AD1" s="222"/>
      <c r="AE1" s="208"/>
      <c r="AF1" s="230" t="str">
        <f ca="1">IFERROR(__xludf.DUMMYFUNCTION("IFERROR(UNIQUE(FILTER(Mandarin!B:B,Mandarin!A:A=B1)))"),"关注客户")</f>
        <v>关注客户</v>
      </c>
      <c r="AG1" s="222"/>
      <c r="AH1" s="222"/>
      <c r="AI1" s="222"/>
      <c r="AJ1" s="208"/>
    </row>
    <row r="2" spans="1:36" ht="28" customHeight="1">
      <c r="A2" s="209"/>
      <c r="B2" s="234" t="s">
        <v>4713</v>
      </c>
      <c r="C2" s="222"/>
      <c r="D2" s="222"/>
      <c r="E2" s="222"/>
      <c r="F2" s="209"/>
      <c r="G2" s="231" t="s">
        <v>4714</v>
      </c>
      <c r="H2" s="222"/>
      <c r="I2" s="222"/>
      <c r="J2" s="222"/>
      <c r="K2" s="209"/>
      <c r="L2" s="235" t="s">
        <v>4715</v>
      </c>
      <c r="M2" s="222"/>
      <c r="N2" s="222"/>
      <c r="O2" s="222"/>
      <c r="P2" s="209"/>
      <c r="Q2" s="232" t="s">
        <v>4716</v>
      </c>
      <c r="R2" s="222"/>
      <c r="S2" s="222"/>
      <c r="T2" s="222"/>
      <c r="U2" s="209"/>
      <c r="V2" s="236" t="s">
        <v>4717</v>
      </c>
      <c r="W2" s="222"/>
      <c r="X2" s="222"/>
      <c r="Y2" s="222"/>
      <c r="Z2" s="209"/>
      <c r="AA2" s="233" t="s">
        <v>4718</v>
      </c>
      <c r="AB2" s="222"/>
      <c r="AC2" s="222"/>
      <c r="AD2" s="222"/>
      <c r="AE2" s="209"/>
      <c r="AF2" s="237" t="s">
        <v>4719</v>
      </c>
      <c r="AG2" s="222"/>
      <c r="AH2" s="222"/>
      <c r="AI2" s="222"/>
      <c r="AJ2" s="209"/>
    </row>
    <row r="3" spans="1:36" ht="26" customHeight="1">
      <c r="A3" s="210"/>
      <c r="B3" s="211" t="str">
        <f ca="1">IFERROR(__xludf.DUMMYFUNCTION("FILTER(English!B:B,English!A:A=B1)"),"Course IDs")</f>
        <v>Course IDs</v>
      </c>
      <c r="C3" s="211" t="str">
        <f ca="1">IFERROR(__xludf.DUMMYFUNCTION("FILTER(English!C:C,English!A:A=B1)"),"Levels")</f>
        <v>Levels</v>
      </c>
      <c r="D3" s="211" t="str">
        <f ca="1">IFERROR(__xludf.DUMMYFUNCTION("FILTER(English!D:D,English!A:A=B1)"),"Courses")</f>
        <v>Courses</v>
      </c>
      <c r="E3" s="212" t="str">
        <f ca="1">IFERROR(__xludf.DUMMYFUNCTION("FILTER(English!E:E,English!A:A=B1)"),"Learning Paths")</f>
        <v>Learning Paths</v>
      </c>
      <c r="F3" s="210"/>
      <c r="G3" s="211" t="str">
        <f ca="1">IFERROR(__xludf.DUMMYFUNCTION("FILTER(French!C:C,French!B:B=G1)"),"Course IDs")</f>
        <v>Course IDs</v>
      </c>
      <c r="H3" s="211" t="str">
        <f ca="1">IFERROR(__xludf.DUMMYFUNCTION("FILTER(French!D:D,French!B:B=G1)"),"")</f>
        <v/>
      </c>
      <c r="I3" s="211" t="str">
        <f ca="1">IFERROR(__xludf.DUMMYFUNCTION("FILTER(French!E:E,French!B:B=G1)"),"Courses")</f>
        <v>Courses</v>
      </c>
      <c r="J3" s="212" t="str">
        <f ca="1">IFERROR(__xludf.DUMMYFUNCTION("FILTER(French!G:G,French!B:B=G1)"),"Learning Paths")</f>
        <v>Learning Paths</v>
      </c>
      <c r="K3" s="210"/>
      <c r="L3" s="211" t="str">
        <f ca="1">IFERROR(__xludf.DUMMYFUNCTION("FILTER(Spanish!C:C,Spanish!B:B=L1)"),"Course IDs")</f>
        <v>Course IDs</v>
      </c>
      <c r="M3" s="211" t="str">
        <f ca="1">IFERROR(__xludf.DUMMYFUNCTION("FILTER(Spanish!D:D,Spanish!B:B=L1)"),"Levels")</f>
        <v>Levels</v>
      </c>
      <c r="N3" s="211" t="str">
        <f ca="1">IFERROR(__xludf.DUMMYFUNCTION("FILTER(Spanish!E:E,Spanish!B:B=L1)"),"Courses")</f>
        <v>Courses</v>
      </c>
      <c r="O3" s="212" t="str">
        <f ca="1">IFERROR(__xludf.DUMMYFUNCTION("FILTER(Spanish!G:G,Spanish!B:B=L1)"),"Learning Paths")</f>
        <v>Learning Paths</v>
      </c>
      <c r="P3" s="210"/>
      <c r="Q3" s="211" t="str">
        <f ca="1">IFERROR(__xludf.DUMMYFUNCTION("FILTER(German!C:C,German!B:B=Q1)"),"Course IDs")</f>
        <v>Course IDs</v>
      </c>
      <c r="R3" s="211" t="str">
        <f ca="1">IFERROR(__xludf.DUMMYFUNCTION("FILTER(German!D:D,German!B:B=Q1)"),"Levels")</f>
        <v>Levels</v>
      </c>
      <c r="S3" s="211" t="str">
        <f ca="1">IFERROR(__xludf.DUMMYFUNCTION("FILTER(German!E:E,German!B:B=Q1)"),"Courses")</f>
        <v>Courses</v>
      </c>
      <c r="T3" s="212" t="str">
        <f ca="1">IFERROR(__xludf.DUMMYFUNCTION("FILTER(German!G:G,German!B:B=Q1)"),"Learning Paths")</f>
        <v>Learning Paths</v>
      </c>
      <c r="U3" s="210"/>
      <c r="V3" s="211" t="str">
        <f ca="1">IFERROR(__xludf.DUMMYFUNCTION("FILTER(Japanese!C:C,Japanese!B:B=V1)"),"Course IDs")</f>
        <v>Course IDs</v>
      </c>
      <c r="W3" s="211" t="str">
        <f ca="1">IFERROR(__xludf.DUMMYFUNCTION("FILTER(Japanese!D:D,Japanese!B:B=V1)"),"Levels")</f>
        <v>Levels</v>
      </c>
      <c r="X3" s="211" t="str">
        <f ca="1">IFERROR(__xludf.DUMMYFUNCTION("FILTER(Japanese!E:E,Japanese!B:B=V1)"),"Courses")</f>
        <v>Courses</v>
      </c>
      <c r="Y3" s="212" t="str">
        <f ca="1">IFERROR(__xludf.DUMMYFUNCTION("FILTER(Japanese!G:G,Japanese!B:B=V1)"),"Learning Paths")</f>
        <v>Learning Paths</v>
      </c>
      <c r="Z3" s="210"/>
      <c r="AA3" s="211" t="str">
        <f ca="1">IFERROR(__xludf.DUMMYFUNCTION("FILTER(Portuguese!C:C,Portuguese!B:B=AA1)"),"Course IDs")</f>
        <v>Course IDs</v>
      </c>
      <c r="AB3" s="211" t="str">
        <f ca="1">IFERROR(__xludf.DUMMYFUNCTION("FILTER(Portuguese!D:D,Portuguese!B:B=AA1)"),"Levels")</f>
        <v>Levels</v>
      </c>
      <c r="AC3" s="211" t="str">
        <f ca="1">IFERROR(__xludf.DUMMYFUNCTION("FILTER(Portuguese!E:E,Portuguese!B:B=AA1)"),"Courses")</f>
        <v>Courses</v>
      </c>
      <c r="AD3" s="212" t="str">
        <f ca="1">IFERROR(__xludf.DUMMYFUNCTION("FILTER(Portuguese!G:G,Portuguese!B:B=AA1)"),"Learning Paths")</f>
        <v>Learning Paths</v>
      </c>
      <c r="AE3" s="210"/>
      <c r="AF3" s="211" t="str">
        <f ca="1">IFERROR(__xludf.DUMMYFUNCTION("FILTER(Mandarin!C:C,Mandarin!B:B=AF1)"),"Course IDs")</f>
        <v>Course IDs</v>
      </c>
      <c r="AG3" s="211" t="str">
        <f ca="1">IFERROR(__xludf.DUMMYFUNCTION("FILTER(Mandarin!D:D,Mandarin!B:B=AF1)"),"Levels")</f>
        <v>Levels</v>
      </c>
      <c r="AH3" s="211" t="str">
        <f ca="1">IFERROR(__xludf.DUMMYFUNCTION("FILTER(Mandarin!E:E,Mandarin!B:B=AF1)"),"Courses")</f>
        <v>Courses</v>
      </c>
      <c r="AI3" s="212" t="str">
        <f ca="1">IFERROR(__xludf.DUMMYFUNCTION("FILTER(Mandarin!G:G,Mandarin!B:B=AF1)"),"Learning Paths")</f>
        <v>Learning Paths</v>
      </c>
      <c r="AJ3" s="210"/>
    </row>
    <row r="4" spans="1:36" ht="33.75" customHeight="1">
      <c r="A4" s="213"/>
      <c r="B4" s="214">
        <f ca="1">IFERROR(__xludf.DUMMYFUNCTION("""COMPUTED_VALUE"""),492724)</f>
        <v>492724</v>
      </c>
      <c r="C4" s="215" t="str">
        <f ca="1">IFERROR(__xludf.DUMMYFUNCTION("""COMPUTED_VALUE"""),"Advanced")</f>
        <v>Advanced</v>
      </c>
      <c r="D4" s="216" t="str">
        <f ca="1">IFERROR(__xludf.DUMMYFUNCTION("""COMPUTED_VALUE"""),"Service Innovation")</f>
        <v>Service Innovation</v>
      </c>
      <c r="E4" s="217" t="str">
        <f ca="1">IFERROR(__xludf.DUMMYFUNCTION("""COMPUTED_VALUE"""),"Become a Customer Service Manager")</f>
        <v>Become a Customer Service Manager</v>
      </c>
      <c r="F4" s="213"/>
      <c r="G4" s="214">
        <f ca="1">IFERROR(__xludf.DUMMYFUNCTION("""COMPUTED_VALUE"""),2822360)</f>
        <v>2822360</v>
      </c>
      <c r="H4" s="215" t="str">
        <f ca="1">IFERROR(__xludf.DUMMYFUNCTION("""COMPUTED_VALUE"""),"Beginner")</f>
        <v>Beginner</v>
      </c>
      <c r="I4" s="217" t="str">
        <f ca="1">IFERROR(__xludf.DUMMYFUNCTION("""COMPUTED_VALUE"""),"Annoncer une mauvaise nouvelle à un client / une cliente")</f>
        <v>Annoncer une mauvaise nouvelle à un client / une cliente</v>
      </c>
      <c r="J4" s="217" t="str">
        <f ca="1">IFERROR(__xludf.DUMMYFUNCTION("""COMPUTED_VALUE"""),"Devenir un spécialiste du service client")</f>
        <v>Devenir un spécialiste du service client</v>
      </c>
      <c r="K4" s="213"/>
      <c r="L4" s="215">
        <f ca="1">IFERROR(__xludf.DUMMYFUNCTION("""COMPUTED_VALUE"""),2842004)</f>
        <v>2842004</v>
      </c>
      <c r="M4" s="215" t="str">
        <f ca="1">IFERROR(__xludf.DUMMYFUNCTION("""COMPUTED_VALUE"""),"All levels")</f>
        <v>All levels</v>
      </c>
      <c r="N4" s="217" t="str">
        <f ca="1">IFERROR(__xludf.DUMMYFUNCTION("""COMPUTED_VALUE"""),"Aprende Mailchimp")</f>
        <v>Aprende Mailchimp</v>
      </c>
      <c r="O4" s="217" t="str">
        <f ca="1">IFERROR(__xludf.DUMMYFUNCTION("""COMPUTED_VALUE"""),"Conviértete en vendedor")</f>
        <v>Conviértete en vendedor</v>
      </c>
      <c r="P4" s="213"/>
      <c r="Q4" s="215">
        <f ca="1">IFERROR(__xludf.DUMMYFUNCTION("""COMPUTED_VALUE"""),2825415)</f>
        <v>2825415</v>
      </c>
      <c r="R4" s="215" t="str">
        <f ca="1">IFERROR(__xludf.DUMMYFUNCTION("""COMPUTED_VALUE"""),"Intermediate")</f>
        <v>Intermediate</v>
      </c>
      <c r="S4" s="217" t="str">
        <f ca="1">IFERROR(__xludf.DUMMYFUNCTION("""COMPUTED_VALUE"""),"Als Kundenservice-Manager:in die Erwartung der Kundschaft steuern")</f>
        <v>Als Kundenservice-Manager:in die Erwartung der Kundschaft steuern</v>
      </c>
      <c r="T4" s="217"/>
      <c r="U4" s="213"/>
      <c r="V4" s="215">
        <f ca="1">IFERROR(__xludf.DUMMYFUNCTION("""COMPUTED_VALUE"""),2998024)</f>
        <v>2998024</v>
      </c>
      <c r="W4" s="215" t="str">
        <f ca="1">IFERROR(__xludf.DUMMYFUNCTION("""COMPUTED_VALUE"""),"Beginner")</f>
        <v>Beginner</v>
      </c>
      <c r="X4" s="217" t="str">
        <f ca="1">IFERROR(__xludf.DUMMYFUNCTION("""COMPUTED_VALUE"""),"ビジネスマナーの基礎：接客")</f>
        <v>ビジネスマナーの基礎：接客</v>
      </c>
      <c r="Y4" s="217" t="str">
        <f ca="1">IFERROR(__xludf.DUMMYFUNCTION("""COMPUTED_VALUE"""),"N/A")</f>
        <v>N/A</v>
      </c>
      <c r="Z4" s="213"/>
      <c r="AA4" s="215">
        <f ca="1">IFERROR(__xludf.DUMMYFUNCTION("""COMPUTED_VALUE"""),2931604)</f>
        <v>2931604</v>
      </c>
      <c r="AB4" s="215" t="str">
        <f ca="1">IFERROR(__xludf.DUMMYFUNCTION("""COMPUTED_VALUE"""),"Beginner")</f>
        <v>Beginner</v>
      </c>
      <c r="AC4" s="217" t="str">
        <f ca="1">IFERROR(__xludf.DUMMYFUNCTION("""COMPUTED_VALUE"""),"Atendimento ao Cliente: Como Escrever E-mails")</f>
        <v>Atendimento ao Cliente: Como Escrever E-mails</v>
      </c>
      <c r="AD4" s="217" t="str">
        <f ca="1">IFERROR(__xludf.DUMMYFUNCTION("""COMPUTED_VALUE"""),"Torne-se um Especialista em Atendimento ao Cliente")</f>
        <v>Torne-se um Especialista em Atendimento ao Cliente</v>
      </c>
      <c r="AE4" s="213"/>
      <c r="AF4" s="215">
        <f ca="1">IFERROR(__xludf.DUMMYFUNCTION("""COMPUTED_VALUE"""),5005236)</f>
        <v>5005236</v>
      </c>
      <c r="AG4" s="215" t="str">
        <f ca="1">IFERROR(__xludf.DUMMYFUNCTION("""COMPUTED_VALUE"""),"Intermediate")</f>
        <v>Intermediate</v>
      </c>
      <c r="AH4" s="217" t="str">
        <f ca="1">IFERROR(__xludf.DUMMYFUNCTION("""COMPUTED_VALUE"""),"创新的客服技巧")</f>
        <v>创新的客服技巧</v>
      </c>
      <c r="AI4" s="217" t="str">
        <f ca="1">IFERROR(__xludf.DUMMYFUNCTION("""COMPUTED_VALUE"""),"成为客户服务专员")</f>
        <v>成为客户服务专员</v>
      </c>
      <c r="AJ4" s="213"/>
    </row>
    <row r="5" spans="1:36" ht="30">
      <c r="A5" s="213"/>
      <c r="B5" s="214">
        <f ca="1">IFERROR(__xludf.DUMMYFUNCTION("""COMPUTED_VALUE"""),2894004)</f>
        <v>2894004</v>
      </c>
      <c r="C5" s="215" t="str">
        <f ca="1">IFERROR(__xludf.DUMMYFUNCTION("""COMPUTED_VALUE"""),"Advanced")</f>
        <v>Advanced</v>
      </c>
      <c r="D5" s="216" t="str">
        <f ca="1">IFERROR(__xludf.DUMMYFUNCTION("""COMPUTED_VALUE"""),"Customer Experience Leadership")</f>
        <v>Customer Experience Leadership</v>
      </c>
      <c r="E5" s="217" t="str">
        <f ca="1">IFERROR(__xludf.DUMMYFUNCTION("""COMPUTED_VALUE"""),"Become a Customer Service Specialist")</f>
        <v>Become a Customer Service Specialist</v>
      </c>
      <c r="F5" s="213"/>
      <c r="G5" s="214">
        <f ca="1">IFERROR(__xludf.DUMMYFUNCTION("""COMPUTED_VALUE"""),2250561)</f>
        <v>2250561</v>
      </c>
      <c r="H5" s="215" t="str">
        <f ca="1">IFERROR(__xludf.DUMMYFUNCTION("""COMPUTED_VALUE"""),"Intermediate")</f>
        <v>Intermediate</v>
      </c>
      <c r="I5" s="217" t="str">
        <f ca="1">IFERROR(__xludf.DUMMYFUNCTION("""COMPUTED_VALUE"""),"Créer des conversations constructives avec des clients exigeants / clientes exigeantes")</f>
        <v>Créer des conversations constructives avec des clients exigeants / clientes exigeantes</v>
      </c>
      <c r="J5" s="217"/>
      <c r="K5" s="213"/>
      <c r="L5" s="215">
        <f ca="1">IFERROR(__xludf.DUMMYFUNCTION("""COMPUTED_VALUE"""),2819193)</f>
        <v>2819193</v>
      </c>
      <c r="M5" s="215" t="str">
        <f ca="1">IFERROR(__xludf.DUMMYFUNCTION("""COMPUTED_VALUE"""),"Intermediate")</f>
        <v>Intermediate</v>
      </c>
      <c r="N5" s="217" t="str">
        <f ca="1">IFERROR(__xludf.DUMMYFUNCTION("""COMPUTED_VALUE"""),"Cómo construir la lealtad del cliente")</f>
        <v>Cómo construir la lealtad del cliente</v>
      </c>
      <c r="O5" s="217"/>
      <c r="P5" s="213"/>
      <c r="Q5" s="215">
        <f ca="1">IFERROR(__xludf.DUMMYFUNCTION("""COMPUTED_VALUE"""),2823328)</f>
        <v>2823328</v>
      </c>
      <c r="R5" s="215" t="str">
        <f ca="1">IFERROR(__xludf.DUMMYFUNCTION("""COMPUTED_VALUE"""),"All levels")</f>
        <v>All levels</v>
      </c>
      <c r="S5" s="217" t="str">
        <f ca="1">IFERROR(__xludf.DUMMYFUNCTION("""COMPUTED_VALUE"""),"Als Kundenservice-Mitarbeiter:in die Erwartung der Kundschaft steuern")</f>
        <v>Als Kundenservice-Mitarbeiter:in die Erwartung der Kundschaft steuern</v>
      </c>
      <c r="T5" s="217" t="str">
        <f ca="1">IFERROR(__xludf.DUMMYFUNCTION("""COMPUTED_VALUE"""),"Kundenservice-Spezialist:in werden")</f>
        <v>Kundenservice-Spezialist:in werden</v>
      </c>
      <c r="U5" s="213"/>
      <c r="V5" s="215">
        <f ca="1">IFERROR(__xludf.DUMMYFUNCTION("""COMPUTED_VALUE"""),2918413)</f>
        <v>2918413</v>
      </c>
      <c r="W5" s="215" t="str">
        <f ca="1">IFERROR(__xludf.DUMMYFUNCTION("""COMPUTED_VALUE"""),"Intermediate")</f>
        <v>Intermediate</v>
      </c>
      <c r="X5" s="217" t="str">
        <f ca="1">IFERROR(__xludf.DUMMYFUNCTION("""COMPUTED_VALUE"""),"満足度を高める顧客サービステクニック")</f>
        <v>満足度を高める顧客サービステクニック</v>
      </c>
      <c r="Y5" s="217"/>
      <c r="Z5" s="213"/>
      <c r="AA5" s="215">
        <f ca="1">IFERROR(__xludf.DUMMYFUNCTION("""COMPUTED_VALUE"""),2928598)</f>
        <v>2928598</v>
      </c>
      <c r="AB5" s="215" t="str">
        <f ca="1">IFERROR(__xludf.DUMMYFUNCTION("""COMPUTED_VALUE"""),"Beginner, Intermediate")</f>
        <v>Beginner, Intermediate</v>
      </c>
      <c r="AC5" s="217" t="str">
        <f ca="1">IFERROR(__xludf.DUMMYFUNCTION("""COMPUTED_VALUE"""),"Atendimento ao Cliente: Técnicas de Resolução de Problemas e Conflitos")</f>
        <v>Atendimento ao Cliente: Técnicas de Resolução de Problemas e Conflitos</v>
      </c>
      <c r="AD5" s="217"/>
      <c r="AE5" s="213"/>
      <c r="AF5" s="215">
        <f ca="1">IFERROR(__xludf.DUMMYFUNCTION("""COMPUTED_VALUE"""),2862023)</f>
        <v>2862023</v>
      </c>
      <c r="AG5" s="215" t="str">
        <f ca="1">IFERROR(__xludf.DUMMYFUNCTION("""COMPUTED_VALUE"""),"Beginner")</f>
        <v>Beginner</v>
      </c>
      <c r="AH5" s="217" t="str">
        <f ca="1">IFERROR(__xludf.DUMMYFUNCTION("""COMPUTED_VALUE"""),"同理心沟通")</f>
        <v>同理心沟通</v>
      </c>
      <c r="AI5" s="217"/>
      <c r="AJ5" s="213"/>
    </row>
    <row r="6" spans="1:36" ht="30">
      <c r="A6" s="213"/>
      <c r="B6" s="214">
        <f ca="1">IFERROR(__xludf.DUMMYFUNCTION("""COMPUTED_VALUE"""),599600)</f>
        <v>599600</v>
      </c>
      <c r="C6" s="215" t="str">
        <f ca="1">IFERROR(__xludf.DUMMYFUNCTION("""COMPUTED_VALUE"""),"Intermediate")</f>
        <v>Intermediate</v>
      </c>
      <c r="D6" s="216" t="str">
        <f ca="1">IFERROR(__xludf.DUMMYFUNCTION("""COMPUTED_VALUE"""),"Creating a Culture of Privacy")</f>
        <v>Creating a Culture of Privacy</v>
      </c>
      <c r="E6" s="217" t="str">
        <f ca="1">IFERROR(__xludf.DUMMYFUNCTION("""COMPUTED_VALUE"""),"Become a Customer Support Specialist")</f>
        <v>Become a Customer Support Specialist</v>
      </c>
      <c r="F6" s="213"/>
      <c r="G6" s="214">
        <f ca="1">IFERROR(__xludf.DUMMYFUNCTION("""COMPUTED_VALUE"""),612523)</f>
        <v>612523</v>
      </c>
      <c r="H6" s="215" t="str">
        <f ca="1">IFERROR(__xludf.DUMMYFUNCTION("""COMPUTED_VALUE"""),"Beginner")</f>
        <v>Beginner</v>
      </c>
      <c r="I6" s="217" t="str">
        <f ca="1">IFERROR(__xludf.DUMMYFUNCTION("""COMPUTED_VALUE"""),"Découvrir les techniques innovantes de service à la clientèle")</f>
        <v>Découvrir les techniques innovantes de service à la clientèle</v>
      </c>
      <c r="J6" s="217"/>
      <c r="K6" s="213"/>
      <c r="L6" s="215">
        <f ca="1">IFERROR(__xludf.DUMMYFUNCTION("""COMPUTED_VALUE"""),800894)</f>
        <v>800894</v>
      </c>
      <c r="M6" s="215" t="str">
        <f ca="1">IFERROR(__xludf.DUMMYFUNCTION("""COMPUTED_VALUE"""),"Advanced")</f>
        <v>Advanced</v>
      </c>
      <c r="N6" s="217" t="str">
        <f ca="1">IFERROR(__xludf.DUMMYFUNCTION("""COMPUTED_VALUE"""),"Cómo dirigir el servicio de atención al cliente")</f>
        <v>Cómo dirigir el servicio de atención al cliente</v>
      </c>
      <c r="O6" s="217"/>
      <c r="P6" s="213"/>
      <c r="Q6" s="215">
        <f ca="1">IFERROR(__xludf.DUMMYFUNCTION("""COMPUTED_VALUE"""),2925267)</f>
        <v>2925267</v>
      </c>
      <c r="R6" s="215" t="str">
        <f ca="1">IFERROR(__xludf.DUMMYFUNCTION("""COMPUTED_VALUE"""),"All levels")</f>
        <v>All levels</v>
      </c>
      <c r="S6" s="217" t="str">
        <f ca="1">IFERROR(__xludf.DUMMYFUNCTION("""COMPUTED_VALUE"""),"Besser zuhören")</f>
        <v>Besser zuhören</v>
      </c>
      <c r="T6" s="217"/>
      <c r="U6" s="213"/>
      <c r="V6" s="215">
        <f ca="1">IFERROR(__xludf.DUMMYFUNCTION("""COMPUTED_VALUE"""),2849238)</f>
        <v>2849238</v>
      </c>
      <c r="W6" s="215" t="str">
        <f ca="1">IFERROR(__xludf.DUMMYFUNCTION("""COMPUTED_VALUE"""),"Beginner")</f>
        <v>Beginner</v>
      </c>
      <c r="X6" s="217" t="str">
        <f ca="1">IFERROR(__xludf.DUMMYFUNCTION("""COMPUTED_VALUE"""),"顧客サービスの基礎")</f>
        <v>顧客サービスの基礎</v>
      </c>
      <c r="Y6" s="217"/>
      <c r="Z6" s="213"/>
      <c r="AA6" s="215">
        <f ca="1">IFERROR(__xludf.DUMMYFUNCTION("""COMPUTED_VALUE"""),2929565)</f>
        <v>2929565</v>
      </c>
      <c r="AB6" s="215" t="str">
        <f ca="1">IFERROR(__xludf.DUMMYFUNCTION("""COMPUTED_VALUE"""),"Beginner")</f>
        <v>Beginner</v>
      </c>
      <c r="AC6" s="217" t="str">
        <f ca="1">IFERROR(__xludf.DUMMYFUNCTION("""COMPUTED_VALUE"""),"Como Comunicar Más Notícias aos Clientes")</f>
        <v>Como Comunicar Más Notícias aos Clientes</v>
      </c>
      <c r="AD6" s="217"/>
      <c r="AE6" s="213"/>
      <c r="AF6" s="215">
        <f ca="1">IFERROR(__xludf.DUMMYFUNCTION("""COMPUTED_VALUE"""),2825762)</f>
        <v>2825762</v>
      </c>
      <c r="AG6" s="215" t="str">
        <f ca="1">IFERROR(__xludf.DUMMYFUNCTION("""COMPUTED_VALUE"""),"Beginner")</f>
        <v>Beginner</v>
      </c>
      <c r="AH6" s="217" t="str">
        <f ca="1">IFERROR(__xludf.DUMMYFUNCTION("""COMPUTED_VALUE"""),"向客户传达艰难通知")</f>
        <v>向客户传达艰难通知</v>
      </c>
      <c r="AI6" s="217"/>
      <c r="AJ6" s="213"/>
    </row>
    <row r="7" spans="1:36" ht="33.75" customHeight="1">
      <c r="A7" s="213"/>
      <c r="B7" s="214">
        <f ca="1">IFERROR(__xludf.DUMMYFUNCTION("""COMPUTED_VALUE"""),2825603)</f>
        <v>2825603</v>
      </c>
      <c r="C7" s="215" t="str">
        <f ca="1">IFERROR(__xludf.DUMMYFUNCTION("""COMPUTED_VALUE"""),"Beginner")</f>
        <v>Beginner</v>
      </c>
      <c r="D7" s="216" t="str">
        <f ca="1">IFERROR(__xludf.DUMMYFUNCTION("""COMPUTED_VALUE"""),"Business Fundamentals for Customer Success Managers")</f>
        <v>Business Fundamentals for Customer Success Managers</v>
      </c>
      <c r="E7" s="217" t="str">
        <f ca="1">IFERROR(__xludf.DUMMYFUNCTION("""COMPUTED_VALUE"""),"Develop Your Customer Service Skills ")</f>
        <v xml:space="preserve">Develop Your Customer Service Skills </v>
      </c>
      <c r="F7" s="213"/>
      <c r="G7" s="214">
        <f ca="1">IFERROR(__xludf.DUMMYFUNCTION("""COMPUTED_VALUE"""),511184)</f>
        <v>511184</v>
      </c>
      <c r="H7" s="215" t="str">
        <f ca="1">IFERROR(__xludf.DUMMYFUNCTION("""COMPUTED_VALUE"""),"All levels")</f>
        <v>All levels</v>
      </c>
      <c r="I7" s="217" t="str">
        <f ca="1">IFERROR(__xludf.DUMMYFUNCTION("""COMPUTED_VALUE"""),"Développer la résilience")</f>
        <v>Développer la résilience</v>
      </c>
      <c r="J7" s="217"/>
      <c r="K7" s="213"/>
      <c r="L7" s="215">
        <f ca="1">IFERROR(__xludf.DUMMYFUNCTION("""COMPUTED_VALUE"""),2818133)</f>
        <v>2818133</v>
      </c>
      <c r="M7" s="215" t="str">
        <f ca="1">IFERROR(__xludf.DUMMYFUNCTION("""COMPUTED_VALUE"""),"Beginner")</f>
        <v>Beginner</v>
      </c>
      <c r="N7" s="217" t="str">
        <f ca="1">IFERROR(__xludf.DUMMYFUNCTION("""COMPUTED_VALUE"""),"Cómo escribir correos electrónicos de servicio al cliente")</f>
        <v>Cómo escribir correos electrónicos de servicio al cliente</v>
      </c>
      <c r="O7" s="217"/>
      <c r="P7" s="213"/>
      <c r="Q7" s="215">
        <f ca="1">IFERROR(__xludf.DUMMYFUNCTION("""COMPUTED_VALUE"""),3115028)</f>
        <v>3115028</v>
      </c>
      <c r="R7" s="215" t="str">
        <f ca="1">IFERROR(__xludf.DUMMYFUNCTION("""COMPUTED_VALUE"""),"Beginner")</f>
        <v>Beginner</v>
      </c>
      <c r="S7" s="217" t="str">
        <f ca="1">IFERROR(__xludf.DUMMYFUNCTION("""COMPUTED_VALUE"""),"Customer Centricity – Unternehmerisches Handeln an Kund:innen ausrichten")</f>
        <v>Customer Centricity – Unternehmerisches Handeln an Kund:innen ausrichten</v>
      </c>
      <c r="T7" s="217"/>
      <c r="U7" s="213"/>
      <c r="V7" s="215">
        <f ca="1">IFERROR(__xludf.DUMMYFUNCTION("""COMPUTED_VALUE"""),2400571)</f>
        <v>2400571</v>
      </c>
      <c r="W7" s="215" t="str">
        <f ca="1">IFERROR(__xludf.DUMMYFUNCTION("""COMPUTED_VALUE"""),"Beginner")</f>
        <v>Beginner</v>
      </c>
      <c r="X7" s="217" t="str">
        <f ca="1">IFERROR(__xludf.DUMMYFUNCTION("""COMPUTED_VALUE"""),"顧客に悪い知らせを伝えるには")</f>
        <v>顧客に悪い知らせを伝えるには</v>
      </c>
      <c r="Y7" s="217"/>
      <c r="Z7" s="213"/>
      <c r="AA7" s="215">
        <f ca="1">IFERROR(__xludf.DUMMYFUNCTION("""COMPUTED_VALUE"""),748851)</f>
        <v>748851</v>
      </c>
      <c r="AB7" s="215" t="str">
        <f ca="1">IFERROR(__xludf.DUMMYFUNCTION("""COMPUTED_VALUE"""),"All levels")</f>
        <v>All levels</v>
      </c>
      <c r="AC7" s="217" t="str">
        <f ca="1">IFERROR(__xludf.DUMMYFUNCTION("""COMPUTED_VALUE"""),"Como Escutar de Forma Eficaz")</f>
        <v>Como Escutar de Forma Eficaz</v>
      </c>
      <c r="AD7" s="217"/>
      <c r="AE7" s="213"/>
      <c r="AF7" s="215">
        <f ca="1">IFERROR(__xludf.DUMMYFUNCTION("""COMPUTED_VALUE"""),2811194)</f>
        <v>2811194</v>
      </c>
      <c r="AG7" s="215" t="str">
        <f ca="1">IFERROR(__xludf.DUMMYFUNCTION("""COMPUTED_VALUE"""),"Intermediate")</f>
        <v>Intermediate</v>
      </c>
      <c r="AH7" s="217" t="str">
        <f ca="1">IFERROR(__xludf.DUMMYFUNCTION("""COMPUTED_VALUE"""),"处理客户投诉")</f>
        <v>处理客户投诉</v>
      </c>
      <c r="AI7" s="217"/>
      <c r="AJ7" s="213"/>
    </row>
    <row r="8" spans="1:36" ht="33.75" customHeight="1">
      <c r="A8" s="213"/>
      <c r="B8" s="214">
        <f ca="1">IFERROR(__xludf.DUMMYFUNCTION("""COMPUTED_VALUE"""),667357)</f>
        <v>667357</v>
      </c>
      <c r="C8" s="215" t="str">
        <f ca="1">IFERROR(__xludf.DUMMYFUNCTION("""COMPUTED_VALUE"""),"Intermediate")</f>
        <v>Intermediate</v>
      </c>
      <c r="D8" s="216" t="str">
        <f ca="1">IFERROR(__xludf.DUMMYFUNCTION("""COMPUTED_VALUE"""),"Customer Service: Preventing Turnover")</f>
        <v>Customer Service: Preventing Turnover</v>
      </c>
      <c r="E8" s="217"/>
      <c r="F8" s="213"/>
      <c r="G8" s="214">
        <f ca="1">IFERROR(__xludf.DUMMYFUNCTION("""COMPUTED_VALUE"""),5025549)</f>
        <v>5025549</v>
      </c>
      <c r="H8" s="215" t="str">
        <f ca="1">IFERROR(__xludf.DUMMYFUNCTION("""COMPUTED_VALUE"""),"Intermediate")</f>
        <v>Intermediate</v>
      </c>
      <c r="I8" s="217" t="str">
        <f ca="1">IFERROR(__xludf.DUMMYFUNCTION("""COMPUTED_VALUE"""),"Diriger une équipe de service client")</f>
        <v>Diriger une équipe de service client</v>
      </c>
      <c r="J8" s="217"/>
      <c r="K8" s="213"/>
      <c r="L8" s="215">
        <f ca="1">IFERROR(__xludf.DUMMYFUNCTION("""COMPUTED_VALUE"""),5025585)</f>
        <v>5025585</v>
      </c>
      <c r="M8" s="215" t="str">
        <f ca="1">IFERROR(__xludf.DUMMYFUNCTION("""COMPUTED_VALUE"""),"Advanced")</f>
        <v>Advanced</v>
      </c>
      <c r="N8" s="217" t="str">
        <f ca="1">IFERROR(__xludf.DUMMYFUNCTION("""COMPUTED_VALUE"""),"Cómo gestionar el enfado en la clientela")</f>
        <v>Cómo gestionar el enfado en la clientela</v>
      </c>
      <c r="O8" s="217"/>
      <c r="P8" s="213"/>
      <c r="Q8" s="215">
        <f ca="1">IFERROR(__xludf.DUMMYFUNCTION("""COMPUTED_VALUE"""),2837222)</f>
        <v>2837222</v>
      </c>
      <c r="R8" s="215" t="str">
        <f ca="1">IFERROR(__xludf.DUMMYFUNCTION("""COMPUTED_VALUE"""),"All levels")</f>
        <v>All levels</v>
      </c>
      <c r="S8" s="217" t="str">
        <f ca="1">IFERROR(__xludf.DUMMYFUNCTION("""COMPUTED_VALUE"""),"Die 10 Stufen des Zuhörens: Die eigene Zuhörkompetenz ausbauen")</f>
        <v>Die 10 Stufen des Zuhörens: Die eigene Zuhörkompetenz ausbauen</v>
      </c>
      <c r="T8" s="217"/>
      <c r="U8" s="213"/>
      <c r="V8" s="215">
        <f ca="1">IFERROR(__xludf.DUMMYFUNCTION("""COMPUTED_VALUE"""),2849239)</f>
        <v>2849239</v>
      </c>
      <c r="W8" s="215" t="str">
        <f ca="1">IFERROR(__xludf.DUMMYFUNCTION("""COMPUTED_VALUE"""),"All levels")</f>
        <v>All levels</v>
      </c>
      <c r="X8" s="217" t="str">
        <f ca="1">IFERROR(__xludf.DUMMYFUNCTION("""COMPUTED_VALUE"""),"顧客の期待に現場で応えるには")</f>
        <v>顧客の期待に現場で応えるには</v>
      </c>
      <c r="Y8" s="217"/>
      <c r="Z8" s="213"/>
      <c r="AA8" s="215">
        <f ca="1">IFERROR(__xludf.DUMMYFUNCTION("""COMPUTED_VALUE"""),2903150)</f>
        <v>2903150</v>
      </c>
      <c r="AB8" s="215" t="str">
        <f ca="1">IFERROR(__xludf.DUMMYFUNCTION("""COMPUTED_VALUE"""),"Intermediate")</f>
        <v>Intermediate</v>
      </c>
      <c r="AC8" s="217" t="str">
        <f ca="1">IFERROR(__xludf.DUMMYFUNCTION("""COMPUTED_VALUE"""),"Como Estabelecer Padrões de Qualidade no Atendimento ao Cliente")</f>
        <v>Como Estabelecer Padrões de Qualidade no Atendimento ao Cliente</v>
      </c>
      <c r="AD8" s="217"/>
      <c r="AE8" s="213"/>
      <c r="AF8" s="215">
        <f ca="1">IFERROR(__xludf.DUMMYFUNCTION("""COMPUTED_VALUE"""),2813179)</f>
        <v>2813179</v>
      </c>
      <c r="AG8" s="215" t="str">
        <f ca="1">IFERROR(__xludf.DUMMYFUNCTION("""COMPUTED_VALUE"""),"Beginner")</f>
        <v>Beginner</v>
      </c>
      <c r="AH8" s="217" t="str">
        <f ca="1">IFERROR(__xludf.DUMMYFUNCTION("""COMPUTED_VALUE"""),"客户服务基础知识")</f>
        <v>客户服务基础知识</v>
      </c>
      <c r="AI8" s="217"/>
      <c r="AJ8" s="213"/>
    </row>
    <row r="9" spans="1:36" ht="33.75" customHeight="1">
      <c r="A9" s="213"/>
      <c r="B9" s="214">
        <f ca="1">IFERROR(__xludf.DUMMYFUNCTION("""COMPUTED_VALUE"""),2874285)</f>
        <v>2874285</v>
      </c>
      <c r="C9" s="215" t="str">
        <f ca="1">IFERROR(__xludf.DUMMYFUNCTION("""COMPUTED_VALUE"""),"Intermediate")</f>
        <v>Intermediate</v>
      </c>
      <c r="D9" s="216" t="str">
        <f ca="1">IFERROR(__xludf.DUMMYFUNCTION("""COMPUTED_VALUE"""),"Creating a Positive Customer Experience")</f>
        <v>Creating a Positive Customer Experience</v>
      </c>
      <c r="E9" s="217"/>
      <c r="F9" s="213"/>
      <c r="G9" s="214">
        <f ca="1">IFERROR(__xludf.DUMMYFUNCTION("""COMPUTED_VALUE"""),547545)</f>
        <v>547545</v>
      </c>
      <c r="H9" s="215" t="str">
        <f ca="1">IFERROR(__xludf.DUMMYFUNCTION("""COMPUTED_VALUE"""),"All levels")</f>
        <v>All levels</v>
      </c>
      <c r="I9" s="217" t="str">
        <f ca="1">IFERROR(__xludf.DUMMYFUNCTION("""COMPUTED_VALUE"""),"Écouter efficacement")</f>
        <v>Écouter efficacement</v>
      </c>
      <c r="J9" s="217"/>
      <c r="K9" s="213"/>
      <c r="L9" s="215">
        <f ca="1">IFERROR(__xludf.DUMMYFUNCTION("""COMPUTED_VALUE"""),800901)</f>
        <v>800901</v>
      </c>
      <c r="M9" s="215" t="str">
        <f ca="1">IFERROR(__xludf.DUMMYFUNCTION("""COMPUTED_VALUE"""),"All levels")</f>
        <v>All levels</v>
      </c>
      <c r="N9" s="217" t="str">
        <f ca="1">IFERROR(__xludf.DUMMYFUNCTION("""COMPUTED_VALUE"""),"Cómo gestionar las expectativas del cliente en puestos de cara al público")</f>
        <v>Cómo gestionar las expectativas del cliente en puestos de cara al público</v>
      </c>
      <c r="O9" s="217"/>
      <c r="P9" s="213"/>
      <c r="Q9" s="215">
        <f ca="1">IFERROR(__xludf.DUMMYFUNCTION("""COMPUTED_VALUE"""),2930664)</f>
        <v>2930664</v>
      </c>
      <c r="R9" s="215" t="str">
        <f ca="1">IFERROR(__xludf.DUMMYFUNCTION("""COMPUTED_VALUE"""),"Intermediate")</f>
        <v>Intermediate</v>
      </c>
      <c r="S9" s="217" t="str">
        <f ca="1">IFERROR(__xludf.DUMMYFUNCTION("""COMPUTED_VALUE"""),"Ein Team im Kundenservice leiten")</f>
        <v>Ein Team im Kundenservice leiten</v>
      </c>
      <c r="T9" s="217"/>
      <c r="U9" s="213"/>
      <c r="V9" s="215">
        <f ca="1">IFERROR(__xludf.DUMMYFUNCTION("""COMPUTED_VALUE"""),2398727)</f>
        <v>2398727</v>
      </c>
      <c r="W9" s="215" t="str">
        <f ca="1">IFERROR(__xludf.DUMMYFUNCTION("""COMPUTED_VALUE"""),"Intermediate")</f>
        <v>Intermediate</v>
      </c>
      <c r="X9" s="217" t="str">
        <f ca="1">IFERROR(__xludf.DUMMYFUNCTION("""COMPUTED_VALUE"""),"顧客ロイヤリティを高めるには")</f>
        <v>顧客ロイヤリティを高めるには</v>
      </c>
      <c r="Y9" s="217"/>
      <c r="Z9" s="213"/>
      <c r="AA9" s="215">
        <f ca="1">IFERROR(__xludf.DUMMYFUNCTION("""COMPUTED_VALUE"""),5013109)</f>
        <v>5013109</v>
      </c>
      <c r="AB9" s="215" t="str">
        <f ca="1">IFERROR(__xludf.DUMMYFUNCTION("""COMPUTED_VALUE"""),"Intermediate")</f>
        <v>Intermediate</v>
      </c>
      <c r="AC9" s="217" t="str">
        <f ca="1">IFERROR(__xludf.DUMMYFUNCTION("""COMPUTED_VALUE"""),"Como Lidar com Clientes Insatisfeitos")</f>
        <v>Como Lidar com Clientes Insatisfeitos</v>
      </c>
      <c r="AD9" s="217"/>
      <c r="AE9" s="213"/>
      <c r="AF9" s="215">
        <f ca="1">IFERROR(__xludf.DUMMYFUNCTION("""COMPUTED_VALUE"""),2236072)</f>
        <v>2236072</v>
      </c>
      <c r="AG9" s="215" t="str">
        <f ca="1">IFERROR(__xludf.DUMMYFUNCTION("""COMPUTED_VALUE"""),"Advanced")</f>
        <v>Advanced</v>
      </c>
      <c r="AH9" s="217" t="str">
        <f ca="1">IFERROR(__xludf.DUMMYFUNCTION("""COMPUTED_VALUE"""),"客户服务领导力")</f>
        <v>客户服务领导力</v>
      </c>
      <c r="AI9" s="217"/>
      <c r="AJ9" s="213"/>
    </row>
    <row r="10" spans="1:36" ht="33.75" customHeight="1">
      <c r="A10" s="213"/>
      <c r="B10" s="214">
        <f ca="1">IFERROR(__xludf.DUMMYFUNCTION("""COMPUTED_VALUE"""),2841603)</f>
        <v>2841603</v>
      </c>
      <c r="C10" s="215" t="str">
        <f ca="1">IFERROR(__xludf.DUMMYFUNCTION("""COMPUTED_VALUE"""),"Beginner")</f>
        <v>Beginner</v>
      </c>
      <c r="D10" s="216" t="str">
        <f ca="1">IFERROR(__xludf.DUMMYFUNCTION("""COMPUTED_VALUE"""),"Customer Service and Support During Economic Downturns")</f>
        <v>Customer Service and Support During Economic Downturns</v>
      </c>
      <c r="E10" s="217"/>
      <c r="F10" s="213"/>
      <c r="G10" s="214">
        <f ca="1">IFERROR(__xludf.DUMMYFUNCTION("""COMPUTED_VALUE"""),2838113)</f>
        <v>2838113</v>
      </c>
      <c r="H10" s="215" t="str">
        <f ca="1">IFERROR(__xludf.DUMMYFUNCTION("""COMPUTED_VALUE"""),"Intermediate")</f>
        <v>Intermediate</v>
      </c>
      <c r="I10" s="217" t="str">
        <f ca="1">IFERROR(__xludf.DUMMYFUNCTION("""COMPUTED_VALUE"""),"Fidéliser la clientèle")</f>
        <v>Fidéliser la clientèle</v>
      </c>
      <c r="J10" s="217"/>
      <c r="K10" s="213"/>
      <c r="L10" s="215">
        <f ca="1">IFERROR(__xludf.DUMMYFUNCTION("""COMPUTED_VALUE"""),5025647)</f>
        <v>5025647</v>
      </c>
      <c r="M10" s="215" t="str">
        <f ca="1">IFERROR(__xludf.DUMMYFUNCTION("""COMPUTED_VALUE"""),"Intermediate")</f>
        <v>Intermediate</v>
      </c>
      <c r="N10" s="217" t="str">
        <f ca="1">IFERROR(__xludf.DUMMYFUNCTION("""COMPUTED_VALUE"""),"Cómo gestionar un equipo de atención al cliente")</f>
        <v>Cómo gestionar un equipo de atención al cliente</v>
      </c>
      <c r="O10" s="217"/>
      <c r="P10" s="213"/>
      <c r="Q10" s="215">
        <f ca="1">IFERROR(__xludf.DUMMYFUNCTION("""COMPUTED_VALUE"""),461917)</f>
        <v>461917</v>
      </c>
      <c r="R10" s="215" t="str">
        <f ca="1">IFERROR(__xludf.DUMMYFUNCTION("""COMPUTED_VALUE"""),"All levels")</f>
        <v>All levels</v>
      </c>
      <c r="S10" s="217" t="str">
        <f ca="1">IFERROR(__xludf.DUMMYFUNCTION("""COMPUTED_VALUE"""),"E-Mails schreiben")</f>
        <v>E-Mails schreiben</v>
      </c>
      <c r="T10" s="217"/>
      <c r="U10" s="213"/>
      <c r="V10" s="215"/>
      <c r="W10" s="215"/>
      <c r="X10" s="217"/>
      <c r="Y10" s="217"/>
      <c r="Z10" s="213"/>
      <c r="AA10" s="215">
        <f ca="1">IFERROR(__xludf.DUMMYFUNCTION("""COMPUTED_VALUE"""),5020994)</f>
        <v>5020994</v>
      </c>
      <c r="AB10" s="215" t="str">
        <f ca="1">IFERROR(__xludf.DUMMYFUNCTION("""COMPUTED_VALUE"""),"Intermediate")</f>
        <v>Intermediate</v>
      </c>
      <c r="AC10" s="217" t="str">
        <f ca="1">IFERROR(__xludf.DUMMYFUNCTION("""COMPUTED_VALUE"""),"Como Potencializar o Atendimento Telefônico ao Cliente")</f>
        <v>Como Potencializar o Atendimento Telefônico ao Cliente</v>
      </c>
      <c r="AD10" s="217"/>
      <c r="AE10" s="213"/>
      <c r="AF10" s="215">
        <f ca="1">IFERROR(__xludf.DUMMYFUNCTION("""COMPUTED_VALUE"""),2823608)</f>
        <v>2823608</v>
      </c>
      <c r="AG10" s="215" t="str">
        <f ca="1">IFERROR(__xludf.DUMMYFUNCTION("""COMPUTED_VALUE"""),"Beginner, Intermediate")</f>
        <v>Beginner, Intermediate</v>
      </c>
      <c r="AH10" s="217" t="str">
        <f ca="1">IFERROR(__xludf.DUMMYFUNCTION("""COMPUTED_VALUE"""),"客服技巧系列：问题解决与分析")</f>
        <v>客服技巧系列：问题解决与分析</v>
      </c>
      <c r="AI10" s="217"/>
      <c r="AJ10" s="213"/>
    </row>
    <row r="11" spans="1:36" ht="33.75" customHeight="1">
      <c r="A11" s="213"/>
      <c r="B11" s="214">
        <f ca="1">IFERROR(__xludf.DUMMYFUNCTION("""COMPUTED_VALUE"""),2890000)</f>
        <v>2890000</v>
      </c>
      <c r="C11" s="215" t="str">
        <f ca="1">IFERROR(__xludf.DUMMYFUNCTION("""COMPUTED_VALUE"""),"Beginner")</f>
        <v>Beginner</v>
      </c>
      <c r="D11" s="216" t="str">
        <f ca="1">IFERROR(__xludf.DUMMYFUNCTION("""COMPUTED_VALUE"""),"Serving Customers in a Continuously Changing World")</f>
        <v>Serving Customers in a Continuously Changing World</v>
      </c>
      <c r="E11" s="217"/>
      <c r="F11" s="213"/>
      <c r="G11" s="214">
        <f ca="1">IFERROR(__xludf.DUMMYFUNCTION("""COMPUTED_VALUE"""),792287)</f>
        <v>792287</v>
      </c>
      <c r="H11" s="215" t="str">
        <f ca="1">IFERROR(__xludf.DUMMYFUNCTION("""COMPUTED_VALUE"""),"Intermediate")</f>
        <v>Intermediate</v>
      </c>
      <c r="I11" s="217" t="str">
        <f ca="1">IFERROR(__xludf.DUMMYFUNCTION("""COMPUTED_VALUE"""),"Gérer les attentes des clients pour les managers")</f>
        <v>Gérer les attentes des clients pour les managers</v>
      </c>
      <c r="J11" s="217"/>
      <c r="K11" s="213"/>
      <c r="L11" s="215">
        <f ca="1">IFERROR(__xludf.DUMMYFUNCTION("""COMPUTED_VALUE"""),2820188)</f>
        <v>2820188</v>
      </c>
      <c r="M11" s="215" t="str">
        <f ca="1">IFERROR(__xludf.DUMMYFUNCTION("""COMPUTED_VALUE"""),"Intermediate")</f>
        <v>Intermediate</v>
      </c>
      <c r="N11" s="217" t="str">
        <f ca="1">IFERROR(__xludf.DUMMYFUNCTION("""COMPUTED_VALUE"""),"Cómo identificar oportunidades de crecimiento en las ventas")</f>
        <v>Cómo identificar oportunidades de crecimiento en las ventas</v>
      </c>
      <c r="O11" s="217"/>
      <c r="P11" s="213"/>
      <c r="Q11" s="215">
        <f ca="1">IFERROR(__xludf.DUMMYFUNCTION("""COMPUTED_VALUE"""),518927)</f>
        <v>518927</v>
      </c>
      <c r="R11" s="215" t="str">
        <f ca="1">IFERROR(__xludf.DUMMYFUNCTION("""COMPUTED_VALUE"""),"All levels")</f>
        <v>All levels</v>
      </c>
      <c r="S11" s="217" t="str">
        <f ca="1">IFERROR(__xludf.DUMMYFUNCTION("""COMPUTED_VALUE"""),"Erfolgreich zuhören")</f>
        <v>Erfolgreich zuhören</v>
      </c>
      <c r="T11" s="217"/>
      <c r="U11" s="213"/>
      <c r="V11" s="215"/>
      <c r="W11" s="215"/>
      <c r="X11" s="217"/>
      <c r="Y11" s="217"/>
      <c r="Z11" s="213"/>
      <c r="AA11" s="215">
        <f ca="1">IFERROR(__xludf.DUMMYFUNCTION("""COMPUTED_VALUE"""),2875200)</f>
        <v>2875200</v>
      </c>
      <c r="AB11" s="215" t="str">
        <f ca="1">IFERROR(__xludf.DUMMYFUNCTION("""COMPUTED_VALUE"""),"Intermediate")</f>
        <v>Intermediate</v>
      </c>
      <c r="AC11" s="217" t="str">
        <f ca="1">IFERROR(__xludf.DUMMYFUNCTION("""COMPUTED_VALUE"""),"Como Vender Soluções para Conquistar Clientes")</f>
        <v>Como Vender Soluções para Conquistar Clientes</v>
      </c>
      <c r="AD11" s="217"/>
      <c r="AE11" s="213"/>
      <c r="AF11" s="215">
        <f ca="1">IFERROR(__xludf.DUMMYFUNCTION("""COMPUTED_VALUE"""),2883005)</f>
        <v>2883005</v>
      </c>
      <c r="AG11" s="215" t="str">
        <f ca="1">IFERROR(__xludf.DUMMYFUNCTION("""COMPUTED_VALUE"""),"Intermediate")</f>
        <v>Intermediate</v>
      </c>
      <c r="AH11" s="217" t="str">
        <f ca="1">IFERROR(__xludf.DUMMYFUNCTION("""COMPUTED_VALUE"""),"打造客户忠诚度")</f>
        <v>打造客户忠诚度</v>
      </c>
      <c r="AI11" s="217"/>
      <c r="AJ11" s="213"/>
    </row>
    <row r="12" spans="1:36" ht="33.75" customHeight="1">
      <c r="A12" s="213"/>
      <c r="B12" s="214">
        <f ca="1">IFERROR(__xludf.DUMMYFUNCTION("""COMPUTED_VALUE"""),2802030)</f>
        <v>2802030</v>
      </c>
      <c r="C12" s="215" t="str">
        <f ca="1">IFERROR(__xludf.DUMMYFUNCTION("""COMPUTED_VALUE"""),"Advanced")</f>
        <v>Advanced</v>
      </c>
      <c r="D12" s="216" t="str">
        <f ca="1">IFERROR(__xludf.DUMMYFUNCTION("""COMPUTED_VALUE"""),"Calculating the Value and ROI of Customer Service")</f>
        <v>Calculating the Value and ROI of Customer Service</v>
      </c>
      <c r="E12" s="217"/>
      <c r="F12" s="213"/>
      <c r="G12" s="214">
        <f ca="1">IFERROR(__xludf.DUMMYFUNCTION("""COMPUTED_VALUE"""),792286)</f>
        <v>792286</v>
      </c>
      <c r="H12" s="215" t="str">
        <f ca="1">IFERROR(__xludf.DUMMYFUNCTION("""COMPUTED_VALUE"""),"Intermediate")</f>
        <v>Intermediate</v>
      </c>
      <c r="I12" s="217" t="str">
        <f ca="1">IFERROR(__xludf.DUMMYFUNCTION("""COMPUTED_VALUE"""),"Gérer les besoins de la clientèle en tant qu’employés / employées de première ligne")</f>
        <v>Gérer les besoins de la clientèle en tant qu’employés / employées de première ligne</v>
      </c>
      <c r="J12" s="217"/>
      <c r="K12" s="213"/>
      <c r="L12" s="215">
        <f ca="1">IFERROR(__xludf.DUMMYFUNCTION("""COMPUTED_VALUE"""),2820174)</f>
        <v>2820174</v>
      </c>
      <c r="M12" s="215" t="str">
        <f ca="1">IFERROR(__xludf.DUMMYFUNCTION("""COMPUTED_VALUE"""),"Intermediate")</f>
        <v>Intermediate</v>
      </c>
      <c r="N12" s="217" t="str">
        <f ca="1">IFERROR(__xludf.DUMMYFUNCTION("""COMPUTED_VALUE"""),"Cómo liderar una cultura centrada en el cliente")</f>
        <v>Cómo liderar una cultura centrada en el cliente</v>
      </c>
      <c r="O12" s="217"/>
      <c r="P12" s="213"/>
      <c r="Q12" s="215">
        <f ca="1">IFERROR(__xludf.DUMMYFUNCTION("""COMPUTED_VALUE"""),195336)</f>
        <v>195336</v>
      </c>
      <c r="R12" s="215" t="str">
        <f ca="1">IFERROR(__xludf.DUMMYFUNCTION("""COMPUTED_VALUE"""),"All levels")</f>
        <v>All levels</v>
      </c>
      <c r="S12" s="217" t="str">
        <f ca="1">IFERROR(__xludf.DUMMYFUNCTION("""COMPUTED_VALUE"""),"Erfolgreiche Kommunikation")</f>
        <v>Erfolgreiche Kommunikation</v>
      </c>
      <c r="T12" s="217"/>
      <c r="U12" s="213"/>
      <c r="V12" s="215"/>
      <c r="W12" s="215"/>
      <c r="X12" s="217"/>
      <c r="Y12" s="217"/>
      <c r="Z12" s="213"/>
      <c r="AA12" s="215">
        <f ca="1">IFERROR(__xludf.DUMMYFUNCTION("""COMPUTED_VALUE"""),2928596)</f>
        <v>2928596</v>
      </c>
      <c r="AB12" s="215" t="str">
        <f ca="1">IFERROR(__xludf.DUMMYFUNCTION("""COMPUTED_VALUE"""),"All levels")</f>
        <v>All levels</v>
      </c>
      <c r="AC12" s="217" t="str">
        <f ca="1">IFERROR(__xludf.DUMMYFUNCTION("""COMPUTED_VALUE"""),"Competências Interpessoais para Profissionais de Vendas")</f>
        <v>Competências Interpessoais para Profissionais de Vendas</v>
      </c>
      <c r="AD12" s="217"/>
      <c r="AE12" s="213"/>
      <c r="AF12" s="215">
        <f ca="1">IFERROR(__xludf.DUMMYFUNCTION("""COMPUTED_VALUE"""),762187)</f>
        <v>762187</v>
      </c>
      <c r="AG12" s="215" t="str">
        <f ca="1">IFERROR(__xludf.DUMMYFUNCTION("""COMPUTED_VALUE"""),"All levels")</f>
        <v>All levels</v>
      </c>
      <c r="AH12" s="217" t="str">
        <f ca="1">IFERROR(__xludf.DUMMYFUNCTION("""COMPUTED_VALUE"""),"有效倾听")</f>
        <v>有效倾听</v>
      </c>
      <c r="AI12" s="217"/>
      <c r="AJ12" s="213"/>
    </row>
    <row r="13" spans="1:36" ht="33.75" customHeight="1">
      <c r="A13" s="213"/>
      <c r="B13" s="214">
        <f ca="1">IFERROR(__xludf.DUMMYFUNCTION("""COMPUTED_VALUE"""),2804059)</f>
        <v>2804059</v>
      </c>
      <c r="C13" s="215" t="str">
        <f ca="1">IFERROR(__xludf.DUMMYFUNCTION("""COMPUTED_VALUE"""),"Advanced")</f>
        <v>Advanced</v>
      </c>
      <c r="D13" s="216" t="str">
        <f ca="1">IFERROR(__xludf.DUMMYFUNCTION("""COMPUTED_VALUE"""),"Winning Back a Lost Customer")</f>
        <v>Winning Back a Lost Customer</v>
      </c>
      <c r="E13" s="217"/>
      <c r="F13" s="213"/>
      <c r="G13" s="214">
        <f ca="1">IFERROR(__xludf.DUMMYFUNCTION("""COMPUTED_VALUE"""),5025548)</f>
        <v>5025548</v>
      </c>
      <c r="H13" s="215" t="str">
        <f ca="1">IFERROR(__xludf.DUMMYFUNCTION("""COMPUTED_VALUE"""),"Intermediate")</f>
        <v>Intermediate</v>
      </c>
      <c r="I13" s="217" t="str">
        <f ca="1">IFERROR(__xludf.DUMMYFUNCTION("""COMPUTED_VALUE"""),"Le leadership dans le service client")</f>
        <v>Le leadership dans le service client</v>
      </c>
      <c r="J13" s="217"/>
      <c r="K13" s="213"/>
      <c r="L13" s="215">
        <f ca="1">IFERROR(__xludf.DUMMYFUNCTION("""COMPUTED_VALUE"""),561568)</f>
        <v>561568</v>
      </c>
      <c r="M13" s="215" t="str">
        <f ca="1">IFERROR(__xludf.DUMMYFUNCTION("""COMPUTED_VALUE"""),"Intermediate")</f>
        <v>Intermediate</v>
      </c>
      <c r="N13" s="217" t="str">
        <f ca="1">IFERROR(__xludf.DUMMYFUNCTION("""COMPUTED_VALUE"""),"Cómo potenciar tus conversaciones de ventas")</f>
        <v>Cómo potenciar tus conversaciones de ventas</v>
      </c>
      <c r="O13" s="217"/>
      <c r="P13" s="213"/>
      <c r="Q13" s="215">
        <f ca="1">IFERROR(__xludf.DUMMYFUNCTION("""COMPUTED_VALUE"""),2928651)</f>
        <v>2928651</v>
      </c>
      <c r="R13" s="215" t="str">
        <f ca="1">IFERROR(__xludf.DUMMYFUNCTION("""COMPUTED_VALUE"""),"Advanced")</f>
        <v>Advanced</v>
      </c>
      <c r="S13" s="217" t="str">
        <f ca="1">IFERROR(__xludf.DUMMYFUNCTION("""COMPUTED_VALUE"""),"Führung im Kundenservice")</f>
        <v>Führung im Kundenservice</v>
      </c>
      <c r="T13" s="217"/>
      <c r="U13" s="213"/>
      <c r="V13" s="215"/>
      <c r="W13" s="215"/>
      <c r="X13" s="217"/>
      <c r="Y13" s="217"/>
      <c r="Z13" s="213"/>
      <c r="AA13" s="215">
        <f ca="1">IFERROR(__xludf.DUMMYFUNCTION("""COMPUTED_VALUE"""),5036507)</f>
        <v>5036507</v>
      </c>
      <c r="AB13" s="215" t="str">
        <f ca="1">IFERROR(__xludf.DUMMYFUNCTION("""COMPUTED_VALUE"""),"Beginner")</f>
        <v>Beginner</v>
      </c>
      <c r="AC13" s="217" t="str">
        <f ca="1">IFERROR(__xludf.DUMMYFUNCTION("""COMPUTED_VALUE"""),"Fundamentos do Atendimento ao Cliente")</f>
        <v>Fundamentos do Atendimento ao Cliente</v>
      </c>
      <c r="AD13" s="217"/>
      <c r="AE13" s="213"/>
      <c r="AF13" s="215">
        <f ca="1">IFERROR(__xludf.DUMMYFUNCTION("""COMPUTED_VALUE"""),2802203)</f>
        <v>2802203</v>
      </c>
      <c r="AG13" s="215" t="str">
        <f ca="1">IFERROR(__xludf.DUMMYFUNCTION("""COMPUTED_VALUE"""),"Intermediate")</f>
        <v>Intermediate</v>
      </c>
      <c r="AH13" s="217" t="str">
        <f ca="1">IFERROR(__xludf.DUMMYFUNCTION("""COMPUTED_VALUE"""),"电话式客户服务")</f>
        <v>电话式客户服务</v>
      </c>
      <c r="AI13" s="217"/>
      <c r="AJ13" s="213"/>
    </row>
    <row r="14" spans="1:36" ht="33.75" customHeight="1">
      <c r="A14" s="213"/>
      <c r="B14" s="214">
        <f ca="1">IFERROR(__xludf.DUMMYFUNCTION("""COMPUTED_VALUE"""),2819182)</f>
        <v>2819182</v>
      </c>
      <c r="C14" s="215" t="str">
        <f ca="1">IFERROR(__xludf.DUMMYFUNCTION("""COMPUTED_VALUE"""),"Advanced")</f>
        <v>Advanced</v>
      </c>
      <c r="D14" s="216" t="str">
        <f ca="1">IFERROR(__xludf.DUMMYFUNCTION("""COMPUTED_VALUE"""),"Journey Mapping: Case Study in Action")</f>
        <v>Journey Mapping: Case Study in Action</v>
      </c>
      <c r="E14" s="217"/>
      <c r="F14" s="213"/>
      <c r="G14" s="214">
        <f ca="1">IFERROR(__xludf.DUMMYFUNCTION("""COMPUTED_VALUE"""),2841343)</f>
        <v>2841343</v>
      </c>
      <c r="H14" s="215" t="str">
        <f ca="1">IFERROR(__xludf.DUMMYFUNCTION("""COMPUTED_VALUE"""),"Intermediate")</f>
        <v>Intermediate</v>
      </c>
      <c r="I14" s="217" t="str">
        <f ca="1">IFERROR(__xludf.DUMMYFUNCTION("""COMPUTED_VALUE"""),"Le service client en période de crise")</f>
        <v>Le service client en période de crise</v>
      </c>
      <c r="J14" s="217"/>
      <c r="K14" s="213"/>
      <c r="L14" s="215">
        <f ca="1">IFERROR(__xludf.DUMMYFUNCTION("""COMPUTED_VALUE"""),5025668)</f>
        <v>5025668</v>
      </c>
      <c r="M14" s="215" t="str">
        <f ca="1">IFERROR(__xludf.DUMMYFUNCTION("""COMPUTED_VALUE"""),"Beginner, Intermediate")</f>
        <v>Beginner, Intermediate</v>
      </c>
      <c r="N14" s="217" t="str">
        <f ca="1">IFERROR(__xludf.DUMMYFUNCTION("""COMPUTED_VALUE"""),"Cómo vender con storytelling, parte 1: Los elementos de una gran historia")</f>
        <v>Cómo vender con storytelling, parte 1: Los elementos de una gran historia</v>
      </c>
      <c r="O14" s="217"/>
      <c r="P14" s="213"/>
      <c r="Q14" s="215">
        <f ca="1">IFERROR(__xludf.DUMMYFUNCTION("""COMPUTED_VALUE"""),738365)</f>
        <v>738365</v>
      </c>
      <c r="R14" s="215" t="str">
        <f ca="1">IFERROR(__xludf.DUMMYFUNCTION("""COMPUTED_VALUE"""),"Intermediate")</f>
        <v>Intermediate</v>
      </c>
      <c r="S14" s="217" t="str">
        <f ca="1">IFERROR(__xludf.DUMMYFUNCTION("""COMPUTED_VALUE"""),"Innovative Techniken im Kundenservice")</f>
        <v>Innovative Techniken im Kundenservice</v>
      </c>
      <c r="T14" s="217"/>
      <c r="U14" s="213"/>
      <c r="V14" s="215"/>
      <c r="W14" s="215"/>
      <c r="X14" s="217"/>
      <c r="Y14" s="217"/>
      <c r="Z14" s="213"/>
      <c r="AA14" s="215">
        <f ca="1">IFERROR(__xludf.DUMMYFUNCTION("""COMPUTED_VALUE"""),5034154)</f>
        <v>5034154</v>
      </c>
      <c r="AB14" s="215" t="str">
        <f ca="1">IFERROR(__xludf.DUMMYFUNCTION("""COMPUTED_VALUE"""),"Intermediate")</f>
        <v>Intermediate</v>
      </c>
      <c r="AC14" s="217" t="str">
        <f ca="1">IFERROR(__xludf.DUMMYFUNCTION("""COMPUTED_VALUE"""),"Gestão de Equipes de Atendimento ao Cliente")</f>
        <v>Gestão de Equipes de Atendimento ao Cliente</v>
      </c>
      <c r="AD14" s="217"/>
      <c r="AE14" s="213"/>
      <c r="AF14" s="215">
        <f ca="1">IFERROR(__xludf.DUMMYFUNCTION("""COMPUTED_VALUE"""),2224303)</f>
        <v>2224303</v>
      </c>
      <c r="AG14" s="215" t="str">
        <f ca="1">IFERROR(__xludf.DUMMYFUNCTION("""COMPUTED_VALUE"""),"Intermediate")</f>
        <v>Intermediate</v>
      </c>
      <c r="AH14" s="217" t="str">
        <f ca="1">IFERROR(__xludf.DUMMYFUNCTION("""COMPUTED_VALUE"""),"管理客户服务团队")</f>
        <v>管理客户服务团队</v>
      </c>
      <c r="AI14" s="217"/>
      <c r="AJ14" s="213"/>
    </row>
    <row r="15" spans="1:36" ht="33.75" customHeight="1">
      <c r="A15" s="213"/>
      <c r="B15" s="214">
        <f ca="1">IFERROR(__xludf.DUMMYFUNCTION("""COMPUTED_VALUE"""),2831003)</f>
        <v>2831003</v>
      </c>
      <c r="C15" s="215" t="str">
        <f ca="1">IFERROR(__xludf.DUMMYFUNCTION("""COMPUTED_VALUE"""),"Advanced")</f>
        <v>Advanced</v>
      </c>
      <c r="D15" s="216" t="str">
        <f ca="1">IFERROR(__xludf.DUMMYFUNCTION("""COMPUTED_VALUE"""),"Customer Service: Creating Customer Value")</f>
        <v>Customer Service: Creating Customer Value</v>
      </c>
      <c r="E15" s="217"/>
      <c r="F15" s="213"/>
      <c r="G15" s="214">
        <f ca="1">IFERROR(__xludf.DUMMYFUNCTION("""COMPUTED_VALUE"""),792289)</f>
        <v>792289</v>
      </c>
      <c r="H15" s="215" t="str">
        <f ca="1">IFERROR(__xludf.DUMMYFUNCTION("""COMPUTED_VALUE"""),"Intermediate")</f>
        <v>Intermediate</v>
      </c>
      <c r="I15" s="217" t="str">
        <f ca="1">IFERROR(__xludf.DUMMYFUNCTION("""COMPUTED_VALUE"""),"Le service client par téléphone")</f>
        <v>Le service client par téléphone</v>
      </c>
      <c r="J15" s="217"/>
      <c r="K15" s="213"/>
      <c r="L15" s="215">
        <f ca="1">IFERROR(__xludf.DUMMYFUNCTION("""COMPUTED_VALUE"""),2825523)</f>
        <v>2825523</v>
      </c>
      <c r="M15" s="215" t="str">
        <f ca="1">IFERROR(__xludf.DUMMYFUNCTION("""COMPUTED_VALUE"""),"Beginner")</f>
        <v>Beginner</v>
      </c>
      <c r="N15" s="217" t="str">
        <f ca="1">IFERROR(__xludf.DUMMYFUNCTION("""COMPUTED_VALUE"""),"Cuarta revolución industrial: Estrategias comerciales")</f>
        <v>Cuarta revolución industrial: Estrategias comerciales</v>
      </c>
      <c r="O15" s="217"/>
      <c r="P15" s="213"/>
      <c r="Q15" s="215">
        <f ca="1">IFERROR(__xludf.DUMMYFUNCTION("""COMPUTED_VALUE"""),2876251)</f>
        <v>2876251</v>
      </c>
      <c r="R15" s="215" t="str">
        <f ca="1">IFERROR(__xludf.DUMMYFUNCTION("""COMPUTED_VALUE"""),"All levels")</f>
        <v>All levels</v>
      </c>
      <c r="S15" s="217" t="str">
        <f ca="1">IFERROR(__xludf.DUMMYFUNCTION("""COMPUTED_VALUE"""),"Kunden begeistern mit System (Blinkist Kernaussagen)")</f>
        <v>Kunden begeistern mit System (Blinkist Kernaussagen)</v>
      </c>
      <c r="T15" s="217"/>
      <c r="U15" s="213"/>
      <c r="V15" s="215"/>
      <c r="W15" s="215"/>
      <c r="X15" s="217"/>
      <c r="Y15" s="217"/>
      <c r="Z15" s="213"/>
      <c r="AA15" s="215">
        <f ca="1">IFERROR(__xludf.DUMMYFUNCTION("""COMPUTED_VALUE"""),2902183)</f>
        <v>2902183</v>
      </c>
      <c r="AB15" s="215" t="str">
        <f ca="1">IFERROR(__xludf.DUMMYFUNCTION("""COMPUTED_VALUE"""),"Intermediate")</f>
        <v>Intermediate</v>
      </c>
      <c r="AC15" s="217" t="str">
        <f ca="1">IFERROR(__xludf.DUMMYFUNCTION("""COMPUTED_VALUE"""),"Gestão de Expectativas dos Clientes para Gerentes")</f>
        <v>Gestão de Expectativas dos Clientes para Gerentes</v>
      </c>
      <c r="AD15" s="217"/>
      <c r="AE15" s="213"/>
      <c r="AF15" s="215">
        <f ca="1">IFERROR(__xludf.DUMMYFUNCTION("""COMPUTED_VALUE"""),2217421)</f>
        <v>2217421</v>
      </c>
      <c r="AG15" s="215" t="str">
        <f ca="1">IFERROR(__xludf.DUMMYFUNCTION("""COMPUTED_VALUE"""),"All levels")</f>
        <v>All levels</v>
      </c>
      <c r="AH15" s="217" t="str">
        <f ca="1">IFERROR(__xludf.DUMMYFUNCTION("""COMPUTED_VALUE"""),"管理客户期望：员工版")</f>
        <v>管理客户期望：员工版</v>
      </c>
      <c r="AI15" s="217"/>
      <c r="AJ15" s="213"/>
    </row>
    <row r="16" spans="1:36" ht="33.75" customHeight="1">
      <c r="A16" s="213"/>
      <c r="B16" s="214">
        <f ca="1">IFERROR(__xludf.DUMMYFUNCTION("""COMPUTED_VALUE"""),2829005)</f>
        <v>2829005</v>
      </c>
      <c r="C16" s="215" t="str">
        <f ca="1">IFERROR(__xludf.DUMMYFUNCTION("""COMPUTED_VALUE"""),"Advanced")</f>
        <v>Advanced</v>
      </c>
      <c r="D16" s="216" t="str">
        <f ca="1">IFERROR(__xludf.DUMMYFUNCTION("""COMPUTED_VALUE"""),"Using Assessments to Hire Customer Service Reps")</f>
        <v>Using Assessments to Hire Customer Service Reps</v>
      </c>
      <c r="E16" s="217"/>
      <c r="F16" s="213"/>
      <c r="G16" s="214">
        <f ca="1">IFERROR(__xludf.DUMMYFUNCTION("""COMPUTED_VALUE"""),5025547)</f>
        <v>5025547</v>
      </c>
      <c r="H16" s="215" t="str">
        <f ca="1">IFERROR(__xludf.DUMMYFUNCTION("""COMPUTED_VALUE"""),"Beginner")</f>
        <v>Beginner</v>
      </c>
      <c r="I16" s="217" t="str">
        <f ca="1">IFERROR(__xludf.DUMMYFUNCTION("""COMPUTED_VALUE"""),"Les fondements du service client")</f>
        <v>Les fondements du service client</v>
      </c>
      <c r="J16" s="217"/>
      <c r="K16" s="213"/>
      <c r="L16" s="215">
        <f ca="1">IFERROR(__xludf.DUMMYFUNCTION("""COMPUTED_VALUE"""),593076)</f>
        <v>593076</v>
      </c>
      <c r="M16" s="215" t="str">
        <f ca="1">IFERROR(__xludf.DUMMYFUNCTION("""COMPUTED_VALUE"""),"Beginner, Intermediate")</f>
        <v>Beginner, Intermediate</v>
      </c>
      <c r="N16" s="217" t="str">
        <f ca="1">IFERROR(__xludf.DUMMYFUNCTION("""COMPUTED_VALUE"""),"Fundamentos de la atención al cliente para profesionales IT")</f>
        <v>Fundamentos de la atención al cliente para profesionales IT</v>
      </c>
      <c r="O16" s="217"/>
      <c r="P16" s="213"/>
      <c r="Q16" s="215">
        <f ca="1">IFERROR(__xludf.DUMMYFUNCTION("""COMPUTED_VALUE"""),734560)</f>
        <v>734560</v>
      </c>
      <c r="R16" s="215" t="str">
        <f ca="1">IFERROR(__xludf.DUMMYFUNCTION("""COMPUTED_VALUE"""),"Beginner")</f>
        <v>Beginner</v>
      </c>
      <c r="S16" s="217" t="str">
        <f ca="1">IFERROR(__xludf.DUMMYFUNCTION("""COMPUTED_VALUE"""),"Kundenkommunikation mit WhatsApp Business")</f>
        <v>Kundenkommunikation mit WhatsApp Business</v>
      </c>
      <c r="T16" s="217"/>
      <c r="U16" s="213"/>
      <c r="V16" s="215"/>
      <c r="W16" s="215"/>
      <c r="X16" s="217"/>
      <c r="Y16" s="217"/>
      <c r="Z16" s="213"/>
      <c r="AA16" s="215">
        <f ca="1">IFERROR(__xludf.DUMMYFUNCTION("""COMPUTED_VALUE"""),5039705)</f>
        <v>5039705</v>
      </c>
      <c r="AB16" s="215" t="str">
        <f ca="1">IFERROR(__xludf.DUMMYFUNCTION("""COMPUTED_VALUE"""),"All levels")</f>
        <v>All levels</v>
      </c>
      <c r="AC16" s="217" t="str">
        <f ca="1">IFERROR(__xludf.DUMMYFUNCTION("""COMPUTED_VALUE"""),"Gestão de Expectativas dos Clientes para Pessoal da Linha de Frente")</f>
        <v>Gestão de Expectativas dos Clientes para Pessoal da Linha de Frente</v>
      </c>
      <c r="AD16" s="217"/>
      <c r="AE16" s="213"/>
      <c r="AF16" s="215">
        <f ca="1">IFERROR(__xludf.DUMMYFUNCTION("""COMPUTED_VALUE"""),2816002)</f>
        <v>2816002</v>
      </c>
      <c r="AG16" s="215" t="str">
        <f ca="1">IFERROR(__xludf.DUMMYFUNCTION("""COMPUTED_VALUE"""),"Intermediate")</f>
        <v>Intermediate</v>
      </c>
      <c r="AH16" s="217" t="str">
        <f ca="1">IFERROR(__xludf.DUMMYFUNCTION("""COMPUTED_VALUE"""),"管理客户期望：经理版")</f>
        <v>管理客户期望：经理版</v>
      </c>
      <c r="AI16" s="217"/>
      <c r="AJ16" s="213"/>
    </row>
    <row r="17" spans="1:36" ht="33.75" customHeight="1">
      <c r="A17" s="213"/>
      <c r="B17" s="214">
        <f ca="1">IFERROR(__xludf.DUMMYFUNCTION("""COMPUTED_VALUE"""),2832002)</f>
        <v>2832002</v>
      </c>
      <c r="C17" s="215" t="str">
        <f ca="1">IFERROR(__xludf.DUMMYFUNCTION("""COMPUTED_VALUE"""),"Beginner")</f>
        <v>Beginner</v>
      </c>
      <c r="D17" s="216" t="str">
        <f ca="1">IFERROR(__xludf.DUMMYFUNCTION("""COMPUTED_VALUE"""),"Talking to Customers")</f>
        <v>Talking to Customers</v>
      </c>
      <c r="E17" s="217"/>
      <c r="F17" s="213"/>
      <c r="G17" s="214">
        <f ca="1">IFERROR(__xludf.DUMMYFUNCTION("""COMPUTED_VALUE"""),5025550)</f>
        <v>5025550</v>
      </c>
      <c r="H17" s="215" t="str">
        <f ca="1">IFERROR(__xludf.DUMMYFUNCTION("""COMPUTED_VALUE"""),"Advanced")</f>
        <v>Advanced</v>
      </c>
      <c r="I17" s="217" t="str">
        <f ca="1">IFERROR(__xludf.DUMMYFUNCTION("""COMPUTED_VALUE"""),"Les standards qualité du service client")</f>
        <v>Les standards qualité du service client</v>
      </c>
      <c r="J17" s="217"/>
      <c r="K17" s="213"/>
      <c r="L17" s="215">
        <f ca="1">IFERROR(__xludf.DUMMYFUNCTION("""COMPUTED_VALUE"""),2818138)</f>
        <v>2818138</v>
      </c>
      <c r="M17" s="215" t="str">
        <f ca="1">IFERROR(__xludf.DUMMYFUNCTION("""COMPUTED_VALUE"""),"Beginner")</f>
        <v>Beginner</v>
      </c>
      <c r="N17" s="217" t="str">
        <f ca="1">IFERROR(__xludf.DUMMYFUNCTION("""COMPUTED_VALUE"""),"Fundamentos de la gestión de ventas")</f>
        <v>Fundamentos de la gestión de ventas</v>
      </c>
      <c r="O17" s="217"/>
      <c r="P17" s="213"/>
      <c r="Q17" s="215">
        <f ca="1">IFERROR(__xludf.DUMMYFUNCTION("""COMPUTED_VALUE"""),2213625)</f>
        <v>2213625</v>
      </c>
      <c r="R17" s="215" t="str">
        <f ca="1">IFERROR(__xludf.DUMMYFUNCTION("""COMPUTED_VALUE"""),"Beginner")</f>
        <v>Beginner</v>
      </c>
      <c r="S17" s="217" t="str">
        <f ca="1">IFERROR(__xludf.DUMMYFUNCTION("""COMPUTED_VALUE"""),"Kundenservice – Grundlagen")</f>
        <v>Kundenservice – Grundlagen</v>
      </c>
      <c r="T17" s="217"/>
      <c r="U17" s="213"/>
      <c r="V17" s="215"/>
      <c r="W17" s="215"/>
      <c r="X17" s="217"/>
      <c r="Y17" s="217"/>
      <c r="Z17" s="213"/>
      <c r="AA17" s="215">
        <f ca="1">IFERROR(__xludf.DUMMYFUNCTION("""COMPUTED_VALUE"""),2903151)</f>
        <v>2903151</v>
      </c>
      <c r="AB17" s="215" t="str">
        <f ca="1">IFERROR(__xludf.DUMMYFUNCTION("""COMPUTED_VALUE"""),"Advanced")</f>
        <v>Advanced</v>
      </c>
      <c r="AC17" s="217" t="str">
        <f ca="1">IFERROR(__xludf.DUMMYFUNCTION("""COMPUTED_VALUE"""),"Liderança no Atendimento ao Cliente")</f>
        <v>Liderança no Atendimento ao Cliente</v>
      </c>
      <c r="AD17" s="217"/>
      <c r="AE17" s="213"/>
      <c r="AF17" s="215">
        <f ca="1">IFERROR(__xludf.DUMMYFUNCTION("""COMPUTED_VALUE"""),2876172)</f>
        <v>2876172</v>
      </c>
      <c r="AG17" s="215" t="str">
        <f ca="1">IFERROR(__xludf.DUMMYFUNCTION("""COMPUTED_VALUE"""),"Intermediate")</f>
        <v>Intermediate</v>
      </c>
      <c r="AH17" s="217" t="str">
        <f ca="1">IFERROR(__xludf.DUMMYFUNCTION("""COMPUTED_VALUE"""),"解决方案销售")</f>
        <v>解决方案销售</v>
      </c>
      <c r="AI17" s="217"/>
      <c r="AJ17" s="213"/>
    </row>
    <row r="18" spans="1:36" ht="33.75" customHeight="1">
      <c r="A18" s="213"/>
      <c r="B18" s="214">
        <f ca="1">IFERROR(__xludf.DUMMYFUNCTION("""COMPUTED_VALUE"""),693076)</f>
        <v>693076</v>
      </c>
      <c r="C18" s="215" t="str">
        <f ca="1">IFERROR(__xludf.DUMMYFUNCTION("""COMPUTED_VALUE"""),"Beginner")</f>
        <v>Beginner</v>
      </c>
      <c r="D18" s="216" t="str">
        <f ca="1">IFERROR(__xludf.DUMMYFUNCTION("""COMPUTED_VALUE"""),"Customer Service Foundations")</f>
        <v>Customer Service Foundations</v>
      </c>
      <c r="E18" s="217"/>
      <c r="F18" s="213"/>
      <c r="G18" s="214">
        <f ca="1">IFERROR(__xludf.DUMMYFUNCTION("""COMPUTED_VALUE"""),2841377)</f>
        <v>2841377</v>
      </c>
      <c r="H18" s="215" t="str">
        <f ca="1">IFERROR(__xludf.DUMMYFUNCTION("""COMPUTED_VALUE"""),"Intermediate")</f>
        <v>Intermediate</v>
      </c>
      <c r="I18" s="217" t="str">
        <f ca="1">IFERROR(__xludf.DUMMYFUNCTION("""COMPUTED_VALUE"""),"Prospecter sur LinkedIn")</f>
        <v>Prospecter sur LinkedIn</v>
      </c>
      <c r="J18" s="217"/>
      <c r="K18" s="213"/>
      <c r="L18" s="215">
        <f ca="1">IFERROR(__xludf.DUMMYFUNCTION("""COMPUTED_VALUE"""),2219822)</f>
        <v>2219822</v>
      </c>
      <c r="M18" s="215" t="str">
        <f ca="1">IFERROR(__xludf.DUMMYFUNCTION("""COMPUTED_VALUE"""),"Beginner")</f>
        <v>Beginner</v>
      </c>
      <c r="N18" s="217" t="str">
        <f ca="1">IFERROR(__xludf.DUMMYFUNCTION("""COMPUTED_VALUE"""),"Fundamentos de marketing B2B")</f>
        <v>Fundamentos de marketing B2B</v>
      </c>
      <c r="O18" s="217"/>
      <c r="P18" s="213"/>
      <c r="Q18" s="215">
        <f ca="1">IFERROR(__xludf.DUMMYFUNCTION("""COMPUTED_VALUE"""),2808716)</f>
        <v>2808716</v>
      </c>
      <c r="R18" s="215" t="str">
        <f ca="1">IFERROR(__xludf.DUMMYFUNCTION("""COMPUTED_VALUE"""),"All levels")</f>
        <v>All levels</v>
      </c>
      <c r="S18" s="217" t="str">
        <f ca="1">IFERROR(__xludf.DUMMYFUNCTION("""COMPUTED_VALUE"""),"Künstliche Intelligenz: UX-Prinzipien und Anwendungen")</f>
        <v>Künstliche Intelligenz: UX-Prinzipien und Anwendungen</v>
      </c>
      <c r="T18" s="217"/>
      <c r="U18" s="213"/>
      <c r="V18" s="215"/>
      <c r="W18" s="215"/>
      <c r="X18" s="217"/>
      <c r="Y18" s="217"/>
      <c r="Z18" s="213"/>
      <c r="AA18" s="215">
        <f ca="1">IFERROR(__xludf.DUMMYFUNCTION("""COMPUTED_VALUE"""),2908965)</f>
        <v>2908965</v>
      </c>
      <c r="AB18" s="215" t="str">
        <f ca="1">IFERROR(__xludf.DUMMYFUNCTION("""COMPUTED_VALUE"""),"Intermediate")</f>
        <v>Intermediate</v>
      </c>
      <c r="AC18" s="217" t="str">
        <f ca="1">IFERROR(__xludf.DUMMYFUNCTION("""COMPUTED_VALUE"""),"O Poder das Histórias no Contexto das Vendas, Parte 2: Histórias que Fazem Sucesso")</f>
        <v>O Poder das Histórias no Contexto das Vendas, Parte 2: Histórias que Fazem Sucesso</v>
      </c>
      <c r="AD18" s="217"/>
      <c r="AE18" s="213"/>
      <c r="AF18" s="215">
        <f ca="1">IFERROR(__xludf.DUMMYFUNCTION("""COMPUTED_VALUE"""),2825758)</f>
        <v>2825758</v>
      </c>
      <c r="AG18" s="215" t="str">
        <f ca="1">IFERROR(__xludf.DUMMYFUNCTION("""COMPUTED_VALUE"""),"Beginner, Intermediate")</f>
        <v>Beginner, Intermediate</v>
      </c>
      <c r="AH18" s="217" t="str">
        <f ca="1">IFERROR(__xludf.DUMMYFUNCTION("""COMPUTED_VALUE"""),"谈判基础知识")</f>
        <v>谈判基础知识</v>
      </c>
      <c r="AI18" s="217"/>
      <c r="AJ18" s="213"/>
    </row>
    <row r="19" spans="1:36" ht="33.75" customHeight="1">
      <c r="A19" s="213"/>
      <c r="B19" s="214">
        <f ca="1">IFERROR(__xludf.DUMMYFUNCTION("""COMPUTED_VALUE"""),604223)</f>
        <v>604223</v>
      </c>
      <c r="C19" s="215" t="str">
        <f ca="1">IFERROR(__xludf.DUMMYFUNCTION("""COMPUTED_VALUE"""),"Beginner")</f>
        <v>Beginner</v>
      </c>
      <c r="D19" s="216" t="str">
        <f ca="1">IFERROR(__xludf.DUMMYFUNCTION("""COMPUTED_VALUE"""),"Delivering Bad News to a Customer")</f>
        <v>Delivering Bad News to a Customer</v>
      </c>
      <c r="E19" s="217"/>
      <c r="F19" s="213"/>
      <c r="G19" s="214">
        <f ca="1">IFERROR(__xludf.DUMMYFUNCTION("""COMPUTED_VALUE"""),792291)</f>
        <v>792291</v>
      </c>
      <c r="H19" s="215" t="str">
        <f ca="1">IFERROR(__xludf.DUMMYFUNCTION("""COMPUTED_VALUE"""),"Intermediate")</f>
        <v>Intermediate</v>
      </c>
      <c r="I19" s="217" t="str">
        <f ca="1">IFERROR(__xludf.DUMMYFUNCTION("""COMPUTED_VALUE"""),"Traiter avec des clients mécontents / clientes mécontentes")</f>
        <v>Traiter avec des clients mécontents / clientes mécontentes</v>
      </c>
      <c r="J19" s="217"/>
      <c r="K19" s="213"/>
      <c r="L19" s="215">
        <f ca="1">IFERROR(__xludf.DUMMYFUNCTION("""COMPUTED_VALUE"""),793660)</f>
        <v>793660</v>
      </c>
      <c r="M19" s="215" t="str">
        <f ca="1">IFERROR(__xludf.DUMMYFUNCTION("""COMPUTED_VALUE"""),"Beginner")</f>
        <v>Beginner</v>
      </c>
      <c r="N19" s="217" t="str">
        <f ca="1">IFERROR(__xludf.DUMMYFUNCTION("""COMPUTED_VALUE"""),"Fundamentos del servicio de atención al cliente")</f>
        <v>Fundamentos del servicio de atención al cliente</v>
      </c>
      <c r="O19" s="217"/>
      <c r="P19" s="213"/>
      <c r="Q19" s="215">
        <f ca="1">IFERROR(__xludf.DUMMYFUNCTION("""COMPUTED_VALUE"""),645722)</f>
        <v>645722</v>
      </c>
      <c r="R19" s="215" t="str">
        <f ca="1">IFERROR(__xludf.DUMMYFUNCTION("""COMPUTED_VALUE"""),"Intermediate")</f>
        <v>Intermediate</v>
      </c>
      <c r="S19" s="217" t="str">
        <f ca="1">IFERROR(__xludf.DUMMYFUNCTION("""COMPUTED_VALUE"""),"Mit schwierigen Kunden umgehen")</f>
        <v>Mit schwierigen Kunden umgehen</v>
      </c>
      <c r="T19" s="217"/>
      <c r="U19" s="213"/>
      <c r="V19" s="215"/>
      <c r="W19" s="215"/>
      <c r="X19" s="217"/>
      <c r="Y19" s="217"/>
      <c r="Z19" s="213"/>
      <c r="AA19" s="215">
        <f ca="1">IFERROR(__xludf.DUMMYFUNCTION("""COMPUTED_VALUE"""),2876144)</f>
        <v>2876144</v>
      </c>
      <c r="AB19" s="215" t="str">
        <f ca="1">IFERROR(__xludf.DUMMYFUNCTION("""COMPUTED_VALUE"""),"Beginner")</f>
        <v>Beginner</v>
      </c>
      <c r="AC19" s="217" t="str">
        <f ca="1">IFERROR(__xludf.DUMMYFUNCTION("""COMPUTED_VALUE"""),"Quarta Revolução Industrial: Novos Modelos de Vendas")</f>
        <v>Quarta Revolução Industrial: Novos Modelos de Vendas</v>
      </c>
      <c r="AD19" s="217"/>
      <c r="AE19" s="213"/>
      <c r="AF19" s="215">
        <f ca="1">IFERROR(__xludf.DUMMYFUNCTION("""COMPUTED_VALUE"""),2876172)</f>
        <v>2876172</v>
      </c>
      <c r="AG19" s="215" t="str">
        <f ca="1">IFERROR(__xludf.DUMMYFUNCTION("""COMPUTED_VALUE"""),"Intermediate")</f>
        <v>Intermediate</v>
      </c>
      <c r="AH19" s="217" t="str">
        <f ca="1">IFERROR(__xludf.DUMMYFUNCTION("""COMPUTED_VALUE"""),"解决方案销售")</f>
        <v>解决方案销售</v>
      </c>
      <c r="AI19" s="217"/>
      <c r="AJ19" s="213"/>
    </row>
    <row r="20" spans="1:36" ht="33.75" customHeight="1">
      <c r="A20" s="213"/>
      <c r="B20" s="214">
        <f ca="1">IFERROR(__xludf.DUMMYFUNCTION("""COMPUTED_VALUE"""),2823345)</f>
        <v>2823345</v>
      </c>
      <c r="C20" s="215" t="str">
        <f ca="1">IFERROR(__xludf.DUMMYFUNCTION("""COMPUTED_VALUE"""),"Beginner")</f>
        <v>Beginner</v>
      </c>
      <c r="D20" s="216" t="str">
        <f ca="1">IFERROR(__xludf.DUMMYFUNCTION("""COMPUTED_VALUE"""),"Ecommerce Fundamentals (2020)")</f>
        <v>Ecommerce Fundamentals (2020)</v>
      </c>
      <c r="E20" s="217"/>
      <c r="F20" s="213"/>
      <c r="G20" s="214"/>
      <c r="H20" s="215"/>
      <c r="I20" s="217"/>
      <c r="J20" s="217"/>
      <c r="K20" s="213"/>
      <c r="L20" s="215">
        <f ca="1">IFERROR(__xludf.DUMMYFUNCTION("""COMPUTED_VALUE"""),2848011)</f>
        <v>2848011</v>
      </c>
      <c r="M20" s="215" t="str">
        <f ca="1">IFERROR(__xludf.DUMMYFUNCTION("""COMPUTED_VALUE"""),"Beginner, Intermediate")</f>
        <v>Beginner, Intermediate</v>
      </c>
      <c r="N20" s="217" t="str">
        <f ca="1">IFERROR(__xludf.DUMMYFUNCTION("""COMPUTED_VALUE"""),"Fundamentos del soporte técnico: Telecomunicaciones")</f>
        <v>Fundamentos del soporte técnico: Telecomunicaciones</v>
      </c>
      <c r="O20" s="217"/>
      <c r="P20" s="213"/>
      <c r="Q20" s="215">
        <f ca="1">IFERROR(__xludf.DUMMYFUNCTION("""COMPUTED_VALUE"""),759352)</f>
        <v>759352</v>
      </c>
      <c r="R20" s="215" t="str">
        <f ca="1">IFERROR(__xludf.DUMMYFUNCTION("""COMPUTED_VALUE"""),"Intermediate")</f>
        <v>Intermediate</v>
      </c>
      <c r="S20" s="217" t="str">
        <f ca="1">IFERROR(__xludf.DUMMYFUNCTION("""COMPUTED_VALUE"""),"Neue Kunden finden")</f>
        <v>Neue Kunden finden</v>
      </c>
      <c r="T20" s="217"/>
      <c r="U20" s="213"/>
      <c r="V20" s="215"/>
      <c r="W20" s="215"/>
      <c r="X20" s="217"/>
      <c r="Y20" s="217"/>
      <c r="Z20" s="213"/>
      <c r="AA20" s="215">
        <f ca="1">IFERROR(__xludf.DUMMYFUNCTION("""COMPUTED_VALUE"""),2931597)</f>
        <v>2931597</v>
      </c>
      <c r="AB20" s="215" t="str">
        <f ca="1">IFERROR(__xludf.DUMMYFUNCTION("""COMPUTED_VALUE"""),"Advanced")</f>
        <v>Advanced</v>
      </c>
      <c r="AC20" s="217" t="str">
        <f ca="1">IFERROR(__xludf.DUMMYFUNCTION("""COMPUTED_VALUE"""),"Técnicas de Fechamento de Vendas")</f>
        <v>Técnicas de Fechamento de Vendas</v>
      </c>
      <c r="AD20" s="217"/>
      <c r="AE20" s="213"/>
      <c r="AF20" s="215"/>
      <c r="AG20" s="215"/>
      <c r="AH20" s="217"/>
      <c r="AI20" s="217"/>
      <c r="AJ20" s="213"/>
    </row>
    <row r="21" spans="1:36" ht="33.75" customHeight="1">
      <c r="A21" s="213"/>
      <c r="B21" s="214">
        <f ca="1">IFERROR(__xludf.DUMMYFUNCTION("""COMPUTED_VALUE"""),2825032)</f>
        <v>2825032</v>
      </c>
      <c r="C21" s="215" t="str">
        <f ca="1">IFERROR(__xludf.DUMMYFUNCTION("""COMPUTED_VALUE"""),"Beginner")</f>
        <v>Beginner</v>
      </c>
      <c r="D21" s="216" t="str">
        <f ca="1">IFERROR(__xludf.DUMMYFUNCTION("""COMPUTED_VALUE"""),"Empathy for Customer Service Professionals")</f>
        <v>Empathy for Customer Service Professionals</v>
      </c>
      <c r="E21" s="217"/>
      <c r="F21" s="213"/>
      <c r="G21" s="214"/>
      <c r="H21" s="215"/>
      <c r="I21" s="217"/>
      <c r="J21" s="217"/>
      <c r="K21" s="213"/>
      <c r="L21" s="215">
        <f ca="1">IFERROR(__xludf.DUMMYFUNCTION("""COMPUTED_VALUE"""),800900)</f>
        <v>800900</v>
      </c>
      <c r="M21" s="215" t="str">
        <f ca="1">IFERROR(__xludf.DUMMYFUNCTION("""COMPUTED_VALUE"""),"Intermediate")</f>
        <v>Intermediate</v>
      </c>
      <c r="N21" s="217" t="str">
        <f ca="1">IFERROR(__xludf.DUMMYFUNCTION("""COMPUTED_VALUE"""),"Gestión de clientes potenciales")</f>
        <v>Gestión de clientes potenciales</v>
      </c>
      <c r="O21" s="217"/>
      <c r="P21" s="213"/>
      <c r="Q21" s="215">
        <f ca="1">IFERROR(__xludf.DUMMYFUNCTION("""COMPUTED_VALUE"""),3159306)</f>
        <v>3159306</v>
      </c>
      <c r="R21" s="215" t="str">
        <f ca="1">IFERROR(__xludf.DUMMYFUNCTION("""COMPUTED_VALUE"""),"Intermediate")</f>
        <v>Intermediate</v>
      </c>
      <c r="S21" s="217" t="str">
        <f ca="1">IFERROR(__xludf.DUMMYFUNCTION("""COMPUTED_VALUE"""),"Neukundengeschäft im Lizenzverkauf (B2B)")</f>
        <v>Neukundengeschäft im Lizenzverkauf (B2B)</v>
      </c>
      <c r="T21" s="217"/>
      <c r="U21" s="213"/>
      <c r="V21" s="215"/>
      <c r="W21" s="215"/>
      <c r="X21" s="217"/>
      <c r="Y21" s="217"/>
      <c r="Z21" s="213"/>
      <c r="AA21" s="215">
        <f ca="1">IFERROR(__xludf.DUMMYFUNCTION("""COMPUTED_VALUE"""),2910530)</f>
        <v>2910530</v>
      </c>
      <c r="AB21" s="215" t="str">
        <f ca="1">IFERROR(__xludf.DUMMYFUNCTION("""COMPUTED_VALUE"""),"Intermediate")</f>
        <v>Intermediate</v>
      </c>
      <c r="AC21" s="217" t="str">
        <f ca="1">IFERROR(__xludf.DUMMYFUNCTION("""COMPUTED_VALUE"""),"Técnicas de Persuasão em Vendas")</f>
        <v>Técnicas de Persuasão em Vendas</v>
      </c>
      <c r="AD21" s="217"/>
      <c r="AE21" s="213"/>
      <c r="AF21" s="215"/>
      <c r="AG21" s="215"/>
      <c r="AH21" s="217"/>
      <c r="AI21" s="217"/>
      <c r="AJ21" s="213"/>
    </row>
    <row r="22" spans="1:36" ht="33.75" customHeight="1">
      <c r="A22" s="213"/>
      <c r="B22" s="214">
        <f ca="1">IFERROR(__xludf.DUMMYFUNCTION("""COMPUTED_VALUE"""),2824270)</f>
        <v>2824270</v>
      </c>
      <c r="C22" s="215" t="str">
        <f ca="1">IFERROR(__xludf.DUMMYFUNCTION("""COMPUTED_VALUE"""),"Beginner")</f>
        <v>Beginner</v>
      </c>
      <c r="D22" s="216" t="str">
        <f ca="1">IFERROR(__xludf.DUMMYFUNCTION("""COMPUTED_VALUE"""),"Marketing Foundations: Consumer Behavior")</f>
        <v>Marketing Foundations: Consumer Behavior</v>
      </c>
      <c r="E22" s="217"/>
      <c r="F22" s="213"/>
      <c r="G22" s="214"/>
      <c r="H22" s="215"/>
      <c r="I22" s="217"/>
      <c r="J22" s="217"/>
      <c r="K22" s="213"/>
      <c r="L22" s="215">
        <f ca="1">IFERROR(__xludf.DUMMYFUNCTION("""COMPUTED_VALUE"""),5025684)</f>
        <v>5025684</v>
      </c>
      <c r="M22" s="215" t="str">
        <f ca="1">IFERROR(__xludf.DUMMYFUNCTION("""COMPUTED_VALUE"""),"Intermediate")</f>
        <v>Intermediate</v>
      </c>
      <c r="N22" s="217" t="str">
        <f ca="1">IFERROR(__xludf.DUMMYFUNCTION("""COMPUTED_VALUE"""),"Gestión de las expectativas de los clientes para gerentes")</f>
        <v>Gestión de las expectativas de los clientes para gerentes</v>
      </c>
      <c r="O22" s="217"/>
      <c r="P22" s="213"/>
      <c r="Q22" s="215">
        <f ca="1">IFERROR(__xludf.DUMMYFUNCTION("""COMPUTED_VALUE"""),2928650)</f>
        <v>2928650</v>
      </c>
      <c r="R22" s="215" t="str">
        <f ca="1">IFERROR(__xludf.DUMMYFUNCTION("""COMPUTED_VALUE"""),"Intermediate")</f>
        <v>Intermediate</v>
      </c>
      <c r="S22" s="217" t="str">
        <f ca="1">IFERROR(__xludf.DUMMYFUNCTION("""COMPUTED_VALUE"""),"Qualitätsstandards im Kundenservice")</f>
        <v>Qualitätsstandards im Kundenservice</v>
      </c>
      <c r="T22" s="217"/>
      <c r="U22" s="213"/>
      <c r="V22" s="215"/>
      <c r="W22" s="215"/>
      <c r="X22" s="217"/>
      <c r="Y22" s="217"/>
      <c r="Z22" s="213"/>
      <c r="AA22" s="215">
        <f ca="1">IFERROR(__xludf.DUMMYFUNCTION("""COMPUTED_VALUE"""),753223)</f>
        <v>753223</v>
      </c>
      <c r="AB22" s="215" t="str">
        <f ca="1">IFERROR(__xludf.DUMMYFUNCTION("""COMPUTED_VALUE"""),"Intermediate")</f>
        <v>Intermediate</v>
      </c>
      <c r="AC22" s="217" t="str">
        <f ca="1">IFERROR(__xludf.DUMMYFUNCTION("""COMPUTED_VALUE"""),"Técnicas Inovadoras para Atendimento ao Cliente")</f>
        <v>Técnicas Inovadoras para Atendimento ao Cliente</v>
      </c>
      <c r="AD22" s="217"/>
      <c r="AE22" s="213"/>
      <c r="AF22" s="215"/>
      <c r="AG22" s="215"/>
      <c r="AH22" s="217"/>
      <c r="AI22" s="217"/>
      <c r="AJ22" s="213"/>
    </row>
    <row r="23" spans="1:36" ht="33.75" customHeight="1">
      <c r="A23" s="213"/>
      <c r="B23" s="214">
        <f ca="1">IFERROR(__xludf.DUMMYFUNCTION("""COMPUTED_VALUE"""),2822580)</f>
        <v>2822580</v>
      </c>
      <c r="C23" s="215" t="str">
        <f ca="1">IFERROR(__xludf.DUMMYFUNCTION("""COMPUTED_VALUE"""),"Beginner")</f>
        <v>Beginner</v>
      </c>
      <c r="D23" s="216" t="str">
        <f ca="1">IFERROR(__xludf.DUMMYFUNCTION("""COMPUTED_VALUE"""),"Customer Success Management Fundamentals")</f>
        <v>Customer Success Management Fundamentals</v>
      </c>
      <c r="E23" s="217"/>
      <c r="F23" s="213"/>
      <c r="G23" s="214"/>
      <c r="H23" s="215"/>
      <c r="I23" s="217"/>
      <c r="J23" s="217"/>
      <c r="K23" s="213"/>
      <c r="L23" s="215">
        <f ca="1">IFERROR(__xludf.DUMMYFUNCTION("""COMPUTED_VALUE"""),477690)</f>
        <v>477690</v>
      </c>
      <c r="M23" s="215" t="str">
        <f ca="1">IFERROR(__xludf.DUMMYFUNCTION("""COMPUTED_VALUE"""),"Intermediate")</f>
        <v>Intermediate</v>
      </c>
      <c r="N23" s="217" t="str">
        <f ca="1">IFERROR(__xludf.DUMMYFUNCTION("""COMPUTED_VALUE"""),"La ciencia de las ventas")</f>
        <v>La ciencia de las ventas</v>
      </c>
      <c r="O23" s="217"/>
      <c r="P23" s="213"/>
      <c r="Q23" s="215">
        <f ca="1">IFERROR(__xludf.DUMMYFUNCTION("""COMPUTED_VALUE"""),2828000)</f>
        <v>2828000</v>
      </c>
      <c r="R23" s="215" t="str">
        <f ca="1">IFERROR(__xludf.DUMMYFUNCTION("""COMPUTED_VALUE"""),"Intermediate")</f>
        <v>Intermediate</v>
      </c>
      <c r="S23" s="217" t="str">
        <f ca="1">IFERROR(__xludf.DUMMYFUNCTION("""COMPUTED_VALUE"""),"Telefonischer Kundenservice")</f>
        <v>Telefonischer Kundenservice</v>
      </c>
      <c r="T23" s="217"/>
      <c r="U23" s="213"/>
      <c r="V23" s="215"/>
      <c r="W23" s="215"/>
      <c r="X23" s="217"/>
      <c r="Y23" s="217"/>
      <c r="Z23" s="213"/>
      <c r="AA23" s="215">
        <f ca="1">IFERROR(__xludf.DUMMYFUNCTION("""COMPUTED_VALUE"""),3157968)</f>
        <v>3157968</v>
      </c>
      <c r="AB23" s="215" t="str">
        <f ca="1">IFERROR(__xludf.DUMMYFUNCTION("""COMPUTED_VALUE"""),"Intermediate")</f>
        <v>Intermediate</v>
      </c>
      <c r="AC23" s="217" t="str">
        <f ca="1">IFERROR(__xludf.DUMMYFUNCTION("""COMPUTED_VALUE"""),"Tendências de Comportamento de Consumo: Desvendando o Consumidor Pós-moderno")</f>
        <v>Tendências de Comportamento de Consumo: Desvendando o Consumidor Pós-moderno</v>
      </c>
      <c r="AD23" s="217"/>
      <c r="AE23" s="213"/>
      <c r="AF23" s="215"/>
      <c r="AG23" s="215"/>
      <c r="AH23" s="217"/>
      <c r="AI23" s="217"/>
      <c r="AJ23" s="213"/>
    </row>
    <row r="24" spans="1:36" ht="33.75" customHeight="1">
      <c r="A24" s="213"/>
      <c r="B24" s="214">
        <f ca="1">IFERROR(__xludf.DUMMYFUNCTION("""COMPUTED_VALUE"""),2822581)</f>
        <v>2822581</v>
      </c>
      <c r="C24" s="215" t="str">
        <f ca="1">IFERROR(__xludf.DUMMYFUNCTION("""COMPUTED_VALUE"""),"Beginner")</f>
        <v>Beginner</v>
      </c>
      <c r="D24" s="216" t="str">
        <f ca="1">IFERROR(__xludf.DUMMYFUNCTION("""COMPUTED_VALUE"""),"Value Realization Best Practices for Customer Success Management")</f>
        <v>Value Realization Best Practices for Customer Success Management</v>
      </c>
      <c r="E24" s="217"/>
      <c r="F24" s="213"/>
      <c r="G24" s="214"/>
      <c r="H24" s="215"/>
      <c r="I24" s="217"/>
      <c r="J24" s="217"/>
      <c r="K24" s="213"/>
      <c r="L24" s="215">
        <f ca="1">IFERROR(__xludf.DUMMYFUNCTION("""COMPUTED_VALUE"""),5025689)</f>
        <v>5025689</v>
      </c>
      <c r="M24" s="215" t="str">
        <f ca="1">IFERROR(__xludf.DUMMYFUNCTION("""COMPUTED_VALUE"""),"Intermediate")</f>
        <v>Intermediate</v>
      </c>
      <c r="N24" s="217" t="str">
        <f ca="1">IFERROR(__xludf.DUMMYFUNCTION("""COMPUTED_VALUE"""),"La venta persuasiva")</f>
        <v>La venta persuasiva</v>
      </c>
      <c r="O24" s="217"/>
      <c r="P24" s="213"/>
      <c r="Q24" s="215"/>
      <c r="R24" s="215"/>
      <c r="S24" s="217"/>
      <c r="T24" s="217"/>
      <c r="U24" s="213"/>
      <c r="V24" s="215"/>
      <c r="W24" s="215"/>
      <c r="X24" s="217"/>
      <c r="Y24" s="217"/>
      <c r="Z24" s="213"/>
      <c r="AA24" s="215"/>
      <c r="AB24" s="215"/>
      <c r="AC24" s="217"/>
      <c r="AD24" s="217"/>
      <c r="AE24" s="213"/>
      <c r="AF24" s="215"/>
      <c r="AG24" s="215"/>
      <c r="AH24" s="217"/>
      <c r="AI24" s="217"/>
      <c r="AJ24" s="213"/>
    </row>
    <row r="25" spans="1:36" ht="33.75" customHeight="1">
      <c r="A25" s="213"/>
      <c r="B25" s="214">
        <f ca="1">IFERROR(__xludf.DUMMYFUNCTION("""COMPUTED_VALUE"""),2822582)</f>
        <v>2822582</v>
      </c>
      <c r="C25" s="215" t="str">
        <f ca="1">IFERROR(__xludf.DUMMYFUNCTION("""COMPUTED_VALUE"""),"Beginner")</f>
        <v>Beginner</v>
      </c>
      <c r="D25" s="216" t="str">
        <f ca="1">IFERROR(__xludf.DUMMYFUNCTION("""COMPUTED_VALUE"""),"Avoiding Common Pitfalls in Customer Success Management")</f>
        <v>Avoiding Common Pitfalls in Customer Success Management</v>
      </c>
      <c r="E25" s="217"/>
      <c r="F25" s="213"/>
      <c r="G25" s="214"/>
      <c r="H25" s="215"/>
      <c r="I25" s="217"/>
      <c r="J25" s="217"/>
      <c r="K25" s="213"/>
      <c r="L25" s="215">
        <f ca="1">IFERROR(__xludf.DUMMYFUNCTION("""COMPUTED_VALUE"""),800896)</f>
        <v>800896</v>
      </c>
      <c r="M25" s="215" t="str">
        <f ca="1">IFERROR(__xludf.DUMMYFUNCTION("""COMPUTED_VALUE"""),"Intermediate")</f>
        <v>Intermediate</v>
      </c>
      <c r="N25" s="217" t="str">
        <f ca="1">IFERROR(__xludf.DUMMYFUNCTION("""COMPUTED_VALUE"""),"Normas de calidad en el servicio de atención al cliente")</f>
        <v>Normas de calidad en el servicio de atención al cliente</v>
      </c>
      <c r="O25" s="217"/>
      <c r="P25" s="213"/>
      <c r="Q25" s="215"/>
      <c r="R25" s="215"/>
      <c r="S25" s="217"/>
      <c r="T25" s="217"/>
      <c r="U25" s="213"/>
      <c r="V25" s="215"/>
      <c r="W25" s="215"/>
      <c r="X25" s="217"/>
      <c r="Y25" s="217"/>
      <c r="Z25" s="213"/>
      <c r="AA25" s="215"/>
      <c r="AB25" s="215"/>
      <c r="AC25" s="217"/>
      <c r="AD25" s="217"/>
      <c r="AE25" s="213"/>
      <c r="AF25" s="215"/>
      <c r="AG25" s="215"/>
      <c r="AH25" s="217"/>
      <c r="AI25" s="217"/>
      <c r="AJ25" s="213"/>
    </row>
    <row r="26" spans="1:36" ht="33.75" customHeight="1">
      <c r="A26" s="213"/>
      <c r="B26" s="214">
        <f ca="1">IFERROR(__xludf.DUMMYFUNCTION("""COMPUTED_VALUE"""),2823488)</f>
        <v>2823488</v>
      </c>
      <c r="C26" s="215" t="str">
        <f ca="1">IFERROR(__xludf.DUMMYFUNCTION("""COMPUTED_VALUE"""),"Beginner")</f>
        <v>Beginner</v>
      </c>
      <c r="D26" s="216" t="str">
        <f ca="1">IFERROR(__xludf.DUMMYFUNCTION("""COMPUTED_VALUE"""),"Onboarding and Adoption Best Practices for Customer Success Management")</f>
        <v>Onboarding and Adoption Best Practices for Customer Success Management</v>
      </c>
      <c r="E26" s="217"/>
      <c r="F26" s="213"/>
      <c r="G26" s="214"/>
      <c r="H26" s="215"/>
      <c r="I26" s="217"/>
      <c r="J26" s="217"/>
      <c r="K26" s="213"/>
      <c r="L26" s="215">
        <f ca="1">IFERROR(__xludf.DUMMYFUNCTION("""COMPUTED_VALUE"""),2928131)</f>
        <v>2928131</v>
      </c>
      <c r="M26" s="215" t="str">
        <f ca="1">IFERROR(__xludf.DUMMYFUNCTION("""COMPUTED_VALUE"""),"Beginner, Intermediate")</f>
        <v>Beginner, Intermediate</v>
      </c>
      <c r="N26" s="217" t="str">
        <f ca="1">IFERROR(__xludf.DUMMYFUNCTION("""COMPUTED_VALUE"""),"Salesforce esencial")</f>
        <v>Salesforce esencial</v>
      </c>
      <c r="O26" s="217"/>
      <c r="P26" s="213"/>
      <c r="Q26" s="215"/>
      <c r="R26" s="215"/>
      <c r="S26" s="217"/>
      <c r="T26" s="217"/>
      <c r="U26" s="213"/>
      <c r="V26" s="215"/>
      <c r="W26" s="215"/>
      <c r="X26" s="217"/>
      <c r="Y26" s="217"/>
      <c r="Z26" s="213"/>
      <c r="AA26" s="215"/>
      <c r="AB26" s="215"/>
      <c r="AC26" s="217"/>
      <c r="AD26" s="217"/>
      <c r="AE26" s="213"/>
      <c r="AF26" s="215"/>
      <c r="AG26" s="215"/>
      <c r="AH26" s="217"/>
      <c r="AI26" s="217"/>
      <c r="AJ26" s="213"/>
    </row>
    <row r="27" spans="1:36" ht="33.75" customHeight="1">
      <c r="A27" s="213"/>
      <c r="B27" s="214">
        <f ca="1">IFERROR(__xludf.DUMMYFUNCTION("""COMPUTED_VALUE"""),2824356)</f>
        <v>2824356</v>
      </c>
      <c r="C27" s="215" t="str">
        <f ca="1">IFERROR(__xludf.DUMMYFUNCTION("""COMPUTED_VALUE"""),"Beginner")</f>
        <v>Beginner</v>
      </c>
      <c r="D27" s="216" t="str">
        <f ca="1">IFERROR(__xludf.DUMMYFUNCTION("""COMPUTED_VALUE"""),"Engagement Preparation Best Practices for Customer Success Management")</f>
        <v>Engagement Preparation Best Practices for Customer Success Management</v>
      </c>
      <c r="E27" s="217"/>
      <c r="F27" s="213"/>
      <c r="G27" s="214"/>
      <c r="H27" s="215"/>
      <c r="I27" s="217"/>
      <c r="J27" s="217"/>
      <c r="K27" s="213"/>
      <c r="L27" s="215">
        <f ca="1">IFERROR(__xludf.DUMMYFUNCTION("""COMPUTED_VALUE"""),2930087)</f>
        <v>2930087</v>
      </c>
      <c r="M27" s="215" t="str">
        <f ca="1">IFERROR(__xludf.DUMMYFUNCTION("""COMPUTED_VALUE"""),"Intermediate")</f>
        <v>Intermediate</v>
      </c>
      <c r="N27" s="217" t="str">
        <f ca="1">IFERROR(__xludf.DUMMYFUNCTION("""COMPUTED_VALUE"""),"Salesforce para administradores esencial")</f>
        <v>Salesforce para administradores esencial</v>
      </c>
      <c r="O27" s="217"/>
      <c r="P27" s="213"/>
      <c r="Q27" s="215"/>
      <c r="R27" s="215"/>
      <c r="S27" s="217"/>
      <c r="T27" s="217"/>
      <c r="U27" s="213"/>
      <c r="V27" s="215"/>
      <c r="W27" s="215"/>
      <c r="X27" s="217"/>
      <c r="Y27" s="217"/>
      <c r="Z27" s="213"/>
      <c r="AA27" s="215"/>
      <c r="AB27" s="215"/>
      <c r="AC27" s="217"/>
      <c r="AD27" s="217"/>
      <c r="AE27" s="213"/>
      <c r="AF27" s="215"/>
      <c r="AG27" s="215"/>
      <c r="AH27" s="217"/>
      <c r="AI27" s="217"/>
      <c r="AJ27" s="213"/>
    </row>
    <row r="28" spans="1:36" ht="33.75" customHeight="1">
      <c r="A28" s="213"/>
      <c r="B28" s="214">
        <f ca="1">IFERROR(__xludf.DUMMYFUNCTION("""COMPUTED_VALUE"""),704121)</f>
        <v>704121</v>
      </c>
      <c r="C28" s="215" t="str">
        <f ca="1">IFERROR(__xludf.DUMMYFUNCTION("""COMPUTED_VALUE"""),"Beginner")</f>
        <v>Beginner</v>
      </c>
      <c r="D28" s="216" t="str">
        <f ca="1">IFERROR(__xludf.DUMMYFUNCTION("""COMPUTED_VALUE"""),"Product Management: Customer Development")</f>
        <v>Product Management: Customer Development</v>
      </c>
      <c r="E28" s="217"/>
      <c r="F28" s="213"/>
      <c r="G28" s="214"/>
      <c r="H28" s="215"/>
      <c r="I28" s="217"/>
      <c r="J28" s="217"/>
      <c r="K28" s="213"/>
      <c r="L28" s="215">
        <f ca="1">IFERROR(__xludf.DUMMYFUNCTION("""COMPUTED_VALUE"""),2928132)</f>
        <v>2928132</v>
      </c>
      <c r="M28" s="215" t="str">
        <f ca="1">IFERROR(__xludf.DUMMYFUNCTION("""COMPUTED_VALUE"""),"Intermediate")</f>
        <v>Intermediate</v>
      </c>
      <c r="N28" s="217" t="str">
        <f ca="1">IFERROR(__xludf.DUMMYFUNCTION("""COMPUTED_VALUE"""),"Salesforce para gerentes de ventas")</f>
        <v>Salesforce para gerentes de ventas</v>
      </c>
      <c r="O28" s="217"/>
      <c r="P28" s="213"/>
      <c r="Q28" s="215"/>
      <c r="R28" s="215"/>
      <c r="S28" s="217"/>
      <c r="T28" s="217"/>
      <c r="U28" s="213"/>
      <c r="V28" s="215"/>
      <c r="W28" s="215"/>
      <c r="X28" s="217"/>
      <c r="Y28" s="217"/>
      <c r="Z28" s="213"/>
      <c r="AA28" s="215"/>
      <c r="AB28" s="215"/>
      <c r="AC28" s="217"/>
      <c r="AD28" s="217"/>
      <c r="AE28" s="213"/>
      <c r="AF28" s="215"/>
      <c r="AG28" s="215"/>
      <c r="AH28" s="217"/>
      <c r="AI28" s="217"/>
      <c r="AJ28" s="213"/>
    </row>
    <row r="29" spans="1:36" ht="33.75" customHeight="1">
      <c r="A29" s="213"/>
      <c r="B29" s="214">
        <f ca="1">IFERROR(__xludf.DUMMYFUNCTION("""COMPUTED_VALUE"""),2822209)</f>
        <v>2822209</v>
      </c>
      <c r="C29" s="215" t="str">
        <f ca="1">IFERROR(__xludf.DUMMYFUNCTION("""COMPUTED_VALUE"""),"Beginner")</f>
        <v>Beginner</v>
      </c>
      <c r="D29" s="216" t="str">
        <f ca="1">IFERROR(__xludf.DUMMYFUNCTION("""COMPUTED_VALUE"""),"Making Business Videos for Customers")</f>
        <v>Making Business Videos for Customers</v>
      </c>
      <c r="E29" s="217"/>
      <c r="F29" s="213"/>
      <c r="G29" s="214"/>
      <c r="H29" s="215"/>
      <c r="I29" s="217"/>
      <c r="J29" s="217"/>
      <c r="K29" s="213"/>
      <c r="L29" s="215">
        <f ca="1">IFERROR(__xludf.DUMMYFUNCTION("""COMPUTED_VALUE"""),5025650)</f>
        <v>5025650</v>
      </c>
      <c r="M29" s="215" t="str">
        <f ca="1">IFERROR(__xludf.DUMMYFUNCTION("""COMPUTED_VALUE"""),"Intermediate")</f>
        <v>Intermediate</v>
      </c>
      <c r="N29" s="217" t="str">
        <f ca="1">IFERROR(__xludf.DUMMYFUNCTION("""COMPUTED_VALUE"""),"Servicio de atención al cliente por teléfono")</f>
        <v>Servicio de atención al cliente por teléfono</v>
      </c>
      <c r="O29" s="217"/>
      <c r="P29" s="213"/>
      <c r="Q29" s="215"/>
      <c r="R29" s="215"/>
      <c r="S29" s="217"/>
      <c r="T29" s="217"/>
      <c r="U29" s="213"/>
      <c r="V29" s="215"/>
      <c r="W29" s="215"/>
      <c r="X29" s="217"/>
      <c r="Y29" s="217"/>
      <c r="Z29" s="213"/>
      <c r="AA29" s="215"/>
      <c r="AB29" s="215"/>
      <c r="AC29" s="217"/>
      <c r="AD29" s="217"/>
      <c r="AE29" s="213"/>
      <c r="AF29" s="215"/>
      <c r="AG29" s="215"/>
      <c r="AH29" s="217"/>
      <c r="AI29" s="217"/>
      <c r="AJ29" s="213"/>
    </row>
    <row r="30" spans="1:36" ht="33.75" customHeight="1">
      <c r="A30" s="213"/>
      <c r="B30" s="214">
        <f ca="1">IFERROR(__xludf.DUMMYFUNCTION("""COMPUTED_VALUE"""),3157766)</f>
        <v>3157766</v>
      </c>
      <c r="C30" s="215" t="str">
        <f ca="1">IFERROR(__xludf.DUMMYFUNCTION("""COMPUTED_VALUE"""),"Beginner")</f>
        <v>Beginner</v>
      </c>
      <c r="D30" s="216" t="str">
        <f ca="1">IFERROR(__xludf.DUMMYFUNCTION("""COMPUTED_VALUE"""),"Aftersale: Maintaining Relationships")</f>
        <v>Aftersale: Maintaining Relationships</v>
      </c>
      <c r="E30" s="217"/>
      <c r="F30" s="213"/>
      <c r="G30" s="214"/>
      <c r="H30" s="215"/>
      <c r="I30" s="217"/>
      <c r="J30" s="217"/>
      <c r="K30" s="213"/>
      <c r="L30" s="215">
        <f ca="1">IFERROR(__xludf.DUMMYFUNCTION("""COMPUTED_VALUE"""),2350023)</f>
        <v>2350023</v>
      </c>
      <c r="M30" s="215" t="str">
        <f ca="1">IFERROR(__xludf.DUMMYFUNCTION("""COMPUTED_VALUE"""),"Intermediate")</f>
        <v>Intermediate</v>
      </c>
      <c r="N30" s="217" t="str">
        <f ca="1">IFERROR(__xludf.DUMMYFUNCTION("""COMPUTED_VALUE"""),"Servicio de atención al cliente: Creación de valor para el consumidor")</f>
        <v>Servicio de atención al cliente: Creación de valor para el consumidor</v>
      </c>
      <c r="O30" s="217"/>
      <c r="P30" s="213"/>
      <c r="Q30" s="215"/>
      <c r="R30" s="215"/>
      <c r="S30" s="217"/>
      <c r="T30" s="217"/>
      <c r="U30" s="213"/>
      <c r="V30" s="215"/>
      <c r="W30" s="215"/>
      <c r="X30" s="217"/>
      <c r="Y30" s="217"/>
      <c r="Z30" s="213"/>
      <c r="AA30" s="215"/>
      <c r="AB30" s="215"/>
      <c r="AC30" s="217"/>
      <c r="AD30" s="217"/>
      <c r="AE30" s="213"/>
      <c r="AF30" s="215"/>
      <c r="AG30" s="215"/>
      <c r="AH30" s="217"/>
      <c r="AI30" s="217"/>
      <c r="AJ30" s="213"/>
    </row>
    <row r="31" spans="1:36" ht="33.75" customHeight="1">
      <c r="A31" s="213"/>
      <c r="B31" s="214">
        <f ca="1">IFERROR(__xludf.DUMMYFUNCTION("""COMPUTED_VALUE"""),2823199)</f>
        <v>2823199</v>
      </c>
      <c r="C31" s="215" t="str">
        <f ca="1">IFERROR(__xludf.DUMMYFUNCTION("""COMPUTED_VALUE"""),"Beginner + Intermediate")</f>
        <v>Beginner + Intermediate</v>
      </c>
      <c r="D31" s="216" t="str">
        <f ca="1">IFERROR(__xludf.DUMMYFUNCTION("""COMPUTED_VALUE"""),"Data Ethics: Managing Your Private Customer Data")</f>
        <v>Data Ethics: Managing Your Private Customer Data</v>
      </c>
      <c r="E31" s="217"/>
      <c r="F31" s="213"/>
      <c r="G31" s="214"/>
      <c r="H31" s="215"/>
      <c r="I31" s="217"/>
      <c r="J31" s="217"/>
      <c r="K31" s="213"/>
      <c r="L31" s="215">
        <f ca="1">IFERROR(__xludf.DUMMYFUNCTION("""COMPUTED_VALUE"""),730897)</f>
        <v>730897</v>
      </c>
      <c r="M31" s="215" t="str">
        <f ca="1">IFERROR(__xludf.DUMMYFUNCTION("""COMPUTED_VALUE"""),"Intermediate")</f>
        <v>Intermediate</v>
      </c>
      <c r="N31" s="217" t="str">
        <f ca="1">IFERROR(__xludf.DUMMYFUNCTION("""COMPUTED_VALUE"""),"Técnicas innovadoras de atención al cliente")</f>
        <v>Técnicas innovadoras de atención al cliente</v>
      </c>
      <c r="O31" s="217"/>
      <c r="P31" s="213"/>
      <c r="Q31" s="215"/>
      <c r="R31" s="215"/>
      <c r="S31" s="217"/>
      <c r="T31" s="217"/>
      <c r="U31" s="213"/>
      <c r="V31" s="215"/>
      <c r="W31" s="215"/>
      <c r="X31" s="217"/>
      <c r="Y31" s="217"/>
      <c r="Z31" s="213"/>
      <c r="AA31" s="215"/>
      <c r="AB31" s="215"/>
      <c r="AC31" s="217"/>
      <c r="AD31" s="217"/>
      <c r="AE31" s="213"/>
      <c r="AF31" s="215"/>
      <c r="AG31" s="215"/>
      <c r="AH31" s="217"/>
      <c r="AI31" s="217"/>
      <c r="AJ31" s="213"/>
    </row>
    <row r="32" spans="1:36" ht="30">
      <c r="A32" s="213"/>
      <c r="B32" s="214">
        <f ca="1">IFERROR(__xludf.DUMMYFUNCTION("""COMPUTED_VALUE"""),2823165)</f>
        <v>2823165</v>
      </c>
      <c r="C32" s="215" t="str">
        <f ca="1">IFERROR(__xludf.DUMMYFUNCTION("""COMPUTED_VALUE"""),"Beginner + Intermediate")</f>
        <v>Beginner + Intermediate</v>
      </c>
      <c r="D32" s="216" t="str">
        <f ca="1">IFERROR(__xludf.DUMMYFUNCTION("""COMPUTED_VALUE"""),"Empathy in UX Design")</f>
        <v>Empathy in UX Design</v>
      </c>
      <c r="E32" s="217"/>
      <c r="F32" s="213"/>
      <c r="G32" s="214"/>
      <c r="H32" s="215"/>
      <c r="I32" s="217"/>
      <c r="J32" s="217"/>
      <c r="K32" s="213"/>
      <c r="L32" s="215">
        <f ca="1">IFERROR(__xludf.DUMMYFUNCTION("""COMPUTED_VALUE"""),2842003)</f>
        <v>2842003</v>
      </c>
      <c r="M32" s="215" t="str">
        <f ca="1">IFERROR(__xludf.DUMMYFUNCTION("""COMPUTED_VALUE"""),"Beginner, Intermediate")</f>
        <v>Beginner, Intermediate</v>
      </c>
      <c r="N32" s="217" t="str">
        <f ca="1">IFERROR(__xludf.DUMMYFUNCTION("""COMPUTED_VALUE"""),"WhatsApp Business esencial")</f>
        <v>WhatsApp Business esencial</v>
      </c>
      <c r="O32" s="217"/>
      <c r="P32" s="213"/>
      <c r="Q32" s="215"/>
      <c r="R32" s="215"/>
      <c r="S32" s="217"/>
      <c r="T32" s="217"/>
      <c r="U32" s="213"/>
      <c r="V32" s="215"/>
      <c r="W32" s="215"/>
      <c r="X32" s="217"/>
      <c r="Y32" s="217"/>
      <c r="Z32" s="213"/>
      <c r="AA32" s="215"/>
      <c r="AB32" s="215"/>
      <c r="AC32" s="217"/>
      <c r="AD32" s="217"/>
      <c r="AE32" s="213"/>
      <c r="AF32" s="215"/>
      <c r="AG32" s="215"/>
      <c r="AH32" s="217"/>
      <c r="AI32" s="217"/>
      <c r="AJ32" s="213"/>
    </row>
    <row r="33" spans="1:36" ht="33.75" customHeight="1">
      <c r="A33" s="213"/>
      <c r="B33" s="214">
        <f ca="1">IFERROR(__xludf.DUMMYFUNCTION("""COMPUTED_VALUE"""),661753)</f>
        <v>661753</v>
      </c>
      <c r="C33" s="215" t="str">
        <f ca="1">IFERROR(__xludf.DUMMYFUNCTION("""COMPUTED_VALUE"""),"Beginner + Intermediate")</f>
        <v>Beginner + Intermediate</v>
      </c>
      <c r="D33" s="216" t="str">
        <f ca="1">IFERROR(__xludf.DUMMYFUNCTION("""COMPUTED_VALUE"""),"Customer Service: Handling Abusive Customers")</f>
        <v>Customer Service: Handling Abusive Customers</v>
      </c>
      <c r="E33" s="217"/>
      <c r="F33" s="213"/>
      <c r="G33" s="214"/>
      <c r="H33" s="215"/>
      <c r="I33" s="217"/>
      <c r="J33" s="217"/>
      <c r="K33" s="213"/>
      <c r="L33" s="215"/>
      <c r="M33" s="215"/>
      <c r="N33" s="217"/>
      <c r="O33" s="217"/>
      <c r="P33" s="213"/>
      <c r="Q33" s="215"/>
      <c r="R33" s="215"/>
      <c r="S33" s="217"/>
      <c r="T33" s="217"/>
      <c r="U33" s="213"/>
      <c r="V33" s="215"/>
      <c r="W33" s="215"/>
      <c r="X33" s="217"/>
      <c r="Y33" s="217"/>
      <c r="Z33" s="213"/>
      <c r="AA33" s="215"/>
      <c r="AB33" s="215"/>
      <c r="AC33" s="217"/>
      <c r="AD33" s="217"/>
      <c r="AE33" s="213"/>
      <c r="AF33" s="215"/>
      <c r="AG33" s="215"/>
      <c r="AH33" s="217"/>
      <c r="AI33" s="217"/>
      <c r="AJ33" s="213"/>
    </row>
    <row r="34" spans="1:36" ht="33.75" customHeight="1">
      <c r="A34" s="213"/>
      <c r="B34" s="214">
        <f ca="1">IFERROR(__xludf.DUMMYFUNCTION("""COMPUTED_VALUE"""),704116)</f>
        <v>704116</v>
      </c>
      <c r="C34" s="215" t="str">
        <f ca="1">IFERROR(__xludf.DUMMYFUNCTION("""COMPUTED_VALUE"""),"Beginner + Intermediate")</f>
        <v>Beginner + Intermediate</v>
      </c>
      <c r="D34" s="216" t="str">
        <f ca="1">IFERROR(__xludf.DUMMYFUNCTION("""COMPUTED_VALUE"""),"Customer Service: Managing Customer Feedback")</f>
        <v>Customer Service: Managing Customer Feedback</v>
      </c>
      <c r="E34" s="217"/>
      <c r="F34" s="213"/>
      <c r="G34" s="214"/>
      <c r="H34" s="215"/>
      <c r="I34" s="217"/>
      <c r="J34" s="217"/>
      <c r="K34" s="213"/>
      <c r="L34" s="215"/>
      <c r="M34" s="215"/>
      <c r="N34" s="217"/>
      <c r="O34" s="217"/>
      <c r="P34" s="213"/>
      <c r="Q34" s="215"/>
      <c r="R34" s="215"/>
      <c r="S34" s="217"/>
      <c r="T34" s="217"/>
      <c r="U34" s="213"/>
      <c r="V34" s="215"/>
      <c r="W34" s="215"/>
      <c r="X34" s="217"/>
      <c r="Y34" s="217"/>
      <c r="Z34" s="213"/>
      <c r="AA34" s="215"/>
      <c r="AB34" s="215"/>
      <c r="AC34" s="217"/>
      <c r="AD34" s="217"/>
      <c r="AE34" s="213"/>
      <c r="AF34" s="215"/>
      <c r="AG34" s="215"/>
      <c r="AH34" s="217"/>
      <c r="AI34" s="217"/>
      <c r="AJ34" s="213"/>
    </row>
    <row r="35" spans="1:36" ht="33.75" customHeight="1">
      <c r="A35" s="213"/>
      <c r="B35" s="214">
        <f ca="1">IFERROR(__xludf.DUMMYFUNCTION("""COMPUTED_VALUE"""),616661)</f>
        <v>616661</v>
      </c>
      <c r="C35" s="215" t="str">
        <f ca="1">IFERROR(__xludf.DUMMYFUNCTION("""COMPUTED_VALUE"""),"Beginner + Intermediate")</f>
        <v>Beginner + Intermediate</v>
      </c>
      <c r="D35" s="216" t="str">
        <f ca="1">IFERROR(__xludf.DUMMYFUNCTION("""COMPUTED_VALUE"""),"Customer Service: Problem Solving and Troubleshooting")</f>
        <v>Customer Service: Problem Solving and Troubleshooting</v>
      </c>
      <c r="E35" s="217"/>
      <c r="F35" s="213"/>
      <c r="G35" s="214"/>
      <c r="H35" s="215"/>
      <c r="I35" s="217"/>
      <c r="J35" s="217"/>
      <c r="K35" s="213"/>
      <c r="L35" s="215"/>
      <c r="M35" s="215"/>
      <c r="N35" s="217"/>
      <c r="O35" s="217"/>
      <c r="P35" s="213"/>
      <c r="Q35" s="215"/>
      <c r="R35" s="215"/>
      <c r="S35" s="217"/>
      <c r="T35" s="217"/>
      <c r="U35" s="213"/>
      <c r="V35" s="215"/>
      <c r="W35" s="215"/>
      <c r="X35" s="217"/>
      <c r="Y35" s="217"/>
      <c r="Z35" s="213"/>
      <c r="AA35" s="215"/>
      <c r="AB35" s="215"/>
      <c r="AC35" s="217"/>
      <c r="AD35" s="217"/>
      <c r="AE35" s="213"/>
      <c r="AF35" s="215"/>
      <c r="AG35" s="215"/>
      <c r="AH35" s="217"/>
      <c r="AI35" s="217"/>
      <c r="AJ35" s="213"/>
    </row>
    <row r="36" spans="1:36" ht="33.75" customHeight="1">
      <c r="A36" s="213"/>
      <c r="B36" s="214">
        <f ca="1">IFERROR(__xludf.DUMMYFUNCTION("""COMPUTED_VALUE"""),645012)</f>
        <v>645012</v>
      </c>
      <c r="C36" s="215" t="str">
        <f ca="1">IFERROR(__xludf.DUMMYFUNCTION("""COMPUTED_VALUE"""),"Beginner + Intermediate")</f>
        <v>Beginner + Intermediate</v>
      </c>
      <c r="D36" s="216" t="str">
        <f ca="1">IFERROR(__xludf.DUMMYFUNCTION("""COMPUTED_VALUE"""),"Developing a Service Mindset")</f>
        <v>Developing a Service Mindset</v>
      </c>
      <c r="E36" s="217"/>
      <c r="F36" s="213"/>
      <c r="G36" s="214"/>
      <c r="H36" s="215"/>
      <c r="I36" s="217"/>
      <c r="J36" s="217"/>
      <c r="K36" s="213"/>
      <c r="L36" s="215"/>
      <c r="M36" s="215"/>
      <c r="N36" s="217"/>
      <c r="O36" s="217"/>
      <c r="P36" s="213"/>
      <c r="Q36" s="215"/>
      <c r="R36" s="215"/>
      <c r="S36" s="217"/>
      <c r="T36" s="217"/>
      <c r="U36" s="213"/>
      <c r="V36" s="215"/>
      <c r="W36" s="215"/>
      <c r="X36" s="217"/>
      <c r="Y36" s="217"/>
      <c r="Z36" s="213"/>
      <c r="AA36" s="215"/>
      <c r="AB36" s="215"/>
      <c r="AC36" s="217"/>
      <c r="AD36" s="217"/>
      <c r="AE36" s="213"/>
      <c r="AF36" s="215"/>
      <c r="AG36" s="215"/>
      <c r="AH36" s="217"/>
      <c r="AI36" s="217"/>
      <c r="AJ36" s="213"/>
    </row>
    <row r="37" spans="1:36" ht="33.75" customHeight="1">
      <c r="A37" s="213"/>
      <c r="B37" s="214">
        <f ca="1">IFERROR(__xludf.DUMMYFUNCTION("""COMPUTED_VALUE"""),746263)</f>
        <v>746263</v>
      </c>
      <c r="C37" s="215" t="str">
        <f ca="1">IFERROR(__xludf.DUMMYFUNCTION("""COMPUTED_VALUE"""),"General")</f>
        <v>General</v>
      </c>
      <c r="D37" s="216" t="str">
        <f ca="1">IFERROR(__xludf.DUMMYFUNCTION("""COMPUTED_VALUE"""),"Building Rapport with Customers")</f>
        <v>Building Rapport with Customers</v>
      </c>
      <c r="E37" s="217"/>
      <c r="F37" s="213"/>
      <c r="G37" s="214"/>
      <c r="H37" s="215"/>
      <c r="I37" s="217"/>
      <c r="J37" s="217"/>
      <c r="K37" s="213"/>
      <c r="L37" s="215"/>
      <c r="M37" s="215"/>
      <c r="N37" s="217"/>
      <c r="O37" s="217"/>
      <c r="P37" s="213"/>
      <c r="Q37" s="215"/>
      <c r="R37" s="215"/>
      <c r="S37" s="217"/>
      <c r="T37" s="217"/>
      <c r="U37" s="213"/>
      <c r="V37" s="215"/>
      <c r="W37" s="215"/>
      <c r="X37" s="217"/>
      <c r="Y37" s="217"/>
      <c r="Z37" s="213"/>
      <c r="AA37" s="215"/>
      <c r="AB37" s="215"/>
      <c r="AC37" s="217"/>
      <c r="AD37" s="217"/>
      <c r="AE37" s="213"/>
      <c r="AF37" s="215"/>
      <c r="AG37" s="215"/>
      <c r="AH37" s="217"/>
      <c r="AI37" s="217"/>
      <c r="AJ37" s="213"/>
    </row>
    <row r="38" spans="1:36" ht="33.75" customHeight="1">
      <c r="A38" s="213"/>
      <c r="B38" s="214">
        <f ca="1">IFERROR(__xludf.DUMMYFUNCTION("""COMPUTED_VALUE"""),456351)</f>
        <v>456351</v>
      </c>
      <c r="C38" s="215" t="str">
        <f ca="1">IFERROR(__xludf.DUMMYFUNCTION("""COMPUTED_VALUE"""),"General")</f>
        <v>General</v>
      </c>
      <c r="D38" s="216" t="str">
        <f ca="1">IFERROR(__xludf.DUMMYFUNCTION("""COMPUTED_VALUE"""),"Customer Service: Managing Customer Expectations")</f>
        <v>Customer Service: Managing Customer Expectations</v>
      </c>
      <c r="E38" s="217"/>
      <c r="F38" s="213"/>
      <c r="G38" s="214"/>
      <c r="H38" s="215"/>
      <c r="I38" s="217"/>
      <c r="J38" s="217"/>
      <c r="K38" s="213"/>
      <c r="L38" s="215"/>
      <c r="M38" s="215"/>
      <c r="N38" s="217"/>
      <c r="O38" s="217"/>
      <c r="P38" s="213"/>
      <c r="Q38" s="215"/>
      <c r="R38" s="215"/>
      <c r="S38" s="217"/>
      <c r="T38" s="217"/>
      <c r="U38" s="213"/>
      <c r="V38" s="215"/>
      <c r="W38" s="215"/>
      <c r="X38" s="217"/>
      <c r="Y38" s="217"/>
      <c r="Z38" s="213"/>
      <c r="AA38" s="215"/>
      <c r="AB38" s="215"/>
      <c r="AC38" s="217"/>
      <c r="AD38" s="217"/>
      <c r="AE38" s="213"/>
      <c r="AF38" s="215"/>
      <c r="AG38" s="215"/>
      <c r="AH38" s="217"/>
      <c r="AI38" s="217"/>
      <c r="AJ38" s="213"/>
    </row>
    <row r="39" spans="1:36" ht="33.75" customHeight="1">
      <c r="A39" s="213"/>
      <c r="B39" s="214">
        <f ca="1">IFERROR(__xludf.DUMMYFUNCTION("""COMPUTED_VALUE"""),2880018)</f>
        <v>2880018</v>
      </c>
      <c r="C39" s="215" t="str">
        <f ca="1">IFERROR(__xludf.DUMMYFUNCTION("""COMPUTED_VALUE"""),"General")</f>
        <v>General</v>
      </c>
      <c r="D39" s="216" t="str">
        <f ca="1">IFERROR(__xludf.DUMMYFUNCTION("""COMPUTED_VALUE"""),"Providing Legendary Customer Service")</f>
        <v>Providing Legendary Customer Service</v>
      </c>
      <c r="E39" s="217"/>
      <c r="F39" s="213"/>
      <c r="G39" s="214"/>
      <c r="H39" s="215"/>
      <c r="I39" s="217"/>
      <c r="J39" s="217"/>
      <c r="K39" s="213"/>
      <c r="L39" s="215"/>
      <c r="M39" s="215"/>
      <c r="N39" s="217"/>
      <c r="O39" s="217"/>
      <c r="P39" s="213"/>
      <c r="Q39" s="215"/>
      <c r="R39" s="215"/>
      <c r="S39" s="217"/>
      <c r="T39" s="217"/>
      <c r="U39" s="213"/>
      <c r="V39" s="215"/>
      <c r="W39" s="215"/>
      <c r="X39" s="217"/>
      <c r="Y39" s="217"/>
      <c r="Z39" s="213"/>
      <c r="AA39" s="215"/>
      <c r="AB39" s="215"/>
      <c r="AC39" s="217"/>
      <c r="AD39" s="217"/>
      <c r="AE39" s="213"/>
      <c r="AF39" s="215"/>
      <c r="AG39" s="215"/>
      <c r="AH39" s="217"/>
      <c r="AI39" s="217"/>
      <c r="AJ39" s="213"/>
    </row>
    <row r="40" spans="1:36" ht="33.75" customHeight="1">
      <c r="A40" s="213"/>
      <c r="B40" s="214">
        <f ca="1">IFERROR(__xludf.DUMMYFUNCTION("""COMPUTED_VALUE"""),2243042)</f>
        <v>2243042</v>
      </c>
      <c r="C40" s="215" t="str">
        <f ca="1">IFERROR(__xludf.DUMMYFUNCTION("""COMPUTED_VALUE"""),"General")</f>
        <v>General</v>
      </c>
      <c r="D40" s="216" t="str">
        <f ca="1">IFERROR(__xludf.DUMMYFUNCTION("""COMPUTED_VALUE"""),"Data Driven: Harnessing Data and AI to Reinvent Customer Engagement (getAbstract Summary)")</f>
        <v>Data Driven: Harnessing Data and AI to Reinvent Customer Engagement (getAbstract Summary)</v>
      </c>
      <c r="E40" s="217"/>
      <c r="F40" s="213"/>
      <c r="G40" s="214"/>
      <c r="H40" s="215"/>
      <c r="I40" s="217"/>
      <c r="J40" s="217"/>
      <c r="K40" s="213"/>
      <c r="L40" s="215"/>
      <c r="M40" s="215"/>
      <c r="N40" s="217"/>
      <c r="O40" s="217"/>
      <c r="P40" s="213"/>
      <c r="Q40" s="215"/>
      <c r="R40" s="215"/>
      <c r="S40" s="217"/>
      <c r="T40" s="217"/>
      <c r="U40" s="213"/>
      <c r="V40" s="215"/>
      <c r="W40" s="215"/>
      <c r="X40" s="217"/>
      <c r="Y40" s="217"/>
      <c r="Z40" s="213"/>
      <c r="AA40" s="215"/>
      <c r="AB40" s="215"/>
      <c r="AC40" s="217"/>
      <c r="AD40" s="217"/>
      <c r="AE40" s="213"/>
      <c r="AF40" s="215"/>
      <c r="AG40" s="215"/>
      <c r="AH40" s="217"/>
      <c r="AI40" s="217"/>
      <c r="AJ40" s="213"/>
    </row>
    <row r="41" spans="1:36" ht="33.75" customHeight="1">
      <c r="A41" s="213"/>
      <c r="B41" s="214">
        <f ca="1">IFERROR(__xludf.DUMMYFUNCTION("""COMPUTED_VALUE"""),2822652)</f>
        <v>2822652</v>
      </c>
      <c r="C41" s="215" t="str">
        <f ca="1">IFERROR(__xludf.DUMMYFUNCTION("""COMPUTED_VALUE"""),"General")</f>
        <v>General</v>
      </c>
      <c r="D41" s="216" t="str">
        <f ca="1">IFERROR(__xludf.DUMMYFUNCTION("""COMPUTED_VALUE"""),"Just Ask: Dean Karrel on Sales")</f>
        <v>Just Ask: Dean Karrel on Sales</v>
      </c>
      <c r="E41" s="217"/>
      <c r="F41" s="213"/>
      <c r="G41" s="214"/>
      <c r="H41" s="215"/>
      <c r="I41" s="217"/>
      <c r="J41" s="217"/>
      <c r="K41" s="213"/>
      <c r="L41" s="215"/>
      <c r="M41" s="215"/>
      <c r="N41" s="217"/>
      <c r="O41" s="217"/>
      <c r="P41" s="213"/>
      <c r="Q41" s="215"/>
      <c r="R41" s="215"/>
      <c r="S41" s="217"/>
      <c r="T41" s="217"/>
      <c r="U41" s="213"/>
      <c r="V41" s="215"/>
      <c r="W41" s="215"/>
      <c r="X41" s="217"/>
      <c r="Y41" s="217"/>
      <c r="Z41" s="213"/>
      <c r="AA41" s="215"/>
      <c r="AB41" s="215"/>
      <c r="AC41" s="217"/>
      <c r="AD41" s="217"/>
      <c r="AE41" s="213"/>
      <c r="AF41" s="215"/>
      <c r="AG41" s="215"/>
      <c r="AH41" s="217"/>
      <c r="AI41" s="217"/>
      <c r="AJ41" s="213"/>
    </row>
    <row r="42" spans="1:36" ht="33.75" customHeight="1">
      <c r="A42" s="213"/>
      <c r="B42" s="214">
        <f ca="1">IFERROR(__xludf.DUMMYFUNCTION("""COMPUTED_VALUE"""),2804060)</f>
        <v>2804060</v>
      </c>
      <c r="C42" s="215" t="str">
        <f ca="1">IFERROR(__xludf.DUMMYFUNCTION("""COMPUTED_VALUE"""),"Intermediate")</f>
        <v>Intermediate</v>
      </c>
      <c r="D42" s="216" t="str">
        <f ca="1">IFERROR(__xludf.DUMMYFUNCTION("""COMPUTED_VALUE"""),"Building Customer Loyalty")</f>
        <v>Building Customer Loyalty</v>
      </c>
      <c r="E42" s="217"/>
      <c r="F42" s="213"/>
      <c r="G42" s="214"/>
      <c r="H42" s="215"/>
      <c r="I42" s="217"/>
      <c r="J42" s="217"/>
      <c r="K42" s="213"/>
      <c r="L42" s="215"/>
      <c r="M42" s="215"/>
      <c r="N42" s="217"/>
      <c r="O42" s="217"/>
      <c r="P42" s="213"/>
      <c r="Q42" s="215"/>
      <c r="R42" s="215"/>
      <c r="S42" s="217"/>
      <c r="T42" s="217"/>
      <c r="U42" s="213"/>
      <c r="V42" s="215"/>
      <c r="W42" s="215"/>
      <c r="X42" s="217"/>
      <c r="Y42" s="217"/>
      <c r="Z42" s="213"/>
      <c r="AA42" s="215"/>
      <c r="AB42" s="215"/>
      <c r="AC42" s="217"/>
      <c r="AD42" s="217"/>
      <c r="AE42" s="213"/>
      <c r="AF42" s="215"/>
      <c r="AG42" s="215"/>
      <c r="AH42" s="217"/>
      <c r="AI42" s="217"/>
      <c r="AJ42" s="213"/>
    </row>
    <row r="43" spans="1:36" ht="33.75" customHeight="1">
      <c r="A43" s="213"/>
      <c r="B43" s="214">
        <f ca="1">IFERROR(__xludf.DUMMYFUNCTION("""COMPUTED_VALUE"""),784279)</f>
        <v>784279</v>
      </c>
      <c r="C43" s="215" t="str">
        <f ca="1">IFERROR(__xludf.DUMMYFUNCTION("""COMPUTED_VALUE"""),"Intermediate")</f>
        <v>Intermediate</v>
      </c>
      <c r="D43" s="216" t="str">
        <f ca="1">IFERROR(__xludf.DUMMYFUNCTION("""COMPUTED_VALUE"""),"Creating Positive Conversations with Challenging Customers")</f>
        <v>Creating Positive Conversations with Challenging Customers</v>
      </c>
      <c r="E43" s="217"/>
      <c r="F43" s="213"/>
      <c r="G43" s="214"/>
      <c r="H43" s="215"/>
      <c r="I43" s="217"/>
      <c r="J43" s="217"/>
      <c r="K43" s="213"/>
      <c r="L43" s="215"/>
      <c r="M43" s="215"/>
      <c r="N43" s="217"/>
      <c r="O43" s="217"/>
      <c r="P43" s="213"/>
      <c r="Q43" s="215"/>
      <c r="R43" s="215"/>
      <c r="S43" s="217"/>
      <c r="T43" s="217"/>
      <c r="U43" s="213"/>
      <c r="V43" s="215"/>
      <c r="W43" s="215"/>
      <c r="X43" s="217"/>
      <c r="Y43" s="217"/>
      <c r="Z43" s="213"/>
      <c r="AA43" s="215"/>
      <c r="AB43" s="215"/>
      <c r="AC43" s="217"/>
      <c r="AD43" s="217"/>
      <c r="AE43" s="213"/>
      <c r="AF43" s="215"/>
      <c r="AG43" s="215"/>
      <c r="AH43" s="217"/>
      <c r="AI43" s="217"/>
      <c r="AJ43" s="213"/>
    </row>
    <row r="44" spans="1:36" ht="33.75" customHeight="1">
      <c r="A44" s="213"/>
      <c r="B44" s="214">
        <f ca="1">IFERROR(__xludf.DUMMYFUNCTION("""COMPUTED_VALUE"""),748569)</f>
        <v>748569</v>
      </c>
      <c r="C44" s="215" t="str">
        <f ca="1">IFERROR(__xludf.DUMMYFUNCTION("""COMPUTED_VALUE"""),"Intermediate")</f>
        <v>Intermediate</v>
      </c>
      <c r="D44" s="216" t="str">
        <f ca="1">IFERROR(__xludf.DUMMYFUNCTION("""COMPUTED_VALUE"""),"Customer Experience: Journey Mapping")</f>
        <v>Customer Experience: Journey Mapping</v>
      </c>
      <c r="E44" s="217"/>
      <c r="F44" s="213"/>
      <c r="G44" s="214"/>
      <c r="H44" s="215"/>
      <c r="I44" s="217"/>
      <c r="J44" s="217"/>
      <c r="K44" s="213"/>
      <c r="L44" s="215"/>
      <c r="M44" s="215"/>
      <c r="N44" s="217"/>
      <c r="O44" s="217"/>
      <c r="P44" s="213"/>
      <c r="Q44" s="215"/>
      <c r="R44" s="215"/>
      <c r="S44" s="217"/>
      <c r="T44" s="217"/>
      <c r="U44" s="213"/>
      <c r="V44" s="215"/>
      <c r="W44" s="215"/>
      <c r="X44" s="217"/>
      <c r="Y44" s="217"/>
      <c r="Z44" s="213"/>
      <c r="AA44" s="215"/>
      <c r="AB44" s="215"/>
      <c r="AC44" s="217"/>
      <c r="AD44" s="217"/>
      <c r="AE44" s="213"/>
      <c r="AF44" s="215"/>
      <c r="AG44" s="215"/>
      <c r="AH44" s="217"/>
      <c r="AI44" s="217"/>
      <c r="AJ44" s="213"/>
    </row>
    <row r="45" spans="1:36" ht="33.75" customHeight="1">
      <c r="A45" s="213"/>
      <c r="B45" s="214">
        <f ca="1">IFERROR(__xludf.DUMMYFUNCTION("""COMPUTED_VALUE"""),791341)</f>
        <v>791341</v>
      </c>
      <c r="C45" s="215" t="str">
        <f ca="1">IFERROR(__xludf.DUMMYFUNCTION("""COMPUTED_VALUE"""),"Intermediate")</f>
        <v>Intermediate</v>
      </c>
      <c r="D45" s="216" t="str">
        <f ca="1">IFERROR(__xludf.DUMMYFUNCTION("""COMPUTED_VALUE"""),"Customer Experience: Service Blueprinting")</f>
        <v>Customer Experience: Service Blueprinting</v>
      </c>
      <c r="E45" s="217"/>
      <c r="F45" s="213"/>
      <c r="G45" s="214"/>
      <c r="H45" s="215"/>
      <c r="I45" s="217"/>
      <c r="J45" s="217"/>
      <c r="K45" s="213"/>
      <c r="L45" s="215"/>
      <c r="M45" s="215"/>
      <c r="N45" s="217"/>
      <c r="O45" s="217"/>
      <c r="P45" s="213"/>
      <c r="Q45" s="215"/>
      <c r="R45" s="215"/>
      <c r="S45" s="217"/>
      <c r="T45" s="217"/>
      <c r="U45" s="213"/>
      <c r="V45" s="215"/>
      <c r="W45" s="215"/>
      <c r="X45" s="217"/>
      <c r="Y45" s="217"/>
      <c r="Z45" s="213"/>
      <c r="AA45" s="215"/>
      <c r="AB45" s="215"/>
      <c r="AC45" s="217"/>
      <c r="AD45" s="217"/>
      <c r="AE45" s="213"/>
      <c r="AF45" s="215"/>
      <c r="AG45" s="215"/>
      <c r="AH45" s="217"/>
      <c r="AI45" s="217"/>
      <c r="AJ45" s="213"/>
    </row>
    <row r="46" spans="1:36" ht="33.75" customHeight="1">
      <c r="A46" s="213"/>
      <c r="B46" s="214">
        <f ca="1">IFERROR(__xludf.DUMMYFUNCTION("""COMPUTED_VALUE"""),802825)</f>
        <v>802825</v>
      </c>
      <c r="C46" s="215" t="str">
        <f ca="1">IFERROR(__xludf.DUMMYFUNCTION("""COMPUTED_VALUE"""),"Intermediate")</f>
        <v>Intermediate</v>
      </c>
      <c r="D46" s="216" t="str">
        <f ca="1">IFERROR(__xludf.DUMMYFUNCTION("""COMPUTED_VALUE"""),"Customer Service: Motivating Your Team")</f>
        <v>Customer Service: Motivating Your Team</v>
      </c>
      <c r="E46" s="217"/>
      <c r="F46" s="213"/>
      <c r="G46" s="214"/>
      <c r="H46" s="215"/>
      <c r="I46" s="217"/>
      <c r="J46" s="217"/>
      <c r="K46" s="213"/>
      <c r="L46" s="215"/>
      <c r="M46" s="215"/>
      <c r="N46" s="217"/>
      <c r="O46" s="217"/>
      <c r="P46" s="213"/>
      <c r="Q46" s="215"/>
      <c r="R46" s="215"/>
      <c r="S46" s="217"/>
      <c r="T46" s="217"/>
      <c r="U46" s="213"/>
      <c r="V46" s="215"/>
      <c r="W46" s="215"/>
      <c r="X46" s="217"/>
      <c r="Y46" s="217"/>
      <c r="Z46" s="213"/>
      <c r="AA46" s="215"/>
      <c r="AB46" s="215"/>
      <c r="AC46" s="217"/>
      <c r="AD46" s="217"/>
      <c r="AE46" s="213"/>
      <c r="AF46" s="215"/>
      <c r="AG46" s="215"/>
      <c r="AH46" s="217"/>
      <c r="AI46" s="217"/>
      <c r="AJ46" s="213"/>
    </row>
    <row r="47" spans="1:36" ht="33.75" customHeight="1">
      <c r="A47" s="213"/>
      <c r="B47" s="214">
        <f ca="1">IFERROR(__xludf.DUMMYFUNCTION("""COMPUTED_VALUE"""),191342)</f>
        <v>191342</v>
      </c>
      <c r="C47" s="215" t="str">
        <f ca="1">IFERROR(__xludf.DUMMYFUNCTION("""COMPUTED_VALUE"""),"Intermediate")</f>
        <v>Intermediate</v>
      </c>
      <c r="D47" s="216" t="str">
        <f ca="1">IFERROR(__xludf.DUMMYFUNCTION("""COMPUTED_VALUE"""),"Innovative Customer Service Techniques")</f>
        <v>Innovative Customer Service Techniques</v>
      </c>
      <c r="E47" s="217"/>
      <c r="F47" s="213"/>
      <c r="G47" s="214"/>
      <c r="H47" s="215"/>
      <c r="I47" s="217"/>
      <c r="J47" s="217"/>
      <c r="K47" s="213"/>
      <c r="L47" s="215"/>
      <c r="M47" s="215"/>
      <c r="N47" s="217"/>
      <c r="O47" s="217"/>
      <c r="P47" s="213"/>
      <c r="Q47" s="215"/>
      <c r="R47" s="215"/>
      <c r="S47" s="217"/>
      <c r="T47" s="217"/>
      <c r="U47" s="213"/>
      <c r="V47" s="215"/>
      <c r="W47" s="215"/>
      <c r="X47" s="217"/>
      <c r="Y47" s="217"/>
      <c r="Z47" s="213"/>
      <c r="AA47" s="215"/>
      <c r="AB47" s="215"/>
      <c r="AC47" s="217"/>
      <c r="AD47" s="217"/>
      <c r="AE47" s="213"/>
      <c r="AF47" s="215"/>
      <c r="AG47" s="215"/>
      <c r="AH47" s="217"/>
      <c r="AI47" s="217"/>
      <c r="AJ47" s="213"/>
    </row>
    <row r="48" spans="1:36" ht="33.75" customHeight="1">
      <c r="A48" s="213"/>
      <c r="B48" s="214">
        <f ca="1">IFERROR(__xludf.DUMMYFUNCTION("""COMPUTED_VALUE"""),693077)</f>
        <v>693077</v>
      </c>
      <c r="C48" s="215" t="str">
        <f ca="1">IFERROR(__xludf.DUMMYFUNCTION("""COMPUTED_VALUE"""),"Intermediate")</f>
        <v>Intermediate</v>
      </c>
      <c r="D48" s="216" t="str">
        <f ca="1">IFERROR(__xludf.DUMMYFUNCTION("""COMPUTED_VALUE"""),"Leading a Customer-Centric Culture")</f>
        <v>Leading a Customer-Centric Culture</v>
      </c>
      <c r="E48" s="217"/>
      <c r="F48" s="213"/>
      <c r="G48" s="214"/>
      <c r="H48" s="215"/>
      <c r="I48" s="217"/>
      <c r="J48" s="217"/>
      <c r="K48" s="213"/>
      <c r="L48" s="215"/>
      <c r="M48" s="215"/>
      <c r="N48" s="217"/>
      <c r="O48" s="217"/>
      <c r="P48" s="213"/>
      <c r="Q48" s="215"/>
      <c r="R48" s="215"/>
      <c r="S48" s="217"/>
      <c r="T48" s="217"/>
      <c r="U48" s="213"/>
      <c r="V48" s="215"/>
      <c r="W48" s="215"/>
      <c r="X48" s="217"/>
      <c r="Y48" s="217"/>
      <c r="Z48" s="213"/>
      <c r="AA48" s="215"/>
      <c r="AB48" s="215"/>
      <c r="AC48" s="217"/>
      <c r="AD48" s="217"/>
      <c r="AE48" s="213"/>
      <c r="AF48" s="215"/>
      <c r="AG48" s="215"/>
      <c r="AH48" s="217"/>
      <c r="AI48" s="217"/>
      <c r="AJ48" s="213"/>
    </row>
    <row r="49" spans="1:36" ht="33.75" customHeight="1">
      <c r="A49" s="213"/>
      <c r="B49" s="214">
        <f ca="1">IFERROR(__xludf.DUMMYFUNCTION("""COMPUTED_VALUE"""),167069)</f>
        <v>167069</v>
      </c>
      <c r="C49" s="215" t="str">
        <f ca="1">IFERROR(__xludf.DUMMYFUNCTION("""COMPUTED_VALUE"""),"Intermediate")</f>
        <v>Intermediate</v>
      </c>
      <c r="D49" s="216" t="str">
        <f ca="1">IFERROR(__xludf.DUMMYFUNCTION("""COMPUTED_VALUE"""),"Managing a Customer Service Team")</f>
        <v>Managing a Customer Service Team</v>
      </c>
      <c r="E49" s="217"/>
      <c r="F49" s="213"/>
      <c r="G49" s="214"/>
      <c r="H49" s="215"/>
      <c r="I49" s="217"/>
      <c r="J49" s="217"/>
      <c r="K49" s="213"/>
      <c r="L49" s="215"/>
      <c r="M49" s="215"/>
      <c r="N49" s="217"/>
      <c r="O49" s="217"/>
      <c r="P49" s="213"/>
      <c r="Q49" s="215"/>
      <c r="R49" s="215"/>
      <c r="S49" s="217"/>
      <c r="T49" s="217"/>
      <c r="U49" s="213"/>
      <c r="V49" s="215"/>
      <c r="W49" s="215"/>
      <c r="X49" s="217"/>
      <c r="Y49" s="217"/>
      <c r="Z49" s="213"/>
      <c r="AA49" s="215"/>
      <c r="AB49" s="215"/>
      <c r="AC49" s="217"/>
      <c r="AD49" s="217"/>
      <c r="AE49" s="213"/>
      <c r="AF49" s="215"/>
      <c r="AG49" s="215"/>
      <c r="AH49" s="217"/>
      <c r="AI49" s="217"/>
      <c r="AJ49" s="213"/>
    </row>
    <row r="50" spans="1:36" ht="33.75" customHeight="1">
      <c r="A50" s="213"/>
      <c r="B50" s="214">
        <f ca="1">IFERROR(__xludf.DUMMYFUNCTION("""COMPUTED_VALUE"""),191340)</f>
        <v>191340</v>
      </c>
      <c r="C50" s="215" t="str">
        <f ca="1">IFERROR(__xludf.DUMMYFUNCTION("""COMPUTED_VALUE"""),"Intermediate")</f>
        <v>Intermediate</v>
      </c>
      <c r="D50" s="216" t="str">
        <f ca="1">IFERROR(__xludf.DUMMYFUNCTION("""COMPUTED_VALUE"""),"Working with Upset Customers")</f>
        <v>Working with Upset Customers</v>
      </c>
      <c r="E50" s="217"/>
      <c r="F50" s="213"/>
      <c r="G50" s="214"/>
      <c r="H50" s="215"/>
      <c r="I50" s="217"/>
      <c r="J50" s="217"/>
      <c r="K50" s="213"/>
      <c r="L50" s="215"/>
      <c r="M50" s="215"/>
      <c r="N50" s="217"/>
      <c r="O50" s="217"/>
      <c r="P50" s="213"/>
      <c r="Q50" s="215"/>
      <c r="R50" s="215"/>
      <c r="S50" s="217"/>
      <c r="T50" s="217"/>
      <c r="U50" s="213"/>
      <c r="V50" s="215"/>
      <c r="W50" s="215"/>
      <c r="X50" s="217"/>
      <c r="Y50" s="217"/>
      <c r="Z50" s="213"/>
      <c r="AA50" s="215"/>
      <c r="AB50" s="215"/>
      <c r="AC50" s="217"/>
      <c r="AD50" s="217"/>
      <c r="AE50" s="213"/>
      <c r="AF50" s="215"/>
      <c r="AG50" s="215"/>
      <c r="AH50" s="217"/>
      <c r="AI50" s="217"/>
      <c r="AJ50" s="213"/>
    </row>
    <row r="51" spans="1:36" ht="33.75" customHeight="1">
      <c r="A51" s="213"/>
      <c r="B51" s="214">
        <f ca="1">IFERROR(__xludf.DUMMYFUNCTION("""COMPUTED_VALUE"""),2815148)</f>
        <v>2815148</v>
      </c>
      <c r="C51" s="215" t="str">
        <f ca="1">IFERROR(__xludf.DUMMYFUNCTION("""COMPUTED_VALUE"""),"Intermediate")</f>
        <v>Intermediate</v>
      </c>
      <c r="D51" s="216" t="str">
        <f ca="1">IFERROR(__xludf.DUMMYFUNCTION("""COMPUTED_VALUE"""),"Aligning Customer Experience with Company Culture")</f>
        <v>Aligning Customer Experience with Company Culture</v>
      </c>
      <c r="E51" s="217"/>
      <c r="F51" s="213"/>
      <c r="G51" s="214"/>
      <c r="H51" s="215"/>
      <c r="I51" s="217"/>
      <c r="J51" s="217"/>
      <c r="K51" s="213"/>
      <c r="L51" s="215"/>
      <c r="M51" s="215"/>
      <c r="N51" s="217"/>
      <c r="O51" s="217"/>
      <c r="P51" s="213"/>
      <c r="Q51" s="215"/>
      <c r="R51" s="215"/>
      <c r="S51" s="217"/>
      <c r="T51" s="217"/>
      <c r="U51" s="213"/>
      <c r="V51" s="215"/>
      <c r="W51" s="215"/>
      <c r="X51" s="217"/>
      <c r="Y51" s="217"/>
      <c r="Z51" s="213"/>
      <c r="AA51" s="215"/>
      <c r="AB51" s="215"/>
      <c r="AC51" s="217"/>
      <c r="AD51" s="217"/>
      <c r="AE51" s="213"/>
      <c r="AF51" s="215"/>
      <c r="AG51" s="215"/>
      <c r="AH51" s="217"/>
      <c r="AI51" s="217"/>
      <c r="AJ51" s="213"/>
    </row>
    <row r="52" spans="1:36" ht="33.75" customHeight="1">
      <c r="A52" s="213"/>
      <c r="B52" s="214">
        <f ca="1">IFERROR(__xludf.DUMMYFUNCTION("""COMPUTED_VALUE"""),2254038)</f>
        <v>2254038</v>
      </c>
      <c r="C52" s="215" t="str">
        <f ca="1">IFERROR(__xludf.DUMMYFUNCTION("""COMPUTED_VALUE"""),"Intermediate")</f>
        <v>Intermediate</v>
      </c>
      <c r="D52" s="216" t="str">
        <f ca="1">IFERROR(__xludf.DUMMYFUNCTION("""COMPUTED_VALUE"""),"Customer Service Using AI and Machine Learning")</f>
        <v>Customer Service Using AI and Machine Learning</v>
      </c>
      <c r="E52" s="217"/>
      <c r="F52" s="213"/>
      <c r="G52" s="214"/>
      <c r="H52" s="215"/>
      <c r="I52" s="217"/>
      <c r="J52" s="217"/>
      <c r="K52" s="213"/>
      <c r="L52" s="215"/>
      <c r="M52" s="215"/>
      <c r="N52" s="217"/>
      <c r="O52" s="217"/>
      <c r="P52" s="213"/>
      <c r="Q52" s="215"/>
      <c r="R52" s="215"/>
      <c r="S52" s="217"/>
      <c r="T52" s="217"/>
      <c r="U52" s="213"/>
      <c r="V52" s="215"/>
      <c r="W52" s="215"/>
      <c r="X52" s="217"/>
      <c r="Y52" s="217"/>
      <c r="Z52" s="213"/>
      <c r="AA52" s="215"/>
      <c r="AB52" s="215"/>
      <c r="AC52" s="217"/>
      <c r="AD52" s="217"/>
      <c r="AE52" s="213"/>
      <c r="AF52" s="215"/>
      <c r="AG52" s="215"/>
      <c r="AH52" s="217"/>
      <c r="AI52" s="217"/>
      <c r="AJ52" s="213"/>
    </row>
    <row r="53" spans="1:36" ht="33.75" customHeight="1">
      <c r="A53" s="213"/>
      <c r="B53" s="214">
        <f ca="1">IFERROR(__xludf.DUMMYFUNCTION("""COMPUTED_VALUE"""),2813275)</f>
        <v>2813275</v>
      </c>
      <c r="C53" s="215" t="str">
        <f ca="1">IFERROR(__xludf.DUMMYFUNCTION("""COMPUTED_VALUE"""),"Intermediate")</f>
        <v>Intermediate</v>
      </c>
      <c r="D53" s="216" t="str">
        <f ca="1">IFERROR(__xludf.DUMMYFUNCTION("""COMPUTED_VALUE"""),"Customer Service: Serving Customers Through Chat and Text")</f>
        <v>Customer Service: Serving Customers Through Chat and Text</v>
      </c>
      <c r="E53" s="217"/>
      <c r="F53" s="213"/>
      <c r="G53" s="214"/>
      <c r="H53" s="215"/>
      <c r="I53" s="217"/>
      <c r="J53" s="217"/>
      <c r="K53" s="213"/>
      <c r="L53" s="215"/>
      <c r="M53" s="215"/>
      <c r="N53" s="217"/>
      <c r="O53" s="217"/>
      <c r="P53" s="213"/>
      <c r="Q53" s="215"/>
      <c r="R53" s="215"/>
      <c r="S53" s="217"/>
      <c r="T53" s="217"/>
      <c r="U53" s="213"/>
      <c r="V53" s="215"/>
      <c r="W53" s="215"/>
      <c r="X53" s="217"/>
      <c r="Y53" s="217"/>
      <c r="Z53" s="213"/>
      <c r="AA53" s="215"/>
      <c r="AB53" s="215"/>
      <c r="AC53" s="217"/>
      <c r="AD53" s="217"/>
      <c r="AE53" s="213"/>
      <c r="AF53" s="215"/>
      <c r="AG53" s="215"/>
      <c r="AH53" s="217"/>
      <c r="AI53" s="217"/>
      <c r="AJ53" s="213"/>
    </row>
    <row r="54" spans="1:36" ht="33.75" customHeight="1">
      <c r="A54" s="213"/>
      <c r="B54" s="214">
        <f ca="1">IFERROR(__xludf.DUMMYFUNCTION("""COMPUTED_VALUE"""),2815115)</f>
        <v>2815115</v>
      </c>
      <c r="C54" s="215" t="str">
        <f ca="1">IFERROR(__xludf.DUMMYFUNCTION("""COMPUTED_VALUE"""),"Intermediate")</f>
        <v>Intermediate</v>
      </c>
      <c r="D54" s="216" t="str">
        <f ca="1">IFERROR(__xludf.DUMMYFUNCTION("""COMPUTED_VALUE"""),"Serving Customers Using Social Media")</f>
        <v>Serving Customers Using Social Media</v>
      </c>
      <c r="E54" s="217"/>
      <c r="F54" s="213"/>
      <c r="G54" s="214"/>
      <c r="H54" s="215"/>
      <c r="I54" s="217"/>
      <c r="J54" s="217"/>
      <c r="K54" s="213"/>
      <c r="L54" s="215"/>
      <c r="M54" s="215"/>
      <c r="N54" s="217"/>
      <c r="O54" s="217"/>
      <c r="P54" s="213"/>
      <c r="Q54" s="215"/>
      <c r="R54" s="215"/>
      <c r="S54" s="217"/>
      <c r="T54" s="217"/>
      <c r="U54" s="213"/>
      <c r="V54" s="215"/>
      <c r="W54" s="215"/>
      <c r="X54" s="217"/>
      <c r="Y54" s="217"/>
      <c r="Z54" s="213"/>
      <c r="AA54" s="215"/>
      <c r="AB54" s="215"/>
      <c r="AC54" s="217"/>
      <c r="AD54" s="217"/>
      <c r="AE54" s="213"/>
      <c r="AF54" s="215"/>
      <c r="AG54" s="215"/>
      <c r="AH54" s="217"/>
      <c r="AI54" s="217"/>
      <c r="AJ54" s="213"/>
    </row>
    <row r="55" spans="1:36" ht="33.75" customHeight="1">
      <c r="A55" s="213"/>
      <c r="B55" s="214">
        <f ca="1">IFERROR(__xludf.DUMMYFUNCTION("""COMPUTED_VALUE"""),2975167)</f>
        <v>2975167</v>
      </c>
      <c r="C55" s="215" t="str">
        <f ca="1">IFERROR(__xludf.DUMMYFUNCTION("""COMPUTED_VALUE"""),"Intermediate")</f>
        <v>Intermediate</v>
      </c>
      <c r="D55" s="216" t="str">
        <f ca="1">IFERROR(__xludf.DUMMYFUNCTION("""COMPUTED_VALUE"""),"Leading a Customer Service Team")</f>
        <v>Leading a Customer Service Team</v>
      </c>
      <c r="E55" s="217"/>
      <c r="F55" s="213"/>
      <c r="G55" s="214"/>
      <c r="H55" s="215"/>
      <c r="I55" s="217"/>
      <c r="J55" s="217"/>
      <c r="K55" s="213"/>
      <c r="L55" s="215"/>
      <c r="M55" s="215"/>
      <c r="N55" s="217"/>
      <c r="O55" s="217"/>
      <c r="P55" s="213"/>
      <c r="Q55" s="215"/>
      <c r="R55" s="215"/>
      <c r="S55" s="217"/>
      <c r="T55" s="217"/>
      <c r="U55" s="213"/>
      <c r="V55" s="215"/>
      <c r="W55" s="215"/>
      <c r="X55" s="217"/>
      <c r="Y55" s="217"/>
      <c r="Z55" s="213"/>
      <c r="AA55" s="215"/>
      <c r="AB55" s="215"/>
      <c r="AC55" s="217"/>
      <c r="AD55" s="217"/>
      <c r="AE55" s="213"/>
      <c r="AF55" s="215"/>
      <c r="AG55" s="215"/>
      <c r="AH55" s="217"/>
      <c r="AI55" s="217"/>
      <c r="AJ55" s="213"/>
    </row>
    <row r="56" spans="1:36" ht="33.75" customHeight="1">
      <c r="A56" s="213"/>
      <c r="B56" s="214">
        <f ca="1">IFERROR(__xludf.DUMMYFUNCTION("""COMPUTED_VALUE"""),2802470)</f>
        <v>2802470</v>
      </c>
      <c r="C56" s="215" t="str">
        <f ca="1">IFERROR(__xludf.DUMMYFUNCTION("""COMPUTED_VALUE"""),"Intermediate")</f>
        <v>Intermediate</v>
      </c>
      <c r="D56" s="216" t="str">
        <f ca="1">IFERROR(__xludf.DUMMYFUNCTION("""COMPUTED_VALUE"""),"A Design Thinking Approach to Putting the Customer First")</f>
        <v>A Design Thinking Approach to Putting the Customer First</v>
      </c>
      <c r="E56" s="217"/>
      <c r="F56" s="213"/>
      <c r="G56" s="214"/>
      <c r="H56" s="215"/>
      <c r="I56" s="217"/>
      <c r="J56" s="217"/>
      <c r="K56" s="213"/>
      <c r="L56" s="215"/>
      <c r="M56" s="215"/>
      <c r="N56" s="217"/>
      <c r="O56" s="217"/>
      <c r="P56" s="213"/>
      <c r="Q56" s="215"/>
      <c r="R56" s="215"/>
      <c r="S56" s="217"/>
      <c r="T56" s="217"/>
      <c r="U56" s="213"/>
      <c r="V56" s="215"/>
      <c r="W56" s="215"/>
      <c r="X56" s="217"/>
      <c r="Y56" s="217"/>
      <c r="Z56" s="213"/>
      <c r="AA56" s="215"/>
      <c r="AB56" s="215"/>
      <c r="AC56" s="217"/>
      <c r="AD56" s="217"/>
      <c r="AE56" s="213"/>
      <c r="AF56" s="215"/>
      <c r="AG56" s="215"/>
      <c r="AH56" s="217"/>
      <c r="AI56" s="217"/>
      <c r="AJ56" s="213"/>
    </row>
    <row r="57" spans="1:36" ht="33.75" customHeight="1">
      <c r="A57" s="213"/>
      <c r="B57" s="214">
        <f ca="1">IFERROR(__xludf.DUMMYFUNCTION("""COMPUTED_VALUE"""),697710)</f>
        <v>697710</v>
      </c>
      <c r="C57" s="215" t="str">
        <f ca="1">IFERROR(__xludf.DUMMYFUNCTION("""COMPUTED_VALUE"""),"Intermediate")</f>
        <v>Intermediate</v>
      </c>
      <c r="D57" s="216" t="str">
        <f ca="1">IFERROR(__xludf.DUMMYFUNCTION("""COMPUTED_VALUE"""),"Business Development Foundations: Researching Market and Customer Needs")</f>
        <v>Business Development Foundations: Researching Market and Customer Needs</v>
      </c>
      <c r="E57" s="217"/>
      <c r="F57" s="213"/>
      <c r="G57" s="214"/>
      <c r="H57" s="215"/>
      <c r="I57" s="217"/>
      <c r="J57" s="217"/>
      <c r="K57" s="213"/>
      <c r="L57" s="215"/>
      <c r="M57" s="215"/>
      <c r="N57" s="217"/>
      <c r="O57" s="217"/>
      <c r="P57" s="213"/>
      <c r="Q57" s="215"/>
      <c r="R57" s="215"/>
      <c r="S57" s="217"/>
      <c r="T57" s="217"/>
      <c r="U57" s="213"/>
      <c r="V57" s="215"/>
      <c r="W57" s="215"/>
      <c r="X57" s="217"/>
      <c r="Y57" s="217"/>
      <c r="Z57" s="213"/>
      <c r="AA57" s="215"/>
      <c r="AB57" s="215"/>
      <c r="AC57" s="217"/>
      <c r="AD57" s="217"/>
      <c r="AE57" s="213"/>
      <c r="AF57" s="215"/>
      <c r="AG57" s="215"/>
      <c r="AH57" s="217"/>
      <c r="AI57" s="217"/>
      <c r="AJ57" s="213"/>
    </row>
    <row r="58" spans="1:36" ht="33.75" customHeight="1">
      <c r="A58" s="213"/>
      <c r="B58" s="214">
        <f ca="1">IFERROR(__xludf.DUMMYFUNCTION("""COMPUTED_VALUE"""),2832061)</f>
        <v>2832061</v>
      </c>
      <c r="C58" s="215" t="str">
        <f ca="1">IFERROR(__xludf.DUMMYFUNCTION("""COMPUTED_VALUE"""),"Intermediate")</f>
        <v>Intermediate</v>
      </c>
      <c r="D58" s="216" t="str">
        <f ca="1">IFERROR(__xludf.DUMMYFUNCTION("""COMPUTED_VALUE"""),"Customer Service: Knowledge Management")</f>
        <v>Customer Service: Knowledge Management</v>
      </c>
      <c r="E58" s="217"/>
      <c r="F58" s="213"/>
      <c r="G58" s="214"/>
      <c r="H58" s="215"/>
      <c r="I58" s="217"/>
      <c r="J58" s="217"/>
      <c r="K58" s="213"/>
      <c r="L58" s="215"/>
      <c r="M58" s="215"/>
      <c r="N58" s="217"/>
      <c r="O58" s="217"/>
      <c r="P58" s="213"/>
      <c r="Q58" s="215"/>
      <c r="R58" s="215"/>
      <c r="S58" s="217"/>
      <c r="T58" s="217"/>
      <c r="U58" s="213"/>
      <c r="V58" s="215"/>
      <c r="W58" s="215"/>
      <c r="X58" s="217"/>
      <c r="Y58" s="217"/>
      <c r="Z58" s="213"/>
      <c r="AA58" s="215"/>
      <c r="AB58" s="215"/>
      <c r="AC58" s="217"/>
      <c r="AD58" s="217"/>
      <c r="AE58" s="213"/>
      <c r="AF58" s="215"/>
      <c r="AG58" s="215"/>
      <c r="AH58" s="217"/>
      <c r="AI58" s="217"/>
      <c r="AJ58" s="213"/>
    </row>
    <row r="59" spans="1:36" ht="33.75" customHeight="1">
      <c r="A59" s="213"/>
      <c r="B59" s="214"/>
      <c r="C59" s="215"/>
      <c r="D59" s="216"/>
      <c r="E59" s="217"/>
      <c r="F59" s="213"/>
      <c r="G59" s="214"/>
      <c r="H59" s="215"/>
      <c r="I59" s="217"/>
      <c r="J59" s="217"/>
      <c r="K59" s="213"/>
      <c r="L59" s="215"/>
      <c r="M59" s="215"/>
      <c r="N59" s="217"/>
      <c r="O59" s="217"/>
      <c r="P59" s="213"/>
      <c r="Q59" s="215"/>
      <c r="R59" s="215"/>
      <c r="S59" s="217"/>
      <c r="T59" s="217"/>
      <c r="U59" s="213"/>
      <c r="V59" s="215"/>
      <c r="W59" s="215"/>
      <c r="X59" s="217"/>
      <c r="Y59" s="217"/>
      <c r="Z59" s="213"/>
      <c r="AA59" s="215"/>
      <c r="AB59" s="215"/>
      <c r="AC59" s="217"/>
      <c r="AD59" s="217"/>
      <c r="AE59" s="213"/>
      <c r="AF59" s="215"/>
      <c r="AG59" s="215"/>
      <c r="AH59" s="217"/>
      <c r="AI59" s="217"/>
      <c r="AJ59" s="213"/>
    </row>
    <row r="60" spans="1:36" ht="33.75" customHeight="1">
      <c r="A60" s="213"/>
      <c r="B60" s="214"/>
      <c r="C60" s="215"/>
      <c r="D60" s="216"/>
      <c r="E60" s="217"/>
      <c r="F60" s="213"/>
      <c r="G60" s="214"/>
      <c r="H60" s="215"/>
      <c r="I60" s="217"/>
      <c r="J60" s="217"/>
      <c r="K60" s="213"/>
      <c r="L60" s="215"/>
      <c r="M60" s="215"/>
      <c r="N60" s="217"/>
      <c r="O60" s="217"/>
      <c r="P60" s="213"/>
      <c r="Q60" s="215"/>
      <c r="R60" s="215"/>
      <c r="S60" s="217"/>
      <c r="T60" s="217"/>
      <c r="U60" s="213"/>
      <c r="V60" s="215"/>
      <c r="W60" s="215"/>
      <c r="X60" s="217"/>
      <c r="Y60" s="217"/>
      <c r="Z60" s="213"/>
      <c r="AA60" s="215"/>
      <c r="AB60" s="215"/>
      <c r="AC60" s="217"/>
      <c r="AD60" s="217"/>
      <c r="AE60" s="213"/>
      <c r="AF60" s="215"/>
      <c r="AG60" s="215"/>
      <c r="AH60" s="217"/>
      <c r="AI60" s="217"/>
      <c r="AJ60" s="213"/>
    </row>
    <row r="61" spans="1:36" ht="33.75" customHeight="1">
      <c r="A61" s="213"/>
      <c r="B61" s="214"/>
      <c r="C61" s="215"/>
      <c r="D61" s="216"/>
      <c r="E61" s="217"/>
      <c r="F61" s="213"/>
      <c r="G61" s="214"/>
      <c r="H61" s="215"/>
      <c r="I61" s="217"/>
      <c r="J61" s="217"/>
      <c r="K61" s="213"/>
      <c r="L61" s="215"/>
      <c r="M61" s="215"/>
      <c r="N61" s="217"/>
      <c r="O61" s="217"/>
      <c r="P61" s="213"/>
      <c r="Q61" s="215"/>
      <c r="R61" s="215"/>
      <c r="S61" s="217"/>
      <c r="T61" s="217"/>
      <c r="U61" s="213"/>
      <c r="V61" s="215"/>
      <c r="W61" s="215"/>
      <c r="X61" s="217"/>
      <c r="Y61" s="217"/>
      <c r="Z61" s="213"/>
      <c r="AA61" s="215"/>
      <c r="AB61" s="215"/>
      <c r="AC61" s="217"/>
      <c r="AD61" s="217"/>
      <c r="AE61" s="213"/>
      <c r="AF61" s="215"/>
      <c r="AG61" s="215"/>
      <c r="AH61" s="217"/>
      <c r="AI61" s="217"/>
      <c r="AJ61" s="213"/>
    </row>
    <row r="62" spans="1:36" ht="33.75" customHeight="1">
      <c r="A62" s="213"/>
      <c r="B62" s="214"/>
      <c r="C62" s="215"/>
      <c r="D62" s="216"/>
      <c r="E62" s="217"/>
      <c r="F62" s="213"/>
      <c r="G62" s="214"/>
      <c r="H62" s="215"/>
      <c r="I62" s="217"/>
      <c r="J62" s="217"/>
      <c r="K62" s="213"/>
      <c r="L62" s="215"/>
      <c r="M62" s="215"/>
      <c r="N62" s="217"/>
      <c r="O62" s="217"/>
      <c r="P62" s="213"/>
      <c r="Q62" s="215"/>
      <c r="R62" s="215"/>
      <c r="S62" s="217"/>
      <c r="T62" s="217"/>
      <c r="U62" s="213"/>
      <c r="V62" s="215"/>
      <c r="W62" s="215"/>
      <c r="X62" s="217"/>
      <c r="Y62" s="217"/>
      <c r="Z62" s="213"/>
      <c r="AA62" s="215"/>
      <c r="AB62" s="215"/>
      <c r="AC62" s="217"/>
      <c r="AD62" s="217"/>
      <c r="AE62" s="213"/>
      <c r="AF62" s="215"/>
      <c r="AG62" s="215"/>
      <c r="AH62" s="217"/>
      <c r="AI62" s="217"/>
      <c r="AJ62" s="213"/>
    </row>
    <row r="63" spans="1:36" ht="33.75" customHeight="1">
      <c r="A63" s="213"/>
      <c r="B63" s="214"/>
      <c r="C63" s="215"/>
      <c r="D63" s="216"/>
      <c r="E63" s="217"/>
      <c r="F63" s="213"/>
      <c r="G63" s="214"/>
      <c r="H63" s="215"/>
      <c r="I63" s="217"/>
      <c r="J63" s="217"/>
      <c r="K63" s="213"/>
      <c r="L63" s="215"/>
      <c r="M63" s="215"/>
      <c r="N63" s="217"/>
      <c r="O63" s="217"/>
      <c r="P63" s="213"/>
      <c r="Q63" s="215"/>
      <c r="R63" s="215"/>
      <c r="S63" s="217"/>
      <c r="T63" s="217"/>
      <c r="U63" s="213"/>
      <c r="V63" s="215"/>
      <c r="W63" s="215"/>
      <c r="X63" s="217"/>
      <c r="Y63" s="217"/>
      <c r="Z63" s="213"/>
      <c r="AA63" s="215"/>
      <c r="AB63" s="215"/>
      <c r="AC63" s="217"/>
      <c r="AD63" s="217"/>
      <c r="AE63" s="213"/>
      <c r="AF63" s="215"/>
      <c r="AG63" s="215"/>
      <c r="AH63" s="217"/>
      <c r="AI63" s="217"/>
      <c r="AJ63" s="213"/>
    </row>
    <row r="64" spans="1:36" ht="33.75" customHeight="1">
      <c r="A64" s="213"/>
      <c r="B64" s="214"/>
      <c r="C64" s="215"/>
      <c r="D64" s="216"/>
      <c r="E64" s="217"/>
      <c r="F64" s="213"/>
      <c r="G64" s="214"/>
      <c r="H64" s="215"/>
      <c r="I64" s="217"/>
      <c r="J64" s="217"/>
      <c r="K64" s="213"/>
      <c r="L64" s="215"/>
      <c r="M64" s="215"/>
      <c r="N64" s="217"/>
      <c r="O64" s="217"/>
      <c r="P64" s="213"/>
      <c r="Q64" s="215"/>
      <c r="R64" s="215"/>
      <c r="S64" s="217"/>
      <c r="T64" s="217"/>
      <c r="U64" s="213"/>
      <c r="V64" s="215"/>
      <c r="W64" s="215"/>
      <c r="X64" s="217"/>
      <c r="Y64" s="217"/>
      <c r="Z64" s="213"/>
      <c r="AA64" s="215"/>
      <c r="AB64" s="215"/>
      <c r="AC64" s="217"/>
      <c r="AD64" s="217"/>
      <c r="AE64" s="213"/>
      <c r="AF64" s="215"/>
      <c r="AG64" s="215"/>
      <c r="AH64" s="217"/>
      <c r="AI64" s="217"/>
      <c r="AJ64" s="213"/>
    </row>
    <row r="65" spans="1:36" ht="33.75" customHeight="1">
      <c r="A65" s="213"/>
      <c r="B65" s="214"/>
      <c r="C65" s="215"/>
      <c r="D65" s="216"/>
      <c r="E65" s="217"/>
      <c r="F65" s="213"/>
      <c r="G65" s="214"/>
      <c r="H65" s="215"/>
      <c r="I65" s="217"/>
      <c r="J65" s="217"/>
      <c r="K65" s="213"/>
      <c r="L65" s="215"/>
      <c r="M65" s="215"/>
      <c r="N65" s="217"/>
      <c r="O65" s="217"/>
      <c r="P65" s="213"/>
      <c r="Q65" s="215"/>
      <c r="R65" s="215"/>
      <c r="S65" s="217"/>
      <c r="T65" s="217"/>
      <c r="U65" s="213"/>
      <c r="V65" s="215"/>
      <c r="W65" s="215"/>
      <c r="X65" s="217"/>
      <c r="Y65" s="217"/>
      <c r="Z65" s="213"/>
      <c r="AA65" s="215"/>
      <c r="AB65" s="215"/>
      <c r="AC65" s="217"/>
      <c r="AD65" s="217"/>
      <c r="AE65" s="213"/>
      <c r="AF65" s="215"/>
      <c r="AG65" s="215"/>
      <c r="AH65" s="217"/>
      <c r="AI65" s="217"/>
      <c r="AJ65" s="213"/>
    </row>
    <row r="66" spans="1:36" ht="33.75" customHeight="1">
      <c r="A66" s="213"/>
      <c r="B66" s="214"/>
      <c r="C66" s="215"/>
      <c r="D66" s="216"/>
      <c r="E66" s="217"/>
      <c r="F66" s="213"/>
      <c r="G66" s="214"/>
      <c r="H66" s="215"/>
      <c r="I66" s="217"/>
      <c r="J66" s="217"/>
      <c r="K66" s="213"/>
      <c r="L66" s="215"/>
      <c r="M66" s="215"/>
      <c r="N66" s="217"/>
      <c r="O66" s="217"/>
      <c r="P66" s="213"/>
      <c r="Q66" s="215"/>
      <c r="R66" s="215"/>
      <c r="S66" s="217"/>
      <c r="T66" s="217"/>
      <c r="U66" s="213"/>
      <c r="V66" s="215"/>
      <c r="W66" s="215"/>
      <c r="X66" s="217"/>
      <c r="Y66" s="217"/>
      <c r="Z66" s="213"/>
      <c r="AA66" s="215"/>
      <c r="AB66" s="215"/>
      <c r="AC66" s="217"/>
      <c r="AD66" s="217"/>
      <c r="AE66" s="213"/>
      <c r="AF66" s="215"/>
      <c r="AG66" s="215"/>
      <c r="AH66" s="217"/>
      <c r="AI66" s="217"/>
      <c r="AJ66" s="213"/>
    </row>
    <row r="67" spans="1:36" ht="33.75" customHeight="1">
      <c r="A67" s="213"/>
      <c r="B67" s="214"/>
      <c r="C67" s="215"/>
      <c r="D67" s="216"/>
      <c r="E67" s="217"/>
      <c r="F67" s="213"/>
      <c r="G67" s="214"/>
      <c r="H67" s="215"/>
      <c r="I67" s="217"/>
      <c r="J67" s="217"/>
      <c r="K67" s="213"/>
      <c r="L67" s="215"/>
      <c r="M67" s="215"/>
      <c r="N67" s="217"/>
      <c r="O67" s="217"/>
      <c r="P67" s="213"/>
      <c r="Q67" s="215"/>
      <c r="R67" s="215"/>
      <c r="S67" s="217"/>
      <c r="T67" s="217"/>
      <c r="U67" s="213"/>
      <c r="V67" s="215"/>
      <c r="W67" s="215"/>
      <c r="X67" s="217"/>
      <c r="Y67" s="217"/>
      <c r="Z67" s="213"/>
      <c r="AA67" s="215"/>
      <c r="AB67" s="215"/>
      <c r="AC67" s="217"/>
      <c r="AD67" s="217"/>
      <c r="AE67" s="213"/>
      <c r="AF67" s="215"/>
      <c r="AG67" s="215"/>
      <c r="AH67" s="217"/>
      <c r="AI67" s="217"/>
      <c r="AJ67" s="213"/>
    </row>
    <row r="68" spans="1:36" ht="33.75" customHeight="1">
      <c r="A68" s="213"/>
      <c r="B68" s="214"/>
      <c r="C68" s="215"/>
      <c r="D68" s="216"/>
      <c r="E68" s="217"/>
      <c r="F68" s="213"/>
      <c r="G68" s="214"/>
      <c r="H68" s="215"/>
      <c r="I68" s="217"/>
      <c r="J68" s="217"/>
      <c r="K68" s="213"/>
      <c r="L68" s="215"/>
      <c r="M68" s="215"/>
      <c r="N68" s="217"/>
      <c r="O68" s="217"/>
      <c r="P68" s="213"/>
      <c r="Q68" s="215"/>
      <c r="R68" s="215"/>
      <c r="S68" s="217"/>
      <c r="T68" s="217"/>
      <c r="U68" s="213"/>
      <c r="V68" s="215"/>
      <c r="W68" s="215"/>
      <c r="X68" s="217"/>
      <c r="Y68" s="217"/>
      <c r="Z68" s="213"/>
      <c r="AA68" s="215"/>
      <c r="AB68" s="215"/>
      <c r="AC68" s="217"/>
      <c r="AD68" s="217"/>
      <c r="AE68" s="213"/>
      <c r="AF68" s="215"/>
      <c r="AG68" s="215"/>
      <c r="AH68" s="217"/>
      <c r="AI68" s="217"/>
      <c r="AJ68" s="213"/>
    </row>
    <row r="69" spans="1:36" ht="33.75" customHeight="1">
      <c r="A69" s="213"/>
      <c r="B69" s="214"/>
      <c r="C69" s="215"/>
      <c r="D69" s="216"/>
      <c r="E69" s="217"/>
      <c r="F69" s="213"/>
      <c r="G69" s="214"/>
      <c r="H69" s="215"/>
      <c r="I69" s="217"/>
      <c r="J69" s="217"/>
      <c r="K69" s="213"/>
      <c r="L69" s="215"/>
      <c r="M69" s="215"/>
      <c r="N69" s="217"/>
      <c r="O69" s="217"/>
      <c r="P69" s="213"/>
      <c r="Q69" s="215"/>
      <c r="R69" s="215"/>
      <c r="S69" s="217"/>
      <c r="T69" s="217"/>
      <c r="U69" s="213"/>
      <c r="V69" s="215"/>
      <c r="W69" s="215"/>
      <c r="X69" s="217"/>
      <c r="Y69" s="217"/>
      <c r="Z69" s="213"/>
      <c r="AA69" s="215"/>
      <c r="AB69" s="215"/>
      <c r="AC69" s="217"/>
      <c r="AD69" s="217"/>
      <c r="AE69" s="213"/>
      <c r="AF69" s="215"/>
      <c r="AG69" s="215"/>
      <c r="AH69" s="217"/>
      <c r="AI69" s="217"/>
      <c r="AJ69" s="213"/>
    </row>
    <row r="70" spans="1:36" ht="33.75" customHeight="1">
      <c r="A70" s="213"/>
      <c r="B70" s="214"/>
      <c r="C70" s="215"/>
      <c r="D70" s="216"/>
      <c r="E70" s="217"/>
      <c r="F70" s="213"/>
      <c r="G70" s="214"/>
      <c r="H70" s="215"/>
      <c r="I70" s="217"/>
      <c r="J70" s="217"/>
      <c r="K70" s="213"/>
      <c r="L70" s="215"/>
      <c r="M70" s="215"/>
      <c r="N70" s="217"/>
      <c r="O70" s="217"/>
      <c r="P70" s="213"/>
      <c r="Q70" s="215"/>
      <c r="R70" s="215"/>
      <c r="S70" s="217"/>
      <c r="T70" s="217"/>
      <c r="U70" s="213"/>
      <c r="V70" s="215"/>
      <c r="W70" s="215"/>
      <c r="X70" s="217"/>
      <c r="Y70" s="217"/>
      <c r="Z70" s="213"/>
      <c r="AA70" s="215"/>
      <c r="AB70" s="215"/>
      <c r="AC70" s="217"/>
      <c r="AD70" s="217"/>
      <c r="AE70" s="213"/>
      <c r="AF70" s="215"/>
      <c r="AG70" s="215"/>
      <c r="AH70" s="217"/>
      <c r="AI70" s="217"/>
      <c r="AJ70" s="213"/>
    </row>
    <row r="71" spans="1:36" ht="33.75" customHeight="1">
      <c r="A71" s="213"/>
      <c r="B71" s="214"/>
      <c r="C71" s="215"/>
      <c r="D71" s="216"/>
      <c r="E71" s="217"/>
      <c r="F71" s="213"/>
      <c r="G71" s="214"/>
      <c r="H71" s="215"/>
      <c r="I71" s="217"/>
      <c r="J71" s="217"/>
      <c r="K71" s="213"/>
      <c r="L71" s="215"/>
      <c r="M71" s="215"/>
      <c r="N71" s="217"/>
      <c r="O71" s="217"/>
      <c r="P71" s="213"/>
      <c r="Q71" s="215"/>
      <c r="R71" s="215"/>
      <c r="S71" s="217"/>
      <c r="T71" s="217"/>
      <c r="U71" s="213"/>
      <c r="V71" s="215"/>
      <c r="W71" s="215"/>
      <c r="X71" s="217"/>
      <c r="Y71" s="217"/>
      <c r="Z71" s="213"/>
      <c r="AA71" s="215"/>
      <c r="AB71" s="215"/>
      <c r="AC71" s="217"/>
      <c r="AD71" s="217"/>
      <c r="AE71" s="213"/>
      <c r="AF71" s="215"/>
      <c r="AG71" s="215"/>
      <c r="AH71" s="217"/>
      <c r="AI71" s="217"/>
      <c r="AJ71" s="213"/>
    </row>
    <row r="72" spans="1:36" ht="33.75" customHeight="1">
      <c r="A72" s="213"/>
      <c r="B72" s="214"/>
      <c r="C72" s="215"/>
      <c r="D72" s="216"/>
      <c r="E72" s="217"/>
      <c r="F72" s="213"/>
      <c r="G72" s="214"/>
      <c r="H72" s="215"/>
      <c r="I72" s="217"/>
      <c r="J72" s="217"/>
      <c r="K72" s="213"/>
      <c r="L72" s="215"/>
      <c r="M72" s="215"/>
      <c r="N72" s="217"/>
      <c r="O72" s="217"/>
      <c r="P72" s="213"/>
      <c r="Q72" s="215"/>
      <c r="R72" s="215"/>
      <c r="S72" s="217"/>
      <c r="T72" s="217"/>
      <c r="U72" s="213"/>
      <c r="V72" s="215"/>
      <c r="W72" s="215"/>
      <c r="X72" s="217"/>
      <c r="Y72" s="217"/>
      <c r="Z72" s="213"/>
      <c r="AA72" s="215"/>
      <c r="AB72" s="215"/>
      <c r="AC72" s="217"/>
      <c r="AD72" s="217"/>
      <c r="AE72" s="213"/>
      <c r="AF72" s="215"/>
      <c r="AG72" s="215"/>
      <c r="AH72" s="217"/>
      <c r="AI72" s="217"/>
      <c r="AJ72" s="213"/>
    </row>
    <row r="73" spans="1:36" ht="33.75" customHeight="1">
      <c r="A73" s="213"/>
      <c r="B73" s="214"/>
      <c r="C73" s="215"/>
      <c r="D73" s="216"/>
      <c r="E73" s="217"/>
      <c r="F73" s="213"/>
      <c r="G73" s="214"/>
      <c r="H73" s="215"/>
      <c r="I73" s="217"/>
      <c r="J73" s="217"/>
      <c r="K73" s="213"/>
      <c r="L73" s="215"/>
      <c r="M73" s="215"/>
      <c r="N73" s="217"/>
      <c r="O73" s="217"/>
      <c r="P73" s="213"/>
      <c r="Q73" s="215"/>
      <c r="R73" s="215"/>
      <c r="S73" s="217"/>
      <c r="T73" s="217"/>
      <c r="U73" s="213"/>
      <c r="V73" s="215"/>
      <c r="W73" s="215"/>
      <c r="X73" s="217"/>
      <c r="Y73" s="217"/>
      <c r="Z73" s="213"/>
      <c r="AA73" s="215"/>
      <c r="AB73" s="215"/>
      <c r="AC73" s="217"/>
      <c r="AD73" s="217"/>
      <c r="AE73" s="213"/>
      <c r="AF73" s="215"/>
      <c r="AG73" s="215"/>
      <c r="AH73" s="217"/>
      <c r="AI73" s="217"/>
      <c r="AJ73" s="213"/>
    </row>
    <row r="74" spans="1:36" ht="33.75" customHeight="1">
      <c r="A74" s="213"/>
      <c r="B74" s="214"/>
      <c r="C74" s="215"/>
      <c r="D74" s="216"/>
      <c r="E74" s="217"/>
      <c r="F74" s="213"/>
      <c r="G74" s="214"/>
      <c r="H74" s="215"/>
      <c r="I74" s="217"/>
      <c r="J74" s="217"/>
      <c r="K74" s="213"/>
      <c r="L74" s="215"/>
      <c r="M74" s="215"/>
      <c r="N74" s="217"/>
      <c r="O74" s="217"/>
      <c r="P74" s="213"/>
      <c r="Q74" s="215"/>
      <c r="R74" s="215"/>
      <c r="S74" s="217"/>
      <c r="T74" s="217"/>
      <c r="U74" s="213"/>
      <c r="V74" s="215"/>
      <c r="W74" s="215"/>
      <c r="X74" s="217"/>
      <c r="Y74" s="217"/>
      <c r="Z74" s="213"/>
      <c r="AA74" s="215"/>
      <c r="AB74" s="215"/>
      <c r="AC74" s="217"/>
      <c r="AD74" s="217"/>
      <c r="AE74" s="213"/>
      <c r="AF74" s="215"/>
      <c r="AG74" s="215"/>
      <c r="AH74" s="217"/>
      <c r="AI74" s="217"/>
      <c r="AJ74" s="213"/>
    </row>
    <row r="75" spans="1:36" ht="33.75" customHeight="1">
      <c r="A75" s="213"/>
      <c r="B75" s="214"/>
      <c r="C75" s="215"/>
      <c r="D75" s="216"/>
      <c r="E75" s="217"/>
      <c r="F75" s="213"/>
      <c r="G75" s="214"/>
      <c r="H75" s="215"/>
      <c r="I75" s="217"/>
      <c r="J75" s="217"/>
      <c r="K75" s="213"/>
      <c r="L75" s="215"/>
      <c r="M75" s="215"/>
      <c r="N75" s="217"/>
      <c r="O75" s="217"/>
      <c r="P75" s="213"/>
      <c r="Q75" s="215"/>
      <c r="R75" s="215"/>
      <c r="S75" s="217"/>
      <c r="T75" s="217"/>
      <c r="U75" s="213"/>
      <c r="V75" s="215"/>
      <c r="W75" s="215"/>
      <c r="X75" s="217"/>
      <c r="Y75" s="217"/>
      <c r="Z75" s="213"/>
      <c r="AA75" s="215"/>
      <c r="AB75" s="215"/>
      <c r="AC75" s="217"/>
      <c r="AD75" s="217"/>
      <c r="AE75" s="213"/>
      <c r="AF75" s="215"/>
      <c r="AG75" s="215"/>
      <c r="AH75" s="217"/>
      <c r="AI75" s="217"/>
      <c r="AJ75" s="213"/>
    </row>
    <row r="76" spans="1:36" ht="33.75" customHeight="1">
      <c r="A76" s="213"/>
      <c r="B76" s="214"/>
      <c r="C76" s="215"/>
      <c r="D76" s="216"/>
      <c r="E76" s="217"/>
      <c r="F76" s="213"/>
      <c r="G76" s="214"/>
      <c r="H76" s="215"/>
      <c r="I76" s="217"/>
      <c r="J76" s="217"/>
      <c r="K76" s="213"/>
      <c r="L76" s="215"/>
      <c r="M76" s="215"/>
      <c r="N76" s="217"/>
      <c r="O76" s="217"/>
      <c r="P76" s="213"/>
      <c r="Q76" s="215"/>
      <c r="R76" s="215"/>
      <c r="S76" s="217"/>
      <c r="T76" s="217"/>
      <c r="U76" s="213"/>
      <c r="V76" s="215"/>
      <c r="W76" s="215"/>
      <c r="X76" s="217"/>
      <c r="Y76" s="217"/>
      <c r="Z76" s="213"/>
      <c r="AA76" s="215"/>
      <c r="AB76" s="215"/>
      <c r="AC76" s="217"/>
      <c r="AD76" s="217"/>
      <c r="AE76" s="213"/>
      <c r="AF76" s="215"/>
      <c r="AG76" s="215"/>
      <c r="AH76" s="217"/>
      <c r="AI76" s="217"/>
      <c r="AJ76" s="213"/>
    </row>
    <row r="77" spans="1:36" ht="33.75" customHeight="1">
      <c r="A77" s="213"/>
      <c r="B77" s="214"/>
      <c r="C77" s="215"/>
      <c r="D77" s="216"/>
      <c r="E77" s="217"/>
      <c r="F77" s="213"/>
      <c r="G77" s="214"/>
      <c r="H77" s="215"/>
      <c r="I77" s="217"/>
      <c r="J77" s="217"/>
      <c r="K77" s="213"/>
      <c r="L77" s="215"/>
      <c r="M77" s="215"/>
      <c r="N77" s="217"/>
      <c r="O77" s="217"/>
      <c r="P77" s="213"/>
      <c r="Q77" s="215"/>
      <c r="R77" s="215"/>
      <c r="S77" s="217"/>
      <c r="T77" s="217"/>
      <c r="U77" s="213"/>
      <c r="V77" s="215"/>
      <c r="W77" s="215"/>
      <c r="X77" s="217"/>
      <c r="Y77" s="217"/>
      <c r="Z77" s="213"/>
      <c r="AA77" s="215"/>
      <c r="AB77" s="215"/>
      <c r="AC77" s="217"/>
      <c r="AD77" s="217"/>
      <c r="AE77" s="213"/>
      <c r="AF77" s="215"/>
      <c r="AG77" s="215"/>
      <c r="AH77" s="217"/>
      <c r="AI77" s="217"/>
      <c r="AJ77" s="213"/>
    </row>
    <row r="78" spans="1:36" ht="33.75" customHeight="1">
      <c r="A78" s="213"/>
      <c r="B78" s="214"/>
      <c r="C78" s="215"/>
      <c r="D78" s="216"/>
      <c r="E78" s="217"/>
      <c r="F78" s="213"/>
      <c r="G78" s="214"/>
      <c r="H78" s="215"/>
      <c r="I78" s="217"/>
      <c r="J78" s="217"/>
      <c r="K78" s="213"/>
      <c r="L78" s="215"/>
      <c r="M78" s="215"/>
      <c r="N78" s="217"/>
      <c r="O78" s="217"/>
      <c r="P78" s="213"/>
      <c r="Q78" s="215"/>
      <c r="R78" s="215"/>
      <c r="S78" s="217"/>
      <c r="T78" s="217"/>
      <c r="U78" s="213"/>
      <c r="V78" s="215"/>
      <c r="W78" s="215"/>
      <c r="X78" s="217"/>
      <c r="Y78" s="217"/>
      <c r="Z78" s="213"/>
      <c r="AA78" s="215"/>
      <c r="AB78" s="215"/>
      <c r="AC78" s="217"/>
      <c r="AD78" s="217"/>
      <c r="AE78" s="213"/>
      <c r="AF78" s="215"/>
      <c r="AG78" s="215"/>
      <c r="AH78" s="217"/>
      <c r="AI78" s="217"/>
      <c r="AJ78" s="213"/>
    </row>
    <row r="79" spans="1:36" ht="33.75" customHeight="1">
      <c r="A79" s="213"/>
      <c r="B79" s="214"/>
      <c r="C79" s="215"/>
      <c r="D79" s="216"/>
      <c r="E79" s="217"/>
      <c r="F79" s="213"/>
      <c r="G79" s="214"/>
      <c r="H79" s="215"/>
      <c r="I79" s="217"/>
      <c r="J79" s="217"/>
      <c r="K79" s="213"/>
      <c r="L79" s="215"/>
      <c r="M79" s="215"/>
      <c r="N79" s="217"/>
      <c r="O79" s="217"/>
      <c r="P79" s="213"/>
      <c r="Q79" s="215"/>
      <c r="R79" s="215"/>
      <c r="S79" s="217"/>
      <c r="T79" s="217"/>
      <c r="U79" s="213"/>
      <c r="V79" s="215"/>
      <c r="W79" s="215"/>
      <c r="X79" s="217"/>
      <c r="Y79" s="217"/>
      <c r="Z79" s="213"/>
      <c r="AA79" s="215"/>
      <c r="AB79" s="215"/>
      <c r="AC79" s="217"/>
      <c r="AD79" s="217"/>
      <c r="AE79" s="213"/>
      <c r="AF79" s="215"/>
      <c r="AG79" s="215"/>
      <c r="AH79" s="217"/>
      <c r="AI79" s="217"/>
      <c r="AJ79" s="213"/>
    </row>
    <row r="80" spans="1:36" ht="33.75" customHeight="1">
      <c r="A80" s="213"/>
      <c r="B80" s="214"/>
      <c r="C80" s="215"/>
      <c r="D80" s="216"/>
      <c r="E80" s="217"/>
      <c r="F80" s="213"/>
      <c r="G80" s="214"/>
      <c r="H80" s="215"/>
      <c r="I80" s="217"/>
      <c r="J80" s="217"/>
      <c r="K80" s="213"/>
      <c r="L80" s="215"/>
      <c r="M80" s="215"/>
      <c r="N80" s="217"/>
      <c r="O80" s="217"/>
      <c r="P80" s="213"/>
      <c r="Q80" s="215"/>
      <c r="R80" s="215"/>
      <c r="S80" s="217"/>
      <c r="T80" s="217"/>
      <c r="U80" s="213"/>
      <c r="V80" s="215"/>
      <c r="W80" s="215"/>
      <c r="X80" s="217"/>
      <c r="Y80" s="217"/>
      <c r="Z80" s="213"/>
      <c r="AA80" s="215"/>
      <c r="AB80" s="215"/>
      <c r="AC80" s="217"/>
      <c r="AD80" s="217"/>
      <c r="AE80" s="213"/>
      <c r="AF80" s="215"/>
      <c r="AG80" s="215"/>
      <c r="AH80" s="217"/>
      <c r="AI80" s="217"/>
      <c r="AJ80" s="213"/>
    </row>
    <row r="81" spans="1:36" ht="33.75" customHeight="1">
      <c r="A81" s="213"/>
      <c r="B81" s="214"/>
      <c r="C81" s="215"/>
      <c r="D81" s="216"/>
      <c r="E81" s="217"/>
      <c r="F81" s="213"/>
      <c r="G81" s="214"/>
      <c r="H81" s="215"/>
      <c r="I81" s="217"/>
      <c r="J81" s="217"/>
      <c r="K81" s="213"/>
      <c r="L81" s="215"/>
      <c r="M81" s="215"/>
      <c r="N81" s="217"/>
      <c r="O81" s="217"/>
      <c r="P81" s="213"/>
      <c r="Q81" s="215"/>
      <c r="R81" s="215"/>
      <c r="S81" s="217"/>
      <c r="T81" s="217"/>
      <c r="U81" s="213"/>
      <c r="V81" s="215"/>
      <c r="W81" s="215"/>
      <c r="X81" s="217"/>
      <c r="Y81" s="217"/>
      <c r="Z81" s="213"/>
      <c r="AA81" s="215"/>
      <c r="AB81" s="215"/>
      <c r="AC81" s="217"/>
      <c r="AD81" s="217"/>
      <c r="AE81" s="213"/>
      <c r="AF81" s="215"/>
      <c r="AG81" s="215"/>
      <c r="AH81" s="217"/>
      <c r="AI81" s="217"/>
      <c r="AJ81" s="213"/>
    </row>
    <row r="82" spans="1:36" ht="33.75" customHeight="1">
      <c r="A82" s="213"/>
      <c r="B82" s="214"/>
      <c r="C82" s="215"/>
      <c r="D82" s="216"/>
      <c r="E82" s="217"/>
      <c r="F82" s="213"/>
      <c r="G82" s="214"/>
      <c r="H82" s="215"/>
      <c r="I82" s="217"/>
      <c r="J82" s="217"/>
      <c r="K82" s="213"/>
      <c r="L82" s="215"/>
      <c r="M82" s="215"/>
      <c r="N82" s="217"/>
      <c r="O82" s="217"/>
      <c r="P82" s="213"/>
      <c r="Q82" s="215"/>
      <c r="R82" s="215"/>
      <c r="S82" s="217"/>
      <c r="T82" s="217"/>
      <c r="U82" s="213"/>
      <c r="V82" s="215"/>
      <c r="W82" s="215"/>
      <c r="X82" s="217"/>
      <c r="Y82" s="217"/>
      <c r="Z82" s="213"/>
      <c r="AA82" s="215"/>
      <c r="AB82" s="215"/>
      <c r="AC82" s="217"/>
      <c r="AD82" s="217"/>
      <c r="AE82" s="213"/>
      <c r="AF82" s="215"/>
      <c r="AG82" s="215"/>
      <c r="AH82" s="217"/>
      <c r="AI82" s="217"/>
      <c r="AJ82" s="213"/>
    </row>
    <row r="83" spans="1:36" ht="33.75" customHeight="1">
      <c r="A83" s="213"/>
      <c r="B83" s="214"/>
      <c r="C83" s="215"/>
      <c r="D83" s="216"/>
      <c r="E83" s="217"/>
      <c r="F83" s="213"/>
      <c r="G83" s="214"/>
      <c r="H83" s="215"/>
      <c r="I83" s="217"/>
      <c r="J83" s="217"/>
      <c r="K83" s="213"/>
      <c r="L83" s="215"/>
      <c r="M83" s="215"/>
      <c r="N83" s="217"/>
      <c r="O83" s="217"/>
      <c r="P83" s="213"/>
      <c r="Q83" s="215"/>
      <c r="R83" s="215"/>
      <c r="S83" s="217"/>
      <c r="T83" s="217"/>
      <c r="U83" s="213"/>
      <c r="V83" s="215"/>
      <c r="W83" s="215"/>
      <c r="X83" s="217"/>
      <c r="Y83" s="217"/>
      <c r="Z83" s="213"/>
      <c r="AA83" s="215"/>
      <c r="AB83" s="215"/>
      <c r="AC83" s="217"/>
      <c r="AD83" s="217"/>
      <c r="AE83" s="213"/>
      <c r="AF83" s="215"/>
      <c r="AG83" s="215"/>
      <c r="AH83" s="217"/>
      <c r="AI83" s="217"/>
      <c r="AJ83" s="213"/>
    </row>
    <row r="84" spans="1:36" ht="33.75" customHeight="1">
      <c r="A84" s="213"/>
      <c r="B84" s="214"/>
      <c r="C84" s="215"/>
      <c r="D84" s="216"/>
      <c r="E84" s="217"/>
      <c r="F84" s="213"/>
      <c r="G84" s="214"/>
      <c r="H84" s="215"/>
      <c r="I84" s="217"/>
      <c r="J84" s="217"/>
      <c r="K84" s="213"/>
      <c r="L84" s="215"/>
      <c r="M84" s="215"/>
      <c r="N84" s="217"/>
      <c r="O84" s="217"/>
      <c r="P84" s="213"/>
      <c r="Q84" s="215"/>
      <c r="R84" s="215"/>
      <c r="S84" s="217"/>
      <c r="T84" s="217"/>
      <c r="U84" s="213"/>
      <c r="V84" s="215"/>
      <c r="W84" s="215"/>
      <c r="X84" s="217"/>
      <c r="Y84" s="217"/>
      <c r="Z84" s="213"/>
      <c r="AA84" s="215"/>
      <c r="AB84" s="215"/>
      <c r="AC84" s="217"/>
      <c r="AD84" s="217"/>
      <c r="AE84" s="213"/>
      <c r="AF84" s="215"/>
      <c r="AG84" s="215"/>
      <c r="AH84" s="217"/>
      <c r="AI84" s="217"/>
      <c r="AJ84" s="213"/>
    </row>
    <row r="85" spans="1:36" ht="33.75" customHeight="1">
      <c r="A85" s="213"/>
      <c r="B85" s="214"/>
      <c r="C85" s="215"/>
      <c r="D85" s="216"/>
      <c r="E85" s="217"/>
      <c r="F85" s="213"/>
      <c r="G85" s="214"/>
      <c r="H85" s="215"/>
      <c r="I85" s="217"/>
      <c r="J85" s="217"/>
      <c r="K85" s="213"/>
      <c r="L85" s="215"/>
      <c r="M85" s="215"/>
      <c r="N85" s="217"/>
      <c r="O85" s="217"/>
      <c r="P85" s="213"/>
      <c r="Q85" s="215"/>
      <c r="R85" s="215"/>
      <c r="S85" s="217"/>
      <c r="T85" s="217"/>
      <c r="U85" s="213"/>
      <c r="V85" s="215"/>
      <c r="W85" s="215"/>
      <c r="X85" s="217"/>
      <c r="Y85" s="217"/>
      <c r="Z85" s="213"/>
      <c r="AA85" s="215"/>
      <c r="AB85" s="215"/>
      <c r="AC85" s="217"/>
      <c r="AD85" s="217"/>
      <c r="AE85" s="213"/>
      <c r="AF85" s="215"/>
      <c r="AG85" s="215"/>
      <c r="AH85" s="217"/>
      <c r="AI85" s="217"/>
      <c r="AJ85" s="213"/>
    </row>
    <row r="86" spans="1:36" ht="33.75" customHeight="1">
      <c r="A86" s="213"/>
      <c r="B86" s="214"/>
      <c r="C86" s="215"/>
      <c r="D86" s="216"/>
      <c r="E86" s="217"/>
      <c r="F86" s="213"/>
      <c r="G86" s="214"/>
      <c r="H86" s="215"/>
      <c r="I86" s="217"/>
      <c r="J86" s="217"/>
      <c r="K86" s="213"/>
      <c r="L86" s="215"/>
      <c r="M86" s="215"/>
      <c r="N86" s="217"/>
      <c r="O86" s="217"/>
      <c r="P86" s="213"/>
      <c r="Q86" s="215"/>
      <c r="R86" s="215"/>
      <c r="S86" s="217"/>
      <c r="T86" s="217"/>
      <c r="U86" s="213"/>
      <c r="V86" s="215"/>
      <c r="W86" s="215"/>
      <c r="X86" s="217"/>
      <c r="Y86" s="217"/>
      <c r="Z86" s="213"/>
      <c r="AA86" s="215"/>
      <c r="AB86" s="215"/>
      <c r="AC86" s="217"/>
      <c r="AD86" s="217"/>
      <c r="AE86" s="213"/>
      <c r="AF86" s="215"/>
      <c r="AG86" s="215"/>
      <c r="AH86" s="217"/>
      <c r="AI86" s="217"/>
      <c r="AJ86" s="213"/>
    </row>
    <row r="87" spans="1:36" ht="33.75" customHeight="1">
      <c r="A87" s="213"/>
      <c r="B87" s="214"/>
      <c r="C87" s="215"/>
      <c r="D87" s="216"/>
      <c r="E87" s="217"/>
      <c r="F87" s="213"/>
      <c r="G87" s="214"/>
      <c r="H87" s="215"/>
      <c r="I87" s="217"/>
      <c r="J87" s="217"/>
      <c r="K87" s="213"/>
      <c r="L87" s="215"/>
      <c r="M87" s="215"/>
      <c r="N87" s="217"/>
      <c r="O87" s="217"/>
      <c r="P87" s="213"/>
      <c r="Q87" s="215"/>
      <c r="R87" s="215"/>
      <c r="S87" s="217"/>
      <c r="T87" s="217"/>
      <c r="U87" s="213"/>
      <c r="V87" s="215"/>
      <c r="W87" s="215"/>
      <c r="X87" s="217"/>
      <c r="Y87" s="217"/>
      <c r="Z87" s="213"/>
      <c r="AA87" s="215"/>
      <c r="AB87" s="215"/>
      <c r="AC87" s="217"/>
      <c r="AD87" s="217"/>
      <c r="AE87" s="213"/>
      <c r="AF87" s="215"/>
      <c r="AG87" s="215"/>
      <c r="AH87" s="217"/>
      <c r="AI87" s="217"/>
      <c r="AJ87" s="213"/>
    </row>
    <row r="88" spans="1:36" ht="33.75" customHeight="1">
      <c r="A88" s="213"/>
      <c r="B88" s="214"/>
      <c r="C88" s="215"/>
      <c r="D88" s="217"/>
      <c r="E88" s="217"/>
      <c r="F88" s="213"/>
      <c r="G88" s="214"/>
      <c r="H88" s="215"/>
      <c r="I88" s="217"/>
      <c r="J88" s="217"/>
      <c r="K88" s="213"/>
      <c r="L88" s="215"/>
      <c r="M88" s="215"/>
      <c r="N88" s="217"/>
      <c r="O88" s="217"/>
      <c r="P88" s="213"/>
      <c r="Q88" s="215"/>
      <c r="R88" s="215"/>
      <c r="S88" s="217"/>
      <c r="T88" s="217"/>
      <c r="U88" s="213"/>
      <c r="V88" s="215"/>
      <c r="W88" s="215"/>
      <c r="X88" s="217"/>
      <c r="Y88" s="217"/>
      <c r="Z88" s="213"/>
      <c r="AA88" s="215"/>
      <c r="AB88" s="215"/>
      <c r="AC88" s="217"/>
      <c r="AD88" s="217"/>
      <c r="AE88" s="213"/>
      <c r="AF88" s="215"/>
      <c r="AG88" s="215"/>
      <c r="AH88" s="217"/>
      <c r="AI88" s="217"/>
      <c r="AJ88" s="213"/>
    </row>
    <row r="89" spans="1:36" ht="16">
      <c r="A89" s="213"/>
      <c r="B89" s="214"/>
      <c r="C89" s="215"/>
      <c r="D89" s="216"/>
      <c r="E89" s="217"/>
      <c r="F89" s="213"/>
      <c r="G89" s="214"/>
      <c r="H89" s="215"/>
      <c r="I89" s="217"/>
      <c r="J89" s="217"/>
      <c r="K89" s="213"/>
      <c r="L89" s="215"/>
      <c r="M89" s="215"/>
      <c r="N89" s="217"/>
      <c r="O89" s="217"/>
      <c r="P89" s="213"/>
      <c r="Q89" s="215"/>
      <c r="R89" s="215"/>
      <c r="S89" s="217"/>
      <c r="T89" s="217"/>
      <c r="U89" s="213"/>
      <c r="V89" s="215"/>
      <c r="W89" s="215"/>
      <c r="X89" s="217"/>
      <c r="Y89" s="217"/>
      <c r="Z89" s="213"/>
      <c r="AA89" s="215"/>
      <c r="AB89" s="215"/>
      <c r="AC89" s="217"/>
      <c r="AD89" s="217"/>
      <c r="AE89" s="213"/>
      <c r="AF89" s="215"/>
      <c r="AG89" s="215"/>
      <c r="AH89" s="217"/>
      <c r="AI89" s="217"/>
      <c r="AJ89" s="213"/>
    </row>
    <row r="90" spans="1:36" ht="16">
      <c r="A90" s="213"/>
      <c r="B90" s="214"/>
      <c r="C90" s="215"/>
      <c r="D90" s="216"/>
      <c r="E90" s="217"/>
      <c r="F90" s="213"/>
      <c r="G90" s="214"/>
      <c r="H90" s="215"/>
      <c r="I90" s="217"/>
      <c r="J90" s="217"/>
      <c r="K90" s="213"/>
      <c r="L90" s="215"/>
      <c r="M90" s="215"/>
      <c r="N90" s="217"/>
      <c r="O90" s="217"/>
      <c r="P90" s="213"/>
      <c r="Q90" s="215"/>
      <c r="R90" s="215"/>
      <c r="S90" s="217"/>
      <c r="T90" s="217"/>
      <c r="U90" s="213"/>
      <c r="V90" s="215"/>
      <c r="W90" s="215"/>
      <c r="X90" s="217"/>
      <c r="Y90" s="217"/>
      <c r="Z90" s="213"/>
      <c r="AA90" s="215"/>
      <c r="AB90" s="215"/>
      <c r="AC90" s="217"/>
      <c r="AD90" s="217"/>
      <c r="AE90" s="213"/>
      <c r="AF90" s="215"/>
      <c r="AG90" s="215"/>
      <c r="AH90" s="217"/>
      <c r="AI90" s="217"/>
      <c r="AJ90" s="213"/>
    </row>
    <row r="91" spans="1:36" ht="16">
      <c r="A91" s="213"/>
      <c r="B91" s="214"/>
      <c r="C91" s="215"/>
      <c r="D91" s="216"/>
      <c r="E91" s="217"/>
      <c r="F91" s="213"/>
      <c r="G91" s="214"/>
      <c r="H91" s="215"/>
      <c r="I91" s="217"/>
      <c r="J91" s="217"/>
      <c r="K91" s="213"/>
      <c r="L91" s="215"/>
      <c r="M91" s="215"/>
      <c r="N91" s="217"/>
      <c r="O91" s="217"/>
      <c r="P91" s="213"/>
      <c r="Q91" s="215"/>
      <c r="R91" s="215"/>
      <c r="S91" s="217"/>
      <c r="T91" s="217"/>
      <c r="U91" s="213"/>
      <c r="V91" s="215"/>
      <c r="W91" s="215"/>
      <c r="X91" s="217"/>
      <c r="Y91" s="217"/>
      <c r="Z91" s="213"/>
      <c r="AA91" s="215"/>
      <c r="AB91" s="215"/>
      <c r="AC91" s="217"/>
      <c r="AD91" s="217"/>
      <c r="AE91" s="213"/>
      <c r="AF91" s="215"/>
      <c r="AG91" s="215"/>
      <c r="AH91" s="217"/>
      <c r="AI91" s="217"/>
      <c r="AJ91" s="213"/>
    </row>
    <row r="92" spans="1:36" ht="16">
      <c r="A92" s="213"/>
      <c r="B92" s="214"/>
      <c r="C92" s="215"/>
      <c r="D92" s="216"/>
      <c r="E92" s="217"/>
      <c r="F92" s="213"/>
      <c r="G92" s="214"/>
      <c r="H92" s="215"/>
      <c r="I92" s="217"/>
      <c r="J92" s="217"/>
      <c r="K92" s="213"/>
      <c r="L92" s="215"/>
      <c r="M92" s="215"/>
      <c r="N92" s="217"/>
      <c r="O92" s="217"/>
      <c r="P92" s="213"/>
      <c r="Q92" s="215"/>
      <c r="R92" s="215"/>
      <c r="S92" s="217"/>
      <c r="T92" s="217"/>
      <c r="U92" s="213"/>
      <c r="V92" s="215"/>
      <c r="W92" s="215"/>
      <c r="X92" s="217"/>
      <c r="Y92" s="217"/>
      <c r="Z92" s="213"/>
      <c r="AA92" s="215"/>
      <c r="AB92" s="215"/>
      <c r="AC92" s="217"/>
      <c r="AD92" s="217"/>
      <c r="AE92" s="213"/>
      <c r="AF92" s="215"/>
      <c r="AG92" s="215"/>
      <c r="AH92" s="217"/>
      <c r="AI92" s="217"/>
      <c r="AJ92" s="213"/>
    </row>
    <row r="93" spans="1:36" ht="16">
      <c r="A93" s="213"/>
      <c r="B93" s="214"/>
      <c r="C93" s="215"/>
      <c r="D93" s="216"/>
      <c r="E93" s="217"/>
      <c r="F93" s="213"/>
      <c r="G93" s="214"/>
      <c r="H93" s="215"/>
      <c r="I93" s="217"/>
      <c r="J93" s="217"/>
      <c r="K93" s="213"/>
      <c r="L93" s="215"/>
      <c r="M93" s="215"/>
      <c r="N93" s="217"/>
      <c r="O93" s="217"/>
      <c r="P93" s="213"/>
      <c r="Q93" s="215"/>
      <c r="R93" s="215"/>
      <c r="S93" s="217"/>
      <c r="T93" s="217"/>
      <c r="U93" s="213"/>
      <c r="V93" s="215"/>
      <c r="W93" s="215"/>
      <c r="X93" s="217"/>
      <c r="Y93" s="217"/>
      <c r="Z93" s="213"/>
      <c r="AA93" s="215"/>
      <c r="AB93" s="215"/>
      <c r="AC93" s="217"/>
      <c r="AD93" s="217"/>
      <c r="AE93" s="213"/>
      <c r="AF93" s="215"/>
      <c r="AG93" s="215"/>
      <c r="AH93" s="217"/>
      <c r="AI93" s="217"/>
      <c r="AJ93" s="213"/>
    </row>
    <row r="94" spans="1:36" ht="16">
      <c r="A94" s="213"/>
      <c r="B94" s="214"/>
      <c r="C94" s="215"/>
      <c r="D94" s="216"/>
      <c r="E94" s="217"/>
      <c r="F94" s="213"/>
      <c r="G94" s="214"/>
      <c r="H94" s="215"/>
      <c r="I94" s="217"/>
      <c r="J94" s="217"/>
      <c r="K94" s="213"/>
      <c r="L94" s="215"/>
      <c r="M94" s="215"/>
      <c r="N94" s="217"/>
      <c r="O94" s="217"/>
      <c r="P94" s="213"/>
      <c r="Q94" s="215"/>
      <c r="R94" s="215"/>
      <c r="S94" s="217"/>
      <c r="T94" s="217"/>
      <c r="U94" s="213"/>
      <c r="V94" s="215"/>
      <c r="W94" s="215"/>
      <c r="X94" s="217"/>
      <c r="Y94" s="217"/>
      <c r="Z94" s="213"/>
      <c r="AA94" s="215"/>
      <c r="AB94" s="215"/>
      <c r="AC94" s="217"/>
      <c r="AD94" s="217"/>
      <c r="AE94" s="213"/>
      <c r="AF94" s="215"/>
      <c r="AG94" s="215"/>
      <c r="AH94" s="217"/>
      <c r="AI94" s="217"/>
      <c r="AJ94" s="213"/>
    </row>
    <row r="95" spans="1:36" ht="16">
      <c r="A95" s="213"/>
      <c r="B95" s="214"/>
      <c r="C95" s="215"/>
      <c r="D95" s="216"/>
      <c r="E95" s="217"/>
      <c r="F95" s="213"/>
      <c r="G95" s="214"/>
      <c r="H95" s="215"/>
      <c r="I95" s="217"/>
      <c r="J95" s="217"/>
      <c r="K95" s="213"/>
      <c r="L95" s="215"/>
      <c r="M95" s="215"/>
      <c r="N95" s="217"/>
      <c r="O95" s="217"/>
      <c r="P95" s="213"/>
      <c r="Q95" s="215"/>
      <c r="R95" s="215"/>
      <c r="S95" s="217"/>
      <c r="T95" s="217"/>
      <c r="U95" s="213"/>
      <c r="V95" s="215"/>
      <c r="W95" s="215"/>
      <c r="X95" s="217"/>
      <c r="Y95" s="217"/>
      <c r="Z95" s="213"/>
      <c r="AA95" s="215"/>
      <c r="AB95" s="215"/>
      <c r="AC95" s="217"/>
      <c r="AD95" s="217"/>
      <c r="AE95" s="213"/>
      <c r="AF95" s="215"/>
      <c r="AG95" s="215"/>
      <c r="AH95" s="217"/>
      <c r="AI95" s="217"/>
      <c r="AJ95" s="213"/>
    </row>
    <row r="96" spans="1:36" ht="16">
      <c r="A96" s="213"/>
      <c r="B96" s="214"/>
      <c r="C96" s="215"/>
      <c r="D96" s="217"/>
      <c r="E96" s="217"/>
      <c r="F96" s="213"/>
      <c r="G96" s="214"/>
      <c r="H96" s="215"/>
      <c r="I96" s="217"/>
      <c r="J96" s="217"/>
      <c r="K96" s="213"/>
      <c r="L96" s="215"/>
      <c r="M96" s="215"/>
      <c r="N96" s="217"/>
      <c r="O96" s="217"/>
      <c r="P96" s="213"/>
      <c r="Q96" s="215"/>
      <c r="R96" s="215"/>
      <c r="S96" s="217"/>
      <c r="T96" s="217"/>
      <c r="U96" s="213"/>
      <c r="V96" s="215"/>
      <c r="W96" s="215"/>
      <c r="X96" s="217"/>
      <c r="Y96" s="217"/>
      <c r="Z96" s="213"/>
      <c r="AA96" s="215"/>
      <c r="AB96" s="215"/>
      <c r="AC96" s="217"/>
      <c r="AD96" s="217"/>
      <c r="AE96" s="213"/>
      <c r="AF96" s="215"/>
      <c r="AG96" s="215"/>
      <c r="AH96" s="217"/>
      <c r="AI96" s="217"/>
      <c r="AJ96" s="213"/>
    </row>
    <row r="97" spans="1:36" ht="16">
      <c r="A97" s="213"/>
      <c r="B97" s="214"/>
      <c r="C97" s="215"/>
      <c r="D97" s="217"/>
      <c r="E97" s="217"/>
      <c r="F97" s="213"/>
      <c r="G97" s="214"/>
      <c r="H97" s="215"/>
      <c r="I97" s="217"/>
      <c r="J97" s="217"/>
      <c r="K97" s="213"/>
      <c r="L97" s="215"/>
      <c r="M97" s="215"/>
      <c r="N97" s="217"/>
      <c r="O97" s="217"/>
      <c r="P97" s="213"/>
      <c r="Q97" s="215"/>
      <c r="R97" s="215"/>
      <c r="S97" s="217"/>
      <c r="T97" s="217"/>
      <c r="U97" s="213"/>
      <c r="V97" s="215"/>
      <c r="W97" s="215"/>
      <c r="X97" s="217"/>
      <c r="Y97" s="217"/>
      <c r="Z97" s="213"/>
      <c r="AA97" s="215"/>
      <c r="AB97" s="215"/>
      <c r="AC97" s="217"/>
      <c r="AD97" s="217"/>
      <c r="AE97" s="213"/>
      <c r="AF97" s="215"/>
      <c r="AG97" s="215"/>
      <c r="AH97" s="217"/>
      <c r="AI97" s="217"/>
      <c r="AJ97" s="213"/>
    </row>
    <row r="98" spans="1:36" ht="16">
      <c r="A98" s="213"/>
      <c r="B98" s="214"/>
      <c r="C98" s="215"/>
      <c r="D98" s="217"/>
      <c r="E98" s="217"/>
      <c r="F98" s="213"/>
      <c r="G98" s="214"/>
      <c r="H98" s="215"/>
      <c r="I98" s="217"/>
      <c r="J98" s="217"/>
      <c r="K98" s="213"/>
      <c r="L98" s="215"/>
      <c r="M98" s="215"/>
      <c r="N98" s="217"/>
      <c r="O98" s="217"/>
      <c r="P98" s="213"/>
      <c r="Q98" s="215"/>
      <c r="R98" s="215"/>
      <c r="S98" s="217"/>
      <c r="T98" s="217"/>
      <c r="U98" s="213"/>
      <c r="V98" s="215"/>
      <c r="W98" s="215"/>
      <c r="X98" s="217"/>
      <c r="Y98" s="217"/>
      <c r="Z98" s="213"/>
      <c r="AA98" s="215"/>
      <c r="AB98" s="215"/>
      <c r="AC98" s="217"/>
      <c r="AD98" s="217"/>
      <c r="AE98" s="213"/>
      <c r="AF98" s="215"/>
      <c r="AG98" s="215"/>
      <c r="AH98" s="217"/>
      <c r="AI98" s="217"/>
      <c r="AJ98" s="213"/>
    </row>
    <row r="99" spans="1:36" ht="16">
      <c r="A99" s="213"/>
      <c r="B99" s="214"/>
      <c r="C99" s="215"/>
      <c r="D99" s="217"/>
      <c r="E99" s="217"/>
      <c r="F99" s="213"/>
      <c r="G99" s="214"/>
      <c r="H99" s="215"/>
      <c r="I99" s="218"/>
      <c r="J99" s="219"/>
      <c r="K99" s="213"/>
      <c r="L99" s="215"/>
      <c r="M99" s="215"/>
      <c r="N99" s="220"/>
      <c r="O99" s="220"/>
      <c r="P99" s="213"/>
      <c r="Q99" s="215"/>
      <c r="R99" s="215"/>
      <c r="S99" s="220"/>
      <c r="T99" s="220"/>
      <c r="U99" s="213"/>
      <c r="V99" s="215"/>
      <c r="W99" s="215"/>
      <c r="X99" s="220"/>
      <c r="Y99" s="220"/>
      <c r="Z99" s="213"/>
      <c r="AA99" s="215"/>
      <c r="AB99" s="215"/>
      <c r="AC99" s="221"/>
      <c r="AD99" s="221"/>
      <c r="AE99" s="213"/>
      <c r="AF99" s="215"/>
      <c r="AG99" s="215"/>
      <c r="AH99" s="220"/>
      <c r="AI99" s="220"/>
      <c r="AJ99" s="213"/>
    </row>
  </sheetData>
  <mergeCells count="14">
    <mergeCell ref="B1:E1"/>
    <mergeCell ref="L1:O1"/>
    <mergeCell ref="V1:Y1"/>
    <mergeCell ref="AF1:AI1"/>
    <mergeCell ref="B2:E2"/>
    <mergeCell ref="L2:O2"/>
    <mergeCell ref="V2:Y2"/>
    <mergeCell ref="AF2:AI2"/>
    <mergeCell ref="G1:J1"/>
    <mergeCell ref="G2:J2"/>
    <mergeCell ref="Q1:T1"/>
    <mergeCell ref="Q2:T2"/>
    <mergeCell ref="AA1:AD1"/>
    <mergeCell ref="AA2:AD2"/>
  </mergeCells>
  <hyperlinks>
    <hyperlink ref="D4" r:id="rId1" display="https://www.linkedin.com/learning/service-innovation?trk=ondemandfile" xr:uid="{00000000-0004-0000-1300-000000000000}"/>
    <hyperlink ref="E4" r:id="rId2" display="https://www.linkedin.com/learning/paths/become-a-customer-service-manager?trk=ondemandfile" xr:uid="{00000000-0004-0000-1300-000001000000}"/>
    <hyperlink ref="I4" r:id="rId3" display="https://www.linkedin.com/learning/annoncer-une-mauvaise-nouvelle-a-un-client-une-cliente?trk=contentmappingfile" xr:uid="{00000000-0004-0000-1300-000002000000}"/>
    <hyperlink ref="N4" r:id="rId4" display="https://www.linkedin.com/learning/aprende-mailchimp?trk=ondemandfile" xr:uid="{00000000-0004-0000-1300-000003000000}"/>
    <hyperlink ref="O4" r:id="rId5" display="https://www.linkedin.com/learning/paths/conviertete-en-vendedor?trk=ondemandfile" xr:uid="{00000000-0004-0000-1300-000004000000}"/>
    <hyperlink ref="S4" r:id="rId6" display="https://www.linkedin.com/learning/als-kundenservice-manager-in-die-erwartung-der-kundschaft-steuern?trk=ondemandfile" xr:uid="{00000000-0004-0000-1300-000005000000}"/>
    <hyperlink ref="X4" r:id="rId7" display="https://www.linkedin.com/learning/business-etiquette-foundations-dealing-with-customers?trk=ondemandfile" xr:uid="{00000000-0004-0000-1300-000006000000}"/>
    <hyperlink ref="AD4" r:id="rId8" display="https://www.linkedin.com/learning/paths/torne-se-um-especialista-em-atendimento-ao-cliente?trk=ondemandfile" xr:uid="{00000000-0004-0000-1300-000007000000}"/>
    <hyperlink ref="AH4" r:id="rId9" display="https://www.linkedin.com/learning/innovative-customer-service-techniques-2?trk=ondemandfile" xr:uid="{00000000-0004-0000-1300-000008000000}"/>
    <hyperlink ref="AI4" r:id="rId10" display="https://www.linkedin.com/learning/paths/943761a6-c1c7-382f-b8de-58a257f2baa5?trk=ondemandfile" xr:uid="{00000000-0004-0000-1300-000009000000}"/>
    <hyperlink ref="D5" r:id="rId11" display="https://www.linkedin.com/learning/customer-experience-leadership?trk=ondemandfile" xr:uid="{00000000-0004-0000-1300-00000A000000}"/>
    <hyperlink ref="E5" r:id="rId12" display="https://www.linkedin.com/learning/paths/become-a-customer-service-specialist?trk=ondemandfile" xr:uid="{00000000-0004-0000-1300-00000B000000}"/>
    <hyperlink ref="I5" r:id="rId13" display="https://www.linkedin.com/learning/creer-des-conversations-constructives-avec-des-clients-exigeants-clientes-exigeantes?trk=contentmappingfile" xr:uid="{00000000-0004-0000-1300-00000C000000}"/>
    <hyperlink ref="N5" r:id="rId14" display="https://www.linkedin.com/learning/como-construir-la-lealtad-del-cliente?trk=ondemandfile" xr:uid="{00000000-0004-0000-1300-00000D000000}"/>
    <hyperlink ref="S5" r:id="rId15" display="https://www.linkedin.com/learning/als-kundenservice-mitarbeiter-in-die-erwartung-der-kundschaft-steuern?trk=ondemandfile" xr:uid="{00000000-0004-0000-1300-00000E000000}"/>
    <hyperlink ref="T5" r:id="rId16" display="https://www.linkedin.com/learning/paths/kundenservice-spezialist-in-werden?trk=ondemandfile" xr:uid="{00000000-0004-0000-1300-00000F000000}"/>
    <hyperlink ref="X5" r:id="rId17" display="https://www.linkedin.com/learning/innovative-customer-service-techniques-4?trk=contentmappingfile" xr:uid="{00000000-0004-0000-1300-000010000000}"/>
    <hyperlink ref="AH5" r:id="rId18" display="https://www.linkedin.com/learning/communicating-with-empathy-2?trk=ondemandfile" xr:uid="{00000000-0004-0000-1300-000011000000}"/>
    <hyperlink ref="D6" r:id="rId19" display="https://www.linkedin.com/learning/creating-a-culture-of-privacy?trk=ondemandfile" xr:uid="{00000000-0004-0000-1300-000012000000}"/>
    <hyperlink ref="E6" r:id="rId20" display="https://www.linkedin.com/learning/paths/become-a-customer-support-specialist?trk=ondemandfile" xr:uid="{00000000-0004-0000-1300-000013000000}"/>
    <hyperlink ref="N6" r:id="rId21" display="https://www.linkedin.com/learning/como-dirigir-el-servicio-de-atencion-al-cliente?trk=ondemandfile" xr:uid="{00000000-0004-0000-1300-000014000000}"/>
    <hyperlink ref="S6" r:id="rId22" display="https://www.linkedin.com/learning/besser-zuhoren?trk=ondemandfile" xr:uid="{00000000-0004-0000-1300-000015000000}"/>
    <hyperlink ref="X6" r:id="rId23" display="https://www.linkedin.com/learning/customer-service-foundations?trk=ondemandfile" xr:uid="{00000000-0004-0000-1300-000016000000}"/>
    <hyperlink ref="AC6" r:id="rId24" display="https://www.linkedin.com/learning/como-comunicar-mas-noticias-aos-clientes?trk=contentmappingfile" xr:uid="{00000000-0004-0000-1300-000017000000}"/>
    <hyperlink ref="AH6" r:id="rId25" display="https://www.linkedin.com/learning/delivering-bad-news-to-a-customer-2?trk=ondemandfile" xr:uid="{00000000-0004-0000-1300-000018000000}"/>
    <hyperlink ref="D7" r:id="rId26" display="https://www.linkedin.com/learning/business-fundamentals-for-customer-success-managers?trk=ondemandfile" xr:uid="{00000000-0004-0000-1300-000019000000}"/>
    <hyperlink ref="E7" r:id="rId27" display="https://www.linkedin.com/learning/paths/develop-your-customer-service-skills?trk=ondemandfile" xr:uid="{00000000-0004-0000-1300-00001A000000}"/>
    <hyperlink ref="N7" r:id="rId28" display="https://www.linkedin.com/learning/como-escribir-correos-electronicos-de-servicio-al-cliente?trk=ondemandfile" xr:uid="{00000000-0004-0000-1300-00001B000000}"/>
    <hyperlink ref="S7" r:id="rId29" display="https://www.linkedin.com/learning/customer-centricity-unternehmerisches-handeln-am-kunden-ausrichten?trk=ondemandfile" xr:uid="{00000000-0004-0000-1300-00001C000000}"/>
    <hyperlink ref="X7" r:id="rId30" display="https://www.linkedin.com/learning/delivering-bad-news-to-a-customer-13930992?trk=ondemandfile" xr:uid="{00000000-0004-0000-1300-00001D000000}"/>
    <hyperlink ref="AH7" r:id="rId31" display="https://www.linkedin.com/learning/working-with-upset-customers-2?trk=ondemandfile" xr:uid="{00000000-0004-0000-1300-00001E000000}"/>
    <hyperlink ref="D8" r:id="rId32" display="https://www.linkedin.com/learning/customer-service-preventing-turnover?trk=ondemandfile" xr:uid="{00000000-0004-0000-1300-00001F000000}"/>
    <hyperlink ref="N8" r:id="rId33" display="https://www.linkedin.com/learning/como-gestionar-el-enfado-en-la-clientela?trk=contentmappingfile" xr:uid="{00000000-0004-0000-1300-000020000000}"/>
    <hyperlink ref="S8" r:id="rId34" display="https://www.linkedin.com/learning/die-10-stufen-des-zuhorens-die-eigene-zuhorkompetenz-ausbauen?trk=ondemandfile" xr:uid="{00000000-0004-0000-1300-000021000000}"/>
    <hyperlink ref="X8" r:id="rId35" display="https://www.linkedin.com/learning/managing-customer-expectations-for-frontline-employees?trk=ondemandfile" xr:uid="{00000000-0004-0000-1300-000022000000}"/>
    <hyperlink ref="AH8" r:id="rId36" display="https://www.linkedin.com/learning/customer-service-foundations-4?trk=ondemandfile" xr:uid="{00000000-0004-0000-1300-000023000000}"/>
    <hyperlink ref="D9" r:id="rId37" display="https://www.linkedin.com/learning/creating-a-positive-customer-experience-2020?trk=ondemandfile" xr:uid="{00000000-0004-0000-1300-000024000000}"/>
    <hyperlink ref="N9" r:id="rId38" display="https://www.linkedin.com/learning/como-gestionar-las-expectativas-del-cliente-en-puestos-de-cara-al-publico?trk=ondemandfile" xr:uid="{00000000-0004-0000-1300-000025000000}"/>
    <hyperlink ref="S9" r:id="rId39" display="https://www.linkedin.com/learning/ein-team-im-kundenservice-leiten?trk=ondemandfile" xr:uid="{00000000-0004-0000-1300-000026000000}"/>
    <hyperlink ref="X9" r:id="rId40" display="https://www.linkedin.com/learning/building-customer-loyalty-8954274?trk=ondemandfile" xr:uid="{00000000-0004-0000-1300-000027000000}"/>
    <hyperlink ref="AH9" r:id="rId41" display="https://www.linkedin.com/learning/customer-service-leadership-5?trk=ondemandfile" xr:uid="{00000000-0004-0000-1300-000028000000}"/>
    <hyperlink ref="D10" r:id="rId42" display="https://www.linkedin.com/learning/customer-service-and-support-during-economic-downturns?trk=ondemandfile" xr:uid="{00000000-0004-0000-1300-000029000000}"/>
    <hyperlink ref="N10" r:id="rId43" display="https://www.linkedin.com/learning/como-gestionar-un-equipo-de-atencion-al-cliente?trk=ondemandfile" xr:uid="{00000000-0004-0000-1300-00002A000000}"/>
    <hyperlink ref="S10" r:id="rId44" display="https://www.linkedin.com/learning/e-mails-schreiben?trk=ondemandfile" xr:uid="{00000000-0004-0000-1300-00002B000000}"/>
    <hyperlink ref="AH10" r:id="rId45" display="https://www.linkedin.com/learning/customer-service-problem-solving-and-troubleshooting-2?trk=ondemandfile" xr:uid="{00000000-0004-0000-1300-00002C000000}"/>
    <hyperlink ref="D11" r:id="rId46" display="https://www.linkedin.com/learning/serving-customers-in-a-continuously-changing-world?trk=ondemandfile" xr:uid="{00000000-0004-0000-1300-00002D000000}"/>
    <hyperlink ref="I11" r:id="rId47" display="https://www.linkedin.com/learning/gerer-les-attentes-des-clients-pour-les-managers?trk=contentmappingfile" xr:uid="{00000000-0004-0000-1300-00002E000000}"/>
    <hyperlink ref="N11" r:id="rId48" display="https://www.linkedin.com/learning/como-identificar-oportunidades-de-crecimiento-en-las-ventas?trk=ondemandfile" xr:uid="{00000000-0004-0000-1300-00002F000000}"/>
    <hyperlink ref="S11" r:id="rId49" display="https://www.linkedin.com/learning/effective-listening-2?trk=ondemandfile" xr:uid="{00000000-0004-0000-1300-000030000000}"/>
    <hyperlink ref="AH11" r:id="rId50" display="https://www.linkedin.com/learning/building-customer-loyalty?trk=ondemandfile" xr:uid="{00000000-0004-0000-1300-000031000000}"/>
    <hyperlink ref="D12" r:id="rId51" display="https://www.linkedin.com/learning/calculating-the-value-and-roi-of-customer-service?trk=ondemandfile" xr:uid="{00000000-0004-0000-1300-000032000000}"/>
    <hyperlink ref="I12" r:id="rId52" display="https://www.linkedin.com/learning/gerer-les-besoins-de-la-clientele-en-tant-qu-employes-employees-de-premiere-ligne?trk=contentmappingfile" xr:uid="{00000000-0004-0000-1300-000033000000}"/>
    <hyperlink ref="N12" r:id="rId53" display="https://www.linkedin.com/learning/como-liderar-una-cultura-centrada-en-el-cliente?trk=ondemandfile" xr:uid="{00000000-0004-0000-1300-000034000000}"/>
    <hyperlink ref="S12" r:id="rId54" display="https://www.linkedin.com/learning/erfolgreiche-kommunikation?trk=ondemandfile" xr:uid="{00000000-0004-0000-1300-000035000000}"/>
    <hyperlink ref="AH12" r:id="rId55" display="https://www.linkedin.com/learning/86d80f76-f728-332c-a87d-dc1fddaa0c91?trk=ondemandfile" xr:uid="{00000000-0004-0000-1300-000036000000}"/>
    <hyperlink ref="D13" r:id="rId56" display="https://www.linkedin.com/learning/winning-back-a-lost-customer-2?trk=ondemandfile" xr:uid="{00000000-0004-0000-1300-000037000000}"/>
    <hyperlink ref="N13" r:id="rId57" display="https://www.linkedin.com/learning/00-asking-great-sales-questions?trk=ondemandfile" xr:uid="{00000000-0004-0000-1300-000038000000}"/>
    <hyperlink ref="S13" r:id="rId58" display="https://www.linkedin.com/learning/fuhrung-im-kundenservice?trk=ondemandfile" xr:uid="{00000000-0004-0000-1300-000039000000}"/>
    <hyperlink ref="AH13" r:id="rId59" display="https://www.linkedin.com/learning/phone-based-customer-service-3?trk=ondemandfile" xr:uid="{00000000-0004-0000-1300-00003A000000}"/>
    <hyperlink ref="D14" r:id="rId60" display="https://www.linkedin.com/learning/journey-mapping-case-studies-in-action?trk=ondemandfile" xr:uid="{00000000-0004-0000-1300-00003B000000}"/>
    <hyperlink ref="N14" r:id="rId61" display="https://www.linkedin.com/learning/como-vender-con-storytelling-parte-1-los-elementos-de-una-gran-historia?trk=ondemandfile" xr:uid="{00000000-0004-0000-1300-00003C000000}"/>
    <hyperlink ref="S14" r:id="rId62" display="https://www.linkedin.com/learning/innovative-techniken-im-kundenservice?trk=ondemandfile" xr:uid="{00000000-0004-0000-1300-00003D000000}"/>
    <hyperlink ref="AH14" r:id="rId63" display="https://www.linkedin.com/learning/managing-a-customer-service-team-4?trk=ondemandfile" xr:uid="{00000000-0004-0000-1300-00003E000000}"/>
    <hyperlink ref="D15" r:id="rId64" display="https://www.linkedin.com/learning/customer-service-creating-customer-value-2020?trk=ondemandfile" xr:uid="{00000000-0004-0000-1300-00003F000000}"/>
    <hyperlink ref="N15" r:id="rId65" display="https://www.linkedin.com/learning/cuarta-revolucion-industrial-estrategias-comerciales?trk=ondemandfile" xr:uid="{00000000-0004-0000-1300-000040000000}"/>
    <hyperlink ref="S15" r:id="rId66" display="https://www.linkedin.com/learning/kunden-begeistern-mit-system-blinkist-kernaussagen?trk=ondemandfile" xr:uid="{00000000-0004-0000-1300-000041000000}"/>
    <hyperlink ref="AC15" r:id="rId67" display="https://www.linkedin.com/learning/gestao-de-expectativas-dos-clientes-para-gerentes?trk=contentmappingfile" xr:uid="{00000000-0004-0000-1300-000042000000}"/>
    <hyperlink ref="AH15" r:id="rId68" display="https://www.linkedin.com/learning/managing-customer-expectations-for-frontline-employees-3?trk=ondemandfile" xr:uid="{00000000-0004-0000-1300-000043000000}"/>
    <hyperlink ref="D16" r:id="rId69" display="https://www.linkedin.com/learning/using-assessments-to-hire-customer-service-reps?trk=ondemandfile" xr:uid="{00000000-0004-0000-1300-000044000000}"/>
    <hyperlink ref="N16" r:id="rId70" display="https://www.linkedin.com/learning/00-tecnicas-de-atencion-al-cliente-y-soporte-para-it?trk=ondemandfile" xr:uid="{00000000-0004-0000-1300-000045000000}"/>
    <hyperlink ref="S16" r:id="rId71" display="https://www.linkedin.com/learning/kundenkommunikation-mit-whatsapp-business?trk=ondemandfile" xr:uid="{00000000-0004-0000-1300-000046000000}"/>
    <hyperlink ref="AC16" r:id="rId72" display="https://www.linkedin.com/learning/gestao-de-expectativas-dos-clientes-para-pessoal-da-linha-de-frente?trk=contentmappingfile" xr:uid="{00000000-0004-0000-1300-000047000000}"/>
    <hyperlink ref="AH16" r:id="rId73" display="https://www.linkedin.com/learning/managing-customer-expectations-for-managers-3?trk=ondemandfile" xr:uid="{00000000-0004-0000-1300-000048000000}"/>
    <hyperlink ref="D17" r:id="rId74" display="https://www.linkedin.com/learning/talking-to-customers?trk=ondemandfile" xr:uid="{00000000-0004-0000-1300-000049000000}"/>
    <hyperlink ref="I17" r:id="rId75" display="https://www.linkedin.com/learning/les-standards-qualite-du-service-client?trk=contentmappingfile" xr:uid="{00000000-0004-0000-1300-00004A000000}"/>
    <hyperlink ref="N17" r:id="rId76" display="https://www.linkedin.com/learning/fundamentos-de-la-gestion-de-ventas?trk=ondemandfile" xr:uid="{00000000-0004-0000-1300-00004B000000}"/>
    <hyperlink ref="S17" r:id="rId77" display="https://www.linkedin.com/learning/kundenservice-grundlagen?trk=ondemandfile" xr:uid="{00000000-0004-0000-1300-00004C000000}"/>
    <hyperlink ref="AH17" r:id="rId78" display="https://www.linkedin.com/learning/solution-selling?trk=ondemandfile" xr:uid="{00000000-0004-0000-1300-00004D000000}"/>
    <hyperlink ref="D18" r:id="rId79" display="https://www.linkedin.com/learning/customer-service-foundations-2?trk=ondemandfile" xr:uid="{00000000-0004-0000-1300-00004E000000}"/>
    <hyperlink ref="N18" r:id="rId80" display="https://www.linkedin.com/learning/fundamentos-de-marketing-b2b?trk=ondemandfile" xr:uid="{00000000-0004-0000-1300-00004F000000}"/>
    <hyperlink ref="S18" r:id="rId81" display="https://www.linkedin.com/learning/ein-blick-in-die-zukunft-design-und-automatisierung-ki?trk=ondemandfile" xr:uid="{00000000-0004-0000-1300-000050000000}"/>
    <hyperlink ref="AH18" r:id="rId82" display="https://www.linkedin.com/learning/negotiation-foundations-2?trk=ondemandfile" xr:uid="{00000000-0004-0000-1300-000051000000}"/>
    <hyperlink ref="D19" r:id="rId83" display="https://www.linkedin.com/learning/delivering-bad-news-to-a-customer?trk=ondemandfile" xr:uid="{00000000-0004-0000-1300-000052000000}"/>
    <hyperlink ref="I19" r:id="rId84" display="https://www.linkedin.com/learning/traiter-avec-des-clients-mecontents-clientes-mecontentes?trk=contentmappingfile" xr:uid="{00000000-0004-0000-1300-000053000000}"/>
    <hyperlink ref="N19" r:id="rId85" display="https://www.linkedin.com/learning/fundamentos-de-servicio-de-atencion-al-cliente?trk=ondemandfile" xr:uid="{00000000-0004-0000-1300-000054000000}"/>
    <hyperlink ref="S19" r:id="rId86" display="https://www.linkedin.com/learning/mit-schwierigen-kunden-umgehen?trk=ondemandfile" xr:uid="{00000000-0004-0000-1300-000055000000}"/>
    <hyperlink ref="AH19" r:id="rId87" display="https://www.linkedin.com/learning/solution-selling?trk=ondemandfile" xr:uid="{00000000-0004-0000-1300-000056000000}"/>
    <hyperlink ref="D20" r:id="rId88" display="https://www.linkedin.com/learning/ecommerce-fundamentals-2?trk=ondemandfile" xr:uid="{00000000-0004-0000-1300-000057000000}"/>
    <hyperlink ref="N20" r:id="rId89" display="https://www.linkedin.com/learning/fundamentos-del-soporte-tecnico-telecomunicaciones?trk=ondemandfile" xr:uid="{00000000-0004-0000-1300-000058000000}"/>
    <hyperlink ref="S20" r:id="rId90" display="https://www.linkedin.com/learning/neue-kunden-finden?trk=ondemandfile" xr:uid="{00000000-0004-0000-1300-000059000000}"/>
    <hyperlink ref="D21" r:id="rId91" display="https://www.linkedin.com/learning/empathy-for-customer-service-professionals?trk=ondemandfile" xr:uid="{00000000-0004-0000-1300-00005A000000}"/>
    <hyperlink ref="N21" r:id="rId92" display="https://www.linkedin.com/learning/gestion-de-clientes-potenciales?trk=ondemandfile" xr:uid="{00000000-0004-0000-1300-00005B000000}"/>
    <hyperlink ref="S21" r:id="rId93" display="https://www.linkedin.com/learning/neukundengeschaft-im-lizenzverkauf-b2b?trk=contentmappingfile" xr:uid="{00000000-0004-0000-1300-00005C000000}"/>
    <hyperlink ref="D22" r:id="rId94" display="https://www.linkedin.com/learning/marketing-foundations-consumer-behavior?trk=ondemandfile" xr:uid="{00000000-0004-0000-1300-00005D000000}"/>
    <hyperlink ref="N22" r:id="rId95" display="https://www.linkedin.com/learning/gestion-de-las-expectativas-de-los-clientes-para-gerentes?trk=ondemandfile" xr:uid="{00000000-0004-0000-1300-00005E000000}"/>
    <hyperlink ref="S22" r:id="rId96" display="https://www.linkedin.com/learning/qualitatsstandard-im-kundenservice?trk=ondemandfile" xr:uid="{00000000-0004-0000-1300-00005F000000}"/>
    <hyperlink ref="D23" r:id="rId97" display="https://www.linkedin.com/learning/customer-success-management-fundamentals?trk=ondemandfile" xr:uid="{00000000-0004-0000-1300-000060000000}"/>
    <hyperlink ref="N23" r:id="rId98" display="https://www.linkedin.com/learning/la-ciencia-de-las-ventas?trk=ondemandfile" xr:uid="{00000000-0004-0000-1300-000061000000}"/>
    <hyperlink ref="S23" r:id="rId99" display="https://www.linkedin.com/learning/telefonischer-kundenservice?trk=ondemandfile" xr:uid="{00000000-0004-0000-1300-000062000000}"/>
    <hyperlink ref="AC23" r:id="rId100" display="https://www.linkedin.com/learning/tendencias-de-comportamento-de-consumo-desvendando-o-consumidor-pos-moderno?trk=contentmappingfile" xr:uid="{00000000-0004-0000-1300-000063000000}"/>
    <hyperlink ref="D24" r:id="rId101" display="https://www.linkedin.com/learning/value-realization-best-practices-for-customer-success-management?trk=ondemandfile" xr:uid="{00000000-0004-0000-1300-000064000000}"/>
    <hyperlink ref="N24" r:id="rId102" display="https://www.linkedin.com/learning/la-venta-persuasiva?trk=ondemandfile" xr:uid="{00000000-0004-0000-1300-000065000000}"/>
    <hyperlink ref="D25" r:id="rId103" display="https://www.linkedin.com/learning/avoiding-common-pitfalls-in-customer-success-management?trk=ondemandfile" xr:uid="{00000000-0004-0000-1300-000066000000}"/>
    <hyperlink ref="N25" r:id="rId104" display="https://www.linkedin.com/learning/normas-de-calidad-en-el-servicio-de-atencion-al-cliente?trk=ondemandfile" xr:uid="{00000000-0004-0000-1300-000067000000}"/>
    <hyperlink ref="D26" r:id="rId105" display="https://www.linkedin.com/learning/onboarding-and-adoption-best-practices-for-customer-success-management?trk=ondemandfile" xr:uid="{00000000-0004-0000-1300-000068000000}"/>
    <hyperlink ref="N26" r:id="rId106" display="https://www.linkedin.com/learning/salesforce-esencial?trk=ondemandfile" xr:uid="{00000000-0004-0000-1300-000069000000}"/>
    <hyperlink ref="D27" r:id="rId107" display="https://www.linkedin.com/learning/engagement-preparation-best-practices-for-customer-success-management?trk=ondemandfile" xr:uid="{00000000-0004-0000-1300-00006A000000}"/>
    <hyperlink ref="N27" r:id="rId108" display="https://www.linkedin.com/learning/salesforce-para-administradores-esencial?trk=ondemandfile" xr:uid="{00000000-0004-0000-1300-00006B000000}"/>
    <hyperlink ref="D28" r:id="rId109" display="https://www.linkedin.com/learning/customer-development-for-product-managers?trk=ondemandfile" xr:uid="{00000000-0004-0000-1300-00006C000000}"/>
    <hyperlink ref="N28" r:id="rId110" display="https://www.linkedin.com/learning/salesforce-para-gerentes-de-ventas?trk=ondemandfile" xr:uid="{00000000-0004-0000-1300-00006D000000}"/>
    <hyperlink ref="D29" r:id="rId111" display="https://www.linkedin.com/learning/creatorup-making-business-videos-for-customers?trk=ondemandfile" xr:uid="{00000000-0004-0000-1300-00006E000000}"/>
    <hyperlink ref="N29" r:id="rId112" display="https://www.linkedin.com/learning/phone-based-customer-service-2?trk=ondemandfile" xr:uid="{00000000-0004-0000-1300-00006F000000}"/>
    <hyperlink ref="D30" r:id="rId113" display="https://www.linkedin.com/learning/aftersale-maintaining-relationships?trk=ondemandfile" xr:uid="{00000000-0004-0000-1300-000070000000}"/>
    <hyperlink ref="N30" r:id="rId114" display="https://www.linkedin.com/learning/servicio-de-atencion-al-cliente-creacion-de-valor-para-el-consumidor?trk=ondemandfile" xr:uid="{00000000-0004-0000-1300-000071000000}"/>
    <hyperlink ref="D31" r:id="rId115" display="https://www.linkedin.com/learning/data-ethics-managing-your-private-customer-data?trk=ondemandfile" xr:uid="{00000000-0004-0000-1300-000072000000}"/>
    <hyperlink ref="N31" r:id="rId116" display="https://www.linkedin.com/learning/tecnicas-innovadoras-de-atencion-al-cliente?trk=ondemandfile" xr:uid="{00000000-0004-0000-1300-000073000000}"/>
    <hyperlink ref="D32" r:id="rId117" display="https://www.linkedin.com/learning/empathy-in-ux-design?trk=ondemandfile" xr:uid="{00000000-0004-0000-1300-000074000000}"/>
    <hyperlink ref="N32" r:id="rId118" display="https://www.linkedin.com/learning/whatsapp-business-esencial?trk=ondemandfile" xr:uid="{00000000-0004-0000-1300-000075000000}"/>
    <hyperlink ref="D33" r:id="rId119" display="https://www.linkedin.com/learning/customer-service-handling-abusive-customers?trk=ondemandfile" xr:uid="{00000000-0004-0000-1300-000076000000}"/>
    <hyperlink ref="D34" r:id="rId120" display="https://www.linkedin.com/learning/customer-service-managing-customer-feedback?trk=ondemandfile" xr:uid="{00000000-0004-0000-1300-000077000000}"/>
    <hyperlink ref="D35" r:id="rId121" display="https://www.linkedin.com/learning/customer-service-problem-solving-and-trouble-shooting?trk=ondemandfile" xr:uid="{00000000-0004-0000-1300-000078000000}"/>
    <hyperlink ref="D36" r:id="rId122" display="https://www.linkedin.com/learning/developing-a-service-mindset?trk=ondemandfile" xr:uid="{00000000-0004-0000-1300-000079000000}"/>
    <hyperlink ref="D37" r:id="rId123" display="https://www.linkedin.com/learning/building-rapport-with-customers?trk=ondemandfile" xr:uid="{00000000-0004-0000-1300-00007A000000}"/>
    <hyperlink ref="D38" r:id="rId124" display="https://www.linkedin.com/learning/customer-service-managing-customer-expectations?trk=ondemandfile" xr:uid="{00000000-0004-0000-1300-00007B000000}"/>
    <hyperlink ref="D39" r:id="rId125" display="https://www.linkedin.com/learning/providing-legendary-customer-service?trk=ondemandfile" xr:uid="{00000000-0004-0000-1300-00007C000000}"/>
    <hyperlink ref="D40" r:id="rId126" display="https://www.linkedin.com/learning/data-driven-harnessing-data-and-ai-to-reinvent-customer-engagement-getabstract-summary?trk=ondemandfile" xr:uid="{00000000-0004-0000-1300-00007D000000}"/>
    <hyperlink ref="D41" r:id="rId127" display="https://www.linkedin.com/learning/just-ask-dean-karrel?trk=ondemandfile" xr:uid="{00000000-0004-0000-1300-00007E000000}"/>
    <hyperlink ref="D42" r:id="rId128" display="https://www.linkedin.com/learning/building-customer-loyalty-2?trk=ondemandfile" xr:uid="{00000000-0004-0000-1300-00007F000000}"/>
    <hyperlink ref="D43" r:id="rId129" display="https://www.linkedin.com/learning/creating-positive-conversations-with-challenging-customers?trk=ondemandfile" xr:uid="{00000000-0004-0000-1300-000080000000}"/>
    <hyperlink ref="D44" r:id="rId130" display="https://www.linkedin.com/learning/customer-experience-journey-mapping?trk=ondemandfile" xr:uid="{00000000-0004-0000-1300-000081000000}"/>
    <hyperlink ref="D45" r:id="rId131" display="https://www.linkedin.com/learning/customer-experience-service-blueprinting?trk=ondemandfile" xr:uid="{00000000-0004-0000-1300-000082000000}"/>
    <hyperlink ref="D46" r:id="rId132" display="https://www.linkedin.com/learning/customer-service-motivating-your-team?trk=ondemandfile" xr:uid="{00000000-0004-0000-1300-000083000000}"/>
    <hyperlink ref="D47" r:id="rId133" display="https://www.linkedin.com/learning/innovative-customer-service-techniques?trk=ondemandfile" xr:uid="{00000000-0004-0000-1300-000084000000}"/>
    <hyperlink ref="D48" r:id="rId134" display="https://www.linkedin.com/learning/leading-a-customer-centric-culture-2?trk=ondemandfile" xr:uid="{00000000-0004-0000-1300-000085000000}"/>
    <hyperlink ref="D49" r:id="rId135" display="https://www.linkedin.com/learning/managing-a-customer-service-team?trk=ondemandfile" xr:uid="{00000000-0004-0000-1300-000086000000}"/>
    <hyperlink ref="D50" r:id="rId136" display="https://www.linkedin.com/learning/working-with-upset-customers?trk=ondemandfile" xr:uid="{00000000-0004-0000-1300-000087000000}"/>
    <hyperlink ref="D51" r:id="rId137" display="https://www.linkedin.com/learning/aligning-customer-experience-with-company-culture?trk=ondemandfile" xr:uid="{00000000-0004-0000-1300-000088000000}"/>
    <hyperlink ref="D52" r:id="rId138" display="https://www.linkedin.com/learning/customer-service-using-ai-and-machine-learning?trk=ondemandfile" xr:uid="{00000000-0004-0000-1300-000089000000}"/>
    <hyperlink ref="D53" r:id="rId139" display="https://www.linkedin.com/learning/customer-service-serving-customers-through-chat-and-text?trk=ondemandfile" xr:uid="{00000000-0004-0000-1300-00008A000000}"/>
    <hyperlink ref="D54" r:id="rId140" display="https://www.linkedin.com/learning/serving-customers-using-social-media-2?trk=ondemandfile" xr:uid="{00000000-0004-0000-1300-00008B000000}"/>
    <hyperlink ref="D55" r:id="rId141" display="https://www.linkedin.com/learning/leading-a-customer-service-team?trk=ondemandfile" xr:uid="{00000000-0004-0000-1300-00008C000000}"/>
    <hyperlink ref="D56" r:id="rId142" display="https://www.linkedin.com/learning/a-design-thinking-approach-to-putting-the-customer-first?trk=ondemandfile" xr:uid="{00000000-0004-0000-1300-00008D000000}"/>
    <hyperlink ref="D57" r:id="rId143" display="https://www.linkedin.com/learning/business-development-foundations-researching-market-and-customer-needs?trk=ondemandfile" xr:uid="{00000000-0004-0000-1300-00008E000000}"/>
    <hyperlink ref="D58" r:id="rId144" display="https://www.linkedin.com/learning/customer-service-knowledge-management?trk=ondemandfile" xr:uid="{00000000-0004-0000-1300-00008F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Click and enter a value from range 'Competency Titles'!A1:A27" xr:uid="{00000000-0002-0000-1300-000000000000}">
          <x14:formula1>
            <xm:f>#REF!</xm:f>
          </x14:formula1>
          <xm:sqref>B1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Right="0"/>
  </sheetPr>
  <dimension ref="A1:H30"/>
  <sheetViews>
    <sheetView showGridLines="0" workbookViewId="0">
      <pane ySplit="3" topLeftCell="A4" activePane="bottomLeft" state="frozen"/>
      <selection pane="bottomLeft" activeCell="N6" sqref="N6"/>
    </sheetView>
  </sheetViews>
  <sheetFormatPr baseColWidth="10" defaultColWidth="11.1640625" defaultRowHeight="15" customHeight="1" outlineLevelRow="1"/>
  <cols>
    <col min="1" max="1" width="6.83203125" style="2" customWidth="1"/>
    <col min="2" max="2" width="4.83203125" style="2" customWidth="1"/>
    <col min="3" max="3" width="63.83203125" style="2" customWidth="1"/>
    <col min="4" max="4" width="45.1640625" style="2" customWidth="1"/>
    <col min="5" max="5" width="11.1640625" style="2" customWidth="1"/>
    <col min="6" max="6" width="15.83203125" style="2" customWidth="1"/>
    <col min="7" max="7" width="16" style="2" customWidth="1"/>
    <col min="8" max="8" width="6.83203125" style="2" customWidth="1"/>
    <col min="9" max="16384" width="11.1640625" style="2"/>
  </cols>
  <sheetData>
    <row r="1" spans="1:8" ht="103" customHeight="1" outlineLevel="1">
      <c r="A1" s="17"/>
      <c r="B1" s="226" t="s">
        <v>29</v>
      </c>
      <c r="C1" s="246"/>
      <c r="D1" s="246"/>
      <c r="E1" s="246"/>
      <c r="F1" s="227" t="s">
        <v>30</v>
      </c>
      <c r="G1" s="247"/>
      <c r="H1" s="18"/>
    </row>
    <row r="2" spans="1:8" ht="42.75" customHeight="1" outlineLevel="1">
      <c r="A2" s="19"/>
      <c r="B2" s="20" t="s">
        <v>31</v>
      </c>
      <c r="C2" s="21" t="s">
        <v>4723</v>
      </c>
      <c r="D2" s="228" t="s">
        <v>32</v>
      </c>
      <c r="E2" s="241"/>
      <c r="F2" s="241"/>
      <c r="G2" s="248"/>
      <c r="H2" s="22"/>
    </row>
    <row r="3" spans="1:8" ht="16" outlineLevel="1">
      <c r="A3" s="23"/>
      <c r="B3" s="24"/>
      <c r="C3" s="23"/>
      <c r="D3" s="23"/>
      <c r="E3" s="23"/>
      <c r="F3" s="23"/>
      <c r="G3" s="23"/>
      <c r="H3" s="23"/>
    </row>
    <row r="4" spans="1:8" ht="52.5" customHeight="1">
      <c r="A4" s="25"/>
      <c r="B4" s="26">
        <v>1</v>
      </c>
      <c r="C4" s="27" t="s">
        <v>0</v>
      </c>
      <c r="D4" s="229" t="s">
        <v>33</v>
      </c>
      <c r="E4" s="249"/>
      <c r="F4" s="249"/>
      <c r="G4" s="250"/>
      <c r="H4" s="17"/>
    </row>
    <row r="5" spans="1:8" ht="52.5" customHeight="1">
      <c r="A5" s="25"/>
      <c r="B5" s="26">
        <v>2</v>
      </c>
      <c r="C5" s="27" t="s">
        <v>1</v>
      </c>
      <c r="D5" s="229" t="s">
        <v>34</v>
      </c>
      <c r="E5" s="249"/>
      <c r="F5" s="249"/>
      <c r="G5" s="250"/>
      <c r="H5" s="17"/>
    </row>
    <row r="6" spans="1:8" ht="52.5" customHeight="1">
      <c r="A6" s="25"/>
      <c r="B6" s="26">
        <v>3</v>
      </c>
      <c r="C6" s="27" t="s">
        <v>2</v>
      </c>
      <c r="D6" s="229" t="s">
        <v>35</v>
      </c>
      <c r="E6" s="249"/>
      <c r="F6" s="249"/>
      <c r="G6" s="250"/>
      <c r="H6" s="17"/>
    </row>
    <row r="7" spans="1:8" ht="52.5" customHeight="1">
      <c r="A7" s="25"/>
      <c r="B7" s="26">
        <v>4</v>
      </c>
      <c r="C7" s="27" t="s">
        <v>3</v>
      </c>
      <c r="D7" s="229" t="s">
        <v>36</v>
      </c>
      <c r="E7" s="249"/>
      <c r="F7" s="249"/>
      <c r="G7" s="250"/>
      <c r="H7" s="17"/>
    </row>
    <row r="8" spans="1:8" ht="52.5" customHeight="1">
      <c r="A8" s="25"/>
      <c r="B8" s="26">
        <v>5</v>
      </c>
      <c r="C8" s="27" t="s">
        <v>4</v>
      </c>
      <c r="D8" s="229" t="s">
        <v>37</v>
      </c>
      <c r="E8" s="249"/>
      <c r="F8" s="249"/>
      <c r="G8" s="250"/>
      <c r="H8" s="17"/>
    </row>
    <row r="9" spans="1:8" ht="52.5" customHeight="1">
      <c r="A9" s="25"/>
      <c r="B9" s="26">
        <v>6</v>
      </c>
      <c r="C9" s="27" t="s">
        <v>5</v>
      </c>
      <c r="D9" s="229" t="s">
        <v>38</v>
      </c>
      <c r="E9" s="249"/>
      <c r="F9" s="249"/>
      <c r="G9" s="250"/>
      <c r="H9" s="17"/>
    </row>
    <row r="10" spans="1:8" ht="52.5" customHeight="1">
      <c r="A10" s="25"/>
      <c r="B10" s="26">
        <v>7</v>
      </c>
      <c r="C10" s="27" t="s">
        <v>6</v>
      </c>
      <c r="D10" s="229" t="s">
        <v>39</v>
      </c>
      <c r="E10" s="249"/>
      <c r="F10" s="249"/>
      <c r="G10" s="250"/>
      <c r="H10" s="17"/>
    </row>
    <row r="11" spans="1:8" ht="52.5" customHeight="1">
      <c r="A11" s="25"/>
      <c r="B11" s="26">
        <v>8</v>
      </c>
      <c r="C11" s="27" t="s">
        <v>7</v>
      </c>
      <c r="D11" s="229" t="s">
        <v>40</v>
      </c>
      <c r="E11" s="249"/>
      <c r="F11" s="249"/>
      <c r="G11" s="250"/>
      <c r="H11" s="17"/>
    </row>
    <row r="12" spans="1:8" ht="52.5" customHeight="1">
      <c r="A12" s="25"/>
      <c r="B12" s="26">
        <v>9</v>
      </c>
      <c r="C12" s="27" t="s">
        <v>8</v>
      </c>
      <c r="D12" s="229" t="s">
        <v>41</v>
      </c>
      <c r="E12" s="249"/>
      <c r="F12" s="249"/>
      <c r="G12" s="250"/>
      <c r="H12" s="17"/>
    </row>
    <row r="13" spans="1:8" ht="52.5" customHeight="1">
      <c r="A13" s="25"/>
      <c r="B13" s="26">
        <v>10</v>
      </c>
      <c r="C13" s="27" t="s">
        <v>9</v>
      </c>
      <c r="D13" s="229" t="s">
        <v>42</v>
      </c>
      <c r="E13" s="249"/>
      <c r="F13" s="249"/>
      <c r="G13" s="250"/>
      <c r="H13" s="17"/>
    </row>
    <row r="14" spans="1:8" ht="52.5" customHeight="1">
      <c r="A14" s="25"/>
      <c r="B14" s="26">
        <v>11</v>
      </c>
      <c r="C14" s="27" t="s">
        <v>10</v>
      </c>
      <c r="D14" s="229" t="s">
        <v>43</v>
      </c>
      <c r="E14" s="249"/>
      <c r="F14" s="249"/>
      <c r="G14" s="250"/>
      <c r="H14" s="17"/>
    </row>
    <row r="15" spans="1:8" ht="52.5" customHeight="1">
      <c r="A15" s="25"/>
      <c r="B15" s="26">
        <v>12</v>
      </c>
      <c r="C15" s="27" t="s">
        <v>11</v>
      </c>
      <c r="D15" s="229" t="s">
        <v>44</v>
      </c>
      <c r="E15" s="249"/>
      <c r="F15" s="249"/>
      <c r="G15" s="250"/>
      <c r="H15" s="17"/>
    </row>
    <row r="16" spans="1:8" ht="52.5" customHeight="1">
      <c r="A16" s="25"/>
      <c r="B16" s="26">
        <v>13</v>
      </c>
      <c r="C16" s="27" t="s">
        <v>12</v>
      </c>
      <c r="D16" s="229" t="s">
        <v>45</v>
      </c>
      <c r="E16" s="249"/>
      <c r="F16" s="249"/>
      <c r="G16" s="250"/>
      <c r="H16" s="17"/>
    </row>
    <row r="17" spans="1:8" ht="52.5" customHeight="1">
      <c r="A17" s="25"/>
      <c r="B17" s="26">
        <v>14</v>
      </c>
      <c r="C17" s="27" t="s">
        <v>13</v>
      </c>
      <c r="D17" s="229" t="s">
        <v>46</v>
      </c>
      <c r="E17" s="249"/>
      <c r="F17" s="249"/>
      <c r="G17" s="250"/>
      <c r="H17" s="17"/>
    </row>
    <row r="18" spans="1:8" ht="52.5" customHeight="1">
      <c r="A18" s="25"/>
      <c r="B18" s="26">
        <v>15</v>
      </c>
      <c r="C18" s="27" t="s">
        <v>14</v>
      </c>
      <c r="D18" s="229" t="s">
        <v>47</v>
      </c>
      <c r="E18" s="249"/>
      <c r="F18" s="249"/>
      <c r="G18" s="250"/>
      <c r="H18" s="17"/>
    </row>
    <row r="19" spans="1:8" ht="52.5" customHeight="1">
      <c r="A19" s="25"/>
      <c r="B19" s="26">
        <v>16</v>
      </c>
      <c r="C19" s="27" t="s">
        <v>15</v>
      </c>
      <c r="D19" s="229" t="s">
        <v>48</v>
      </c>
      <c r="E19" s="249"/>
      <c r="F19" s="249"/>
      <c r="G19" s="250"/>
      <c r="H19" s="17"/>
    </row>
    <row r="20" spans="1:8" ht="52.5" customHeight="1">
      <c r="A20" s="25"/>
      <c r="B20" s="26">
        <v>17</v>
      </c>
      <c r="C20" s="27" t="s">
        <v>16</v>
      </c>
      <c r="D20" s="229" t="s">
        <v>49</v>
      </c>
      <c r="E20" s="249"/>
      <c r="F20" s="249"/>
      <c r="G20" s="250"/>
      <c r="H20" s="17"/>
    </row>
    <row r="21" spans="1:8" ht="52.5" customHeight="1">
      <c r="A21" s="25"/>
      <c r="B21" s="26">
        <v>18</v>
      </c>
      <c r="C21" s="27" t="s">
        <v>17</v>
      </c>
      <c r="D21" s="229" t="s">
        <v>50</v>
      </c>
      <c r="E21" s="249"/>
      <c r="F21" s="249"/>
      <c r="G21" s="250"/>
      <c r="H21" s="17"/>
    </row>
    <row r="22" spans="1:8" ht="52.5" customHeight="1">
      <c r="A22" s="25"/>
      <c r="B22" s="26">
        <v>19</v>
      </c>
      <c r="C22" s="27" t="s">
        <v>18</v>
      </c>
      <c r="D22" s="229" t="s">
        <v>51</v>
      </c>
      <c r="E22" s="249"/>
      <c r="F22" s="249"/>
      <c r="G22" s="250"/>
      <c r="H22" s="17"/>
    </row>
    <row r="23" spans="1:8" ht="52.5" customHeight="1">
      <c r="A23" s="25"/>
      <c r="B23" s="26">
        <v>20</v>
      </c>
      <c r="C23" s="27" t="s">
        <v>19</v>
      </c>
      <c r="D23" s="229" t="s">
        <v>52</v>
      </c>
      <c r="E23" s="249"/>
      <c r="F23" s="249"/>
      <c r="G23" s="250"/>
      <c r="H23" s="17"/>
    </row>
    <row r="24" spans="1:8" ht="52.5" customHeight="1">
      <c r="A24" s="25"/>
      <c r="B24" s="26">
        <v>21</v>
      </c>
      <c r="C24" s="27" t="s">
        <v>20</v>
      </c>
      <c r="D24" s="229" t="s">
        <v>53</v>
      </c>
      <c r="E24" s="249"/>
      <c r="F24" s="249"/>
      <c r="G24" s="250"/>
      <c r="H24" s="17"/>
    </row>
    <row r="25" spans="1:8" ht="52.5" customHeight="1">
      <c r="A25" s="25"/>
      <c r="B25" s="26">
        <v>22</v>
      </c>
      <c r="C25" s="27" t="s">
        <v>21</v>
      </c>
      <c r="D25" s="229" t="s">
        <v>54</v>
      </c>
      <c r="E25" s="249"/>
      <c r="F25" s="249"/>
      <c r="G25" s="250"/>
      <c r="H25" s="17"/>
    </row>
    <row r="26" spans="1:8" ht="52.5" customHeight="1">
      <c r="A26" s="25"/>
      <c r="B26" s="26">
        <v>23</v>
      </c>
      <c r="C26" s="27" t="s">
        <v>22</v>
      </c>
      <c r="D26" s="229" t="s">
        <v>55</v>
      </c>
      <c r="E26" s="249"/>
      <c r="F26" s="249"/>
      <c r="G26" s="250"/>
      <c r="H26" s="17"/>
    </row>
    <row r="27" spans="1:8" ht="52.5" customHeight="1">
      <c r="A27" s="25"/>
      <c r="B27" s="26">
        <v>24</v>
      </c>
      <c r="C27" s="27" t="s">
        <v>23</v>
      </c>
      <c r="D27" s="229" t="s">
        <v>56</v>
      </c>
      <c r="E27" s="249"/>
      <c r="F27" s="249"/>
      <c r="G27" s="250"/>
      <c r="H27" s="17"/>
    </row>
    <row r="28" spans="1:8" ht="52.5" customHeight="1">
      <c r="A28" s="28"/>
      <c r="B28" s="26">
        <v>25</v>
      </c>
      <c r="C28" s="27" t="s">
        <v>24</v>
      </c>
      <c r="D28" s="229" t="s">
        <v>57</v>
      </c>
      <c r="E28" s="249"/>
      <c r="F28" s="249"/>
      <c r="G28" s="250"/>
      <c r="H28" s="17"/>
    </row>
    <row r="29" spans="1:8" ht="52.5" customHeight="1">
      <c r="A29" s="17"/>
      <c r="B29" s="26">
        <v>26</v>
      </c>
      <c r="C29" s="27" t="s">
        <v>25</v>
      </c>
      <c r="D29" s="229" t="s">
        <v>58</v>
      </c>
      <c r="E29" s="249"/>
      <c r="F29" s="249"/>
      <c r="G29" s="250"/>
      <c r="H29" s="17"/>
    </row>
    <row r="30" spans="1:8" ht="16">
      <c r="A30" s="22"/>
      <c r="D30" s="251"/>
      <c r="E30" s="251"/>
      <c r="F30" s="251"/>
      <c r="G30" s="251"/>
      <c r="H30" s="22"/>
    </row>
  </sheetData>
  <mergeCells count="29">
    <mergeCell ref="D28:G28"/>
    <mergeCell ref="D29:G29"/>
    <mergeCell ref="D15:G15"/>
    <mergeCell ref="D16:G16"/>
    <mergeCell ref="D17:G17"/>
    <mergeCell ref="D18:G18"/>
    <mergeCell ref="D19:G19"/>
    <mergeCell ref="D20:G20"/>
    <mergeCell ref="D21:G21"/>
    <mergeCell ref="D23:G23"/>
    <mergeCell ref="D24:G24"/>
    <mergeCell ref="D25:G25"/>
    <mergeCell ref="D26:G26"/>
    <mergeCell ref="D27:G27"/>
    <mergeCell ref="D11:G11"/>
    <mergeCell ref="D12:G12"/>
    <mergeCell ref="D13:G13"/>
    <mergeCell ref="D14:G14"/>
    <mergeCell ref="D22:G22"/>
    <mergeCell ref="D6:G6"/>
    <mergeCell ref="D7:G7"/>
    <mergeCell ref="D8:G8"/>
    <mergeCell ref="D9:G9"/>
    <mergeCell ref="D10:G10"/>
    <mergeCell ref="B1:E1"/>
    <mergeCell ref="F1:G1"/>
    <mergeCell ref="D2:G2"/>
    <mergeCell ref="D4:G4"/>
    <mergeCell ref="D5:G5"/>
  </mergeCells>
  <hyperlinks>
    <hyperlink ref="C4" location="'Accountability and Results-Orie'!B2:E2" display="Accountability and Results-Oriented" xr:uid="{00000000-0004-0000-0200-000000000000}"/>
    <hyperlink ref="C5" location="Adaptability!B2:E2" display="Adaptability" xr:uid="{00000000-0004-0000-0200-000001000000}"/>
    <hyperlink ref="C6" location="'Building and Managing Effective'!B2:E2" display="Building and Managing Effective Teams" xr:uid="{00000000-0004-0000-0200-000002000000}"/>
    <hyperlink ref="C7" location="'Building Trust and Collaboratin'!B2:E2" display="Building Trust and Collaborating with Others" xr:uid="{00000000-0004-0000-0200-000003000000}"/>
    <hyperlink ref="C8" location="'Communication and Interpersonal'!B2:E2" display="Communication and Interpersonal Influence" xr:uid="{00000000-0004-0000-0200-000004000000}"/>
    <hyperlink ref="C9" location="'Conflict Management and Conflic'!B1:E1" display="Conflict Management and Conflict Resolution" xr:uid="{00000000-0004-0000-0200-000005000000}"/>
    <hyperlink ref="C10" location="'Content Marketing, Digital Mark'!B2:E2" display="Content Marketing, Digital Marketing, and Marketing Strategies" xr:uid="{00000000-0004-0000-0200-000006000000}"/>
    <hyperlink ref="C11" location="'Creative Thinking and Innovatio'!B2:E2" display="Creative Thinking and Innovation" xr:uid="{00000000-0004-0000-0200-000007000000}"/>
    <hyperlink ref="C12" location="'Critical Thinking, Decision Mak'!B2:E2" display="Critical Thinking, Decision Making, and Problem Solving" xr:uid="{00000000-0004-0000-0200-000008000000}"/>
    <hyperlink ref="C13" location="'Customer Focus'!B2:E2" display="Customer Focus" xr:uid="{00000000-0004-0000-0200-000009000000}"/>
    <hyperlink ref="C14" location="'Data Analysis'!B2:E2" display="Data Analysis" xr:uid="{00000000-0004-0000-0200-00000A000000}"/>
    <hyperlink ref="C15" location="'Financial and Accounting Knowle'!B2:E2" display="Financial and Accounting Knowledge" xr:uid="{00000000-0004-0000-0200-00000B000000}"/>
    <hyperlink ref="C16" location="'Human Resources Knowledge and H'!B2:E2" display="Human Resources Knowledge and HR Management" xr:uid="{00000000-0004-0000-0200-00000C000000}"/>
    <hyperlink ref="C17" location="'Leading Change'!B2:E2" display="Leading Change" xr:uid="{00000000-0004-0000-0200-00000D000000}"/>
    <hyperlink ref="C18" location="'Leading Others Effectively and '!B2:E2" display="Leading Others Effectively and Transformational Leadership" xr:uid="{00000000-0004-0000-0200-00000E000000}"/>
    <hyperlink ref="C19" location="'Managing Others Effectively'!B2:E2" display="Managing Others Effectively" xr:uid="{00000000-0004-0000-0200-00000F000000}"/>
    <hyperlink ref="C20" location="'Operational Excellence and Proc'!B2:E2" display="Operational Excellence and Process Improvement" xr:uid="{00000000-0004-0000-0200-000010000000}"/>
    <hyperlink ref="C21" location="'Presentation Skills'!B2:E2" display="Presentation Skills" xr:uid="{00000000-0004-0000-0200-000011000000}"/>
    <hyperlink ref="C22" location="'Project Management'!A1" display="Project Management" xr:uid="{00000000-0004-0000-0200-000012000000}"/>
    <hyperlink ref="C23" location="'Sales Knowledge and Sales Skill'!B2:E2" display="Sales Knowledge and Sales Skills" xr:uid="{00000000-0004-0000-0200-000013000000}"/>
    <hyperlink ref="C24" location="'Strategic Planning and Strategi'!B2:E2" display="Strategic Planning and Strategic Thinking" xr:uid="{00000000-0004-0000-0200-000014000000}"/>
    <hyperlink ref="C25" location="'Talent Development'!B2:E2" display="Talent Development" xr:uid="{00000000-0004-0000-0200-000015000000}"/>
    <hyperlink ref="C26" location="'Talent Management'!B2:E2" display="Talent Management" xr:uid="{00000000-0004-0000-0200-000016000000}"/>
    <hyperlink ref="C27" location="'Values Diversity, Inclusion, an'!B2:E2" display="Values Diversity, Inclusion, and Belonging" xr:uid="{00000000-0004-0000-0200-000017000000}"/>
    <hyperlink ref="C28" location="'Writing Skills and Writing Prof'!B2:E2" display="Writing Skills and Writing Proficiency" xr:uid="{00000000-0004-0000-0200-000018000000}"/>
    <hyperlink ref="C29" location="'Self-care, Well-being, Mindfuln'!B1:E1" display="Self-care, Well-being, Mindfulness" xr:uid="{00000000-0004-0000-0200-000019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351C75"/>
    <outlinePr summaryBelow="0" summaryRight="0"/>
  </sheetPr>
  <dimension ref="A1:AJ99"/>
  <sheetViews>
    <sheetView showGridLines="0" workbookViewId="0">
      <pane ySplit="3" topLeftCell="A4" activePane="bottomLeft" state="frozen"/>
      <selection pane="bottomLeft" sqref="A1:XFD1048576"/>
    </sheetView>
  </sheetViews>
  <sheetFormatPr baseColWidth="10" defaultColWidth="11.1640625" defaultRowHeight="15" customHeight="1"/>
  <cols>
    <col min="1" max="1" width="1.1640625" customWidth="1"/>
    <col min="2" max="2" width="11.1640625" customWidth="1"/>
    <col min="3" max="3" width="18.5" customWidth="1"/>
    <col min="4" max="5" width="44.5" customWidth="1"/>
    <col min="6" max="6" width="1.1640625" customWidth="1"/>
    <col min="7" max="7" width="11.1640625" customWidth="1"/>
    <col min="8" max="8" width="19.33203125" customWidth="1"/>
    <col min="9" max="10" width="44.5" customWidth="1"/>
    <col min="11" max="11" width="1.1640625" customWidth="1"/>
    <col min="12" max="12" width="11.1640625" customWidth="1"/>
    <col min="13" max="13" width="20.83203125" customWidth="1"/>
    <col min="14" max="15" width="44.5" customWidth="1"/>
    <col min="16" max="16" width="1.1640625" customWidth="1"/>
    <col min="17" max="17" width="11.1640625" customWidth="1"/>
    <col min="18" max="18" width="19.6640625" customWidth="1"/>
    <col min="19" max="20" width="44.5" customWidth="1"/>
    <col min="21" max="21" width="1.1640625" customWidth="1"/>
    <col min="23" max="23" width="18.6640625" customWidth="1"/>
    <col min="24" max="25" width="44.5" customWidth="1"/>
    <col min="26" max="26" width="1.1640625" customWidth="1"/>
    <col min="27" max="27" width="11.1640625" customWidth="1"/>
    <col min="28" max="28" width="26.6640625" customWidth="1"/>
    <col min="29" max="30" width="44.5" customWidth="1"/>
    <col min="31" max="31" width="1.1640625" customWidth="1"/>
    <col min="32" max="32" width="11.1640625" customWidth="1"/>
    <col min="33" max="33" width="21" customWidth="1"/>
    <col min="34" max="35" width="44.5" customWidth="1"/>
    <col min="36" max="36" width="1.1640625" customWidth="1"/>
  </cols>
  <sheetData>
    <row r="1" spans="1:36" ht="34.5" customHeight="1">
      <c r="A1" s="208"/>
      <c r="B1" s="230" t="s">
        <v>10</v>
      </c>
      <c r="C1" s="222"/>
      <c r="D1" s="222"/>
      <c r="E1" s="222"/>
      <c r="F1" s="208"/>
      <c r="G1" s="230" t="str">
        <f ca="1">IFERROR(__xludf.DUMMYFUNCTION("IFERROR(UNIQUE(FILTER(French!B:B,French!A:A=B1)))"),"Analyse de données")</f>
        <v>Analyse de données</v>
      </c>
      <c r="H1" s="222"/>
      <c r="I1" s="222"/>
      <c r="J1" s="222"/>
      <c r="K1" s="208"/>
      <c r="L1" s="230" t="str">
        <f ca="1">IFERROR(__xludf.DUMMYFUNCTION("IFERROR((UNIQUE(FILTER(Spanish!B:B,Spanish!A:A=B1))))"),"Análisis de datos")</f>
        <v>Análisis de datos</v>
      </c>
      <c r="M1" s="222"/>
      <c r="N1" s="222"/>
      <c r="O1" s="222"/>
      <c r="P1" s="208"/>
      <c r="Q1" s="230" t="str">
        <f ca="1">IFERROR(__xludf.DUMMYFUNCTION("IFERROR(UNIQUE(FILTER(German!B:B,German!A:A=B1)))"),"Datenanalyse")</f>
        <v>Datenanalyse</v>
      </c>
      <c r="R1" s="222"/>
      <c r="S1" s="222"/>
      <c r="T1" s="222"/>
      <c r="U1" s="208"/>
      <c r="V1" s="230" t="str">
        <f ca="1">IFERROR(__xludf.DUMMYFUNCTION("IFERROR(UNIQUE(FILTER(Japanese!B:B,Japanese!A:A=B1)))"),"データ分析")</f>
        <v>データ分析</v>
      </c>
      <c r="W1" s="222"/>
      <c r="X1" s="222"/>
      <c r="Y1" s="222"/>
      <c r="Z1" s="208"/>
      <c r="AA1" s="230" t="str">
        <f ca="1">IFERROR(__xludf.DUMMYFUNCTION("IFERROR(UNIQUE(FILTER(Portuguese!B:B,Portuguese!A:A=B1)))"),"Análise de dados")</f>
        <v>Análise de dados</v>
      </c>
      <c r="AB1" s="222"/>
      <c r="AC1" s="222"/>
      <c r="AD1" s="222"/>
      <c r="AE1" s="208"/>
      <c r="AF1" s="230" t="str">
        <f ca="1">IFERROR(__xludf.DUMMYFUNCTION("IFERROR(UNIQUE(FILTER(Mandarin!B:B,Mandarin!A:A=B1)))"),"数据分析")</f>
        <v>数据分析</v>
      </c>
      <c r="AG1" s="222"/>
      <c r="AH1" s="222"/>
      <c r="AI1" s="222"/>
      <c r="AJ1" s="208"/>
    </row>
    <row r="2" spans="1:36" ht="28" customHeight="1">
      <c r="A2" s="209"/>
      <c r="B2" s="234" t="s">
        <v>4713</v>
      </c>
      <c r="C2" s="222"/>
      <c r="D2" s="222"/>
      <c r="E2" s="222"/>
      <c r="F2" s="209"/>
      <c r="G2" s="231" t="s">
        <v>4714</v>
      </c>
      <c r="H2" s="222"/>
      <c r="I2" s="222"/>
      <c r="J2" s="222"/>
      <c r="K2" s="209"/>
      <c r="L2" s="235" t="s">
        <v>4715</v>
      </c>
      <c r="M2" s="222"/>
      <c r="N2" s="222"/>
      <c r="O2" s="222"/>
      <c r="P2" s="209"/>
      <c r="Q2" s="232" t="s">
        <v>4716</v>
      </c>
      <c r="R2" s="222"/>
      <c r="S2" s="222"/>
      <c r="T2" s="222"/>
      <c r="U2" s="209"/>
      <c r="V2" s="236" t="s">
        <v>4717</v>
      </c>
      <c r="W2" s="222"/>
      <c r="X2" s="222"/>
      <c r="Y2" s="222"/>
      <c r="Z2" s="209"/>
      <c r="AA2" s="233" t="s">
        <v>4718</v>
      </c>
      <c r="AB2" s="222"/>
      <c r="AC2" s="222"/>
      <c r="AD2" s="222"/>
      <c r="AE2" s="209"/>
      <c r="AF2" s="237" t="s">
        <v>4719</v>
      </c>
      <c r="AG2" s="222"/>
      <c r="AH2" s="222"/>
      <c r="AI2" s="222"/>
      <c r="AJ2" s="209"/>
    </row>
    <row r="3" spans="1:36" ht="26" customHeight="1">
      <c r="A3" s="210"/>
      <c r="B3" s="211" t="str">
        <f ca="1">IFERROR(__xludf.DUMMYFUNCTION("FILTER(English!B:B,English!A:A=B1)"),"Course IDs")</f>
        <v>Course IDs</v>
      </c>
      <c r="C3" s="211" t="str">
        <f ca="1">IFERROR(__xludf.DUMMYFUNCTION("FILTER(English!C:C,English!A:A=B1)"),"Levels")</f>
        <v>Levels</v>
      </c>
      <c r="D3" s="211" t="str">
        <f ca="1">IFERROR(__xludf.DUMMYFUNCTION("FILTER(English!D:D,English!A:A=B1)"),"Courses")</f>
        <v>Courses</v>
      </c>
      <c r="E3" s="212" t="str">
        <f ca="1">IFERROR(__xludf.DUMMYFUNCTION("FILTER(English!E:E,English!A:A=B1)"),"Learning Paths")</f>
        <v>Learning Paths</v>
      </c>
      <c r="F3" s="210"/>
      <c r="G3" s="211" t="str">
        <f ca="1">IFERROR(__xludf.DUMMYFUNCTION("FILTER(French!C:C,French!B:B=G1)"),"Course IDs")</f>
        <v>Course IDs</v>
      </c>
      <c r="H3" s="211" t="str">
        <f ca="1">IFERROR(__xludf.DUMMYFUNCTION("FILTER(French!D:D,French!B:B=G1)"),"Levels")</f>
        <v>Levels</v>
      </c>
      <c r="I3" s="211" t="str">
        <f ca="1">IFERROR(__xludf.DUMMYFUNCTION("FILTER(French!E:E,French!B:B=G1)"),"Courses")</f>
        <v>Courses</v>
      </c>
      <c r="J3" s="212" t="str">
        <f ca="1">IFERROR(__xludf.DUMMYFUNCTION("FILTER(French!G:G,French!B:B=G1)"),"Learning Paths")</f>
        <v>Learning Paths</v>
      </c>
      <c r="K3" s="210"/>
      <c r="L3" s="211" t="str">
        <f ca="1">IFERROR(__xludf.DUMMYFUNCTION("FILTER(Spanish!C:C,Spanish!B:B=L1)"),"Course IDs")</f>
        <v>Course IDs</v>
      </c>
      <c r="M3" s="211" t="str">
        <f ca="1">IFERROR(__xludf.DUMMYFUNCTION("FILTER(Spanish!D:D,Spanish!B:B=L1)"),"Levels")</f>
        <v>Levels</v>
      </c>
      <c r="N3" s="211" t="str">
        <f ca="1">IFERROR(__xludf.DUMMYFUNCTION("FILTER(Spanish!E:E,Spanish!B:B=L1)"),"Courses")</f>
        <v>Courses</v>
      </c>
      <c r="O3" s="212" t="str">
        <f ca="1">IFERROR(__xludf.DUMMYFUNCTION("FILTER(Spanish!G:G,Spanish!B:B=L1)"),"Learning Paths")</f>
        <v>Learning Paths</v>
      </c>
      <c r="P3" s="210"/>
      <c r="Q3" s="211" t="str">
        <f ca="1">IFERROR(__xludf.DUMMYFUNCTION("FILTER(German!C:C,German!B:B=Q1)"),"Course IDs")</f>
        <v>Course IDs</v>
      </c>
      <c r="R3" s="211" t="str">
        <f ca="1">IFERROR(__xludf.DUMMYFUNCTION("FILTER(German!D:D,German!B:B=Q1)"),"Levels")</f>
        <v>Levels</v>
      </c>
      <c r="S3" s="211" t="str">
        <f ca="1">IFERROR(__xludf.DUMMYFUNCTION("FILTER(German!E:E,German!B:B=Q1)"),"Courses")</f>
        <v>Courses</v>
      </c>
      <c r="T3" s="212" t="str">
        <f ca="1">IFERROR(__xludf.DUMMYFUNCTION("FILTER(German!G:G,German!B:B=Q1)"),"Learning Paths")</f>
        <v>Learning Paths</v>
      </c>
      <c r="U3" s="210"/>
      <c r="V3" s="211" t="str">
        <f ca="1">IFERROR(__xludf.DUMMYFUNCTION("FILTER(Japanese!C:C,Japanese!B:B=V1)"),"Course IDs")</f>
        <v>Course IDs</v>
      </c>
      <c r="W3" s="211" t="str">
        <f ca="1">IFERROR(__xludf.DUMMYFUNCTION("FILTER(Japanese!D:D,Japanese!B:B=V1)"),"Levels")</f>
        <v>Levels</v>
      </c>
      <c r="X3" s="211" t="str">
        <f ca="1">IFERROR(__xludf.DUMMYFUNCTION("FILTER(Japanese!E:E,Japanese!B:B=V1)"),"Courses")</f>
        <v>Courses</v>
      </c>
      <c r="Y3" s="212" t="str">
        <f ca="1">IFERROR(__xludf.DUMMYFUNCTION("FILTER(Japanese!G:G,Japanese!B:B=V1)"),"Learning Paths")</f>
        <v>Learning Paths</v>
      </c>
      <c r="Z3" s="210"/>
      <c r="AA3" s="211" t="str">
        <f ca="1">IFERROR(__xludf.DUMMYFUNCTION("FILTER(Portuguese!C:C,Portuguese!B:B=AA1)"),"Course IDs")</f>
        <v>Course IDs</v>
      </c>
      <c r="AB3" s="211" t="str">
        <f ca="1">IFERROR(__xludf.DUMMYFUNCTION("FILTER(Portuguese!D:D,Portuguese!B:B=AA1)"),"Levels")</f>
        <v>Levels</v>
      </c>
      <c r="AC3" s="211" t="str">
        <f ca="1">IFERROR(__xludf.DUMMYFUNCTION("FILTER(Portuguese!E:E,Portuguese!B:B=AA1)"),"Courses")</f>
        <v>Courses</v>
      </c>
      <c r="AD3" s="212" t="str">
        <f ca="1">IFERROR(__xludf.DUMMYFUNCTION("FILTER(Portuguese!G:G,Portuguese!B:B=AA1)"),"Learning Paths")</f>
        <v>Learning Paths</v>
      </c>
      <c r="AE3" s="210"/>
      <c r="AF3" s="211" t="str">
        <f ca="1">IFERROR(__xludf.DUMMYFUNCTION("FILTER(Mandarin!C:C,Mandarin!B:B=AF1)"),"Course IDs")</f>
        <v>Course IDs</v>
      </c>
      <c r="AG3" s="211" t="str">
        <f ca="1">IFERROR(__xludf.DUMMYFUNCTION("FILTER(Mandarin!D:D,Mandarin!B:B=AF1)"),"Levels")</f>
        <v>Levels</v>
      </c>
      <c r="AH3" s="211" t="str">
        <f ca="1">IFERROR(__xludf.DUMMYFUNCTION("FILTER(Mandarin!E:E,Mandarin!B:B=AF1)"),"Courses")</f>
        <v>Courses</v>
      </c>
      <c r="AI3" s="212" t="str">
        <f ca="1">IFERROR(__xludf.DUMMYFUNCTION("FILTER(Mandarin!G:G,Mandarin!B:B=AF1)"),"Learning Paths")</f>
        <v>Learning Paths</v>
      </c>
      <c r="AJ3" s="210"/>
    </row>
    <row r="4" spans="1:36" ht="33.75" customHeight="1">
      <c r="A4" s="213"/>
      <c r="B4" s="214">
        <f ca="1">IFERROR(__xludf.DUMMYFUNCTION("""COMPUTED_VALUE"""),2895588)</f>
        <v>2895588</v>
      </c>
      <c r="C4" s="215" t="str">
        <f ca="1">IFERROR(__xludf.DUMMYFUNCTION("""COMPUTED_VALUE"""),"Advanced")</f>
        <v>Advanced</v>
      </c>
      <c r="D4" s="216" t="str">
        <f ca="1">IFERROR(__xludf.DUMMYFUNCTION("""COMPUTED_VALUE"""),"Data Strategy")</f>
        <v>Data Strategy</v>
      </c>
      <c r="E4" s="217" t="str">
        <f ca="1">IFERROR(__xludf.DUMMYFUNCTION("""COMPUTED_VALUE"""),"Advance Your Data Science Skills in Health Sciences")</f>
        <v>Advance Your Data Science Skills in Health Sciences</v>
      </c>
      <c r="F4" s="213"/>
      <c r="G4" s="214">
        <f ca="1">IFERROR(__xludf.DUMMYFUNCTION("""COMPUTED_VALUE"""),2835094)</f>
        <v>2835094</v>
      </c>
      <c r="H4" s="215" t="str">
        <f ca="1">IFERROR(__xludf.DUMMYFUNCTION("""COMPUTED_VALUE"""),"Intermediate")</f>
        <v>Intermediate</v>
      </c>
      <c r="I4" s="217" t="str">
        <f ca="1">IFERROR(__xludf.DUMMYFUNCTION("""COMPUTED_VALUE"""),"Découvrir Google BigQuery")</f>
        <v>Découvrir Google BigQuery</v>
      </c>
      <c r="J4" s="217" t="str">
        <f ca="1">IFERROR(__xludf.DUMMYFUNCTION("""COMPUTED_VALUE"""),"Devenir un analyste de données")</f>
        <v>Devenir un analyste de données</v>
      </c>
      <c r="K4" s="213"/>
      <c r="L4" s="215">
        <f ca="1">IFERROR(__xludf.DUMMYFUNCTION("""COMPUTED_VALUE"""),593070)</f>
        <v>593070</v>
      </c>
      <c r="M4" s="215" t="str">
        <f ca="1">IFERROR(__xludf.DUMMYFUNCTION("""COMPUTED_VALUE"""),"Advanced")</f>
        <v>Advanced</v>
      </c>
      <c r="N4" s="217" t="str">
        <f ca="1">IFERROR(__xludf.DUMMYFUNCTION("""COMPUTED_VALUE"""),"Access avanzado: VBA para acceso a datos")</f>
        <v>Access avanzado: VBA para acceso a datos</v>
      </c>
      <c r="O4" s="217" t="str">
        <f ca="1">IFERROR(__xludf.DUMMYFUNCTION("""COMPUTED_VALUE"""),"Conviértete en experto en Excel 216")</f>
        <v>Conviértete en experto en Excel 216</v>
      </c>
      <c r="P4" s="213"/>
      <c r="Q4" s="215">
        <f ca="1">IFERROR(__xludf.DUMMYFUNCTION("""COMPUTED_VALUE"""),3165139)</f>
        <v>3165139</v>
      </c>
      <c r="R4" s="215" t="str">
        <f ca="1">IFERROR(__xludf.DUMMYFUNCTION("""COMPUTED_VALUE"""),"Intermediate")</f>
        <v>Intermediate</v>
      </c>
      <c r="S4" s="217" t="str">
        <f ca="1">IFERROR(__xludf.DUMMYFUNCTION("""COMPUTED_VALUE"""),"Apache Kafka: erweiterte Konzepte lernen")</f>
        <v>Apache Kafka: erweiterte Konzepte lernen</v>
      </c>
      <c r="T4" s="217" t="str">
        <f ca="1">IFERROR(__xludf.DUMMYFUNCTION("""COMPUTED_VALUE"""),"Excel-Expert:in werden")</f>
        <v>Excel-Expert:in werden</v>
      </c>
      <c r="U4" s="213"/>
      <c r="V4" s="215">
        <f ca="1">IFERROR(__xludf.DUMMYFUNCTION("""COMPUTED_VALUE"""),790312)</f>
        <v>790312</v>
      </c>
      <c r="W4" s="215" t="str">
        <f ca="1">IFERROR(__xludf.DUMMYFUNCTION("""COMPUTED_VALUE"""),"Beginner, Intermediate")</f>
        <v>Beginner, Intermediate</v>
      </c>
      <c r="X4" s="217" t="str">
        <f ca="1">IFERROR(__xludf.DUMMYFUNCTION("""COMPUTED_VALUE"""),"Excel 2016：データ分析")</f>
        <v>Excel 2016：データ分析</v>
      </c>
      <c r="Y4" s="217" t="str">
        <f ca="1">IFERROR(__xludf.DUMMYFUNCTION("""COMPUTED_VALUE"""),"N/A")</f>
        <v>N/A</v>
      </c>
      <c r="Z4" s="213"/>
      <c r="AA4" s="215">
        <f ca="1">IFERROR(__xludf.DUMMYFUNCTION("""COMPUTED_VALUE"""),2929554)</f>
        <v>2929554</v>
      </c>
      <c r="AB4" s="215" t="str">
        <f ca="1">IFERROR(__xludf.DUMMYFUNCTION("""COMPUTED_VALUE"""),"Intermediate")</f>
        <v>Intermediate</v>
      </c>
      <c r="AC4" s="217" t="str">
        <f ca="1">IFERROR(__xludf.DUMMYFUNCTION("""COMPUTED_VALUE"""),"A visualização de Dados para Contar Histórias")</f>
        <v>A visualização de Dados para Contar Histórias</v>
      </c>
      <c r="AD4" s="217" t="str">
        <f ca="1">IFERROR(__xludf.DUMMYFUNCTION("""COMPUTED_VALUE"""),"Torne-se um Cientista de Dados")</f>
        <v>Torne-se um Cientista de Dados</v>
      </c>
      <c r="AE4" s="213"/>
      <c r="AF4" s="215">
        <f ca="1">IFERROR(__xludf.DUMMYFUNCTION("""COMPUTED_VALUE"""),3161263)</f>
        <v>3161263</v>
      </c>
      <c r="AG4" s="215" t="str">
        <f ca="1">IFERROR(__xludf.DUMMYFUNCTION("""COMPUTED_VALUE"""),"Beginner")</f>
        <v>Beginner</v>
      </c>
      <c r="AH4" s="217" t="str">
        <f ca="1">IFERROR(__xludf.DUMMYFUNCTION("""COMPUTED_VALUE"""),"AI 时代的大数据")</f>
        <v>AI 时代的大数据</v>
      </c>
      <c r="AI4" s="217" t="str">
        <f ca="1">IFERROR(__xludf.DUMMYFUNCTION("""COMPUTED_VALUE"""),"成为数据科学家")</f>
        <v>成为数据科学家</v>
      </c>
      <c r="AJ4" s="213"/>
    </row>
    <row r="5" spans="1:36" ht="30">
      <c r="A5" s="213"/>
      <c r="B5" s="214">
        <f ca="1">IFERROR(__xludf.DUMMYFUNCTION("""COMPUTED_VALUE"""),740417)</f>
        <v>740417</v>
      </c>
      <c r="C5" s="215" t="str">
        <f ca="1">IFERROR(__xludf.DUMMYFUNCTION("""COMPUTED_VALUE"""),"Beginner")</f>
        <v>Beginner</v>
      </c>
      <c r="D5" s="216" t="str">
        <f ca="1">IFERROR(__xludf.DUMMYFUNCTION("""COMPUTED_VALUE"""),"CMO Foundations: Measuring Marketing Effectiveness (ROI)")</f>
        <v>CMO Foundations: Measuring Marketing Effectiveness (ROI)</v>
      </c>
      <c r="E5" s="217" t="str">
        <f ca="1">IFERROR(__xludf.DUMMYFUNCTION("""COMPUTED_VALUE"""),"Advance Your Skills in Predictive Analytics")</f>
        <v>Advance Your Skills in Predictive Analytics</v>
      </c>
      <c r="F5" s="213"/>
      <c r="G5" s="214">
        <f ca="1">IFERROR(__xludf.DUMMYFUNCTION("""COMPUTED_VALUE"""),193518)</f>
        <v>193518</v>
      </c>
      <c r="H5" s="215" t="str">
        <f ca="1">IFERROR(__xludf.DUMMYFUNCTION("""COMPUTED_VALUE"""),"Beginner")</f>
        <v>Beginner</v>
      </c>
      <c r="I5" s="217" t="str">
        <f ca="1">IFERROR(__xludf.DUMMYFUNCTION("""COMPUTED_VALUE"""),"Découvrir IBM SPSS Statistics 2014")</f>
        <v>Découvrir IBM SPSS Statistics 2014</v>
      </c>
      <c r="J5" s="217" t="str">
        <f ca="1">IFERROR(__xludf.DUMMYFUNCTION("""COMPUTED_VALUE"""),"Devenir un data scientist")</f>
        <v>Devenir un data scientist</v>
      </c>
      <c r="K5" s="213"/>
      <c r="L5" s="215">
        <f ca="1">IFERROR(__xludf.DUMMYFUNCTION("""COMPUTED_VALUE"""),793655)</f>
        <v>793655</v>
      </c>
      <c r="M5" s="215" t="str">
        <f ca="1">IFERROR(__xludf.DUMMYFUNCTION("""COMPUTED_VALUE"""),"Beginner")</f>
        <v>Beginner</v>
      </c>
      <c r="N5" s="217" t="str">
        <f ca="1">IFERROR(__xludf.DUMMYFUNCTION("""COMPUTED_VALUE"""),"Aprende análisis de datos")</f>
        <v>Aprende análisis de datos</v>
      </c>
      <c r="O5" s="217" t="str">
        <f ca="1">IFERROR(__xludf.DUMMYFUNCTION("""COMPUTED_VALUE"""),"Domina Excel 216")</f>
        <v>Domina Excel 216</v>
      </c>
      <c r="P5" s="213"/>
      <c r="Q5" s="215">
        <f ca="1">IFERROR(__xludf.DUMMYFUNCTION("""COMPUTED_VALUE"""),2872000)</f>
        <v>2872000</v>
      </c>
      <c r="R5" s="215" t="str">
        <f ca="1">IFERROR(__xludf.DUMMYFUNCTION("""COMPUTED_VALUE"""),"Beginner")</f>
        <v>Beginner</v>
      </c>
      <c r="S5" s="217" t="str">
        <f ca="1">IFERROR(__xludf.DUMMYFUNCTION("""COMPUTED_VALUE"""),"Big-Data-Grundlagen: Methoden und Konzepte im Zeitalter von KI")</f>
        <v>Big-Data-Grundlagen: Methoden und Konzepte im Zeitalter von KI</v>
      </c>
      <c r="T5" s="217" t="str">
        <f ca="1">IFERROR(__xludf.DUMMYFUNCTION("""COMPUTED_VALUE"""),"Mit Excel 216 Daten auswerten und präsentieren")</f>
        <v>Mit Excel 216 Daten auswerten und präsentieren</v>
      </c>
      <c r="U5" s="213"/>
      <c r="V5" s="215">
        <f ca="1">IFERROR(__xludf.DUMMYFUNCTION("""COMPUTED_VALUE"""),2430128)</f>
        <v>2430128</v>
      </c>
      <c r="W5" s="215" t="str">
        <f ca="1">IFERROR(__xludf.DUMMYFUNCTION("""COMPUTED_VALUE"""),"Beginner, Intermediate")</f>
        <v>Beginner, Intermediate</v>
      </c>
      <c r="X5" s="217" t="str">
        <f ca="1">IFERROR(__xludf.DUMMYFUNCTION("""COMPUTED_VALUE"""),"Excel 2021 基本講座（Office 2021/LTSC）")</f>
        <v>Excel 2021 基本講座（Office 2021/LTSC）</v>
      </c>
      <c r="Y5" s="217"/>
      <c r="Z5" s="213"/>
      <c r="AA5" s="215">
        <f ca="1">IFERROR(__xludf.DUMMYFUNCTION("""COMPUTED_VALUE"""),2415000)</f>
        <v>2415000</v>
      </c>
      <c r="AB5" s="215" t="str">
        <f ca="1">IFERROR(__xludf.DUMMYFUNCTION("""COMPUTED_VALUE"""),"Intermediate")</f>
        <v>Intermediate</v>
      </c>
      <c r="AC5" s="217" t="str">
        <f ca="1">IFERROR(__xludf.DUMMYFUNCTION("""COMPUTED_VALUE"""),"Big Data no RH: O Impacto dos Dados no Bem-Estar dos Colaboradores")</f>
        <v>Big Data no RH: O Impacto dos Dados no Bem-Estar dos Colaboradores</v>
      </c>
      <c r="AD5" s="217"/>
      <c r="AE5" s="213"/>
      <c r="AF5" s="215">
        <f ca="1">IFERROR(__xludf.DUMMYFUNCTION("""COMPUTED_VALUE"""),2820120)</f>
        <v>2820120</v>
      </c>
      <c r="AG5" s="215" t="str">
        <f ca="1">IFERROR(__xludf.DUMMYFUNCTION("""COMPUTED_VALUE"""),"Intermediate")</f>
        <v>Intermediate</v>
      </c>
      <c r="AH5" s="217" t="str">
        <f ca="1">IFERROR(__xludf.DUMMYFUNCTION("""COMPUTED_VALUE"""),"Excel 2016: 数据管理与分析")</f>
        <v>Excel 2016: 数据管理与分析</v>
      </c>
      <c r="AI5" s="217"/>
      <c r="AJ5" s="213"/>
    </row>
    <row r="6" spans="1:36" ht="30">
      <c r="A6" s="213"/>
      <c r="B6" s="214">
        <f ca="1">IFERROR(__xludf.DUMMYFUNCTION("""COMPUTED_VALUE"""),2876323)</f>
        <v>2876323</v>
      </c>
      <c r="C6" s="215" t="str">
        <f ca="1">IFERROR(__xludf.DUMMYFUNCTION("""COMPUTED_VALUE"""),"General")</f>
        <v>General</v>
      </c>
      <c r="D6" s="216" t="str">
        <f ca="1">IFERROR(__xludf.DUMMYFUNCTION("""COMPUTED_VALUE"""),"Leading Teams Working with Data: Pitfalls and Best Practices")</f>
        <v>Leading Teams Working with Data: Pitfalls and Best Practices</v>
      </c>
      <c r="E6" s="217" t="str">
        <f ca="1">IFERROR(__xludf.DUMMYFUNCTION("""COMPUTED_VALUE"""),"Become a Business Analyst")</f>
        <v>Become a Business Analyst</v>
      </c>
      <c r="F6" s="213"/>
      <c r="G6" s="214">
        <f ca="1">IFERROR(__xludf.DUMMYFUNCTION("""COMPUTED_VALUE"""),795008)</f>
        <v>795008</v>
      </c>
      <c r="H6" s="215" t="str">
        <f ca="1">IFERROR(__xludf.DUMMYFUNCTION("""COMPUTED_VALUE"""),"Beginner")</f>
        <v>Beginner</v>
      </c>
      <c r="I6" s="217" t="str">
        <f ca="1">IFERROR(__xludf.DUMMYFUNCTION("""COMPUTED_VALUE"""),"Découvrir la data science : Comprendre les bases")</f>
        <v>Découvrir la data science : Comprendre les bases</v>
      </c>
      <c r="J6" s="217" t="str">
        <f ca="1">IFERROR(__xludf.DUMMYFUNCTION("""COMPUTED_VALUE"""),"Devenir un developpeur en informatique decisionnelle")</f>
        <v>Devenir un developpeur en informatique decisionnelle</v>
      </c>
      <c r="K6" s="213"/>
      <c r="L6" s="215">
        <f ca="1">IFERROR(__xludf.DUMMYFUNCTION("""COMPUTED_VALUE"""),2923091)</f>
        <v>2923091</v>
      </c>
      <c r="M6" s="215" t="str">
        <f ca="1">IFERROR(__xludf.DUMMYFUNCTION("""COMPUTED_VALUE"""),"Intermediate")</f>
        <v>Intermediate</v>
      </c>
      <c r="N6" s="217" t="str">
        <f ca="1">IFERROR(__xludf.DUMMYFUNCTION("""COMPUTED_VALUE"""),"Aprende análisis y visualización de datos con Hojas de cálculo de Google")</f>
        <v>Aprende análisis y visualización de datos con Hojas de cálculo de Google</v>
      </c>
      <c r="O6" s="217" t="str">
        <f ca="1">IFERROR(__xludf.DUMMYFUNCTION("""COMPUTED_VALUE"""),"Crea y gestiona tablas dinámicas en Excel")</f>
        <v>Crea y gestiona tablas dinámicas en Excel</v>
      </c>
      <c r="P6" s="213"/>
      <c r="Q6" s="215">
        <f ca="1">IFERROR(__xludf.DUMMYFUNCTION("""COMPUTED_VALUE"""),2996483)</f>
        <v>2996483</v>
      </c>
      <c r="R6" s="215" t="str">
        <f ca="1">IFERROR(__xludf.DUMMYFUNCTION("""COMPUTED_VALUE"""),"Beginner, Intermediate")</f>
        <v>Beginner, Intermediate</v>
      </c>
      <c r="S6" s="217" t="str">
        <f ca="1">IFERROR(__xludf.DUMMYFUNCTION("""COMPUTED_VALUE"""),"Blockchain – Grundlagen")</f>
        <v>Blockchain – Grundlagen</v>
      </c>
      <c r="T6" s="217" t="str">
        <f ca="1">IFERROR(__xludf.DUMMYFUNCTION("""COMPUTED_VALUE"""),"Python-Entwickler:in werden")</f>
        <v>Python-Entwickler:in werden</v>
      </c>
      <c r="U6" s="213"/>
      <c r="V6" s="215">
        <f ca="1">IFERROR(__xludf.DUMMYFUNCTION("""COMPUTED_VALUE"""),2921883)</f>
        <v>2921883</v>
      </c>
      <c r="W6" s="215" t="str">
        <f ca="1">IFERROR(__xludf.DUMMYFUNCTION("""COMPUTED_VALUE"""),"Intermediate")</f>
        <v>Intermediate</v>
      </c>
      <c r="X6" s="217" t="str">
        <f ca="1">IFERROR(__xludf.DUMMYFUNCTION("""COMPUTED_VALUE"""),"Excel：データ分析（365/2019）")</f>
        <v>Excel：データ分析（365/2019）</v>
      </c>
      <c r="Y6" s="217"/>
      <c r="Z6" s="213"/>
      <c r="AA6" s="215">
        <f ca="1">IFERROR(__xludf.DUMMYFUNCTION("""COMPUTED_VALUE"""),2930673)</f>
        <v>2930673</v>
      </c>
      <c r="AB6" s="215" t="str">
        <f ca="1">IFERROR(__xludf.DUMMYFUNCTION("""COMPUTED_VALUE"""),"All levels")</f>
        <v>All levels</v>
      </c>
      <c r="AC6" s="217" t="str">
        <f ca="1">IFERROR(__xludf.DUMMYFUNCTION("""COMPUTED_VALUE"""),"Conformidade com a LGPD: O Impacto em Empresas Brasileiras")</f>
        <v>Conformidade com a LGPD: O Impacto em Empresas Brasileiras</v>
      </c>
      <c r="AD6" s="217"/>
      <c r="AE6" s="213"/>
      <c r="AF6" s="215">
        <f ca="1">IFERROR(__xludf.DUMMYFUNCTION("""COMPUTED_VALUE"""),2820121)</f>
        <v>2820121</v>
      </c>
      <c r="AG6" s="215" t="str">
        <f ca="1">IFERROR(__xludf.DUMMYFUNCTION("""COMPUTED_VALUE"""),"Intermediate")</f>
        <v>Intermediate</v>
      </c>
      <c r="AH6" s="217" t="str">
        <f ca="1">IFERROR(__xludf.DUMMYFUNCTION("""COMPUTED_VALUE"""),"Excel 2019: 数据管理与分析")</f>
        <v>Excel 2019: 数据管理与分析</v>
      </c>
      <c r="AI6" s="217"/>
      <c r="AJ6" s="213"/>
    </row>
    <row r="7" spans="1:36" ht="33.75" customHeight="1">
      <c r="A7" s="213"/>
      <c r="B7" s="214">
        <f ca="1">IFERROR(__xludf.DUMMYFUNCTION("""COMPUTED_VALUE"""),3129466)</f>
        <v>3129466</v>
      </c>
      <c r="C7" s="215" t="str">
        <f ca="1">IFERROR(__xludf.DUMMYFUNCTION("""COMPUTED_VALUE"""),"Intermediate")</f>
        <v>Intermediate</v>
      </c>
      <c r="D7" s="216" t="str">
        <f ca="1">IFERROR(__xludf.DUMMYFUNCTION("""COMPUTED_VALUE"""),"Measuring Business Performance")</f>
        <v>Measuring Business Performance</v>
      </c>
      <c r="E7" s="217" t="str">
        <f ca="1">IFERROR(__xludf.DUMMYFUNCTION("""COMPUTED_VALUE"""),"Become a Business Analytics Expert")</f>
        <v>Become a Business Analytics Expert</v>
      </c>
      <c r="F7" s="213"/>
      <c r="G7" s="214">
        <f ca="1">IFERROR(__xludf.DUMMYFUNCTION("""COMPUTED_VALUE"""),795007)</f>
        <v>795007</v>
      </c>
      <c r="H7" s="215" t="str">
        <f ca="1">IFERROR(__xludf.DUMMYFUNCTION("""COMPUTED_VALUE"""),"Beginner")</f>
        <v>Beginner</v>
      </c>
      <c r="I7" s="217" t="str">
        <f ca="1">IFERROR(__xludf.DUMMYFUNCTION("""COMPUTED_VALUE"""),"Découvrir la data science : Raconter des histoires grâce aux données")</f>
        <v>Découvrir la data science : Raconter des histoires grâce aux données</v>
      </c>
      <c r="J7" s="217" t="str">
        <f ca="1">IFERROR(__xludf.DUMMYFUNCTION("""COMPUTED_VALUE"""),"Maîtriser l'analyse de données avec Power BI")</f>
        <v>Maîtriser l'analyse de données avec Power BI</v>
      </c>
      <c r="K7" s="213"/>
      <c r="L7" s="215">
        <f ca="1">IFERROR(__xludf.DUMMYFUNCTION("""COMPUTED_VALUE"""),793656)</f>
        <v>793656</v>
      </c>
      <c r="M7" s="215" t="str">
        <f ca="1">IFERROR(__xludf.DUMMYFUNCTION("""COMPUTED_VALUE"""),"Beginner")</f>
        <v>Beginner</v>
      </c>
      <c r="N7" s="217" t="str">
        <f ca="1">IFERROR(__xludf.DUMMYFUNCTION("""COMPUTED_VALUE"""),"Aprende big data: Análisis de datos")</f>
        <v>Aprende big data: Análisis de datos</v>
      </c>
      <c r="O7" s="217" t="str">
        <f ca="1">IFERROR(__xludf.DUMMYFUNCTION("""COMPUTED_VALUE"""),"Crea informes usando Microsoft Excel")</f>
        <v>Crea informes usando Microsoft Excel</v>
      </c>
      <c r="P7" s="213"/>
      <c r="Q7" s="215">
        <f ca="1">IFERROR(__xludf.DUMMYFUNCTION("""COMPUTED_VALUE"""),3141845)</f>
        <v>3141845</v>
      </c>
      <c r="R7" s="215" t="str">
        <f ca="1">IFERROR(__xludf.DUMMYFUNCTION("""COMPUTED_VALUE"""),"Beginner")</f>
        <v>Beginner</v>
      </c>
      <c r="S7" s="217" t="str">
        <f ca="1">IFERROR(__xludf.DUMMYFUNCTION("""COMPUTED_VALUE"""),"Cybersecurity-Tipps: Jede Woche neu")</f>
        <v>Cybersecurity-Tipps: Jede Woche neu</v>
      </c>
      <c r="T7" s="217"/>
      <c r="U7" s="213"/>
      <c r="V7" s="215">
        <f ca="1">IFERROR(__xludf.DUMMYFUNCTION("""COMPUTED_VALUE"""),3031559)</f>
        <v>3031559</v>
      </c>
      <c r="W7" s="215" t="str">
        <f ca="1">IFERROR(__xludf.DUMMYFUNCTION("""COMPUTED_VALUE"""),"Intermediate")</f>
        <v>Intermediate</v>
      </c>
      <c r="X7" s="217" t="str">
        <f ca="1">IFERROR(__xludf.DUMMYFUNCTION("""COMPUTED_VALUE"""),"Power BI 実践講座")</f>
        <v>Power BI 実践講座</v>
      </c>
      <c r="Y7" s="217"/>
      <c r="Z7" s="213"/>
      <c r="AA7" s="215">
        <f ca="1">IFERROR(__xludf.DUMMYFUNCTION("""COMPUTED_VALUE"""),2929562)</f>
        <v>2929562</v>
      </c>
      <c r="AB7" s="215" t="str">
        <f ca="1">IFERROR(__xludf.DUMMYFUNCTION("""COMPUTED_VALUE"""),"Beginner, Intermediate")</f>
        <v>Beginner, Intermediate</v>
      </c>
      <c r="AC7" s="217" t="str">
        <f ca="1">IFERROR(__xludf.DUMMYFUNCTION("""COMPUTED_VALUE"""),"Descubra a Linguagem de Programação R")</f>
        <v>Descubra a Linguagem de Programação R</v>
      </c>
      <c r="AD7" s="217"/>
      <c r="AE7" s="213"/>
      <c r="AF7" s="215">
        <f ca="1">IFERROR(__xludf.DUMMYFUNCTION("""COMPUTED_VALUE"""),3022417)</f>
        <v>3022417</v>
      </c>
      <c r="AG7" s="215" t="str">
        <f ca="1">IFERROR(__xludf.DUMMYFUNCTION("""COMPUTED_VALUE"""),"Intermediate")</f>
        <v>Intermediate</v>
      </c>
      <c r="AH7" s="217" t="str">
        <f ca="1">IFERROR(__xludf.DUMMYFUNCTION("""COMPUTED_VALUE"""),"Power BI DAX 数据建模")</f>
        <v>Power BI DAX 数据建模</v>
      </c>
      <c r="AI7" s="217"/>
      <c r="AJ7" s="213"/>
    </row>
    <row r="8" spans="1:36" ht="33.75" customHeight="1">
      <c r="A8" s="213"/>
      <c r="B8" s="214">
        <f ca="1">IFERROR(__xludf.DUMMYFUNCTION("""COMPUTED_VALUE"""),2881215)</f>
        <v>2881215</v>
      </c>
      <c r="C8" s="215" t="str">
        <f ca="1">IFERROR(__xludf.DUMMYFUNCTION("""COMPUTED_VALUE"""),"Intermediate")</f>
        <v>Intermediate</v>
      </c>
      <c r="D8" s="216" t="str">
        <f ca="1">IFERROR(__xludf.DUMMYFUNCTION("""COMPUTED_VALUE"""),"Learning Data Governance")</f>
        <v>Learning Data Governance</v>
      </c>
      <c r="E8" s="217" t="str">
        <f ca="1">IFERROR(__xludf.DUMMYFUNCTION("""COMPUTED_VALUE"""),"Become a Data Analyst")</f>
        <v>Become a Data Analyst</v>
      </c>
      <c r="F8" s="213"/>
      <c r="G8" s="214">
        <f ca="1">IFERROR(__xludf.DUMMYFUNCTION("""COMPUTED_VALUE"""),5025554)</f>
        <v>5025554</v>
      </c>
      <c r="H8" s="215" t="str">
        <f ca="1">IFERROR(__xludf.DUMMYFUNCTION("""COMPUTED_VALUE"""),"Beginner")</f>
        <v>Beginner</v>
      </c>
      <c r="I8" s="217" t="str">
        <f ca="1">IFERROR(__xludf.DUMMYFUNCTION("""COMPUTED_VALUE"""),"Découvrir l'analyse de données")</f>
        <v>Découvrir l'analyse de données</v>
      </c>
      <c r="J8" s="217" t="str">
        <f ca="1">IFERROR(__xludf.DUMMYFUNCTION("""COMPUTED_VALUE"""),"Maîtriser l'analyse de données avec Excel 219")</f>
        <v>Maîtriser l'analyse de données avec Excel 219</v>
      </c>
      <c r="K8" s="213"/>
      <c r="L8" s="215">
        <f ca="1">IFERROR(__xludf.DUMMYFUNCTION("""COMPUTED_VALUE"""),793657)</f>
        <v>793657</v>
      </c>
      <c r="M8" s="215" t="str">
        <f ca="1">IFERROR(__xludf.DUMMYFUNCTION("""COMPUTED_VALUE"""),"Beginner")</f>
        <v>Beginner</v>
      </c>
      <c r="N8" s="217" t="str">
        <f ca="1">IFERROR(__xludf.DUMMYFUNCTION("""COMPUTED_VALUE"""),"Aprende big data: Visualización de datos")</f>
        <v>Aprende big data: Visualización de datos</v>
      </c>
      <c r="O8" s="217" t="str">
        <f ca="1">IFERROR(__xludf.DUMMYFUNCTION("""COMPUTED_VALUE"""),"Conviértete en especialista en Excel 216 para Mac")</f>
        <v>Conviértete en especialista en Excel 216 para Mac</v>
      </c>
      <c r="P8" s="213"/>
      <c r="Q8" s="215">
        <f ca="1">IFERROR(__xludf.DUMMYFUNCTION("""COMPUTED_VALUE"""),2807565)</f>
        <v>2807565</v>
      </c>
      <c r="R8" s="215" t="str">
        <f ca="1">IFERROR(__xludf.DUMMYFUNCTION("""COMPUTED_VALUE"""),"Beginner, Intermediate")</f>
        <v>Beginner, Intermediate</v>
      </c>
      <c r="S8" s="217" t="str">
        <f ca="1">IFERROR(__xludf.DUMMYFUNCTION("""COMPUTED_VALUE"""),"Data Governance mit Microsoft Office 365")</f>
        <v>Data Governance mit Microsoft Office 365</v>
      </c>
      <c r="T8" s="217"/>
      <c r="U8" s="213"/>
      <c r="V8" s="215">
        <f ca="1">IFERROR(__xludf.DUMMYFUNCTION("""COMPUTED_VALUE"""),3054301)</f>
        <v>3054301</v>
      </c>
      <c r="W8" s="215" t="str">
        <f ca="1">IFERROR(__xludf.DUMMYFUNCTION("""COMPUTED_VALUE"""),"Beginner, Intermediate")</f>
        <v>Beginner, Intermediate</v>
      </c>
      <c r="X8" s="217" t="str">
        <f ca="1">IFERROR(__xludf.DUMMYFUNCTION("""COMPUTED_VALUE"""),"Python：データ構造")</f>
        <v>Python：データ構造</v>
      </c>
      <c r="Y8" s="217"/>
      <c r="Z8" s="213"/>
      <c r="AA8" s="215">
        <f ca="1">IFERROR(__xludf.DUMMYFUNCTION("""COMPUTED_VALUE"""),2902185)</f>
        <v>2902185</v>
      </c>
      <c r="AB8" s="215" t="str">
        <f ca="1">IFERROR(__xludf.DUMMYFUNCTION("""COMPUTED_VALUE"""),"Intermediate")</f>
        <v>Intermediate</v>
      </c>
      <c r="AC8" s="217" t="str">
        <f ca="1">IFERROR(__xludf.DUMMYFUNCTION("""COMPUTED_VALUE"""),"Excel 2019: Gestão e Análise de Dados")</f>
        <v>Excel 2019: Gestão e Análise de Dados</v>
      </c>
      <c r="AD8" s="217"/>
      <c r="AE8" s="213"/>
      <c r="AF8" s="215">
        <f ca="1">IFERROR(__xludf.DUMMYFUNCTION("""COMPUTED_VALUE"""),2824435)</f>
        <v>2824435</v>
      </c>
      <c r="AG8" s="215" t="str">
        <f ca="1">IFERROR(__xludf.DUMMYFUNCTION("""COMPUTED_VALUE"""),"Intermediate")</f>
        <v>Intermediate</v>
      </c>
      <c r="AH8" s="217" t="str">
        <f ca="1">IFERROR(__xludf.DUMMYFUNCTION("""COMPUTED_VALUE"""),"Python 基础培训：数据科学篇")</f>
        <v>Python 基础培训：数据科学篇</v>
      </c>
      <c r="AI8" s="217"/>
      <c r="AJ8" s="213"/>
    </row>
    <row r="9" spans="1:36" ht="33.75" customHeight="1">
      <c r="A9" s="213"/>
      <c r="B9" s="214">
        <f ca="1">IFERROR(__xludf.DUMMYFUNCTION("""COMPUTED_VALUE"""),2892049)</f>
        <v>2892049</v>
      </c>
      <c r="C9" s="215" t="str">
        <f ca="1">IFERROR(__xludf.DUMMYFUNCTION("""COMPUTED_VALUE"""),"Beginner")</f>
        <v>Beginner</v>
      </c>
      <c r="D9" s="216" t="str">
        <f ca="1">IFERROR(__xludf.DUMMYFUNCTION("""COMPUTED_VALUE"""),"Data Visualization: Best Practices")</f>
        <v>Data Visualization: Best Practices</v>
      </c>
      <c r="E9" s="217" t="str">
        <f ca="1">IFERROR(__xludf.DUMMYFUNCTION("""COMPUTED_VALUE"""),"Become a Data Visualization Specialist: Concepts")</f>
        <v>Become a Data Visualization Specialist: Concepts</v>
      </c>
      <c r="F9" s="213"/>
      <c r="G9" s="214">
        <f ca="1">IFERROR(__xludf.DUMMYFUNCTION("""COMPUTED_VALUE"""),412470)</f>
        <v>412470</v>
      </c>
      <c r="H9" s="215" t="str">
        <f ca="1">IFERROR(__xludf.DUMMYFUNCTION("""COMPUTED_VALUE"""),"Beginner")</f>
        <v>Beginner</v>
      </c>
      <c r="I9" s="217" t="str">
        <f ca="1">IFERROR(__xludf.DUMMYFUNCTION("""COMPUTED_VALUE"""),"Découvrir Minitab 17")</f>
        <v>Découvrir Minitab 17</v>
      </c>
      <c r="J9" s="217"/>
      <c r="K9" s="213"/>
      <c r="L9" s="215">
        <f ca="1">IFERROR(__xludf.DUMMYFUNCTION("""COMPUTED_VALUE"""),784360)</f>
        <v>784360</v>
      </c>
      <c r="M9" s="215" t="str">
        <f ca="1">IFERROR(__xludf.DUMMYFUNCTION("""COMPUTED_VALUE"""),"Beginner")</f>
        <v>Beginner</v>
      </c>
      <c r="N9" s="217" t="str">
        <f ca="1">IFERROR(__xludf.DUMMYFUNCTION("""COMPUTED_VALUE"""),"Aprende data science: Conceptos básicos")</f>
        <v>Aprende data science: Conceptos básicos</v>
      </c>
      <c r="O9" s="217" t="str">
        <f ca="1">IFERROR(__xludf.DUMMYFUNCTION("""COMPUTED_VALUE"""),"Conviértete en un especialista en Big Data para IT")</f>
        <v>Conviértete en un especialista en Big Data para IT</v>
      </c>
      <c r="P9" s="213"/>
      <c r="Q9" s="215">
        <f ca="1">IFERROR(__xludf.DUMMYFUNCTION("""COMPUTED_VALUE"""),3142024)</f>
        <v>3142024</v>
      </c>
      <c r="R9" s="215" t="str">
        <f ca="1">IFERROR(__xludf.DUMMYFUNCTION("""COMPUTED_VALUE"""),"Beginner, Intermediate")</f>
        <v>Beginner, Intermediate</v>
      </c>
      <c r="S9" s="217" t="str">
        <f ca="1">IFERROR(__xludf.DUMMYFUNCTION("""COMPUTED_VALUE"""),"Data Mining Grundlagen: Einführung in die Datenvorbereitung mit Data Cleansing, Data Transformation und Feature Engineering")</f>
        <v>Data Mining Grundlagen: Einführung in die Datenvorbereitung mit Data Cleansing, Data Transformation und Feature Engineering</v>
      </c>
      <c r="T9" s="217"/>
      <c r="U9" s="213"/>
      <c r="V9" s="215">
        <f ca="1">IFERROR(__xludf.DUMMYFUNCTION("""COMPUTED_VALUE"""),3002369)</f>
        <v>3002369</v>
      </c>
      <c r="W9" s="215" t="str">
        <f ca="1">IFERROR(__xludf.DUMMYFUNCTION("""COMPUTED_VALUE"""),"All levels")</f>
        <v>All levels</v>
      </c>
      <c r="X9" s="217" t="str">
        <f ca="1">IFERROR(__xludf.DUMMYFUNCTION("""COMPUTED_VALUE"""),"データサイエンス入門：データをもとに語る")</f>
        <v>データサイエンス入門：データをもとに語る</v>
      </c>
      <c r="Y9" s="217"/>
      <c r="Z9" s="213"/>
      <c r="AA9" s="215">
        <f ca="1">IFERROR(__xludf.DUMMYFUNCTION("""COMPUTED_VALUE"""),2929548)</f>
        <v>2929548</v>
      </c>
      <c r="AB9" s="215" t="str">
        <f ca="1">IFERROR(__xludf.DUMMYFUNCTION("""COMPUTED_VALUE"""),"Beginner")</f>
        <v>Beginner</v>
      </c>
      <c r="AC9" s="217" t="str">
        <f ca="1">IFERROR(__xludf.DUMMYFUNCTION("""COMPUTED_VALUE"""),"Excel: Como Criar um Dashboard Básico (365/2019)")</f>
        <v>Excel: Como Criar um Dashboard Básico (365/2019)</v>
      </c>
      <c r="AD9" s="217"/>
      <c r="AE9" s="213"/>
      <c r="AF9" s="215">
        <f ca="1">IFERROR(__xludf.DUMMYFUNCTION("""COMPUTED_VALUE"""),3158970)</f>
        <v>3158970</v>
      </c>
      <c r="AG9" s="215" t="str">
        <f ca="1">IFERROR(__xludf.DUMMYFUNCTION("""COMPUTED_VALUE"""),"Beginner")</f>
        <v>Beginner</v>
      </c>
      <c r="AH9" s="217" t="str">
        <f ca="1">IFERROR(__xludf.DUMMYFUNCTION("""COMPUTED_VALUE"""),"人工智能基础知识系列：神经网络")</f>
        <v>人工智能基础知识系列：神经网络</v>
      </c>
      <c r="AI9" s="217"/>
      <c r="AJ9" s="213"/>
    </row>
    <row r="10" spans="1:36" ht="33.75" customHeight="1">
      <c r="A10" s="213"/>
      <c r="B10" s="214">
        <f ca="1">IFERROR(__xludf.DUMMYFUNCTION("""COMPUTED_VALUE"""),2861045)</f>
        <v>2861045</v>
      </c>
      <c r="C10" s="215" t="str">
        <f ca="1">IFERROR(__xludf.DUMMYFUNCTION("""COMPUTED_VALUE"""),"Intermediate")</f>
        <v>Intermediate</v>
      </c>
      <c r="D10" s="216" t="str">
        <f ca="1">IFERROR(__xludf.DUMMYFUNCTION("""COMPUTED_VALUE"""),"15 Mistakes to Avoid in Data Science")</f>
        <v>15 Mistakes to Avoid in Data Science</v>
      </c>
      <c r="E10" s="217" t="str">
        <f ca="1">IFERROR(__xludf.DUMMYFUNCTION("""COMPUTED_VALUE"""),"Become a Data Visualization Specialist: Tools")</f>
        <v>Become a Data Visualization Specialist: Tools</v>
      </c>
      <c r="F10" s="213"/>
      <c r="G10" s="214">
        <f ca="1">IFERROR(__xludf.DUMMYFUNCTION("""COMPUTED_VALUE"""),193370)</f>
        <v>193370</v>
      </c>
      <c r="H10" s="215" t="str">
        <f ca="1">IFERROR(__xludf.DUMMYFUNCTION("""COMPUTED_VALUE"""),"Beginner")</f>
        <v>Beginner</v>
      </c>
      <c r="I10" s="217" t="str">
        <f ca="1">IFERROR(__xludf.DUMMYFUNCTION("""COMPUTED_VALUE"""),"Découvrir R")</f>
        <v>Découvrir R</v>
      </c>
      <c r="J10" s="217"/>
      <c r="K10" s="213"/>
      <c r="L10" s="215">
        <f ca="1">IFERROR(__xludf.DUMMYFUNCTION("""COMPUTED_VALUE"""),784361)</f>
        <v>784361</v>
      </c>
      <c r="M10" s="215" t="str">
        <f ca="1">IFERROR(__xludf.DUMMYFUNCTION("""COMPUTED_VALUE"""),"Beginner")</f>
        <v>Beginner</v>
      </c>
      <c r="N10" s="217" t="str">
        <f ca="1">IFERROR(__xludf.DUMMYFUNCTION("""COMPUTED_VALUE"""),"Aprende data science: Cuenta historias con los datos")</f>
        <v>Aprende data science: Cuenta historias con los datos</v>
      </c>
      <c r="O10" s="217" t="str">
        <f ca="1">IFERROR(__xludf.DUMMYFUNCTION("""COMPUTED_VALUE"""),"Conviértete en experto de Big Data para los negocios")</f>
        <v>Conviértete en experto de Big Data para los negocios</v>
      </c>
      <c r="P10" s="213"/>
      <c r="Q10" s="215">
        <f ca="1">IFERROR(__xludf.DUMMYFUNCTION("""COMPUTED_VALUE"""),666958)</f>
        <v>666958</v>
      </c>
      <c r="R10" s="215" t="str">
        <f ca="1">IFERROR(__xludf.DUMMYFUNCTION("""COMPUTED_VALUE"""),"Beginner, Intermediate")</f>
        <v>Beginner, Intermediate</v>
      </c>
      <c r="S10" s="217" t="str">
        <f ca="1">IFERROR(__xludf.DUMMYFUNCTION("""COMPUTED_VALUE"""),"Data Science Grundlagen: Eine Einführung")</f>
        <v>Data Science Grundlagen: Eine Einführung</v>
      </c>
      <c r="T10" s="217"/>
      <c r="U10" s="213"/>
      <c r="V10" s="215">
        <f ca="1">IFERROR(__xludf.DUMMYFUNCTION("""COMPUTED_VALUE"""),2848296)</f>
        <v>2848296</v>
      </c>
      <c r="W10" s="215" t="str">
        <f ca="1">IFERROR(__xludf.DUMMYFUNCTION("""COMPUTED_VALUE"""),"All levels")</f>
        <v>All levels</v>
      </c>
      <c r="X10" s="217" t="str">
        <f ca="1">IFERROR(__xludf.DUMMYFUNCTION("""COMPUTED_VALUE"""),"データサイエンス入門：基本を理解する")</f>
        <v>データサイエンス入門：基本を理解する</v>
      </c>
      <c r="Y10" s="217"/>
      <c r="Z10" s="213"/>
      <c r="AA10" s="215">
        <f ca="1">IFERROR(__xludf.DUMMYFUNCTION("""COMPUTED_VALUE"""),2875217)</f>
        <v>2875217</v>
      </c>
      <c r="AB10" s="215" t="str">
        <f ca="1">IFERROR(__xludf.DUMMYFUNCTION("""COMPUTED_VALUE"""),"Intermediate")</f>
        <v>Intermediate</v>
      </c>
      <c r="AC10" s="217" t="str">
        <f ca="1">IFERROR(__xludf.DUMMYFUNCTION("""COMPUTED_VALUE"""),"Excel: Macros e VBA para Iniciantes")</f>
        <v>Excel: Macros e VBA para Iniciantes</v>
      </c>
      <c r="AD10" s="217"/>
      <c r="AE10" s="213"/>
      <c r="AF10" s="215">
        <f ca="1">IFERROR(__xludf.DUMMYFUNCTION("""COMPUTED_VALUE"""),2215034)</f>
        <v>2215034</v>
      </c>
      <c r="AG10" s="215" t="str">
        <f ca="1">IFERROR(__xludf.DUMMYFUNCTION("""COMPUTED_VALUE"""),"Beginner")</f>
        <v>Beginner</v>
      </c>
      <c r="AH10" s="217" t="str">
        <f ca="1">IFERROR(__xludf.DUMMYFUNCTION("""COMPUTED_VALUE"""),"大数据基础知识：技巧与概念")</f>
        <v>大数据基础知识：技巧与概念</v>
      </c>
      <c r="AI10" s="217"/>
      <c r="AJ10" s="213"/>
    </row>
    <row r="11" spans="1:36" ht="33.75" customHeight="1">
      <c r="A11" s="213"/>
      <c r="B11" s="214">
        <f ca="1">IFERROR(__xludf.DUMMYFUNCTION("""COMPUTED_VALUE"""),2860040)</f>
        <v>2860040</v>
      </c>
      <c r="C11" s="215" t="str">
        <f ca="1">IFERROR(__xludf.DUMMYFUNCTION("""COMPUTED_VALUE"""),"Intermediate")</f>
        <v>Intermediate</v>
      </c>
      <c r="D11" s="216" t="str">
        <f ca="1">IFERROR(__xludf.DUMMYFUNCTION("""COMPUTED_VALUE"""),"Lessons from Data Scientists")</f>
        <v>Lessons from Data Scientists</v>
      </c>
      <c r="E11" s="217" t="str">
        <f ca="1">IFERROR(__xludf.DUMMYFUNCTION("""COMPUTED_VALUE"""),"Become a Data Analytics Specialist")</f>
        <v>Become a Data Analytics Specialist</v>
      </c>
      <c r="F11" s="213"/>
      <c r="G11" s="214">
        <f ca="1">IFERROR(__xludf.DUMMYFUNCTION("""COMPUTED_VALUE"""),3000780)</f>
        <v>3000780</v>
      </c>
      <c r="H11" s="215" t="str">
        <f ca="1">IFERROR(__xludf.DUMMYFUNCTION("""COMPUTED_VALUE"""),"Intermediate")</f>
        <v>Intermediate</v>
      </c>
      <c r="I11" s="217" t="str">
        <f ca="1">IFERROR(__xludf.DUMMYFUNCTION("""COMPUTED_VALUE"""),"Développer une solution big data avec Azure")</f>
        <v>Développer une solution big data avec Azure</v>
      </c>
      <c r="J11" s="217"/>
      <c r="K11" s="213"/>
      <c r="L11" s="215">
        <f ca="1">IFERROR(__xludf.DUMMYFUNCTION("""COMPUTED_VALUE"""),757839)</f>
        <v>757839</v>
      </c>
      <c r="M11" s="215" t="str">
        <f ca="1">IFERROR(__xludf.DUMMYFUNCTION("""COMPUTED_VALUE"""),"Beginner")</f>
        <v>Beginner</v>
      </c>
      <c r="N11" s="217" t="str">
        <f ca="1">IFERROR(__xludf.DUMMYFUNCTION("""COMPUTED_VALUE"""),"Aprende diseño de base de datos relacionales")</f>
        <v>Aprende diseño de base de datos relacionales</v>
      </c>
      <c r="O11" s="217" t="str">
        <f ca="1">IFERROR(__xludf.DUMMYFUNCTION("""COMPUTED_VALUE"""),"Conviértete en data analyst")</f>
        <v>Conviértete en data analyst</v>
      </c>
      <c r="P11" s="213"/>
      <c r="Q11" s="215">
        <f ca="1">IFERROR(__xludf.DUMMYFUNCTION("""COMPUTED_VALUE"""),2823496)</f>
        <v>2823496</v>
      </c>
      <c r="R11" s="215" t="str">
        <f ca="1">IFERROR(__xludf.DUMMYFUNCTION("""COMPUTED_VALUE"""),"Beginner, Intermediate")</f>
        <v>Beginner, Intermediate</v>
      </c>
      <c r="S11" s="217" t="str">
        <f ca="1">IFERROR(__xludf.DUMMYFUNCTION("""COMPUTED_VALUE"""),"Data Science Grundlagen: Knowledge Graphen")</f>
        <v>Data Science Grundlagen: Knowledge Graphen</v>
      </c>
      <c r="T11" s="217"/>
      <c r="U11" s="213"/>
      <c r="V11" s="215">
        <f ca="1">IFERROR(__xludf.DUMMYFUNCTION("""COMPUTED_VALUE"""),2915382)</f>
        <v>2915382</v>
      </c>
      <c r="W11" s="215" t="str">
        <f ca="1">IFERROR(__xludf.DUMMYFUNCTION("""COMPUTED_VALUE"""),"Beginner")</f>
        <v>Beginner</v>
      </c>
      <c r="X11" s="217" t="str">
        <f ca="1">IFERROR(__xludf.DUMMYFUNCTION("""COMPUTED_VALUE"""),"データ分析入門")</f>
        <v>データ分析入門</v>
      </c>
      <c r="Y11" s="217"/>
      <c r="Z11" s="213"/>
      <c r="AA11" s="215">
        <f ca="1">IFERROR(__xludf.DUMMYFUNCTION("""COMPUTED_VALUE"""),2921898)</f>
        <v>2921898</v>
      </c>
      <c r="AB11" s="215" t="str">
        <f ca="1">IFERROR(__xludf.DUMMYFUNCTION("""COMPUTED_VALUE"""),"Intermediate")</f>
        <v>Intermediate</v>
      </c>
      <c r="AC11" s="217" t="str">
        <f ca="1">IFERROR(__xludf.DUMMYFUNCTION("""COMPUTED_VALUE"""),"Excel: Power Query")</f>
        <v>Excel: Power Query</v>
      </c>
      <c r="AD11" s="217"/>
      <c r="AE11" s="213"/>
      <c r="AF11" s="215">
        <f ca="1">IFERROR(__xludf.DUMMYFUNCTION("""COMPUTED_VALUE"""),2823599)</f>
        <v>2823599</v>
      </c>
      <c r="AG11" s="215" t="str">
        <f ca="1">IFERROR(__xludf.DUMMYFUNCTION("""COMPUTED_VALUE"""),"Beginner")</f>
        <v>Beginner</v>
      </c>
      <c r="AH11" s="217" t="str">
        <f ca="1">IFERROR(__xludf.DUMMYFUNCTION("""COMPUTED_VALUE"""),"学习 SQL")</f>
        <v>学习 SQL</v>
      </c>
      <c r="AI11" s="217"/>
      <c r="AJ11" s="213"/>
    </row>
    <row r="12" spans="1:36" ht="33.75" customHeight="1">
      <c r="A12" s="213"/>
      <c r="B12" s="214">
        <f ca="1">IFERROR(__xludf.DUMMYFUNCTION("""COMPUTED_VALUE"""),2841395)</f>
        <v>2841395</v>
      </c>
      <c r="C12" s="215" t="str">
        <f ca="1">IFERROR(__xludf.DUMMYFUNCTION("""COMPUTED_VALUE"""),"Advanced")</f>
        <v>Advanced</v>
      </c>
      <c r="D12" s="216" t="str">
        <f ca="1">IFERROR(__xludf.DUMMYFUNCTION("""COMPUTED_VALUE"""),"Excel VBA: Managing Files and Data")</f>
        <v>Excel VBA: Managing Files and Data</v>
      </c>
      <c r="E12" s="217" t="str">
        <f ca="1">IFERROR(__xludf.DUMMYFUNCTION("""COMPUTED_VALUE"""),"Become a Data Scientist")</f>
        <v>Become a Data Scientist</v>
      </c>
      <c r="F12" s="213"/>
      <c r="G12" s="214">
        <f ca="1">IFERROR(__xludf.DUMMYFUNCTION("""COMPUTED_VALUE"""),796892)</f>
        <v>796892</v>
      </c>
      <c r="H12" s="215" t="str">
        <f ca="1">IFERROR(__xludf.DUMMYFUNCTION("""COMPUTED_VALUE"""),"Intermediate")</f>
        <v>Intermediate</v>
      </c>
      <c r="I12" s="217" t="str">
        <f ca="1">IFERROR(__xludf.DUMMYFUNCTION("""COMPUTED_VALUE"""),"Excel : Analyse de données avec Power Pivot")</f>
        <v>Excel : Analyse de données avec Power Pivot</v>
      </c>
      <c r="J12" s="217"/>
      <c r="K12" s="213"/>
      <c r="L12" s="215">
        <f ca="1">IFERROR(__xludf.DUMMYFUNCTION("""COMPUTED_VALUE"""),3152057)</f>
        <v>3152057</v>
      </c>
      <c r="M12" s="215" t="str">
        <f ca="1">IFERROR(__xludf.DUMMYFUNCTION("""COMPUTED_VALUE"""),"Beginner")</f>
        <v>Beginner</v>
      </c>
      <c r="N12" s="217" t="str">
        <f ca="1">IFERROR(__xludf.DUMMYFUNCTION("""COMPUTED_VALUE"""),"Aprende Power BI")</f>
        <v>Aprende Power BI</v>
      </c>
      <c r="O12" s="217"/>
      <c r="P12" s="213"/>
      <c r="Q12" s="215">
        <f ca="1">IFERROR(__xludf.DUMMYFUNCTION("""COMPUTED_VALUE"""),800555)</f>
        <v>800555</v>
      </c>
      <c r="R12" s="215" t="str">
        <f ca="1">IFERROR(__xludf.DUMMYFUNCTION("""COMPUTED_VALUE"""),"Beginner")</f>
        <v>Beginner</v>
      </c>
      <c r="S12" s="217" t="str">
        <f ca="1">IFERROR(__xludf.DUMMYFUNCTION("""COMPUTED_VALUE"""),"Data Science lernen: Die Grundlagen verstehen")</f>
        <v>Data Science lernen: Die Grundlagen verstehen</v>
      </c>
      <c r="T12" s="217"/>
      <c r="U12" s="213"/>
      <c r="V12" s="215">
        <f ca="1">IFERROR(__xludf.DUMMYFUNCTION("""COMPUTED_VALUE"""),2917516)</f>
        <v>2917516</v>
      </c>
      <c r="W12" s="215" t="str">
        <f ca="1">IFERROR(__xludf.DUMMYFUNCTION("""COMPUTED_VALUE"""),"Beginner")</f>
        <v>Beginner</v>
      </c>
      <c r="X12" s="217" t="str">
        <f ca="1">IFERROR(__xludf.DUMMYFUNCTION("""COMPUTED_VALUE"""),"ビッグデータの基礎：手法と概念")</f>
        <v>ビッグデータの基礎：手法と概念</v>
      </c>
      <c r="Y12" s="217"/>
      <c r="Z12" s="213"/>
      <c r="AA12" s="215">
        <f ca="1">IFERROR(__xludf.DUMMYFUNCTION("""COMPUTED_VALUE"""),2908962)</f>
        <v>2908962</v>
      </c>
      <c r="AB12" s="215" t="str">
        <f ca="1">IFERROR(__xludf.DUMMYFUNCTION("""COMPUTED_VALUE"""),"Beginner")</f>
        <v>Beginner</v>
      </c>
      <c r="AC12" s="217" t="str">
        <f ca="1">IFERROR(__xludf.DUMMYFUNCTION("""COMPUTED_VALUE"""),"Fundamentos da Análise de Negócios")</f>
        <v>Fundamentos da Análise de Negócios</v>
      </c>
      <c r="AD12" s="217"/>
      <c r="AE12" s="213"/>
      <c r="AF12" s="215">
        <f ca="1">IFERROR(__xludf.DUMMYFUNCTION("""COMPUTED_VALUE"""),2998023)</f>
        <v>2998023</v>
      </c>
      <c r="AG12" s="215" t="str">
        <f ca="1">IFERROR(__xludf.DUMMYFUNCTION("""COMPUTED_VALUE"""),"Beginner")</f>
        <v>Beginner</v>
      </c>
      <c r="AH12" s="217" t="str">
        <f ca="1">IFERROR(__xludf.DUMMYFUNCTION("""COMPUTED_VALUE"""),"学习云计算：核心概念")</f>
        <v>学习云计算：核心概念</v>
      </c>
      <c r="AI12" s="217"/>
      <c r="AJ12" s="213"/>
    </row>
    <row r="13" spans="1:36" ht="33.75" customHeight="1">
      <c r="A13" s="213"/>
      <c r="B13" s="214">
        <f ca="1">IFERROR(__xludf.DUMMYFUNCTION("""COMPUTED_VALUE"""),664827)</f>
        <v>664827</v>
      </c>
      <c r="C13" s="215" t="str">
        <f ca="1">IFERROR(__xludf.DUMMYFUNCTION("""COMPUTED_VALUE"""),"Advanced")</f>
        <v>Advanced</v>
      </c>
      <c r="D13" s="216" t="str">
        <f ca="1">IFERROR(__xludf.DUMMYFUNCTION("""COMPUTED_VALUE"""),"Business Analytics: Forecasting with Exponential Smoothing")</f>
        <v>Business Analytics: Forecasting with Exponential Smoothing</v>
      </c>
      <c r="E13" s="217" t="str">
        <f ca="1">IFERROR(__xludf.DUMMYFUNCTION("""COMPUTED_VALUE"""),"Build Essential Data Skills")</f>
        <v>Build Essential Data Skills</v>
      </c>
      <c r="F13" s="213"/>
      <c r="G13" s="214">
        <f ca="1">IFERROR(__xludf.DUMMYFUNCTION("""COMPUTED_VALUE"""),796893)</f>
        <v>796893</v>
      </c>
      <c r="H13" s="215" t="str">
        <f ca="1">IFERROR(__xludf.DUMMYFUNCTION("""COMPUTED_VALUE"""),"Intermediate")</f>
        <v>Intermediate</v>
      </c>
      <c r="I13" s="217" t="str">
        <f ca="1">IFERROR(__xludf.DUMMYFUNCTION("""COMPUTED_VALUE"""),"Excel : Analyse de données avec Power Query (Microsoft 365/Office 365)")</f>
        <v>Excel : Analyse de données avec Power Query (Microsoft 365/Office 365)</v>
      </c>
      <c r="J13" s="217"/>
      <c r="K13" s="213"/>
      <c r="L13" s="215">
        <f ca="1">IFERROR(__xludf.DUMMYFUNCTION("""COMPUTED_VALUE"""),2920859)</f>
        <v>2920859</v>
      </c>
      <c r="M13" s="215" t="str">
        <f ca="1">IFERROR(__xludf.DUMMYFUNCTION("""COMPUTED_VALUE"""),"Beginner, Intermediate")</f>
        <v>Beginner, Intermediate</v>
      </c>
      <c r="N13" s="217" t="str">
        <f ca="1">IFERROR(__xludf.DUMMYFUNCTION("""COMPUTED_VALUE"""),"Azure Data Explorer esencial")</f>
        <v>Azure Data Explorer esencial</v>
      </c>
      <c r="O13" s="217"/>
      <c r="P13" s="213"/>
      <c r="Q13" s="215">
        <f ca="1">IFERROR(__xludf.DUMMYFUNCTION("""COMPUTED_VALUE"""),800554)</f>
        <v>800554</v>
      </c>
      <c r="R13" s="215" t="str">
        <f ca="1">IFERROR(__xludf.DUMMYFUNCTION("""COMPUTED_VALUE"""),"Beginner")</f>
        <v>Beginner</v>
      </c>
      <c r="S13" s="217" t="str">
        <f ca="1">IFERROR(__xludf.DUMMYFUNCTION("""COMPUTED_VALUE"""),"Data Science lernen: Storytelling mit Daten")</f>
        <v>Data Science lernen: Storytelling mit Daten</v>
      </c>
      <c r="T13" s="217"/>
      <c r="U13" s="213"/>
      <c r="V13" s="215"/>
      <c r="W13" s="215"/>
      <c r="X13" s="217"/>
      <c r="Y13" s="217"/>
      <c r="Z13" s="213"/>
      <c r="AA13" s="215">
        <f ca="1">IFERROR(__xludf.DUMMYFUNCTION("""COMPUTED_VALUE"""),2928581)</f>
        <v>2928581</v>
      </c>
      <c r="AB13" s="215" t="str">
        <f ca="1">IFERROR(__xludf.DUMMYFUNCTION("""COMPUTED_VALUE"""),"Beginner, Intermediate")</f>
        <v>Beginner, Intermediate</v>
      </c>
      <c r="AC13" s="217" t="str">
        <f ca="1">IFERROR(__xludf.DUMMYFUNCTION("""COMPUTED_VALUE"""),"Fundamentos da Ciência de Dados: Mineração de Dados")</f>
        <v>Fundamentos da Ciência de Dados: Mineração de Dados</v>
      </c>
      <c r="AD13" s="217"/>
      <c r="AE13" s="213"/>
      <c r="AF13" s="215">
        <f ca="1">IFERROR(__xludf.DUMMYFUNCTION("""COMPUTED_VALUE"""),5039490)</f>
        <v>5039490</v>
      </c>
      <c r="AG13" s="215" t="str">
        <f ca="1">IFERROR(__xludf.DUMMYFUNCTION("""COMPUTED_VALUE"""),"Beginner")</f>
        <v>Beginner</v>
      </c>
      <c r="AH13" s="217" t="str">
        <f ca="1">IFERROR(__xludf.DUMMYFUNCTION("""COMPUTED_VALUE"""),"学习微软 Power BI Desktop")</f>
        <v>学习微软 Power BI Desktop</v>
      </c>
      <c r="AI13" s="217"/>
      <c r="AJ13" s="213"/>
    </row>
    <row r="14" spans="1:36" ht="33.75" customHeight="1">
      <c r="A14" s="213"/>
      <c r="B14" s="214">
        <f ca="1">IFERROR(__xludf.DUMMYFUNCTION("""COMPUTED_VALUE"""),2806960)</f>
        <v>2806960</v>
      </c>
      <c r="C14" s="215" t="str">
        <f ca="1">IFERROR(__xludf.DUMMYFUNCTION("""COMPUTED_VALUE"""),"Advanced")</f>
        <v>Advanced</v>
      </c>
      <c r="D14" s="216" t="str">
        <f ca="1">IFERROR(__xludf.DUMMYFUNCTION("""COMPUTED_VALUE"""),"Cert Prep: Excel Expert - Microsoft Office Specialist for Office 2019 and Office 365")</f>
        <v>Cert Prep: Excel Expert - Microsoft Office Specialist for Office 2019 and Office 365</v>
      </c>
      <c r="E14" s="217" t="str">
        <f ca="1">IFERROR(__xludf.DUMMYFUNCTION("""COMPUTED_VALUE"""),"Become a Business Intelligence Specialist")</f>
        <v>Become a Business Intelligence Specialist</v>
      </c>
      <c r="F14" s="213"/>
      <c r="G14" s="214">
        <f ca="1">IFERROR(__xludf.DUMMYFUNCTION("""COMPUTED_VALUE"""),2921393)</f>
        <v>2921393</v>
      </c>
      <c r="H14" s="215" t="str">
        <f ca="1">IFERROR(__xludf.DUMMYFUNCTION("""COMPUTED_VALUE"""),"Intermediate")</f>
        <v>Intermediate</v>
      </c>
      <c r="I14" s="217" t="str">
        <f ca="1">IFERROR(__xludf.DUMMYFUNCTION("""COMPUTED_VALUE"""),"Excel : Créer un tableau de bord interactif")</f>
        <v>Excel : Créer un tableau de bord interactif</v>
      </c>
      <c r="J14" s="217"/>
      <c r="K14" s="213"/>
      <c r="L14" s="215">
        <f ca="1">IFERROR(__xludf.DUMMYFUNCTION("""COMPUTED_VALUE"""),2920900)</f>
        <v>2920900</v>
      </c>
      <c r="M14" s="215" t="str">
        <f ca="1">IFERROR(__xludf.DUMMYFUNCTION("""COMPUTED_VALUE"""),"All levels")</f>
        <v>All levels</v>
      </c>
      <c r="N14" s="217" t="str">
        <f ca="1">IFERROR(__xludf.DUMMYFUNCTION("""COMPUTED_VALUE"""),"Bases de datos con un café")</f>
        <v>Bases de datos con un café</v>
      </c>
      <c r="O14" s="217"/>
      <c r="P14" s="213"/>
      <c r="Q14" s="215">
        <f ca="1">IFERROR(__xludf.DUMMYFUNCTION("""COMPUTED_VALUE"""),738364)</f>
        <v>738364</v>
      </c>
      <c r="R14" s="215" t="str">
        <f ca="1">IFERROR(__xludf.DUMMYFUNCTION("""COMPUTED_VALUE"""),"Beginner, Intermediate")</f>
        <v>Beginner, Intermediate</v>
      </c>
      <c r="S14" s="217" t="str">
        <f ca="1">IFERROR(__xludf.DUMMYFUNCTION("""COMPUTED_VALUE"""),"Daten visualisieren mit Chart.js")</f>
        <v>Daten visualisieren mit Chart.js</v>
      </c>
      <c r="T14" s="217"/>
      <c r="U14" s="213"/>
      <c r="V14" s="215"/>
      <c r="W14" s="215"/>
      <c r="X14" s="217"/>
      <c r="Y14" s="217"/>
      <c r="Z14" s="213"/>
      <c r="AA14" s="215">
        <f ca="1">IFERROR(__xludf.DUMMYFUNCTION("""COMPUTED_VALUE"""),2910531)</f>
        <v>2910531</v>
      </c>
      <c r="AB14" s="215" t="str">
        <f ca="1">IFERROR(__xludf.DUMMYFUNCTION("""COMPUTED_VALUE"""),"Beginner")</f>
        <v>Beginner</v>
      </c>
      <c r="AC14" s="217" t="str">
        <f ca="1">IFERROR(__xludf.DUMMYFUNCTION("""COMPUTED_VALUE"""),"Fundamentos de Análise de Dados")</f>
        <v>Fundamentos de Análise de Dados</v>
      </c>
      <c r="AD14" s="217"/>
      <c r="AE14" s="213"/>
      <c r="AF14" s="215">
        <f ca="1">IFERROR(__xludf.DUMMYFUNCTION("""COMPUTED_VALUE"""),2824251)</f>
        <v>2824251</v>
      </c>
      <c r="AG14" s="215" t="str">
        <f ca="1">IFERROR(__xludf.DUMMYFUNCTION("""COMPUTED_VALUE"""),"Advanced")</f>
        <v>Advanced</v>
      </c>
      <c r="AH14" s="217" t="str">
        <f ca="1">IFERROR(__xludf.DUMMYFUNCTION("""COMPUTED_VALUE"""),"学习数据分析")</f>
        <v>学习数据分析</v>
      </c>
      <c r="AI14" s="217"/>
      <c r="AJ14" s="213"/>
    </row>
    <row r="15" spans="1:36" ht="33.75" customHeight="1">
      <c r="A15" s="213"/>
      <c r="B15" s="214">
        <f ca="1">IFERROR(__xludf.DUMMYFUNCTION("""COMPUTED_VALUE"""),531463)</f>
        <v>531463</v>
      </c>
      <c r="C15" s="215" t="str">
        <f ca="1">IFERROR(__xludf.DUMMYFUNCTION("""COMPUTED_VALUE"""),"Advanced")</f>
        <v>Advanced</v>
      </c>
      <c r="D15" s="216" t="str">
        <f ca="1">IFERROR(__xludf.DUMMYFUNCTION("""COMPUTED_VALUE"""),"Machine Learning &amp; AI: Advanced Decision Trees")</f>
        <v>Machine Learning &amp; AI: Advanced Decision Trees</v>
      </c>
      <c r="E15" s="217" t="str">
        <f ca="1">IFERROR(__xludf.DUMMYFUNCTION("""COMPUTED_VALUE"""),"Develop Your Data Analysis Skills ")</f>
        <v xml:space="preserve">Develop Your Data Analysis Skills </v>
      </c>
      <c r="F15" s="213"/>
      <c r="G15" s="214">
        <f ca="1">IFERROR(__xludf.DUMMYFUNCTION("""COMPUTED_VALUE"""),778465)</f>
        <v>778465</v>
      </c>
      <c r="H15" s="215" t="str">
        <f ca="1">IFERROR(__xludf.DUMMYFUNCTION("""COMPUTED_VALUE"""),"Intermediate")</f>
        <v>Intermediate</v>
      </c>
      <c r="I15" s="217" t="str">
        <f ca="1">IFERROR(__xludf.DUMMYFUNCTION("""COMPUTED_VALUE"""),"Excel : L'analyse de données")</f>
        <v>Excel : L'analyse de données</v>
      </c>
      <c r="J15" s="217"/>
      <c r="K15" s="213"/>
      <c r="L15" s="215">
        <f ca="1">IFERROR(__xludf.DUMMYFUNCTION("""COMPUTED_VALUE"""),2873071)</f>
        <v>2873071</v>
      </c>
      <c r="M15" s="215" t="str">
        <f ca="1">IFERROR(__xludf.DUMMYFUNCTION("""COMPUTED_VALUE"""),"Intermediate")</f>
        <v>Intermediate</v>
      </c>
      <c r="N15" s="217" t="str">
        <f ca="1">IFERROR(__xludf.DUMMYFUNCTION("""COMPUTED_VALUE"""),"Big data, recursos humanos y gestión del bienestar laboral")</f>
        <v>Big data, recursos humanos y gestión del bienestar laboral</v>
      </c>
      <c r="O15" s="217"/>
      <c r="P15" s="213"/>
      <c r="Q15" s="215">
        <f ca="1">IFERROR(__xludf.DUMMYFUNCTION("""COMPUTED_VALUE"""),432624)</f>
        <v>432624</v>
      </c>
      <c r="R15" s="215" t="str">
        <f ca="1">IFERROR(__xludf.DUMMYFUNCTION("""COMPUTED_VALUE"""),"Intermediate")</f>
        <v>Intermediate</v>
      </c>
      <c r="S15" s="217" t="str">
        <f ca="1">IFERROR(__xludf.DUMMYFUNCTION("""COMPUTED_VALUE"""),"Daten visualisieren mit D3.js")</f>
        <v>Daten visualisieren mit D3.js</v>
      </c>
      <c r="T15" s="217"/>
      <c r="U15" s="213"/>
      <c r="V15" s="215"/>
      <c r="W15" s="215"/>
      <c r="X15" s="217"/>
      <c r="Y15" s="217"/>
      <c r="Z15" s="213"/>
      <c r="AA15" s="215">
        <f ca="1">IFERROR(__xludf.DUMMYFUNCTION("""COMPUTED_VALUE"""),5018053)</f>
        <v>5018053</v>
      </c>
      <c r="AB15" s="215" t="str">
        <f ca="1">IFERROR(__xludf.DUMMYFUNCTION("""COMPUTED_VALUE"""),"Beginner")</f>
        <v>Beginner</v>
      </c>
      <c r="AC15" s="217" t="str">
        <f ca="1">IFERROR(__xludf.DUMMYFUNCTION("""COMPUTED_VALUE"""),"Fundamentos do Big Data: Técnicas e Conceitos")</f>
        <v>Fundamentos do Big Data: Técnicas e Conceitos</v>
      </c>
      <c r="AD15" s="217"/>
      <c r="AE15" s="213"/>
      <c r="AF15" s="215">
        <f ca="1">IFERROR(__xludf.DUMMYFUNCTION("""COMPUTED_VALUE"""),2822715)</f>
        <v>2822715</v>
      </c>
      <c r="AG15" s="215" t="str">
        <f ca="1">IFERROR(__xludf.DUMMYFUNCTION("""COMPUTED_VALUE"""),"All levels")</f>
        <v>All levels</v>
      </c>
      <c r="AH15" s="217" t="str">
        <f ca="1">IFERROR(__xludf.DUMMYFUNCTION("""COMPUTED_VALUE"""),"学习数据治理")</f>
        <v>学习数据治理</v>
      </c>
      <c r="AI15" s="217"/>
      <c r="AJ15" s="213"/>
    </row>
    <row r="16" spans="1:36" ht="33.75" customHeight="1">
      <c r="A16" s="213"/>
      <c r="B16" s="214">
        <f ca="1">IFERROR(__xludf.DUMMYFUNCTION("""COMPUTED_VALUE"""),5022330)</f>
        <v>5022330</v>
      </c>
      <c r="C16" s="215" t="str">
        <f ca="1">IFERROR(__xludf.DUMMYFUNCTION("""COMPUTED_VALUE"""),"Advanced")</f>
        <v>Advanced</v>
      </c>
      <c r="D16" s="216" t="str">
        <f ca="1">IFERROR(__xludf.DUMMYFUNCTION("""COMPUTED_VALUE"""),"People Analytics")</f>
        <v>People Analytics</v>
      </c>
      <c r="E16" s="217" t="str">
        <f ca="1">IFERROR(__xludf.DUMMYFUNCTION("""COMPUTED_VALUE"""),"Get Ahead In Data Science")</f>
        <v>Get Ahead In Data Science</v>
      </c>
      <c r="F16" s="213"/>
      <c r="G16" s="214">
        <f ca="1">IFERROR(__xludf.DUMMYFUNCTION("""COMPUTED_VALUE"""),5025496)</f>
        <v>5025496</v>
      </c>
      <c r="H16" s="215" t="str">
        <f ca="1">IFERROR(__xludf.DUMMYFUNCTION("""COMPUTED_VALUE"""),"Intermediate")</f>
        <v>Intermediate</v>
      </c>
      <c r="I16" s="217" t="str">
        <f ca="1">IFERROR(__xludf.DUMMYFUNCTION("""COMPUTED_VALUE"""),"Excel : Le nettoyage de données")</f>
        <v>Excel : Le nettoyage de données</v>
      </c>
      <c r="J16" s="217"/>
      <c r="K16" s="213"/>
      <c r="L16" s="215">
        <f ca="1">IFERROR(__xludf.DUMMYFUNCTION("""COMPUTED_VALUE"""),680867)</f>
        <v>680867</v>
      </c>
      <c r="M16" s="215" t="str">
        <f ca="1">IFERROR(__xludf.DUMMYFUNCTION("""COMPUTED_VALUE"""),"Intermediate")</f>
        <v>Intermediate</v>
      </c>
      <c r="N16" s="217" t="str">
        <f ca="1">IFERROR(__xludf.DUMMYFUNCTION("""COMPUTED_VALUE"""),"Big data: Equipos y soluciones para la empresa")</f>
        <v>Big data: Equipos y soluciones para la empresa</v>
      </c>
      <c r="O16" s="217"/>
      <c r="P16" s="213"/>
      <c r="Q16" s="215">
        <f ca="1">IFERROR(__xludf.DUMMYFUNCTION("""COMPUTED_VALUE"""),561504)</f>
        <v>561504</v>
      </c>
      <c r="R16" s="215" t="str">
        <f ca="1">IFERROR(__xludf.DUMMYFUNCTION("""COMPUTED_VALUE"""),"Intermediate")</f>
        <v>Intermediate</v>
      </c>
      <c r="S16" s="217" t="str">
        <f ca="1">IFERROR(__xludf.DUMMYFUNCTION("""COMPUTED_VALUE"""),"Datenanalyse mit R: Datenimport und -handling")</f>
        <v>Datenanalyse mit R: Datenimport und -handling</v>
      </c>
      <c r="T16" s="217"/>
      <c r="U16" s="213"/>
      <c r="V16" s="215"/>
      <c r="W16" s="215"/>
      <c r="X16" s="217"/>
      <c r="Y16" s="217"/>
      <c r="Z16" s="213"/>
      <c r="AA16" s="215">
        <f ca="1">IFERROR(__xludf.DUMMYFUNCTION("""COMPUTED_VALUE"""),2909979)</f>
        <v>2909979</v>
      </c>
      <c r="AB16" s="215" t="str">
        <f ca="1">IFERROR(__xludf.DUMMYFUNCTION("""COMPUTED_VALUE"""),"Intermediate")</f>
        <v>Intermediate</v>
      </c>
      <c r="AC16" s="217" t="str">
        <f ca="1">IFERROR(__xludf.DUMMYFUNCTION("""COMPUTED_VALUE"""),"Gestão de Contas-Chave")</f>
        <v>Gestão de Contas-Chave</v>
      </c>
      <c r="AD16" s="217"/>
      <c r="AE16" s="213"/>
      <c r="AF16" s="215">
        <f ca="1">IFERROR(__xludf.DUMMYFUNCTION("""COMPUTED_VALUE"""),2817000)</f>
        <v>2817000</v>
      </c>
      <c r="AG16" s="215" t="str">
        <f ca="1">IFERROR(__xludf.DUMMYFUNCTION("""COMPUTED_VALUE"""),"Beginner")</f>
        <v>Beginner</v>
      </c>
      <c r="AH16" s="217" t="str">
        <f ca="1">IFERROR(__xludf.DUMMYFUNCTION("""COMPUTED_VALUE"""),"学习数据科学：基础知识理解")</f>
        <v>学习数据科学：基础知识理解</v>
      </c>
      <c r="AI16" s="217"/>
      <c r="AJ16" s="213"/>
    </row>
    <row r="17" spans="1:36" ht="33.75" customHeight="1">
      <c r="A17" s="213"/>
      <c r="B17" s="214">
        <f ca="1">IFERROR(__xludf.DUMMYFUNCTION("""COMPUTED_VALUE"""),2819145)</f>
        <v>2819145</v>
      </c>
      <c r="C17" s="215" t="str">
        <f ca="1">IFERROR(__xludf.DUMMYFUNCTION("""COMPUTED_VALUE"""),"Advanced")</f>
        <v>Advanced</v>
      </c>
      <c r="D17" s="216" t="str">
        <f ca="1">IFERROR(__xludf.DUMMYFUNCTION("""COMPUTED_VALUE"""),"Apache Flink: Exploratory Data Analytics with SQL")</f>
        <v>Apache Flink: Exploratory Data Analytics with SQL</v>
      </c>
      <c r="E17" s="217" t="str">
        <f ca="1">IFERROR(__xludf.DUMMYFUNCTION("""COMPUTED_VALUE"""),"Master Advanced Excel Data &amp; Analytics Skills")</f>
        <v>Master Advanced Excel Data &amp; Analytics Skills</v>
      </c>
      <c r="F17" s="213"/>
      <c r="G17" s="214">
        <f ca="1">IFERROR(__xludf.DUMMYFUNCTION("""COMPUTED_VALUE"""),193198)</f>
        <v>193198</v>
      </c>
      <c r="H17" s="215" t="str">
        <f ca="1">IFERROR(__xludf.DUMMYFUNCTION("""COMPUTED_VALUE"""),"Intermediate")</f>
        <v>Intermediate</v>
      </c>
      <c r="I17" s="217" t="str">
        <f ca="1">IFERROR(__xludf.DUMMYFUNCTION("""COMPUTED_VALUE"""),"Excel : Les fonctions du groupe Statistiques")</f>
        <v>Excel : Les fonctions du groupe Statistiques</v>
      </c>
      <c r="J17" s="217"/>
      <c r="K17" s="213"/>
      <c r="L17" s="215">
        <f ca="1">IFERROR(__xludf.DUMMYFUNCTION("""COMPUTED_VALUE"""),680866)</f>
        <v>680866</v>
      </c>
      <c r="M17" s="215" t="str">
        <f ca="1">IFERROR(__xludf.DUMMYFUNCTION("""COMPUTED_VALUE"""),"Intermediate")</f>
        <v>Intermediate</v>
      </c>
      <c r="N17" s="217" t="str">
        <f ca="1">IFERROR(__xludf.DUMMYFUNCTION("""COMPUTED_VALUE"""),"Big data: Escucha activa")</f>
        <v>Big data: Escucha activa</v>
      </c>
      <c r="O17" s="217"/>
      <c r="P17" s="213"/>
      <c r="Q17" s="215">
        <f ca="1">IFERROR(__xludf.DUMMYFUNCTION("""COMPUTED_VALUE"""),2427757)</f>
        <v>2427757</v>
      </c>
      <c r="R17" s="215" t="str">
        <f ca="1">IFERROR(__xludf.DUMMYFUNCTION("""COMPUTED_VALUE"""),"Intermediate")</f>
        <v>Intermediate</v>
      </c>
      <c r="S17" s="217" t="str">
        <f ca="1">IFERROR(__xludf.DUMMYFUNCTION("""COMPUTED_VALUE"""),"Datenanalyse mit R: Datenvisualisierung")</f>
        <v>Datenanalyse mit R: Datenvisualisierung</v>
      </c>
      <c r="T17" s="217"/>
      <c r="U17" s="213"/>
      <c r="V17" s="215"/>
      <c r="W17" s="215"/>
      <c r="X17" s="217"/>
      <c r="Y17" s="217"/>
      <c r="Z17" s="213"/>
      <c r="AA17" s="215">
        <f ca="1">IFERROR(__xludf.DUMMYFUNCTION("""COMPUTED_VALUE"""),2432275)</f>
        <v>2432275</v>
      </c>
      <c r="AB17" s="215" t="str">
        <f ca="1">IFERROR(__xludf.DUMMYFUNCTION("""COMPUTED_VALUE"""),"All levels")</f>
        <v>All levels</v>
      </c>
      <c r="AC17" s="217" t="str">
        <f ca="1">IFERROR(__xludf.DUMMYFUNCTION("""COMPUTED_VALUE"""),"Inteligência Artificial para Negócios em Dez Minutos")</f>
        <v>Inteligência Artificial para Negócios em Dez Minutos</v>
      </c>
      <c r="AD17" s="217"/>
      <c r="AE17" s="213"/>
      <c r="AF17" s="215">
        <f ca="1">IFERROR(__xludf.DUMMYFUNCTION("""COMPUTED_VALUE"""),2819000)</f>
        <v>2819000</v>
      </c>
      <c r="AG17" s="215" t="str">
        <f ca="1">IFERROR(__xludf.DUMMYFUNCTION("""COMPUTED_VALUE"""),"All levels")</f>
        <v>All levels</v>
      </c>
      <c r="AH17" s="217" t="str">
        <f ca="1">IFERROR(__xludf.DUMMYFUNCTION("""COMPUTED_VALUE"""),"学习数据科学：用数据说话")</f>
        <v>学习数据科学：用数据说话</v>
      </c>
      <c r="AI17" s="217"/>
      <c r="AJ17" s="213"/>
    </row>
    <row r="18" spans="1:36" ht="33.75" customHeight="1">
      <c r="A18" s="213"/>
      <c r="B18" s="214">
        <f ca="1">IFERROR(__xludf.DUMMYFUNCTION("""COMPUTED_VALUE"""),2825682)</f>
        <v>2825682</v>
      </c>
      <c r="C18" s="215" t="str">
        <f ca="1">IFERROR(__xludf.DUMMYFUNCTION("""COMPUTED_VALUE"""),"Advanced")</f>
        <v>Advanced</v>
      </c>
      <c r="D18" s="216" t="str">
        <f ca="1">IFERROR(__xludf.DUMMYFUNCTION("""COMPUTED_VALUE"""),"Data-Driven Learning Design")</f>
        <v>Data-Driven Learning Design</v>
      </c>
      <c r="E18" s="217" t="str">
        <f ca="1">IFERROR(__xludf.DUMMYFUNCTION("""COMPUTED_VALUE"""),"Master Excel for Data Science")</f>
        <v>Master Excel for Data Science</v>
      </c>
      <c r="F18" s="213"/>
      <c r="G18" s="214">
        <f ca="1">IFERROR(__xludf.DUMMYFUNCTION("""COMPUTED_VALUE"""),789575)</f>
        <v>789575</v>
      </c>
      <c r="H18" s="215" t="str">
        <f ca="1">IFERROR(__xludf.DUMMYFUNCTION("""COMPUTED_VALUE"""),"Intermediate")</f>
        <v>Intermediate</v>
      </c>
      <c r="I18" s="217" t="str">
        <f ca="1">IFERROR(__xludf.DUMMYFUNCTION("""COMPUTED_VALUE"""),"Excel : Les tableaux croisés dynamiques")</f>
        <v>Excel : Les tableaux croisés dynamiques</v>
      </c>
      <c r="J18" s="217"/>
      <c r="K18" s="213"/>
      <c r="L18" s="215">
        <f ca="1">IFERROR(__xludf.DUMMYFUNCTION("""COMPUTED_VALUE"""),429492)</f>
        <v>429492</v>
      </c>
      <c r="M18" s="215" t="str">
        <f ca="1">IFERROR(__xludf.DUMMYFUNCTION("""COMPUTED_VALUE"""),"All levels")</f>
        <v>All levels</v>
      </c>
      <c r="N18" s="217" t="str">
        <f ca="1">IFERROR(__xludf.DUMMYFUNCTION("""COMPUTED_VALUE"""),"Cómo generar ideas para un nuevo modelo de negocio")</f>
        <v>Cómo generar ideas para un nuevo modelo de negocio</v>
      </c>
      <c r="O18" s="217"/>
      <c r="P18" s="213"/>
      <c r="Q18" s="215">
        <f ca="1">IFERROR(__xludf.DUMMYFUNCTION("""COMPUTED_VALUE"""),3160311)</f>
        <v>3160311</v>
      </c>
      <c r="R18" s="215" t="str">
        <f ca="1">IFERROR(__xludf.DUMMYFUNCTION("""COMPUTED_VALUE"""),"Intermediate")</f>
        <v>Intermediate</v>
      </c>
      <c r="S18" s="217" t="str">
        <f ca="1">IFERROR(__xludf.DUMMYFUNCTION("""COMPUTED_VALUE"""),"Datenbankentwicklung mit PHP")</f>
        <v>Datenbankentwicklung mit PHP</v>
      </c>
      <c r="T18" s="217"/>
      <c r="U18" s="213"/>
      <c r="V18" s="215"/>
      <c r="W18" s="215"/>
      <c r="X18" s="217"/>
      <c r="Y18" s="217"/>
      <c r="Z18" s="213"/>
      <c r="AA18" s="215">
        <f ca="1">IFERROR(__xludf.DUMMYFUNCTION("""COMPUTED_VALUE"""),2928597)</f>
        <v>2928597</v>
      </c>
      <c r="AB18" s="215" t="str">
        <f ca="1">IFERROR(__xludf.DUMMYFUNCTION("""COMPUTED_VALUE"""),"All levels")</f>
        <v>All levels</v>
      </c>
      <c r="AC18" s="217" t="str">
        <f ca="1">IFERROR(__xludf.DUMMYFUNCTION("""COMPUTED_VALUE"""),"Introdução à Governança de Dados")</f>
        <v>Introdução à Governança de Dados</v>
      </c>
      <c r="AD18" s="217"/>
      <c r="AE18" s="213"/>
      <c r="AF18" s="215">
        <f ca="1">IFERROR(__xludf.DUMMYFUNCTION("""COMPUTED_VALUE"""),2825760)</f>
        <v>2825760</v>
      </c>
      <c r="AG18" s="215" t="str">
        <f ca="1">IFERROR(__xludf.DUMMYFUNCTION("""COMPUTED_VALUE"""),"Intermediate")</f>
        <v>Intermediate</v>
      </c>
      <c r="AH18" s="217" t="str">
        <f ca="1">IFERROR(__xludf.DUMMYFUNCTION("""COMPUTED_VALUE"""),"数据可视化：讲故事技巧")</f>
        <v>数据可视化：讲故事技巧</v>
      </c>
      <c r="AI18" s="217"/>
      <c r="AJ18" s="213"/>
    </row>
    <row r="19" spans="1:36" ht="33.75" customHeight="1">
      <c r="A19" s="213"/>
      <c r="B19" s="214">
        <f ca="1">IFERROR(__xludf.DUMMYFUNCTION("""COMPUTED_VALUE"""),490754)</f>
        <v>490754</v>
      </c>
      <c r="C19" s="215" t="str">
        <f ca="1">IFERROR(__xludf.DUMMYFUNCTION("""COMPUTED_VALUE"""),"Beginner")</f>
        <v>Beginner</v>
      </c>
      <c r="D19" s="216" t="str">
        <f ca="1">IFERROR(__xludf.DUMMYFUNCTION("""COMPUTED_VALUE"""),"Business Analysis Foundations: Business Process Modeling")</f>
        <v>Business Analysis Foundations: Business Process Modeling</v>
      </c>
      <c r="E19" s="217" t="str">
        <f ca="1">IFERROR(__xludf.DUMMYFUNCTION("""COMPUTED_VALUE"""),"Master Python for Data Science")</f>
        <v>Master Python for Data Science</v>
      </c>
      <c r="F19" s="213"/>
      <c r="G19" s="214">
        <f ca="1">IFERROR(__xludf.DUMMYFUNCTION("""COMPUTED_VALUE"""),2479149)</f>
        <v>2479149</v>
      </c>
      <c r="H19" s="215" t="str">
        <f ca="1">IFERROR(__xludf.DUMMYFUNCTION("""COMPUTED_VALUE"""),"Intermediate")</f>
        <v>Intermediate</v>
      </c>
      <c r="I19" s="217" t="str">
        <f ca="1">IFERROR(__xludf.DUMMYFUNCTION("""COMPUTED_VALUE"""),"Go pour la data science")</f>
        <v>Go pour la data science</v>
      </c>
      <c r="J19" s="217"/>
      <c r="K19" s="213"/>
      <c r="L19" s="215">
        <f ca="1">IFERROR(__xludf.DUMMYFUNCTION("""COMPUTED_VALUE"""),2213347)</f>
        <v>2213347</v>
      </c>
      <c r="M19" s="215" t="str">
        <f ca="1">IFERROR(__xludf.DUMMYFUNCTION("""COMPUTED_VALUE"""),"Beginner, Intermediate")</f>
        <v>Beginner, Intermediate</v>
      </c>
      <c r="N19" s="217" t="str">
        <f ca="1">IFERROR(__xludf.DUMMYFUNCTION("""COMPUTED_VALUE"""),"Data analyst: Técnicas y herramientas de informes esencial")</f>
        <v>Data analyst: Técnicas y herramientas de informes esencial</v>
      </c>
      <c r="O19" s="217"/>
      <c r="P19" s="213"/>
      <c r="Q19" s="215">
        <f ca="1">IFERROR(__xludf.DUMMYFUNCTION("""COMPUTED_VALUE"""),759356)</f>
        <v>759356</v>
      </c>
      <c r="R19" s="215" t="str">
        <f ca="1">IFERROR(__xludf.DUMMYFUNCTION("""COMPUTED_VALUE"""),"Beginner, Intermediate")</f>
        <v>Beginner, Intermediate</v>
      </c>
      <c r="S19" s="217" t="str">
        <f ca="1">IFERROR(__xludf.DUMMYFUNCTION("""COMPUTED_VALUE"""),"Deep Learning: Grundlagen, Tools und Anwendungen")</f>
        <v>Deep Learning: Grundlagen, Tools und Anwendungen</v>
      </c>
      <c r="T19" s="217"/>
      <c r="U19" s="213"/>
      <c r="V19" s="215"/>
      <c r="W19" s="215"/>
      <c r="X19" s="217"/>
      <c r="Y19" s="217"/>
      <c r="Z19" s="213"/>
      <c r="AA19" s="215">
        <f ca="1">IFERROR(__xludf.DUMMYFUNCTION("""COMPUTED_VALUE"""),2874279)</f>
        <v>2874279</v>
      </c>
      <c r="AB19" s="215" t="str">
        <f ca="1">IFERROR(__xludf.DUMMYFUNCTION("""COMPUTED_VALUE"""),"Beginner, Intermediate")</f>
        <v>Beginner, Intermediate</v>
      </c>
      <c r="AC19" s="217" t="str">
        <f ca="1">IFERROR(__xludf.DUMMYFUNCTION("""COMPUTED_VALUE"""),"Power BI: Formação Básica")</f>
        <v>Power BI: Formação Básica</v>
      </c>
      <c r="AD19" s="217"/>
      <c r="AE19" s="213"/>
      <c r="AF19" s="215">
        <f ca="1">IFERROR(__xludf.DUMMYFUNCTION("""COMPUTED_VALUE"""),2825757)</f>
        <v>2825757</v>
      </c>
      <c r="AG19" s="215" t="str">
        <f ca="1">IFERROR(__xludf.DUMMYFUNCTION("""COMPUTED_VALUE"""),"Beginner, Intermediate")</f>
        <v>Beginner, Intermediate</v>
      </c>
      <c r="AH19" s="217" t="str">
        <f ca="1">IFERROR(__xludf.DUMMYFUNCTION("""COMPUTED_VALUE"""),"数据科学基础知识：数据挖掘")</f>
        <v>数据科学基础知识：数据挖掘</v>
      </c>
      <c r="AI19" s="217"/>
      <c r="AJ19" s="213"/>
    </row>
    <row r="20" spans="1:36" ht="33.75" customHeight="1">
      <c r="A20" s="213"/>
      <c r="B20" s="214">
        <f ca="1">IFERROR(__xludf.DUMMYFUNCTION("""COMPUTED_VALUE"""),601768)</f>
        <v>601768</v>
      </c>
      <c r="C20" s="215" t="str">
        <f ca="1">IFERROR(__xludf.DUMMYFUNCTION("""COMPUTED_VALUE"""),"Beginner")</f>
        <v>Beginner</v>
      </c>
      <c r="D20" s="216" t="str">
        <f ca="1">IFERROR(__xludf.DUMMYFUNCTION("""COMPUTED_VALUE"""),"Business Analysis Foundations: Competencies")</f>
        <v>Business Analysis Foundations: Competencies</v>
      </c>
      <c r="E20" s="217"/>
      <c r="F20" s="213"/>
      <c r="G20" s="214">
        <f ca="1">IFERROR(__xludf.DUMMYFUNCTION("""COMPUTED_VALUE"""),2998037)</f>
        <v>2998037</v>
      </c>
      <c r="H20" s="215" t="str">
        <f ca="1">IFERROR(__xludf.DUMMYFUNCTION("""COMPUTED_VALUE"""),"Intermediate")</f>
        <v>Intermediate</v>
      </c>
      <c r="I20" s="217" t="str">
        <f ca="1">IFERROR(__xludf.DUMMYFUNCTION("""COMPUTED_VALUE"""),"Google Sheets : Nettoyer une base de données")</f>
        <v>Google Sheets : Nettoyer une base de données</v>
      </c>
      <c r="J20" s="217"/>
      <c r="K20" s="213"/>
      <c r="L20" s="215">
        <f ca="1">IFERROR(__xludf.DUMMYFUNCTION("""COMPUTED_VALUE"""),2210611)</f>
        <v>2210611</v>
      </c>
      <c r="M20" s="215" t="str">
        <f ca="1">IFERROR(__xludf.DUMMYFUNCTION("""COMPUTED_VALUE"""),"Advanced")</f>
        <v>Advanced</v>
      </c>
      <c r="N20" s="217" t="str">
        <f ca="1">IFERROR(__xludf.DUMMYFUNCTION("""COMPUTED_VALUE"""),"Data scientist: Azure ML y Power BI para minería de datos esencial")</f>
        <v>Data scientist: Azure ML y Power BI para minería de datos esencial</v>
      </c>
      <c r="O20" s="217"/>
      <c r="P20" s="213"/>
      <c r="Q20" s="215">
        <f ca="1">IFERROR(__xludf.DUMMYFUNCTION("""COMPUTED_VALUE"""),782103)</f>
        <v>782103</v>
      </c>
      <c r="R20" s="215" t="str">
        <f ca="1">IFERROR(__xludf.DUMMYFUNCTION("""COMPUTED_VALUE"""),"Advanced")</f>
        <v>Advanced</v>
      </c>
      <c r="S20" s="217" t="str">
        <f ca="1">IFERROR(__xludf.DUMMYFUNCTION("""COMPUTED_VALUE"""),"Einführung in die Formelsprache DAX (Excel und Power BI Desktop; 365/2019)")</f>
        <v>Einführung in die Formelsprache DAX (Excel und Power BI Desktop; 365/2019)</v>
      </c>
      <c r="T20" s="217"/>
      <c r="U20" s="213"/>
      <c r="V20" s="215"/>
      <c r="W20" s="215"/>
      <c r="X20" s="217"/>
      <c r="Y20" s="217"/>
      <c r="Z20" s="213"/>
      <c r="AA20" s="215">
        <f ca="1">IFERROR(__xludf.DUMMYFUNCTION("""COMPUTED_VALUE"""),2908960)</f>
        <v>2908960</v>
      </c>
      <c r="AB20" s="215" t="str">
        <f ca="1">IFERROR(__xludf.DUMMYFUNCTION("""COMPUTED_VALUE"""),"Beginner, Intermediate")</f>
        <v>Beginner, Intermediate</v>
      </c>
      <c r="AC20" s="217" t="str">
        <f ca="1">IFERROR(__xludf.DUMMYFUNCTION("""COMPUTED_VALUE"""),"Python para Ciência de Dados: Formação Básica")</f>
        <v>Python para Ciência de Dados: Formação Básica</v>
      </c>
      <c r="AD20" s="217"/>
      <c r="AE20" s="213"/>
      <c r="AF20" s="215">
        <f ca="1">IFERROR(__xludf.DUMMYFUNCTION("""COMPUTED_VALUE"""),3107604)</f>
        <v>3107604</v>
      </c>
      <c r="AG20" s="215" t="str">
        <f ca="1">IFERROR(__xludf.DUMMYFUNCTION("""COMPUTED_VALUE"""),"Beginner")</f>
        <v>Beginner</v>
      </c>
      <c r="AH20" s="217" t="str">
        <f ca="1">IFERROR(__xludf.DUMMYFUNCTION("""COMPUTED_VALUE"""),"统计学基础知识 1")</f>
        <v>统计学基础知识 1</v>
      </c>
      <c r="AI20" s="217"/>
      <c r="AJ20" s="213"/>
    </row>
    <row r="21" spans="1:36" ht="33.75" customHeight="1">
      <c r="A21" s="213"/>
      <c r="B21" s="214">
        <f ca="1">IFERROR(__xludf.DUMMYFUNCTION("""COMPUTED_VALUE"""),765327)</f>
        <v>765327</v>
      </c>
      <c r="C21" s="215" t="str">
        <f ca="1">IFERROR(__xludf.DUMMYFUNCTION("""COMPUTED_VALUE"""),"Beginner")</f>
        <v>Beginner</v>
      </c>
      <c r="D21" s="216" t="str">
        <f ca="1">IFERROR(__xludf.DUMMYFUNCTION("""COMPUTED_VALUE"""),"Data Fluency: Exploring and Describing Data")</f>
        <v>Data Fluency: Exploring and Describing Data</v>
      </c>
      <c r="E21" s="217"/>
      <c r="F21" s="213"/>
      <c r="G21" s="214">
        <f ca="1">IFERROR(__xludf.DUMMYFUNCTION("""COMPUTED_VALUE"""),2841159)</f>
        <v>2841159</v>
      </c>
      <c r="H21" s="215" t="str">
        <f ca="1">IFERROR(__xludf.DUMMYFUNCTION("""COMPUTED_VALUE"""),"Advanced")</f>
        <v>Advanced</v>
      </c>
      <c r="I21" s="217" t="str">
        <f ca="1">IFERROR(__xludf.DUMMYFUNCTION("""COMPUTED_VALUE"""),"Google Sheets : Travailler avec une base de données")</f>
        <v>Google Sheets : Travailler avec une base de données</v>
      </c>
      <c r="J21" s="217"/>
      <c r="K21" s="213"/>
      <c r="L21" s="215">
        <f ca="1">IFERROR(__xludf.DUMMYFUNCTION("""COMPUTED_VALUE"""),2802015)</f>
        <v>2802015</v>
      </c>
      <c r="M21" s="215" t="str">
        <f ca="1">IFERROR(__xludf.DUMMYFUNCTION("""COMPUTED_VALUE"""),"Beginner")</f>
        <v>Beginner</v>
      </c>
      <c r="N21" s="217" t="str">
        <f ca="1">IFERROR(__xludf.DUMMYFUNCTION("""COMPUTED_VALUE"""),"Data scientist: Estadística esencial")</f>
        <v>Data scientist: Estadística esencial</v>
      </c>
      <c r="O21" s="217"/>
      <c r="P21" s="213"/>
      <c r="Q21" s="215">
        <f ca="1">IFERROR(__xludf.DUMMYFUNCTION("""COMPUTED_VALUE"""),194884)</f>
        <v>194884</v>
      </c>
      <c r="R21" s="215" t="str">
        <f ca="1">IFERROR(__xludf.DUMMYFUNCTION("""COMPUTED_VALUE"""),"Advanced")</f>
        <v>Advanced</v>
      </c>
      <c r="S21" s="217" t="str">
        <f ca="1">IFERROR(__xludf.DUMMYFUNCTION("""COMPUTED_VALUE"""),"Excel 2010: Power Pivot")</f>
        <v>Excel 2010: Power Pivot</v>
      </c>
      <c r="T21" s="217"/>
      <c r="U21" s="213"/>
      <c r="V21" s="215"/>
      <c r="W21" s="215"/>
      <c r="X21" s="217"/>
      <c r="Y21" s="217"/>
      <c r="Z21" s="213"/>
      <c r="AA21" s="215">
        <f ca="1">IFERROR(__xludf.DUMMYFUNCTION("""COMPUTED_VALUE"""),2878158)</f>
        <v>2878158</v>
      </c>
      <c r="AB21" s="215" t="str">
        <f ca="1">IFERROR(__xludf.DUMMYFUNCTION("""COMPUTED_VALUE"""),"Beginner")</f>
        <v>Beginner</v>
      </c>
      <c r="AC21" s="217" t="str">
        <f ca="1">IFERROR(__xludf.DUMMYFUNCTION("""COMPUTED_VALUE"""),"Tableau: Formação Básica")</f>
        <v>Tableau: Formação Básica</v>
      </c>
      <c r="AD21" s="217"/>
      <c r="AE21" s="213"/>
      <c r="AF21" s="215">
        <f ca="1">IFERROR(__xludf.DUMMYFUNCTION("""COMPUTED_VALUE"""),2824438)</f>
        <v>2824438</v>
      </c>
      <c r="AG21" s="215" t="str">
        <f ca="1">IFERROR(__xludf.DUMMYFUNCTION("""COMPUTED_VALUE"""),"Beginner, Intermediate")</f>
        <v>Beginner, Intermediate</v>
      </c>
      <c r="AH21" s="217" t="str">
        <f ca="1">IFERROR(__xludf.DUMMYFUNCTION("""COMPUTED_VALUE"""),"统计学基础知识 2")</f>
        <v>统计学基础知识 2</v>
      </c>
      <c r="AI21" s="217"/>
      <c r="AJ21" s="213"/>
    </row>
    <row r="22" spans="1:36" ht="33.75" customHeight="1">
      <c r="A22" s="213"/>
      <c r="B22" s="214">
        <f ca="1">IFERROR(__xludf.DUMMYFUNCTION("""COMPUTED_VALUE"""),664826)</f>
        <v>664826</v>
      </c>
      <c r="C22" s="215" t="str">
        <f ca="1">IFERROR(__xludf.DUMMYFUNCTION("""COMPUTED_VALUE"""),"Beginner")</f>
        <v>Beginner</v>
      </c>
      <c r="D22" s="216" t="str">
        <f ca="1">IFERROR(__xludf.DUMMYFUNCTION("""COMPUTED_VALUE"""),"Data Science Tools of the Trade: First Steps")</f>
        <v>Data Science Tools of the Trade: First Steps</v>
      </c>
      <c r="E22" s="217"/>
      <c r="F22" s="213"/>
      <c r="G22" s="214">
        <f ca="1">IFERROR(__xludf.DUMMYFUNCTION("""COMPUTED_VALUE"""),650569)</f>
        <v>650569</v>
      </c>
      <c r="H22" s="215" t="str">
        <f ca="1">IFERROR(__xludf.DUMMYFUNCTION("""COMPUTED_VALUE"""),"Intermediate")</f>
        <v>Intermediate</v>
      </c>
      <c r="I22" s="217" t="str">
        <f ca="1">IFERROR(__xludf.DUMMYFUNCTION("""COMPUTED_VALUE"""),"La visualisation de données : Le storytelling")</f>
        <v>La visualisation de données : Le storytelling</v>
      </c>
      <c r="J22" s="217"/>
      <c r="K22" s="213"/>
      <c r="L22" s="215">
        <f ca="1">IFERROR(__xludf.DUMMYFUNCTION("""COMPUTED_VALUE"""),2213346)</f>
        <v>2213346</v>
      </c>
      <c r="M22" s="215" t="str">
        <f ca="1">IFERROR(__xludf.DUMMYFUNCTION("""COMPUTED_VALUE"""),"Intermediate")</f>
        <v>Intermediate</v>
      </c>
      <c r="N22" s="217" t="str">
        <f ca="1">IFERROR(__xludf.DUMMYFUNCTION("""COMPUTED_VALUE"""),"Data scientist: Minería de datos esencial")</f>
        <v>Data scientist: Minería de datos esencial</v>
      </c>
      <c r="O22" s="217"/>
      <c r="P22" s="213"/>
      <c r="Q22" s="215">
        <f ca="1">IFERROR(__xludf.DUMMYFUNCTION("""COMPUTED_VALUE"""),393050)</f>
        <v>393050</v>
      </c>
      <c r="R22" s="215" t="str">
        <f ca="1">IFERROR(__xludf.DUMMYFUNCTION("""COMPUTED_VALUE"""),"Advanced")</f>
        <v>Advanced</v>
      </c>
      <c r="S22" s="217" t="str">
        <f ca="1">IFERROR(__xludf.DUMMYFUNCTION("""COMPUTED_VALUE"""),"Excel 2013: Power Query")</f>
        <v>Excel 2013: Power Query</v>
      </c>
      <c r="T22" s="217"/>
      <c r="U22" s="213"/>
      <c r="V22" s="215"/>
      <c r="W22" s="215"/>
      <c r="X22" s="217"/>
      <c r="Y22" s="217"/>
      <c r="Z22" s="213"/>
      <c r="AA22" s="215">
        <f ca="1">IFERROR(__xludf.DUMMYFUNCTION("""COMPUTED_VALUE"""),2875329)</f>
        <v>2875329</v>
      </c>
      <c r="AB22" s="215" t="str">
        <f ca="1">IFERROR(__xludf.DUMMYFUNCTION("""COMPUTED_VALUE"""),"Advanced")</f>
        <v>Advanced</v>
      </c>
      <c r="AC22" s="217" t="str">
        <f ca="1">IFERROR(__xludf.DUMMYFUNCTION("""COMPUTED_VALUE"""),"Técnicas Avançadas de Python")</f>
        <v>Técnicas Avançadas de Python</v>
      </c>
      <c r="AD22" s="217"/>
      <c r="AE22" s="213"/>
      <c r="AF22" s="215">
        <f ca="1">IFERROR(__xludf.DUMMYFUNCTION("""COMPUTED_VALUE"""),2823604)</f>
        <v>2823604</v>
      </c>
      <c r="AG22" s="215" t="str">
        <f ca="1">IFERROR(__xludf.DUMMYFUNCTION("""COMPUTED_VALUE"""),"Intermediate")</f>
        <v>Intermediate</v>
      </c>
      <c r="AH22" s="217" t="str">
        <f ca="1">IFERROR(__xludf.DUMMYFUNCTION("""COMPUTED_VALUE"""),"统计学基础知识 3")</f>
        <v>统计学基础知识 3</v>
      </c>
      <c r="AI22" s="217"/>
      <c r="AJ22" s="213"/>
    </row>
    <row r="23" spans="1:36" ht="33.75" customHeight="1">
      <c r="A23" s="213"/>
      <c r="B23" s="214">
        <f ca="1">IFERROR(__xludf.DUMMYFUNCTION("""COMPUTED_VALUE"""),806168)</f>
        <v>806168</v>
      </c>
      <c r="C23" s="215" t="str">
        <f ca="1">IFERROR(__xludf.DUMMYFUNCTION("""COMPUTED_VALUE"""),"Beginner")</f>
        <v>Beginner</v>
      </c>
      <c r="D23" s="216" t="str">
        <f ca="1">IFERROR(__xludf.DUMMYFUNCTION("""COMPUTED_VALUE"""),"Learning Excel: Data Analysis")</f>
        <v>Learning Excel: Data Analysis</v>
      </c>
      <c r="E23" s="217"/>
      <c r="F23" s="213"/>
      <c r="G23" s="214">
        <f ca="1">IFERROR(__xludf.DUMMYFUNCTION("""COMPUTED_VALUE"""),609789)</f>
        <v>609789</v>
      </c>
      <c r="H23" s="215" t="str">
        <f ca="1">IFERROR(__xludf.DUMMYFUNCTION("""COMPUTED_VALUE"""),"Beginner, Intermediate")</f>
        <v>Beginner, Intermediate</v>
      </c>
      <c r="I23" s="217" t="str">
        <f ca="1">IFERROR(__xludf.DUMMYFUNCTION("""COMPUTED_VALUE"""),"Les fondements de la visualisation de données")</f>
        <v>Les fondements de la visualisation de données</v>
      </c>
      <c r="J23" s="217"/>
      <c r="K23" s="213"/>
      <c r="L23" s="215">
        <f ca="1">IFERROR(__xludf.DUMMYFUNCTION("""COMPUTED_VALUE"""),708537)</f>
        <v>708537</v>
      </c>
      <c r="M23" s="215" t="str">
        <f ca="1">IFERROR(__xludf.DUMMYFUNCTION("""COMPUTED_VALUE"""),"Intermediate")</f>
        <v>Intermediate</v>
      </c>
      <c r="N23" s="217" t="str">
        <f ca="1">IFERROR(__xludf.DUMMYFUNCTION("""COMPUTED_VALUE"""),"Excel 2016 para Mac: Análisis, gestión y validación de datos")</f>
        <v>Excel 2016 para Mac: Análisis, gestión y validación de datos</v>
      </c>
      <c r="O23" s="217"/>
      <c r="P23" s="213"/>
      <c r="Q23" s="215">
        <f ca="1">IFERROR(__xludf.DUMMYFUNCTION("""COMPUTED_VALUE"""),518318)</f>
        <v>518318</v>
      </c>
      <c r="R23" s="215" t="str">
        <f ca="1">IFERROR(__xludf.DUMMYFUNCTION("""COMPUTED_VALUE"""),"Intermediate")</f>
        <v>Intermediate</v>
      </c>
      <c r="S23" s="217" t="str">
        <f ca="1">IFERROR(__xludf.DUMMYFUNCTION("""COMPUTED_VALUE"""),"Excel 2016: Daten abrufen und transformieren")</f>
        <v>Excel 2016: Daten abrufen und transformieren</v>
      </c>
      <c r="T23" s="217"/>
      <c r="U23" s="213"/>
      <c r="V23" s="215"/>
      <c r="W23" s="215"/>
      <c r="X23" s="217"/>
      <c r="Y23" s="217"/>
      <c r="Z23" s="213"/>
      <c r="AA23" s="215"/>
      <c r="AB23" s="215"/>
      <c r="AC23" s="217"/>
      <c r="AD23" s="217"/>
      <c r="AE23" s="213"/>
      <c r="AF23" s="215">
        <f ca="1">IFERROR(__xludf.DUMMYFUNCTION("""COMPUTED_VALUE"""),3107606)</f>
        <v>3107606</v>
      </c>
      <c r="AG23" s="215" t="str">
        <f ca="1">IFERROR(__xludf.DUMMYFUNCTION("""COMPUTED_VALUE"""),"Beginner")</f>
        <v>Beginner</v>
      </c>
      <c r="AH23" s="217" t="str">
        <f ca="1">IFERROR(__xludf.DUMMYFUNCTION("""COMPUTED_VALUE"""),"编程基础系列之：算法")</f>
        <v>编程基础系列之：算法</v>
      </c>
      <c r="AI23" s="217"/>
      <c r="AJ23" s="213"/>
    </row>
    <row r="24" spans="1:36" ht="33.75" customHeight="1">
      <c r="A24" s="213"/>
      <c r="B24" s="214">
        <f ca="1">IFERROR(__xludf.DUMMYFUNCTION("""COMPUTED_VALUE"""),672259)</f>
        <v>672259</v>
      </c>
      <c r="C24" s="215" t="str">
        <f ca="1">IFERROR(__xludf.DUMMYFUNCTION("""COMPUTED_VALUE"""),"Beginner")</f>
        <v>Beginner</v>
      </c>
      <c r="D24" s="216" t="str">
        <f ca="1">IFERROR(__xludf.DUMMYFUNCTION("""COMPUTED_VALUE"""),"SQL for Exploratory Data Analysis Essential Training")</f>
        <v>SQL for Exploratory Data Analysis Essential Training</v>
      </c>
      <c r="E24" s="217"/>
      <c r="F24" s="213"/>
      <c r="G24" s="214">
        <f ca="1">IFERROR(__xludf.DUMMYFUNCTION("""COMPUTED_VALUE"""),401244)</f>
        <v>401244</v>
      </c>
      <c r="H24" s="215" t="str">
        <f ca="1">IFERROR(__xludf.DUMMYFUNCTION("""COMPUTED_VALUE"""),"Intermediate")</f>
        <v>Intermediate</v>
      </c>
      <c r="I24" s="217" t="str">
        <f ca="1">IFERROR(__xludf.DUMMYFUNCTION("""COMPUTED_VALUE"""),"Les fondements des bases de données relationnelles")</f>
        <v>Les fondements des bases de données relationnelles</v>
      </c>
      <c r="J24" s="217"/>
      <c r="K24" s="213"/>
      <c r="L24" s="215">
        <f ca="1">IFERROR(__xludf.DUMMYFUNCTION("""COMPUTED_VALUE"""),582470)</f>
        <v>582470</v>
      </c>
      <c r="M24" s="215" t="str">
        <f ca="1">IFERROR(__xludf.DUMMYFUNCTION("""COMPUTED_VALUE"""),"Advanced")</f>
        <v>Advanced</v>
      </c>
      <c r="N24" s="217" t="str">
        <f ca="1">IFERROR(__xludf.DUMMYFUNCTION("""COMPUTED_VALUE"""),"Excel 2016 para Mac: Gráficos y presentación de datos")</f>
        <v>Excel 2016 para Mac: Gráficos y presentación de datos</v>
      </c>
      <c r="O24" s="217"/>
      <c r="P24" s="213"/>
      <c r="Q24" s="215">
        <f ca="1">IFERROR(__xludf.DUMMYFUNCTION("""COMPUTED_VALUE"""),501254)</f>
        <v>501254</v>
      </c>
      <c r="R24" s="215" t="str">
        <f ca="1">IFERROR(__xludf.DUMMYFUNCTION("""COMPUTED_VALUE"""),"Advanced")</f>
        <v>Advanced</v>
      </c>
      <c r="S24" s="217" t="str">
        <f ca="1">IFERROR(__xludf.DUMMYFUNCTION("""COMPUTED_VALUE"""),"Excel 2016: Daten importieren, modellieren, auswerten")</f>
        <v>Excel 2016: Daten importieren, modellieren, auswerten</v>
      </c>
      <c r="T24" s="217"/>
      <c r="U24" s="213"/>
      <c r="V24" s="215"/>
      <c r="W24" s="215"/>
      <c r="X24" s="217"/>
      <c r="Y24" s="217"/>
      <c r="Z24" s="213"/>
      <c r="AA24" s="215"/>
      <c r="AB24" s="215"/>
      <c r="AC24" s="217"/>
      <c r="AD24" s="217"/>
      <c r="AE24" s="213"/>
      <c r="AF24" s="215">
        <f ca="1">IFERROR(__xludf.DUMMYFUNCTION("""COMPUTED_VALUE"""),2886004)</f>
        <v>2886004</v>
      </c>
      <c r="AG24" s="215" t="str">
        <f ca="1">IFERROR(__xludf.DUMMYFUNCTION("""COMPUTED_VALUE"""),"Beginner")</f>
        <v>Beginner</v>
      </c>
      <c r="AH24" s="217" t="str">
        <f ca="1">IFERROR(__xludf.DUMMYFUNCTION("""COMPUTED_VALUE"""),"面向项目经理的人工智能")</f>
        <v>面向项目经理的人工智能</v>
      </c>
      <c r="AI24" s="217"/>
      <c r="AJ24" s="213"/>
    </row>
    <row r="25" spans="1:36" ht="33.75" customHeight="1">
      <c r="A25" s="213"/>
      <c r="B25" s="214">
        <f ca="1">IFERROR(__xludf.DUMMYFUNCTION("""COMPUTED_VALUE"""),2811017)</f>
        <v>2811017</v>
      </c>
      <c r="C25" s="215" t="str">
        <f ca="1">IFERROR(__xludf.DUMMYFUNCTION("""COMPUTED_VALUE"""),"Beginner")</f>
        <v>Beginner</v>
      </c>
      <c r="D25" s="216" t="str">
        <f ca="1">IFERROR(__xludf.DUMMYFUNCTION("""COMPUTED_VALUE"""),"Studying for the Certified Business Analysis Professional (CBAP)®")</f>
        <v>Studying for the Certified Business Analysis Professional (CBAP)®</v>
      </c>
      <c r="E25" s="217"/>
      <c r="F25" s="213"/>
      <c r="G25" s="214">
        <f ca="1">IFERROR(__xludf.DUMMYFUNCTION("""COMPUTED_VALUE"""),609790)</f>
        <v>609790</v>
      </c>
      <c r="H25" s="215" t="str">
        <f ca="1">IFERROR(__xludf.DUMMYFUNCTION("""COMPUTED_VALUE"""),"Beginner, Intermediate")</f>
        <v>Beginner, Intermediate</v>
      </c>
      <c r="I25" s="217" t="str">
        <f ca="1">IFERROR(__xludf.DUMMYFUNCTION("""COMPUTED_VALUE"""),"Les fondements des statistiques")</f>
        <v>Les fondements des statistiques</v>
      </c>
      <c r="J25" s="217"/>
      <c r="K25" s="213"/>
      <c r="L25" s="215">
        <f ca="1">IFERROR(__xludf.DUMMYFUNCTION("""COMPUTED_VALUE"""),546108)</f>
        <v>546108</v>
      </c>
      <c r="M25" s="215" t="str">
        <f ca="1">IFERROR(__xludf.DUMMYFUNCTION("""COMPUTED_VALUE"""),"Intermediate")</f>
        <v>Intermediate</v>
      </c>
      <c r="N25" s="217" t="str">
        <f ca="1">IFERROR(__xludf.DUMMYFUNCTION("""COMPUTED_VALUE"""),"Excel 2016: Análisis y gestión de datos")</f>
        <v>Excel 2016: Análisis y gestión de datos</v>
      </c>
      <c r="O25" s="217"/>
      <c r="P25" s="213"/>
      <c r="Q25" s="215">
        <f ca="1">IFERROR(__xludf.DUMMYFUNCTION("""COMPUTED_VALUE"""),561638)</f>
        <v>561638</v>
      </c>
      <c r="R25" s="215" t="str">
        <f ca="1">IFERROR(__xludf.DUMMYFUNCTION("""COMPUTED_VALUE"""),"Intermediate")</f>
        <v>Intermediate</v>
      </c>
      <c r="S25" s="217" t="str">
        <f ca="1">IFERROR(__xludf.DUMMYFUNCTION("""COMPUTED_VALUE"""),"Excel 2016: Datenanalyse")</f>
        <v>Excel 2016: Datenanalyse</v>
      </c>
      <c r="T25" s="217"/>
      <c r="U25" s="213"/>
      <c r="V25" s="215"/>
      <c r="W25" s="215"/>
      <c r="X25" s="217"/>
      <c r="Y25" s="217"/>
      <c r="Z25" s="213"/>
      <c r="AA25" s="215"/>
      <c r="AB25" s="215"/>
      <c r="AC25" s="217"/>
      <c r="AD25" s="217"/>
      <c r="AE25" s="213"/>
      <c r="AF25" s="215"/>
      <c r="AG25" s="215"/>
      <c r="AH25" s="217"/>
      <c r="AI25" s="217"/>
      <c r="AJ25" s="213"/>
    </row>
    <row r="26" spans="1:36" ht="33.75" customHeight="1">
      <c r="A26" s="213"/>
      <c r="B26" s="214">
        <f ca="1">IFERROR(__xludf.DUMMYFUNCTION("""COMPUTED_VALUE"""),2804664)</f>
        <v>2804664</v>
      </c>
      <c r="C26" s="215" t="str">
        <f ca="1">IFERROR(__xludf.DUMMYFUNCTION("""COMPUTED_VALUE"""),"Beginner")</f>
        <v>Beginner</v>
      </c>
      <c r="D26" s="216" t="str">
        <f ca="1">IFERROR(__xludf.DUMMYFUNCTION("""COMPUTED_VALUE"""),"Introducing AI to Your Organization")</f>
        <v>Introducing AI to Your Organization</v>
      </c>
      <c r="E26" s="217"/>
      <c r="F26" s="213"/>
      <c r="G26" s="214">
        <f ca="1">IFERROR(__xludf.DUMMYFUNCTION("""COMPUTED_VALUE"""),584325)</f>
        <v>584325</v>
      </c>
      <c r="H26" s="215" t="str">
        <f ca="1">IFERROR(__xludf.DUMMYFUNCTION("""COMPUTED_VALUE"""),"Beginner")</f>
        <v>Beginner</v>
      </c>
      <c r="I26" s="217" t="str">
        <f ca="1">IFERROR(__xludf.DUMMYFUNCTION("""COMPUTED_VALUE"""),"Les fondements du Big Data")</f>
        <v>Les fondements du Big Data</v>
      </c>
      <c r="J26" s="217"/>
      <c r="K26" s="213"/>
      <c r="L26" s="215">
        <f ca="1">IFERROR(__xludf.DUMMYFUNCTION("""COMPUTED_VALUE"""),544545)</f>
        <v>544545</v>
      </c>
      <c r="M26" s="215" t="str">
        <f ca="1">IFERROR(__xludf.DUMMYFUNCTION("""COMPUTED_VALUE"""),"Intermediate")</f>
        <v>Intermediate</v>
      </c>
      <c r="N26" s="217" t="str">
        <f ca="1">IFERROR(__xludf.DUMMYFUNCTION("""COMPUTED_VALUE"""),"Excel 2016: Gráficos y presentación de datos")</f>
        <v>Excel 2016: Gráficos y presentación de datos</v>
      </c>
      <c r="O26" s="217"/>
      <c r="P26" s="213"/>
      <c r="Q26" s="215">
        <f ca="1">IFERROR(__xludf.DUMMYFUNCTION("""COMPUTED_VALUE"""),561062)</f>
        <v>561062</v>
      </c>
      <c r="R26" s="215" t="str">
        <f ca="1">IFERROR(__xludf.DUMMYFUNCTION("""COMPUTED_VALUE"""),"Intermediate")</f>
        <v>Intermediate</v>
      </c>
      <c r="S26" s="217" t="str">
        <f ca="1">IFERROR(__xludf.DUMMYFUNCTION("""COMPUTED_VALUE"""),"Excel 2016: Management-Reports")</f>
        <v>Excel 2016: Management-Reports</v>
      </c>
      <c r="T26" s="217"/>
      <c r="U26" s="213"/>
      <c r="V26" s="215"/>
      <c r="W26" s="215"/>
      <c r="X26" s="217"/>
      <c r="Y26" s="217"/>
      <c r="Z26" s="213"/>
      <c r="AA26" s="215"/>
      <c r="AB26" s="215"/>
      <c r="AC26" s="217"/>
      <c r="AD26" s="217"/>
      <c r="AE26" s="213"/>
      <c r="AF26" s="215"/>
      <c r="AG26" s="215"/>
      <c r="AH26" s="217"/>
      <c r="AI26" s="217"/>
      <c r="AJ26" s="213"/>
    </row>
    <row r="27" spans="1:36" ht="33.75" customHeight="1">
      <c r="A27" s="213"/>
      <c r="B27" s="214">
        <f ca="1">IFERROR(__xludf.DUMMYFUNCTION("""COMPUTED_VALUE"""),2823034)</f>
        <v>2823034</v>
      </c>
      <c r="C27" s="215" t="str">
        <f ca="1">IFERROR(__xludf.DUMMYFUNCTION("""COMPUTED_VALUE"""),"Beginner")</f>
        <v>Beginner</v>
      </c>
      <c r="D27" s="216" t="str">
        <f ca="1">IFERROR(__xludf.DUMMYFUNCTION("""COMPUTED_VALUE"""),"SAS® 9.4 Cert Prep: Part 05 Analyzing and Reporting on Data")</f>
        <v>SAS® 9.4 Cert Prep: Part 05 Analyzing and Reporting on Data</v>
      </c>
      <c r="E27" s="217"/>
      <c r="F27" s="213"/>
      <c r="G27" s="214">
        <f ca="1">IFERROR(__xludf.DUMMYFUNCTION("""COMPUTED_VALUE"""),792299)</f>
        <v>792299</v>
      </c>
      <c r="H27" s="215" t="str">
        <f ca="1">IFERROR(__xludf.DUMMYFUNCTION("""COMPUTED_VALUE"""),"Beginner")</f>
        <v>Beginner</v>
      </c>
      <c r="I27" s="217" t="str">
        <f ca="1">IFERROR(__xludf.DUMMYFUNCTION("""COMPUTED_VALUE"""),"Les fondements du text mining")</f>
        <v>Les fondements du text mining</v>
      </c>
      <c r="J27" s="217"/>
      <c r="K27" s="213"/>
      <c r="L27" s="215">
        <f ca="1">IFERROR(__xludf.DUMMYFUNCTION("""COMPUTED_VALUE"""),708548)</f>
        <v>708548</v>
      </c>
      <c r="M27" s="215" t="str">
        <f ca="1">IFERROR(__xludf.DUMMYFUNCTION("""COMPUTED_VALUE"""),"Intermediate")</f>
        <v>Intermediate</v>
      </c>
      <c r="N27" s="217" t="str">
        <f ca="1">IFERROR(__xludf.DUMMYFUNCTION("""COMPUTED_VALUE"""),"Excel 2016: Limpieza de datos")</f>
        <v>Excel 2016: Limpieza de datos</v>
      </c>
      <c r="O27" s="217"/>
      <c r="P27" s="213"/>
      <c r="Q27" s="215">
        <f ca="1">IFERROR(__xludf.DUMMYFUNCTION("""COMPUTED_VALUE"""),490529)</f>
        <v>490529</v>
      </c>
      <c r="R27" s="215" t="str">
        <f ca="1">IFERROR(__xludf.DUMMYFUNCTION("""COMPUTED_VALUE"""),"Intermediate")</f>
        <v>Intermediate</v>
      </c>
      <c r="S27" s="217" t="str">
        <f ca="1">IFERROR(__xludf.DUMMYFUNCTION("""COMPUTED_VALUE"""),"Excel 2016: Pivot-Tabellen")</f>
        <v>Excel 2016: Pivot-Tabellen</v>
      </c>
      <c r="T27" s="217"/>
      <c r="U27" s="213"/>
      <c r="V27" s="215"/>
      <c r="W27" s="215"/>
      <c r="X27" s="217"/>
      <c r="Y27" s="217"/>
      <c r="Z27" s="213"/>
      <c r="AA27" s="215"/>
      <c r="AB27" s="215"/>
      <c r="AC27" s="217"/>
      <c r="AD27" s="217"/>
      <c r="AE27" s="213"/>
      <c r="AF27" s="215"/>
      <c r="AG27" s="215"/>
      <c r="AH27" s="217"/>
      <c r="AI27" s="217"/>
      <c r="AJ27" s="213"/>
    </row>
    <row r="28" spans="1:36" ht="33.75" customHeight="1">
      <c r="A28" s="213"/>
      <c r="B28" s="214">
        <f ca="1">IFERROR(__xludf.DUMMYFUNCTION("""COMPUTED_VALUE"""),2822592)</f>
        <v>2822592</v>
      </c>
      <c r="C28" s="215" t="str">
        <f ca="1">IFERROR(__xludf.DUMMYFUNCTION("""COMPUTED_VALUE"""),"Beginner")</f>
        <v>Beginner</v>
      </c>
      <c r="D28" s="216" t="str">
        <f ca="1">IFERROR(__xludf.DUMMYFUNCTION("""COMPUTED_VALUE"""),"Introduction to Business Analytics")</f>
        <v>Introduction to Business Analytics</v>
      </c>
      <c r="E28" s="217"/>
      <c r="F28" s="213"/>
      <c r="G28" s="214">
        <f ca="1">IFERROR(__xludf.DUMMYFUNCTION("""COMPUTED_VALUE"""),2424468)</f>
        <v>2424468</v>
      </c>
      <c r="H28" s="215" t="str">
        <f ca="1">IFERROR(__xludf.DUMMYFUNCTION("""COMPUTED_VALUE"""),"Beginner, Intermediate")</f>
        <v>Beginner, Intermediate</v>
      </c>
      <c r="I28" s="217" t="str">
        <f ca="1">IFERROR(__xludf.DUMMYFUNCTION("""COMPUTED_VALUE"""),"L'essentiel de Clarity")</f>
        <v>L'essentiel de Clarity</v>
      </c>
      <c r="J28" s="217"/>
      <c r="K28" s="213"/>
      <c r="L28" s="215">
        <f ca="1">IFERROR(__xludf.DUMMYFUNCTION("""COMPUTED_VALUE"""),561501)</f>
        <v>561501</v>
      </c>
      <c r="M28" s="215" t="str">
        <f ca="1">IFERROR(__xludf.DUMMYFUNCTION("""COMPUTED_VALUE"""),"Intermediate")</f>
        <v>Intermediate</v>
      </c>
      <c r="N28" s="217" t="str">
        <f ca="1">IFERROR(__xludf.DUMMYFUNCTION("""COMPUTED_VALUE"""),"Excel 2016: Validación de datos")</f>
        <v>Excel 2016: Validación de datos</v>
      </c>
      <c r="O28" s="217"/>
      <c r="P28" s="213"/>
      <c r="Q28" s="215">
        <f ca="1">IFERROR(__xludf.DUMMYFUNCTION("""COMPUTED_VALUE"""),561500)</f>
        <v>561500</v>
      </c>
      <c r="R28" s="215" t="str">
        <f ca="1">IFERROR(__xludf.DUMMYFUNCTION("""COMPUTED_VALUE"""),"Advanced")</f>
        <v>Advanced</v>
      </c>
      <c r="S28" s="217" t="str">
        <f ca="1">IFERROR(__xludf.DUMMYFUNCTION("""COMPUTED_VALUE"""),"Excel 2016: Power Pivot")</f>
        <v>Excel 2016: Power Pivot</v>
      </c>
      <c r="T28" s="217"/>
      <c r="U28" s="213"/>
      <c r="V28" s="215"/>
      <c r="W28" s="215"/>
      <c r="X28" s="217"/>
      <c r="Y28" s="217"/>
      <c r="Z28" s="213"/>
      <c r="AA28" s="215"/>
      <c r="AB28" s="215"/>
      <c r="AC28" s="217"/>
      <c r="AD28" s="217"/>
      <c r="AE28" s="213"/>
      <c r="AF28" s="215"/>
      <c r="AG28" s="215"/>
      <c r="AH28" s="217"/>
      <c r="AI28" s="217"/>
      <c r="AJ28" s="213"/>
    </row>
    <row r="29" spans="1:36" ht="33.75" customHeight="1">
      <c r="A29" s="213"/>
      <c r="B29" s="214">
        <f ca="1">IFERROR(__xludf.DUMMYFUNCTION("""COMPUTED_VALUE"""),2280170)</f>
        <v>2280170</v>
      </c>
      <c r="C29" s="215" t="str">
        <f ca="1">IFERROR(__xludf.DUMMYFUNCTION("""COMPUTED_VALUE"""),"Beginner")</f>
        <v>Beginner</v>
      </c>
      <c r="D29" s="216" t="str">
        <f ca="1">IFERROR(__xludf.DUMMYFUNCTION("""COMPUTED_VALUE"""),"Data Ethics: Making Data-Driven Decisions")</f>
        <v>Data Ethics: Making Data-Driven Decisions</v>
      </c>
      <c r="E29" s="217"/>
      <c r="F29" s="213"/>
      <c r="G29" s="214">
        <f ca="1">IFERROR(__xludf.DUMMYFUNCTION("""COMPUTED_VALUE"""),584329)</f>
        <v>584329</v>
      </c>
      <c r="H29" s="215" t="str">
        <f ca="1">IFERROR(__xludf.DUMMYFUNCTION("""COMPUTED_VALUE"""),"Beginner, Intermediate")</f>
        <v>Beginner, Intermediate</v>
      </c>
      <c r="I29" s="217" t="str">
        <f ca="1">IFERROR(__xludf.DUMMYFUNCTION("""COMPUTED_VALUE"""),"L'essentiel de Hive")</f>
        <v>L'essentiel de Hive</v>
      </c>
      <c r="J29" s="217"/>
      <c r="K29" s="213"/>
      <c r="L29" s="215">
        <f ca="1">IFERROR(__xludf.DUMMYFUNCTION("""COMPUTED_VALUE"""),751041)</f>
        <v>751041</v>
      </c>
      <c r="M29" s="215" t="str">
        <f ca="1">IFERROR(__xludf.DUMMYFUNCTION("""COMPUTED_VALUE"""),"Intermediate")</f>
        <v>Intermediate</v>
      </c>
      <c r="N29" s="217" t="str">
        <f ca="1">IFERROR(__xludf.DUMMYFUNCTION("""COMPUTED_VALUE"""),"Excel Business Intelligence 1: Obtener y Transformar (Power Query) (365/2019)")</f>
        <v>Excel Business Intelligence 1: Obtener y Transformar (Power Query) (365/2019)</v>
      </c>
      <c r="O29" s="217"/>
      <c r="P29" s="213"/>
      <c r="Q29" s="215">
        <f ca="1">IFERROR(__xludf.DUMMYFUNCTION("""COMPUTED_VALUE"""),668595)</f>
        <v>668595</v>
      </c>
      <c r="R29" s="215" t="str">
        <f ca="1">IFERROR(__xludf.DUMMYFUNCTION("""COMPUTED_VALUE"""),"Advanced")</f>
        <v>Advanced</v>
      </c>
      <c r="S29" s="217" t="str">
        <f ca="1">IFERROR(__xludf.DUMMYFUNCTION("""COMPUTED_VALUE"""),"Excel: Cubefunktionen")</f>
        <v>Excel: Cubefunktionen</v>
      </c>
      <c r="T29" s="217"/>
      <c r="U29" s="213"/>
      <c r="V29" s="215"/>
      <c r="W29" s="215"/>
      <c r="X29" s="217"/>
      <c r="Y29" s="217"/>
      <c r="Z29" s="213"/>
      <c r="AA29" s="215"/>
      <c r="AB29" s="215"/>
      <c r="AC29" s="217"/>
      <c r="AD29" s="217"/>
      <c r="AE29" s="213"/>
      <c r="AF29" s="215"/>
      <c r="AG29" s="215"/>
      <c r="AH29" s="217"/>
      <c r="AI29" s="217"/>
      <c r="AJ29" s="213"/>
    </row>
    <row r="30" spans="1:36" ht="33.75" customHeight="1">
      <c r="A30" s="213"/>
      <c r="B30" s="214">
        <f ca="1">IFERROR(__xludf.DUMMYFUNCTION("""COMPUTED_VALUE"""),2825620)</f>
        <v>2825620</v>
      </c>
      <c r="C30" s="215" t="str">
        <f ca="1">IFERROR(__xludf.DUMMYFUNCTION("""COMPUTED_VALUE"""),"Beginner")</f>
        <v>Beginner</v>
      </c>
      <c r="D30" s="216" t="str">
        <f ca="1">IFERROR(__xludf.DUMMYFUNCTION("""COMPUTED_VALUE"""),"Business Analytics: Marketing Data")</f>
        <v>Business Analytics: Marketing Data</v>
      </c>
      <c r="E30" s="217"/>
      <c r="F30" s="213"/>
      <c r="G30" s="214">
        <f ca="1">IFERROR(__xludf.DUMMYFUNCTION("""COMPUTED_VALUE"""),2367547)</f>
        <v>2367547</v>
      </c>
      <c r="H30" s="215" t="str">
        <f ca="1">IFERROR(__xludf.DUMMYFUNCTION("""COMPUTED_VALUE"""),"Beginner, Intermediate")</f>
        <v>Beginner, Intermediate</v>
      </c>
      <c r="I30" s="217" t="str">
        <f ca="1">IFERROR(__xludf.DUMMYFUNCTION("""COMPUTED_VALUE"""),"L'essentiel de Power BI")</f>
        <v>L'essentiel de Power BI</v>
      </c>
      <c r="J30" s="217"/>
      <c r="K30" s="213"/>
      <c r="L30" s="215">
        <f ca="1">IFERROR(__xludf.DUMMYFUNCTION("""COMPUTED_VALUE"""),2809915)</f>
        <v>2809915</v>
      </c>
      <c r="M30" s="215" t="str">
        <f ca="1">IFERROR(__xludf.DUMMYFUNCTION("""COMPUTED_VALUE"""),"Intermediate")</f>
        <v>Intermediate</v>
      </c>
      <c r="N30" s="217" t="str">
        <f ca="1">IFERROR(__xludf.DUMMYFUNCTION("""COMPUTED_VALUE"""),"Excel Business Intelligence 2: Modelado de datos (365/2019)")</f>
        <v>Excel Business Intelligence 2: Modelado de datos (365/2019)</v>
      </c>
      <c r="O30" s="217"/>
      <c r="P30" s="213"/>
      <c r="Q30" s="215">
        <f ca="1">IFERROR(__xludf.DUMMYFUNCTION("""COMPUTED_VALUE"""),2923413)</f>
        <v>2923413</v>
      </c>
      <c r="R30" s="215" t="str">
        <f ca="1">IFERROR(__xludf.DUMMYFUNCTION("""COMPUTED_VALUE"""),"Advanced")</f>
        <v>Advanced</v>
      </c>
      <c r="S30" s="217" t="str">
        <f ca="1">IFERROR(__xludf.DUMMYFUNCTION("""COMPUTED_VALUE"""),"Excel: Dashboards (365/2019)")</f>
        <v>Excel: Dashboards (365/2019)</v>
      </c>
      <c r="T30" s="217"/>
      <c r="U30" s="213"/>
      <c r="V30" s="215"/>
      <c r="W30" s="215"/>
      <c r="X30" s="217"/>
      <c r="Y30" s="217"/>
      <c r="Z30" s="213"/>
      <c r="AA30" s="215"/>
      <c r="AB30" s="215"/>
      <c r="AC30" s="217"/>
      <c r="AD30" s="217"/>
      <c r="AE30" s="213"/>
      <c r="AF30" s="215"/>
      <c r="AG30" s="215"/>
      <c r="AH30" s="217"/>
      <c r="AI30" s="217"/>
      <c r="AJ30" s="213"/>
    </row>
    <row r="31" spans="1:36" ht="33.75" customHeight="1">
      <c r="A31" s="213"/>
      <c r="B31" s="214">
        <f ca="1">IFERROR(__xludf.DUMMYFUNCTION("""COMPUTED_VALUE"""),2823513)</f>
        <v>2823513</v>
      </c>
      <c r="C31" s="215" t="str">
        <f ca="1">IFERROR(__xludf.DUMMYFUNCTION("""COMPUTED_VALUE"""),"Beginner")</f>
        <v>Beginner</v>
      </c>
      <c r="D31" s="216" t="str">
        <f ca="1">IFERROR(__xludf.DUMMYFUNCTION("""COMPUTED_VALUE"""),"Business Analytics: Sales Data")</f>
        <v>Business Analytics: Sales Data</v>
      </c>
      <c r="E31" s="217"/>
      <c r="F31" s="213"/>
      <c r="G31" s="214">
        <f ca="1">IFERROR(__xludf.DUMMYFUNCTION("""COMPUTED_VALUE"""),2434317)</f>
        <v>2434317</v>
      </c>
      <c r="H31" s="215" t="str">
        <f ca="1">IFERROR(__xludf.DUMMYFUNCTION("""COMPUTED_VALUE"""),"Intermediate")</f>
        <v>Intermediate</v>
      </c>
      <c r="I31" s="217" t="str">
        <f ca="1">IFERROR(__xludf.DUMMYFUNCTION("""COMPUTED_VALUE"""),"Migrer une base de données SQL Server sur Azure Database")</f>
        <v>Migrer une base de données SQL Server sur Azure Database</v>
      </c>
      <c r="J31" s="217"/>
      <c r="K31" s="213"/>
      <c r="L31" s="215">
        <f ca="1">IFERROR(__xludf.DUMMYFUNCTION("""COMPUTED_VALUE"""),763852)</f>
        <v>763852</v>
      </c>
      <c r="M31" s="215" t="str">
        <f ca="1">IFERROR(__xludf.DUMMYFUNCTION("""COMPUTED_VALUE"""),"Beginner")</f>
        <v>Beginner</v>
      </c>
      <c r="N31" s="217" t="str">
        <f ca="1">IFERROR(__xludf.DUMMYFUNCTION("""COMPUTED_VALUE"""),"Excel para principiantes: Análisis de datos (365/2019)")</f>
        <v>Excel para principiantes: Análisis de datos (365/2019)</v>
      </c>
      <c r="O31" s="217"/>
      <c r="P31" s="213"/>
      <c r="Q31" s="215">
        <f ca="1">IFERROR(__xludf.DUMMYFUNCTION("""COMPUTED_VALUE"""),2920638)</f>
        <v>2920638</v>
      </c>
      <c r="R31" s="215" t="str">
        <f ca="1">IFERROR(__xludf.DUMMYFUNCTION("""COMPUTED_VALUE"""),"Intermediate")</f>
        <v>Intermediate</v>
      </c>
      <c r="S31" s="217" t="str">
        <f ca="1">IFERROR(__xludf.DUMMYFUNCTION("""COMPUTED_VALUE"""),"Excel: Daten abrufen und transformieren (Power Query; 365/2019)")</f>
        <v>Excel: Daten abrufen und transformieren (Power Query; 365/2019)</v>
      </c>
      <c r="T31" s="217"/>
      <c r="U31" s="213"/>
      <c r="V31" s="215"/>
      <c r="W31" s="215"/>
      <c r="X31" s="217"/>
      <c r="Y31" s="217"/>
      <c r="Z31" s="213"/>
      <c r="AA31" s="215"/>
      <c r="AB31" s="215"/>
      <c r="AC31" s="217"/>
      <c r="AD31" s="217"/>
      <c r="AE31" s="213"/>
      <c r="AF31" s="215"/>
      <c r="AG31" s="215"/>
      <c r="AH31" s="217"/>
      <c r="AI31" s="217"/>
      <c r="AJ31" s="213"/>
    </row>
    <row r="32" spans="1:36" ht="30">
      <c r="A32" s="213"/>
      <c r="B32" s="214">
        <f ca="1">IFERROR(__xludf.DUMMYFUNCTION("""COMPUTED_VALUE"""),5035820)</f>
        <v>5035820</v>
      </c>
      <c r="C32" s="215" t="str">
        <f ca="1">IFERROR(__xludf.DUMMYFUNCTION("""COMPUTED_VALUE"""),"Beginner")</f>
        <v>Beginner</v>
      </c>
      <c r="D32" s="216" t="str">
        <f ca="1">IFERROR(__xludf.DUMMYFUNCTION("""COMPUTED_VALUE"""),"Ethics and Law in Data Analytics")</f>
        <v>Ethics and Law in Data Analytics</v>
      </c>
      <c r="E32" s="217"/>
      <c r="F32" s="213"/>
      <c r="G32" s="214">
        <f ca="1">IFERROR(__xludf.DUMMYFUNCTION("""COMPUTED_VALUE"""),428250)</f>
        <v>428250</v>
      </c>
      <c r="H32" s="215" t="str">
        <f ca="1">IFERROR(__xludf.DUMMYFUNCTION("""COMPUTED_VALUE"""),"Intermediate")</f>
        <v>Intermediate</v>
      </c>
      <c r="I32" s="217" t="str">
        <f ca="1">IFERROR(__xludf.DUMMYFUNCTION("""COMPUTED_VALUE"""),"Minitab : Les statistiques paramétriques")</f>
        <v>Minitab : Les statistiques paramétriques</v>
      </c>
      <c r="J32" s="217"/>
      <c r="K32" s="213"/>
      <c r="L32" s="215">
        <f ca="1">IFERROR(__xludf.DUMMYFUNCTION("""COMPUTED_VALUE"""),2814051)</f>
        <v>2814051</v>
      </c>
      <c r="M32" s="215" t="str">
        <f ca="1">IFERROR(__xludf.DUMMYFUNCTION("""COMPUTED_VALUE"""),"Beginner, Intermediate")</f>
        <v>Beginner, Intermediate</v>
      </c>
      <c r="N32" s="217" t="str">
        <f ca="1">IFERROR(__xludf.DUMMYFUNCTION("""COMPUTED_VALUE"""),"Excel para principiantes: Buscar datos (365/2019)")</f>
        <v>Excel para principiantes: Buscar datos (365/2019)</v>
      </c>
      <c r="O32" s="217"/>
      <c r="P32" s="213"/>
      <c r="Q32" s="215">
        <f ca="1">IFERROR(__xludf.DUMMYFUNCTION("""COMPUTED_VALUE"""),2925061)</f>
        <v>2925061</v>
      </c>
      <c r="R32" s="215" t="str">
        <f ca="1">IFERROR(__xludf.DUMMYFUNCTION("""COMPUTED_VALUE"""),"Advanced")</f>
        <v>Advanced</v>
      </c>
      <c r="S32" s="217" t="str">
        <f ca="1">IFERROR(__xludf.DUMMYFUNCTION("""COMPUTED_VALUE"""),"Excel: Dynamische Array-Funktionen (Office 365/Microsoft 365)")</f>
        <v>Excel: Dynamische Array-Funktionen (Office 365/Microsoft 365)</v>
      </c>
      <c r="T32" s="217"/>
      <c r="U32" s="213"/>
      <c r="V32" s="215"/>
      <c r="W32" s="215"/>
      <c r="X32" s="217"/>
      <c r="Y32" s="217"/>
      <c r="Z32" s="213"/>
      <c r="AA32" s="215"/>
      <c r="AB32" s="215"/>
      <c r="AC32" s="217"/>
      <c r="AD32" s="217"/>
      <c r="AE32" s="213"/>
      <c r="AF32" s="215"/>
      <c r="AG32" s="215"/>
      <c r="AH32" s="217"/>
      <c r="AI32" s="217"/>
      <c r="AJ32" s="213"/>
    </row>
    <row r="33" spans="1:36" ht="33.75" customHeight="1">
      <c r="A33" s="213"/>
      <c r="B33" s="214">
        <f ca="1">IFERROR(__xludf.DUMMYFUNCTION("""COMPUTED_VALUE"""),2841519)</f>
        <v>2841519</v>
      </c>
      <c r="C33" s="215" t="str">
        <f ca="1">IFERROR(__xludf.DUMMYFUNCTION("""COMPUTED_VALUE"""),"Beginner")</f>
        <v>Beginner</v>
      </c>
      <c r="D33" s="216" t="str">
        <f ca="1">IFERROR(__xludf.DUMMYFUNCTION("""COMPUTED_VALUE"""),"Power BI: Dashboards for Beginners")</f>
        <v>Power BI: Dashboards for Beginners</v>
      </c>
      <c r="E33" s="217"/>
      <c r="F33" s="213"/>
      <c r="G33" s="214">
        <f ca="1">IFERROR(__xludf.DUMMYFUNCTION("""COMPUTED_VALUE"""),2960040)</f>
        <v>2960040</v>
      </c>
      <c r="H33" s="215" t="str">
        <f ca="1">IFERROR(__xludf.DUMMYFUNCTION("""COMPUTED_VALUE"""),"All levels")</f>
        <v>All levels</v>
      </c>
      <c r="I33" s="217" t="str">
        <f ca="1">IFERROR(__xludf.DUMMYFUNCTION("""COMPUTED_VALUE"""),"Pause-café : Le big data")</f>
        <v>Pause-café : Le big data</v>
      </c>
      <c r="J33" s="217"/>
      <c r="K33" s="213"/>
      <c r="L33" s="215">
        <f ca="1">IFERROR(__xludf.DUMMYFUNCTION("""COMPUTED_VALUE"""),2929110)</f>
        <v>2929110</v>
      </c>
      <c r="M33" s="215" t="str">
        <f ca="1">IFERROR(__xludf.DUMMYFUNCTION("""COMPUTED_VALUE"""),"Beginner, Intermediate")</f>
        <v>Beginner, Intermediate</v>
      </c>
      <c r="N33" s="217" t="str">
        <f ca="1">IFERROR(__xludf.DUMMYFUNCTION("""COMPUTED_VALUE"""),"Excel para principiantes: Cuadros de mando con fuente de datos externa (365/2019)")</f>
        <v>Excel para principiantes: Cuadros de mando con fuente de datos externa (365/2019)</v>
      </c>
      <c r="O33" s="217"/>
      <c r="P33" s="213"/>
      <c r="Q33" s="215">
        <f ca="1">IFERROR(__xludf.DUMMYFUNCTION("""COMPUTED_VALUE"""),563970)</f>
        <v>563970</v>
      </c>
      <c r="R33" s="215" t="str">
        <f ca="1">IFERROR(__xludf.DUMMYFUNCTION("""COMPUTED_VALUE"""),"Advanced")</f>
        <v>Advanced</v>
      </c>
      <c r="S33" s="217" t="str">
        <f ca="1">IFERROR(__xludf.DUMMYFUNCTION("""COMPUTED_VALUE"""),"Excel: Pivot-Berichte mit Datenmodell verbessern")</f>
        <v>Excel: Pivot-Berichte mit Datenmodell verbessern</v>
      </c>
      <c r="T33" s="217"/>
      <c r="U33" s="213"/>
      <c r="V33" s="215"/>
      <c r="W33" s="215"/>
      <c r="X33" s="217"/>
      <c r="Y33" s="217"/>
      <c r="Z33" s="213"/>
      <c r="AA33" s="215"/>
      <c r="AB33" s="215"/>
      <c r="AC33" s="217"/>
      <c r="AD33" s="217"/>
      <c r="AE33" s="213"/>
      <c r="AF33" s="215"/>
      <c r="AG33" s="215"/>
      <c r="AH33" s="217"/>
      <c r="AI33" s="217"/>
      <c r="AJ33" s="213"/>
    </row>
    <row r="34" spans="1:36" ht="33.75" customHeight="1">
      <c r="A34" s="213"/>
      <c r="B34" s="214">
        <f ca="1">IFERROR(__xludf.DUMMYFUNCTION("""COMPUTED_VALUE"""),2857067)</f>
        <v>2857067</v>
      </c>
      <c r="C34" s="215" t="str">
        <f ca="1">IFERROR(__xludf.DUMMYFUNCTION("""COMPUTED_VALUE"""),"Beginner")</f>
        <v>Beginner</v>
      </c>
      <c r="D34" s="216" t="str">
        <f ca="1">IFERROR(__xludf.DUMMYFUNCTION("""COMPUTED_VALUE"""),"15 Tips for Landing a Data Science Job")</f>
        <v>15 Tips for Landing a Data Science Job</v>
      </c>
      <c r="E34" s="217"/>
      <c r="F34" s="213"/>
      <c r="G34" s="214">
        <f ca="1">IFERROR(__xludf.DUMMYFUNCTION("""COMPUTED_VALUE"""),596622)</f>
        <v>596622</v>
      </c>
      <c r="H34" s="215" t="str">
        <f ca="1">IFERROR(__xludf.DUMMYFUNCTION("""COMPUTED_VALUE"""),"Intermediate")</f>
        <v>Intermediate</v>
      </c>
      <c r="I34" s="217" t="str">
        <f ca="1">IFERROR(__xludf.DUMMYFUNCTION("""COMPUTED_VALUE"""),"Power BI : La comparaison de données réelles avec des données budgétées")</f>
        <v>Power BI : La comparaison de données réelles avec des données budgétées</v>
      </c>
      <c r="J34" s="217"/>
      <c r="K34" s="213"/>
      <c r="L34" s="215">
        <f ca="1">IFERROR(__xludf.DUMMYFUNCTION("""COMPUTED_VALUE"""),2929109)</f>
        <v>2929109</v>
      </c>
      <c r="M34" s="215" t="str">
        <f ca="1">IFERROR(__xludf.DUMMYFUNCTION("""COMPUTED_VALUE"""),"Beginner")</f>
        <v>Beginner</v>
      </c>
      <c r="N34" s="217" t="str">
        <f ca="1">IFERROR(__xludf.DUMMYFUNCTION("""COMPUTED_VALUE"""),"Excel para principiantes: Cuadros de mando simples")</f>
        <v>Excel para principiantes: Cuadros de mando simples</v>
      </c>
      <c r="O34" s="217"/>
      <c r="P34" s="213"/>
      <c r="Q34" s="215">
        <f ca="1">IFERROR(__xludf.DUMMYFUNCTION("""COMPUTED_VALUE"""),3206019)</f>
        <v>3206019</v>
      </c>
      <c r="R34" s="215" t="str">
        <f ca="1">IFERROR(__xludf.DUMMYFUNCTION("""COMPUTED_VALUE"""),"Beginner")</f>
        <v>Beginner</v>
      </c>
      <c r="S34" s="217" t="str">
        <f ca="1">IFERROR(__xludf.DUMMYFUNCTION("""COMPUTED_VALUE"""),"Excel: Pivot-Tabellen für Einsteiger")</f>
        <v>Excel: Pivot-Tabellen für Einsteiger</v>
      </c>
      <c r="T34" s="217"/>
      <c r="U34" s="213"/>
      <c r="V34" s="215"/>
      <c r="W34" s="215"/>
      <c r="X34" s="217"/>
      <c r="Y34" s="217"/>
      <c r="Z34" s="213"/>
      <c r="AA34" s="215"/>
      <c r="AB34" s="215"/>
      <c r="AC34" s="217"/>
      <c r="AD34" s="217"/>
      <c r="AE34" s="213"/>
      <c r="AF34" s="215"/>
      <c r="AG34" s="215"/>
      <c r="AH34" s="217"/>
      <c r="AI34" s="217"/>
      <c r="AJ34" s="213"/>
    </row>
    <row r="35" spans="1:36" ht="33.75" customHeight="1">
      <c r="A35" s="213"/>
      <c r="B35" s="214">
        <f ca="1">IFERROR(__xludf.DUMMYFUNCTION("""COMPUTED_VALUE"""),2881017)</f>
        <v>2881017</v>
      </c>
      <c r="C35" s="215" t="str">
        <f ca="1">IFERROR(__xludf.DUMMYFUNCTION("""COMPUTED_VALUE"""),"Beginner")</f>
        <v>Beginner</v>
      </c>
      <c r="D35" s="216" t="str">
        <f ca="1">IFERROR(__xludf.DUMMYFUNCTION("""COMPUTED_VALUE"""),"How to Use Data Visualization to Make Better Decisions—Faster")</f>
        <v>How to Use Data Visualization to Make Better Decisions—Faster</v>
      </c>
      <c r="E35" s="217"/>
      <c r="F35" s="213"/>
      <c r="G35" s="214">
        <f ca="1">IFERROR(__xludf.DUMMYFUNCTION("""COMPUTED_VALUE"""),2825475)</f>
        <v>2825475</v>
      </c>
      <c r="H35" s="215" t="str">
        <f ca="1">IFERROR(__xludf.DUMMYFUNCTION("""COMPUTED_VALUE"""),"Intermediate")</f>
        <v>Intermediate</v>
      </c>
      <c r="I35" s="217" t="str">
        <f ca="1">IFERROR(__xludf.DUMMYFUNCTION("""COMPUTED_VALUE"""),"Power BI : Visualisations avancées et notions clés du DAX")</f>
        <v>Power BI : Visualisations avancées et notions clés du DAX</v>
      </c>
      <c r="J35" s="217"/>
      <c r="K35" s="213"/>
      <c r="L35" s="215">
        <f ca="1">IFERROR(__xludf.DUMMYFUNCTION("""COMPUTED_VALUE"""),763117)</f>
        <v>763117</v>
      </c>
      <c r="M35" s="215" t="str">
        <f ca="1">IFERROR(__xludf.DUMMYFUNCTION("""COMPUTED_VALUE"""),"Beginner")</f>
        <v>Beginner</v>
      </c>
      <c r="N35" s="217" t="str">
        <f ca="1">IFERROR(__xludf.DUMMYFUNCTION("""COMPUTED_VALUE"""),"Excel para principiantes: Ingresar datos correctamente (365/2019)")</f>
        <v>Excel para principiantes: Ingresar datos correctamente (365/2019)</v>
      </c>
      <c r="O35" s="217"/>
      <c r="P35" s="213"/>
      <c r="Q35" s="215">
        <f ca="1">IFERROR(__xludf.DUMMYFUNCTION("""COMPUTED_VALUE"""),3204016)</f>
        <v>3204016</v>
      </c>
      <c r="R35" s="215" t="str">
        <f ca="1">IFERROR(__xludf.DUMMYFUNCTION("""COMPUTED_VALUE"""),"Beginner")</f>
        <v>Beginner</v>
      </c>
      <c r="S35" s="217" t="str">
        <f ca="1">IFERROR(__xludf.DUMMYFUNCTION("""COMPUTED_VALUE"""),"Excel: Power Query für Einsteiger")</f>
        <v>Excel: Power Query für Einsteiger</v>
      </c>
      <c r="T35" s="217"/>
      <c r="U35" s="213"/>
      <c r="V35" s="215"/>
      <c r="W35" s="215"/>
      <c r="X35" s="217"/>
      <c r="Y35" s="217"/>
      <c r="Z35" s="213"/>
      <c r="AA35" s="215"/>
      <c r="AB35" s="215"/>
      <c r="AC35" s="217"/>
      <c r="AD35" s="217"/>
      <c r="AE35" s="213"/>
      <c r="AF35" s="215"/>
      <c r="AG35" s="215"/>
      <c r="AH35" s="217"/>
      <c r="AI35" s="217"/>
      <c r="AJ35" s="213"/>
    </row>
    <row r="36" spans="1:36" ht="33.75" customHeight="1">
      <c r="A36" s="213"/>
      <c r="B36" s="214">
        <f ca="1">IFERROR(__xludf.DUMMYFUNCTION("""COMPUTED_VALUE"""),2894125)</f>
        <v>2894125</v>
      </c>
      <c r="C36" s="215" t="str">
        <f ca="1">IFERROR(__xludf.DUMMYFUNCTION("""COMPUTED_VALUE"""),"Beginner")</f>
        <v>Beginner</v>
      </c>
      <c r="D36" s="216" t="str">
        <f ca="1">IFERROR(__xludf.DUMMYFUNCTION("""COMPUTED_VALUE"""),"Data Ethics: Watching Out for Data Misuse")</f>
        <v>Data Ethics: Watching Out for Data Misuse</v>
      </c>
      <c r="E36" s="217"/>
      <c r="F36" s="213"/>
      <c r="G36" s="214">
        <f ca="1">IFERROR(__xludf.DUMMYFUNCTION("""COMPUTED_VALUE"""),2922680)</f>
        <v>2922680</v>
      </c>
      <c r="H36" s="215" t="str">
        <f ca="1">IFERROR(__xludf.DUMMYFUNCTION("""COMPUTED_VALUE"""),"Advanced")</f>
        <v>Advanced</v>
      </c>
      <c r="I36" s="217" t="str">
        <f ca="1">IFERROR(__xludf.DUMMYFUNCTION("""COMPUTED_VALUE"""),"Power BI avancé : L'analyse de données avec DAX")</f>
        <v>Power BI avancé : L'analyse de données avec DAX</v>
      </c>
      <c r="J36" s="217"/>
      <c r="K36" s="213"/>
      <c r="L36" s="215">
        <f ca="1">IFERROR(__xludf.DUMMYFUNCTION("""COMPUTED_VALUE"""),795012)</f>
        <v>795012</v>
      </c>
      <c r="M36" s="215" t="str">
        <f ca="1">IFERROR(__xludf.DUMMYFUNCTION("""COMPUTED_VALUE"""),"Intermediate")</f>
        <v>Intermediate</v>
      </c>
      <c r="N36" s="217" t="str">
        <f ca="1">IFERROR(__xludf.DUMMYFUNCTION("""COMPUTED_VALUE"""),"Excel: Análisis, gestión y validación de datos (Office 365/Microsoft 365)")</f>
        <v>Excel: Análisis, gestión y validación de datos (Office 365/Microsoft 365)</v>
      </c>
      <c r="O36" s="217"/>
      <c r="P36" s="213"/>
      <c r="Q36" s="215">
        <f ca="1">IFERROR(__xludf.DUMMYFUNCTION("""COMPUTED_VALUE"""),686441)</f>
        <v>686441</v>
      </c>
      <c r="R36" s="215" t="str">
        <f ca="1">IFERROR(__xludf.DUMMYFUNCTION("""COMPUTED_VALUE"""),"Advanced")</f>
        <v>Advanced</v>
      </c>
      <c r="S36" s="217" t="str">
        <f ca="1">IFERROR(__xludf.DUMMYFUNCTION("""COMPUTED_VALUE"""),"Excel: Spezialfilter")</f>
        <v>Excel: Spezialfilter</v>
      </c>
      <c r="T36" s="217"/>
      <c r="U36" s="213"/>
      <c r="V36" s="215"/>
      <c r="W36" s="215"/>
      <c r="X36" s="217"/>
      <c r="Y36" s="217"/>
      <c r="Z36" s="213"/>
      <c r="AA36" s="215"/>
      <c r="AB36" s="215"/>
      <c r="AC36" s="217"/>
      <c r="AD36" s="217"/>
      <c r="AE36" s="213"/>
      <c r="AF36" s="215"/>
      <c r="AG36" s="215"/>
      <c r="AH36" s="217"/>
      <c r="AI36" s="217"/>
      <c r="AJ36" s="213"/>
    </row>
    <row r="37" spans="1:36" ht="33.75" customHeight="1">
      <c r="A37" s="213"/>
      <c r="B37" s="214">
        <f ca="1">IFERROR(__xludf.DUMMYFUNCTION("""COMPUTED_VALUE"""),2890129)</f>
        <v>2890129</v>
      </c>
      <c r="C37" s="215" t="str">
        <f ca="1">IFERROR(__xludf.DUMMYFUNCTION("""COMPUTED_VALUE"""),"Beginner")</f>
        <v>Beginner</v>
      </c>
      <c r="D37" s="216" t="str">
        <f ca="1">IFERROR(__xludf.DUMMYFUNCTION("""COMPUTED_VALUE"""),"Presenting Data Effectively to Inform and Inspire")</f>
        <v>Presenting Data Effectively to Inform and Inspire</v>
      </c>
      <c r="E37" s="217"/>
      <c r="F37" s="213"/>
      <c r="G37" s="214">
        <f ca="1">IFERROR(__xludf.DUMMYFUNCTION("""COMPUTED_VALUE"""),777483)</f>
        <v>777483</v>
      </c>
      <c r="H37" s="215" t="str">
        <f ca="1">IFERROR(__xludf.DUMMYFUNCTION("""COMPUTED_VALUE"""),"Intermediate")</f>
        <v>Intermediate</v>
      </c>
      <c r="I37" s="217" t="str">
        <f ca="1">IFERROR(__xludf.DUMMYFUNCTION("""COMPUTED_VALUE"""),"Python : L'analyse de données")</f>
        <v>Python : L'analyse de données</v>
      </c>
      <c r="J37" s="217"/>
      <c r="K37" s="213"/>
      <c r="L37" s="215">
        <f ca="1">IFERROR(__xludf.DUMMYFUNCTION("""COMPUTED_VALUE"""),2837252)</f>
        <v>2837252</v>
      </c>
      <c r="M37" s="215" t="str">
        <f ca="1">IFERROR(__xludf.DUMMYFUNCTION("""COMPUTED_VALUE"""),"Intermediate")</f>
        <v>Intermediate</v>
      </c>
      <c r="N37" s="217" t="str">
        <f ca="1">IFERROR(__xludf.DUMMYFUNCTION("""COMPUTED_VALUE"""),"Excel: Limpieza de datos")</f>
        <v>Excel: Limpieza de datos</v>
      </c>
      <c r="O37" s="217"/>
      <c r="P37" s="213"/>
      <c r="Q37" s="215">
        <f ca="1">IFERROR(__xludf.DUMMYFUNCTION("""COMPUTED_VALUE"""),531088)</f>
        <v>531088</v>
      </c>
      <c r="R37" s="215" t="str">
        <f ca="1">IFERROR(__xludf.DUMMYFUNCTION("""COMPUTED_VALUE"""),"Intermediate")</f>
        <v>Intermediate</v>
      </c>
      <c r="S37" s="217" t="str">
        <f ca="1">IFERROR(__xludf.DUMMYFUNCTION("""COMPUTED_VALUE"""),"Excel: Statistische Funktionen")</f>
        <v>Excel: Statistische Funktionen</v>
      </c>
      <c r="T37" s="217"/>
      <c r="U37" s="213"/>
      <c r="V37" s="215"/>
      <c r="W37" s="215"/>
      <c r="X37" s="217"/>
      <c r="Y37" s="217"/>
      <c r="Z37" s="213"/>
      <c r="AA37" s="215"/>
      <c r="AB37" s="215"/>
      <c r="AC37" s="217"/>
      <c r="AD37" s="217"/>
      <c r="AE37" s="213"/>
      <c r="AF37" s="215"/>
      <c r="AG37" s="215"/>
      <c r="AH37" s="217"/>
      <c r="AI37" s="217"/>
      <c r="AJ37" s="213"/>
    </row>
    <row r="38" spans="1:36" ht="33.75" customHeight="1">
      <c r="A38" s="213"/>
      <c r="B38" s="214">
        <f ca="1">IFERROR(__xludf.DUMMYFUNCTION("""COMPUTED_VALUE"""),2424659)</f>
        <v>2424659</v>
      </c>
      <c r="C38" s="215" t="str">
        <f ca="1">IFERROR(__xludf.DUMMYFUNCTION("""COMPUTED_VALUE"""),"Beginner")</f>
        <v>Beginner</v>
      </c>
      <c r="D38" s="216" t="str">
        <f ca="1">IFERROR(__xludf.DUMMYFUNCTION("""COMPUTED_VALUE"""),"Blockchain Basics")</f>
        <v>Blockchain Basics</v>
      </c>
      <c r="E38" s="217"/>
      <c r="F38" s="213"/>
      <c r="G38" s="214">
        <f ca="1">IFERROR(__xludf.DUMMYFUNCTION("""COMPUTED_VALUE"""),2929756)</f>
        <v>2929756</v>
      </c>
      <c r="H38" s="215" t="str">
        <f ca="1">IFERROR(__xludf.DUMMYFUNCTION("""COMPUTED_VALUE"""),"Intermediate")</f>
        <v>Intermediate</v>
      </c>
      <c r="I38" s="217" t="str">
        <f ca="1">IFERROR(__xludf.DUMMYFUNCTION("""COMPUTED_VALUE"""),"Python pour la data science : Série")</f>
        <v>Python pour la data science : Série</v>
      </c>
      <c r="J38" s="217"/>
      <c r="K38" s="213"/>
      <c r="L38" s="215">
        <f ca="1">IFERROR(__xludf.DUMMYFUNCTION("""COMPUTED_VALUE"""),2822599)</f>
        <v>2822599</v>
      </c>
      <c r="M38" s="215" t="str">
        <f ca="1">IFERROR(__xludf.DUMMYFUNCTION("""COMPUTED_VALUE"""),"Advanced")</f>
        <v>Advanced</v>
      </c>
      <c r="N38" s="217" t="str">
        <f ca="1">IFERROR(__xludf.DUMMYFUNCTION("""COMPUTED_VALUE"""),"Excel: Recursos de análisis en la economía de empresa (Office 365/Microsoft 365)")</f>
        <v>Excel: Recursos de análisis en la economía de empresa (Office 365/Microsoft 365)</v>
      </c>
      <c r="O38" s="217"/>
      <c r="P38" s="213"/>
      <c r="Q38" s="215">
        <f ca="1">IFERROR(__xludf.DUMMYFUNCTION("""COMPUTED_VALUE"""),702521)</f>
        <v>702521</v>
      </c>
      <c r="R38" s="215" t="str">
        <f ca="1">IFERROR(__xludf.DUMMYFUNCTION("""COMPUTED_VALUE"""),"Beginner")</f>
        <v>Beginner</v>
      </c>
      <c r="S38" s="217" t="str">
        <f ca="1">IFERROR(__xludf.DUMMYFUNCTION("""COMPUTED_VALUE"""),"Grundlagen der Datenvisualisierung und Datenpräsentation")</f>
        <v>Grundlagen der Datenvisualisierung und Datenpräsentation</v>
      </c>
      <c r="T38" s="217"/>
      <c r="U38" s="213"/>
      <c r="V38" s="215"/>
      <c r="W38" s="215"/>
      <c r="X38" s="217"/>
      <c r="Y38" s="217"/>
      <c r="Z38" s="213"/>
      <c r="AA38" s="215"/>
      <c r="AB38" s="215"/>
      <c r="AC38" s="217"/>
      <c r="AD38" s="217"/>
      <c r="AE38" s="213"/>
      <c r="AF38" s="215"/>
      <c r="AG38" s="215"/>
      <c r="AH38" s="217"/>
      <c r="AI38" s="217"/>
      <c r="AJ38" s="213"/>
    </row>
    <row r="39" spans="1:36" ht="33.75" customHeight="1">
      <c r="A39" s="213"/>
      <c r="B39" s="214">
        <f ca="1">IFERROR(__xludf.DUMMYFUNCTION("""COMPUTED_VALUE"""),2805908)</f>
        <v>2805908</v>
      </c>
      <c r="C39" s="215" t="str">
        <f ca="1">IFERROR(__xludf.DUMMYFUNCTION("""COMPUTED_VALUE"""),"Beginner + Intermediate")</f>
        <v>Beginner + Intermediate</v>
      </c>
      <c r="D39" s="216" t="str">
        <f ca="1">IFERROR(__xludf.DUMMYFUNCTION("""COMPUTED_VALUE"""),"Data Science Foundations: Fundamentals")</f>
        <v>Data Science Foundations: Fundamentals</v>
      </c>
      <c r="E39" s="217"/>
      <c r="F39" s="213"/>
      <c r="G39" s="214">
        <f ca="1">IFERROR(__xludf.DUMMYFUNCTION("""COMPUTED_VALUE"""),406284)</f>
        <v>406284</v>
      </c>
      <c r="H39" s="215" t="str">
        <f ca="1">IFERROR(__xludf.DUMMYFUNCTION("""COMPUTED_VALUE"""),"Intermediate")</f>
        <v>Intermediate</v>
      </c>
      <c r="I39" s="217" t="str">
        <f ca="1">IFERROR(__xludf.DUMMYFUNCTION("""COMPUTED_VALUE"""),"R : Les statistiques paramétriques")</f>
        <v>R : Les statistiques paramétriques</v>
      </c>
      <c r="J39" s="217"/>
      <c r="K39" s="213"/>
      <c r="L39" s="215">
        <f ca="1">IFERROR(__xludf.DUMMYFUNCTION("""COMPUTED_VALUE"""),2823398)</f>
        <v>2823398</v>
      </c>
      <c r="M39" s="215" t="str">
        <f ca="1">IFERROR(__xludf.DUMMYFUNCTION("""COMPUTED_VALUE"""),"Beginner")</f>
        <v>Beginner</v>
      </c>
      <c r="N39" s="217" t="str">
        <f ca="1">IFERROR(__xludf.DUMMYFUNCTION("""COMPUTED_VALUE"""),"Fundamentos de análisis de la información")</f>
        <v>Fundamentos de análisis de la información</v>
      </c>
      <c r="O39" s="217"/>
      <c r="P39" s="213"/>
      <c r="Q39" s="215">
        <f ca="1">IFERROR(__xludf.DUMMYFUNCTION("""COMPUTED_VALUE"""),2931445)</f>
        <v>2931445</v>
      </c>
      <c r="R39" s="215" t="str">
        <f ca="1">IFERROR(__xludf.DUMMYFUNCTION("""COMPUTED_VALUE"""),"Beginner, Intermediate")</f>
        <v>Beginner, Intermediate</v>
      </c>
      <c r="S39" s="217" t="str">
        <f ca="1">IFERROR(__xludf.DUMMYFUNCTION("""COMPUTED_VALUE"""),"Machine Learning Grundlagen")</f>
        <v>Machine Learning Grundlagen</v>
      </c>
      <c r="T39" s="217"/>
      <c r="U39" s="213"/>
      <c r="V39" s="215"/>
      <c r="W39" s="215"/>
      <c r="X39" s="217"/>
      <c r="Y39" s="217"/>
      <c r="Z39" s="213"/>
      <c r="AA39" s="215"/>
      <c r="AB39" s="215"/>
      <c r="AC39" s="217"/>
      <c r="AD39" s="217"/>
      <c r="AE39" s="213"/>
      <c r="AF39" s="215"/>
      <c r="AG39" s="215"/>
      <c r="AH39" s="217"/>
      <c r="AI39" s="217"/>
      <c r="AJ39" s="213"/>
    </row>
    <row r="40" spans="1:36" ht="33.75" customHeight="1">
      <c r="A40" s="213"/>
      <c r="B40" s="214">
        <f ca="1">IFERROR(__xludf.DUMMYFUNCTION("""COMPUTED_VALUE"""),5026557)</f>
        <v>5026557</v>
      </c>
      <c r="C40" s="215" t="str">
        <f ca="1">IFERROR(__xludf.DUMMYFUNCTION("""COMPUTED_VALUE"""),"Beginner + Intermediate")</f>
        <v>Beginner + Intermediate</v>
      </c>
      <c r="D40" s="216" t="str">
        <f ca="1">IFERROR(__xludf.DUMMYFUNCTION("""COMPUTED_VALUE"""),"Excel Statistics Essential Training: 1")</f>
        <v>Excel Statistics Essential Training: 1</v>
      </c>
      <c r="E40" s="217"/>
      <c r="F40" s="213"/>
      <c r="G40" s="214"/>
      <c r="H40" s="215"/>
      <c r="I40" s="217"/>
      <c r="J40" s="217"/>
      <c r="K40" s="213"/>
      <c r="L40" s="215">
        <f ca="1">IFERROR(__xludf.DUMMYFUNCTION("""COMPUTED_VALUE"""),680864)</f>
        <v>680864</v>
      </c>
      <c r="M40" s="215" t="str">
        <f ca="1">IFERROR(__xludf.DUMMYFUNCTION("""COMPUTED_VALUE"""),"Beginner")</f>
        <v>Beginner</v>
      </c>
      <c r="N40" s="217" t="str">
        <f ca="1">IFERROR(__xludf.DUMMYFUNCTION("""COMPUTED_VALUE"""),"Fundamentos de big data")</f>
        <v>Fundamentos de big data</v>
      </c>
      <c r="O40" s="217"/>
      <c r="P40" s="213"/>
      <c r="Q40" s="215">
        <f ca="1">IFERROR(__xludf.DUMMYFUNCTION("""COMPUTED_VALUE"""),195578)</f>
        <v>195578</v>
      </c>
      <c r="R40" s="215" t="str">
        <f ca="1">IFERROR(__xludf.DUMMYFUNCTION("""COMPUTED_VALUE"""),"Beginner")</f>
        <v>Beginner</v>
      </c>
      <c r="S40" s="217" t="str">
        <f ca="1">IFERROR(__xludf.DUMMYFUNCTION("""COMPUTED_VALUE"""),"Mathematica und Wolfram Language Grundkurs")</f>
        <v>Mathematica und Wolfram Language Grundkurs</v>
      </c>
      <c r="T40" s="217"/>
      <c r="U40" s="213"/>
      <c r="V40" s="215"/>
      <c r="W40" s="215"/>
      <c r="X40" s="217"/>
      <c r="Y40" s="217"/>
      <c r="Z40" s="213"/>
      <c r="AA40" s="215"/>
      <c r="AB40" s="215"/>
      <c r="AC40" s="217"/>
      <c r="AD40" s="217"/>
      <c r="AE40" s="213"/>
      <c r="AF40" s="215"/>
      <c r="AG40" s="215"/>
      <c r="AH40" s="217"/>
      <c r="AI40" s="217"/>
      <c r="AJ40" s="213"/>
    </row>
    <row r="41" spans="1:36" ht="33.75" customHeight="1">
      <c r="A41" s="213"/>
      <c r="B41" s="214">
        <f ca="1">IFERROR(__xludf.DUMMYFUNCTION("""COMPUTED_VALUE"""),5005071)</f>
        <v>5005071</v>
      </c>
      <c r="C41" s="215" t="str">
        <f ca="1">IFERROR(__xludf.DUMMYFUNCTION("""COMPUTED_VALUE"""),"Beginner + Intermediate")</f>
        <v>Beginner + Intermediate</v>
      </c>
      <c r="D41" s="216" t="str">
        <f ca="1">IFERROR(__xludf.DUMMYFUNCTION("""COMPUTED_VALUE"""),"Learning Data Visualization")</f>
        <v>Learning Data Visualization</v>
      </c>
      <c r="E41" s="217"/>
      <c r="F41" s="213"/>
      <c r="G41" s="214"/>
      <c r="H41" s="215"/>
      <c r="I41" s="217"/>
      <c r="J41" s="217"/>
      <c r="K41" s="213"/>
      <c r="L41" s="215">
        <f ca="1">IFERROR(__xludf.DUMMYFUNCTION("""COMPUTED_VALUE"""),680865)</f>
        <v>680865</v>
      </c>
      <c r="M41" s="215" t="str">
        <f ca="1">IFERROR(__xludf.DUMMYFUNCTION("""COMPUTED_VALUE"""),"Intermediate")</f>
        <v>Intermediate</v>
      </c>
      <c r="N41" s="217" t="str">
        <f ca="1">IFERROR(__xludf.DUMMYFUNCTION("""COMPUTED_VALUE"""),"Fundamentos de big data: Modelos de negocio")</f>
        <v>Fundamentos de big data: Modelos de negocio</v>
      </c>
      <c r="O41" s="217"/>
      <c r="P41" s="213"/>
      <c r="Q41" s="215">
        <f ca="1">IFERROR(__xludf.DUMMYFUNCTION("""COMPUTED_VALUE"""),548380)</f>
        <v>548380</v>
      </c>
      <c r="R41" s="215" t="str">
        <f ca="1">IFERROR(__xludf.DUMMYFUNCTION("""COMPUTED_VALUE"""),"Beginner")</f>
        <v>Beginner</v>
      </c>
      <c r="S41" s="217" t="str">
        <f ca="1">IFERROR(__xludf.DUMMYFUNCTION("""COMPUTED_VALUE"""),"Mathematik-Grundbegriffe für Programmierer:innen")</f>
        <v>Mathematik-Grundbegriffe für Programmierer:innen</v>
      </c>
      <c r="T41" s="217"/>
      <c r="U41" s="213"/>
      <c r="V41" s="215"/>
      <c r="W41" s="215"/>
      <c r="X41" s="217"/>
      <c r="Y41" s="217"/>
      <c r="Z41" s="213"/>
      <c r="AA41" s="215"/>
      <c r="AB41" s="215"/>
      <c r="AC41" s="217"/>
      <c r="AD41" s="217"/>
      <c r="AE41" s="213"/>
      <c r="AF41" s="215"/>
      <c r="AG41" s="215"/>
      <c r="AH41" s="217"/>
      <c r="AI41" s="217"/>
      <c r="AJ41" s="213"/>
    </row>
    <row r="42" spans="1:36" ht="33.75" customHeight="1">
      <c r="A42" s="213"/>
      <c r="B42" s="214">
        <f ca="1">IFERROR(__xludf.DUMMYFUNCTION("""COMPUTED_VALUE"""),2810169)</f>
        <v>2810169</v>
      </c>
      <c r="C42" s="215" t="str">
        <f ca="1">IFERROR(__xludf.DUMMYFUNCTION("""COMPUTED_VALUE"""),"Beginner + Intermediate")</f>
        <v>Beginner + Intermediate</v>
      </c>
      <c r="D42" s="216" t="str">
        <f ca="1">IFERROR(__xludf.DUMMYFUNCTION("""COMPUTED_VALUE"""),"The Data Game of Fantasy Football")</f>
        <v>The Data Game of Fantasy Football</v>
      </c>
      <c r="E42" s="217"/>
      <c r="F42" s="213"/>
      <c r="G42" s="214"/>
      <c r="H42" s="215"/>
      <c r="I42" s="217"/>
      <c r="J42" s="217"/>
      <c r="K42" s="213"/>
      <c r="L42" s="215">
        <f ca="1">IFERROR(__xludf.DUMMYFUNCTION("""COMPUTED_VALUE"""),784358)</f>
        <v>784358</v>
      </c>
      <c r="M42" s="215" t="str">
        <f ca="1">IFERROR(__xludf.DUMMYFUNCTION("""COMPUTED_VALUE"""),"Beginner")</f>
        <v>Beginner</v>
      </c>
      <c r="N42" s="217" t="str">
        <f ca="1">IFERROR(__xludf.DUMMYFUNCTION("""COMPUTED_VALUE"""),"Fundamentos de big data: Técnicas y conceptos")</f>
        <v>Fundamentos de big data: Técnicas y conceptos</v>
      </c>
      <c r="O42" s="217"/>
      <c r="P42" s="213"/>
      <c r="Q42" s="215">
        <f ca="1">IFERROR(__xludf.DUMMYFUNCTION("""COMPUTED_VALUE"""),676479)</f>
        <v>676479</v>
      </c>
      <c r="R42" s="215" t="str">
        <f ca="1">IFERROR(__xludf.DUMMYFUNCTION("""COMPUTED_VALUE"""),"Beginner, Intermediate")</f>
        <v>Beginner, Intermediate</v>
      </c>
      <c r="S42" s="217" t="str">
        <f ca="1">IFERROR(__xludf.DUMMYFUNCTION("""COMPUTED_VALUE"""),"MATLAB Grundkurs")</f>
        <v>MATLAB Grundkurs</v>
      </c>
      <c r="T42" s="217"/>
      <c r="U42" s="213"/>
      <c r="V42" s="215"/>
      <c r="W42" s="215"/>
      <c r="X42" s="217"/>
      <c r="Y42" s="217"/>
      <c r="Z42" s="213"/>
      <c r="AA42" s="215"/>
      <c r="AB42" s="215"/>
      <c r="AC42" s="217"/>
      <c r="AD42" s="217"/>
      <c r="AE42" s="213"/>
      <c r="AF42" s="215"/>
      <c r="AG42" s="215"/>
      <c r="AH42" s="217"/>
      <c r="AI42" s="217"/>
      <c r="AJ42" s="213"/>
    </row>
    <row r="43" spans="1:36" ht="33.75" customHeight="1">
      <c r="A43" s="213"/>
      <c r="B43" s="214">
        <f ca="1">IFERROR(__xludf.DUMMYFUNCTION("""COMPUTED_VALUE"""),5034173)</f>
        <v>5034173</v>
      </c>
      <c r="C43" s="215" t="str">
        <f ca="1">IFERROR(__xludf.DUMMYFUNCTION("""COMPUTED_VALUE"""),"Beginner + Intermediate")</f>
        <v>Beginner + Intermediate</v>
      </c>
      <c r="D43" s="216" t="str">
        <f ca="1">IFERROR(__xludf.DUMMYFUNCTION("""COMPUTED_VALUE"""),"Learning Public Data Sets")</f>
        <v>Learning Public Data Sets</v>
      </c>
      <c r="E43" s="217"/>
      <c r="F43" s="213"/>
      <c r="G43" s="214"/>
      <c r="H43" s="215"/>
      <c r="I43" s="217"/>
      <c r="J43" s="217"/>
      <c r="K43" s="213"/>
      <c r="L43" s="215">
        <f ca="1">IFERROR(__xludf.DUMMYFUNCTION("""COMPUTED_VALUE"""),784359)</f>
        <v>784359</v>
      </c>
      <c r="M43" s="215" t="str">
        <f ca="1">IFERROR(__xludf.DUMMYFUNCTION("""COMPUTED_VALUE"""),"Beginner")</f>
        <v>Beginner</v>
      </c>
      <c r="N43" s="217" t="str">
        <f ca="1">IFERROR(__xludf.DUMMYFUNCTION("""COMPUTED_VALUE"""),"Fundamentos de data science: Conceptos básicos")</f>
        <v>Fundamentos de data science: Conceptos básicos</v>
      </c>
      <c r="O43" s="217"/>
      <c r="P43" s="213"/>
      <c r="Q43" s="215">
        <f ca="1">IFERROR(__xludf.DUMMYFUNCTION("""COMPUTED_VALUE"""),793650)</f>
        <v>793650</v>
      </c>
      <c r="R43" s="215" t="str">
        <f ca="1">IFERROR(__xludf.DUMMYFUNCTION("""COMPUTED_VALUE"""),"Beginner, Intermediate")</f>
        <v>Beginner, Intermediate</v>
      </c>
      <c r="S43" s="217" t="str">
        <f ca="1">IFERROR(__xludf.DUMMYFUNCTION("""COMPUTED_VALUE"""),"Microsoft Power BI: Ein Überblick")</f>
        <v>Microsoft Power BI: Ein Überblick</v>
      </c>
      <c r="T43" s="217"/>
      <c r="U43" s="213"/>
      <c r="V43" s="215"/>
      <c r="W43" s="215"/>
      <c r="X43" s="217"/>
      <c r="Y43" s="217"/>
      <c r="Z43" s="213"/>
      <c r="AA43" s="215"/>
      <c r="AB43" s="215"/>
      <c r="AC43" s="217"/>
      <c r="AD43" s="217"/>
      <c r="AE43" s="213"/>
      <c r="AF43" s="215"/>
      <c r="AG43" s="215"/>
      <c r="AH43" s="217"/>
      <c r="AI43" s="217"/>
      <c r="AJ43" s="213"/>
    </row>
    <row r="44" spans="1:36" ht="33.75" customHeight="1">
      <c r="A44" s="213"/>
      <c r="B44" s="214">
        <f ca="1">IFERROR(__xludf.DUMMYFUNCTION("""COMPUTED_VALUE"""),2822057)</f>
        <v>2822057</v>
      </c>
      <c r="C44" s="215" t="str">
        <f ca="1">IFERROR(__xludf.DUMMYFUNCTION("""COMPUTED_VALUE"""),"Beginner + Intermediate")</f>
        <v>Beginner + Intermediate</v>
      </c>
      <c r="D44" s="216" t="str">
        <f ca="1">IFERROR(__xludf.DUMMYFUNCTION("""COMPUTED_VALUE"""),"SPSS Statistics Essential Training")</f>
        <v>SPSS Statistics Essential Training</v>
      </c>
      <c r="E44" s="217"/>
      <c r="F44" s="213"/>
      <c r="G44" s="214"/>
      <c r="H44" s="215"/>
      <c r="I44" s="217"/>
      <c r="J44" s="217"/>
      <c r="K44" s="213"/>
      <c r="L44" s="215">
        <f ca="1">IFERROR(__xludf.DUMMYFUNCTION("""COMPUTED_VALUE"""),2839031)</f>
        <v>2839031</v>
      </c>
      <c r="M44" s="215" t="str">
        <f ca="1">IFERROR(__xludf.DUMMYFUNCTION("""COMPUTED_VALUE"""),"Beginner")</f>
        <v>Beginner</v>
      </c>
      <c r="N44" s="217" t="str">
        <f ca="1">IFERROR(__xludf.DUMMYFUNCTION("""COMPUTED_VALUE"""),"Fundamentos de la programación: Bases de datos")</f>
        <v>Fundamentos de la programación: Bases de datos</v>
      </c>
      <c r="O44" s="217"/>
      <c r="P44" s="213"/>
      <c r="Q44" s="215">
        <f ca="1">IFERROR(__xludf.DUMMYFUNCTION("""COMPUTED_VALUE"""),2929796)</f>
        <v>2929796</v>
      </c>
      <c r="R44" s="215" t="str">
        <f ca="1">IFERROR(__xludf.DUMMYFUNCTION("""COMPUTED_VALUE"""),"Beginner")</f>
        <v>Beginner</v>
      </c>
      <c r="S44" s="217" t="str">
        <f ca="1">IFERROR(__xludf.DUMMYFUNCTION("""COMPUTED_VALUE"""),"Minitab lernen")</f>
        <v>Minitab lernen</v>
      </c>
      <c r="T44" s="217"/>
      <c r="U44" s="213"/>
      <c r="V44" s="215"/>
      <c r="W44" s="215"/>
      <c r="X44" s="217"/>
      <c r="Y44" s="217"/>
      <c r="Z44" s="213"/>
      <c r="AA44" s="215"/>
      <c r="AB44" s="215"/>
      <c r="AC44" s="217"/>
      <c r="AD44" s="217"/>
      <c r="AE44" s="213"/>
      <c r="AF44" s="215"/>
      <c r="AG44" s="215"/>
      <c r="AH44" s="217"/>
      <c r="AI44" s="217"/>
      <c r="AJ44" s="213"/>
    </row>
    <row r="45" spans="1:36" ht="33.75" customHeight="1">
      <c r="A45" s="213"/>
      <c r="B45" s="214">
        <f ca="1">IFERROR(__xludf.DUMMYFUNCTION("""COMPUTED_VALUE"""),2825498)</f>
        <v>2825498</v>
      </c>
      <c r="C45" s="215" t="str">
        <f ca="1">IFERROR(__xludf.DUMMYFUNCTION("""COMPUTED_VALUE"""),"Beginner + Intermediate")</f>
        <v>Beginner + Intermediate</v>
      </c>
      <c r="D45" s="216" t="str">
        <f ca="1">IFERROR(__xludf.DUMMYFUNCTION("""COMPUTED_VALUE"""),"R Essential Training: Wrangling and Visualizing Data")</f>
        <v>R Essential Training: Wrangling and Visualizing Data</v>
      </c>
      <c r="E45" s="217"/>
      <c r="F45" s="213"/>
      <c r="G45" s="214"/>
      <c r="H45" s="215"/>
      <c r="I45" s="217"/>
      <c r="J45" s="217"/>
      <c r="K45" s="213"/>
      <c r="L45" s="215">
        <f ca="1">IFERROR(__xludf.DUMMYFUNCTION("""COMPUTED_VALUE"""),5025640)</f>
        <v>5025640</v>
      </c>
      <c r="M45" s="215" t="str">
        <f ca="1">IFERROR(__xludf.DUMMYFUNCTION("""COMPUTED_VALUE"""),"Beginner")</f>
        <v>Beginner</v>
      </c>
      <c r="N45" s="217" t="str">
        <f ca="1">IFERROR(__xludf.DUMMYFUNCTION("""COMPUTED_VALUE"""),"Fundamentos del análisis empresarial")</f>
        <v>Fundamentos del análisis empresarial</v>
      </c>
      <c r="O45" s="217"/>
      <c r="P45" s="213"/>
      <c r="Q45" s="215">
        <f ca="1">IFERROR(__xludf.DUMMYFUNCTION("""COMPUTED_VALUE"""),3154250)</f>
        <v>3154250</v>
      </c>
      <c r="R45" s="215" t="str">
        <f ca="1">IFERROR(__xludf.DUMMYFUNCTION("""COMPUTED_VALUE"""),"Intermediate")</f>
        <v>Intermediate</v>
      </c>
      <c r="S45" s="217" t="str">
        <f ca="1">IFERROR(__xludf.DUMMYFUNCTION("""COMPUTED_VALUE"""),"Modern Workplace mit Microsoft 365")</f>
        <v>Modern Workplace mit Microsoft 365</v>
      </c>
      <c r="T45" s="217"/>
      <c r="U45" s="213"/>
      <c r="V45" s="215"/>
      <c r="W45" s="215"/>
      <c r="X45" s="217"/>
      <c r="Y45" s="217"/>
      <c r="Z45" s="213"/>
      <c r="AA45" s="215"/>
      <c r="AB45" s="215"/>
      <c r="AC45" s="217"/>
      <c r="AD45" s="217"/>
      <c r="AE45" s="213"/>
      <c r="AF45" s="215"/>
      <c r="AG45" s="215"/>
      <c r="AH45" s="217"/>
      <c r="AI45" s="217"/>
      <c r="AJ45" s="213"/>
    </row>
    <row r="46" spans="1:36" ht="33.75" customHeight="1">
      <c r="A46" s="213"/>
      <c r="B46" s="214">
        <f ca="1">IFERROR(__xludf.DUMMYFUNCTION("""COMPUTED_VALUE"""),2817066)</f>
        <v>2817066</v>
      </c>
      <c r="C46" s="215" t="str">
        <f ca="1">IFERROR(__xludf.DUMMYFUNCTION("""COMPUTED_VALUE"""),"Beginner + Intermediate")</f>
        <v>Beginner + Intermediate</v>
      </c>
      <c r="D46" s="216" t="str">
        <f ca="1">IFERROR(__xludf.DUMMYFUNCTION("""COMPUTED_VALUE"""),"Cloud Hadoop: Scaling Apache Spark")</f>
        <v>Cloud Hadoop: Scaling Apache Spark</v>
      </c>
      <c r="E46" s="217"/>
      <c r="F46" s="213"/>
      <c r="G46" s="214"/>
      <c r="H46" s="215"/>
      <c r="I46" s="217"/>
      <c r="J46" s="217"/>
      <c r="K46" s="213"/>
      <c r="L46" s="215">
        <f ca="1">IFERROR(__xludf.DUMMYFUNCTION("""COMPUTED_VALUE"""),2290226)</f>
        <v>2290226</v>
      </c>
      <c r="M46" s="215" t="str">
        <f ca="1">IFERROR(__xludf.DUMMYFUNCTION("""COMPUTED_VALUE"""),"Beginner, Intermediate")</f>
        <v>Beginner, Intermediate</v>
      </c>
      <c r="N46" s="217" t="str">
        <f ca="1">IFERROR(__xludf.DUMMYFUNCTION("""COMPUTED_VALUE"""),"GDPR: Implementación práctica en la empresa")</f>
        <v>GDPR: Implementación práctica en la empresa</v>
      </c>
      <c r="O46" s="217"/>
      <c r="P46" s="213"/>
      <c r="Q46" s="215">
        <f ca="1">IFERROR(__xludf.DUMMYFUNCTION("""COMPUTED_VALUE"""),3147085)</f>
        <v>3147085</v>
      </c>
      <c r="R46" s="215" t="str">
        <f ca="1">IFERROR(__xludf.DUMMYFUNCTION("""COMPUTED_VALUE"""),"Beginner, Intermediate")</f>
        <v>Beginner, Intermediate</v>
      </c>
      <c r="S46" s="217" t="str">
        <f ca="1">IFERROR(__xludf.DUMMYFUNCTION("""COMPUTED_VALUE"""),"PostgreSQL Grundkurs")</f>
        <v>PostgreSQL Grundkurs</v>
      </c>
      <c r="T46" s="217"/>
      <c r="U46" s="213"/>
      <c r="V46" s="215"/>
      <c r="W46" s="215"/>
      <c r="X46" s="217"/>
      <c r="Y46" s="217"/>
      <c r="Z46" s="213"/>
      <c r="AA46" s="215"/>
      <c r="AB46" s="215"/>
      <c r="AC46" s="217"/>
      <c r="AD46" s="217"/>
      <c r="AE46" s="213"/>
      <c r="AF46" s="215"/>
      <c r="AG46" s="215"/>
      <c r="AH46" s="217"/>
      <c r="AI46" s="217"/>
      <c r="AJ46" s="213"/>
    </row>
    <row r="47" spans="1:36" ht="33.75" customHeight="1">
      <c r="A47" s="213"/>
      <c r="B47" s="214">
        <f ca="1">IFERROR(__xludf.DUMMYFUNCTION("""COMPUTED_VALUE"""),2822406)</f>
        <v>2822406</v>
      </c>
      <c r="C47" s="215" t="str">
        <f ca="1">IFERROR(__xludf.DUMMYFUNCTION("""COMPUTED_VALUE"""),"Beginner + Intermediate")</f>
        <v>Beginner + Intermediate</v>
      </c>
      <c r="D47" s="216" t="str">
        <f ca="1">IFERROR(__xludf.DUMMYFUNCTION("""COMPUTED_VALUE"""),"The Non-Technical Skills of Effective Data Scientists")</f>
        <v>The Non-Technical Skills of Effective Data Scientists</v>
      </c>
      <c r="E47" s="217"/>
      <c r="F47" s="213"/>
      <c r="G47" s="214"/>
      <c r="H47" s="215"/>
      <c r="I47" s="217"/>
      <c r="J47" s="217"/>
      <c r="K47" s="213"/>
      <c r="L47" s="215">
        <f ca="1">IFERROR(__xludf.DUMMYFUNCTION("""COMPUTED_VALUE"""),429812)</f>
        <v>429812</v>
      </c>
      <c r="M47" s="215" t="str">
        <f ca="1">IFERROR(__xludf.DUMMYFUNCTION("""COMPUTED_VALUE"""),"Beginner")</f>
        <v>Beginner</v>
      </c>
      <c r="N47" s="217" t="str">
        <f ca="1">IFERROR(__xludf.DUMMYFUNCTION("""COMPUTED_VALUE"""),"Introducción a la visualización de datos")</f>
        <v>Introducción a la visualización de datos</v>
      </c>
      <c r="O47" s="217"/>
      <c r="P47" s="213"/>
      <c r="Q47" s="215">
        <f ca="1">IFERROR(__xludf.DUMMYFUNCTION("""COMPUTED_VALUE"""),2817215)</f>
        <v>2817215</v>
      </c>
      <c r="R47" s="215" t="str">
        <f ca="1">IFERROR(__xludf.DUMMYFUNCTION("""COMPUTED_VALUE"""),"Advanced")</f>
        <v>Advanced</v>
      </c>
      <c r="S47" s="217" t="str">
        <f ca="1">IFERROR(__xludf.DUMMYFUNCTION("""COMPUTED_VALUE"""),"Power BI Desktop für Fortgeschrittene")</f>
        <v>Power BI Desktop für Fortgeschrittene</v>
      </c>
      <c r="T47" s="217"/>
      <c r="U47" s="213"/>
      <c r="V47" s="215"/>
      <c r="W47" s="215"/>
      <c r="X47" s="217"/>
      <c r="Y47" s="217"/>
      <c r="Z47" s="213"/>
      <c r="AA47" s="215"/>
      <c r="AB47" s="215"/>
      <c r="AC47" s="217"/>
      <c r="AD47" s="217"/>
      <c r="AE47" s="213"/>
      <c r="AF47" s="215"/>
      <c r="AG47" s="215"/>
      <c r="AH47" s="217"/>
      <c r="AI47" s="217"/>
      <c r="AJ47" s="213"/>
    </row>
    <row r="48" spans="1:36" ht="33.75" customHeight="1">
      <c r="A48" s="213"/>
      <c r="B48" s="214">
        <f ca="1">IFERROR(__xludf.DUMMYFUNCTION("""COMPUTED_VALUE"""),2824299)</f>
        <v>2824299</v>
      </c>
      <c r="C48" s="215" t="str">
        <f ca="1">IFERROR(__xludf.DUMMYFUNCTION("""COMPUTED_VALUE"""),"Beginner + Intermediate")</f>
        <v>Beginner + Intermediate</v>
      </c>
      <c r="D48" s="216" t="str">
        <f ca="1">IFERROR(__xludf.DUMMYFUNCTION("""COMPUTED_VALUE"""),"R Essential Training Part 2: Modeling Data")</f>
        <v>R Essential Training Part 2: Modeling Data</v>
      </c>
      <c r="E48" s="217"/>
      <c r="F48" s="213"/>
      <c r="G48" s="214"/>
      <c r="H48" s="215"/>
      <c r="I48" s="217"/>
      <c r="J48" s="217"/>
      <c r="K48" s="213"/>
      <c r="L48" s="215">
        <f ca="1">IFERROR(__xludf.DUMMYFUNCTION("""COMPUTED_VALUE"""),2930864)</f>
        <v>2930864</v>
      </c>
      <c r="M48" s="215" t="str">
        <f ca="1">IFERROR(__xludf.DUMMYFUNCTION("""COMPUTED_VALUE"""),"Beginner, Intermediate")</f>
        <v>Beginner, Intermediate</v>
      </c>
      <c r="N48" s="217" t="str">
        <f ca="1">IFERROR(__xludf.DUMMYFUNCTION("""COMPUTED_VALUE"""),"MATLAB esencial")</f>
        <v>MATLAB esencial</v>
      </c>
      <c r="O48" s="217"/>
      <c r="P48" s="213"/>
      <c r="Q48" s="215">
        <f ca="1">IFERROR(__xludf.DUMMYFUNCTION("""COMPUTED_VALUE"""),561727)</f>
        <v>561727</v>
      </c>
      <c r="R48" s="215" t="str">
        <f ca="1">IFERROR(__xludf.DUMMYFUNCTION("""COMPUTED_VALUE"""),"Beginner, Intermediate")</f>
        <v>Beginner, Intermediate</v>
      </c>
      <c r="S48" s="217" t="str">
        <f ca="1">IFERROR(__xludf.DUMMYFUNCTION("""COMPUTED_VALUE"""),"Power BI Desktop Grundkurs")</f>
        <v>Power BI Desktop Grundkurs</v>
      </c>
      <c r="T48" s="217"/>
      <c r="U48" s="213"/>
      <c r="V48" s="215"/>
      <c r="W48" s="215"/>
      <c r="X48" s="217"/>
      <c r="Y48" s="217"/>
      <c r="Z48" s="213"/>
      <c r="AA48" s="215"/>
      <c r="AB48" s="215"/>
      <c r="AC48" s="217"/>
      <c r="AD48" s="217"/>
      <c r="AE48" s="213"/>
      <c r="AF48" s="215"/>
      <c r="AG48" s="215"/>
      <c r="AH48" s="217"/>
      <c r="AI48" s="217"/>
      <c r="AJ48" s="213"/>
    </row>
    <row r="49" spans="1:36" ht="33.75" customHeight="1">
      <c r="A49" s="213"/>
      <c r="B49" s="214">
        <f ca="1">IFERROR(__xludf.DUMMYFUNCTION("""COMPUTED_VALUE"""),2822641)</f>
        <v>2822641</v>
      </c>
      <c r="C49" s="215" t="str">
        <f ca="1">IFERROR(__xludf.DUMMYFUNCTION("""COMPUTED_VALUE"""),"Beginner + Intermediate")</f>
        <v>Beginner + Intermediate</v>
      </c>
      <c r="D49" s="216" t="str">
        <f ca="1">IFERROR(__xludf.DUMMYFUNCTION("""COMPUTED_VALUE"""),"How to Perform Business Analysis in a Virtual Environment")</f>
        <v>How to Perform Business Analysis in a Virtual Environment</v>
      </c>
      <c r="E49" s="217"/>
      <c r="F49" s="213"/>
      <c r="G49" s="214"/>
      <c r="H49" s="215"/>
      <c r="I49" s="217"/>
      <c r="J49" s="217"/>
      <c r="K49" s="213"/>
      <c r="L49" s="215">
        <f ca="1">IFERROR(__xludf.DUMMYFUNCTION("""COMPUTED_VALUE"""),2825447)</f>
        <v>2825447</v>
      </c>
      <c r="M49" s="215" t="str">
        <f ca="1">IFERROR(__xludf.DUMMYFUNCTION("""COMPUTED_VALUE"""),"Beginner, Intermediate")</f>
        <v>Beginner, Intermediate</v>
      </c>
      <c r="N49" s="217" t="str">
        <f ca="1">IFERROR(__xludf.DUMMYFUNCTION("""COMPUTED_VALUE"""),"Microsoft Power BI en Power Platform esencial")</f>
        <v>Microsoft Power BI en Power Platform esencial</v>
      </c>
      <c r="O49" s="217"/>
      <c r="P49" s="213"/>
      <c r="Q49" s="215">
        <f ca="1">IFERROR(__xludf.DUMMYFUNCTION("""COMPUTED_VALUE"""),2422226)</f>
        <v>2422226</v>
      </c>
      <c r="R49" s="215" t="str">
        <f ca="1">IFERROR(__xludf.DUMMYFUNCTION("""COMPUTED_VALUE"""),"Advanced")</f>
        <v>Advanced</v>
      </c>
      <c r="S49" s="217" t="str">
        <f ca="1">IFERROR(__xludf.DUMMYFUNCTION("""COMPUTED_VALUE"""),"Power BI: Datenmodellierung")</f>
        <v>Power BI: Datenmodellierung</v>
      </c>
      <c r="T49" s="217"/>
      <c r="U49" s="213"/>
      <c r="V49" s="215"/>
      <c r="W49" s="215"/>
      <c r="X49" s="217"/>
      <c r="Y49" s="217"/>
      <c r="Z49" s="213"/>
      <c r="AA49" s="215"/>
      <c r="AB49" s="215"/>
      <c r="AC49" s="217"/>
      <c r="AD49" s="217"/>
      <c r="AE49" s="213"/>
      <c r="AF49" s="215"/>
      <c r="AG49" s="215"/>
      <c r="AH49" s="217"/>
      <c r="AI49" s="217"/>
      <c r="AJ49" s="213"/>
    </row>
    <row r="50" spans="1:36" ht="33.75" customHeight="1">
      <c r="A50" s="213"/>
      <c r="B50" s="214">
        <f ca="1">IFERROR(__xludf.DUMMYFUNCTION("""COMPUTED_VALUE"""),2938118)</f>
        <v>2938118</v>
      </c>
      <c r="C50" s="215" t="str">
        <f ca="1">IFERROR(__xludf.DUMMYFUNCTION("""COMPUTED_VALUE"""),"General")</f>
        <v>General</v>
      </c>
      <c r="D50" s="216" t="str">
        <f ca="1">IFERROR(__xludf.DUMMYFUNCTION("""COMPUTED_VALUE"""),"LinkedIn Learning Highlights: Data Science and Analytics")</f>
        <v>LinkedIn Learning Highlights: Data Science and Analytics</v>
      </c>
      <c r="E50" s="217"/>
      <c r="F50" s="213"/>
      <c r="G50" s="214"/>
      <c r="H50" s="215"/>
      <c r="I50" s="217"/>
      <c r="J50" s="217"/>
      <c r="K50" s="213"/>
      <c r="L50" s="215">
        <f ca="1">IFERROR(__xludf.DUMMYFUNCTION("""COMPUTED_VALUE"""),2809483)</f>
        <v>2809483</v>
      </c>
      <c r="M50" s="215" t="str">
        <f ca="1">IFERROR(__xludf.DUMMYFUNCTION("""COMPUTED_VALUE"""),"Beginner, Intermediate")</f>
        <v>Beginner, Intermediate</v>
      </c>
      <c r="N50" s="217" t="str">
        <f ca="1">IFERROR(__xludf.DUMMYFUNCTION("""COMPUTED_VALUE"""),"MongoDB esencial")</f>
        <v>MongoDB esencial</v>
      </c>
      <c r="O50" s="217"/>
      <c r="P50" s="213"/>
      <c r="Q50" s="215">
        <f ca="1">IFERROR(__xludf.DUMMYFUNCTION("""COMPUTED_VALUE"""),5025565)</f>
        <v>5025565</v>
      </c>
      <c r="R50" s="215" t="str">
        <f ca="1">IFERROR(__xludf.DUMMYFUNCTION("""COMPUTED_VALUE"""),"Advanced")</f>
        <v>Advanced</v>
      </c>
      <c r="S50" s="217" t="str">
        <f ca="1">IFERROR(__xludf.DUMMYFUNCTION("""COMPUTED_VALUE"""),"Power Query für Fortgeschrittene (Excel und Power BI Desktop; 365/2019)")</f>
        <v>Power Query für Fortgeschrittene (Excel und Power BI Desktop; 365/2019)</v>
      </c>
      <c r="T50" s="217"/>
      <c r="U50" s="213"/>
      <c r="V50" s="215"/>
      <c r="W50" s="215"/>
      <c r="X50" s="217"/>
      <c r="Y50" s="217"/>
      <c r="Z50" s="213"/>
      <c r="AA50" s="215"/>
      <c r="AB50" s="215"/>
      <c r="AC50" s="217"/>
      <c r="AD50" s="217"/>
      <c r="AE50" s="213"/>
      <c r="AF50" s="215"/>
      <c r="AG50" s="215"/>
      <c r="AH50" s="217"/>
      <c r="AI50" s="217"/>
      <c r="AJ50" s="213"/>
    </row>
    <row r="51" spans="1:36" ht="33.75" customHeight="1">
      <c r="A51" s="213"/>
      <c r="B51" s="214">
        <f ca="1">IFERROR(__xludf.DUMMYFUNCTION("""COMPUTED_VALUE"""),2823140)</f>
        <v>2823140</v>
      </c>
      <c r="C51" s="215" t="str">
        <f ca="1">IFERROR(__xludf.DUMMYFUNCTION("""COMPUTED_VALUE"""),"General")</f>
        <v>General</v>
      </c>
      <c r="D51" s="216" t="str">
        <f ca="1">IFERROR(__xludf.DUMMYFUNCTION("""COMPUTED_VALUE"""),"Tech Ethics: Avoiding Unintended Consequences")</f>
        <v>Tech Ethics: Avoiding Unintended Consequences</v>
      </c>
      <c r="E51" s="217"/>
      <c r="F51" s="213"/>
      <c r="G51" s="214"/>
      <c r="H51" s="215"/>
      <c r="I51" s="217"/>
      <c r="J51" s="217"/>
      <c r="K51" s="213"/>
      <c r="L51" s="215">
        <f ca="1">IFERROR(__xludf.DUMMYFUNCTION("""COMPUTED_VALUE"""),3107600)</f>
        <v>3107600</v>
      </c>
      <c r="M51" s="215" t="str">
        <f ca="1">IFERROR(__xludf.DUMMYFUNCTION("""COMPUTED_VALUE"""),"Beginner, Intermediate")</f>
        <v>Beginner, Intermediate</v>
      </c>
      <c r="N51" s="217" t="str">
        <f ca="1">IFERROR(__xludf.DUMMYFUNCTION("""COMPUTED_VALUE"""),"Power BI esencial")</f>
        <v>Power BI esencial</v>
      </c>
      <c r="O51" s="217"/>
      <c r="P51" s="213"/>
      <c r="Q51" s="215">
        <f ca="1">IFERROR(__xludf.DUMMYFUNCTION("""COMPUTED_VALUE"""),395362)</f>
        <v>395362</v>
      </c>
      <c r="R51" s="215" t="str">
        <f ca="1">IFERROR(__xludf.DUMMYFUNCTION("""COMPUTED_VALUE"""),"Beginner, Intermediate")</f>
        <v>Beginner, Intermediate</v>
      </c>
      <c r="S51" s="217" t="str">
        <f ca="1">IFERROR(__xludf.DUMMYFUNCTION("""COMPUTED_VALUE"""),"Python 3 Grundkurs")</f>
        <v>Python 3 Grundkurs</v>
      </c>
      <c r="T51" s="217"/>
      <c r="U51" s="213"/>
      <c r="V51" s="215"/>
      <c r="W51" s="215"/>
      <c r="X51" s="217"/>
      <c r="Y51" s="217"/>
      <c r="Z51" s="213"/>
      <c r="AA51" s="215"/>
      <c r="AB51" s="215"/>
      <c r="AC51" s="217"/>
      <c r="AD51" s="217"/>
      <c r="AE51" s="213"/>
      <c r="AF51" s="215"/>
      <c r="AG51" s="215"/>
      <c r="AH51" s="217"/>
      <c r="AI51" s="217"/>
      <c r="AJ51" s="213"/>
    </row>
    <row r="52" spans="1:36" ht="33.75" customHeight="1">
      <c r="A52" s="213"/>
      <c r="B52" s="214">
        <f ca="1">IFERROR(__xludf.DUMMYFUNCTION("""COMPUTED_VALUE"""),573131)</f>
        <v>573131</v>
      </c>
      <c r="C52" s="215" t="str">
        <f ca="1">IFERROR(__xludf.DUMMYFUNCTION("""COMPUTED_VALUE"""),"General")</f>
        <v>General</v>
      </c>
      <c r="D52" s="216" t="str">
        <f ca="1">IFERROR(__xludf.DUMMYFUNCTION("""COMPUTED_VALUE"""),"The Data Science of Media and Entertainment with Barton Poulson")</f>
        <v>The Data Science of Media and Entertainment with Barton Poulson</v>
      </c>
      <c r="E52" s="217"/>
      <c r="F52" s="213"/>
      <c r="G52" s="214"/>
      <c r="H52" s="215"/>
      <c r="I52" s="217"/>
      <c r="J52" s="217"/>
      <c r="K52" s="213"/>
      <c r="L52" s="215">
        <f ca="1">IFERROR(__xludf.DUMMYFUNCTION("""COMPUTED_VALUE"""),2815049)</f>
        <v>2815049</v>
      </c>
      <c r="M52" s="215" t="str">
        <f ca="1">IFERROR(__xludf.DUMMYFUNCTION("""COMPUTED_VALUE"""),"Beginner")</f>
        <v>Beginner</v>
      </c>
      <c r="N52" s="217" t="str">
        <f ca="1">IFERROR(__xludf.DUMMYFUNCTION("""COMPUTED_VALUE"""),"Power BI para principiantes: Análisis de datos")</f>
        <v>Power BI para principiantes: Análisis de datos</v>
      </c>
      <c r="O52" s="217"/>
      <c r="P52" s="213"/>
      <c r="Q52" s="215">
        <f ca="1">IFERROR(__xludf.DUMMYFUNCTION("""COMPUTED_VALUE"""),2383237)</f>
        <v>2383237</v>
      </c>
      <c r="R52" s="215" t="str">
        <f ca="1">IFERROR(__xludf.DUMMYFUNCTION("""COMPUTED_VALUE"""),"Intermediate")</f>
        <v>Intermediate</v>
      </c>
      <c r="S52" s="217" t="str">
        <f ca="1">IFERROR(__xludf.DUMMYFUNCTION("""COMPUTED_VALUE"""),"Python für C++-, Java- und C#-Entwickler:innen")</f>
        <v>Python für C++-, Java- und C#-Entwickler:innen</v>
      </c>
      <c r="T52" s="217"/>
      <c r="U52" s="213"/>
      <c r="V52" s="215"/>
      <c r="W52" s="215"/>
      <c r="X52" s="217"/>
      <c r="Y52" s="217"/>
      <c r="Z52" s="213"/>
      <c r="AA52" s="215"/>
      <c r="AB52" s="215"/>
      <c r="AC52" s="217"/>
      <c r="AD52" s="217"/>
      <c r="AE52" s="213"/>
      <c r="AF52" s="215"/>
      <c r="AG52" s="215"/>
      <c r="AH52" s="217"/>
      <c r="AI52" s="217"/>
      <c r="AJ52" s="213"/>
    </row>
    <row r="53" spans="1:36" ht="33.75" customHeight="1">
      <c r="A53" s="213"/>
      <c r="B53" s="214">
        <f ca="1">IFERROR(__xludf.DUMMYFUNCTION("""COMPUTED_VALUE"""),630612)</f>
        <v>630612</v>
      </c>
      <c r="C53" s="215" t="str">
        <f ca="1">IFERROR(__xludf.DUMMYFUNCTION("""COMPUTED_VALUE"""),"General")</f>
        <v>General</v>
      </c>
      <c r="D53" s="216" t="str">
        <f ca="1">IFERROR(__xludf.DUMMYFUNCTION("""COMPUTED_VALUE"""),"The Data Science of Government and Political Science, with Barton Poulson")</f>
        <v>The Data Science of Government and Political Science, with Barton Poulson</v>
      </c>
      <c r="E53" s="217"/>
      <c r="F53" s="213"/>
      <c r="G53" s="214"/>
      <c r="H53" s="215"/>
      <c r="I53" s="217"/>
      <c r="J53" s="217"/>
      <c r="K53" s="213"/>
      <c r="L53" s="215">
        <f ca="1">IFERROR(__xludf.DUMMYFUNCTION("""COMPUTED_VALUE"""),2822633)</f>
        <v>2822633</v>
      </c>
      <c r="M53" s="215" t="str">
        <f ca="1">IFERROR(__xludf.DUMMYFUNCTION("""COMPUTED_VALUE"""),"Intermediate")</f>
        <v>Intermediate</v>
      </c>
      <c r="N53" s="217" t="str">
        <f ca="1">IFERROR(__xludf.DUMMYFUNCTION("""COMPUTED_VALUE"""),"Power BI: Trabajo colaborativo desde el servicio Power BI")</f>
        <v>Power BI: Trabajo colaborativo desde el servicio Power BI</v>
      </c>
      <c r="O53" s="217"/>
      <c r="P53" s="213"/>
      <c r="Q53" s="215">
        <f ca="1">IFERROR(__xludf.DUMMYFUNCTION("""COMPUTED_VALUE"""),716372)</f>
        <v>716372</v>
      </c>
      <c r="R53" s="215" t="str">
        <f ca="1">IFERROR(__xludf.DUMMYFUNCTION("""COMPUTED_VALUE"""),"Beginner")</f>
        <v>Beginner</v>
      </c>
      <c r="S53" s="217" t="str">
        <f ca="1">IFERROR(__xludf.DUMMYFUNCTION("""COMPUTED_VALUE"""),"Python lernen")</f>
        <v>Python lernen</v>
      </c>
      <c r="T53" s="217"/>
      <c r="U53" s="213"/>
      <c r="V53" s="215"/>
      <c r="W53" s="215"/>
      <c r="X53" s="217"/>
      <c r="Y53" s="217"/>
      <c r="Z53" s="213"/>
      <c r="AA53" s="215"/>
      <c r="AB53" s="215"/>
      <c r="AC53" s="217"/>
      <c r="AD53" s="217"/>
      <c r="AE53" s="213"/>
      <c r="AF53" s="215"/>
      <c r="AG53" s="215"/>
      <c r="AH53" s="217"/>
      <c r="AI53" s="217"/>
      <c r="AJ53" s="213"/>
    </row>
    <row r="54" spans="1:36" ht="33.75" customHeight="1">
      <c r="A54" s="213"/>
      <c r="B54" s="214">
        <f ca="1">IFERROR(__xludf.DUMMYFUNCTION("""COMPUTED_VALUE"""),573130)</f>
        <v>573130</v>
      </c>
      <c r="C54" s="215" t="str">
        <f ca="1">IFERROR(__xludf.DUMMYFUNCTION("""COMPUTED_VALUE"""),"General")</f>
        <v>General</v>
      </c>
      <c r="D54" s="216" t="str">
        <f ca="1">IFERROR(__xludf.DUMMYFUNCTION("""COMPUTED_VALUE"""),"The Data Science of Retail, Sales, and Commerce")</f>
        <v>The Data Science of Retail, Sales, and Commerce</v>
      </c>
      <c r="E54" s="217"/>
      <c r="F54" s="213"/>
      <c r="G54" s="214"/>
      <c r="H54" s="215"/>
      <c r="I54" s="217"/>
      <c r="J54" s="217"/>
      <c r="K54" s="213"/>
      <c r="L54" s="215">
        <f ca="1">IFERROR(__xludf.DUMMYFUNCTION("""COMPUTED_VALUE"""),2825448)</f>
        <v>2825448</v>
      </c>
      <c r="M54" s="215" t="str">
        <f ca="1">IFERROR(__xludf.DUMMYFUNCTION("""COMPUTED_VALUE"""),"Intermediate")</f>
        <v>Intermediate</v>
      </c>
      <c r="N54" s="217" t="str">
        <f ca="1">IFERROR(__xludf.DUMMYFUNCTION("""COMPUTED_VALUE"""),"Power BI: Visualizaciones e informes")</f>
        <v>Power BI: Visualizaciones e informes</v>
      </c>
      <c r="O54" s="217"/>
      <c r="P54" s="213"/>
      <c r="Q54" s="215">
        <f ca="1">IFERROR(__xludf.DUMMYFUNCTION("""COMPUTED_VALUE"""),2996437)</f>
        <v>2996437</v>
      </c>
      <c r="R54" s="215" t="str">
        <f ca="1">IFERROR(__xludf.DUMMYFUNCTION("""COMPUTED_VALUE"""),"Intermediate")</f>
        <v>Intermediate</v>
      </c>
      <c r="S54" s="217" t="str">
        <f ca="1">IFERROR(__xludf.DUMMYFUNCTION("""COMPUTED_VALUE"""),"Python und Excel: Strukturierte Daten bearbeiten")</f>
        <v>Python und Excel: Strukturierte Daten bearbeiten</v>
      </c>
      <c r="T54" s="217"/>
      <c r="U54" s="213"/>
      <c r="V54" s="215"/>
      <c r="W54" s="215"/>
      <c r="X54" s="217"/>
      <c r="Y54" s="217"/>
      <c r="Z54" s="213"/>
      <c r="AA54" s="215"/>
      <c r="AB54" s="215"/>
      <c r="AC54" s="217"/>
      <c r="AD54" s="217"/>
      <c r="AE54" s="213"/>
      <c r="AF54" s="215"/>
      <c r="AG54" s="215"/>
      <c r="AH54" s="217"/>
      <c r="AI54" s="217"/>
      <c r="AJ54" s="213"/>
    </row>
    <row r="55" spans="1:36" ht="33.75" customHeight="1">
      <c r="A55" s="213"/>
      <c r="B55" s="214">
        <f ca="1">IFERROR(__xludf.DUMMYFUNCTION("""COMPUTED_VALUE"""),3009707)</f>
        <v>3009707</v>
      </c>
      <c r="C55" s="215" t="str">
        <f ca="1">IFERROR(__xludf.DUMMYFUNCTION("""COMPUTED_VALUE"""),"General")</f>
        <v>General</v>
      </c>
      <c r="D55" s="216" t="str">
        <f ca="1">IFERROR(__xludf.DUMMYFUNCTION("""COMPUTED_VALUE"""),"Skills That Set Data Scientists Apart")</f>
        <v>Skills That Set Data Scientists Apart</v>
      </c>
      <c r="E55" s="217"/>
      <c r="F55" s="213"/>
      <c r="G55" s="214"/>
      <c r="H55" s="215"/>
      <c r="I55" s="217"/>
      <c r="J55" s="217"/>
      <c r="K55" s="213"/>
      <c r="L55" s="215">
        <f ca="1">IFERROR(__xludf.DUMMYFUNCTION("""COMPUTED_VALUE"""),762683)</f>
        <v>762683</v>
      </c>
      <c r="M55" s="215" t="str">
        <f ca="1">IFERROR(__xludf.DUMMYFUNCTION("""COMPUTED_VALUE"""),"Beginner, Intermediate")</f>
        <v>Beginner, Intermediate</v>
      </c>
      <c r="N55" s="217" t="str">
        <f ca="1">IFERROR(__xludf.DUMMYFUNCTION("""COMPUTED_VALUE"""),"Python para data science y big data esencial")</f>
        <v>Python para data science y big data esencial</v>
      </c>
      <c r="O55" s="217"/>
      <c r="P55" s="213"/>
      <c r="Q55" s="215">
        <f ca="1">IFERROR(__xludf.DUMMYFUNCTION("""COMPUTED_VALUE"""),782155)</f>
        <v>782155</v>
      </c>
      <c r="R55" s="215" t="str">
        <f ca="1">IFERROR(__xludf.DUMMYFUNCTION("""COMPUTED_VALUE"""),"Intermediate")</f>
        <v>Intermediate</v>
      </c>
      <c r="S55" s="217" t="str">
        <f ca="1">IFERROR(__xludf.DUMMYFUNCTION("""COMPUTED_VALUE"""),"Python: Geometrische Berechnungen")</f>
        <v>Python: Geometrische Berechnungen</v>
      </c>
      <c r="T55" s="217"/>
      <c r="U55" s="213"/>
      <c r="V55" s="215"/>
      <c r="W55" s="215"/>
      <c r="X55" s="217"/>
      <c r="Y55" s="217"/>
      <c r="Z55" s="213"/>
      <c r="AA55" s="215"/>
      <c r="AB55" s="215"/>
      <c r="AC55" s="217"/>
      <c r="AD55" s="217"/>
      <c r="AE55" s="213"/>
      <c r="AF55" s="215"/>
      <c r="AG55" s="215"/>
      <c r="AH55" s="217"/>
      <c r="AI55" s="217"/>
      <c r="AJ55" s="213"/>
    </row>
    <row r="56" spans="1:36" ht="33.75" customHeight="1">
      <c r="A56" s="213"/>
      <c r="B56" s="214">
        <f ca="1">IFERROR(__xludf.DUMMYFUNCTION("""COMPUTED_VALUE"""),3010693)</f>
        <v>3010693</v>
      </c>
      <c r="C56" s="215" t="str">
        <f ca="1">IFERROR(__xludf.DUMMYFUNCTION("""COMPUTED_VALUE"""),"General")</f>
        <v>General</v>
      </c>
      <c r="D56" s="216" t="str">
        <f ca="1">IFERROR(__xludf.DUMMYFUNCTION("""COMPUTED_VALUE"""),"Hiring a Chief Data Officer")</f>
        <v>Hiring a Chief Data Officer</v>
      </c>
      <c r="E56" s="217"/>
      <c r="F56" s="213"/>
      <c r="G56" s="214"/>
      <c r="H56" s="215"/>
      <c r="I56" s="217"/>
      <c r="J56" s="217"/>
      <c r="K56" s="213"/>
      <c r="L56" s="215">
        <f ca="1">IFERROR(__xludf.DUMMYFUNCTION("""COMPUTED_VALUE"""),793661)</f>
        <v>793661</v>
      </c>
      <c r="M56" s="215" t="str">
        <f ca="1">IFERROR(__xludf.DUMMYFUNCTION("""COMPUTED_VALUE"""),"Advanced")</f>
        <v>Advanced</v>
      </c>
      <c r="N56" s="217" t="str">
        <f ca="1">IFERROR(__xludf.DUMMYFUNCTION("""COMPUTED_VALUE"""),"Python para data scientist avanzado")</f>
        <v>Python para data scientist avanzado</v>
      </c>
      <c r="O56" s="217"/>
      <c r="P56" s="213"/>
      <c r="Q56" s="215">
        <f ca="1">IFERROR(__xludf.DUMMYFUNCTION("""COMPUTED_VALUE"""),778864)</f>
        <v>778864</v>
      </c>
      <c r="R56" s="215" t="str">
        <f ca="1">IFERROR(__xludf.DUMMYFUNCTION("""COMPUTED_VALUE"""),"Advanced")</f>
        <v>Advanced</v>
      </c>
      <c r="S56" s="217" t="str">
        <f ca="1">IFERROR(__xludf.DUMMYFUNCTION("""COMPUTED_VALUE"""),"Python: Statistische Auswertungen")</f>
        <v>Python: Statistische Auswertungen</v>
      </c>
      <c r="T56" s="217"/>
      <c r="U56" s="213"/>
      <c r="V56" s="215"/>
      <c r="W56" s="215"/>
      <c r="X56" s="217"/>
      <c r="Y56" s="217"/>
      <c r="Z56" s="213"/>
      <c r="AA56" s="215"/>
      <c r="AB56" s="215"/>
      <c r="AC56" s="217"/>
      <c r="AD56" s="217"/>
      <c r="AE56" s="213"/>
      <c r="AF56" s="215"/>
      <c r="AG56" s="215"/>
      <c r="AH56" s="217"/>
      <c r="AI56" s="217"/>
      <c r="AJ56" s="213"/>
    </row>
    <row r="57" spans="1:36" ht="33.75" customHeight="1">
      <c r="A57" s="213"/>
      <c r="B57" s="214">
        <f ca="1">IFERROR(__xludf.DUMMYFUNCTION("""COMPUTED_VALUE"""),3013245)</f>
        <v>3013245</v>
      </c>
      <c r="C57" s="215" t="str">
        <f ca="1">IFERROR(__xludf.DUMMYFUNCTION("""COMPUTED_VALUE"""),"General")</f>
        <v>General</v>
      </c>
      <c r="D57" s="216" t="str">
        <f ca="1">IFERROR(__xludf.DUMMYFUNCTION("""COMPUTED_VALUE"""),"Best Languages for Data Science")</f>
        <v>Best Languages for Data Science</v>
      </c>
      <c r="E57" s="217"/>
      <c r="F57" s="213"/>
      <c r="G57" s="214"/>
      <c r="H57" s="215"/>
      <c r="I57" s="217"/>
      <c r="J57" s="217"/>
      <c r="K57" s="213"/>
      <c r="L57" s="215">
        <f ca="1">IFERROR(__xludf.DUMMYFUNCTION("""COMPUTED_VALUE"""),762684)</f>
        <v>762684</v>
      </c>
      <c r="M57" s="215" t="str">
        <f ca="1">IFERROR(__xludf.DUMMYFUNCTION("""COMPUTED_VALUE"""),"Beginner, Intermediate")</f>
        <v>Beginner, Intermediate</v>
      </c>
      <c r="N57" s="217" t="str">
        <f ca="1">IFERROR(__xludf.DUMMYFUNCTION("""COMPUTED_VALUE"""),"R para big data esencial")</f>
        <v>R para big data esencial</v>
      </c>
      <c r="O57" s="217"/>
      <c r="P57" s="213"/>
      <c r="Q57" s="215">
        <f ca="1">IFERROR(__xludf.DUMMYFUNCTION("""COMPUTED_VALUE"""),2377500)</f>
        <v>2377500</v>
      </c>
      <c r="R57" s="215" t="str">
        <f ca="1">IFERROR(__xludf.DUMMYFUNCTION("""COMPUTED_VALUE"""),"Beginner, Intermediate")</f>
        <v>Beginner, Intermediate</v>
      </c>
      <c r="S57" s="217" t="str">
        <f ca="1">IFERROR(__xludf.DUMMYFUNCTION("""COMPUTED_VALUE"""),"R und RStudio Grundkurs")</f>
        <v>R und RStudio Grundkurs</v>
      </c>
      <c r="T57" s="217"/>
      <c r="U57" s="213"/>
      <c r="V57" s="215"/>
      <c r="W57" s="215"/>
      <c r="X57" s="217"/>
      <c r="Y57" s="217"/>
      <c r="Z57" s="213"/>
      <c r="AA57" s="215"/>
      <c r="AB57" s="215"/>
      <c r="AC57" s="217"/>
      <c r="AD57" s="217"/>
      <c r="AE57" s="213"/>
      <c r="AF57" s="215"/>
      <c r="AG57" s="215"/>
      <c r="AH57" s="217"/>
      <c r="AI57" s="217"/>
      <c r="AJ57" s="213"/>
    </row>
    <row r="58" spans="1:36" ht="33.75" customHeight="1">
      <c r="A58" s="213"/>
      <c r="B58" s="214">
        <f ca="1">IFERROR(__xludf.DUMMYFUNCTION("""COMPUTED_VALUE"""),3008694)</f>
        <v>3008694</v>
      </c>
      <c r="C58" s="215" t="str">
        <f ca="1">IFERROR(__xludf.DUMMYFUNCTION("""COMPUTED_VALUE"""),"General")</f>
        <v>General</v>
      </c>
      <c r="D58" s="216" t="str">
        <f ca="1">IFERROR(__xludf.DUMMYFUNCTION("""COMPUTED_VALUE"""),"Giving Computers Vision")</f>
        <v>Giving Computers Vision</v>
      </c>
      <c r="E58" s="217"/>
      <c r="F58" s="213"/>
      <c r="G58" s="214"/>
      <c r="H58" s="215"/>
      <c r="I58" s="217"/>
      <c r="J58" s="217"/>
      <c r="K58" s="213"/>
      <c r="L58" s="215">
        <f ca="1">IFERROR(__xludf.DUMMYFUNCTION("""COMPUTED_VALUE"""),793662)</f>
        <v>793662</v>
      </c>
      <c r="M58" s="215" t="str">
        <f ca="1">IFERROR(__xludf.DUMMYFUNCTION("""COMPUTED_VALUE"""),"Advanced")</f>
        <v>Advanced</v>
      </c>
      <c r="N58" s="217" t="str">
        <f ca="1">IFERROR(__xludf.DUMMYFUNCTION("""COMPUTED_VALUE"""),"R para data scientist avanzado")</f>
        <v>R para data scientist avanzado</v>
      </c>
      <c r="O58" s="217"/>
      <c r="P58" s="213"/>
      <c r="Q58" s="215">
        <f ca="1">IFERROR(__xludf.DUMMYFUNCTION("""COMPUTED_VALUE"""),3001556)</f>
        <v>3001556</v>
      </c>
      <c r="R58" s="215" t="str">
        <f ca="1">IFERROR(__xludf.DUMMYFUNCTION("""COMPUTED_VALUE"""),"Beginner")</f>
        <v>Beginner</v>
      </c>
      <c r="S58" s="217" t="str">
        <f ca="1">IFERROR(__xludf.DUMMYFUNCTION("""COMPUTED_VALUE"""),"Rechtsgrundlagen: Industrie 4.0 und Internet of Things (IoT)")</f>
        <v>Rechtsgrundlagen: Industrie 4.0 und Internet of Things (IoT)</v>
      </c>
      <c r="T58" s="217"/>
      <c r="U58" s="213"/>
      <c r="V58" s="215"/>
      <c r="W58" s="215"/>
      <c r="X58" s="217"/>
      <c r="Y58" s="217"/>
      <c r="Z58" s="213"/>
      <c r="AA58" s="215"/>
      <c r="AB58" s="215"/>
      <c r="AC58" s="217"/>
      <c r="AD58" s="217"/>
      <c r="AE58" s="213"/>
      <c r="AF58" s="215"/>
      <c r="AG58" s="215"/>
      <c r="AH58" s="217"/>
      <c r="AI58" s="217"/>
      <c r="AJ58" s="213"/>
    </row>
    <row r="59" spans="1:36" ht="33.75" customHeight="1">
      <c r="A59" s="213"/>
      <c r="B59" s="214">
        <f ca="1">IFERROR(__xludf.DUMMYFUNCTION("""COMPUTED_VALUE"""),5028661)</f>
        <v>5028661</v>
      </c>
      <c r="C59" s="215" t="str">
        <f ca="1">IFERROR(__xludf.DUMMYFUNCTION("""COMPUTED_VALUE"""),"Intermediate")</f>
        <v>Intermediate</v>
      </c>
      <c r="D59" s="216" t="str">
        <f ca="1">IFERROR(__xludf.DUMMYFUNCTION("""COMPUTED_VALUE"""),"Excel Statistics Essential Training: 2")</f>
        <v>Excel Statistics Essential Training: 2</v>
      </c>
      <c r="E59" s="217"/>
      <c r="F59" s="213"/>
      <c r="G59" s="214"/>
      <c r="H59" s="215"/>
      <c r="I59" s="217"/>
      <c r="J59" s="217"/>
      <c r="K59" s="213"/>
      <c r="L59" s="215">
        <f ca="1">IFERROR(__xludf.DUMMYFUNCTION("""COMPUTED_VALUE"""),2996868)</f>
        <v>2996868</v>
      </c>
      <c r="M59" s="215" t="str">
        <f ca="1">IFERROR(__xludf.DUMMYFUNCTION("""COMPUTED_VALUE"""),"Beginner, Intermediate")</f>
        <v>Beginner, Intermediate</v>
      </c>
      <c r="N59" s="217" t="str">
        <f ca="1">IFERROR(__xludf.DUMMYFUNCTION("""COMPUTED_VALUE"""),"Tableau esencial")</f>
        <v>Tableau esencial</v>
      </c>
      <c r="O59" s="217"/>
      <c r="P59" s="213"/>
      <c r="Q59" s="215">
        <f ca="1">IFERROR(__xludf.DUMMYFUNCTION("""COMPUTED_VALUE"""),2916828)</f>
        <v>2916828</v>
      </c>
      <c r="R59" s="215" t="str">
        <f ca="1">IFERROR(__xludf.DUMMYFUNCTION("""COMPUTED_VALUE"""),"Beginner")</f>
        <v>Beginner</v>
      </c>
      <c r="S59" s="217" t="str">
        <f ca="1">IFERROR(__xludf.DUMMYFUNCTION("""COMPUTED_VALUE"""),"Relationale Algebra mit MySQL")</f>
        <v>Relationale Algebra mit MySQL</v>
      </c>
      <c r="T59" s="217"/>
      <c r="U59" s="213"/>
      <c r="V59" s="215"/>
      <c r="W59" s="215"/>
      <c r="X59" s="217"/>
      <c r="Y59" s="217"/>
      <c r="Z59" s="213"/>
      <c r="AA59" s="215"/>
      <c r="AB59" s="215"/>
      <c r="AC59" s="217"/>
      <c r="AD59" s="217"/>
      <c r="AE59" s="213"/>
      <c r="AF59" s="215"/>
      <c r="AG59" s="215"/>
      <c r="AH59" s="217"/>
      <c r="AI59" s="217"/>
      <c r="AJ59" s="213"/>
    </row>
    <row r="60" spans="1:36" ht="33.75" customHeight="1">
      <c r="A60" s="213"/>
      <c r="B60" s="214">
        <f ca="1">IFERROR(__xludf.DUMMYFUNCTION("""COMPUTED_VALUE"""),647676)</f>
        <v>647676</v>
      </c>
      <c r="C60" s="215" t="str">
        <f ca="1">IFERROR(__xludf.DUMMYFUNCTION("""COMPUTED_VALUE"""),"Intermediate")</f>
        <v>Intermediate</v>
      </c>
      <c r="D60" s="216" t="str">
        <f ca="1">IFERROR(__xludf.DUMMYFUNCTION("""COMPUTED_VALUE"""),"Business Analytics Foundations: Descriptive, Exploratory, and Explanatory Analytics")</f>
        <v>Business Analytics Foundations: Descriptive, Exploratory, and Explanatory Analytics</v>
      </c>
      <c r="E60" s="217"/>
      <c r="F60" s="213"/>
      <c r="G60" s="214"/>
      <c r="H60" s="215"/>
      <c r="I60" s="217"/>
      <c r="J60" s="217"/>
      <c r="K60" s="213"/>
      <c r="L60" s="215"/>
      <c r="M60" s="215"/>
      <c r="N60" s="217"/>
      <c r="O60" s="217"/>
      <c r="P60" s="213"/>
      <c r="Q60" s="215">
        <f ca="1">IFERROR(__xludf.DUMMYFUNCTION("""COMPUTED_VALUE"""),2428853)</f>
        <v>2428853</v>
      </c>
      <c r="R60" s="215" t="str">
        <f ca="1">IFERROR(__xludf.DUMMYFUNCTION("""COMPUTED_VALUE"""),"Intermediate")</f>
        <v>Intermediate</v>
      </c>
      <c r="S60" s="217" t="str">
        <f ca="1">IFERROR(__xludf.DUMMYFUNCTION("""COMPUTED_VALUE"""),"SAP Business One: Stammdaten")</f>
        <v>SAP Business One: Stammdaten</v>
      </c>
      <c r="T60" s="217"/>
      <c r="U60" s="213"/>
      <c r="V60" s="215"/>
      <c r="W60" s="215"/>
      <c r="X60" s="217"/>
      <c r="Y60" s="217"/>
      <c r="Z60" s="213"/>
      <c r="AA60" s="215"/>
      <c r="AB60" s="215"/>
      <c r="AC60" s="217"/>
      <c r="AD60" s="217"/>
      <c r="AE60" s="213"/>
      <c r="AF60" s="215"/>
      <c r="AG60" s="215"/>
      <c r="AH60" s="217"/>
      <c r="AI60" s="217"/>
      <c r="AJ60" s="213"/>
    </row>
    <row r="61" spans="1:36" ht="33.75" customHeight="1">
      <c r="A61" s="213"/>
      <c r="B61" s="214">
        <f ca="1">IFERROR(__xludf.DUMMYFUNCTION("""COMPUTED_VALUE"""),647677)</f>
        <v>647677</v>
      </c>
      <c r="C61" s="215" t="str">
        <f ca="1">IFERROR(__xludf.DUMMYFUNCTION("""COMPUTED_VALUE"""),"Intermediate")</f>
        <v>Intermediate</v>
      </c>
      <c r="D61" s="216" t="str">
        <f ca="1">IFERROR(__xludf.DUMMYFUNCTION("""COMPUTED_VALUE"""),"Business Analytics Foundations: Predictive, Prescriptive, and Experimental Analytics")</f>
        <v>Business Analytics Foundations: Predictive, Prescriptive, and Experimental Analytics</v>
      </c>
      <c r="E61" s="217"/>
      <c r="F61" s="213"/>
      <c r="G61" s="214"/>
      <c r="H61" s="215"/>
      <c r="I61" s="217"/>
      <c r="J61" s="217"/>
      <c r="K61" s="213"/>
      <c r="L61" s="215"/>
      <c r="M61" s="215"/>
      <c r="N61" s="217"/>
      <c r="O61" s="217"/>
      <c r="P61" s="213"/>
      <c r="Q61" s="215">
        <f ca="1">IFERROR(__xludf.DUMMYFUNCTION("""COMPUTED_VALUE"""),2423959)</f>
        <v>2423959</v>
      </c>
      <c r="R61" s="215" t="str">
        <f ca="1">IFERROR(__xludf.DUMMYFUNCTION("""COMPUTED_VALUE"""),"Beginner")</f>
        <v>Beginner</v>
      </c>
      <c r="S61" s="217" t="str">
        <f ca="1">IFERROR(__xludf.DUMMYFUNCTION("""COMPUTED_VALUE"""),"SAP Crystal Reports 2020 Grundkurs")</f>
        <v>SAP Crystal Reports 2020 Grundkurs</v>
      </c>
      <c r="T61" s="217"/>
      <c r="U61" s="213"/>
      <c r="V61" s="215"/>
      <c r="W61" s="215"/>
      <c r="X61" s="217"/>
      <c r="Y61" s="217"/>
      <c r="Z61" s="213"/>
      <c r="AA61" s="215"/>
      <c r="AB61" s="215"/>
      <c r="AC61" s="217"/>
      <c r="AD61" s="217"/>
      <c r="AE61" s="213"/>
      <c r="AF61" s="215"/>
      <c r="AG61" s="215"/>
      <c r="AH61" s="217"/>
      <c r="AI61" s="217"/>
      <c r="AJ61" s="213"/>
    </row>
    <row r="62" spans="1:36" ht="33.75" customHeight="1">
      <c r="A62" s="213"/>
      <c r="B62" s="214">
        <f ca="1">IFERROR(__xludf.DUMMYFUNCTION("""COMPUTED_VALUE"""),618718)</f>
        <v>618718</v>
      </c>
      <c r="C62" s="215" t="str">
        <f ca="1">IFERROR(__xludf.DUMMYFUNCTION("""COMPUTED_VALUE"""),"Intermediate")</f>
        <v>Intermediate</v>
      </c>
      <c r="D62" s="216" t="str">
        <f ca="1">IFERROR(__xludf.DUMMYFUNCTION("""COMPUTED_VALUE"""),"Design Thinking: Data Intelligence")</f>
        <v>Design Thinking: Data Intelligence</v>
      </c>
      <c r="E62" s="217"/>
      <c r="F62" s="213"/>
      <c r="G62" s="214"/>
      <c r="H62" s="215"/>
      <c r="I62" s="217"/>
      <c r="J62" s="217"/>
      <c r="K62" s="213"/>
      <c r="L62" s="215"/>
      <c r="M62" s="215"/>
      <c r="N62" s="217"/>
      <c r="O62" s="217"/>
      <c r="P62" s="213"/>
      <c r="Q62" s="215">
        <f ca="1">IFERROR(__xludf.DUMMYFUNCTION("""COMPUTED_VALUE"""),2393100)</f>
        <v>2393100</v>
      </c>
      <c r="R62" s="215" t="str">
        <f ca="1">IFERROR(__xludf.DUMMYFUNCTION("""COMPUTED_VALUE"""),"Beginner")</f>
        <v>Beginner</v>
      </c>
      <c r="S62" s="217" t="str">
        <f ca="1">IFERROR(__xludf.DUMMYFUNCTION("""COMPUTED_VALUE"""),"SPSS lernen")</f>
        <v>SPSS lernen</v>
      </c>
      <c r="T62" s="217"/>
      <c r="U62" s="213"/>
      <c r="V62" s="215"/>
      <c r="W62" s="215"/>
      <c r="X62" s="217"/>
      <c r="Y62" s="217"/>
      <c r="Z62" s="213"/>
      <c r="AA62" s="215"/>
      <c r="AB62" s="215"/>
      <c r="AC62" s="217"/>
      <c r="AD62" s="217"/>
      <c r="AE62" s="213"/>
      <c r="AF62" s="215"/>
      <c r="AG62" s="215"/>
      <c r="AH62" s="217"/>
      <c r="AI62" s="217"/>
      <c r="AJ62" s="213"/>
    </row>
    <row r="63" spans="1:36" ht="33.75" customHeight="1">
      <c r="A63" s="213"/>
      <c r="B63" s="214">
        <f ca="1">IFERROR(__xludf.DUMMYFUNCTION("""COMPUTED_VALUE"""),2814138)</f>
        <v>2814138</v>
      </c>
      <c r="C63" s="215" t="str">
        <f ca="1">IFERROR(__xludf.DUMMYFUNCTION("""COMPUTED_VALUE"""),"Intermediate")</f>
        <v>Intermediate</v>
      </c>
      <c r="D63" s="216" t="str">
        <f ca="1">IFERROR(__xludf.DUMMYFUNCTION("""COMPUTED_VALUE"""),"Excel: Charts in Depth")</f>
        <v>Excel: Charts in Depth</v>
      </c>
      <c r="E63" s="217"/>
      <c r="F63" s="213"/>
      <c r="G63" s="214"/>
      <c r="H63" s="215"/>
      <c r="I63" s="217"/>
      <c r="J63" s="217"/>
      <c r="K63" s="213"/>
      <c r="L63" s="215"/>
      <c r="M63" s="215"/>
      <c r="N63" s="217"/>
      <c r="O63" s="217"/>
      <c r="P63" s="213"/>
      <c r="Q63" s="215">
        <f ca="1">IFERROR(__xludf.DUMMYFUNCTION("""COMPUTED_VALUE"""),3158418)</f>
        <v>3158418</v>
      </c>
      <c r="R63" s="215" t="str">
        <f ca="1">IFERROR(__xludf.DUMMYFUNCTION("""COMPUTED_VALUE"""),"Beginner, Intermediate")</f>
        <v>Beginner, Intermediate</v>
      </c>
      <c r="S63" s="217" t="str">
        <f ca="1">IFERROR(__xludf.DUMMYFUNCTION("""COMPUTED_VALUE"""),"SQL Grundkurs 3: Data Manipulation Language (DML)")</f>
        <v>SQL Grundkurs 3: Data Manipulation Language (DML)</v>
      </c>
      <c r="T63" s="217"/>
      <c r="U63" s="213"/>
      <c r="V63" s="215"/>
      <c r="W63" s="215"/>
      <c r="X63" s="217"/>
      <c r="Y63" s="217"/>
      <c r="Z63" s="213"/>
      <c r="AA63" s="215"/>
      <c r="AB63" s="215"/>
      <c r="AC63" s="217"/>
      <c r="AD63" s="217"/>
      <c r="AE63" s="213"/>
      <c r="AF63" s="215"/>
      <c r="AG63" s="215"/>
      <c r="AH63" s="217"/>
      <c r="AI63" s="217"/>
      <c r="AJ63" s="213"/>
    </row>
    <row r="64" spans="1:36" ht="33.75" customHeight="1">
      <c r="A64" s="213"/>
      <c r="B64" s="214">
        <f ca="1">IFERROR(__xludf.DUMMYFUNCTION("""COMPUTED_VALUE"""),2825411)</f>
        <v>2825411</v>
      </c>
      <c r="C64" s="215" t="str">
        <f ca="1">IFERROR(__xludf.DUMMYFUNCTION("""COMPUTED_VALUE"""),"Intermediate")</f>
        <v>Intermediate</v>
      </c>
      <c r="D64" s="216" t="str">
        <f ca="1">IFERROR(__xludf.DUMMYFUNCTION("""COMPUTED_VALUE"""),"UX Deep Dive: Analyzing Data")</f>
        <v>UX Deep Dive: Analyzing Data</v>
      </c>
      <c r="E64" s="217"/>
      <c r="F64" s="213"/>
      <c r="G64" s="214"/>
      <c r="H64" s="215"/>
      <c r="I64" s="217"/>
      <c r="J64" s="217"/>
      <c r="K64" s="213"/>
      <c r="L64" s="215"/>
      <c r="M64" s="215"/>
      <c r="N64" s="217"/>
      <c r="O64" s="217"/>
      <c r="P64" s="213"/>
      <c r="Q64" s="215">
        <f ca="1">IFERROR(__xludf.DUMMYFUNCTION("""COMPUTED_VALUE"""),3151429)</f>
        <v>3151429</v>
      </c>
      <c r="R64" s="215" t="str">
        <f ca="1">IFERROR(__xludf.DUMMYFUNCTION("""COMPUTED_VALUE"""),"Beginner, Intermediate")</f>
        <v>Beginner, Intermediate</v>
      </c>
      <c r="S64" s="217" t="str">
        <f ca="1">IFERROR(__xludf.DUMMYFUNCTION("""COMPUTED_VALUE"""),"SQL Grundkurs 4: Data Definition Language (DDL) und Data Control Language (DCL)")</f>
        <v>SQL Grundkurs 4: Data Definition Language (DDL) und Data Control Language (DCL)</v>
      </c>
      <c r="T64" s="217"/>
      <c r="U64" s="213"/>
      <c r="V64" s="215"/>
      <c r="W64" s="215"/>
      <c r="X64" s="217"/>
      <c r="Y64" s="217"/>
      <c r="Z64" s="213"/>
      <c r="AA64" s="215"/>
      <c r="AB64" s="215"/>
      <c r="AC64" s="217"/>
      <c r="AD64" s="217"/>
      <c r="AE64" s="213"/>
      <c r="AF64" s="215"/>
      <c r="AG64" s="215"/>
      <c r="AH64" s="217"/>
      <c r="AI64" s="217"/>
      <c r="AJ64" s="213"/>
    </row>
    <row r="65" spans="1:36" ht="33.75" customHeight="1">
      <c r="A65" s="213"/>
      <c r="B65" s="214">
        <f ca="1">IFERROR(__xludf.DUMMYFUNCTION("""COMPUTED_VALUE"""),2863046)</f>
        <v>2863046</v>
      </c>
      <c r="C65" s="215" t="str">
        <f ca="1">IFERROR(__xludf.DUMMYFUNCTION("""COMPUTED_VALUE"""),"Intermediate")</f>
        <v>Intermediate</v>
      </c>
      <c r="D65" s="216" t="str">
        <f ca="1">IFERROR(__xludf.DUMMYFUNCTION("""COMPUTED_VALUE"""),"Data Visualization: Storytelling")</f>
        <v>Data Visualization: Storytelling</v>
      </c>
      <c r="E65" s="217"/>
      <c r="F65" s="213"/>
      <c r="G65" s="214"/>
      <c r="H65" s="215"/>
      <c r="I65" s="217"/>
      <c r="J65" s="217"/>
      <c r="K65" s="213"/>
      <c r="L65" s="215"/>
      <c r="M65" s="215"/>
      <c r="N65" s="217"/>
      <c r="O65" s="217"/>
      <c r="P65" s="213"/>
      <c r="Q65" s="215">
        <f ca="1">IFERROR(__xludf.DUMMYFUNCTION("""COMPUTED_VALUE"""),2353001)</f>
        <v>2353001</v>
      </c>
      <c r="R65" s="215" t="str">
        <f ca="1">IFERROR(__xludf.DUMMYFUNCTION("""COMPUTED_VALUE"""),"Beginner")</f>
        <v>Beginner</v>
      </c>
      <c r="S65" s="217" t="str">
        <f ca="1">IFERROR(__xludf.DUMMYFUNCTION("""COMPUTED_VALUE"""),"SQL lernen")</f>
        <v>SQL lernen</v>
      </c>
      <c r="T65" s="217"/>
      <c r="U65" s="213"/>
      <c r="V65" s="215"/>
      <c r="W65" s="215"/>
      <c r="X65" s="217"/>
      <c r="Y65" s="217"/>
      <c r="Z65" s="213"/>
      <c r="AA65" s="215"/>
      <c r="AB65" s="215"/>
      <c r="AC65" s="217"/>
      <c r="AD65" s="217"/>
      <c r="AE65" s="213"/>
      <c r="AF65" s="215"/>
      <c r="AG65" s="215"/>
      <c r="AH65" s="217"/>
      <c r="AI65" s="217"/>
      <c r="AJ65" s="213"/>
    </row>
    <row r="66" spans="1:36" ht="33.75" customHeight="1">
      <c r="A66" s="213"/>
      <c r="B66" s="214">
        <f ca="1">IFERROR(__xludf.DUMMYFUNCTION("""COMPUTED_VALUE"""),2856077)</f>
        <v>2856077</v>
      </c>
      <c r="C66" s="215" t="str">
        <f ca="1">IFERROR(__xludf.DUMMYFUNCTION("""COMPUTED_VALUE"""),"Intermediate")</f>
        <v>Intermediate</v>
      </c>
      <c r="D66" s="216" t="str">
        <f ca="1">IFERROR(__xludf.DUMMYFUNCTION("""COMPUTED_VALUE"""),"Excel Supply Chain Analysis: Solving Transportation Problems")</f>
        <v>Excel Supply Chain Analysis: Solving Transportation Problems</v>
      </c>
      <c r="E66" s="217"/>
      <c r="F66" s="213"/>
      <c r="G66" s="214"/>
      <c r="H66" s="215"/>
      <c r="I66" s="217"/>
      <c r="J66" s="217"/>
      <c r="K66" s="213"/>
      <c r="L66" s="215"/>
      <c r="M66" s="215"/>
      <c r="N66" s="217"/>
      <c r="O66" s="217"/>
      <c r="P66" s="213"/>
      <c r="Q66" s="215">
        <f ca="1">IFERROR(__xludf.DUMMYFUNCTION("""COMPUTED_VALUE"""),561657)</f>
        <v>561657</v>
      </c>
      <c r="R66" s="215" t="str">
        <f ca="1">IFERROR(__xludf.DUMMYFUNCTION("""COMPUTED_VALUE"""),"Beginner, Intermediate")</f>
        <v>Beginner, Intermediate</v>
      </c>
      <c r="S66" s="217" t="str">
        <f ca="1">IFERROR(__xludf.DUMMYFUNCTION("""COMPUTED_VALUE"""),"SQL Server Analysis Services im mehrdimensionalen Modus Grundkurs")</f>
        <v>SQL Server Analysis Services im mehrdimensionalen Modus Grundkurs</v>
      </c>
      <c r="T66" s="217"/>
      <c r="U66" s="213"/>
      <c r="V66" s="215"/>
      <c r="W66" s="215"/>
      <c r="X66" s="217"/>
      <c r="Y66" s="217"/>
      <c r="Z66" s="213"/>
      <c r="AA66" s="215"/>
      <c r="AB66" s="215"/>
      <c r="AC66" s="217"/>
      <c r="AD66" s="217"/>
      <c r="AE66" s="213"/>
      <c r="AF66" s="215"/>
      <c r="AG66" s="215"/>
      <c r="AH66" s="217"/>
      <c r="AI66" s="217"/>
      <c r="AJ66" s="213"/>
    </row>
    <row r="67" spans="1:36" ht="33.75" customHeight="1">
      <c r="A67" s="213"/>
      <c r="B67" s="214">
        <f ca="1">IFERROR(__xludf.DUMMYFUNCTION("""COMPUTED_VALUE"""),667381)</f>
        <v>667381</v>
      </c>
      <c r="C67" s="215" t="str">
        <f ca="1">IFERROR(__xludf.DUMMYFUNCTION("""COMPUTED_VALUE"""),"Intermediate")</f>
        <v>Intermediate</v>
      </c>
      <c r="D67" s="216" t="str">
        <f ca="1">IFERROR(__xludf.DUMMYFUNCTION("""COMPUTED_VALUE"""),"NoSQL Data Modeling Essential Training")</f>
        <v>NoSQL Data Modeling Essential Training</v>
      </c>
      <c r="E67" s="217"/>
      <c r="F67" s="213"/>
      <c r="G67" s="214"/>
      <c r="H67" s="215"/>
      <c r="I67" s="217"/>
      <c r="J67" s="217"/>
      <c r="K67" s="213"/>
      <c r="L67" s="215"/>
      <c r="M67" s="215"/>
      <c r="N67" s="217"/>
      <c r="O67" s="217"/>
      <c r="P67" s="213"/>
      <c r="Q67" s="215">
        <f ca="1">IFERROR(__xludf.DUMMYFUNCTION("""COMPUTED_VALUE"""),702520)</f>
        <v>702520</v>
      </c>
      <c r="R67" s="215" t="str">
        <f ca="1">IFERROR(__xludf.DUMMYFUNCTION("""COMPUTED_VALUE"""),"Beginner, Intermediate")</f>
        <v>Beginner, Intermediate</v>
      </c>
      <c r="S67" s="217" t="str">
        <f ca="1">IFERROR(__xludf.DUMMYFUNCTION("""COMPUTED_VALUE"""),"SQL Server Analysis Services im tabellarischen Modus Grundkurs")</f>
        <v>SQL Server Analysis Services im tabellarischen Modus Grundkurs</v>
      </c>
      <c r="T67" s="217"/>
      <c r="U67" s="213"/>
      <c r="V67" s="215"/>
      <c r="W67" s="215"/>
      <c r="X67" s="217"/>
      <c r="Y67" s="217"/>
      <c r="Z67" s="213"/>
      <c r="AA67" s="215"/>
      <c r="AB67" s="215"/>
      <c r="AC67" s="217"/>
      <c r="AD67" s="217"/>
      <c r="AE67" s="213"/>
      <c r="AF67" s="215"/>
      <c r="AG67" s="215"/>
      <c r="AH67" s="217"/>
      <c r="AI67" s="217"/>
      <c r="AJ67" s="213"/>
    </row>
    <row r="68" spans="1:36" ht="33.75" customHeight="1">
      <c r="A68" s="213"/>
      <c r="B68" s="214">
        <f ca="1">IFERROR(__xludf.DUMMYFUNCTION("""COMPUTED_VALUE"""),777348)</f>
        <v>777348</v>
      </c>
      <c r="C68" s="215" t="str">
        <f ca="1">IFERROR(__xludf.DUMMYFUNCTION("""COMPUTED_VALUE"""),"Intermediate")</f>
        <v>Intermediate</v>
      </c>
      <c r="D68" s="216" t="str">
        <f ca="1">IFERROR(__xludf.DUMMYFUNCTION("""COMPUTED_VALUE"""),"Telling Stories with Data")</f>
        <v>Telling Stories with Data</v>
      </c>
      <c r="E68" s="217"/>
      <c r="F68" s="213"/>
      <c r="G68" s="214"/>
      <c r="H68" s="215"/>
      <c r="I68" s="217"/>
      <c r="J68" s="217"/>
      <c r="K68" s="213"/>
      <c r="L68" s="215"/>
      <c r="M68" s="215"/>
      <c r="N68" s="217"/>
      <c r="O68" s="217"/>
      <c r="P68" s="213"/>
      <c r="Q68" s="215">
        <f ca="1">IFERROR(__xludf.DUMMYFUNCTION("""COMPUTED_VALUE"""),195304)</f>
        <v>195304</v>
      </c>
      <c r="R68" s="215" t="str">
        <f ca="1">IFERROR(__xludf.DUMMYFUNCTION("""COMPUTED_VALUE"""),"Beginner")</f>
        <v>Beginner</v>
      </c>
      <c r="S68" s="217" t="str">
        <f ca="1">IFERROR(__xludf.DUMMYFUNCTION("""COMPUTED_VALUE"""),"SQL Server Reporting Services Grundkurs")</f>
        <v>SQL Server Reporting Services Grundkurs</v>
      </c>
      <c r="T68" s="217"/>
      <c r="U68" s="213"/>
      <c r="V68" s="215"/>
      <c r="W68" s="215"/>
      <c r="X68" s="217"/>
      <c r="Y68" s="217"/>
      <c r="Z68" s="213"/>
      <c r="AA68" s="215"/>
      <c r="AB68" s="215"/>
      <c r="AC68" s="217"/>
      <c r="AD68" s="217"/>
      <c r="AE68" s="213"/>
      <c r="AF68" s="215"/>
      <c r="AG68" s="215"/>
      <c r="AH68" s="217"/>
      <c r="AI68" s="217"/>
      <c r="AJ68" s="213"/>
    </row>
    <row r="69" spans="1:36" ht="33.75" customHeight="1">
      <c r="A69" s="213"/>
      <c r="B69" s="214">
        <f ca="1">IFERROR(__xludf.DUMMYFUNCTION("""COMPUTED_VALUE"""),5040395)</f>
        <v>5040395</v>
      </c>
      <c r="C69" s="215" t="str">
        <f ca="1">IFERROR(__xludf.DUMMYFUNCTION("""COMPUTED_VALUE"""),"Intermediate")</f>
        <v>Intermediate</v>
      </c>
      <c r="D69" s="216" t="str">
        <f ca="1">IFERROR(__xludf.DUMMYFUNCTION("""COMPUTED_VALUE"""),"Power BI Data Modeling with DAX")</f>
        <v>Power BI Data Modeling with DAX</v>
      </c>
      <c r="E69" s="217"/>
      <c r="F69" s="213"/>
      <c r="G69" s="214"/>
      <c r="H69" s="215"/>
      <c r="I69" s="217"/>
      <c r="J69" s="217"/>
      <c r="K69" s="213"/>
      <c r="L69" s="215"/>
      <c r="M69" s="215"/>
      <c r="N69" s="217"/>
      <c r="O69" s="217"/>
      <c r="P69" s="213"/>
      <c r="Q69" s="215">
        <f ca="1">IFERROR(__xludf.DUMMYFUNCTION("""COMPUTED_VALUE"""),195335)</f>
        <v>195335</v>
      </c>
      <c r="R69" s="215" t="str">
        <f ca="1">IFERROR(__xludf.DUMMYFUNCTION("""COMPUTED_VALUE"""),"Intermediate")</f>
        <v>Intermediate</v>
      </c>
      <c r="S69" s="217" t="str">
        <f ca="1">IFERROR(__xludf.DUMMYFUNCTION("""COMPUTED_VALUE"""),"SQL Server Reporting Services: Visualisierung")</f>
        <v>SQL Server Reporting Services: Visualisierung</v>
      </c>
      <c r="T69" s="217"/>
      <c r="U69" s="213"/>
      <c r="V69" s="215"/>
      <c r="W69" s="215"/>
      <c r="X69" s="217"/>
      <c r="Y69" s="217"/>
      <c r="Z69" s="213"/>
      <c r="AA69" s="215"/>
      <c r="AB69" s="215"/>
      <c r="AC69" s="217"/>
      <c r="AD69" s="217"/>
      <c r="AE69" s="213"/>
      <c r="AF69" s="215"/>
      <c r="AG69" s="215"/>
      <c r="AH69" s="217"/>
      <c r="AI69" s="217"/>
      <c r="AJ69" s="213"/>
    </row>
    <row r="70" spans="1:36" ht="33.75" customHeight="1">
      <c r="A70" s="213"/>
      <c r="B70" s="214">
        <f ca="1">IFERROR(__xludf.DUMMYFUNCTION("""COMPUTED_VALUE"""),2813260)</f>
        <v>2813260</v>
      </c>
      <c r="C70" s="215" t="str">
        <f ca="1">IFERROR(__xludf.DUMMYFUNCTION("""COMPUTED_VALUE"""),"Intermediate")</f>
        <v>Intermediate</v>
      </c>
      <c r="D70" s="216" t="str">
        <f ca="1">IFERROR(__xludf.DUMMYFUNCTION("""COMPUTED_VALUE"""),"Big Data Analytics with Hadoop and Apache Spark")</f>
        <v>Big Data Analytics with Hadoop and Apache Spark</v>
      </c>
      <c r="E70" s="217"/>
      <c r="F70" s="213"/>
      <c r="G70" s="214"/>
      <c r="H70" s="215"/>
      <c r="I70" s="217"/>
      <c r="J70" s="217"/>
      <c r="K70" s="213"/>
      <c r="L70" s="215"/>
      <c r="M70" s="215"/>
      <c r="N70" s="217"/>
      <c r="O70" s="217"/>
      <c r="P70" s="213"/>
      <c r="Q70" s="215">
        <f ca="1">IFERROR(__xludf.DUMMYFUNCTION("""COMPUTED_VALUE"""),753086)</f>
        <v>753086</v>
      </c>
      <c r="R70" s="215" t="str">
        <f ca="1">IFERROR(__xludf.DUMMYFUNCTION("""COMPUTED_VALUE"""),"Beginner")</f>
        <v>Beginner</v>
      </c>
      <c r="S70" s="217" t="str">
        <f ca="1">IFERROR(__xludf.DUMMYFUNCTION("""COMPUTED_VALUE"""),"Statistik-Grundlagen 1: Grundbegriffe und deskriptive Statistik")</f>
        <v>Statistik-Grundlagen 1: Grundbegriffe und deskriptive Statistik</v>
      </c>
      <c r="T70" s="217"/>
      <c r="U70" s="213"/>
      <c r="V70" s="215"/>
      <c r="W70" s="215"/>
      <c r="X70" s="217"/>
      <c r="Y70" s="217"/>
      <c r="Z70" s="213"/>
      <c r="AA70" s="215"/>
      <c r="AB70" s="215"/>
      <c r="AC70" s="217"/>
      <c r="AD70" s="217"/>
      <c r="AE70" s="213"/>
      <c r="AF70" s="215"/>
      <c r="AG70" s="215"/>
      <c r="AH70" s="217"/>
      <c r="AI70" s="217"/>
      <c r="AJ70" s="213"/>
    </row>
    <row r="71" spans="1:36" ht="33.75" customHeight="1">
      <c r="A71" s="213"/>
      <c r="B71" s="214">
        <f ca="1">IFERROR(__xludf.DUMMYFUNCTION("""COMPUTED_VALUE"""),786423)</f>
        <v>786423</v>
      </c>
      <c r="C71" s="215" t="str">
        <f ca="1">IFERROR(__xludf.DUMMYFUNCTION("""COMPUTED_VALUE"""),"Intermediate")</f>
        <v>Intermediate</v>
      </c>
      <c r="D71" s="216" t="str">
        <f ca="1">IFERROR(__xludf.DUMMYFUNCTION("""COMPUTED_VALUE"""),"Text Analytics and Predictions with R Essential Training")</f>
        <v>Text Analytics and Predictions with R Essential Training</v>
      </c>
      <c r="E71" s="217"/>
      <c r="F71" s="213"/>
      <c r="G71" s="214"/>
      <c r="H71" s="215"/>
      <c r="I71" s="217"/>
      <c r="J71" s="217"/>
      <c r="K71" s="213"/>
      <c r="L71" s="215"/>
      <c r="M71" s="215"/>
      <c r="N71" s="217"/>
      <c r="O71" s="217"/>
      <c r="P71" s="213"/>
      <c r="Q71" s="215">
        <f ca="1">IFERROR(__xludf.DUMMYFUNCTION("""COMPUTED_VALUE"""),2953025)</f>
        <v>2953025</v>
      </c>
      <c r="R71" s="215" t="str">
        <f ca="1">IFERROR(__xludf.DUMMYFUNCTION("""COMPUTED_VALUE"""),"Beginner, Intermediate")</f>
        <v>Beginner, Intermediate</v>
      </c>
      <c r="S71" s="217" t="str">
        <f ca="1">IFERROR(__xludf.DUMMYFUNCTION("""COMPUTED_VALUE"""),"Statistik-Grundlagen 2: Mehrere Variablen und Wahrscheinlichkeiten")</f>
        <v>Statistik-Grundlagen 2: Mehrere Variablen und Wahrscheinlichkeiten</v>
      </c>
      <c r="T71" s="217"/>
      <c r="U71" s="213"/>
      <c r="V71" s="215"/>
      <c r="W71" s="215"/>
      <c r="X71" s="217"/>
      <c r="Y71" s="217"/>
      <c r="Z71" s="213"/>
      <c r="AA71" s="215"/>
      <c r="AB71" s="215"/>
      <c r="AC71" s="217"/>
      <c r="AD71" s="217"/>
      <c r="AE71" s="213"/>
      <c r="AF71" s="215"/>
      <c r="AG71" s="215"/>
      <c r="AH71" s="217"/>
      <c r="AI71" s="217"/>
      <c r="AJ71" s="213"/>
    </row>
    <row r="72" spans="1:36" ht="33.75" customHeight="1">
      <c r="A72" s="213"/>
      <c r="B72" s="214">
        <f ca="1">IFERROR(__xludf.DUMMYFUNCTION("""COMPUTED_VALUE"""),2211317)</f>
        <v>2211317</v>
      </c>
      <c r="C72" s="215" t="str">
        <f ca="1">IFERROR(__xludf.DUMMYFUNCTION("""COMPUTED_VALUE"""),"Intermediate")</f>
        <v>Intermediate</v>
      </c>
      <c r="D72" s="216" t="str">
        <f ca="1">IFERROR(__xludf.DUMMYFUNCTION("""COMPUTED_VALUE"""),"Data Dashboards in Power BI")</f>
        <v>Data Dashboards in Power BI</v>
      </c>
      <c r="E72" s="217"/>
      <c r="F72" s="213"/>
      <c r="G72" s="214"/>
      <c r="H72" s="215"/>
      <c r="I72" s="217"/>
      <c r="J72" s="217"/>
      <c r="K72" s="213"/>
      <c r="L72" s="215"/>
      <c r="M72" s="215"/>
      <c r="N72" s="217"/>
      <c r="O72" s="217"/>
      <c r="P72" s="213"/>
      <c r="Q72" s="215">
        <f ca="1">IFERROR(__xludf.DUMMYFUNCTION("""COMPUTED_VALUE"""),561038)</f>
        <v>561038</v>
      </c>
      <c r="R72" s="215" t="str">
        <f ca="1">IFERROR(__xludf.DUMMYFUNCTION("""COMPUTED_VALUE"""),"Beginner")</f>
        <v>Beginner</v>
      </c>
      <c r="S72" s="217" t="str">
        <f ca="1">IFERROR(__xludf.DUMMYFUNCTION("""COMPUTED_VALUE"""),"Tableau 10 Grundkurs")</f>
        <v>Tableau 10 Grundkurs</v>
      </c>
      <c r="T72" s="217"/>
      <c r="U72" s="213"/>
      <c r="V72" s="215"/>
      <c r="W72" s="215"/>
      <c r="X72" s="217"/>
      <c r="Y72" s="217"/>
      <c r="Z72" s="213"/>
      <c r="AA72" s="215"/>
      <c r="AB72" s="215"/>
      <c r="AC72" s="217"/>
      <c r="AD72" s="217"/>
      <c r="AE72" s="213"/>
      <c r="AF72" s="215"/>
      <c r="AG72" s="215"/>
      <c r="AH72" s="217"/>
      <c r="AI72" s="217"/>
      <c r="AJ72" s="213"/>
    </row>
    <row r="73" spans="1:36" ht="33.75" customHeight="1">
      <c r="A73" s="213"/>
      <c r="B73" s="214">
        <f ca="1">IFERROR(__xludf.DUMMYFUNCTION("""COMPUTED_VALUE"""),2211318)</f>
        <v>2211318</v>
      </c>
      <c r="C73" s="215" t="str">
        <f ca="1">IFERROR(__xludf.DUMMYFUNCTION("""COMPUTED_VALUE"""),"Intermediate")</f>
        <v>Intermediate</v>
      </c>
      <c r="D73" s="216" t="str">
        <f ca="1">IFERROR(__xludf.DUMMYFUNCTION("""COMPUTED_VALUE"""),"Power BI Data Methods")</f>
        <v>Power BI Data Methods</v>
      </c>
      <c r="E73" s="217"/>
      <c r="F73" s="213"/>
      <c r="G73" s="214"/>
      <c r="H73" s="215"/>
      <c r="I73" s="217"/>
      <c r="J73" s="217"/>
      <c r="K73" s="213"/>
      <c r="L73" s="215"/>
      <c r="M73" s="215"/>
      <c r="N73" s="217"/>
      <c r="O73" s="217"/>
      <c r="P73" s="213"/>
      <c r="Q73" s="215">
        <f ca="1">IFERROR(__xludf.DUMMYFUNCTION("""COMPUTED_VALUE"""),2835106)</f>
        <v>2835106</v>
      </c>
      <c r="R73" s="215" t="str">
        <f ca="1">IFERROR(__xludf.DUMMYFUNCTION("""COMPUTED_VALUE"""),"Beginner")</f>
        <v>Beginner</v>
      </c>
      <c r="S73" s="217" t="str">
        <f ca="1">IFERROR(__xludf.DUMMYFUNCTION("""COMPUTED_VALUE"""),"Webanalyse – Grundlagen")</f>
        <v>Webanalyse – Grundlagen</v>
      </c>
      <c r="T73" s="217"/>
      <c r="U73" s="213"/>
      <c r="V73" s="215"/>
      <c r="W73" s="215"/>
      <c r="X73" s="217"/>
      <c r="Y73" s="217"/>
      <c r="Z73" s="213"/>
      <c r="AA73" s="215"/>
      <c r="AB73" s="215"/>
      <c r="AC73" s="217"/>
      <c r="AD73" s="217"/>
      <c r="AE73" s="213"/>
      <c r="AF73" s="215"/>
      <c r="AG73" s="215"/>
      <c r="AH73" s="217"/>
      <c r="AI73" s="217"/>
      <c r="AJ73" s="213"/>
    </row>
    <row r="74" spans="1:36" ht="33.75" customHeight="1">
      <c r="A74" s="213"/>
      <c r="B74" s="214">
        <f ca="1">IFERROR(__xludf.DUMMYFUNCTION("""COMPUTED_VALUE"""),2243053)</f>
        <v>2243053</v>
      </c>
      <c r="C74" s="215" t="str">
        <f ca="1">IFERROR(__xludf.DUMMYFUNCTION("""COMPUTED_VALUE"""),"Intermediate")</f>
        <v>Intermediate</v>
      </c>
      <c r="D74" s="216" t="str">
        <f ca="1">IFERROR(__xludf.DUMMYFUNCTION("""COMPUTED_VALUE"""),"Using Python with Excel")</f>
        <v>Using Python with Excel</v>
      </c>
      <c r="E74" s="217"/>
      <c r="F74" s="213"/>
      <c r="G74" s="214"/>
      <c r="H74" s="215"/>
      <c r="I74" s="217"/>
      <c r="J74" s="217"/>
      <c r="K74" s="213"/>
      <c r="L74" s="215"/>
      <c r="M74" s="215"/>
      <c r="N74" s="217"/>
      <c r="O74" s="217"/>
      <c r="P74" s="213"/>
      <c r="Q74" s="215">
        <f ca="1">IFERROR(__xludf.DUMMYFUNCTION("""COMPUTED_VALUE"""),2825449)</f>
        <v>2825449</v>
      </c>
      <c r="R74" s="215" t="str">
        <f ca="1">IFERROR(__xludf.DUMMYFUNCTION("""COMPUTED_VALUE"""),"All levels")</f>
        <v>All levels</v>
      </c>
      <c r="S74" s="217" t="str">
        <f ca="1">IFERROR(__xludf.DUMMYFUNCTION("""COMPUTED_VALUE"""),"Zahlen spannend präsentieren")</f>
        <v>Zahlen spannend präsentieren</v>
      </c>
      <c r="T74" s="217"/>
      <c r="U74" s="213"/>
      <c r="V74" s="215"/>
      <c r="W74" s="215"/>
      <c r="X74" s="217"/>
      <c r="Y74" s="217"/>
      <c r="Z74" s="213"/>
      <c r="AA74" s="215"/>
      <c r="AB74" s="215"/>
      <c r="AC74" s="217"/>
      <c r="AD74" s="217"/>
      <c r="AE74" s="213"/>
      <c r="AF74" s="215"/>
      <c r="AG74" s="215"/>
      <c r="AH74" s="217"/>
      <c r="AI74" s="217"/>
      <c r="AJ74" s="213"/>
    </row>
    <row r="75" spans="1:36" ht="33.75" customHeight="1">
      <c r="A75" s="213"/>
      <c r="B75" s="214">
        <f ca="1">IFERROR(__xludf.DUMMYFUNCTION("""COMPUTED_VALUE"""),2243054)</f>
        <v>2243054</v>
      </c>
      <c r="C75" s="215" t="str">
        <f ca="1">IFERROR(__xludf.DUMMYFUNCTION("""COMPUTED_VALUE"""),"Intermediate")</f>
        <v>Intermediate</v>
      </c>
      <c r="D75" s="216" t="str">
        <f ca="1">IFERROR(__xludf.DUMMYFUNCTION("""COMPUTED_VALUE"""),"Python for Data Visualization")</f>
        <v>Python for Data Visualization</v>
      </c>
      <c r="E75" s="217"/>
      <c r="F75" s="213"/>
      <c r="G75" s="214"/>
      <c r="H75" s="215"/>
      <c r="I75" s="217"/>
      <c r="J75" s="217"/>
      <c r="K75" s="213"/>
      <c r="L75" s="215"/>
      <c r="M75" s="215"/>
      <c r="N75" s="217"/>
      <c r="O75" s="217"/>
      <c r="P75" s="213"/>
      <c r="Q75" s="215"/>
      <c r="R75" s="215"/>
      <c r="S75" s="217"/>
      <c r="T75" s="217"/>
      <c r="U75" s="213"/>
      <c r="V75" s="215"/>
      <c r="W75" s="215"/>
      <c r="X75" s="217"/>
      <c r="Y75" s="217"/>
      <c r="Z75" s="213"/>
      <c r="AA75" s="215"/>
      <c r="AB75" s="215"/>
      <c r="AC75" s="217"/>
      <c r="AD75" s="217"/>
      <c r="AE75" s="213"/>
      <c r="AF75" s="215"/>
      <c r="AG75" s="215"/>
      <c r="AH75" s="217"/>
      <c r="AI75" s="217"/>
      <c r="AJ75" s="213"/>
    </row>
    <row r="76" spans="1:36" ht="33.75" customHeight="1">
      <c r="A76" s="213"/>
      <c r="B76" s="214">
        <f ca="1">IFERROR(__xludf.DUMMYFUNCTION("""COMPUTED_VALUE"""),2817027)</f>
        <v>2817027</v>
      </c>
      <c r="C76" s="215" t="str">
        <f ca="1">IFERROR(__xludf.DUMMYFUNCTION("""COMPUTED_VALUE"""),"Intermediate")</f>
        <v>Intermediate</v>
      </c>
      <c r="D76" s="216" t="str">
        <f ca="1">IFERROR(__xludf.DUMMYFUNCTION("""COMPUTED_VALUE"""),"SQL: Data Reporting and Analysis")</f>
        <v>SQL: Data Reporting and Analysis</v>
      </c>
      <c r="E76" s="217"/>
      <c r="F76" s="213"/>
      <c r="G76" s="214"/>
      <c r="H76" s="215"/>
      <c r="I76" s="217"/>
      <c r="J76" s="217"/>
      <c r="K76" s="213"/>
      <c r="L76" s="215"/>
      <c r="M76" s="215"/>
      <c r="N76" s="217"/>
      <c r="O76" s="217"/>
      <c r="P76" s="213"/>
      <c r="Q76" s="215"/>
      <c r="R76" s="215"/>
      <c r="S76" s="217"/>
      <c r="T76" s="217"/>
      <c r="U76" s="213"/>
      <c r="V76" s="215"/>
      <c r="W76" s="215"/>
      <c r="X76" s="217"/>
      <c r="Y76" s="217"/>
      <c r="Z76" s="213"/>
      <c r="AA76" s="215"/>
      <c r="AB76" s="215"/>
      <c r="AC76" s="217"/>
      <c r="AD76" s="217"/>
      <c r="AE76" s="213"/>
      <c r="AF76" s="215"/>
      <c r="AG76" s="215"/>
      <c r="AH76" s="217"/>
      <c r="AI76" s="217"/>
      <c r="AJ76" s="213"/>
    </row>
    <row r="77" spans="1:36" ht="33.75" customHeight="1">
      <c r="A77" s="213"/>
      <c r="B77" s="214">
        <f ca="1">IFERROR(__xludf.DUMMYFUNCTION("""COMPUTED_VALUE"""),2819185)</f>
        <v>2819185</v>
      </c>
      <c r="C77" s="215" t="str">
        <f ca="1">IFERROR(__xludf.DUMMYFUNCTION("""COMPUTED_VALUE"""),"Intermediate")</f>
        <v>Intermediate</v>
      </c>
      <c r="D77" s="216" t="str">
        <f ca="1">IFERROR(__xludf.DUMMYFUNCTION("""COMPUTED_VALUE"""),"Power BI Dataflows Essential Training")</f>
        <v>Power BI Dataflows Essential Training</v>
      </c>
      <c r="E77" s="217"/>
      <c r="F77" s="213"/>
      <c r="G77" s="214"/>
      <c r="H77" s="215"/>
      <c r="I77" s="217"/>
      <c r="J77" s="217"/>
      <c r="K77" s="213"/>
      <c r="L77" s="215"/>
      <c r="M77" s="215"/>
      <c r="N77" s="217"/>
      <c r="O77" s="217"/>
      <c r="P77" s="213"/>
      <c r="Q77" s="215"/>
      <c r="R77" s="215"/>
      <c r="S77" s="217"/>
      <c r="T77" s="217"/>
      <c r="U77" s="213"/>
      <c r="V77" s="215"/>
      <c r="W77" s="215"/>
      <c r="X77" s="217"/>
      <c r="Y77" s="217"/>
      <c r="Z77" s="213"/>
      <c r="AA77" s="215"/>
      <c r="AB77" s="215"/>
      <c r="AC77" s="217"/>
      <c r="AD77" s="217"/>
      <c r="AE77" s="213"/>
      <c r="AF77" s="215"/>
      <c r="AG77" s="215"/>
      <c r="AH77" s="217"/>
      <c r="AI77" s="217"/>
      <c r="AJ77" s="213"/>
    </row>
    <row r="78" spans="1:36" ht="33.75" customHeight="1">
      <c r="A78" s="213"/>
      <c r="B78" s="214">
        <f ca="1">IFERROR(__xludf.DUMMYFUNCTION("""COMPUTED_VALUE"""),2823043)</f>
        <v>2823043</v>
      </c>
      <c r="C78" s="215" t="str">
        <f ca="1">IFERROR(__xludf.DUMMYFUNCTION("""COMPUTED_VALUE"""),"Intermediate")</f>
        <v>Intermediate</v>
      </c>
      <c r="D78" s="216" t="str">
        <f ca="1">IFERROR(__xludf.DUMMYFUNCTION("""COMPUTED_VALUE"""),"SAP ERP: Beyond the Basics")</f>
        <v>SAP ERP: Beyond the Basics</v>
      </c>
      <c r="E78" s="217"/>
      <c r="F78" s="213"/>
      <c r="G78" s="214"/>
      <c r="H78" s="215"/>
      <c r="I78" s="217"/>
      <c r="J78" s="217"/>
      <c r="K78" s="213"/>
      <c r="L78" s="215"/>
      <c r="M78" s="215"/>
      <c r="N78" s="217"/>
      <c r="O78" s="217"/>
      <c r="P78" s="213"/>
      <c r="Q78" s="215"/>
      <c r="R78" s="215"/>
      <c r="S78" s="217"/>
      <c r="T78" s="217"/>
      <c r="U78" s="213"/>
      <c r="V78" s="215"/>
      <c r="W78" s="215"/>
      <c r="X78" s="217"/>
      <c r="Y78" s="217"/>
      <c r="Z78" s="213"/>
      <c r="AA78" s="215"/>
      <c r="AB78" s="215"/>
      <c r="AC78" s="217"/>
      <c r="AD78" s="217"/>
      <c r="AE78" s="213"/>
      <c r="AF78" s="215"/>
      <c r="AG78" s="215"/>
      <c r="AH78" s="217"/>
      <c r="AI78" s="217"/>
      <c r="AJ78" s="213"/>
    </row>
    <row r="79" spans="1:36" ht="33.75" customHeight="1">
      <c r="A79" s="213"/>
      <c r="B79" s="214">
        <f ca="1">IFERROR(__xludf.DUMMYFUNCTION("""COMPUTED_VALUE"""),2823072)</f>
        <v>2823072</v>
      </c>
      <c r="C79" s="215" t="str">
        <f ca="1">IFERROR(__xludf.DUMMYFUNCTION("""COMPUTED_VALUE"""),"Intermediate")</f>
        <v>Intermediate</v>
      </c>
      <c r="D79" s="216" t="str">
        <f ca="1">IFERROR(__xludf.DUMMYFUNCTION("""COMPUTED_VALUE"""),"Tableau and R for Analytics Projects")</f>
        <v>Tableau and R for Analytics Projects</v>
      </c>
      <c r="E79" s="217"/>
      <c r="F79" s="213"/>
      <c r="G79" s="214"/>
      <c r="H79" s="215"/>
      <c r="I79" s="217"/>
      <c r="J79" s="217"/>
      <c r="K79" s="213"/>
      <c r="L79" s="215"/>
      <c r="M79" s="215"/>
      <c r="N79" s="217"/>
      <c r="O79" s="217"/>
      <c r="P79" s="213"/>
      <c r="Q79" s="215"/>
      <c r="R79" s="215"/>
      <c r="S79" s="217"/>
      <c r="T79" s="217"/>
      <c r="U79" s="213"/>
      <c r="V79" s="215"/>
      <c r="W79" s="215"/>
      <c r="X79" s="217"/>
      <c r="Y79" s="217"/>
      <c r="Z79" s="213"/>
      <c r="AA79" s="215"/>
      <c r="AB79" s="215"/>
      <c r="AC79" s="217"/>
      <c r="AD79" s="217"/>
      <c r="AE79" s="213"/>
      <c r="AF79" s="215"/>
      <c r="AG79" s="215"/>
      <c r="AH79" s="217"/>
      <c r="AI79" s="217"/>
      <c r="AJ79" s="213"/>
    </row>
    <row r="80" spans="1:36" ht="33.75" customHeight="1">
      <c r="A80" s="213"/>
      <c r="B80" s="214">
        <f ca="1">IFERROR(__xludf.DUMMYFUNCTION("""COMPUTED_VALUE"""),2823097)</f>
        <v>2823097</v>
      </c>
      <c r="C80" s="215" t="str">
        <f ca="1">IFERROR(__xludf.DUMMYFUNCTION("""COMPUTED_VALUE"""),"Intermediate")</f>
        <v>Intermediate</v>
      </c>
      <c r="D80" s="216" t="str">
        <f ca="1">IFERROR(__xludf.DUMMYFUNCTION("""COMPUTED_VALUE"""),"ABAP for SAP Users")</f>
        <v>ABAP for SAP Users</v>
      </c>
      <c r="E80" s="217"/>
      <c r="F80" s="213"/>
      <c r="G80" s="214"/>
      <c r="H80" s="215"/>
      <c r="I80" s="217"/>
      <c r="J80" s="217"/>
      <c r="K80" s="213"/>
      <c r="L80" s="215"/>
      <c r="M80" s="215"/>
      <c r="N80" s="217"/>
      <c r="O80" s="217"/>
      <c r="P80" s="213"/>
      <c r="Q80" s="215"/>
      <c r="R80" s="215"/>
      <c r="S80" s="217"/>
      <c r="T80" s="217"/>
      <c r="U80" s="213"/>
      <c r="V80" s="215"/>
      <c r="W80" s="215"/>
      <c r="X80" s="217"/>
      <c r="Y80" s="217"/>
      <c r="Z80" s="213"/>
      <c r="AA80" s="215"/>
      <c r="AB80" s="215"/>
      <c r="AC80" s="217"/>
      <c r="AD80" s="217"/>
      <c r="AE80" s="213"/>
      <c r="AF80" s="215"/>
      <c r="AG80" s="215"/>
      <c r="AH80" s="217"/>
      <c r="AI80" s="217"/>
      <c r="AJ80" s="213"/>
    </row>
    <row r="81" spans="1:36" ht="33.75" customHeight="1">
      <c r="A81" s="213"/>
      <c r="B81" s="214">
        <f ca="1">IFERROR(__xludf.DUMMYFUNCTION("""COMPUTED_VALUE"""),2823098)</f>
        <v>2823098</v>
      </c>
      <c r="C81" s="215" t="str">
        <f ca="1">IFERROR(__xludf.DUMMYFUNCTION("""COMPUTED_VALUE"""),"Intermediate")</f>
        <v>Intermediate</v>
      </c>
      <c r="D81" s="216" t="str">
        <f ca="1">IFERROR(__xludf.DUMMYFUNCTION("""COMPUTED_VALUE"""),"Review and Manage the SAP MRP List")</f>
        <v>Review and Manage the SAP MRP List</v>
      </c>
      <c r="E81" s="217"/>
      <c r="F81" s="213"/>
      <c r="G81" s="214"/>
      <c r="H81" s="215"/>
      <c r="I81" s="217"/>
      <c r="J81" s="217"/>
      <c r="K81" s="213"/>
      <c r="L81" s="215"/>
      <c r="M81" s="215"/>
      <c r="N81" s="217"/>
      <c r="O81" s="217"/>
      <c r="P81" s="213"/>
      <c r="Q81" s="215"/>
      <c r="R81" s="215"/>
      <c r="S81" s="217"/>
      <c r="T81" s="217"/>
      <c r="U81" s="213"/>
      <c r="V81" s="215"/>
      <c r="W81" s="215"/>
      <c r="X81" s="217"/>
      <c r="Y81" s="217"/>
      <c r="Z81" s="213"/>
      <c r="AA81" s="215"/>
      <c r="AB81" s="215"/>
      <c r="AC81" s="217"/>
      <c r="AD81" s="217"/>
      <c r="AE81" s="213"/>
      <c r="AF81" s="215"/>
      <c r="AG81" s="215"/>
      <c r="AH81" s="217"/>
      <c r="AI81" s="217"/>
      <c r="AJ81" s="213"/>
    </row>
    <row r="82" spans="1:36" ht="33.75" customHeight="1">
      <c r="A82" s="213"/>
      <c r="B82" s="214">
        <f ca="1">IFERROR(__xludf.DUMMYFUNCTION("""COMPUTED_VALUE"""),5019812)</f>
        <v>5019812</v>
      </c>
      <c r="C82" s="215" t="str">
        <f ca="1">IFERROR(__xludf.DUMMYFUNCTION("""COMPUTED_VALUE"""),"Intermediate")</f>
        <v>Intermediate</v>
      </c>
      <c r="D82" s="216" t="str">
        <f ca="1">IFERROR(__xludf.DUMMYFUNCTION("""COMPUTED_VALUE"""),"AI in Business Essential Training")</f>
        <v>AI in Business Essential Training</v>
      </c>
      <c r="E82" s="217"/>
      <c r="F82" s="213"/>
      <c r="G82" s="214"/>
      <c r="H82" s="215"/>
      <c r="I82" s="217"/>
      <c r="J82" s="217"/>
      <c r="K82" s="213"/>
      <c r="L82" s="215"/>
      <c r="M82" s="215"/>
      <c r="N82" s="217"/>
      <c r="O82" s="217"/>
      <c r="P82" s="213"/>
      <c r="Q82" s="215"/>
      <c r="R82" s="215"/>
      <c r="S82" s="217"/>
      <c r="T82" s="217"/>
      <c r="U82" s="213"/>
      <c r="V82" s="215"/>
      <c r="W82" s="215"/>
      <c r="X82" s="217"/>
      <c r="Y82" s="217"/>
      <c r="Z82" s="213"/>
      <c r="AA82" s="215"/>
      <c r="AB82" s="215"/>
      <c r="AC82" s="217"/>
      <c r="AD82" s="217"/>
      <c r="AE82" s="213"/>
      <c r="AF82" s="215"/>
      <c r="AG82" s="215"/>
      <c r="AH82" s="217"/>
      <c r="AI82" s="217"/>
      <c r="AJ82" s="213"/>
    </row>
    <row r="83" spans="1:36" ht="33.75" customHeight="1">
      <c r="A83" s="213"/>
      <c r="B83" s="214">
        <f ca="1">IFERROR(__xludf.DUMMYFUNCTION("""COMPUTED_VALUE"""),5019813)</f>
        <v>5019813</v>
      </c>
      <c r="C83" s="215" t="str">
        <f ca="1">IFERROR(__xludf.DUMMYFUNCTION("""COMPUTED_VALUE"""),"Intermediate")</f>
        <v>Intermediate</v>
      </c>
      <c r="D83" s="216" t="str">
        <f ca="1">IFERROR(__xludf.DUMMYFUNCTION("""COMPUTED_VALUE"""),"AI in Fintech Essential Training")</f>
        <v>AI in Fintech Essential Training</v>
      </c>
      <c r="E83" s="217"/>
      <c r="F83" s="213"/>
      <c r="G83" s="214"/>
      <c r="H83" s="215"/>
      <c r="I83" s="217"/>
      <c r="J83" s="217"/>
      <c r="K83" s="213"/>
      <c r="L83" s="215"/>
      <c r="M83" s="215"/>
      <c r="N83" s="217"/>
      <c r="O83" s="217"/>
      <c r="P83" s="213"/>
      <c r="Q83" s="215"/>
      <c r="R83" s="215"/>
      <c r="S83" s="217"/>
      <c r="T83" s="217"/>
      <c r="U83" s="213"/>
      <c r="V83" s="215"/>
      <c r="W83" s="215"/>
      <c r="X83" s="217"/>
      <c r="Y83" s="217"/>
      <c r="Z83" s="213"/>
      <c r="AA83" s="215"/>
      <c r="AB83" s="215"/>
      <c r="AC83" s="217"/>
      <c r="AD83" s="217"/>
      <c r="AE83" s="213"/>
      <c r="AF83" s="215"/>
      <c r="AG83" s="215"/>
      <c r="AH83" s="217"/>
      <c r="AI83" s="217"/>
      <c r="AJ83" s="213"/>
    </row>
    <row r="84" spans="1:36" ht="33.75" customHeight="1">
      <c r="A84" s="213"/>
      <c r="B84" s="214">
        <f ca="1">IFERROR(__xludf.DUMMYFUNCTION("""COMPUTED_VALUE"""),2823564)</f>
        <v>2823564</v>
      </c>
      <c r="C84" s="215" t="str">
        <f ca="1">IFERROR(__xludf.DUMMYFUNCTION("""COMPUTED_VALUE"""),"Intermediate")</f>
        <v>Intermediate</v>
      </c>
      <c r="D84" s="216" t="str">
        <f ca="1">IFERROR(__xludf.DUMMYFUNCTION("""COMPUTED_VALUE"""),"Excel: Avoiding Common Mistakes (Office 365/Excel 2019)")</f>
        <v>Excel: Avoiding Common Mistakes (Office 365/Excel 2019)</v>
      </c>
      <c r="E84" s="217"/>
      <c r="F84" s="213"/>
      <c r="G84" s="214"/>
      <c r="H84" s="215"/>
      <c r="I84" s="217"/>
      <c r="J84" s="217"/>
      <c r="K84" s="213"/>
      <c r="L84" s="215"/>
      <c r="M84" s="215"/>
      <c r="N84" s="217"/>
      <c r="O84" s="217"/>
      <c r="P84" s="213"/>
      <c r="Q84" s="215"/>
      <c r="R84" s="215"/>
      <c r="S84" s="217"/>
      <c r="T84" s="217"/>
      <c r="U84" s="213"/>
      <c r="V84" s="215"/>
      <c r="W84" s="215"/>
      <c r="X84" s="217"/>
      <c r="Y84" s="217"/>
      <c r="Z84" s="213"/>
      <c r="AA84" s="215"/>
      <c r="AB84" s="215"/>
      <c r="AC84" s="217"/>
      <c r="AD84" s="217"/>
      <c r="AE84" s="213"/>
      <c r="AF84" s="215"/>
      <c r="AG84" s="215"/>
      <c r="AH84" s="217"/>
      <c r="AI84" s="217"/>
      <c r="AJ84" s="213"/>
    </row>
    <row r="85" spans="1:36" ht="33.75" customHeight="1">
      <c r="A85" s="213"/>
      <c r="B85" s="214">
        <f ca="1">IFERROR(__xludf.DUMMYFUNCTION("""COMPUTED_VALUE"""),2817226)</f>
        <v>2817226</v>
      </c>
      <c r="C85" s="215" t="str">
        <f ca="1">IFERROR(__xludf.DUMMYFUNCTION("""COMPUTED_VALUE"""),"Intermediate")</f>
        <v>Intermediate</v>
      </c>
      <c r="D85" s="216" t="str">
        <f ca="1">IFERROR(__xludf.DUMMYFUNCTION("""COMPUTED_VALUE"""),"The Data Science of Experimental Design")</f>
        <v>The Data Science of Experimental Design</v>
      </c>
      <c r="E85" s="217"/>
      <c r="F85" s="213"/>
      <c r="G85" s="214"/>
      <c r="H85" s="215"/>
      <c r="I85" s="217"/>
      <c r="J85" s="217"/>
      <c r="K85" s="213"/>
      <c r="L85" s="215"/>
      <c r="M85" s="215"/>
      <c r="N85" s="217"/>
      <c r="O85" s="217"/>
      <c r="P85" s="213"/>
      <c r="Q85" s="215"/>
      <c r="R85" s="215"/>
      <c r="S85" s="217"/>
      <c r="T85" s="217"/>
      <c r="U85" s="213"/>
      <c r="V85" s="215"/>
      <c r="W85" s="215"/>
      <c r="X85" s="217"/>
      <c r="Y85" s="217"/>
      <c r="Z85" s="213"/>
      <c r="AA85" s="215"/>
      <c r="AB85" s="215"/>
      <c r="AC85" s="217"/>
      <c r="AD85" s="217"/>
      <c r="AE85" s="213"/>
      <c r="AF85" s="215"/>
      <c r="AG85" s="215"/>
      <c r="AH85" s="217"/>
      <c r="AI85" s="217"/>
      <c r="AJ85" s="213"/>
    </row>
    <row r="86" spans="1:36" ht="33.75" customHeight="1">
      <c r="A86" s="213"/>
      <c r="B86" s="214">
        <f ca="1">IFERROR(__xludf.DUMMYFUNCTION("""COMPUTED_VALUE"""),2822461)</f>
        <v>2822461</v>
      </c>
      <c r="C86" s="215" t="str">
        <f ca="1">IFERROR(__xludf.DUMMYFUNCTION("""COMPUTED_VALUE"""),"Intermediate")</f>
        <v>Intermediate</v>
      </c>
      <c r="D86" s="216" t="str">
        <f ca="1">IFERROR(__xludf.DUMMYFUNCTION("""COMPUTED_VALUE"""),"Side Hustle Strategies for Data Science and Analytics Experts")</f>
        <v>Side Hustle Strategies for Data Science and Analytics Experts</v>
      </c>
      <c r="E86" s="217"/>
      <c r="F86" s="213"/>
      <c r="G86" s="214"/>
      <c r="H86" s="215"/>
      <c r="I86" s="217"/>
      <c r="J86" s="217"/>
      <c r="K86" s="213"/>
      <c r="L86" s="215"/>
      <c r="M86" s="215"/>
      <c r="N86" s="217"/>
      <c r="O86" s="217"/>
      <c r="P86" s="213"/>
      <c r="Q86" s="215"/>
      <c r="R86" s="215"/>
      <c r="S86" s="217"/>
      <c r="T86" s="217"/>
      <c r="U86" s="213"/>
      <c r="V86" s="215"/>
      <c r="W86" s="215"/>
      <c r="X86" s="217"/>
      <c r="Y86" s="217"/>
      <c r="Z86" s="213"/>
      <c r="AA86" s="215"/>
      <c r="AB86" s="215"/>
      <c r="AC86" s="217"/>
      <c r="AD86" s="217"/>
      <c r="AE86" s="213"/>
      <c r="AF86" s="215"/>
      <c r="AG86" s="215"/>
      <c r="AH86" s="217"/>
      <c r="AI86" s="217"/>
      <c r="AJ86" s="213"/>
    </row>
    <row r="87" spans="1:36" ht="33.75" customHeight="1">
      <c r="A87" s="213"/>
      <c r="B87" s="214">
        <f ca="1">IFERROR(__xludf.DUMMYFUNCTION("""COMPUTED_VALUE"""),2828018)</f>
        <v>2828018</v>
      </c>
      <c r="C87" s="215" t="str">
        <f ca="1">IFERROR(__xludf.DUMMYFUNCTION("""COMPUTED_VALUE"""),"Intermediate")</f>
        <v>Intermediate</v>
      </c>
      <c r="D87" s="216" t="str">
        <f ca="1">IFERROR(__xludf.DUMMYFUNCTION("""COMPUTED_VALUE"""),"PostgreSQL Essential Training")</f>
        <v>PostgreSQL Essential Training</v>
      </c>
      <c r="E87" s="217"/>
      <c r="F87" s="213"/>
      <c r="G87" s="214"/>
      <c r="H87" s="215"/>
      <c r="I87" s="217"/>
      <c r="J87" s="217"/>
      <c r="K87" s="213"/>
      <c r="L87" s="215"/>
      <c r="M87" s="215"/>
      <c r="N87" s="217"/>
      <c r="O87" s="217"/>
      <c r="P87" s="213"/>
      <c r="Q87" s="215"/>
      <c r="R87" s="215"/>
      <c r="S87" s="217"/>
      <c r="T87" s="217"/>
      <c r="U87" s="213"/>
      <c r="V87" s="215"/>
      <c r="W87" s="215"/>
      <c r="X87" s="217"/>
      <c r="Y87" s="217"/>
      <c r="Z87" s="213"/>
      <c r="AA87" s="215"/>
      <c r="AB87" s="215"/>
      <c r="AC87" s="217"/>
      <c r="AD87" s="217"/>
      <c r="AE87" s="213"/>
      <c r="AF87" s="215"/>
      <c r="AG87" s="215"/>
      <c r="AH87" s="217"/>
      <c r="AI87" s="217"/>
      <c r="AJ87" s="213"/>
    </row>
    <row r="88" spans="1:36" ht="33.75" customHeight="1">
      <c r="A88" s="213"/>
      <c r="B88" s="214">
        <f ca="1">IFERROR(__xludf.DUMMYFUNCTION("""COMPUTED_VALUE"""),2825746)</f>
        <v>2825746</v>
      </c>
      <c r="C88" s="215" t="str">
        <f ca="1">IFERROR(__xludf.DUMMYFUNCTION("""COMPUTED_VALUE"""),"Intermediate")</f>
        <v>Intermediate</v>
      </c>
      <c r="D88" s="217" t="str">
        <f ca="1">IFERROR(__xludf.DUMMYFUNCTION("""COMPUTED_VALUE"""),"Data Visualization for Data Analysis and Analytics")</f>
        <v>Data Visualization for Data Analysis and Analytics</v>
      </c>
      <c r="E88" s="217"/>
      <c r="F88" s="213"/>
      <c r="G88" s="214"/>
      <c r="H88" s="215"/>
      <c r="I88" s="217"/>
      <c r="J88" s="217"/>
      <c r="K88" s="213"/>
      <c r="L88" s="215"/>
      <c r="M88" s="215"/>
      <c r="N88" s="217"/>
      <c r="O88" s="217"/>
      <c r="P88" s="213"/>
      <c r="Q88" s="215"/>
      <c r="R88" s="215"/>
      <c r="S88" s="217"/>
      <c r="T88" s="217"/>
      <c r="U88" s="213"/>
      <c r="V88" s="215"/>
      <c r="W88" s="215"/>
      <c r="X88" s="217"/>
      <c r="Y88" s="217"/>
      <c r="Z88" s="213"/>
      <c r="AA88" s="215"/>
      <c r="AB88" s="215"/>
      <c r="AC88" s="217"/>
      <c r="AD88" s="217"/>
      <c r="AE88" s="213"/>
      <c r="AF88" s="215"/>
      <c r="AG88" s="215"/>
      <c r="AH88" s="217"/>
      <c r="AI88" s="217"/>
      <c r="AJ88" s="213"/>
    </row>
    <row r="89" spans="1:36" ht="16">
      <c r="A89" s="213"/>
      <c r="B89" s="214">
        <f ca="1">IFERROR(__xludf.DUMMYFUNCTION("""COMPUTED_VALUE"""),699332)</f>
        <v>699332</v>
      </c>
      <c r="C89" s="215" t="str">
        <f ca="1">IFERROR(__xludf.DUMMYFUNCTION("""COMPUTED_VALUE"""),"Intermediate")</f>
        <v>Intermediate</v>
      </c>
      <c r="D89" s="216" t="str">
        <f ca="1">IFERROR(__xludf.DUMMYFUNCTION("""COMPUTED_VALUE"""),"Learning Digital Business Analysis")</f>
        <v>Learning Digital Business Analysis</v>
      </c>
      <c r="E89" s="217"/>
      <c r="F89" s="213"/>
      <c r="G89" s="214"/>
      <c r="H89" s="215"/>
      <c r="I89" s="217"/>
      <c r="J89" s="217"/>
      <c r="K89" s="213"/>
      <c r="L89" s="215"/>
      <c r="M89" s="215"/>
      <c r="N89" s="217"/>
      <c r="O89" s="217"/>
      <c r="P89" s="213"/>
      <c r="Q89" s="215"/>
      <c r="R89" s="215"/>
      <c r="S89" s="217"/>
      <c r="T89" s="217"/>
      <c r="U89" s="213"/>
      <c r="V89" s="215"/>
      <c r="W89" s="215"/>
      <c r="X89" s="217"/>
      <c r="Y89" s="217"/>
      <c r="Z89" s="213"/>
      <c r="AA89" s="215"/>
      <c r="AB89" s="215"/>
      <c r="AC89" s="217"/>
      <c r="AD89" s="217"/>
      <c r="AE89" s="213"/>
      <c r="AF89" s="215"/>
      <c r="AG89" s="215"/>
      <c r="AH89" s="217"/>
      <c r="AI89" s="217"/>
      <c r="AJ89" s="213"/>
    </row>
    <row r="90" spans="1:36" ht="16">
      <c r="A90" s="213"/>
      <c r="B90" s="214">
        <f ca="1">IFERROR(__xludf.DUMMYFUNCTION("""COMPUTED_VALUE"""),721913)</f>
        <v>721913</v>
      </c>
      <c r="C90" s="215" t="str">
        <f ca="1">IFERROR(__xludf.DUMMYFUNCTION("""COMPUTED_VALUE"""),"Intermediate")</f>
        <v>Intermediate</v>
      </c>
      <c r="D90" s="216" t="str">
        <f ca="1">IFERROR(__xludf.DUMMYFUNCTION("""COMPUTED_VALUE"""),"Agile Analysis Weekly Tips")</f>
        <v>Agile Analysis Weekly Tips</v>
      </c>
      <c r="E90" s="217"/>
      <c r="F90" s="213"/>
      <c r="G90" s="214"/>
      <c r="H90" s="215"/>
      <c r="I90" s="217"/>
      <c r="J90" s="217"/>
      <c r="K90" s="213"/>
      <c r="L90" s="215"/>
      <c r="M90" s="215"/>
      <c r="N90" s="217"/>
      <c r="O90" s="217"/>
      <c r="P90" s="213"/>
      <c r="Q90" s="215"/>
      <c r="R90" s="215"/>
      <c r="S90" s="217"/>
      <c r="T90" s="217"/>
      <c r="U90" s="213"/>
      <c r="V90" s="215"/>
      <c r="W90" s="215"/>
      <c r="X90" s="217"/>
      <c r="Y90" s="217"/>
      <c r="Z90" s="213"/>
      <c r="AA90" s="215"/>
      <c r="AB90" s="215"/>
      <c r="AC90" s="217"/>
      <c r="AD90" s="217"/>
      <c r="AE90" s="213"/>
      <c r="AF90" s="215"/>
      <c r="AG90" s="215"/>
      <c r="AH90" s="217"/>
      <c r="AI90" s="217"/>
      <c r="AJ90" s="213"/>
    </row>
    <row r="91" spans="1:36" ht="16">
      <c r="A91" s="213"/>
      <c r="B91" s="214">
        <f ca="1">IFERROR(__xludf.DUMMYFUNCTION("""COMPUTED_VALUE"""),761931)</f>
        <v>761931</v>
      </c>
      <c r="C91" s="215" t="str">
        <f ca="1">IFERROR(__xludf.DUMMYFUNCTION("""COMPUTED_VALUE"""),"Intermediate")</f>
        <v>Intermediate</v>
      </c>
      <c r="D91" s="216" t="str">
        <f ca="1">IFERROR(__xludf.DUMMYFUNCTION("""COMPUTED_VALUE"""),"Cert Prep: Agile Analysis (IIBA®-AAC)")</f>
        <v>Cert Prep: Agile Analysis (IIBA®-AAC)</v>
      </c>
      <c r="E91" s="217"/>
      <c r="F91" s="213"/>
      <c r="G91" s="214"/>
      <c r="H91" s="215"/>
      <c r="I91" s="217"/>
      <c r="J91" s="217"/>
      <c r="K91" s="213"/>
      <c r="L91" s="215"/>
      <c r="M91" s="215"/>
      <c r="N91" s="217"/>
      <c r="O91" s="217"/>
      <c r="P91" s="213"/>
      <c r="Q91" s="215"/>
      <c r="R91" s="215"/>
      <c r="S91" s="217"/>
      <c r="T91" s="217"/>
      <c r="U91" s="213"/>
      <c r="V91" s="215"/>
      <c r="W91" s="215"/>
      <c r="X91" s="217"/>
      <c r="Y91" s="217"/>
      <c r="Z91" s="213"/>
      <c r="AA91" s="215"/>
      <c r="AB91" s="215"/>
      <c r="AC91" s="217"/>
      <c r="AD91" s="217"/>
      <c r="AE91" s="213"/>
      <c r="AF91" s="215"/>
      <c r="AG91" s="215"/>
      <c r="AH91" s="217"/>
      <c r="AI91" s="217"/>
      <c r="AJ91" s="213"/>
    </row>
    <row r="92" spans="1:36" ht="30">
      <c r="A92" s="213"/>
      <c r="B92" s="214">
        <f ca="1">IFERROR(__xludf.DUMMYFUNCTION("""COMPUTED_VALUE"""),601772)</f>
        <v>601772</v>
      </c>
      <c r="C92" s="215" t="str">
        <f ca="1">IFERROR(__xludf.DUMMYFUNCTION("""COMPUTED_VALUE"""),"Intermediate")</f>
        <v>Intermediate</v>
      </c>
      <c r="D92" s="216" t="str">
        <f ca="1">IFERROR(__xludf.DUMMYFUNCTION("""COMPUTED_VALUE"""),"Business Analyst and Project Manager Collaboration")</f>
        <v>Business Analyst and Project Manager Collaboration</v>
      </c>
      <c r="E92" s="217"/>
      <c r="F92" s="213"/>
      <c r="G92" s="214"/>
      <c r="H92" s="215"/>
      <c r="I92" s="217"/>
      <c r="J92" s="217"/>
      <c r="K92" s="213"/>
      <c r="L92" s="215"/>
      <c r="M92" s="215"/>
      <c r="N92" s="217"/>
      <c r="O92" s="217"/>
      <c r="P92" s="213"/>
      <c r="Q92" s="215"/>
      <c r="R92" s="215"/>
      <c r="S92" s="217"/>
      <c r="T92" s="217"/>
      <c r="U92" s="213"/>
      <c r="V92" s="215"/>
      <c r="W92" s="215"/>
      <c r="X92" s="217"/>
      <c r="Y92" s="217"/>
      <c r="Z92" s="213"/>
      <c r="AA92" s="215"/>
      <c r="AB92" s="215"/>
      <c r="AC92" s="217"/>
      <c r="AD92" s="217"/>
      <c r="AE92" s="213"/>
      <c r="AF92" s="215"/>
      <c r="AG92" s="215"/>
      <c r="AH92" s="217"/>
      <c r="AI92" s="217"/>
      <c r="AJ92" s="213"/>
    </row>
    <row r="93" spans="1:36" ht="30">
      <c r="A93" s="213"/>
      <c r="B93" s="214">
        <f ca="1">IFERROR(__xludf.DUMMYFUNCTION("""COMPUTED_VALUE"""),2887178)</f>
        <v>2887178</v>
      </c>
      <c r="C93" s="215" t="str">
        <f ca="1">IFERROR(__xludf.DUMMYFUNCTION("""COMPUTED_VALUE"""),"Intermediate")</f>
        <v>Intermediate</v>
      </c>
      <c r="D93" s="216" t="str">
        <f ca="1">IFERROR(__xludf.DUMMYFUNCTION("""COMPUTED_VALUE"""),"Microsoft Power Apps: Using the Dataverse (Formerly the Common Data Service)")</f>
        <v>Microsoft Power Apps: Using the Dataverse (Formerly the Common Data Service)</v>
      </c>
      <c r="E93" s="217"/>
      <c r="F93" s="213"/>
      <c r="G93" s="214"/>
      <c r="H93" s="215"/>
      <c r="I93" s="217"/>
      <c r="J93" s="217"/>
      <c r="K93" s="213"/>
      <c r="L93" s="215"/>
      <c r="M93" s="215"/>
      <c r="N93" s="217"/>
      <c r="O93" s="217"/>
      <c r="P93" s="213"/>
      <c r="Q93" s="215"/>
      <c r="R93" s="215"/>
      <c r="S93" s="217"/>
      <c r="T93" s="217"/>
      <c r="U93" s="213"/>
      <c r="V93" s="215"/>
      <c r="W93" s="215"/>
      <c r="X93" s="217"/>
      <c r="Y93" s="217"/>
      <c r="Z93" s="213"/>
      <c r="AA93" s="215"/>
      <c r="AB93" s="215"/>
      <c r="AC93" s="217"/>
      <c r="AD93" s="217"/>
      <c r="AE93" s="213"/>
      <c r="AF93" s="215"/>
      <c r="AG93" s="215"/>
      <c r="AH93" s="217"/>
      <c r="AI93" s="217"/>
      <c r="AJ93" s="213"/>
    </row>
    <row r="94" spans="1:36" ht="16">
      <c r="A94" s="213"/>
      <c r="B94" s="214"/>
      <c r="C94" s="215"/>
      <c r="D94" s="216"/>
      <c r="E94" s="217"/>
      <c r="F94" s="213"/>
      <c r="G94" s="214"/>
      <c r="H94" s="215"/>
      <c r="I94" s="217"/>
      <c r="J94" s="217"/>
      <c r="K94" s="213"/>
      <c r="L94" s="215"/>
      <c r="M94" s="215"/>
      <c r="N94" s="217"/>
      <c r="O94" s="217"/>
      <c r="P94" s="213"/>
      <c r="Q94" s="215"/>
      <c r="R94" s="215"/>
      <c r="S94" s="217"/>
      <c r="T94" s="217"/>
      <c r="U94" s="213"/>
      <c r="V94" s="215"/>
      <c r="W94" s="215"/>
      <c r="X94" s="217"/>
      <c r="Y94" s="217"/>
      <c r="Z94" s="213"/>
      <c r="AA94" s="215"/>
      <c r="AB94" s="215"/>
      <c r="AC94" s="217"/>
      <c r="AD94" s="217"/>
      <c r="AE94" s="213"/>
      <c r="AF94" s="215"/>
      <c r="AG94" s="215"/>
      <c r="AH94" s="217"/>
      <c r="AI94" s="217"/>
      <c r="AJ94" s="213"/>
    </row>
    <row r="95" spans="1:36" ht="16">
      <c r="A95" s="213"/>
      <c r="B95" s="214"/>
      <c r="C95" s="215"/>
      <c r="D95" s="216"/>
      <c r="E95" s="217"/>
      <c r="F95" s="213"/>
      <c r="G95" s="214"/>
      <c r="H95" s="215"/>
      <c r="I95" s="217"/>
      <c r="J95" s="217"/>
      <c r="K95" s="213"/>
      <c r="L95" s="215"/>
      <c r="M95" s="215"/>
      <c r="N95" s="217"/>
      <c r="O95" s="217"/>
      <c r="P95" s="213"/>
      <c r="Q95" s="215"/>
      <c r="R95" s="215"/>
      <c r="S95" s="217"/>
      <c r="T95" s="217"/>
      <c r="U95" s="213"/>
      <c r="V95" s="215"/>
      <c r="W95" s="215"/>
      <c r="X95" s="217"/>
      <c r="Y95" s="217"/>
      <c r="Z95" s="213"/>
      <c r="AA95" s="215"/>
      <c r="AB95" s="215"/>
      <c r="AC95" s="217"/>
      <c r="AD95" s="217"/>
      <c r="AE95" s="213"/>
      <c r="AF95" s="215"/>
      <c r="AG95" s="215"/>
      <c r="AH95" s="217"/>
      <c r="AI95" s="217"/>
      <c r="AJ95" s="213"/>
    </row>
    <row r="96" spans="1:36" ht="16">
      <c r="A96" s="213"/>
      <c r="B96" s="214"/>
      <c r="C96" s="215"/>
      <c r="D96" s="217"/>
      <c r="E96" s="217"/>
      <c r="F96" s="213"/>
      <c r="G96" s="214"/>
      <c r="H96" s="215"/>
      <c r="I96" s="217"/>
      <c r="J96" s="217"/>
      <c r="K96" s="213"/>
      <c r="L96" s="215"/>
      <c r="M96" s="215"/>
      <c r="N96" s="217"/>
      <c r="O96" s="217"/>
      <c r="P96" s="213"/>
      <c r="Q96" s="215"/>
      <c r="R96" s="215"/>
      <c r="S96" s="217"/>
      <c r="T96" s="217"/>
      <c r="U96" s="213"/>
      <c r="V96" s="215"/>
      <c r="W96" s="215"/>
      <c r="X96" s="217"/>
      <c r="Y96" s="217"/>
      <c r="Z96" s="213"/>
      <c r="AA96" s="215"/>
      <c r="AB96" s="215"/>
      <c r="AC96" s="217"/>
      <c r="AD96" s="217"/>
      <c r="AE96" s="213"/>
      <c r="AF96" s="215"/>
      <c r="AG96" s="215"/>
      <c r="AH96" s="217"/>
      <c r="AI96" s="217"/>
      <c r="AJ96" s="213"/>
    </row>
    <row r="97" spans="1:36" ht="16">
      <c r="A97" s="213"/>
      <c r="B97" s="214"/>
      <c r="C97" s="215"/>
      <c r="D97" s="217"/>
      <c r="E97" s="217"/>
      <c r="F97" s="213"/>
      <c r="G97" s="214"/>
      <c r="H97" s="215"/>
      <c r="I97" s="217"/>
      <c r="J97" s="217"/>
      <c r="K97" s="213"/>
      <c r="L97" s="215"/>
      <c r="M97" s="215"/>
      <c r="N97" s="217"/>
      <c r="O97" s="217"/>
      <c r="P97" s="213"/>
      <c r="Q97" s="215"/>
      <c r="R97" s="215"/>
      <c r="S97" s="217"/>
      <c r="T97" s="217"/>
      <c r="U97" s="213"/>
      <c r="V97" s="215"/>
      <c r="W97" s="215"/>
      <c r="X97" s="217"/>
      <c r="Y97" s="217"/>
      <c r="Z97" s="213"/>
      <c r="AA97" s="215"/>
      <c r="AB97" s="215"/>
      <c r="AC97" s="217"/>
      <c r="AD97" s="217"/>
      <c r="AE97" s="213"/>
      <c r="AF97" s="215"/>
      <c r="AG97" s="215"/>
      <c r="AH97" s="217"/>
      <c r="AI97" s="217"/>
      <c r="AJ97" s="213"/>
    </row>
    <row r="98" spans="1:36" ht="16">
      <c r="A98" s="213"/>
      <c r="B98" s="214"/>
      <c r="C98" s="215"/>
      <c r="D98" s="217"/>
      <c r="E98" s="217"/>
      <c r="F98" s="213"/>
      <c r="G98" s="214"/>
      <c r="H98" s="215"/>
      <c r="I98" s="217"/>
      <c r="J98" s="217"/>
      <c r="K98" s="213"/>
      <c r="L98" s="215"/>
      <c r="M98" s="215"/>
      <c r="N98" s="217"/>
      <c r="O98" s="217"/>
      <c r="P98" s="213"/>
      <c r="Q98" s="215"/>
      <c r="R98" s="215"/>
      <c r="S98" s="217"/>
      <c r="T98" s="217"/>
      <c r="U98" s="213"/>
      <c r="V98" s="215"/>
      <c r="W98" s="215"/>
      <c r="X98" s="217"/>
      <c r="Y98" s="217"/>
      <c r="Z98" s="213"/>
      <c r="AA98" s="215"/>
      <c r="AB98" s="215"/>
      <c r="AC98" s="217"/>
      <c r="AD98" s="217"/>
      <c r="AE98" s="213"/>
      <c r="AF98" s="215"/>
      <c r="AG98" s="215"/>
      <c r="AH98" s="217"/>
      <c r="AI98" s="217"/>
      <c r="AJ98" s="213"/>
    </row>
    <row r="99" spans="1:36" ht="16">
      <c r="A99" s="213"/>
      <c r="B99" s="214"/>
      <c r="C99" s="215"/>
      <c r="D99" s="217"/>
      <c r="E99" s="217"/>
      <c r="F99" s="213"/>
      <c r="G99" s="214"/>
      <c r="H99" s="215"/>
      <c r="I99" s="218"/>
      <c r="J99" s="219"/>
      <c r="K99" s="213"/>
      <c r="L99" s="215"/>
      <c r="M99" s="215"/>
      <c r="N99" s="220"/>
      <c r="O99" s="220"/>
      <c r="P99" s="213"/>
      <c r="Q99" s="215"/>
      <c r="R99" s="215"/>
      <c r="S99" s="220"/>
      <c r="T99" s="220"/>
      <c r="U99" s="213"/>
      <c r="V99" s="215"/>
      <c r="W99" s="215"/>
      <c r="X99" s="220"/>
      <c r="Y99" s="220"/>
      <c r="Z99" s="213"/>
      <c r="AA99" s="215"/>
      <c r="AB99" s="215"/>
      <c r="AC99" s="221"/>
      <c r="AD99" s="221"/>
      <c r="AE99" s="213"/>
      <c r="AF99" s="215"/>
      <c r="AG99" s="215"/>
      <c r="AH99" s="220"/>
      <c r="AI99" s="220"/>
      <c r="AJ99" s="213"/>
    </row>
  </sheetData>
  <mergeCells count="14">
    <mergeCell ref="B1:E1"/>
    <mergeCell ref="L1:O1"/>
    <mergeCell ref="V1:Y1"/>
    <mergeCell ref="AF1:AI1"/>
    <mergeCell ref="B2:E2"/>
    <mergeCell ref="L2:O2"/>
    <mergeCell ref="V2:Y2"/>
    <mergeCell ref="AF2:AI2"/>
    <mergeCell ref="G1:J1"/>
    <mergeCell ref="G2:J2"/>
    <mergeCell ref="Q1:T1"/>
    <mergeCell ref="Q2:T2"/>
    <mergeCell ref="AA1:AD1"/>
    <mergeCell ref="AA2:AD2"/>
  </mergeCells>
  <hyperlinks>
    <hyperlink ref="D4" r:id="rId1" display="https://www.linkedin.com/learning/data-strategy?trk=contentmappingfile" xr:uid="{00000000-0004-0000-1400-000000000000}"/>
    <hyperlink ref="E4" r:id="rId2" display="https://www.linkedin.com/learning/paths/advance-your-data-science-skills-in-health-sciences?trk=ondemandfile" xr:uid="{00000000-0004-0000-1400-000001000000}"/>
    <hyperlink ref="N4" r:id="rId3" display="https://www.linkedin.com/learning/00-vba-para-access-avanzado-acceso-a-datos?trk=ondemandfile" xr:uid="{00000000-0004-0000-1400-000002000000}"/>
    <hyperlink ref="O4" r:id="rId4" display="https://www.linkedin.com/learning/paths/conviertete-en-experto-en-excel-2016?trk=ondemandfile" xr:uid="{00000000-0004-0000-1400-000003000000}"/>
    <hyperlink ref="S4" r:id="rId5" display="https://www.linkedin.com/learning/apache-kafka-erweiterte-konzepte-lernen?trk=contentmappingfile" xr:uid="{00000000-0004-0000-1400-000004000000}"/>
    <hyperlink ref="T4" r:id="rId6" display="https://www.linkedin.com/learning/paths/excel-expert-in-werden?trk=ondemandfile" xr:uid="{00000000-0004-0000-1400-000005000000}"/>
    <hyperlink ref="X4" r:id="rId7" display="https://www.linkedin.com/learning/excel-2016-data-analysis?trk=ondemandfile" xr:uid="{00000000-0004-0000-1400-000006000000}"/>
    <hyperlink ref="AD4" r:id="rId8" display="https://www.linkedin.com/learning/paths/torne-se-um-cientista-de-dados?trk=ondemandfile" xr:uid="{00000000-0004-0000-1400-000007000000}"/>
    <hyperlink ref="AH4" r:id="rId9" display="https://www.linkedin.com/learning/big-data-in-the-age-of-ai-15942776?trk=contentmappingfile" xr:uid="{00000000-0004-0000-1400-000008000000}"/>
    <hyperlink ref="AI4" r:id="rId10" display="https://www.linkedin.com/learning/paths/65b9245d-75e9-323d-a736-70d3af14ddd1?trk=ondemandfile" xr:uid="{00000000-0004-0000-1400-000009000000}"/>
    <hyperlink ref="D5" r:id="rId11" display="https://www.linkedin.com/learning/cmo-foundations-measuring-marketing-effectiveness-roi?trk=ondemandfile" xr:uid="{00000000-0004-0000-1400-00000A000000}"/>
    <hyperlink ref="E5" r:id="rId12" display="https://www.linkedin.com/learning/paths/advance-your-skills-in-predictive-analytics?trk=ondemandfile" xr:uid="{00000000-0004-0000-1400-00000B000000}"/>
    <hyperlink ref="N5" r:id="rId13" display="https://www.linkedin.com/learning/aprende-analisis-de-datos?trk=ondemandfile" xr:uid="{00000000-0004-0000-1400-00000C000000}"/>
    <hyperlink ref="O5" r:id="rId14" display="https://www.linkedin.com/learning/paths/domina-excel-2016?trk=ondemandfile" xr:uid="{00000000-0004-0000-1400-00000D000000}"/>
    <hyperlink ref="S5" r:id="rId15" display="https://www.linkedin.com/learning/big-data-grundlagen-methoden-und-konzepte-im-zeitalter-von-ki?trk=ondemandfile" xr:uid="{00000000-0004-0000-1400-00000E000000}"/>
    <hyperlink ref="T5" r:id="rId16" display="https://www.linkedin.com/learning/paths/mit-excel-2016-daten-auswerten-und-prsentieren?trk=ondemandfile" xr:uid="{00000000-0004-0000-1400-00000F000000}"/>
    <hyperlink ref="X5" r:id="rId17" display="https://www.linkedin.com/learning/excel-2021-essential-training-office-2021-ltsc-16426633?trk=contentmappingfile" xr:uid="{00000000-0004-0000-1400-000010000000}"/>
    <hyperlink ref="AC5" r:id="rId18" display="https://www.linkedin.com/learning/big-data-no-rh-o-impacto-dos-dados-no-bem-estar-dos-colaboradores?trk=contentmappingfile" xr:uid="{00000000-0004-0000-1400-000011000000}"/>
    <hyperlink ref="AH5" r:id="rId19" display="https://www.linkedin.com/learning/excel-2016-managing-and-analyzing-data-2?trk=ondemandfile" xr:uid="{00000000-0004-0000-1400-000012000000}"/>
    <hyperlink ref="D6" r:id="rId20" display="https://www.linkedin.com/learning/leading-teams-working-with-data-pitfalls-and-best-practices?trk=ondemandfile" xr:uid="{00000000-0004-0000-1400-000013000000}"/>
    <hyperlink ref="E6" r:id="rId21" display="https://www.linkedin.com/learning/paths/become-a-business-analyst?trk=ondemandfile" xr:uid="{00000000-0004-0000-1400-000014000000}"/>
    <hyperlink ref="N6" r:id="rId22" display="https://www.linkedin.com/learning/aprende-analisis-y-visualizacion-de-datos-con-hojas-de-calculo-de-google?trk=ondemandfile" xr:uid="{00000000-0004-0000-1400-000015000000}"/>
    <hyperlink ref="O6" r:id="rId23" display="https://www.linkedin.com/learning/paths/crea-y-gestiona-tablas-dinamicas-en-excel?trk=ondemandfile" xr:uid="{00000000-0004-0000-1400-000016000000}"/>
    <hyperlink ref="S6" r:id="rId24" display="https://www.linkedin.com/learning/blockchain-grundlagen?trk=ondemandfile" xr:uid="{00000000-0004-0000-1400-000017000000}"/>
    <hyperlink ref="T6" r:id="rId25" display="https://www.linkedin.com/learning/paths/python-entwickler-in-werden?trk=ondemandfile" xr:uid="{00000000-0004-0000-1400-000018000000}"/>
    <hyperlink ref="X6" r:id="rId26" display="https://www.linkedin.com/learning/excel-data-analysis-365-2019?trk=contentmappingfile" xr:uid="{00000000-0004-0000-1400-000019000000}"/>
    <hyperlink ref="AH6" r:id="rId27" display="https://www.linkedin.com/learning/excel-2019-managing-and-analyzing-data?trk=ondemandfile" xr:uid="{00000000-0004-0000-1400-00001A000000}"/>
    <hyperlink ref="D7" r:id="rId28" display="https://www.linkedin.com/learning/measuring-business-performance-2021?trk=ondemandfile" xr:uid="{00000000-0004-0000-1400-00001B000000}"/>
    <hyperlink ref="E7" r:id="rId29" display="https://www.linkedin.com/learning/paths/become-a-business-analytics-expert?trk=ondemandfile" xr:uid="{00000000-0004-0000-1400-00001C000000}"/>
    <hyperlink ref="N7" r:id="rId30" display="https://www.linkedin.com/learning/aprende-big-data-analisis-de-datos?trk=ondemandfile" xr:uid="{00000000-0004-0000-1400-00001D000000}"/>
    <hyperlink ref="O7" r:id="rId31" display="https://www.linkedin.com/learning/paths/crea-informes-usando-microsoft-excel?trk=ondemandfile" xr:uid="{00000000-0004-0000-1400-00001E000000}"/>
    <hyperlink ref="S7" r:id="rId32" display="https://www.linkedin.com/learning/cybersecurity-tipps-jede-woche-neu?trk=contentmappingfile" xr:uid="{00000000-0004-0000-1400-00001F000000}"/>
    <hyperlink ref="X7" r:id="rId33" display="https://www.linkedin.com/learning/advanced-power-bi?trk=contentmappingfile" xr:uid="{00000000-0004-0000-1400-000020000000}"/>
    <hyperlink ref="AH7" r:id="rId34" display="https://www.linkedin.com/learning/power-bi-data-modeling-with-dax-16451361?trk=contentmappingfile" xr:uid="{00000000-0004-0000-1400-000021000000}"/>
    <hyperlink ref="D8" r:id="rId35" display="https://www.linkedin.com/learning/learning-data-governance-14224082?trk=ondemandfile" xr:uid="{00000000-0004-0000-1400-000022000000}"/>
    <hyperlink ref="E8" r:id="rId36" display="https://www.linkedin.com/learning/paths/become-a-data-analyst?trk=ondemandfile" xr:uid="{00000000-0004-0000-1400-000023000000}"/>
    <hyperlink ref="N8" r:id="rId37" display="https://www.linkedin.com/learning/aprende-big-data-visualizacion-de-datos?trk=ondemandfile" xr:uid="{00000000-0004-0000-1400-000024000000}"/>
    <hyperlink ref="O8" r:id="rId38" display="https://www.linkedin.com/learning/paths/conviertete-en-especialista-en-excel-2016-para-mac?trk=ondemandfile" xr:uid="{00000000-0004-0000-1400-000025000000}"/>
    <hyperlink ref="S8" r:id="rId39" display="https://www.linkedin.com/learning/data-governance-mit-microsoft-office-365?trk=ondemandfile" xr:uid="{00000000-0004-0000-1400-000026000000}"/>
    <hyperlink ref="X8" r:id="rId40" display="https://www.linkedin.com/learning/python-data-structure?trk=contentmappingfile" xr:uid="{00000000-0004-0000-1400-000027000000}"/>
    <hyperlink ref="AH8" r:id="rId41" display="https://www.linkedin.com/learning/python-for-data-science-essential-training-2?trk=ondemandfile" xr:uid="{00000000-0004-0000-1400-000028000000}"/>
    <hyperlink ref="D9" r:id="rId42" display="https://www.linkedin.com/learning/data-visualization-best-practices-14429760?trk=contentmappingfile" xr:uid="{00000000-0004-0000-1400-000029000000}"/>
    <hyperlink ref="E9" r:id="rId43" display="https://www.linkedin.com/learning/paths/become-a-data-visualization-specialist-concepts?trk=ondemandfile" xr:uid="{00000000-0004-0000-1400-00002A000000}"/>
    <hyperlink ref="N9" r:id="rId44" display="https://www.linkedin.com/learning/00-aprende-data-science-conceptos-basicos?trk=ondemandfile" xr:uid="{00000000-0004-0000-1400-00002B000000}"/>
    <hyperlink ref="O9" r:id="rId45" display="https://www.linkedin.com/learning/paths/conviertete-en-un-especialista-en-big-data-para-it?trk=ondemandfile" xr:uid="{00000000-0004-0000-1400-00002C000000}"/>
    <hyperlink ref="S9" r:id="rId46" display="https://www.linkedin.com/learning/data-mining-grundlagen-einfuhrung-in-die-datenvorbereitung-mit-data-cleansing-data-transformation-und-feature?trk=contentmappingfile" xr:uid="{00000000-0004-0000-1400-00002D000000}"/>
    <hyperlink ref="X9" r:id="rId47" display="https://www.linkedin.com/learning/learning-data-science-tell-stories-with-data-14875287?trk=contentmappingfile" xr:uid="{00000000-0004-0000-1400-00002E000000}"/>
    <hyperlink ref="AC9" r:id="rId48" display="https://www.linkedin.com/learning/excel-como-criar-um-dashboard-basico-365-2019?trk=contentmappingfile" xr:uid="{00000000-0004-0000-1400-00002F000000}"/>
    <hyperlink ref="AH9" r:id="rId49" display="https://www.linkedin.com/learning/artificial-intelligence-foundations-neural-networks-16411152?trk=contentmappingfile" xr:uid="{00000000-0004-0000-1400-000030000000}"/>
    <hyperlink ref="D10" r:id="rId50" display="https://www.linkedin.com/learning/15-mistakes-to-avoid-in-data-science?trk=ondemandfile" xr:uid="{00000000-0004-0000-1400-000031000000}"/>
    <hyperlink ref="E10" r:id="rId51" display="https://www.linkedin.com/learning/paths/become-a-data-visualization-specialist-tools?trk=ondemandfile" xr:uid="{00000000-0004-0000-1400-000032000000}"/>
    <hyperlink ref="N10" r:id="rId52" display="https://www.linkedin.com/learning/00-aprende-data-science-cuenta-historias-con-los-datos?trk=ondemandfile" xr:uid="{00000000-0004-0000-1400-000033000000}"/>
    <hyperlink ref="O10" r:id="rId53" display="https://www.linkedin.com/learning/paths/conviertete-en-experto-de-big-data-para-los-negocios?trk=ondemandfile" xr:uid="{00000000-0004-0000-1400-000034000000}"/>
    <hyperlink ref="S10" r:id="rId54" display="https://www.linkedin.com/learning/data-science-grundlagen-eine-einfuhrung?trk=ondemandfile" xr:uid="{00000000-0004-0000-1400-000035000000}"/>
    <hyperlink ref="X10" r:id="rId55" display="https://www.linkedin.com/learning/learning-data-science-understanding-the-basics-4?trk=ondemandfile" xr:uid="{00000000-0004-0000-1400-000036000000}"/>
    <hyperlink ref="AH10" r:id="rId56" display="https://www.linkedin.com/learning/big-data-foundations-techniques-and-concepts-2?trk=ondemandfile" xr:uid="{00000000-0004-0000-1400-000037000000}"/>
    <hyperlink ref="D11" r:id="rId57" display="https://www.linkedin.com/learning/lessons-from-data-scientists?trk=ondemandfile" xr:uid="{00000000-0004-0000-1400-000038000000}"/>
    <hyperlink ref="E11" r:id="rId58" display="https://www.linkedin.com/learning/paths/become-a-data-analytics-specialist?trk=ondemandfile" xr:uid="{00000000-0004-0000-1400-000039000000}"/>
    <hyperlink ref="I11" r:id="rId59" display="https://www.linkedin.com/learning/developper-une-solution-big-data-avec-azure?trk=contentmappingfile" xr:uid="{00000000-0004-0000-1400-00003A000000}"/>
    <hyperlink ref="N11" r:id="rId60" display="https://www.linkedin.com/learning/00-aprende-diseno-de-base-de-datos?trk=ondemandfile" xr:uid="{00000000-0004-0000-1400-00003B000000}"/>
    <hyperlink ref="O11" r:id="rId61" display="https://www.linkedin.com/learning/paths/conviertete-en-data-analyst?trk=ondemandfile" xr:uid="{00000000-0004-0000-1400-00003C000000}"/>
    <hyperlink ref="S11" r:id="rId62" display="https://www.linkedin.com/learning/data-science-grundlagen-knowledge-graphen?trk=ondemandfile" xr:uid="{00000000-0004-0000-1400-00003D000000}"/>
    <hyperlink ref="X11" r:id="rId63" display="https://www.linkedin.com/learning/learning-data-analytics?trk=ondemandfile" xr:uid="{00000000-0004-0000-1400-00003E000000}"/>
    <hyperlink ref="AH11" r:id="rId64" display="https://www.linkedin.com/learning/learning-sql-programming-2?trk=ondemandfile" xr:uid="{00000000-0004-0000-1400-00003F000000}"/>
    <hyperlink ref="D12" r:id="rId65" display="https://www.linkedin.com/learning/excel-vba-managing-files-and-data-2?trk=ondemandfile" xr:uid="{00000000-0004-0000-1400-000040000000}"/>
    <hyperlink ref="E12" r:id="rId66" display="https://www.linkedin.com/learning/paths/become-a-data-scientist?trk=ondemandfile" xr:uid="{00000000-0004-0000-1400-000041000000}"/>
    <hyperlink ref="N12" r:id="rId67" display="https://www.linkedin.com/learning/aprende-power-bi?trk=ondemandfile" xr:uid="{00000000-0004-0000-1400-000042000000}"/>
    <hyperlink ref="S12" r:id="rId68" display="https://www.linkedin.com/learning/data-science-lernen-die-grundlagen-verstehen?trk=ondemandfile" xr:uid="{00000000-0004-0000-1400-000043000000}"/>
    <hyperlink ref="X12" r:id="rId69" display="https://www.linkedin.com/learning/big-data-foundations-techniques-and-concepts-3?trk=ondemandfile" xr:uid="{00000000-0004-0000-1400-000044000000}"/>
    <hyperlink ref="AH12" r:id="rId70" display="https://www.linkedin.com/learning/learning-cloud-computing-core-concepts?trk=ondemandfile" xr:uid="{00000000-0004-0000-1400-000045000000}"/>
    <hyperlink ref="D13" r:id="rId71" display="https://www.linkedin.com/learning/business-analytics-deep-dive-forecasting-with-exponential-smoothing?trk=ondemandfile" xr:uid="{00000000-0004-0000-1400-000046000000}"/>
    <hyperlink ref="E13" r:id="rId72" display="https://www.linkedin.com/learning/paths/build-essential-data-skills?trk=ondemandfile" xr:uid="{00000000-0004-0000-1400-000047000000}"/>
    <hyperlink ref="I13" r:id="rId73" display="https://www.linkedin.com/learning/excel-analyse-de-donnees-avec-power-query-microsoft-365-office-365?trk=contentmappingfile" xr:uid="{00000000-0004-0000-1400-000048000000}"/>
    <hyperlink ref="N13" r:id="rId74" display="https://www.linkedin.com/learning/azure-data-explorer-esencial?trk=ondemandfile" xr:uid="{00000000-0004-0000-1400-000049000000}"/>
    <hyperlink ref="S13" r:id="rId75" display="https://www.linkedin.com/learning/data-science-lernen-storytelling-mit-daten?trk=ondemandfile" xr:uid="{00000000-0004-0000-1400-00004A000000}"/>
    <hyperlink ref="AH13" r:id="rId76" display="https://www.linkedin.com/learning/learning-microsoft-power-bi-desktop-3?trk=ondemandfile" xr:uid="{00000000-0004-0000-1400-00004B000000}"/>
    <hyperlink ref="D14" r:id="rId77" display="https://www.linkedin.com/learning/43526866-1304-3fba-8ab8-93dc593a5b24?trk=ondemandfile" xr:uid="{00000000-0004-0000-1400-00004C000000}"/>
    <hyperlink ref="E14" r:id="rId78" display="https://www.linkedin.com/learning/paths/become-a-business-intelligence-specialist?trk=ondemandfile" xr:uid="{00000000-0004-0000-1400-00004D000000}"/>
    <hyperlink ref="N14" r:id="rId79" display="https://www.linkedin.com/learning/bases-de-datos-con-un-cafe?trk=ondemandfile" xr:uid="{00000000-0004-0000-1400-00004E000000}"/>
    <hyperlink ref="S14" r:id="rId80" display="https://www.linkedin.com/learning/daten-visualisieren-mit-chart-js?trk=ondemandfile" xr:uid="{00000000-0004-0000-1400-00004F000000}"/>
    <hyperlink ref="AH14" r:id="rId81" display="https://www.linkedin.com/learning/learning-data-analytics-4?trk=ondemandfile" xr:uid="{00000000-0004-0000-1400-000050000000}"/>
    <hyperlink ref="D15" r:id="rId82" display="https://www.linkedin.com/learning/machine-learning-advanced-decision-trees?trk=ondemandfile" xr:uid="{00000000-0004-0000-1400-000051000000}"/>
    <hyperlink ref="E15" r:id="rId83" display="https://www.linkedin.com/learning/paths/develop-your-data-analysis-skills?trk=ondemandfile" xr:uid="{00000000-0004-0000-1400-000052000000}"/>
    <hyperlink ref="N15" r:id="rId84" display="https://www.linkedin.com/learning/big-data-recursos-humanos-y-gestion-del-bienestar-laboral?trk=contentmappingfile" xr:uid="{00000000-0004-0000-1400-000053000000}"/>
    <hyperlink ref="S15" r:id="rId85" display="https://www.linkedin.com/learning/daten-visualisieren-mit-d3-js?trk=ondemandfile" xr:uid="{00000000-0004-0000-1400-000054000000}"/>
    <hyperlink ref="AH15" r:id="rId86" display="https://www.linkedin.com/learning/learning-data-governance-2?trk=ondemandfile" xr:uid="{00000000-0004-0000-1400-000055000000}"/>
    <hyperlink ref="D16" r:id="rId87" display="https://www.linkedin.com/learning/people-analytics?trk=ondemandfile" xr:uid="{00000000-0004-0000-1400-000056000000}"/>
    <hyperlink ref="E16" r:id="rId88" display="https://www.linkedin.com/learning/paths/get-ahead-in-data-science?trk=ondemandfile" xr:uid="{00000000-0004-0000-1400-000057000000}"/>
    <hyperlink ref="N16" r:id="rId89" display="https://www.linkedin.com/learning/big-data-equipos-y-soluciones-para-la-empresa?trk=ondemandfile" xr:uid="{00000000-0004-0000-1400-000058000000}"/>
    <hyperlink ref="S16" r:id="rId90" display="https://www.linkedin.com/learning/datenanalyse-mit-r-datenimport-und-handling-15602712?trk=contentmappingfile" xr:uid="{00000000-0004-0000-1400-000059000000}"/>
    <hyperlink ref="AH16" r:id="rId91" display="https://www.linkedin.com/learning/learning-data-science-understanding-the-basics-3?trk=ondemandfile" xr:uid="{00000000-0004-0000-1400-00005A000000}"/>
    <hyperlink ref="D17" r:id="rId92" display="https://www.linkedin.com/learning/apache-flink-exploratory-data-analytics-with-sql?trk=ondemandfile" xr:uid="{00000000-0004-0000-1400-00005B000000}"/>
    <hyperlink ref="E17" r:id="rId93" display="https://www.linkedin.com/learning/paths/master-advanced-excel-data-analytics-skills?trk=ondemandfile" xr:uid="{00000000-0004-0000-1400-00005C000000}"/>
    <hyperlink ref="N17" r:id="rId94" display="https://www.linkedin.com/learning/00-big-data-para-la-empresa-escucha-activa?trk=ondemandfile" xr:uid="{00000000-0004-0000-1400-00005D000000}"/>
    <hyperlink ref="S17" r:id="rId95" display="https://www.linkedin.com/learning/datenanalyse-mit-r-datenvisualisierung?trk=contentmappingfile" xr:uid="{00000000-0004-0000-1400-00005E000000}"/>
    <hyperlink ref="AC17" r:id="rId96" display="https://www.linkedin.com/learning/inteligencia-artificial-para-negocios-em-dez-minutos?trk=contentmappingfile" xr:uid="{00000000-0004-0000-1400-00005F000000}"/>
    <hyperlink ref="AH17" r:id="rId97" display="https://www.linkedin.com/learning/learning-data-science-tell-stories-with-data-3?trk=ondemandfile" xr:uid="{00000000-0004-0000-1400-000060000000}"/>
    <hyperlink ref="D18" r:id="rId98" display="https://www.linkedin.com/learning/data-driven-learning-design?trk=ondemandfile" xr:uid="{00000000-0004-0000-1400-000061000000}"/>
    <hyperlink ref="E18" r:id="rId99" display="https://www.linkedin.com/learning/paths/master-excel-for-data-science?trk=ondemandfile" xr:uid="{00000000-0004-0000-1400-000062000000}"/>
    <hyperlink ref="N18" r:id="rId100" display="https://www.linkedin.com/learning/c-mo-tener-ideas-para-un-nuevo-modelo-de-negocio?trk=ondemandfile" xr:uid="{00000000-0004-0000-1400-000063000000}"/>
    <hyperlink ref="S18" r:id="rId101" display="https://www.linkedin.com/learning/datenbankentwicklung-mit-php?trk=contentmappingfile" xr:uid="{00000000-0004-0000-1400-000064000000}"/>
    <hyperlink ref="AH18" r:id="rId102" display="https://www.linkedin.com/learning/data-visualization-storytelling-2?trk=ondemandfile" xr:uid="{00000000-0004-0000-1400-000065000000}"/>
    <hyperlink ref="D19" r:id="rId103" display="https://www.linkedin.com/learning/business-analysis-foundations-business-process-modeling?trk=ondemandfile" xr:uid="{00000000-0004-0000-1400-000066000000}"/>
    <hyperlink ref="E19" r:id="rId104" display="https://www.linkedin.com/learning/paths/master-python-for-data-science?trk=ondemandfile" xr:uid="{00000000-0004-0000-1400-000067000000}"/>
    <hyperlink ref="I19" r:id="rId105" display="https://www.linkedin.com/learning/go-pour-la-data-science?trk=contentmappingfile" xr:uid="{00000000-0004-0000-1400-000068000000}"/>
    <hyperlink ref="N19" r:id="rId106" display="https://www.linkedin.com/learning/data-analyst-tecnicas-y-herramientas-de-informes-esencial?trk=ondemandfile" xr:uid="{00000000-0004-0000-1400-000069000000}"/>
    <hyperlink ref="S19" r:id="rId107" display="https://www.linkedin.com/learning/azure-2?trk=ondemandfile" xr:uid="{00000000-0004-0000-1400-00006A000000}"/>
    <hyperlink ref="AH19" r:id="rId108" display="https://www.linkedin.com/learning/data-science-foundations-data-mining-2?trk=ondemandfile" xr:uid="{00000000-0004-0000-1400-00006B000000}"/>
    <hyperlink ref="D20" r:id="rId109" display="https://www.linkedin.com/learning/business-analysis-competencies-ba?trk=ondemandfile" xr:uid="{00000000-0004-0000-1400-00006C000000}"/>
    <hyperlink ref="N20" r:id="rId110" display="https://www.linkedin.com/learning/data-scientist-azure-ml-y-power-bi-para-mineria-de-datos-esencial?trk=ondemandfile" xr:uid="{00000000-0004-0000-1400-00006D000000}"/>
    <hyperlink ref="S20" r:id="rId111" display="https://www.linkedin.com/learning/einfuhrung-in-die-formelsprache-dax-excel-und-power-bi-desktop?trk=ondemandfile" xr:uid="{00000000-0004-0000-1400-00006E000000}"/>
    <hyperlink ref="AH20" r:id="rId112" display="https://www.linkedin.com/learning/statistics-foundations-1-2?trk=ondemandfile" xr:uid="{00000000-0004-0000-1400-00006F000000}"/>
    <hyperlink ref="D21" r:id="rId113" display="https://www.linkedin.com/learning/data-fluency-exploring-and-describing-data?trk=ondemandfile" xr:uid="{00000000-0004-0000-1400-000070000000}"/>
    <hyperlink ref="N21" r:id="rId114" display="https://www.linkedin.com/learning/data-scientist-estadistica-esencial?trk=ondemandfile" xr:uid="{00000000-0004-0000-1400-000071000000}"/>
    <hyperlink ref="S21" r:id="rId115" display="https://www.linkedin.com/learning/excel-2010-power-pivot?trk=ondemandfile" xr:uid="{00000000-0004-0000-1400-000072000000}"/>
    <hyperlink ref="AH21" r:id="rId116" display="https://www.linkedin.com/learning/statistics-foundations-2-2?trk=ondemandfile" xr:uid="{00000000-0004-0000-1400-000073000000}"/>
    <hyperlink ref="D22" r:id="rId117" display="https://www.linkedin.com/learning/data-science-tools-of-the-trade-first-steps?trk=ondemandfile" xr:uid="{00000000-0004-0000-1400-000074000000}"/>
    <hyperlink ref="N22" r:id="rId118" display="https://www.linkedin.com/learning/data-scientist-mineria-de-datos-esencial?trk=ondemandfile" xr:uid="{00000000-0004-0000-1400-000075000000}"/>
    <hyperlink ref="S22" r:id="rId119" display="https://www.linkedin.com/learning/excel-2013-power-query?trk=ondemandfile" xr:uid="{00000000-0004-0000-1400-000076000000}"/>
    <hyperlink ref="AH22" r:id="rId120" display="https://www.linkedin.com/learning/statistics-foundations-3-2?trk=ondemandfile" xr:uid="{00000000-0004-0000-1400-000077000000}"/>
    <hyperlink ref="D23" r:id="rId121" display="https://www.linkedin.com/learning/learning-excel-data-analysis?trk=ondemandfile" xr:uid="{00000000-0004-0000-1400-000078000000}"/>
    <hyperlink ref="N23" r:id="rId122" display="https://www.linkedin.com/learning/00-excel-2016-para-mac-analisis-gestion-y-validacion-de-datos?trk=ondemandfile" xr:uid="{00000000-0004-0000-1400-000079000000}"/>
    <hyperlink ref="S23" r:id="rId123" display="https://www.linkedin.com/learning/excel-2016-daten-abrufen-und-transformieren?trk=ondemandfile" xr:uid="{00000000-0004-0000-1400-00007A000000}"/>
    <hyperlink ref="AH23" r:id="rId124" display="https://www.linkedin.com/learning/programming-foundations-algorithms-3?trk=contentmappingfile" xr:uid="{00000000-0004-0000-1400-00007B000000}"/>
    <hyperlink ref="D24" r:id="rId125" display="https://www.linkedin.com/learning/sql-for-exploratory-data-analysis-essential-training?trk=ondemandfile" xr:uid="{00000000-0004-0000-1400-00007C000000}"/>
    <hyperlink ref="N24" r:id="rId126" display="https://www.linkedin.com/learning/00-excel-for-mac-2016-charts-in-depth?trk=ondemandfile" xr:uid="{00000000-0004-0000-1400-00007D000000}"/>
    <hyperlink ref="S24" r:id="rId127" display="https://www.linkedin.com/learning/excel-2016-daten-importieren-modellieren-auswerten?trk=ondemandfile" xr:uid="{00000000-0004-0000-1400-00007E000000}"/>
    <hyperlink ref="AH24" r:id="rId128" display="https://www.linkedin.com/learning/artificial-intelligence-for-project-managers-2?trk=ondemandfile" xr:uid="{00000000-0004-0000-1400-00007F000000}"/>
    <hyperlink ref="D25" r:id="rId129" display="https://www.linkedin.com/learning/studying-for-the-certified-business-analysis-professional-cbap?trk=ondemandfile" xr:uid="{00000000-0004-0000-1400-000080000000}"/>
    <hyperlink ref="N25" r:id="rId130" display="https://www.linkedin.com/learning/excel-2016-an-lisis-y-gesti-n-de-datos?trk=ondemandfile" xr:uid="{00000000-0004-0000-1400-000081000000}"/>
    <hyperlink ref="S25" r:id="rId131" display="https://www.linkedin.com/learning/00-excel-2016-datenanalyse?trk=ondemandfile" xr:uid="{00000000-0004-0000-1400-000082000000}"/>
    <hyperlink ref="D26" r:id="rId132" display="https://www.linkedin.com/learning/introducing-ai-to-your-organization?trk=ondemandfile" xr:uid="{00000000-0004-0000-1400-000083000000}"/>
    <hyperlink ref="N26" r:id="rId133" display="https://www.linkedin.com/learning/excel-2016-gr-ficos-y-presentaci-n-de-datos?trk=ondemandfile" xr:uid="{00000000-0004-0000-1400-000084000000}"/>
    <hyperlink ref="S26" r:id="rId134" display="https://www.linkedin.com/learning/excel-2016-management-reports?trk=ondemandfile" xr:uid="{00000000-0004-0000-1400-000085000000}"/>
    <hyperlink ref="D27" r:id="rId135" display="https://www.linkedin.com/learning/sas-9-4-cert-prep-analyzing-and-reporting-on-data?trk=ondemandfile" xr:uid="{00000000-0004-0000-1400-000086000000}"/>
    <hyperlink ref="N27" r:id="rId136" display="https://www.linkedin.com/learning/00-excel-2016-limpieza-de-datos?trk=ondemandfile" xr:uid="{00000000-0004-0000-1400-000087000000}"/>
    <hyperlink ref="S27" r:id="rId137" display="https://www.linkedin.com/learning/excel-2016-pivot-tabellen?trk=ondemandfile" xr:uid="{00000000-0004-0000-1400-000088000000}"/>
    <hyperlink ref="D28" r:id="rId138" display="https://www.linkedin.com/learning/introduction-to-business-analytics?trk=ondemandfile" xr:uid="{00000000-0004-0000-1400-000089000000}"/>
    <hyperlink ref="I28" r:id="rId139" display="https://www.linkedin.com/learning/l-essentiel-de-clarity?trk=contentmappingfile" xr:uid="{00000000-0004-0000-1400-00008A000000}"/>
    <hyperlink ref="N28" r:id="rId140" display="https://www.linkedin.com/learning/excel-2016-validacion-de-datos?trk=ondemandfile" xr:uid="{00000000-0004-0000-1400-00008B000000}"/>
    <hyperlink ref="S28" r:id="rId141" display="https://www.linkedin.com/learning/00-excel-2016-power-pivot?trk=ondemandfile" xr:uid="{00000000-0004-0000-1400-00008C000000}"/>
    <hyperlink ref="D29" r:id="rId142" display="https://www.linkedin.com/learning/data-ethics-making-data-driven-decisions?trk=ondemandfile" xr:uid="{00000000-0004-0000-1400-00008D000000}"/>
    <hyperlink ref="N29" r:id="rId143" display="https://www.linkedin.com/learning/excel-business-intelligence-1-obtener-y-transformar-power-query-365-2019?trk=contentmappingfile" xr:uid="{00000000-0004-0000-1400-00008E000000}"/>
    <hyperlink ref="S29" r:id="rId144" display="https://www.linkedin.com/learning/excel-2016-cubefunktionen?trk=ondemandfile" xr:uid="{00000000-0004-0000-1400-00008F000000}"/>
    <hyperlink ref="D30" r:id="rId145" display="https://www.linkedin.com/learning/business-analytics-marketing-data?trk=ondemandfile" xr:uid="{00000000-0004-0000-1400-000090000000}"/>
    <hyperlink ref="N30" r:id="rId146" display="https://www.linkedin.com/learning/excel-business-intelligence-2-modelado-de-datos-365-2019?trk=contentmappingfile" xr:uid="{00000000-0004-0000-1400-000091000000}"/>
    <hyperlink ref="S30" r:id="rId147" display="https://www.linkedin.com/learning/excel-dashboards?trk=ondemandfile" xr:uid="{00000000-0004-0000-1400-000092000000}"/>
    <hyperlink ref="D31" r:id="rId148" display="https://www.linkedin.com/learning/business-analytics-sales-data?trk=ondemandfile" xr:uid="{00000000-0004-0000-1400-000093000000}"/>
    <hyperlink ref="I31" r:id="rId149" display="https://www.linkedin.com/learning/migrer-une-base-de-donnees-sql-server-sur-azure-database?trk=contentmappingfile" xr:uid="{00000000-0004-0000-1400-000094000000}"/>
    <hyperlink ref="N31" r:id="rId150" display="https://www.linkedin.com/learning/excel-para-principiantes-analisis-de-datos-365-2019?trk=contentmappingfile" xr:uid="{00000000-0004-0000-1400-000095000000}"/>
    <hyperlink ref="S31" r:id="rId151" display="https://www.linkedin.com/learning/excel-daten-abrufen-und-transformieren-power-query?trk=ondemandfile" xr:uid="{00000000-0004-0000-1400-000096000000}"/>
    <hyperlink ref="D32" r:id="rId152" display="https://www.linkedin.com/learning/ethics-and-law-in-data-analytics?trk=ondemandfile" xr:uid="{00000000-0004-0000-1400-000097000000}"/>
    <hyperlink ref="N32" r:id="rId153" display="https://www.linkedin.com/learning/excel-para-principiantes-buscar-datos-365-2019?trk=contentmappingfile" xr:uid="{00000000-0004-0000-1400-000098000000}"/>
    <hyperlink ref="S32" r:id="rId154" display="https://www.linkedin.com/learning/excel-dynamische-array-funktionen?trk=ondemandfile" xr:uid="{00000000-0004-0000-1400-000099000000}"/>
    <hyperlink ref="D33" r:id="rId155" display="https://www.linkedin.com/learning/power-bi-dashboards-for-beginners?trk=ondemandfile" xr:uid="{00000000-0004-0000-1400-00009A000000}"/>
    <hyperlink ref="N33" r:id="rId156" display="https://www.linkedin.com/learning/excel-para-principiantes-cuadros-de-mando-con-fuente-de-datos-externa-365-2019?trk=contentmappingfile" xr:uid="{00000000-0004-0000-1400-00009B000000}"/>
    <hyperlink ref="S33" r:id="rId157" display="https://www.linkedin.com/learning/excel-pivot-berichte-mit-datenmodell-verbessern?trk=contentmappingfile" xr:uid="{00000000-0004-0000-1400-00009C000000}"/>
    <hyperlink ref="D34" r:id="rId158" display="https://www.linkedin.com/learning/15-tips-for-landing-a-data-science-job?trk=ondemandfile" xr:uid="{00000000-0004-0000-1400-00009D000000}"/>
    <hyperlink ref="N34" r:id="rId159" display="https://www.linkedin.com/learning/excel-para-principiantes-cuadros-de-mando-simples?trk=ondemandfile" xr:uid="{00000000-0004-0000-1400-00009E000000}"/>
    <hyperlink ref="S34" r:id="rId160" display="https://www.linkedin.com/learning/excel-pivot-tabellen-fur-einsteiger?trk=contentmappingfile" xr:uid="{00000000-0004-0000-1400-00009F000000}"/>
    <hyperlink ref="D35" r:id="rId161" display="https://www.linkedin.com/learning/how-to-use-data-visualization-to-make-better-decisions-faster?trk=ondemandfile" xr:uid="{00000000-0004-0000-1400-0000A0000000}"/>
    <hyperlink ref="N35" r:id="rId162" display="https://www.linkedin.com/learning/excel-para-principiantes-ingresar-datos-correctamente-365-2019?trk=contentmappingfile" xr:uid="{00000000-0004-0000-1400-0000A1000000}"/>
    <hyperlink ref="S35" r:id="rId163" display="https://www.linkedin.com/learning/excel-power-query-fur-einsteiger?trk=contentmappingfile" xr:uid="{00000000-0004-0000-1400-0000A2000000}"/>
    <hyperlink ref="D36" r:id="rId164" display="https://www.linkedin.com/learning/data-ethics-watching-out-for-data-misuse?trk=ondemandfile" xr:uid="{00000000-0004-0000-1400-0000A3000000}"/>
    <hyperlink ref="N36" r:id="rId165" display="https://www.linkedin.com/learning/excel-analisis-gestion-y-validacion-de-datos-office-365-microsoft-365?trk=contentmappingfile" xr:uid="{00000000-0004-0000-1400-0000A4000000}"/>
    <hyperlink ref="S36" r:id="rId166" display="https://www.linkedin.com/learning/excel-spezialfilter?trk=ondemandfile" xr:uid="{00000000-0004-0000-1400-0000A5000000}"/>
    <hyperlink ref="D37" r:id="rId167" display="https://www.linkedin.com/learning/presenting-data-effectively-to-inform-and-inspire?trk=ondemandfile" xr:uid="{00000000-0004-0000-1400-0000A6000000}"/>
    <hyperlink ref="N37" r:id="rId168" display="https://www.linkedin.com/learning/excel-limpieza-de-datos?trk=contentmappingfile" xr:uid="{00000000-0004-0000-1400-0000A7000000}"/>
    <hyperlink ref="S37" r:id="rId169" display="https://www.linkedin.com/learning/excel-statistische-funktionen?trk=ondemandfile" xr:uid="{00000000-0004-0000-1400-0000A8000000}"/>
    <hyperlink ref="D38" r:id="rId170" display="https://www.linkedin.com/learning/blockchain-basics-14414119?trk=contentmappingfile" xr:uid="{00000000-0004-0000-1400-0000A9000000}"/>
    <hyperlink ref="I38" r:id="rId171" display="https://www.linkedin.com/learning/python-pour-la-data-science-serie?trk=contentmappingfile" xr:uid="{00000000-0004-0000-1400-0000AA000000}"/>
    <hyperlink ref="N38" r:id="rId172" display="https://www.linkedin.com/learning/excel-recursos-de-analisis-en-la-economia-de-empresa-office-365-microsoft-365?trk=contentmappingfile" xr:uid="{00000000-0004-0000-1400-0000AB000000}"/>
    <hyperlink ref="S38" r:id="rId173" display="https://www.linkedin.com/learning/datenviz?trk=ondemandfile" xr:uid="{00000000-0004-0000-1400-0000AC000000}"/>
    <hyperlink ref="D39" r:id="rId174" display="https://www.linkedin.com/learning/data-science-foundations-fundamentals-2019-full-revision?trk=ondemandfile" xr:uid="{00000000-0004-0000-1400-0000AD000000}"/>
    <hyperlink ref="N39" r:id="rId175" display="https://www.linkedin.com/learning/analisis-de-informacion-fundamentos?trk=ondemandfile" xr:uid="{00000000-0004-0000-1400-0000AE000000}"/>
    <hyperlink ref="S39" r:id="rId176" display="https://www.linkedin.com/learning/machine-learning-grundkurs?trk=ondemandfile" xr:uid="{00000000-0004-0000-1400-0000AF000000}"/>
    <hyperlink ref="D40" r:id="rId177" display="https://www.linkedin.com/learning/excel-statistics-essential-training-1-2?trk=ondemandfile" xr:uid="{00000000-0004-0000-1400-0000B0000000}"/>
    <hyperlink ref="N40" r:id="rId178" display="https://www.linkedin.com/learning/00-que-es-el-big-data-y-como-afecta-a-la-empresa?trk=ondemandfile" xr:uid="{00000000-0004-0000-1400-0000B1000000}"/>
    <hyperlink ref="S40" r:id="rId179" display="https://www.linkedin.com/learning/e0bd925c-9e90-3e50-871a-8bcb5c7d32fa?trk=ondemandfile" xr:uid="{00000000-0004-0000-1400-0000B2000000}"/>
    <hyperlink ref="D41" r:id="rId180" display="https://www.linkedin.com/learning/learning-data-visualization-2019-revision?trk=ondemandfile" xr:uid="{00000000-0004-0000-1400-0000B3000000}"/>
    <hyperlink ref="N41" r:id="rId181" display="https://www.linkedin.com/learning/00-big-data-modelos-de-negocio?trk=ondemandfile" xr:uid="{00000000-0004-0000-1400-0000B4000000}"/>
    <hyperlink ref="S41" r:id="rId182" display="https://www.linkedin.com/learning/mathematik-grundbegriffe-fur-programmierer?trk=ondemandfile" xr:uid="{00000000-0004-0000-1400-0000B5000000}"/>
    <hyperlink ref="D42" r:id="rId183" display="https://www.linkedin.com/learning/the-data-game-of-fantasy-football?trk=ondemandfile" xr:uid="{00000000-0004-0000-1400-0000B6000000}"/>
    <hyperlink ref="N42" r:id="rId184" display="https://www.linkedin.com/learning/00-fundamentos-de-big-data-tecnicas-y-conceptos?trk=ondemandfile" xr:uid="{00000000-0004-0000-1400-0000B7000000}"/>
    <hyperlink ref="S42" r:id="rId185" display="https://www.linkedin.com/learning/matlab-grundkurs?trk=ondemandfile" xr:uid="{00000000-0004-0000-1400-0000B8000000}"/>
    <hyperlink ref="D43" r:id="rId186" display="https://www.linkedin.com/learning/learning-public-data-sets-2?trk=ondemandfile" xr:uid="{00000000-0004-0000-1400-0000B9000000}"/>
    <hyperlink ref="N43" r:id="rId187" display="https://www.linkedin.com/learning/00-fundamentos-de-data-science-conceptos-basicos?trk=ondemandfile" xr:uid="{00000000-0004-0000-1400-0000BA000000}"/>
    <hyperlink ref="S43" r:id="rId188" display="https://www.linkedin.com/learning/microsoft-power-bi-ein-uberblick-2?trk=ondemandfile" xr:uid="{00000000-0004-0000-1400-0000BB000000}"/>
    <hyperlink ref="D44" r:id="rId189" display="https://www.linkedin.com/learning/spss-statistics-essential-training-2?trk=ondemandfile" xr:uid="{00000000-0004-0000-1400-0000BC000000}"/>
    <hyperlink ref="N44" r:id="rId190" display="https://www.linkedin.com/learning/fundamentos-de-la-programacion-bases-de-datos-8625298?trk=ondemandfile" xr:uid="{00000000-0004-0000-1400-0000BD000000}"/>
    <hyperlink ref="S44" r:id="rId191" display="https://www.linkedin.com/learning/minitab-lernen?trk=ondemandfile" xr:uid="{00000000-0004-0000-1400-0000BE000000}"/>
    <hyperlink ref="D45" r:id="rId192" display="https://www.linkedin.com/learning/r-essential-training-part-1-wrangling-and-visualizing-data?trk=ondemandfile" xr:uid="{00000000-0004-0000-1400-0000BF000000}"/>
    <hyperlink ref="N45" r:id="rId193" display="https://www.linkedin.com/learning/business-analysis-foundations-3?trk=ondemandfile" xr:uid="{00000000-0004-0000-1400-0000C0000000}"/>
    <hyperlink ref="S45" r:id="rId194" display="https://www.linkedin.com/learning/modern-workplace-mit-microsoft-365?trk=contentmappingfile" xr:uid="{00000000-0004-0000-1400-0000C1000000}"/>
    <hyperlink ref="D46" r:id="rId195" display="https://www.linkedin.com/learning/cloud-hadoop-scaling-apache-spark?trk=ondemandfile" xr:uid="{00000000-0004-0000-1400-0000C2000000}"/>
    <hyperlink ref="N46" r:id="rId196" display="https://www.linkedin.com/learning/gdpr-implementacion-practica-en-la-empresa?trk=ondemandfile" xr:uid="{00000000-0004-0000-1400-0000C3000000}"/>
    <hyperlink ref="S46" r:id="rId197" display="https://www.linkedin.com/learning/postgresql-grundkurs-2?trk=ondemandfile" xr:uid="{00000000-0004-0000-1400-0000C4000000}"/>
    <hyperlink ref="D47" r:id="rId198" display="https://www.linkedin.com/learning/the-non-technical-skills-of-effective-data-scientists?trk=ondemandfile" xr:uid="{00000000-0004-0000-1400-0000C5000000}"/>
    <hyperlink ref="N47" r:id="rId199" display="https://www.linkedin.com/learning/introducci-n-a-la-visualizaci-n-de-datos?trk=ondemandfile" xr:uid="{00000000-0004-0000-1400-0000C6000000}"/>
    <hyperlink ref="S47" r:id="rId200" display="https://www.linkedin.com/learning/power-bi-desktop-fur-fortgeschrittene?trk=ondemandfile" xr:uid="{00000000-0004-0000-1400-0000C7000000}"/>
    <hyperlink ref="D48" r:id="rId201" display="https://www.linkedin.com/learning/r-essential-training-part-2-modeling-dat?trk=ondemandfile" xr:uid="{00000000-0004-0000-1400-0000C8000000}"/>
    <hyperlink ref="N48" r:id="rId202" display="https://www.linkedin.com/learning/matlab-esencial?trk=ondemandfile" xr:uid="{00000000-0004-0000-1400-0000C9000000}"/>
    <hyperlink ref="S48" r:id="rId203" display="https://www.linkedin.com/learning/power-bi-desktop-grundkurs?trk=ondemandfile" xr:uid="{00000000-0004-0000-1400-0000CA000000}"/>
    <hyperlink ref="D49" r:id="rId204" display="https://www.linkedin.com/learning/how-to-perform-business-analysis-in-a-virtual-environment?trk=ondemandfile" xr:uid="{00000000-0004-0000-1400-0000CB000000}"/>
    <hyperlink ref="N49" r:id="rId205" display="https://www.linkedin.com/learning/microsoft-power-bi-en-power-platform-esencial?trk=ondemandfile" xr:uid="{00000000-0004-0000-1400-0000CC000000}"/>
    <hyperlink ref="S49" r:id="rId206" display="https://www.linkedin.com/learning/power-bi-datenmodellierung?trk=contentmappingfile" xr:uid="{00000000-0004-0000-1400-0000CD000000}"/>
    <hyperlink ref="D50" r:id="rId207" display="https://www.linkedin.com/learning/linkedin-learning-highlights-data-science?trk=ondemandfile" xr:uid="{00000000-0004-0000-1400-0000CE000000}"/>
    <hyperlink ref="N50" r:id="rId208" display="https://www.linkedin.com/learning/mongodb-esencial?trk=ondemandfile" xr:uid="{00000000-0004-0000-1400-0000CF000000}"/>
    <hyperlink ref="S50" r:id="rId209" display="https://www.linkedin.com/learning/power-query-fur-fortgeschrittene-excel-und-power-bi-desktop?trk=ondemandfile" xr:uid="{00000000-0004-0000-1400-0000D0000000}"/>
    <hyperlink ref="D51" r:id="rId210" display="https://www.linkedin.com/learning/tech-ethics-avoiding-unintended-consequences?trk=ondemandfile" xr:uid="{00000000-0004-0000-1400-0000D1000000}"/>
    <hyperlink ref="N51" r:id="rId211" display="https://www.linkedin.com/learning/power-bi-esencial?trk=ondemandfile" xr:uid="{00000000-0004-0000-1400-0000D2000000}"/>
    <hyperlink ref="S51" r:id="rId212" display="https://www.linkedin.com/learning/14e453e3-3213-3545-9cbd-14d4d7c505a1?trk=ondemandfile" xr:uid="{00000000-0004-0000-1400-0000D3000000}"/>
    <hyperlink ref="D52" r:id="rId213" display="https://www.linkedin.com/learning/the-data-science-of-media-and-entertainment-with-barton-poulson?trk=ondemandfile" xr:uid="{00000000-0004-0000-1400-0000D4000000}"/>
    <hyperlink ref="N52" r:id="rId214" display="https://www.linkedin.com/learning/power-bi-para-principiantes-analisis-de-datos?trk=ondemandfile" xr:uid="{00000000-0004-0000-1400-0000D5000000}"/>
    <hyperlink ref="S52" r:id="rId215" display="https://www.linkedin.com/learning/python-for-c-plus-plus-java-und-c-sharp-entwickler?trk=ondemandfile" xr:uid="{00000000-0004-0000-1400-0000D6000000}"/>
    <hyperlink ref="D53" r:id="rId216" display="https://www.linkedin.com/learning/the-data-science-of-government-and-political-science-with-barton-poulson?trk=ondemandfile" xr:uid="{00000000-0004-0000-1400-0000D7000000}"/>
    <hyperlink ref="N53" r:id="rId217" display="https://www.linkedin.com/learning/power-bi-trabajo-colaborativo-desde-el-servicio-power-bi?trk=ondemandfile" xr:uid="{00000000-0004-0000-1400-0000D8000000}"/>
    <hyperlink ref="S53" r:id="rId218" display="https://www.linkedin.com/learning/python-lernen?trk=ondemandfile" xr:uid="{00000000-0004-0000-1400-0000D9000000}"/>
    <hyperlink ref="D54" r:id="rId219" display="https://www.linkedin.com/learning/the-data-science-of-retail-sales-and-commerce?trk=ondemandfile" xr:uid="{00000000-0004-0000-1400-0000DA000000}"/>
    <hyperlink ref="N54" r:id="rId220" display="https://www.linkedin.com/learning/power-bi-visualizaciones-e-informes?trk=ondemandfile" xr:uid="{00000000-0004-0000-1400-0000DB000000}"/>
    <hyperlink ref="S54" r:id="rId221" display="https://www.linkedin.com/learning/python-und-excel-strukturierte-daten-bearbeiten?trk=ondemandfile" xr:uid="{00000000-0004-0000-1400-0000DC000000}"/>
    <hyperlink ref="D55" r:id="rId222" display="https://www.linkedin.com/learning/skills-that-set-data-scientists-apart?trk=contentmappingfile" xr:uid="{00000000-0004-0000-1400-0000DD000000}"/>
    <hyperlink ref="N55" r:id="rId223" display="https://www.linkedin.com/learning/00-python-para-big-data-esencial?trk=ondemandfile" xr:uid="{00000000-0004-0000-1400-0000DE000000}"/>
    <hyperlink ref="S55" r:id="rId224" display="https://www.linkedin.com/learning/python-geometrische-berechnungen?trk=ondemandfile" xr:uid="{00000000-0004-0000-1400-0000DF000000}"/>
    <hyperlink ref="D56" r:id="rId225" display="https://www.linkedin.com/learning/hiring-a-chief-data-officer?trk=contentmappingfile" xr:uid="{00000000-0004-0000-1400-0000E0000000}"/>
    <hyperlink ref="N56" r:id="rId226" display="https://www.linkedin.com/learning/python-para-data-scientist-avanzado?trk=ondemandfile" xr:uid="{00000000-0004-0000-1400-0000E1000000}"/>
    <hyperlink ref="S56" r:id="rId227" display="https://www.linkedin.com/learning/python-statistische-auswertungen?trk=ondemandfile" xr:uid="{00000000-0004-0000-1400-0000E2000000}"/>
    <hyperlink ref="D57" r:id="rId228" display="https://www.linkedin.com/learning/best-languages-for-data-science?trk=contentmappingfile" xr:uid="{00000000-0004-0000-1400-0000E3000000}"/>
    <hyperlink ref="N57" r:id="rId229" display="https://www.linkedin.com/learning/00-r-para-big-data-esencial?trk=ondemandfile" xr:uid="{00000000-0004-0000-1400-0000E4000000}"/>
    <hyperlink ref="S57" r:id="rId230" display="https://www.linkedin.com/learning/r-grundkurs-1?trk=ondemandfile" xr:uid="{00000000-0004-0000-1400-0000E5000000}"/>
    <hyperlink ref="D58" r:id="rId231" display="https://www.linkedin.com/learning/giving-computers-vision?trk=contentmappingfile" xr:uid="{00000000-0004-0000-1400-0000E6000000}"/>
    <hyperlink ref="N58" r:id="rId232" display="https://www.linkedin.com/learning/r-para-data-scientist-avanzado?trk=ondemandfile" xr:uid="{00000000-0004-0000-1400-0000E7000000}"/>
    <hyperlink ref="S58" r:id="rId233" display="https://www.linkedin.com/learning/rechtsgrundlagen-industrie-4-0-und-internet-of-things-iot?trk=contentmappingfile" xr:uid="{00000000-0004-0000-1400-0000E8000000}"/>
    <hyperlink ref="D59" r:id="rId234" display="https://www.linkedin.com/learning/excel-statistics-essential-training-2-2?trk=ondemandfile" xr:uid="{00000000-0004-0000-1400-0000E9000000}"/>
    <hyperlink ref="N59" r:id="rId235" display="https://www.linkedin.com/learning/tableau-esencial?trk=ondemandfile" xr:uid="{00000000-0004-0000-1400-0000EA000000}"/>
    <hyperlink ref="S59" r:id="rId236" display="https://www.linkedin.com/learning/relationale-algebra-mit-mysql?trk=ondemandfile" xr:uid="{00000000-0004-0000-1400-0000EB000000}"/>
    <hyperlink ref="D60" r:id="rId237" display="https://www.linkedin.com/learning/03dd510b-7db9-3067-949e-6ee38f2bf60a?trk=ondemandfile" xr:uid="{00000000-0004-0000-1400-0000EC000000}"/>
    <hyperlink ref="S60" r:id="rId238" display="https://www.linkedin.com/learning/sap-business-one-stammdaten?trk=contentmappingfile" xr:uid="{00000000-0004-0000-1400-0000ED000000}"/>
    <hyperlink ref="D61" r:id="rId239" display="https://www.linkedin.com/learning/2e8b717a-4b47-387b-81d7-f37e4e29e4fb?trk=ondemandfile" xr:uid="{00000000-0004-0000-1400-0000EE000000}"/>
    <hyperlink ref="S61" r:id="rId240" display="https://www.linkedin.com/learning/sap-crystal-reports-2020-grundkurs?trk=contentmappingfile" xr:uid="{00000000-0004-0000-1400-0000EF000000}"/>
    <hyperlink ref="D62" r:id="rId241" display="https://www.linkedin.com/learning/design-thinking-data-intelligence?trk=ondemandfile" xr:uid="{00000000-0004-0000-1400-0000F0000000}"/>
    <hyperlink ref="S62" r:id="rId242" display="https://www.linkedin.com/learning/spss-lernen?trk=ondemandfile" xr:uid="{00000000-0004-0000-1400-0000F1000000}"/>
    <hyperlink ref="D63" r:id="rId243" display="https://www.linkedin.com/learning/excel-charts-in-depth?trk=ondemandfile" xr:uid="{00000000-0004-0000-1400-0000F2000000}"/>
    <hyperlink ref="S63" r:id="rId244" display="https://www.linkedin.com/learning/sql-grundkurs-3-data-manipulation-language-dml?trk=contentmappingfile" xr:uid="{00000000-0004-0000-1400-0000F3000000}"/>
    <hyperlink ref="D64" r:id="rId245" display="https://www.linkedin.com/learning/ux-deep-dive-analyzing-data?trk=ondemandfile" xr:uid="{00000000-0004-0000-1400-0000F4000000}"/>
    <hyperlink ref="S64" r:id="rId246" display="https://www.linkedin.com/learning/sql-grundkurs-4-data-definition-language-ddl-und-data-control-language-dcl?trk=contentmappingfile" xr:uid="{00000000-0004-0000-1400-0000F5000000}"/>
    <hyperlink ref="D65" r:id="rId247" display="https://www.linkedin.com/learning/data-visualization-storytelling?trk=ondemandfile" xr:uid="{00000000-0004-0000-1400-0000F6000000}"/>
    <hyperlink ref="S65" r:id="rId248" display="https://www.linkedin.com/learning/sql-lernen?trk=ondemandfile" xr:uid="{00000000-0004-0000-1400-0000F7000000}"/>
    <hyperlink ref="B66" r:id="rId249" display="https://www.linkedin.com/learning/managing-globally/what-is-cultural-agility" xr:uid="{00000000-0004-0000-1400-0000F8000000}"/>
    <hyperlink ref="C66" r:id="rId250" display="https://www.linkedin.com/learning/managing-globally/what-is-cultural-agility" xr:uid="{00000000-0004-0000-1400-0000F9000000}"/>
    <hyperlink ref="D66" r:id="rId251" display="https://www.linkedin.com/learning/excel-supply-chain-analysis-solving-transportation-problems?trk=ondemandfile" xr:uid="{00000000-0004-0000-1400-0000FA000000}"/>
    <hyperlink ref="S66" r:id="rId252" display="https://www.linkedin.com/learning/00-analysis-services?trk=ondemandfile" xr:uid="{00000000-0004-0000-1400-0000FB000000}"/>
    <hyperlink ref="D67" r:id="rId253" display="https://www.linkedin.com/learning/nosql-data-modeling-essential-training?trk=ondemandfile" xr:uid="{00000000-0004-0000-1400-0000FC000000}"/>
    <hyperlink ref="S67" r:id="rId254" display="https://www.linkedin.com/learning/sql-analysis-table?trk=ondemandfile" xr:uid="{00000000-0004-0000-1400-0000FD000000}"/>
    <hyperlink ref="D68" r:id="rId255" display="https://www.linkedin.com/learning/storytelling-with-data?trk=ondemandfile" xr:uid="{00000000-0004-0000-1400-0000FE000000}"/>
    <hyperlink ref="S68" r:id="rId256" display="https://www.linkedin.com/learning/8c55c7eb-fbae-34f3-9378-f86a417b0088?trk=ondemandfile" xr:uid="{00000000-0004-0000-1400-0000FF000000}"/>
    <hyperlink ref="D69" r:id="rId257" display="https://www.linkedin.com/learning/power-bi-data-modeling-with-dax?trk=ondemandfile" xr:uid="{00000000-0004-0000-1400-000000010000}"/>
    <hyperlink ref="S69" r:id="rId258" display="https://www.linkedin.com/learning/sql-server-reporting-services-visualisierung?trk=contentmappingfile" xr:uid="{00000000-0004-0000-1400-000001010000}"/>
    <hyperlink ref="D70" r:id="rId259" display="https://www.linkedin.com/learning/big-data-analytics-with-hadoop-and-apache-spark?trk=ondemandfile" xr:uid="{00000000-0004-0000-1400-000002010000}"/>
    <hyperlink ref="S70" r:id="rId260" display="https://www.linkedin.com/learning/statistik-1?trk=ondemandfile" xr:uid="{00000000-0004-0000-1400-000003010000}"/>
    <hyperlink ref="D71" r:id="rId261" display="https://www.linkedin.com/learning/text-analytics-and-predictions-with-r-essential-training?trk=ondemandfile" xr:uid="{00000000-0004-0000-1400-000004010000}"/>
    <hyperlink ref="S71" r:id="rId262" display="https://www.linkedin.com/learning/statistik-grundlagen-2-mehrere-variablen-und-wahrscheinlichkeiten?trk=ondemandfile" xr:uid="{00000000-0004-0000-1400-000005010000}"/>
    <hyperlink ref="D72" r:id="rId263" display="https://www.linkedin.com/learning/data-dashboards-in-powe-r-bi?trk=ondemandfile" xr:uid="{00000000-0004-0000-1400-000006010000}"/>
    <hyperlink ref="S72" r:id="rId264" display="https://www.linkedin.com/learning/tableau-10-grundkurs?trk=ondemandfile" xr:uid="{00000000-0004-0000-1400-000007010000}"/>
    <hyperlink ref="D73" r:id="rId265" display="https://www.linkedin.com/learning/power-bi-data-methods?trk=ondemandfile" xr:uid="{00000000-0004-0000-1400-000008010000}"/>
    <hyperlink ref="S73" r:id="rId266" display="https://www.linkedin.com/learning/online-und-web-analyse-grundlagen?trk=ondemandfile" xr:uid="{00000000-0004-0000-1400-000009010000}"/>
    <hyperlink ref="D74" r:id="rId267" display="https://www.linkedin.com/learning/using-python-with-excel?trk=ondemandfile" xr:uid="{00000000-0004-0000-1400-00000A010000}"/>
    <hyperlink ref="S74" r:id="rId268" display="https://www.linkedin.com/learning/zahlen-spannend-prasentieren?trk=contentmappingfile" xr:uid="{00000000-0004-0000-1400-00000B010000}"/>
    <hyperlink ref="D75" r:id="rId269" display="https://www.linkedin.com/learning/python-for-data-visualization?trk=ondemandfile" xr:uid="{00000000-0004-0000-1400-00000C010000}"/>
    <hyperlink ref="D76" r:id="rId270" display="https://www.linkedin.com/learning/sql-data-reporting-and-analysis-2?trk=ondemandfile" xr:uid="{00000000-0004-0000-1400-00000D010000}"/>
    <hyperlink ref="D77" r:id="rId271" display="https://www.linkedin.com/learning/power-bi-dataflows-essential-training?trk=ondemandfile" xr:uid="{00000000-0004-0000-1400-00000E010000}"/>
    <hyperlink ref="D78" r:id="rId272" display="https://www.linkedin.com/learning/sap-erp-beyond-the-bas-ics?trk=ondemandfile" xr:uid="{00000000-0004-0000-1400-00000F010000}"/>
    <hyperlink ref="D79" r:id="rId273" display="https://www.linkedin.com/learning/tableau-and-r-for-analytics-projects?trk=ondemandfile" xr:uid="{00000000-0004-0000-1400-000010010000}"/>
    <hyperlink ref="D80" r:id="rId274" display="https://www.linkedin.com/learning/abap-for-sap-users?trk=ondemandfile" xr:uid="{00000000-0004-0000-1400-000011010000}"/>
    <hyperlink ref="D81" r:id="rId275" display="https://www.linkedin.com/learning/review-and-manage-the-sap-mrp-list?trk=ondemandfile" xr:uid="{00000000-0004-0000-1400-000012010000}"/>
    <hyperlink ref="D82" r:id="rId276" display="https://www.linkedin.com/learning/ai-in-business-essential-training?trk=ondemandfile" xr:uid="{00000000-0004-0000-1400-000013010000}"/>
    <hyperlink ref="D83" r:id="rId277" display="https://www.linkedin.com/learning/ai-in-fintech-essential-training?trk=ondemandfile" xr:uid="{00000000-0004-0000-1400-000014010000}"/>
    <hyperlink ref="D84" r:id="rId278" display="https://www.linkedin.com/learning/excel-avoiding-common-mistakes-office-365-excel-2019?trk=ondemandfile" xr:uid="{00000000-0004-0000-1400-000015010000}"/>
    <hyperlink ref="D85" r:id="rId279" display="https://www.linkedin.com/learning/the-data-science-of-experimental-design?trk=ondemandfile" xr:uid="{00000000-0004-0000-1400-000016010000}"/>
    <hyperlink ref="D86" r:id="rId280" display="https://www.linkedin.com/learning/side-hustle-strategies-for-data-science-and-analytics-experts?trk=ondemandfile" xr:uid="{00000000-0004-0000-1400-000017010000}"/>
    <hyperlink ref="D87" r:id="rId281" display="https://www.linkedin.com/learning/postgresql-essential-training?trk=ondemandfile" xr:uid="{00000000-0004-0000-1400-000018010000}"/>
    <hyperlink ref="D88" r:id="rId282" display="https://www.linkedin.com/learning/data-visualization-for-data-analysis-and-analytics?trk=ondemandfile" xr:uid="{00000000-0004-0000-1400-000019010000}"/>
    <hyperlink ref="C89" r:id="rId283" display="https://www.linkedin.com/learning/content/425902?u=104" xr:uid="{00000000-0004-0000-1400-00001A010000}"/>
    <hyperlink ref="D89" r:id="rId284" display="https://www.linkedin.com/learning/business-analyst-digital-transformation?trk=ondemandfile" xr:uid="{00000000-0004-0000-1400-00001B010000}"/>
    <hyperlink ref="D90" r:id="rId285" display="https://www.linkedin.com/learning/agile-business-analysis-weekly-tips?trk=ondemandfile" xr:uid="{00000000-0004-0000-1400-00001C010000}"/>
    <hyperlink ref="D91" r:id="rId286" display="https://www.linkedin.com/learning/cert-prep-agile-analysis-iiba-aac?trk=ondemandfile" xr:uid="{00000000-0004-0000-1400-00001D010000}"/>
    <hyperlink ref="D92" r:id="rId287" display="https://www.linkedin.com/learning/business-analyst-and-project-manager-collaboration?trk=ondemandfile" xr:uid="{00000000-0004-0000-1400-00001E010000}"/>
    <hyperlink ref="D93" r:id="rId288" display="https://www.linkedin.com/learning/microsoft-power-apps-using-the-dataverse-formerly-the-common-data-service?trk=ondemandfile" xr:uid="{00000000-0004-0000-1400-00001F01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Click and enter a value from range 'Competency Titles'!A1:A27" xr:uid="{00000000-0002-0000-1400-000000000000}">
          <x14:formula1>
            <xm:f>#REF!</xm:f>
          </x14:formula1>
          <xm:sqref>B1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B5394"/>
    <outlinePr summaryBelow="0" summaryRight="0"/>
  </sheetPr>
  <dimension ref="A1:AJ104"/>
  <sheetViews>
    <sheetView showGridLines="0" workbookViewId="0">
      <pane ySplit="3" topLeftCell="A4" activePane="bottomLeft" state="frozen"/>
      <selection pane="bottomLeft" sqref="A1:XFD1048576"/>
    </sheetView>
  </sheetViews>
  <sheetFormatPr baseColWidth="10" defaultColWidth="11.1640625" defaultRowHeight="15" customHeight="1"/>
  <cols>
    <col min="1" max="1" width="1.1640625" customWidth="1"/>
    <col min="2" max="2" width="11.1640625" customWidth="1"/>
    <col min="3" max="3" width="18.5" customWidth="1"/>
    <col min="4" max="5" width="44.5" customWidth="1"/>
    <col min="6" max="6" width="1.1640625" customWidth="1"/>
    <col min="7" max="7" width="11.1640625" customWidth="1"/>
    <col min="8" max="8" width="19.33203125" customWidth="1"/>
    <col min="9" max="10" width="44.5" customWidth="1"/>
    <col min="11" max="11" width="1.1640625" customWidth="1"/>
    <col min="12" max="12" width="11.1640625" customWidth="1"/>
    <col min="13" max="13" width="20.83203125" customWidth="1"/>
    <col min="14" max="15" width="44.5" customWidth="1"/>
    <col min="16" max="16" width="1.1640625" customWidth="1"/>
    <col min="17" max="17" width="11.1640625" customWidth="1"/>
    <col min="18" max="18" width="19.6640625" customWidth="1"/>
    <col min="19" max="20" width="44.5" customWidth="1"/>
    <col min="21" max="21" width="1.1640625" customWidth="1"/>
    <col min="23" max="23" width="18.6640625" customWidth="1"/>
    <col min="24" max="25" width="44.5" customWidth="1"/>
    <col min="26" max="26" width="1.1640625" customWidth="1"/>
    <col min="27" max="27" width="11.1640625" customWidth="1"/>
    <col min="28" max="28" width="26.6640625" customWidth="1"/>
    <col min="29" max="30" width="44.5" customWidth="1"/>
    <col min="31" max="31" width="1.1640625" customWidth="1"/>
    <col min="32" max="32" width="11.1640625" customWidth="1"/>
    <col min="33" max="33" width="21" customWidth="1"/>
    <col min="34" max="35" width="44.5" customWidth="1"/>
    <col min="36" max="36" width="1.1640625" customWidth="1"/>
  </cols>
  <sheetData>
    <row r="1" spans="1:36" ht="34.5" customHeight="1">
      <c r="A1" s="208"/>
      <c r="B1" s="230" t="s">
        <v>11</v>
      </c>
      <c r="C1" s="222"/>
      <c r="D1" s="222"/>
      <c r="E1" s="222"/>
      <c r="F1" s="208"/>
      <c r="G1" s="230" t="str">
        <f ca="1">IFERROR(__xludf.DUMMYFUNCTION("IFERROR(UNIQUE(FILTER(French!B:B,French!A:A=B1)))"),"Finances et comptabilité")</f>
        <v>Finances et comptabilité</v>
      </c>
      <c r="H1" s="222"/>
      <c r="I1" s="222"/>
      <c r="J1" s="222"/>
      <c r="K1" s="208"/>
      <c r="L1" s="230" t="str">
        <f ca="1">IFERROR(__xludf.DUMMYFUNCTION("IFERROR((UNIQUE(FILTER(Spanish!B:B,Spanish!A:A=B1))))"),"Conocimientos sobre finanzas y contabilidad ")</f>
        <v xml:space="preserve">Conocimientos sobre finanzas y contabilidad </v>
      </c>
      <c r="M1" s="222"/>
      <c r="N1" s="222"/>
      <c r="O1" s="222"/>
      <c r="P1" s="208"/>
      <c r="Q1" s="230" t="str">
        <f ca="1">IFERROR(__xludf.DUMMYFUNCTION("IFERROR(UNIQUE(FILTER(German!B:B,German!A:A=B1)))"),"Finanzen und Rechnungswesen")</f>
        <v>Finanzen und Rechnungswesen</v>
      </c>
      <c r="R1" s="222"/>
      <c r="S1" s="222"/>
      <c r="T1" s="222"/>
      <c r="U1" s="208"/>
      <c r="V1" s="230" t="str">
        <f ca="1">IFERROR(__xludf.DUMMYFUNCTION("IFERROR(UNIQUE(FILTER(Japanese!B:B,Japanese!A:A=B1)))"),"財務会計の知識")</f>
        <v>財務会計の知識</v>
      </c>
      <c r="W1" s="222"/>
      <c r="X1" s="222"/>
      <c r="Y1" s="222"/>
      <c r="Z1" s="208"/>
      <c r="AA1" s="230" t="str">
        <f ca="1">IFERROR(__xludf.DUMMYFUNCTION("IFERROR(UNIQUE(FILTER(Portuguese!B:B,Portuguese!A:A=B1)))"),"Conhecimento financeiro e contábil")</f>
        <v>Conhecimento financeiro e contábil</v>
      </c>
      <c r="AB1" s="222"/>
      <c r="AC1" s="222"/>
      <c r="AD1" s="222"/>
      <c r="AE1" s="208"/>
      <c r="AF1" s="230" t="str">
        <f ca="1">IFERROR(__xludf.DUMMYFUNCTION("IFERROR(UNIQUE(FILTER(Mandarin!B:B,Mandarin!A:A=B1)))"),"金融和财务知识")</f>
        <v>金融和财务知识</v>
      </c>
      <c r="AG1" s="222"/>
      <c r="AH1" s="222"/>
      <c r="AI1" s="222"/>
      <c r="AJ1" s="208"/>
    </row>
    <row r="2" spans="1:36" ht="28" customHeight="1">
      <c r="A2" s="209"/>
      <c r="B2" s="234" t="s">
        <v>4713</v>
      </c>
      <c r="C2" s="222"/>
      <c r="D2" s="222"/>
      <c r="E2" s="222"/>
      <c r="F2" s="209"/>
      <c r="G2" s="231" t="s">
        <v>4714</v>
      </c>
      <c r="H2" s="222"/>
      <c r="I2" s="222"/>
      <c r="J2" s="222"/>
      <c r="K2" s="209"/>
      <c r="L2" s="235" t="s">
        <v>4715</v>
      </c>
      <c r="M2" s="222"/>
      <c r="N2" s="222"/>
      <c r="O2" s="222"/>
      <c r="P2" s="209"/>
      <c r="Q2" s="232" t="s">
        <v>4716</v>
      </c>
      <c r="R2" s="222"/>
      <c r="S2" s="222"/>
      <c r="T2" s="222"/>
      <c r="U2" s="209"/>
      <c r="V2" s="236" t="s">
        <v>4717</v>
      </c>
      <c r="W2" s="222"/>
      <c r="X2" s="222"/>
      <c r="Y2" s="222"/>
      <c r="Z2" s="209"/>
      <c r="AA2" s="233" t="s">
        <v>4718</v>
      </c>
      <c r="AB2" s="222"/>
      <c r="AC2" s="222"/>
      <c r="AD2" s="222"/>
      <c r="AE2" s="209"/>
      <c r="AF2" s="237" t="s">
        <v>4719</v>
      </c>
      <c r="AG2" s="222"/>
      <c r="AH2" s="222"/>
      <c r="AI2" s="222"/>
      <c r="AJ2" s="209"/>
    </row>
    <row r="3" spans="1:36" ht="26" customHeight="1">
      <c r="A3" s="210"/>
      <c r="B3" s="211" t="str">
        <f ca="1">IFERROR(__xludf.DUMMYFUNCTION("FILTER(English!B:B,English!A:A=B1)"),"Course IDs")</f>
        <v>Course IDs</v>
      </c>
      <c r="C3" s="211" t="str">
        <f ca="1">IFERROR(__xludf.DUMMYFUNCTION("FILTER(English!C:C,English!A:A=B1)"),"Levels")</f>
        <v>Levels</v>
      </c>
      <c r="D3" s="211" t="str">
        <f ca="1">IFERROR(__xludf.DUMMYFUNCTION("FILTER(English!D:D,English!A:A=B1)"),"Courses")</f>
        <v>Courses</v>
      </c>
      <c r="E3" s="212" t="str">
        <f ca="1">IFERROR(__xludf.DUMMYFUNCTION("FILTER(English!E:E,English!A:A=B1)"),"Learning Paths")</f>
        <v>Learning Paths</v>
      </c>
      <c r="F3" s="210"/>
      <c r="G3" s="211" t="str">
        <f ca="1">IFERROR(__xludf.DUMMYFUNCTION("FILTER(French!C:C,French!B:B=G1)"),"Course IDs")</f>
        <v>Course IDs</v>
      </c>
      <c r="H3" s="211" t="str">
        <f ca="1">IFERROR(__xludf.DUMMYFUNCTION("FILTER(French!D:D,French!B:B=G1)"),"Levels")</f>
        <v>Levels</v>
      </c>
      <c r="I3" s="211" t="str">
        <f ca="1">IFERROR(__xludf.DUMMYFUNCTION("FILTER(French!E:E,French!B:B=G1)"),"Courses")</f>
        <v>Courses</v>
      </c>
      <c r="J3" s="212" t="str">
        <f ca="1">IFERROR(__xludf.DUMMYFUNCTION("FILTER(French!G:G,French!B:B=G1)"),"Learning Paths")</f>
        <v>Learning Paths</v>
      </c>
      <c r="K3" s="210"/>
      <c r="L3" s="211" t="str">
        <f ca="1">IFERROR(__xludf.DUMMYFUNCTION("FILTER(Spanish!C:C,Spanish!B:B=L1)"),"Course IDs")</f>
        <v>Course IDs</v>
      </c>
      <c r="M3" s="211" t="str">
        <f ca="1">IFERROR(__xludf.DUMMYFUNCTION("FILTER(Spanish!D:D,Spanish!B:B=L1)"),"Levels")</f>
        <v>Levels</v>
      </c>
      <c r="N3" s="211" t="str">
        <f ca="1">IFERROR(__xludf.DUMMYFUNCTION("FILTER(Spanish!E:E,Spanish!B:B=L1)"),"Courses")</f>
        <v>Courses</v>
      </c>
      <c r="O3" s="212" t="str">
        <f ca="1">IFERROR(__xludf.DUMMYFUNCTION("FILTER(Spanish!G:G,Spanish!B:B=L1)"),"Learning Paths")</f>
        <v>Learning Paths</v>
      </c>
      <c r="P3" s="210"/>
      <c r="Q3" s="211" t="str">
        <f ca="1">IFERROR(__xludf.DUMMYFUNCTION("FILTER(German!C:C,German!B:B=Q1)"),"Course IDs")</f>
        <v>Course IDs</v>
      </c>
      <c r="R3" s="211" t="str">
        <f ca="1">IFERROR(__xludf.DUMMYFUNCTION("FILTER(German!D:D,German!B:B=Q1)"),"Levels")</f>
        <v>Levels</v>
      </c>
      <c r="S3" s="211" t="str">
        <f ca="1">IFERROR(__xludf.DUMMYFUNCTION("FILTER(German!E:E,German!B:B=Q1)"),"Courses")</f>
        <v>Courses</v>
      </c>
      <c r="T3" s="212" t="str">
        <f ca="1">IFERROR(__xludf.DUMMYFUNCTION("FILTER(German!G:G,German!B:B=Q1)"),"Learning Paths")</f>
        <v>Learning Paths</v>
      </c>
      <c r="U3" s="210"/>
      <c r="V3" s="211" t="str">
        <f ca="1">IFERROR(__xludf.DUMMYFUNCTION("FILTER(Japanese!C:C,Japanese!B:B=V1)"),"Course IDs")</f>
        <v>Course IDs</v>
      </c>
      <c r="W3" s="211" t="str">
        <f ca="1">IFERROR(__xludf.DUMMYFUNCTION("FILTER(Japanese!D:D,Japanese!B:B=V1)"),"Levels")</f>
        <v>Levels</v>
      </c>
      <c r="X3" s="211" t="str">
        <f ca="1">IFERROR(__xludf.DUMMYFUNCTION("FILTER(Japanese!E:E,Japanese!B:B=V1)"),"Courses")</f>
        <v>Courses</v>
      </c>
      <c r="Y3" s="212" t="str">
        <f ca="1">IFERROR(__xludf.DUMMYFUNCTION("FILTER(Japanese!G:G,Japanese!B:B=V1)"),"Learning Paths")</f>
        <v>Learning Paths</v>
      </c>
      <c r="Z3" s="210"/>
      <c r="AA3" s="211" t="str">
        <f ca="1">IFERROR(__xludf.DUMMYFUNCTION("FILTER(Portuguese!C:C,Portuguese!B:B=AA1)"),"Course IDs")</f>
        <v>Course IDs</v>
      </c>
      <c r="AB3" s="211" t="str">
        <f ca="1">IFERROR(__xludf.DUMMYFUNCTION("FILTER(Portuguese!D:D,Portuguese!B:B=AA1)"),"Levels")</f>
        <v>Levels</v>
      </c>
      <c r="AC3" s="211" t="str">
        <f ca="1">IFERROR(__xludf.DUMMYFUNCTION("FILTER(Portuguese!E:E,Portuguese!B:B=AA1)"),"Courses")</f>
        <v>Courses</v>
      </c>
      <c r="AD3" s="212" t="str">
        <f ca="1">IFERROR(__xludf.DUMMYFUNCTION("FILTER(Portuguese!G:G,Portuguese!B:B=AA1)"),"Learning Paths")</f>
        <v>Learning Paths</v>
      </c>
      <c r="AE3" s="210"/>
      <c r="AF3" s="211" t="str">
        <f ca="1">IFERROR(__xludf.DUMMYFUNCTION("FILTER(Mandarin!C:C,Mandarin!B:B=AF1)"),"Course IDs")</f>
        <v>Course IDs</v>
      </c>
      <c r="AG3" s="211" t="str">
        <f ca="1">IFERROR(__xludf.DUMMYFUNCTION("FILTER(Mandarin!D:D,Mandarin!B:B=AF1)"),"Levels")</f>
        <v>Levels</v>
      </c>
      <c r="AH3" s="211" t="str">
        <f ca="1">IFERROR(__xludf.DUMMYFUNCTION("FILTER(Mandarin!E:E,Mandarin!B:B=AF1)"),"Courses")</f>
        <v>Courses</v>
      </c>
      <c r="AI3" s="212" t="str">
        <f ca="1">IFERROR(__xludf.DUMMYFUNCTION("FILTER(Mandarin!G:G,Mandarin!B:B=AF1)"),"Learning Paths")</f>
        <v>Learning Paths</v>
      </c>
      <c r="AJ3" s="210"/>
    </row>
    <row r="4" spans="1:36" ht="33.75" customHeight="1">
      <c r="A4" s="213"/>
      <c r="B4" s="214">
        <f ca="1">IFERROR(__xludf.DUMMYFUNCTION("""COMPUTED_VALUE"""),2974327)</f>
        <v>2974327</v>
      </c>
      <c r="C4" s="215" t="str">
        <f ca="1">IFERROR(__xludf.DUMMYFUNCTION("""COMPUTED_VALUE"""),"Intermediate")</f>
        <v>Intermediate</v>
      </c>
      <c r="D4" s="216" t="str">
        <f ca="1">IFERROR(__xludf.DUMMYFUNCTION("""COMPUTED_VALUE"""),"Corporate Finance: Profitability in a Financial Downturn")</f>
        <v>Corporate Finance: Profitability in a Financial Downturn</v>
      </c>
      <c r="E4" s="217" t="str">
        <f ca="1">IFERROR(__xludf.DUMMYFUNCTION("""COMPUTED_VALUE"""),"Become an Accounts Payable Officer")</f>
        <v>Become an Accounts Payable Officer</v>
      </c>
      <c r="F4" s="213"/>
      <c r="G4" s="214">
        <f ca="1">IFERROR(__xludf.DUMMYFUNCTION("""COMPUTED_VALUE"""),3162571)</f>
        <v>3162571</v>
      </c>
      <c r="H4" s="215" t="str">
        <f ca="1">IFERROR(__xludf.DUMMYFUNCTION("""COMPUTED_VALUE"""),"Beginner, Intermediate")</f>
        <v>Beginner, Intermediate</v>
      </c>
      <c r="I4" s="217" t="str">
        <f ca="1">IFERROR(__xludf.DUMMYFUNCTION("""COMPUTED_VALUE"""),"Blockchain : Créer et déployer un smart contract")</f>
        <v>Blockchain : Créer et déployer un smart contract</v>
      </c>
      <c r="J4" s="217" t="str">
        <f ca="1">IFERROR(__xludf.DUMMYFUNCTION("""COMPUTED_VALUE"""),"N/A")</f>
        <v>N/A</v>
      </c>
      <c r="K4" s="213"/>
      <c r="L4" s="215">
        <f ca="1">IFERROR(__xludf.DUMMYFUNCTION("""COMPUTED_VALUE"""),2220562)</f>
        <v>2220562</v>
      </c>
      <c r="M4" s="215" t="str">
        <f ca="1">IFERROR(__xludf.DUMMYFUNCTION("""COMPUTED_VALUE"""),"Advanced")</f>
        <v>Advanced</v>
      </c>
      <c r="N4" s="217" t="str">
        <f ca="1">IFERROR(__xludf.DUMMYFUNCTION("""COMPUTED_VALUE"""),"Cómo negociar con los bancos")</f>
        <v>Cómo negociar con los bancos</v>
      </c>
      <c r="O4" s="217" t="str">
        <f ca="1">IFERROR(__xludf.DUMMYFUNCTION("""COMPUTED_VALUE"""),"Optimiza tu gestión financiera")</f>
        <v>Optimiza tu gestión financiera</v>
      </c>
      <c r="P4" s="213"/>
      <c r="Q4" s="215">
        <f ca="1">IFERROR(__xludf.DUMMYFUNCTION("""COMPUTED_VALUE"""),559553)</f>
        <v>559553</v>
      </c>
      <c r="R4" s="215" t="str">
        <f ca="1">IFERROR(__xludf.DUMMYFUNCTION("""COMPUTED_VALUE"""),"Beginner, Intermediate")</f>
        <v>Beginner, Intermediate</v>
      </c>
      <c r="S4" s="217" t="str">
        <f ca="1">IFERROR(__xludf.DUMMYFUNCTION("""COMPUTED_VALUE"""),"Bilanzen lesen und verstehen")</f>
        <v>Bilanzen lesen und verstehen</v>
      </c>
      <c r="T4" s="217"/>
      <c r="U4" s="213"/>
      <c r="V4" s="215">
        <f ca="1">IFERROR(__xludf.DUMMYFUNCTION("""COMPUTED_VALUE"""),737787)</f>
        <v>737787</v>
      </c>
      <c r="W4" s="215" t="str">
        <f ca="1">IFERROR(__xludf.DUMMYFUNCTION("""COMPUTED_VALUE"""),"Beginner")</f>
        <v>Beginner</v>
      </c>
      <c r="X4" s="217" t="str">
        <f ca="1">IFERROR(__xludf.DUMMYFUNCTION("""COMPUTED_VALUE"""),"ビジネスセンスの磨き方")</f>
        <v>ビジネスセンスの磨き方</v>
      </c>
      <c r="Y4" s="217" t="str">
        <f ca="1">IFERROR(__xludf.DUMMYFUNCTION("""COMPUTED_VALUE"""),"N/A")</f>
        <v>N/A</v>
      </c>
      <c r="Z4" s="213"/>
      <c r="AA4" s="215">
        <f ca="1">IFERROR(__xludf.DUMMYFUNCTION("""COMPUTED_VALUE"""),753080)</f>
        <v>753080</v>
      </c>
      <c r="AB4" s="215" t="str">
        <f ca="1">IFERROR(__xludf.DUMMYFUNCTION("""COMPUTED_VALUE"""),"Intermediate")</f>
        <v>Intermediate</v>
      </c>
      <c r="AC4" s="217" t="str">
        <f ca="1">IFERROR(__xludf.DUMMYFUNCTION("""COMPUTED_VALUE"""),"Avaliação do Desempenho Empresarial")</f>
        <v>Avaliação do Desempenho Empresarial</v>
      </c>
      <c r="AD4" s="217" t="str">
        <f ca="1">IFERROR(__xludf.DUMMYFUNCTION("""COMPUTED_VALUE"""),"N/A")</f>
        <v>N/A</v>
      </c>
      <c r="AE4" s="213"/>
      <c r="AF4" s="215">
        <f ca="1">IFERROR(__xludf.DUMMYFUNCTION("""COMPUTED_VALUE"""),2882003)</f>
        <v>2882003</v>
      </c>
      <c r="AG4" s="215" t="str">
        <f ca="1">IFERROR(__xludf.DUMMYFUNCTION("""COMPUTED_VALUE"""),"Intermediate")</f>
        <v>Intermediate</v>
      </c>
      <c r="AH4" s="217" t="str">
        <f ca="1">IFERROR(__xludf.DUMMYFUNCTION("""COMPUTED_VALUE"""),"企业财务报表分析")</f>
        <v>企业财务报表分析</v>
      </c>
      <c r="AI4" s="217" t="str">
        <f ca="1">IFERROR(__xludf.DUMMYFUNCTION("""COMPUTED_VALUE"""),"N/A")</f>
        <v>N/A</v>
      </c>
      <c r="AJ4" s="213"/>
    </row>
    <row r="5" spans="1:36" ht="30">
      <c r="A5" s="213"/>
      <c r="B5" s="214">
        <f ca="1">IFERROR(__xludf.DUMMYFUNCTION("""COMPUTED_VALUE"""),2819144)</f>
        <v>2819144</v>
      </c>
      <c r="C5" s="215" t="str">
        <f ca="1">IFERROR(__xludf.DUMMYFUNCTION("""COMPUTED_VALUE"""),"Intermediate")</f>
        <v>Intermediate</v>
      </c>
      <c r="D5" s="216" t="str">
        <f ca="1">IFERROR(__xludf.DUMMYFUNCTION("""COMPUTED_VALUE"""),"Lean Technology Strategy: Financial Management to Support Business Agility")</f>
        <v>Lean Technology Strategy: Financial Management to Support Business Agility</v>
      </c>
      <c r="E5" s="217" t="str">
        <f ca="1">IFERROR(__xludf.DUMMYFUNCTION("""COMPUTED_VALUE"""),"Become a Bookkeeper")</f>
        <v>Become a Bookkeeper</v>
      </c>
      <c r="F5" s="213"/>
      <c r="G5" s="214">
        <f ca="1">IFERROR(__xludf.DUMMYFUNCTION("""COMPUTED_VALUE"""),3164629)</f>
        <v>3164629</v>
      </c>
      <c r="H5" s="215" t="str">
        <f ca="1">IFERROR(__xludf.DUMMYFUNCTION("""COMPUTED_VALUE"""),"Beginner")</f>
        <v>Beginner</v>
      </c>
      <c r="I5" s="217" t="str">
        <f ca="1">IFERROR(__xludf.DUMMYFUNCTION("""COMPUTED_VALUE"""),"Blockchain : Prise en main de Solidity")</f>
        <v>Blockchain : Prise en main de Solidity</v>
      </c>
      <c r="J5" s="217"/>
      <c r="K5" s="213"/>
      <c r="L5" s="215">
        <f ca="1">IFERROR(__xludf.DUMMYFUNCTION("""COMPUTED_VALUE"""),708545)</f>
        <v>708545</v>
      </c>
      <c r="M5" s="215" t="str">
        <f ca="1">IFERROR(__xludf.DUMMYFUNCTION("""COMPUTED_VALUE"""),"Beginner, Intermediate")</f>
        <v>Beginner, Intermediate</v>
      </c>
      <c r="N5" s="217" t="str">
        <f ca="1">IFERROR(__xludf.DUMMYFUNCTION("""COMPUTED_VALUE"""),"Contabilidad y finanzas: Trucos")</f>
        <v>Contabilidad y finanzas: Trucos</v>
      </c>
      <c r="O5" s="217" t="str">
        <f ca="1">IFERROR(__xludf.DUMMYFUNCTION("""COMPUTED_VALUE"""),"Conviértete en responsable financiero")</f>
        <v>Conviértete en responsable financiero</v>
      </c>
      <c r="P5" s="213"/>
      <c r="Q5" s="215">
        <f ca="1">IFERROR(__xludf.DUMMYFUNCTION("""COMPUTED_VALUE"""),2824217)</f>
        <v>2824217</v>
      </c>
      <c r="R5" s="215" t="str">
        <f ca="1">IFERROR(__xludf.DUMMYFUNCTION("""COMPUTED_VALUE"""),"Beginner")</f>
        <v>Beginner</v>
      </c>
      <c r="S5" s="217" t="str">
        <f ca="1">IFERROR(__xludf.DUMMYFUNCTION("""COMPUTED_VALUE"""),"Bitcoins und Kryptowährungen – Grundlagen")</f>
        <v>Bitcoins und Kryptowährungen – Grundlagen</v>
      </c>
      <c r="T5" s="217"/>
      <c r="U5" s="213"/>
      <c r="V5" s="215">
        <f ca="1">IFERROR(__xludf.DUMMYFUNCTION("""COMPUTED_VALUE"""),2835083)</f>
        <v>2835083</v>
      </c>
      <c r="W5" s="215" t="str">
        <f ca="1">IFERROR(__xludf.DUMMYFUNCTION("""COMPUTED_VALUE"""),"Intermediate")</f>
        <v>Intermediate</v>
      </c>
      <c r="X5" s="217" t="str">
        <f ca="1">IFERROR(__xludf.DUMMYFUNCTION("""COMPUTED_VALUE"""),"企業の財務諸表分析")</f>
        <v>企業の財務諸表分析</v>
      </c>
      <c r="Y5" s="217"/>
      <c r="Z5" s="213"/>
      <c r="AA5" s="215">
        <f ca="1">IFERROR(__xludf.DUMMYFUNCTION("""COMPUTED_VALUE"""),753192)</f>
        <v>753192</v>
      </c>
      <c r="AB5" s="215" t="str">
        <f ca="1">IFERROR(__xludf.DUMMYFUNCTION("""COMPUTED_VALUE"""),"Intermediate")</f>
        <v>Intermediate</v>
      </c>
      <c r="AC5" s="217" t="str">
        <f ca="1">IFERROR(__xludf.DUMMYFUNCTION("""COMPUTED_VALUE"""),"Finanças para Gerentes não Financeiros")</f>
        <v>Finanças para Gerentes não Financeiros</v>
      </c>
      <c r="AD5" s="217"/>
      <c r="AE5" s="213"/>
      <c r="AF5" s="215">
        <f ca="1">IFERROR(__xludf.DUMMYFUNCTION("""COMPUTED_VALUE"""),2822709)</f>
        <v>2822709</v>
      </c>
      <c r="AG5" s="215" t="str">
        <f ca="1">IFERROR(__xludf.DUMMYFUNCTION("""COMPUTED_VALUE"""),"Beginner")</f>
        <v>Beginner</v>
      </c>
      <c r="AH5" s="217" t="str">
        <f ca="1">IFERROR(__xludf.DUMMYFUNCTION("""COMPUTED_VALUE"""),"会计基础知识")</f>
        <v>会计基础知识</v>
      </c>
      <c r="AI5" s="217"/>
      <c r="AJ5" s="213"/>
    </row>
    <row r="6" spans="1:36" ht="30">
      <c r="A6" s="213"/>
      <c r="B6" s="214">
        <f ca="1">IFERROR(__xludf.DUMMYFUNCTION("""COMPUTED_VALUE"""),184803)</f>
        <v>184803</v>
      </c>
      <c r="C6" s="215" t="str">
        <f ca="1">IFERROR(__xludf.DUMMYFUNCTION("""COMPUTED_VALUE"""),"Beginner")</f>
        <v>Beginner</v>
      </c>
      <c r="D6" s="216" t="str">
        <f ca="1">IFERROR(__xludf.DUMMYFUNCTION("""COMPUTED_VALUE"""),"Nonprofit Management Foundations")</f>
        <v>Nonprofit Management Foundations</v>
      </c>
      <c r="E6" s="217" t="str">
        <f ca="1">IFERROR(__xludf.DUMMYFUNCTION("""COMPUTED_VALUE"""),"Become a Corporate Financial Planning Analyst")</f>
        <v>Become a Corporate Financial Planning Analyst</v>
      </c>
      <c r="F6" s="213"/>
      <c r="G6" s="214">
        <f ca="1">IFERROR(__xludf.DUMMYFUNCTION("""COMPUTED_VALUE"""),193309)</f>
        <v>193309</v>
      </c>
      <c r="H6" s="215" t="str">
        <f ca="1">IFERROR(__xludf.DUMMYFUNCTION("""COMPUTED_VALUE"""),"Intermediate")</f>
        <v>Intermediate</v>
      </c>
      <c r="I6" s="217" t="str">
        <f ca="1">IFERROR(__xludf.DUMMYFUNCTION("""COMPUTED_VALUE"""),"Excel : Les fonctions du groupe Finance")</f>
        <v>Excel : Les fonctions du groupe Finance</v>
      </c>
      <c r="J6" s="217"/>
      <c r="K6" s="213"/>
      <c r="L6" s="215">
        <f ca="1">IFERROR(__xludf.DUMMYFUNCTION("""COMPUTED_VALUE"""),2424719)</f>
        <v>2424719</v>
      </c>
      <c r="M6" s="215" t="str">
        <f ca="1">IFERROR(__xludf.DUMMYFUNCTION("""COMPUTED_VALUE"""),"Intermediate")</f>
        <v>Intermediate</v>
      </c>
      <c r="N6" s="217" t="str">
        <f ca="1">IFERROR(__xludf.DUMMYFUNCTION("""COMPUTED_VALUE"""),"Economía de la empresa")</f>
        <v>Economía de la empresa</v>
      </c>
      <c r="O6" s="217" t="str">
        <f ca="1">IFERROR(__xludf.DUMMYFUNCTION("""COMPUTED_VALUE"""),"Conviértete en asistente de contabilidad")</f>
        <v>Conviértete en asistente de contabilidad</v>
      </c>
      <c r="P6" s="213"/>
      <c r="Q6" s="215">
        <f ca="1">IFERROR(__xludf.DUMMYFUNCTION("""COMPUTED_VALUE"""),195615)</f>
        <v>195615</v>
      </c>
      <c r="R6" s="215" t="str">
        <f ca="1">IFERROR(__xludf.DUMMYFUNCTION("""COMPUTED_VALUE"""),"Beginner")</f>
        <v>Beginner</v>
      </c>
      <c r="S6" s="217" t="str">
        <f ca="1">IFERROR(__xludf.DUMMYFUNCTION("""COMPUTED_VALUE"""),"Businessplan für Ihr Unternehmen")</f>
        <v>Businessplan für Ihr Unternehmen</v>
      </c>
      <c r="T6" s="217"/>
      <c r="U6" s="213"/>
      <c r="V6" s="215">
        <f ca="1">IFERROR(__xludf.DUMMYFUNCTION("""COMPUTED_VALUE"""),2822130)</f>
        <v>2822130</v>
      </c>
      <c r="W6" s="215" t="str">
        <f ca="1">IFERROR(__xludf.DUMMYFUNCTION("""COMPUTED_VALUE"""),"Beginner")</f>
        <v>Beginner</v>
      </c>
      <c r="X6" s="217" t="str">
        <f ca="1">IFERROR(__xludf.DUMMYFUNCTION("""COMPUTED_VALUE"""),"会計の基礎")</f>
        <v>会計の基礎</v>
      </c>
      <c r="Y6" s="217"/>
      <c r="Z6" s="213"/>
      <c r="AA6" s="215">
        <f ca="1">IFERROR(__xludf.DUMMYFUNCTION("""COMPUTED_VALUE"""),2908962)</f>
        <v>2908962</v>
      </c>
      <c r="AB6" s="215" t="str">
        <f ca="1">IFERROR(__xludf.DUMMYFUNCTION("""COMPUTED_VALUE"""),"Beginner")</f>
        <v>Beginner</v>
      </c>
      <c r="AC6" s="217" t="str">
        <f ca="1">IFERROR(__xludf.DUMMYFUNCTION("""COMPUTED_VALUE"""),"Fundamentos da Análise de Negócios")</f>
        <v>Fundamentos da Análise de Negócios</v>
      </c>
      <c r="AD6" s="217"/>
      <c r="AE6" s="213"/>
      <c r="AF6" s="215">
        <f ca="1">IFERROR(__xludf.DUMMYFUNCTION("""COMPUTED_VALUE"""),2822707)</f>
        <v>2822707</v>
      </c>
      <c r="AG6" s="215" t="str">
        <f ca="1">IFERROR(__xludf.DUMMYFUNCTION("""COMPUTED_VALUE"""),"All levels")</f>
        <v>All levels</v>
      </c>
      <c r="AH6" s="217" t="str">
        <f ca="1">IFERROR(__xludf.DUMMYFUNCTION("""COMPUTED_VALUE"""),"敏捷基础知识")</f>
        <v>敏捷基础知识</v>
      </c>
      <c r="AI6" s="217"/>
      <c r="AJ6" s="213"/>
    </row>
    <row r="7" spans="1:36" ht="33.75" customHeight="1">
      <c r="A7" s="213"/>
      <c r="B7" s="214">
        <f ca="1">IFERROR(__xludf.DUMMYFUNCTION("""COMPUTED_VALUE"""),2806199)</f>
        <v>2806199</v>
      </c>
      <c r="C7" s="215" t="str">
        <f ca="1">IFERROR(__xludf.DUMMYFUNCTION("""COMPUTED_VALUE"""),"Beginner")</f>
        <v>Beginner</v>
      </c>
      <c r="D7" s="216" t="str">
        <f ca="1">IFERROR(__xludf.DUMMYFUNCTION("""COMPUTED_VALUE"""),"Accounting for Managers")</f>
        <v>Accounting for Managers</v>
      </c>
      <c r="E7" s="217" t="str">
        <f ca="1">IFERROR(__xludf.DUMMYFUNCTION("""COMPUTED_VALUE"""),"Become an Economist")</f>
        <v>Become an Economist</v>
      </c>
      <c r="F7" s="213"/>
      <c r="G7" s="214">
        <f ca="1">IFERROR(__xludf.DUMMYFUNCTION("""COMPUTED_VALUE"""),2880260)</f>
        <v>2880260</v>
      </c>
      <c r="H7" s="215" t="str">
        <f ca="1">IFERROR(__xludf.DUMMYFUNCTION("""COMPUTED_VALUE"""),"Intermediate")</f>
        <v>Intermediate</v>
      </c>
      <c r="I7" s="217" t="str">
        <f ca="1">IFERROR(__xludf.DUMMYFUNCTION("""COMPUTED_VALUE"""),"Excel pour Mac : Préparer des écritures comptables")</f>
        <v>Excel pour Mac : Préparer des écritures comptables</v>
      </c>
      <c r="J7" s="217"/>
      <c r="K7" s="213"/>
      <c r="L7" s="215">
        <f ca="1">IFERROR(__xludf.DUMMYFUNCTION("""COMPUTED_VALUE"""),489222)</f>
        <v>489222</v>
      </c>
      <c r="M7" s="215" t="str">
        <f ca="1">IFERROR(__xludf.DUMMYFUNCTION("""COMPUTED_VALUE"""),"Advanced")</f>
        <v>Advanced</v>
      </c>
      <c r="N7" s="217" t="str">
        <f ca="1">IFERROR(__xludf.DUMMYFUNCTION("""COMPUTED_VALUE"""),"Excel 2016 práctico: Facturación y control de gastos")</f>
        <v>Excel 2016 práctico: Facturación y control de gastos</v>
      </c>
      <c r="O7" s="217" t="str">
        <f ca="1">IFERROR(__xludf.DUMMYFUNCTION("""COMPUTED_VALUE"""),"Conviértete en asistente administrativo")</f>
        <v>Conviértete en asistente administrativo</v>
      </c>
      <c r="P7" s="213"/>
      <c r="Q7" s="215">
        <f ca="1">IFERROR(__xludf.DUMMYFUNCTION("""COMPUTED_VALUE"""),703235)</f>
        <v>703235</v>
      </c>
      <c r="R7" s="215" t="str">
        <f ca="1">IFERROR(__xludf.DUMMYFUNCTION("""COMPUTED_VALUE"""),"Intermediate")</f>
        <v>Intermediate</v>
      </c>
      <c r="S7" s="217" t="str">
        <f ca="1">IFERROR(__xludf.DUMMYFUNCTION("""COMPUTED_VALUE"""),"Die Unternehmensleistung messen")</f>
        <v>Die Unternehmensleistung messen</v>
      </c>
      <c r="T7" s="217"/>
      <c r="U7" s="213"/>
      <c r="V7" s="215">
        <f ca="1">IFERROR(__xludf.DUMMYFUNCTION("""COMPUTED_VALUE"""),2822366)</f>
        <v>2822366</v>
      </c>
      <c r="W7" s="215" t="str">
        <f ca="1">IFERROR(__xludf.DUMMYFUNCTION("""COMPUTED_VALUE"""),"Beginner")</f>
        <v>Beginner</v>
      </c>
      <c r="X7" s="217" t="str">
        <f ca="1">IFERROR(__xludf.DUMMYFUNCTION("""COMPUTED_VALUE"""),"財務の基礎")</f>
        <v>財務の基礎</v>
      </c>
      <c r="Y7" s="217"/>
      <c r="Z7" s="213"/>
      <c r="AA7" s="215">
        <f ca="1">IFERROR(__xludf.DUMMYFUNCTION("""COMPUTED_VALUE"""),2930666)</f>
        <v>2930666</v>
      </c>
      <c r="AB7" s="215" t="str">
        <f ca="1">IFERROR(__xludf.DUMMYFUNCTION("""COMPUTED_VALUE"""),"Beginner")</f>
        <v>Beginner</v>
      </c>
      <c r="AC7" s="217" t="str">
        <f ca="1">IFERROR(__xludf.DUMMYFUNCTION("""COMPUTED_VALUE"""),"Fundamentos de Contabilidade")</f>
        <v>Fundamentos de Contabilidade</v>
      </c>
      <c r="AD7" s="217"/>
      <c r="AE7" s="213"/>
      <c r="AF7" s="215">
        <f ca="1">IFERROR(__xludf.DUMMYFUNCTION("""COMPUTED_VALUE"""),780518)</f>
        <v>780518</v>
      </c>
      <c r="AG7" s="215" t="str">
        <f ca="1">IFERROR(__xludf.DUMMYFUNCTION("""COMPUTED_VALUE"""),"Intermediate")</f>
        <v>Intermediate</v>
      </c>
      <c r="AH7" s="217" t="str">
        <f ca="1">IFERROR(__xludf.DUMMYFUNCTION("""COMPUTED_VALUE"""),"评估企业绩效")</f>
        <v>评估企业绩效</v>
      </c>
      <c r="AI7" s="217"/>
      <c r="AJ7" s="213"/>
    </row>
    <row r="8" spans="1:36" ht="33.75" customHeight="1">
      <c r="A8" s="213"/>
      <c r="B8" s="214">
        <f ca="1">IFERROR(__xludf.DUMMYFUNCTION("""COMPUTED_VALUE"""),2849192)</f>
        <v>2849192</v>
      </c>
      <c r="C8" s="215" t="str">
        <f ca="1">IFERROR(__xludf.DUMMYFUNCTION("""COMPUTED_VALUE"""),"Beginner")</f>
        <v>Beginner</v>
      </c>
      <c r="D8" s="216" t="str">
        <f ca="1">IFERROR(__xludf.DUMMYFUNCTION("""COMPUTED_VALUE"""),"Job Interview Tips for Accountants")</f>
        <v>Job Interview Tips for Accountants</v>
      </c>
      <c r="E8" s="217" t="str">
        <f ca="1">IFERROR(__xludf.DUMMYFUNCTION("""COMPUTED_VALUE"""),"Become a Financial Analyst")</f>
        <v>Become a Financial Analyst</v>
      </c>
      <c r="F8" s="213"/>
      <c r="G8" s="214">
        <f ca="1">IFERROR(__xludf.DUMMYFUNCTION("""COMPUTED_VALUE"""),2248572)</f>
        <v>2248572</v>
      </c>
      <c r="H8" s="215" t="str">
        <f ca="1">IFERROR(__xludf.DUMMYFUNCTION("""COMPUTED_VALUE"""),"Intermediate")</f>
        <v>Intermediate</v>
      </c>
      <c r="I8" s="217" t="str">
        <f ca="1">IFERROR(__xludf.DUMMYFUNCTION("""COMPUTED_VALUE"""),"Financer son entreprise")</f>
        <v>Financer son entreprise</v>
      </c>
      <c r="J8" s="217"/>
      <c r="K8" s="213"/>
      <c r="L8" s="215">
        <f ca="1">IFERROR(__xludf.DUMMYFUNCTION("""COMPUTED_VALUE"""),504435)</f>
        <v>504435</v>
      </c>
      <c r="M8" s="215" t="str">
        <f ca="1">IFERROR(__xludf.DUMMYFUNCTION("""COMPUTED_VALUE"""),"Advanced")</f>
        <v>Advanced</v>
      </c>
      <c r="N8" s="217" t="str">
        <f ca="1">IFERROR(__xludf.DUMMYFUNCTION("""COMPUTED_VALUE"""),"Excel 2016 práctico: Gestión de tesorería para pymes")</f>
        <v>Excel 2016 práctico: Gestión de tesorería para pymes</v>
      </c>
      <c r="O8" s="217"/>
      <c r="P8" s="213"/>
      <c r="Q8" s="215">
        <f ca="1">IFERROR(__xludf.DUMMYFUNCTION("""COMPUTED_VALUE"""),2841288)</f>
        <v>2841288</v>
      </c>
      <c r="R8" s="215" t="str">
        <f ca="1">IFERROR(__xludf.DUMMYFUNCTION("""COMPUTED_VALUE"""),"Beginner")</f>
        <v>Beginner</v>
      </c>
      <c r="S8" s="217" t="str">
        <f ca="1">IFERROR(__xludf.DUMMYFUNCTION("""COMPUTED_VALUE"""),"Finanzwesen – Grundlagen")</f>
        <v>Finanzwesen – Grundlagen</v>
      </c>
      <c r="T8" s="217"/>
      <c r="U8" s="213"/>
      <c r="V8" s="215">
        <f ca="1">IFERROR(__xludf.DUMMYFUNCTION("""COMPUTED_VALUE"""),2915390)</f>
        <v>2915390</v>
      </c>
      <c r="W8" s="215" t="str">
        <f ca="1">IFERROR(__xludf.DUMMYFUNCTION("""COMPUTED_VALUE"""),"Intermediate")</f>
        <v>Intermediate</v>
      </c>
      <c r="X8" s="217" t="str">
        <f ca="1">IFERROR(__xludf.DUMMYFUNCTION("""COMPUTED_VALUE"""),"財務部でない人のためのファイナンス")</f>
        <v>財務部でない人のためのファイナンス</v>
      </c>
      <c r="Y8" s="217"/>
      <c r="Z8" s="213"/>
      <c r="AA8" s="215">
        <f ca="1">IFERROR(__xludf.DUMMYFUNCTION("""COMPUTED_VALUE"""),2928580)</f>
        <v>2928580</v>
      </c>
      <c r="AB8" s="215" t="str">
        <f ca="1">IFERROR(__xludf.DUMMYFUNCTION("""COMPUTED_VALUE"""),"Beginner")</f>
        <v>Beginner</v>
      </c>
      <c r="AC8" s="217" t="str">
        <f ca="1">IFERROR(__xludf.DUMMYFUNCTION("""COMPUTED_VALUE"""),"Fundamentos de Finanças")</f>
        <v>Fundamentos de Finanças</v>
      </c>
      <c r="AD8" s="217"/>
      <c r="AE8" s="213"/>
      <c r="AF8" s="215">
        <f ca="1">IFERROR(__xludf.DUMMYFUNCTION("""COMPUTED_VALUE"""),2825756)</f>
        <v>2825756</v>
      </c>
      <c r="AG8" s="215" t="str">
        <f ca="1">IFERROR(__xludf.DUMMYFUNCTION("""COMPUTED_VALUE"""),"Beginner")</f>
        <v>Beginner</v>
      </c>
      <c r="AH8" s="217" t="str">
        <f ca="1">IFERROR(__xludf.DUMMYFUNCTION("""COMPUTED_VALUE"""),"金融基础知识")</f>
        <v>金融基础知识</v>
      </c>
      <c r="AI8" s="217"/>
      <c r="AJ8" s="213"/>
    </row>
    <row r="9" spans="1:36" ht="33.75" customHeight="1">
      <c r="A9" s="213"/>
      <c r="B9" s="214">
        <f ca="1">IFERROR(__xludf.DUMMYFUNCTION("""COMPUTED_VALUE"""),2884193)</f>
        <v>2884193</v>
      </c>
      <c r="C9" s="215" t="str">
        <f ca="1">IFERROR(__xludf.DUMMYFUNCTION("""COMPUTED_VALUE"""),"Intermediate")</f>
        <v>Intermediate</v>
      </c>
      <c r="D9" s="216" t="str">
        <f ca="1">IFERROR(__xludf.DUMMYFUNCTION("""COMPUTED_VALUE"""),"S/4 Finance: Fiori Accounts Receivable Analytics")</f>
        <v>S/4 Finance: Fiori Accounts Receivable Analytics</v>
      </c>
      <c r="E9" s="217" t="str">
        <f ca="1">IFERROR(__xludf.DUMMYFUNCTION("""COMPUTED_VALUE"""),"Become a Small Business Owner")</f>
        <v>Become a Small Business Owner</v>
      </c>
      <c r="F9" s="213"/>
      <c r="G9" s="214">
        <f ca="1">IFERROR(__xludf.DUMMYFUNCTION("""COMPUTED_VALUE"""),582964)</f>
        <v>582964</v>
      </c>
      <c r="H9" s="215" t="str">
        <f ca="1">IFERROR(__xludf.DUMMYFUNCTION("""COMPUTED_VALUE"""),"Beginner, Intermediate")</f>
        <v>Beginner, Intermediate</v>
      </c>
      <c r="I9" s="217" t="str">
        <f ca="1">IFERROR(__xludf.DUMMYFUNCTION("""COMPUTED_VALUE"""),"La finance pour les managers")</f>
        <v>La finance pour les managers</v>
      </c>
      <c r="J9" s="217"/>
      <c r="K9" s="213"/>
      <c r="L9" s="215">
        <f ca="1">IFERROR(__xludf.DUMMYFUNCTION("""COMPUTED_VALUE"""),498898)</f>
        <v>498898</v>
      </c>
      <c r="M9" s="215" t="str">
        <f ca="1">IFERROR(__xludf.DUMMYFUNCTION("""COMPUTED_VALUE"""),"Advanced")</f>
        <v>Advanced</v>
      </c>
      <c r="N9" s="217" t="str">
        <f ca="1">IFERROR(__xludf.DUMMYFUNCTION("""COMPUTED_VALUE"""),"Excel 2016 práctico: Plan de viabilidad económico-financiero")</f>
        <v>Excel 2016 práctico: Plan de viabilidad económico-financiero</v>
      </c>
      <c r="O9" s="217"/>
      <c r="P9" s="213"/>
      <c r="Q9" s="215">
        <f ca="1">IFERROR(__xludf.DUMMYFUNCTION("""COMPUTED_VALUE"""),755207)</f>
        <v>755207</v>
      </c>
      <c r="R9" s="215" t="str">
        <f ca="1">IFERROR(__xludf.DUMMYFUNCTION("""COMPUTED_VALUE"""),"Beginner")</f>
        <v>Beginner</v>
      </c>
      <c r="S9" s="217" t="str">
        <f ca="1">IFERROR(__xludf.DUMMYFUNCTION("""COMPUTED_VALUE"""),"Finanzwissen für Gründer:innen, Selbstständige und Kleinunternehmer:innen")</f>
        <v>Finanzwissen für Gründer:innen, Selbstständige und Kleinunternehmer:innen</v>
      </c>
      <c r="T9" s="217"/>
      <c r="U9" s="213"/>
      <c r="V9" s="215"/>
      <c r="W9" s="215"/>
      <c r="X9" s="217"/>
      <c r="Y9" s="217"/>
      <c r="Z9" s="213"/>
      <c r="AA9" s="215">
        <f ca="1">IFERROR(__xludf.DUMMYFUNCTION("""COMPUTED_VALUE"""),2928601)</f>
        <v>2928601</v>
      </c>
      <c r="AB9" s="215" t="str">
        <f ca="1">IFERROR(__xludf.DUMMYFUNCTION("""COMPUTED_VALUE"""),"Beginner")</f>
        <v>Beginner</v>
      </c>
      <c r="AC9" s="217" t="str">
        <f ca="1">IFERROR(__xludf.DUMMYFUNCTION("""COMPUTED_VALUE"""),"Fundamentos de Fusões e Aquisições")</f>
        <v>Fundamentos de Fusões e Aquisições</v>
      </c>
      <c r="AD9" s="217"/>
      <c r="AE9" s="213"/>
      <c r="AF9" s="215">
        <f ca="1">IFERROR(__xludf.DUMMYFUNCTION("""COMPUTED_VALUE"""),794523)</f>
        <v>794523</v>
      </c>
      <c r="AG9" s="215" t="str">
        <f ca="1">IFERROR(__xludf.DUMMYFUNCTION("""COMPUTED_VALUE"""),"Intermediate")</f>
        <v>Intermediate</v>
      </c>
      <c r="AH9" s="217" t="str">
        <f ca="1">IFERROR(__xludf.DUMMYFUNCTION("""COMPUTED_VALUE"""),"非财务管理者的财务学")</f>
        <v>非财务管理者的财务学</v>
      </c>
      <c r="AI9" s="217"/>
      <c r="AJ9" s="213"/>
    </row>
    <row r="10" spans="1:36" ht="33.75" customHeight="1">
      <c r="A10" s="213"/>
      <c r="B10" s="214">
        <f ca="1">IFERROR(__xludf.DUMMYFUNCTION("""COMPUTED_VALUE"""),2887257)</f>
        <v>2887257</v>
      </c>
      <c r="C10" s="215" t="str">
        <f ca="1">IFERROR(__xludf.DUMMYFUNCTION("""COMPUTED_VALUE"""),"Intermediate")</f>
        <v>Intermediate</v>
      </c>
      <c r="D10" s="216" t="str">
        <f ca="1">IFERROR(__xludf.DUMMYFUNCTION("""COMPUTED_VALUE"""),"S/4 Finance: Fiori Accounts Payable Analytics")</f>
        <v>S/4 Finance: Fiori Accounts Payable Analytics</v>
      </c>
      <c r="E10" s="217" t="str">
        <f ca="1">IFERROR(__xludf.DUMMYFUNCTION("""COMPUTED_VALUE"""),"Develop Your Finance and Accounting Skills")</f>
        <v>Develop Your Finance and Accounting Skills</v>
      </c>
      <c r="F10" s="213"/>
      <c r="G10" s="214">
        <f ca="1">IFERROR(__xludf.DUMMYFUNCTION("""COMPUTED_VALUE"""),778427)</f>
        <v>778427</v>
      </c>
      <c r="H10" s="215" t="str">
        <f ca="1">IFERROR(__xludf.DUMMYFUNCTION("""COMPUTED_VALUE"""),"Intermediate")</f>
        <v>Intermediate</v>
      </c>
      <c r="I10" s="217" t="str">
        <f ca="1">IFERROR(__xludf.DUMMYFUNCTION("""COMPUTED_VALUE"""),"La finance pour les petites entreprises")</f>
        <v>La finance pour les petites entreprises</v>
      </c>
      <c r="J10" s="217"/>
      <c r="K10" s="213"/>
      <c r="L10" s="215">
        <f ca="1">IFERROR(__xludf.DUMMYFUNCTION("""COMPUTED_VALUE"""),2813163)</f>
        <v>2813163</v>
      </c>
      <c r="M10" s="215" t="str">
        <f ca="1">IFERROR(__xludf.DUMMYFUNCTION("""COMPUTED_VALUE"""),"Advanced")</f>
        <v>Advanced</v>
      </c>
      <c r="N10" s="217" t="str">
        <f ca="1">IFERROR(__xludf.DUMMYFUNCTION("""COMPUTED_VALUE"""),"Excel para análisis financiero y finanzas corporativas (Office 365/Microsoft 365)")</f>
        <v>Excel para análisis financiero y finanzas corporativas (Office 365/Microsoft 365)</v>
      </c>
      <c r="O10" s="217"/>
      <c r="P10" s="213"/>
      <c r="Q10" s="215">
        <f ca="1">IFERROR(__xludf.DUMMYFUNCTION("""COMPUTED_VALUE"""),704885)</f>
        <v>704885</v>
      </c>
      <c r="R10" s="215" t="str">
        <f ca="1">IFERROR(__xludf.DUMMYFUNCTION("""COMPUTED_VALUE"""),"Beginner")</f>
        <v>Beginner</v>
      </c>
      <c r="S10" s="217" t="str">
        <f ca="1">IFERROR(__xludf.DUMMYFUNCTION("""COMPUTED_VALUE"""),"Finanzwissen für nicht kaufmännische Führungskräfte")</f>
        <v>Finanzwissen für nicht kaufmännische Führungskräfte</v>
      </c>
      <c r="T10" s="217"/>
      <c r="U10" s="213"/>
      <c r="V10" s="215"/>
      <c r="W10" s="215"/>
      <c r="X10" s="217"/>
      <c r="Y10" s="217"/>
      <c r="Z10" s="213"/>
      <c r="AA10" s="215">
        <f ca="1">IFERROR(__xludf.DUMMYFUNCTION("""COMPUTED_VALUE"""),2909979)</f>
        <v>2909979</v>
      </c>
      <c r="AB10" s="215" t="str">
        <f ca="1">IFERROR(__xludf.DUMMYFUNCTION("""COMPUTED_VALUE"""),"Intermediate")</f>
        <v>Intermediate</v>
      </c>
      <c r="AC10" s="217" t="str">
        <f ca="1">IFERROR(__xludf.DUMMYFUNCTION("""COMPUTED_VALUE"""),"Gestão de Contas-Chave")</f>
        <v>Gestão de Contas-Chave</v>
      </c>
      <c r="AD10" s="217"/>
      <c r="AE10" s="213"/>
      <c r="AF10" s="215"/>
      <c r="AG10" s="215"/>
      <c r="AH10" s="217"/>
      <c r="AI10" s="217"/>
      <c r="AJ10" s="213"/>
    </row>
    <row r="11" spans="1:36" ht="33.75" customHeight="1">
      <c r="A11" s="213"/>
      <c r="B11" s="214">
        <f ca="1">IFERROR(__xludf.DUMMYFUNCTION("""COMPUTED_VALUE"""),3129469)</f>
        <v>3129469</v>
      </c>
      <c r="C11" s="215" t="str">
        <f ca="1">IFERROR(__xludf.DUMMYFUNCTION("""COMPUTED_VALUE"""),"Intermediate")</f>
        <v>Intermediate</v>
      </c>
      <c r="D11" s="216" t="str">
        <f ca="1">IFERROR(__xludf.DUMMYFUNCTION("""COMPUTED_VALUE"""),"Advanced Bookkeeping Techniques")</f>
        <v>Advanced Bookkeeping Techniques</v>
      </c>
      <c r="E11" s="217" t="str">
        <f ca="1">IFERROR(__xludf.DUMMYFUNCTION("""COMPUTED_VALUE"""),"Get Ahead in the On-Demand Gig Economy")</f>
        <v>Get Ahead in the On-Demand Gig Economy</v>
      </c>
      <c r="F11" s="213"/>
      <c r="G11" s="214">
        <f ca="1">IFERROR(__xludf.DUMMYFUNCTION("""COMPUTED_VALUE"""),2450000)</f>
        <v>2450000</v>
      </c>
      <c r="H11" s="215" t="str">
        <f ca="1">IFERROR(__xludf.DUMMYFUNCTION("""COMPUTED_VALUE"""),"All levels")</f>
        <v>All levels</v>
      </c>
      <c r="I11" s="217" t="str">
        <f ca="1">IFERROR(__xludf.DUMMYFUNCTION("""COMPUTED_VALUE"""),"L'intelligence artificielle dans le secteur de la banque et de l'assurance")</f>
        <v>L'intelligence artificielle dans le secteur de la banque et de l'assurance</v>
      </c>
      <c r="J11" s="217"/>
      <c r="K11" s="213"/>
      <c r="L11" s="215">
        <f ca="1">IFERROR(__xludf.DUMMYFUNCTION("""COMPUTED_VALUE"""),2822630)</f>
        <v>2822630</v>
      </c>
      <c r="M11" s="215" t="str">
        <f ca="1">IFERROR(__xludf.DUMMYFUNCTION("""COMPUTED_VALUE"""),"Advanced")</f>
        <v>Advanced</v>
      </c>
      <c r="N11" s="217" t="str">
        <f ca="1">IFERROR(__xludf.DUMMYFUNCTION("""COMPUTED_VALUE"""),"Excel para finanzas: Herramientas de análisis avanzadas")</f>
        <v>Excel para finanzas: Herramientas de análisis avanzadas</v>
      </c>
      <c r="O11" s="217"/>
      <c r="P11" s="213"/>
      <c r="Q11" s="215">
        <f ca="1">IFERROR(__xludf.DUMMYFUNCTION("""COMPUTED_VALUE"""),2988616)</f>
        <v>2988616</v>
      </c>
      <c r="R11" s="215" t="str">
        <f ca="1">IFERROR(__xludf.DUMMYFUNCTION("""COMPUTED_VALUE"""),"Beginner")</f>
        <v>Beginner</v>
      </c>
      <c r="S11" s="217" t="str">
        <f ca="1">IFERROR(__xludf.DUMMYFUNCTION("""COMPUTED_VALUE"""),"Geld am Aktienmarkt anlegen")</f>
        <v>Geld am Aktienmarkt anlegen</v>
      </c>
      <c r="T11" s="217"/>
      <c r="U11" s="213"/>
      <c r="V11" s="215"/>
      <c r="W11" s="215"/>
      <c r="X11" s="217"/>
      <c r="Y11" s="217"/>
      <c r="Z11" s="213"/>
      <c r="AA11" s="215"/>
      <c r="AB11" s="215"/>
      <c r="AC11" s="217"/>
      <c r="AD11" s="217"/>
      <c r="AE11" s="213"/>
      <c r="AF11" s="215"/>
      <c r="AG11" s="215"/>
      <c r="AH11" s="217"/>
      <c r="AI11" s="217"/>
      <c r="AJ11" s="213"/>
    </row>
    <row r="12" spans="1:36" ht="33.75" customHeight="1">
      <c r="A12" s="213"/>
      <c r="B12" s="214">
        <f ca="1">IFERROR(__xludf.DUMMYFUNCTION("""COMPUTED_VALUE"""),765310)</f>
        <v>765310</v>
      </c>
      <c r="C12" s="215" t="str">
        <f ca="1">IFERROR(__xludf.DUMMYFUNCTION("""COMPUTED_VALUE"""),"General")</f>
        <v>General</v>
      </c>
      <c r="D12" s="216" t="str">
        <f ca="1">IFERROR(__xludf.DUMMYFUNCTION("""COMPUTED_VALUE"""),"Focusing on the Bottom Line as an Employee")</f>
        <v>Focusing on the Bottom Line as an Employee</v>
      </c>
      <c r="E12" s="217" t="str">
        <f ca="1">IFERROR(__xludf.DUMMYFUNCTION("""COMPUTED_VALUE"""),"Stay Ahead in Personal Finance")</f>
        <v>Stay Ahead in Personal Finance</v>
      </c>
      <c r="F12" s="213"/>
      <c r="G12" s="214"/>
      <c r="H12" s="215"/>
      <c r="I12" s="217"/>
      <c r="J12" s="217"/>
      <c r="K12" s="213"/>
      <c r="L12" s="215">
        <f ca="1">IFERROR(__xludf.DUMMYFUNCTION("""COMPUTED_VALUE"""),2809914)</f>
        <v>2809914</v>
      </c>
      <c r="M12" s="215" t="str">
        <f ca="1">IFERROR(__xludf.DUMMYFUNCTION("""COMPUTED_VALUE"""),"Beginner")</f>
        <v>Beginner</v>
      </c>
      <c r="N12" s="217" t="str">
        <f ca="1">IFERROR(__xludf.DUMMYFUNCTION("""COMPUTED_VALUE"""),"Excel para principiantes: Crear y gestionar facturas (365/2019)")</f>
        <v>Excel para principiantes: Crear y gestionar facturas (365/2019)</v>
      </c>
      <c r="O12" s="217"/>
      <c r="P12" s="213"/>
      <c r="Q12" s="215">
        <f ca="1">IFERROR(__xludf.DUMMYFUNCTION("""COMPUTED_VALUE"""),761036)</f>
        <v>761036</v>
      </c>
      <c r="R12" s="215" t="str">
        <f ca="1">IFERROR(__xludf.DUMMYFUNCTION("""COMPUTED_VALUE"""),"Beginner")</f>
        <v>Beginner</v>
      </c>
      <c r="S12" s="217" t="str">
        <f ca="1">IFERROR(__xludf.DUMMYFUNCTION("""COMPUTED_VALUE"""),"Grundlagen des E-Commerce: Kosten- und Erfolgskontrolle")</f>
        <v>Grundlagen des E-Commerce: Kosten- und Erfolgskontrolle</v>
      </c>
      <c r="T12" s="217"/>
      <c r="U12" s="213"/>
      <c r="V12" s="215"/>
      <c r="W12" s="215"/>
      <c r="X12" s="217"/>
      <c r="Y12" s="217"/>
      <c r="Z12" s="213"/>
      <c r="AA12" s="215"/>
      <c r="AB12" s="215"/>
      <c r="AC12" s="217"/>
      <c r="AD12" s="217"/>
      <c r="AE12" s="213"/>
      <c r="AF12" s="215"/>
      <c r="AG12" s="215"/>
      <c r="AH12" s="217"/>
      <c r="AI12" s="217"/>
      <c r="AJ12" s="213"/>
    </row>
    <row r="13" spans="1:36" ht="33.75" customHeight="1">
      <c r="A13" s="213"/>
      <c r="B13" s="214">
        <f ca="1">IFERROR(__xludf.DUMMYFUNCTION("""COMPUTED_VALUE"""),664827)</f>
        <v>664827</v>
      </c>
      <c r="C13" s="215" t="str">
        <f ca="1">IFERROR(__xludf.DUMMYFUNCTION("""COMPUTED_VALUE"""),"Advanced")</f>
        <v>Advanced</v>
      </c>
      <c r="D13" s="216" t="str">
        <f ca="1">IFERROR(__xludf.DUMMYFUNCTION("""COMPUTED_VALUE"""),"Business Analytics: Forecasting with Exponential Smoothing")</f>
        <v>Business Analytics: Forecasting with Exponential Smoothing</v>
      </c>
      <c r="E13" s="217"/>
      <c r="F13" s="213"/>
      <c r="G13" s="214"/>
      <c r="H13" s="215"/>
      <c r="I13" s="217"/>
      <c r="J13" s="217"/>
      <c r="K13" s="213"/>
      <c r="L13" s="215">
        <f ca="1">IFERROR(__xludf.DUMMYFUNCTION("""COMPUTED_VALUE"""),582455)</f>
        <v>582455</v>
      </c>
      <c r="M13" s="215" t="str">
        <f ca="1">IFERROR(__xludf.DUMMYFUNCTION("""COMPUTED_VALUE"""),"Beginner, Intermediate")</f>
        <v>Beginner, Intermediate</v>
      </c>
      <c r="N13" s="217" t="str">
        <f ca="1">IFERROR(__xludf.DUMMYFUNCTION("""COMPUTED_VALUE"""),"Finanzas para dirigentes no especialistas en finanzas")</f>
        <v>Finanzas para dirigentes no especialistas en finanzas</v>
      </c>
      <c r="O13" s="217"/>
      <c r="P13" s="213"/>
      <c r="Q13" s="215">
        <f ca="1">IFERROR(__xludf.DUMMYFUNCTION("""COMPUTED_VALUE"""),2213624)</f>
        <v>2213624</v>
      </c>
      <c r="R13" s="215" t="str">
        <f ca="1">IFERROR(__xludf.DUMMYFUNCTION("""COMPUTED_VALUE"""),"Intermediate")</f>
        <v>Intermediate</v>
      </c>
      <c r="S13" s="217" t="str">
        <f ca="1">IFERROR(__xludf.DUMMYFUNCTION("""COMPUTED_VALUE"""),"Grundlagen des E-Commerce: Payment")</f>
        <v>Grundlagen des E-Commerce: Payment</v>
      </c>
      <c r="T13" s="217"/>
      <c r="U13" s="213"/>
      <c r="V13" s="215"/>
      <c r="W13" s="215"/>
      <c r="X13" s="217"/>
      <c r="Y13" s="217"/>
      <c r="Z13" s="213"/>
      <c r="AA13" s="215"/>
      <c r="AB13" s="215"/>
      <c r="AC13" s="217"/>
      <c r="AD13" s="217"/>
      <c r="AE13" s="213"/>
      <c r="AF13" s="215"/>
      <c r="AG13" s="215"/>
      <c r="AH13" s="217"/>
      <c r="AI13" s="217"/>
      <c r="AJ13" s="213"/>
    </row>
    <row r="14" spans="1:36" ht="33.75" customHeight="1">
      <c r="A14" s="213"/>
      <c r="B14" s="214">
        <f ca="1">IFERROR(__xludf.DUMMYFUNCTION("""COMPUTED_VALUE"""),728402)</f>
        <v>728402</v>
      </c>
      <c r="C14" s="215" t="str">
        <f ca="1">IFERROR(__xludf.DUMMYFUNCTION("""COMPUTED_VALUE"""),"Advanced")</f>
        <v>Advanced</v>
      </c>
      <c r="D14" s="216" t="str">
        <f ca="1">IFERROR(__xludf.DUMMYFUNCTION("""COMPUTED_VALUE"""),"Business Analytics: Forecasting with Seasonal Baseline Smoothing")</f>
        <v>Business Analytics: Forecasting with Seasonal Baseline Smoothing</v>
      </c>
      <c r="E14" s="217"/>
      <c r="F14" s="213"/>
      <c r="G14" s="214"/>
      <c r="H14" s="215"/>
      <c r="I14" s="217"/>
      <c r="J14" s="217"/>
      <c r="K14" s="213"/>
      <c r="L14" s="215">
        <f ca="1">IFERROR(__xludf.DUMMYFUNCTION("""COMPUTED_VALUE"""),482695)</f>
        <v>482695</v>
      </c>
      <c r="M14" s="215" t="str">
        <f ca="1">IFERROR(__xludf.DUMMYFUNCTION("""COMPUTED_VALUE"""),"Beginner")</f>
        <v>Beginner</v>
      </c>
      <c r="N14" s="217" t="str">
        <f ca="1">IFERROR(__xludf.DUMMYFUNCTION("""COMPUTED_VALUE"""),"Finanzas para pequeñas empresas")</f>
        <v>Finanzas para pequeñas empresas</v>
      </c>
      <c r="O14" s="217"/>
      <c r="P14" s="213"/>
      <c r="Q14" s="215">
        <f ca="1">IFERROR(__xludf.DUMMYFUNCTION("""COMPUTED_VALUE"""),408954)</f>
        <v>408954</v>
      </c>
      <c r="R14" s="215" t="str">
        <f ca="1">IFERROR(__xludf.DUMMYFUNCTION("""COMPUTED_VALUE"""),"Intermediate")</f>
        <v>Intermediate</v>
      </c>
      <c r="S14" s="217" t="str">
        <f ca="1">IFERROR(__xludf.DUMMYFUNCTION("""COMPUTED_VALUE"""),"Kassenbuch mit Excel")</f>
        <v>Kassenbuch mit Excel</v>
      </c>
      <c r="T14" s="217"/>
      <c r="U14" s="213"/>
      <c r="V14" s="215"/>
      <c r="W14" s="215"/>
      <c r="X14" s="217"/>
      <c r="Y14" s="217"/>
      <c r="Z14" s="213"/>
      <c r="AA14" s="215"/>
      <c r="AB14" s="215"/>
      <c r="AC14" s="217"/>
      <c r="AD14" s="217"/>
      <c r="AE14" s="213"/>
      <c r="AF14" s="215"/>
      <c r="AG14" s="215"/>
      <c r="AH14" s="217"/>
      <c r="AI14" s="217"/>
      <c r="AJ14" s="213"/>
    </row>
    <row r="15" spans="1:36" ht="33.75" customHeight="1">
      <c r="A15" s="213"/>
      <c r="B15" s="214">
        <f ca="1">IFERROR(__xludf.DUMMYFUNCTION("""COMPUTED_VALUE"""),728374)</f>
        <v>728374</v>
      </c>
      <c r="C15" s="215" t="str">
        <f ca="1">IFERROR(__xludf.DUMMYFUNCTION("""COMPUTED_VALUE"""),"Advanced")</f>
        <v>Advanced</v>
      </c>
      <c r="D15" s="216" t="str">
        <f ca="1">IFERROR(__xludf.DUMMYFUNCTION("""COMPUTED_VALUE"""),"Business Intelligence for Consultants")</f>
        <v>Business Intelligence for Consultants</v>
      </c>
      <c r="E15" s="217"/>
      <c r="F15" s="213"/>
      <c r="G15" s="214"/>
      <c r="H15" s="215"/>
      <c r="I15" s="217"/>
      <c r="J15" s="217"/>
      <c r="K15" s="213"/>
      <c r="L15" s="215">
        <f ca="1">IFERROR(__xludf.DUMMYFUNCTION("""COMPUTED_VALUE"""),2922713)</f>
        <v>2922713</v>
      </c>
      <c r="M15" s="215" t="str">
        <f ca="1">IFERROR(__xludf.DUMMYFUNCTION("""COMPUTED_VALUE"""),"Beginner, Intermediate")</f>
        <v>Beginner, Intermediate</v>
      </c>
      <c r="N15" s="217" t="str">
        <f ca="1">IFERROR(__xludf.DUMMYFUNCTION("""COMPUTED_VALUE"""),"Finanzas personales: Trucos")</f>
        <v>Finanzas personales: Trucos</v>
      </c>
      <c r="O15" s="217"/>
      <c r="P15" s="213"/>
      <c r="Q15" s="215">
        <f ca="1">IFERROR(__xludf.DUMMYFUNCTION("""COMPUTED_VALUE"""),485461)</f>
        <v>485461</v>
      </c>
      <c r="R15" s="215" t="str">
        <f ca="1">IFERROR(__xludf.DUMMYFUNCTION("""COMPUTED_VALUE"""),"Beginner")</f>
        <v>Beginner</v>
      </c>
      <c r="S15" s="217" t="str">
        <f ca="1">IFERROR(__xludf.DUMMYFUNCTION("""COMPUTED_VALUE"""),"SAP Business One Finanzbuchhaltung Grundkurs")</f>
        <v>SAP Business One Finanzbuchhaltung Grundkurs</v>
      </c>
      <c r="T15" s="217"/>
      <c r="U15" s="213"/>
      <c r="V15" s="215"/>
      <c r="W15" s="215"/>
      <c r="X15" s="217"/>
      <c r="Y15" s="217"/>
      <c r="Z15" s="213"/>
      <c r="AA15" s="215"/>
      <c r="AB15" s="215"/>
      <c r="AC15" s="217"/>
      <c r="AD15" s="217"/>
      <c r="AE15" s="213"/>
      <c r="AF15" s="215"/>
      <c r="AG15" s="215"/>
      <c r="AH15" s="217"/>
      <c r="AI15" s="217"/>
      <c r="AJ15" s="213"/>
    </row>
    <row r="16" spans="1:36" ht="33.75" customHeight="1">
      <c r="A16" s="213"/>
      <c r="B16" s="214">
        <f ca="1">IFERROR(__xludf.DUMMYFUNCTION("""COMPUTED_VALUE"""),2823067)</f>
        <v>2823067</v>
      </c>
      <c r="C16" s="215" t="str">
        <f ca="1">IFERROR(__xludf.DUMMYFUNCTION("""COMPUTED_VALUE"""),"Advanced")</f>
        <v>Advanced</v>
      </c>
      <c r="D16" s="216" t="str">
        <f ca="1">IFERROR(__xludf.DUMMYFUNCTION("""COMPUTED_VALUE"""),"Accounting Foundations: Asset Impairment")</f>
        <v>Accounting Foundations: Asset Impairment</v>
      </c>
      <c r="E16" s="217"/>
      <c r="F16" s="213"/>
      <c r="G16" s="214"/>
      <c r="H16" s="215"/>
      <c r="I16" s="217"/>
      <c r="J16" s="217"/>
      <c r="K16" s="213"/>
      <c r="L16" s="215">
        <f ca="1">IFERROR(__xludf.DUMMYFUNCTION("""COMPUTED_VALUE"""),2923070)</f>
        <v>2923070</v>
      </c>
      <c r="M16" s="215" t="str">
        <f ca="1">IFERROR(__xludf.DUMMYFUNCTION("""COMPUTED_VALUE"""),"Advanced")</f>
        <v>Advanced</v>
      </c>
      <c r="N16" s="217" t="str">
        <f ca="1">IFERROR(__xludf.DUMMYFUNCTION("""COMPUTED_VALUE"""),"Finanzas personales: Trucos avanzados")</f>
        <v>Finanzas personales: Trucos avanzados</v>
      </c>
      <c r="O16" s="217"/>
      <c r="P16" s="213"/>
      <c r="Q16" s="215">
        <f ca="1">IFERROR(__xludf.DUMMYFUNCTION("""COMPUTED_VALUE"""),647944)</f>
        <v>647944</v>
      </c>
      <c r="R16" s="215" t="str">
        <f ca="1">IFERROR(__xludf.DUMMYFUNCTION("""COMPUTED_VALUE"""),"All levels")</f>
        <v>All levels</v>
      </c>
      <c r="S16" s="217" t="str">
        <f ca="1">IFERROR(__xludf.DUMMYFUNCTION("""COMPUTED_VALUE"""),"Unternehmerische Fähigkeiten entwickeln")</f>
        <v>Unternehmerische Fähigkeiten entwickeln</v>
      </c>
      <c r="T16" s="217"/>
      <c r="U16" s="213"/>
      <c r="V16" s="215"/>
      <c r="W16" s="215"/>
      <c r="X16" s="217"/>
      <c r="Y16" s="217"/>
      <c r="Z16" s="213"/>
      <c r="AA16" s="215"/>
      <c r="AB16" s="215"/>
      <c r="AC16" s="217"/>
      <c r="AD16" s="217"/>
      <c r="AE16" s="213"/>
      <c r="AF16" s="215"/>
      <c r="AG16" s="215"/>
      <c r="AH16" s="217"/>
      <c r="AI16" s="217"/>
      <c r="AJ16" s="213"/>
    </row>
    <row r="17" spans="1:36" ht="33.75" customHeight="1">
      <c r="A17" s="213"/>
      <c r="B17" s="214">
        <f ca="1">IFERROR(__xludf.DUMMYFUNCTION("""COMPUTED_VALUE"""),2848324)</f>
        <v>2848324</v>
      </c>
      <c r="C17" s="215" t="str">
        <f ca="1">IFERROR(__xludf.DUMMYFUNCTION("""COMPUTED_VALUE"""),"Beginner")</f>
        <v>Beginner</v>
      </c>
      <c r="D17" s="216" t="str">
        <f ca="1">IFERROR(__xludf.DUMMYFUNCTION("""COMPUTED_VALUE"""),"Financial Adulting")</f>
        <v>Financial Adulting</v>
      </c>
      <c r="E17" s="217"/>
      <c r="F17" s="213"/>
      <c r="G17" s="214"/>
      <c r="H17" s="215"/>
      <c r="I17" s="217"/>
      <c r="J17" s="217"/>
      <c r="K17" s="213"/>
      <c r="L17" s="215">
        <f ca="1">IFERROR(__xludf.DUMMYFUNCTION("""COMPUTED_VALUE"""),748214)</f>
        <v>748214</v>
      </c>
      <c r="M17" s="215" t="str">
        <f ca="1">IFERROR(__xludf.DUMMYFUNCTION("""COMPUTED_VALUE"""),"Beginner, Intermediate")</f>
        <v>Beginner, Intermediate</v>
      </c>
      <c r="N17" s="217" t="str">
        <f ca="1">IFERROR(__xludf.DUMMYFUNCTION("""COMPUTED_VALUE"""),"Fundamentos de Fintech o finanza tecnológica")</f>
        <v>Fundamentos de Fintech o finanza tecnológica</v>
      </c>
      <c r="O17" s="217"/>
      <c r="P17" s="213"/>
      <c r="Q17" s="215">
        <f ca="1">IFERROR(__xludf.DUMMYFUNCTION("""COMPUTED_VALUE"""),195280)</f>
        <v>195280</v>
      </c>
      <c r="R17" s="215" t="str">
        <f ca="1">IFERROR(__xludf.DUMMYFUNCTION("""COMPUTED_VALUE"""),"Beginner")</f>
        <v>Beginner</v>
      </c>
      <c r="S17" s="217" t="str">
        <f ca="1">IFERROR(__xludf.DUMMYFUNCTION("""COMPUTED_VALUE"""),"Wirtschaftlichkeitsrechnung lernen")</f>
        <v>Wirtschaftlichkeitsrechnung lernen</v>
      </c>
      <c r="T17" s="217"/>
      <c r="U17" s="213"/>
      <c r="V17" s="215"/>
      <c r="W17" s="215"/>
      <c r="X17" s="217"/>
      <c r="Y17" s="217"/>
      <c r="Z17" s="213"/>
      <c r="AA17" s="215"/>
      <c r="AB17" s="215"/>
      <c r="AC17" s="217"/>
      <c r="AD17" s="217"/>
      <c r="AE17" s="213"/>
      <c r="AF17" s="215"/>
      <c r="AG17" s="215"/>
      <c r="AH17" s="217"/>
      <c r="AI17" s="217"/>
      <c r="AJ17" s="213"/>
    </row>
    <row r="18" spans="1:36" ht="33.75" customHeight="1">
      <c r="A18" s="213"/>
      <c r="B18" s="214">
        <f ca="1">IFERROR(__xludf.DUMMYFUNCTION("""COMPUTED_VALUE"""),2849263)</f>
        <v>2849263</v>
      </c>
      <c r="C18" s="215" t="str">
        <f ca="1">IFERROR(__xludf.DUMMYFUNCTION("""COMPUTED_VALUE"""),"Beginner")</f>
        <v>Beginner</v>
      </c>
      <c r="D18" s="216" t="str">
        <f ca="1">IFERROR(__xludf.DUMMYFUNCTION("""COMPUTED_VALUE"""),"SAP ERP Essential Training")</f>
        <v>SAP ERP Essential Training</v>
      </c>
      <c r="E18" s="217"/>
      <c r="F18" s="213"/>
      <c r="G18" s="214"/>
      <c r="H18" s="215"/>
      <c r="I18" s="217"/>
      <c r="J18" s="217"/>
      <c r="K18" s="213"/>
      <c r="L18" s="215">
        <f ca="1">IFERROR(__xludf.DUMMYFUNCTION("""COMPUTED_VALUE"""),405890)</f>
        <v>405890</v>
      </c>
      <c r="M18" s="215" t="str">
        <f ca="1">IFERROR(__xludf.DUMMYFUNCTION("""COMPUTED_VALUE"""),"Beginner")</f>
        <v>Beginner</v>
      </c>
      <c r="N18" s="217" t="str">
        <f ca="1">IFERROR(__xludf.DUMMYFUNCTION("""COMPUTED_VALUE"""),"Fundamentos de la contabilidad")</f>
        <v>Fundamentos de la contabilidad</v>
      </c>
      <c r="O18" s="217"/>
      <c r="P18" s="213"/>
      <c r="Q18" s="215"/>
      <c r="R18" s="215"/>
      <c r="S18" s="217"/>
      <c r="T18" s="217"/>
      <c r="U18" s="213"/>
      <c r="V18" s="215"/>
      <c r="W18" s="215"/>
      <c r="X18" s="217"/>
      <c r="Y18" s="217"/>
      <c r="Z18" s="213"/>
      <c r="AA18" s="215"/>
      <c r="AB18" s="215"/>
      <c r="AC18" s="217"/>
      <c r="AD18" s="217"/>
      <c r="AE18" s="213"/>
      <c r="AF18" s="215"/>
      <c r="AG18" s="215"/>
      <c r="AH18" s="217"/>
      <c r="AI18" s="217"/>
      <c r="AJ18" s="213"/>
    </row>
    <row r="19" spans="1:36" ht="33.75" customHeight="1">
      <c r="A19" s="213"/>
      <c r="B19" s="214">
        <f ca="1">IFERROR(__xludf.DUMMYFUNCTION("""COMPUTED_VALUE"""),777378)</f>
        <v>777378</v>
      </c>
      <c r="C19" s="215" t="str">
        <f ca="1">IFERROR(__xludf.DUMMYFUNCTION("""COMPUTED_VALUE"""),"Beginner")</f>
        <v>Beginner</v>
      </c>
      <c r="D19" s="216" t="str">
        <f ca="1">IFERROR(__xludf.DUMMYFUNCTION("""COMPUTED_VALUE"""),"Accounting Foundations")</f>
        <v>Accounting Foundations</v>
      </c>
      <c r="E19" s="217"/>
      <c r="F19" s="213"/>
      <c r="G19" s="214"/>
      <c r="H19" s="215"/>
      <c r="I19" s="217"/>
      <c r="J19" s="217"/>
      <c r="K19" s="213"/>
      <c r="L19" s="215">
        <f ca="1">IFERROR(__xludf.DUMMYFUNCTION("""COMPUTED_VALUE"""),568991)</f>
        <v>568991</v>
      </c>
      <c r="M19" s="215" t="str">
        <f ca="1">IFERROR(__xludf.DUMMYFUNCTION("""COMPUTED_VALUE"""),"Beginner, Intermediate")</f>
        <v>Beginner, Intermediate</v>
      </c>
      <c r="N19" s="217" t="str">
        <f ca="1">IFERROR(__xludf.DUMMYFUNCTION("""COMPUTED_VALUE"""),"Fundamentos de la gestión de proyectos: Presupuestos")</f>
        <v>Fundamentos de la gestión de proyectos: Presupuestos</v>
      </c>
      <c r="O19" s="217"/>
      <c r="P19" s="213"/>
      <c r="Q19" s="215"/>
      <c r="R19" s="215"/>
      <c r="S19" s="217"/>
      <c r="T19" s="217"/>
      <c r="U19" s="213"/>
      <c r="V19" s="215"/>
      <c r="W19" s="215"/>
      <c r="X19" s="217"/>
      <c r="Y19" s="217"/>
      <c r="Z19" s="213"/>
      <c r="AA19" s="215"/>
      <c r="AB19" s="215"/>
      <c r="AC19" s="217"/>
      <c r="AD19" s="217"/>
      <c r="AE19" s="213"/>
      <c r="AF19" s="215"/>
      <c r="AG19" s="215"/>
      <c r="AH19" s="217"/>
      <c r="AI19" s="217"/>
      <c r="AJ19" s="213"/>
    </row>
    <row r="20" spans="1:36" ht="33.75" customHeight="1">
      <c r="A20" s="213"/>
      <c r="B20" s="214">
        <f ca="1">IFERROR(__xludf.DUMMYFUNCTION("""COMPUTED_VALUE"""),779741)</f>
        <v>779741</v>
      </c>
      <c r="C20" s="215" t="str">
        <f ca="1">IFERROR(__xludf.DUMMYFUNCTION("""COMPUTED_VALUE"""),"Beginner")</f>
        <v>Beginner</v>
      </c>
      <c r="D20" s="216" t="str">
        <f ca="1">IFERROR(__xludf.DUMMYFUNCTION("""COMPUTED_VALUE"""),"Accounting Foundations: Bookkeeping")</f>
        <v>Accounting Foundations: Bookkeeping</v>
      </c>
      <c r="E20" s="217"/>
      <c r="F20" s="213"/>
      <c r="G20" s="214"/>
      <c r="H20" s="215"/>
      <c r="I20" s="217"/>
      <c r="J20" s="217"/>
      <c r="K20" s="213"/>
      <c r="L20" s="215">
        <f ca="1">IFERROR(__xludf.DUMMYFUNCTION("""COMPUTED_VALUE"""),190316)</f>
        <v>190316</v>
      </c>
      <c r="M20" s="215" t="str">
        <f ca="1">IFERROR(__xludf.DUMMYFUNCTION("""COMPUTED_VALUE"""),"Beginner")</f>
        <v>Beginner</v>
      </c>
      <c r="N20" s="217" t="str">
        <f ca="1">IFERROR(__xludf.DUMMYFUNCTION("""COMPUTED_VALUE"""),"Fundamentos de las finanzas: Análisis de informes financieros")</f>
        <v>Fundamentos de las finanzas: Análisis de informes financieros</v>
      </c>
      <c r="O20" s="217"/>
      <c r="P20" s="213"/>
      <c r="Q20" s="215"/>
      <c r="R20" s="215"/>
      <c r="S20" s="217"/>
      <c r="T20" s="217"/>
      <c r="U20" s="213"/>
      <c r="V20" s="215"/>
      <c r="W20" s="215"/>
      <c r="X20" s="217"/>
      <c r="Y20" s="217"/>
      <c r="Z20" s="213"/>
      <c r="AA20" s="215"/>
      <c r="AB20" s="215"/>
      <c r="AC20" s="217"/>
      <c r="AD20" s="217"/>
      <c r="AE20" s="213"/>
      <c r="AF20" s="215"/>
      <c r="AG20" s="215"/>
      <c r="AH20" s="217"/>
      <c r="AI20" s="217"/>
      <c r="AJ20" s="213"/>
    </row>
    <row r="21" spans="1:36" ht="33.75" customHeight="1">
      <c r="A21" s="213"/>
      <c r="B21" s="214">
        <f ca="1">IFERROR(__xludf.DUMMYFUNCTION("""COMPUTED_VALUE"""),779742)</f>
        <v>779742</v>
      </c>
      <c r="C21" s="215" t="str">
        <f ca="1">IFERROR(__xludf.DUMMYFUNCTION("""COMPUTED_VALUE"""),"Beginner")</f>
        <v>Beginner</v>
      </c>
      <c r="D21" s="216" t="str">
        <f ca="1">IFERROR(__xludf.DUMMYFUNCTION("""COMPUTED_VALUE"""),"Accounting Foundations: Budgeting")</f>
        <v>Accounting Foundations: Budgeting</v>
      </c>
      <c r="E21" s="217"/>
      <c r="F21" s="213"/>
      <c r="G21" s="214"/>
      <c r="H21" s="215"/>
      <c r="I21" s="217"/>
      <c r="J21" s="217"/>
      <c r="K21" s="213"/>
      <c r="L21" s="215">
        <f ca="1">IFERROR(__xludf.DUMMYFUNCTION("""COMPUTED_VALUE"""),190315)</f>
        <v>190315</v>
      </c>
      <c r="M21" s="215" t="str">
        <f ca="1">IFERROR(__xludf.DUMMYFUNCTION("""COMPUTED_VALUE"""),"Beginner")</f>
        <v>Beginner</v>
      </c>
      <c r="N21" s="217" t="str">
        <f ca="1">IFERROR(__xludf.DUMMYFUNCTION("""COMPUTED_VALUE"""),"Fundamentos de las finanzas: Comprensión de informes financieros")</f>
        <v>Fundamentos de las finanzas: Comprensión de informes financieros</v>
      </c>
      <c r="O21" s="217"/>
      <c r="P21" s="213"/>
      <c r="Q21" s="215"/>
      <c r="R21" s="215"/>
      <c r="S21" s="217"/>
      <c r="T21" s="217"/>
      <c r="U21" s="213"/>
      <c r="V21" s="215"/>
      <c r="W21" s="215"/>
      <c r="X21" s="217"/>
      <c r="Y21" s="217"/>
      <c r="Z21" s="213"/>
      <c r="AA21" s="215"/>
      <c r="AB21" s="215"/>
      <c r="AC21" s="217"/>
      <c r="AD21" s="217"/>
      <c r="AE21" s="213"/>
      <c r="AF21" s="215"/>
      <c r="AG21" s="215"/>
      <c r="AH21" s="217"/>
      <c r="AI21" s="217"/>
      <c r="AJ21" s="213"/>
    </row>
    <row r="22" spans="1:36" ht="33.75" customHeight="1">
      <c r="A22" s="213"/>
      <c r="B22" s="214">
        <f ca="1">IFERROR(__xludf.DUMMYFUNCTION("""COMPUTED_VALUE"""),699335)</f>
        <v>699335</v>
      </c>
      <c r="C22" s="215" t="str">
        <f ca="1">IFERROR(__xludf.DUMMYFUNCTION("""COMPUTED_VALUE"""),"Beginner")</f>
        <v>Beginner</v>
      </c>
      <c r="D22" s="216" t="str">
        <f ca="1">IFERROR(__xludf.DUMMYFUNCTION("""COMPUTED_VALUE"""),"Audit and Due Diligence Foundations")</f>
        <v>Audit and Due Diligence Foundations</v>
      </c>
      <c r="E22" s="217"/>
      <c r="F22" s="213"/>
      <c r="G22" s="214"/>
      <c r="H22" s="215"/>
      <c r="I22" s="217"/>
      <c r="J22" s="217"/>
      <c r="K22" s="213"/>
      <c r="L22" s="215">
        <f ca="1">IFERROR(__xludf.DUMMYFUNCTION("""COMPUTED_VALUE"""),417737)</f>
        <v>417737</v>
      </c>
      <c r="M22" s="215" t="str">
        <f ca="1">IFERROR(__xludf.DUMMYFUNCTION("""COMPUTED_VALUE"""),"Beginner")</f>
        <v>Beginner</v>
      </c>
      <c r="N22" s="217" t="str">
        <f ca="1">IFERROR(__xludf.DUMMYFUNCTION("""COMPUTED_VALUE"""),"Fundamentos de las finanzas: Control y reducción de costes")</f>
        <v>Fundamentos de las finanzas: Control y reducción de costes</v>
      </c>
      <c r="O22" s="217"/>
      <c r="P22" s="213"/>
      <c r="Q22" s="215"/>
      <c r="R22" s="215"/>
      <c r="S22" s="217"/>
      <c r="T22" s="217"/>
      <c r="U22" s="213"/>
      <c r="V22" s="215"/>
      <c r="W22" s="215"/>
      <c r="X22" s="217"/>
      <c r="Y22" s="217"/>
      <c r="Z22" s="213"/>
      <c r="AA22" s="215"/>
      <c r="AB22" s="215"/>
      <c r="AC22" s="217"/>
      <c r="AD22" s="217"/>
      <c r="AE22" s="213"/>
      <c r="AF22" s="215"/>
      <c r="AG22" s="215"/>
      <c r="AH22" s="217"/>
      <c r="AI22" s="217"/>
      <c r="AJ22" s="213"/>
    </row>
    <row r="23" spans="1:36" ht="33.75" customHeight="1">
      <c r="A23" s="213"/>
      <c r="B23" s="214">
        <f ca="1">IFERROR(__xludf.DUMMYFUNCTION("""COMPUTED_VALUE"""),786356)</f>
        <v>786356</v>
      </c>
      <c r="C23" s="215" t="str">
        <f ca="1">IFERROR(__xludf.DUMMYFUNCTION("""COMPUTED_VALUE"""),"Beginner")</f>
        <v>Beginner</v>
      </c>
      <c r="D23" s="216" t="str">
        <f ca="1">IFERROR(__xludf.DUMMYFUNCTION("""COMPUTED_VALUE"""),"Business Tax Foundations")</f>
        <v>Business Tax Foundations</v>
      </c>
      <c r="E23" s="217"/>
      <c r="F23" s="213"/>
      <c r="G23" s="214"/>
      <c r="H23" s="215"/>
      <c r="I23" s="217"/>
      <c r="J23" s="217"/>
      <c r="K23" s="213"/>
      <c r="L23" s="215">
        <f ca="1">IFERROR(__xludf.DUMMYFUNCTION("""COMPUTED_VALUE"""),190317)</f>
        <v>190317</v>
      </c>
      <c r="M23" s="215" t="str">
        <f ca="1">IFERROR(__xludf.DUMMYFUNCTION("""COMPUTED_VALUE"""),"Beginner")</f>
        <v>Beginner</v>
      </c>
      <c r="N23" s="217" t="str">
        <f ca="1">IFERROR(__xludf.DUMMYFUNCTION("""COMPUTED_VALUE"""),"Fundamentos de las finanzas: Decisiones de inversión")</f>
        <v>Fundamentos de las finanzas: Decisiones de inversión</v>
      </c>
      <c r="O23" s="217"/>
      <c r="P23" s="213"/>
      <c r="Q23" s="215"/>
      <c r="R23" s="215"/>
      <c r="S23" s="217"/>
      <c r="T23" s="217"/>
      <c r="U23" s="213"/>
      <c r="V23" s="215"/>
      <c r="W23" s="215"/>
      <c r="X23" s="217"/>
      <c r="Y23" s="217"/>
      <c r="Z23" s="213"/>
      <c r="AA23" s="215"/>
      <c r="AB23" s="215"/>
      <c r="AC23" s="217"/>
      <c r="AD23" s="217"/>
      <c r="AE23" s="213"/>
      <c r="AF23" s="215"/>
      <c r="AG23" s="215"/>
      <c r="AH23" s="217"/>
      <c r="AI23" s="217"/>
      <c r="AJ23" s="213"/>
    </row>
    <row r="24" spans="1:36" ht="33.75" customHeight="1">
      <c r="A24" s="213"/>
      <c r="B24" s="214">
        <f ca="1">IFERROR(__xludf.DUMMYFUNCTION("""COMPUTED_VALUE"""),777379)</f>
        <v>777379</v>
      </c>
      <c r="C24" s="215" t="str">
        <f ca="1">IFERROR(__xludf.DUMMYFUNCTION("""COMPUTED_VALUE"""),"Beginner")</f>
        <v>Beginner</v>
      </c>
      <c r="D24" s="216" t="str">
        <f ca="1">IFERROR(__xludf.DUMMYFUNCTION("""COMPUTED_VALUE"""),"Finance Foundations")</f>
        <v>Finance Foundations</v>
      </c>
      <c r="E24" s="217"/>
      <c r="F24" s="213"/>
      <c r="G24" s="214"/>
      <c r="H24" s="215"/>
      <c r="I24" s="217"/>
      <c r="J24" s="217"/>
      <c r="K24" s="213"/>
      <c r="L24" s="215">
        <f ca="1">IFERROR(__xludf.DUMMYFUNCTION("""COMPUTED_VALUE"""),408447)</f>
        <v>408447</v>
      </c>
      <c r="M24" s="215" t="str">
        <f ca="1">IFERROR(__xludf.DUMMYFUNCTION("""COMPUTED_VALUE"""),"Beginner")</f>
        <v>Beginner</v>
      </c>
      <c r="N24" s="217" t="str">
        <f ca="1">IFERROR(__xludf.DUMMYFUNCTION("""COMPUTED_VALUE"""),"Fundamentos de las finanzas: Terminología económico-financiera")</f>
        <v>Fundamentos de las finanzas: Terminología económico-financiera</v>
      </c>
      <c r="O24" s="217"/>
      <c r="P24" s="213"/>
      <c r="Q24" s="215"/>
      <c r="R24" s="215"/>
      <c r="S24" s="217"/>
      <c r="T24" s="217"/>
      <c r="U24" s="213"/>
      <c r="V24" s="215"/>
      <c r="W24" s="215"/>
      <c r="X24" s="217"/>
      <c r="Y24" s="217"/>
      <c r="Z24" s="213"/>
      <c r="AA24" s="215"/>
      <c r="AB24" s="215"/>
      <c r="AC24" s="217"/>
      <c r="AD24" s="217"/>
      <c r="AE24" s="213"/>
      <c r="AF24" s="215"/>
      <c r="AG24" s="215"/>
      <c r="AH24" s="217"/>
      <c r="AI24" s="217"/>
      <c r="AJ24" s="213"/>
    </row>
    <row r="25" spans="1:36" ht="33.75" customHeight="1">
      <c r="A25" s="213"/>
      <c r="B25" s="214">
        <f ca="1">IFERROR(__xludf.DUMMYFUNCTION("""COMPUTED_VALUE"""),779740)</f>
        <v>779740</v>
      </c>
      <c r="C25" s="215" t="str">
        <f ca="1">IFERROR(__xludf.DUMMYFUNCTION("""COMPUTED_VALUE"""),"Beginner")</f>
        <v>Beginner</v>
      </c>
      <c r="D25" s="216" t="str">
        <f ca="1">IFERROR(__xludf.DUMMYFUNCTION("""COMPUTED_VALUE"""),"Finance Foundations: Income Taxes")</f>
        <v>Finance Foundations: Income Taxes</v>
      </c>
      <c r="E25" s="217"/>
      <c r="F25" s="213"/>
      <c r="G25" s="214"/>
      <c r="H25" s="215"/>
      <c r="I25" s="217"/>
      <c r="J25" s="217"/>
      <c r="K25" s="213"/>
      <c r="L25" s="215">
        <f ca="1">IFERROR(__xludf.DUMMYFUNCTION("""COMPUTED_VALUE"""),2861077)</f>
        <v>2861077</v>
      </c>
      <c r="M25" s="215" t="str">
        <f ca="1">IFERROR(__xludf.DUMMYFUNCTION("""COMPUTED_VALUE"""),"Beginner")</f>
        <v>Beginner</v>
      </c>
      <c r="N25" s="217" t="str">
        <f ca="1">IFERROR(__xludf.DUMMYFUNCTION("""COMPUTED_VALUE"""),"Fundamentos de matemática: Bases y cálculo mental")</f>
        <v>Fundamentos de matemática: Bases y cálculo mental</v>
      </c>
      <c r="O25" s="217"/>
      <c r="P25" s="213"/>
      <c r="Q25" s="215"/>
      <c r="R25" s="215"/>
      <c r="S25" s="217"/>
      <c r="T25" s="217"/>
      <c r="U25" s="213"/>
      <c r="V25" s="215"/>
      <c r="W25" s="215"/>
      <c r="X25" s="217"/>
      <c r="Y25" s="217"/>
      <c r="Z25" s="213"/>
      <c r="AA25" s="215"/>
      <c r="AB25" s="215"/>
      <c r="AC25" s="217"/>
      <c r="AD25" s="217"/>
      <c r="AE25" s="213"/>
      <c r="AF25" s="215"/>
      <c r="AG25" s="215"/>
      <c r="AH25" s="217"/>
      <c r="AI25" s="217"/>
      <c r="AJ25" s="213"/>
    </row>
    <row r="26" spans="1:36" ht="33.75" customHeight="1">
      <c r="A26" s="213"/>
      <c r="B26" s="214">
        <f ca="1">IFERROR(__xludf.DUMMYFUNCTION("""COMPUTED_VALUE"""),174916)</f>
        <v>174916</v>
      </c>
      <c r="C26" s="215" t="str">
        <f ca="1">IFERROR(__xludf.DUMMYFUNCTION("""COMPUTED_VALUE"""),"Beginner")</f>
        <v>Beginner</v>
      </c>
      <c r="D26" s="216" t="str">
        <f ca="1">IFERROR(__xludf.DUMMYFUNCTION("""COMPUTED_VALUE"""),"Running a Profitable Business: Understanding Financial Ratios")</f>
        <v>Running a Profitable Business: Understanding Financial Ratios</v>
      </c>
      <c r="E26" s="217"/>
      <c r="F26" s="213"/>
      <c r="G26" s="214"/>
      <c r="H26" s="215"/>
      <c r="I26" s="217"/>
      <c r="J26" s="217"/>
      <c r="K26" s="213"/>
      <c r="L26" s="215">
        <f ca="1">IFERROR(__xludf.DUMMYFUNCTION("""COMPUTED_VALUE"""),5025687)</f>
        <v>5025687</v>
      </c>
      <c r="M26" s="215" t="str">
        <f ca="1">IFERROR(__xludf.DUMMYFUNCTION("""COMPUTED_VALUE"""),"Intermediate")</f>
        <v>Intermediate</v>
      </c>
      <c r="N26" s="217" t="str">
        <f ca="1">IFERROR(__xludf.DUMMYFUNCTION("""COMPUTED_VALUE"""),"Gestión de cuentas clave")</f>
        <v>Gestión de cuentas clave</v>
      </c>
      <c r="O26" s="217"/>
      <c r="P26" s="213"/>
      <c r="Q26" s="215"/>
      <c r="R26" s="215"/>
      <c r="S26" s="217"/>
      <c r="T26" s="217"/>
      <c r="U26" s="213"/>
      <c r="V26" s="215"/>
      <c r="W26" s="215"/>
      <c r="X26" s="217"/>
      <c r="Y26" s="217"/>
      <c r="Z26" s="213"/>
      <c r="AA26" s="215"/>
      <c r="AB26" s="215"/>
      <c r="AC26" s="217"/>
      <c r="AD26" s="217"/>
      <c r="AE26" s="213"/>
      <c r="AF26" s="215"/>
      <c r="AG26" s="215"/>
      <c r="AH26" s="217"/>
      <c r="AI26" s="217"/>
      <c r="AJ26" s="213"/>
    </row>
    <row r="27" spans="1:36" ht="33.75" customHeight="1">
      <c r="A27" s="213"/>
      <c r="B27" s="214">
        <f ca="1">IFERROR(__xludf.DUMMYFUNCTION("""COMPUTED_VALUE"""),5038201)</f>
        <v>5038201</v>
      </c>
      <c r="C27" s="215" t="str">
        <f ca="1">IFERROR(__xludf.DUMMYFUNCTION("""COMPUTED_VALUE"""),"Beginner")</f>
        <v>Beginner</v>
      </c>
      <c r="D27" s="216" t="str">
        <f ca="1">IFERROR(__xludf.DUMMYFUNCTION("""COMPUTED_VALUE"""),"Teaching Your Kids About Finance")</f>
        <v>Teaching Your Kids About Finance</v>
      </c>
      <c r="E27" s="217"/>
      <c r="F27" s="213"/>
      <c r="G27" s="214"/>
      <c r="H27" s="215"/>
      <c r="I27" s="217"/>
      <c r="J27" s="217"/>
      <c r="K27" s="213"/>
      <c r="L27" s="215">
        <f ca="1">IFERROR(__xludf.DUMMYFUNCTION("""COMPUTED_VALUE"""),497717)</f>
        <v>497717</v>
      </c>
      <c r="M27" s="215" t="str">
        <f ca="1">IFERROR(__xludf.DUMMYFUNCTION("""COMPUTED_VALUE"""),"Intermediate")</f>
        <v>Intermediate</v>
      </c>
      <c r="N27" s="217" t="str">
        <f ca="1">IFERROR(__xludf.DUMMYFUNCTION("""COMPUTED_VALUE"""),"Gestión financiera: Fondo de maniobra")</f>
        <v>Gestión financiera: Fondo de maniobra</v>
      </c>
      <c r="O27" s="217"/>
      <c r="P27" s="213"/>
      <c r="Q27" s="215"/>
      <c r="R27" s="215"/>
      <c r="S27" s="217"/>
      <c r="T27" s="217"/>
      <c r="U27" s="213"/>
      <c r="V27" s="215"/>
      <c r="W27" s="215"/>
      <c r="X27" s="217"/>
      <c r="Y27" s="217"/>
      <c r="Z27" s="213"/>
      <c r="AA27" s="215"/>
      <c r="AB27" s="215"/>
      <c r="AC27" s="217"/>
      <c r="AD27" s="217"/>
      <c r="AE27" s="213"/>
      <c r="AF27" s="215"/>
      <c r="AG27" s="215"/>
      <c r="AH27" s="217"/>
      <c r="AI27" s="217"/>
      <c r="AJ27" s="213"/>
    </row>
    <row r="28" spans="1:36" ht="33.75" customHeight="1">
      <c r="A28" s="213"/>
      <c r="B28" s="214">
        <f ca="1">IFERROR(__xludf.DUMMYFUNCTION("""COMPUTED_VALUE"""),5038202)</f>
        <v>5038202</v>
      </c>
      <c r="C28" s="215" t="str">
        <f ca="1">IFERROR(__xludf.DUMMYFUNCTION("""COMPUTED_VALUE"""),"Beginner")</f>
        <v>Beginner</v>
      </c>
      <c r="D28" s="216" t="str">
        <f ca="1">IFERROR(__xludf.DUMMYFUNCTION("""COMPUTED_VALUE"""),"Finance Foundations for Solopreneurs")</f>
        <v>Finance Foundations for Solopreneurs</v>
      </c>
      <c r="E28" s="217"/>
      <c r="F28" s="213"/>
      <c r="G28" s="214"/>
      <c r="H28" s="215"/>
      <c r="I28" s="217"/>
      <c r="J28" s="217"/>
      <c r="K28" s="213"/>
      <c r="L28" s="215">
        <f ca="1">IFERROR(__xludf.DUMMYFUNCTION("""COMPUTED_VALUE"""),489553)</f>
        <v>489553</v>
      </c>
      <c r="M28" s="215" t="str">
        <f ca="1">IFERROR(__xludf.DUMMYFUNCTION("""COMPUTED_VALUE"""),"Intermediate")</f>
        <v>Intermediate</v>
      </c>
      <c r="N28" s="217" t="str">
        <f ca="1">IFERROR(__xludf.DUMMYFUNCTION("""COMPUTED_VALUE"""),"Gestión financiera: Rentabilidad")</f>
        <v>Gestión financiera: Rentabilidad</v>
      </c>
      <c r="O28" s="217"/>
      <c r="P28" s="213"/>
      <c r="Q28" s="215"/>
      <c r="R28" s="215"/>
      <c r="S28" s="217"/>
      <c r="T28" s="217"/>
      <c r="U28" s="213"/>
      <c r="V28" s="215"/>
      <c r="W28" s="215"/>
      <c r="X28" s="217"/>
      <c r="Y28" s="217"/>
      <c r="Z28" s="213"/>
      <c r="AA28" s="215"/>
      <c r="AB28" s="215"/>
      <c r="AC28" s="217"/>
      <c r="AD28" s="217"/>
      <c r="AE28" s="213"/>
      <c r="AF28" s="215"/>
      <c r="AG28" s="215"/>
      <c r="AH28" s="217"/>
      <c r="AI28" s="217"/>
      <c r="AJ28" s="213"/>
    </row>
    <row r="29" spans="1:36" ht="33.75" customHeight="1">
      <c r="A29" s="213"/>
      <c r="B29" s="214">
        <f ca="1">IFERROR(__xludf.DUMMYFUNCTION("""COMPUTED_VALUE"""),5043070)</f>
        <v>5043070</v>
      </c>
      <c r="C29" s="215" t="str">
        <f ca="1">IFERROR(__xludf.DUMMYFUNCTION("""COMPUTED_VALUE"""),"Beginner")</f>
        <v>Beginner</v>
      </c>
      <c r="D29" s="216" t="str">
        <f ca="1">IFERROR(__xludf.DUMMYFUNCTION("""COMPUTED_VALUE"""),"Understanding Capital Markets")</f>
        <v>Understanding Capital Markets</v>
      </c>
      <c r="E29" s="217"/>
      <c r="F29" s="213"/>
      <c r="G29" s="214"/>
      <c r="H29" s="215"/>
      <c r="I29" s="217"/>
      <c r="J29" s="217"/>
      <c r="K29" s="213"/>
      <c r="L29" s="215">
        <f ca="1">IFERROR(__xludf.DUMMYFUNCTION("""COMPUTED_VALUE"""),2841039)</f>
        <v>2841039</v>
      </c>
      <c r="M29" s="215" t="str">
        <f ca="1">IFERROR(__xludf.DUMMYFUNCTION("""COMPUTED_VALUE"""),"Intermediate")</f>
        <v>Intermediate</v>
      </c>
      <c r="N29" s="217" t="str">
        <f ca="1">IFERROR(__xludf.DUMMYFUNCTION("""COMPUTED_VALUE"""),"Gestiona tus finanzas personales en tiempos de crisis")</f>
        <v>Gestiona tus finanzas personales en tiempos de crisis</v>
      </c>
      <c r="O29" s="217"/>
      <c r="P29" s="213"/>
      <c r="Q29" s="215"/>
      <c r="R29" s="215"/>
      <c r="S29" s="217"/>
      <c r="T29" s="217"/>
      <c r="U29" s="213"/>
      <c r="V29" s="215"/>
      <c r="W29" s="215"/>
      <c r="X29" s="217"/>
      <c r="Y29" s="217"/>
      <c r="Z29" s="213"/>
      <c r="AA29" s="215"/>
      <c r="AB29" s="215"/>
      <c r="AC29" s="217"/>
      <c r="AD29" s="217"/>
      <c r="AE29" s="213"/>
      <c r="AF29" s="215"/>
      <c r="AG29" s="215"/>
      <c r="AH29" s="217"/>
      <c r="AI29" s="217"/>
      <c r="AJ29" s="213"/>
    </row>
    <row r="30" spans="1:36" ht="33.75" customHeight="1">
      <c r="A30" s="213"/>
      <c r="B30" s="214">
        <f ca="1">IFERROR(__xludf.DUMMYFUNCTION("""COMPUTED_VALUE"""),5040386)</f>
        <v>5040386</v>
      </c>
      <c r="C30" s="215" t="str">
        <f ca="1">IFERROR(__xludf.DUMMYFUNCTION("""COMPUTED_VALUE"""),"Beginner")</f>
        <v>Beginner</v>
      </c>
      <c r="D30" s="216" t="str">
        <f ca="1">IFERROR(__xludf.DUMMYFUNCTION("""COMPUTED_VALUE"""),"How to Analyze a Wholesale Deal in Real Estate")</f>
        <v>How to Analyze a Wholesale Deal in Real Estate</v>
      </c>
      <c r="E30" s="217"/>
      <c r="F30" s="213"/>
      <c r="G30" s="214"/>
      <c r="H30" s="215"/>
      <c r="I30" s="217"/>
      <c r="J30" s="217"/>
      <c r="K30" s="213"/>
      <c r="L30" s="215">
        <f ca="1">IFERROR(__xludf.DUMMYFUNCTION("""COMPUTED_VALUE"""),2421810)</f>
        <v>2421810</v>
      </c>
      <c r="M30" s="215" t="str">
        <f ca="1">IFERROR(__xludf.DUMMYFUNCTION("""COMPUTED_VALUE"""),"Intermediate")</f>
        <v>Intermediate</v>
      </c>
      <c r="N30" s="217" t="str">
        <f ca="1">IFERROR(__xludf.DUMMYFUNCTION("""COMPUTED_VALUE"""),"Modelización financiera y previsión de estados financieros")</f>
        <v>Modelización financiera y previsión de estados financieros</v>
      </c>
      <c r="O30" s="217"/>
      <c r="P30" s="213"/>
      <c r="Q30" s="215"/>
      <c r="R30" s="215"/>
      <c r="S30" s="217"/>
      <c r="T30" s="217"/>
      <c r="U30" s="213"/>
      <c r="V30" s="215"/>
      <c r="W30" s="215"/>
      <c r="X30" s="217"/>
      <c r="Y30" s="217"/>
      <c r="Z30" s="213"/>
      <c r="AA30" s="215"/>
      <c r="AB30" s="215"/>
      <c r="AC30" s="217"/>
      <c r="AD30" s="217"/>
      <c r="AE30" s="213"/>
      <c r="AF30" s="215"/>
      <c r="AG30" s="215"/>
      <c r="AH30" s="217"/>
      <c r="AI30" s="217"/>
      <c r="AJ30" s="213"/>
    </row>
    <row r="31" spans="1:36" ht="33.75" customHeight="1">
      <c r="A31" s="213"/>
      <c r="B31" s="214">
        <f ca="1">IFERROR(__xludf.DUMMYFUNCTION("""COMPUTED_VALUE"""),599602)</f>
        <v>599602</v>
      </c>
      <c r="C31" s="215" t="str">
        <f ca="1">IFERROR(__xludf.DUMMYFUNCTION("""COMPUTED_VALUE"""),"Beginner")</f>
        <v>Beginner</v>
      </c>
      <c r="D31" s="216" t="str">
        <f ca="1">IFERROR(__xludf.DUMMYFUNCTION("""COMPUTED_VALUE"""),"Consulting Foundations")</f>
        <v>Consulting Foundations</v>
      </c>
      <c r="E31" s="217"/>
      <c r="F31" s="213"/>
      <c r="G31" s="214"/>
      <c r="H31" s="215"/>
      <c r="I31" s="217"/>
      <c r="J31" s="217"/>
      <c r="K31" s="213"/>
      <c r="L31" s="215">
        <f ca="1">IFERROR(__xludf.DUMMYFUNCTION("""COMPUTED_VALUE"""),748683)</f>
        <v>748683</v>
      </c>
      <c r="M31" s="215" t="str">
        <f ca="1">IFERROR(__xludf.DUMMYFUNCTION("""COMPUTED_VALUE"""),"Intermediate")</f>
        <v>Intermediate</v>
      </c>
      <c r="N31" s="217" t="str">
        <f ca="1">IFERROR(__xludf.DUMMYFUNCTION("""COMPUTED_VALUE"""),"Plan de viabilidad económico financiero para el emprendimiento")</f>
        <v>Plan de viabilidad económico financiero para el emprendimiento</v>
      </c>
      <c r="O31" s="217"/>
      <c r="P31" s="213"/>
      <c r="Q31" s="215"/>
      <c r="R31" s="215"/>
      <c r="S31" s="217"/>
      <c r="T31" s="217"/>
      <c r="U31" s="213"/>
      <c r="V31" s="215"/>
      <c r="W31" s="215"/>
      <c r="X31" s="217"/>
      <c r="Y31" s="217"/>
      <c r="Z31" s="213"/>
      <c r="AA31" s="215"/>
      <c r="AB31" s="215"/>
      <c r="AC31" s="217"/>
      <c r="AD31" s="217"/>
      <c r="AE31" s="213"/>
      <c r="AF31" s="215"/>
      <c r="AG31" s="215"/>
      <c r="AH31" s="217"/>
      <c r="AI31" s="217"/>
      <c r="AJ31" s="213"/>
    </row>
    <row r="32" spans="1:36" ht="30">
      <c r="A32" s="213"/>
      <c r="B32" s="214">
        <f ca="1">IFERROR(__xludf.DUMMYFUNCTION("""COMPUTED_VALUE"""),718626)</f>
        <v>718626</v>
      </c>
      <c r="C32" s="215" t="str">
        <f ca="1">IFERROR(__xludf.DUMMYFUNCTION("""COMPUTED_VALUE"""),"Beginner")</f>
        <v>Beginner</v>
      </c>
      <c r="D32" s="216" t="str">
        <f ca="1">IFERROR(__xludf.DUMMYFUNCTION("""COMPUTED_VALUE"""),"Applying Agile MoSCoW Prioritization")</f>
        <v>Applying Agile MoSCoW Prioritization</v>
      </c>
      <c r="E32" s="217"/>
      <c r="F32" s="213"/>
      <c r="G32" s="214"/>
      <c r="H32" s="215"/>
      <c r="I32" s="217"/>
      <c r="J32" s="217"/>
      <c r="K32" s="213"/>
      <c r="L32" s="215">
        <f ca="1">IFERROR(__xludf.DUMMYFUNCTION("""COMPUTED_VALUE"""),2841165)</f>
        <v>2841165</v>
      </c>
      <c r="M32" s="215" t="str">
        <f ca="1">IFERROR(__xludf.DUMMYFUNCTION("""COMPUTED_VALUE"""),"Intermediate")</f>
        <v>Intermediate</v>
      </c>
      <c r="N32" s="217" t="str">
        <f ca="1">IFERROR(__xludf.DUMMYFUNCTION("""COMPUTED_VALUE"""),"Plantilla: Análisis vertical cuenta de pérdidas y ganancias con Excel")</f>
        <v>Plantilla: Análisis vertical cuenta de pérdidas y ganancias con Excel</v>
      </c>
      <c r="O32" s="217"/>
      <c r="P32" s="213"/>
      <c r="Q32" s="215"/>
      <c r="R32" s="215"/>
      <c r="S32" s="217"/>
      <c r="T32" s="217"/>
      <c r="U32" s="213"/>
      <c r="V32" s="215"/>
      <c r="W32" s="215"/>
      <c r="X32" s="217"/>
      <c r="Y32" s="217"/>
      <c r="Z32" s="213"/>
      <c r="AA32" s="215"/>
      <c r="AB32" s="215"/>
      <c r="AC32" s="217"/>
      <c r="AD32" s="217"/>
      <c r="AE32" s="213"/>
      <c r="AF32" s="215"/>
      <c r="AG32" s="215"/>
      <c r="AH32" s="217"/>
      <c r="AI32" s="217"/>
      <c r="AJ32" s="213"/>
    </row>
    <row r="33" spans="1:36" ht="33.75" customHeight="1">
      <c r="A33" s="213"/>
      <c r="B33" s="214">
        <f ca="1">IFERROR(__xludf.DUMMYFUNCTION("""COMPUTED_VALUE"""),630615)</f>
        <v>630615</v>
      </c>
      <c r="C33" s="215" t="str">
        <f ca="1">IFERROR(__xludf.DUMMYFUNCTION("""COMPUTED_VALUE"""),"Beginner")</f>
        <v>Beginner</v>
      </c>
      <c r="D33" s="216" t="str">
        <f ca="1">IFERROR(__xludf.DUMMYFUNCTION("""COMPUTED_VALUE"""),"Picking the Right Chart for Your Data")</f>
        <v>Picking the Right Chart for Your Data</v>
      </c>
      <c r="E33" s="217"/>
      <c r="F33" s="213"/>
      <c r="G33" s="214"/>
      <c r="H33" s="215"/>
      <c r="I33" s="217"/>
      <c r="J33" s="217"/>
      <c r="K33" s="213"/>
      <c r="L33" s="215">
        <f ca="1">IFERROR(__xludf.DUMMYFUNCTION("""COMPUTED_VALUE"""),2841163)</f>
        <v>2841163</v>
      </c>
      <c r="M33" s="215" t="str">
        <f ca="1">IFERROR(__xludf.DUMMYFUNCTION("""COMPUTED_VALUE"""),"Advanced")</f>
        <v>Advanced</v>
      </c>
      <c r="N33" s="217" t="str">
        <f ca="1">IFERROR(__xludf.DUMMYFUNCTION("""COMPUTED_VALUE"""),"Plantilla: Controla pérdidas y ganancias con este panel de Power BI")</f>
        <v>Plantilla: Controla pérdidas y ganancias con este panel de Power BI</v>
      </c>
      <c r="O33" s="217"/>
      <c r="P33" s="213"/>
      <c r="Q33" s="215"/>
      <c r="R33" s="215"/>
      <c r="S33" s="217"/>
      <c r="T33" s="217"/>
      <c r="U33" s="213"/>
      <c r="V33" s="215"/>
      <c r="W33" s="215"/>
      <c r="X33" s="217"/>
      <c r="Y33" s="217"/>
      <c r="Z33" s="213"/>
      <c r="AA33" s="215"/>
      <c r="AB33" s="215"/>
      <c r="AC33" s="217"/>
      <c r="AD33" s="217"/>
      <c r="AE33" s="213"/>
      <c r="AF33" s="215"/>
      <c r="AG33" s="215"/>
      <c r="AH33" s="217"/>
      <c r="AI33" s="217"/>
      <c r="AJ33" s="213"/>
    </row>
    <row r="34" spans="1:36" ht="33.75" customHeight="1">
      <c r="A34" s="213"/>
      <c r="B34" s="214">
        <f ca="1">IFERROR(__xludf.DUMMYFUNCTION("""COMPUTED_VALUE"""),2800330)</f>
        <v>2800330</v>
      </c>
      <c r="C34" s="215" t="str">
        <f ca="1">IFERROR(__xludf.DUMMYFUNCTION("""COMPUTED_VALUE"""),"Beginner")</f>
        <v>Beginner</v>
      </c>
      <c r="D34" s="216" t="str">
        <f ca="1">IFERROR(__xludf.DUMMYFUNCTION("""COMPUTED_VALUE"""),"Applying Managerial Accounting")</f>
        <v>Applying Managerial Accounting</v>
      </c>
      <c r="E34" s="217"/>
      <c r="F34" s="213"/>
      <c r="G34" s="214"/>
      <c r="H34" s="215"/>
      <c r="I34" s="217"/>
      <c r="J34" s="217"/>
      <c r="K34" s="213"/>
      <c r="L34" s="215">
        <f ca="1">IFERROR(__xludf.DUMMYFUNCTION("""COMPUTED_VALUE"""),2841164)</f>
        <v>2841164</v>
      </c>
      <c r="M34" s="215" t="str">
        <f ca="1">IFERROR(__xludf.DUMMYFUNCTION("""COMPUTED_VALUE"""),"Advanced")</f>
        <v>Advanced</v>
      </c>
      <c r="N34" s="217" t="str">
        <f ca="1">IFERROR(__xludf.DUMMYFUNCTION("""COMPUTED_VALUE"""),"Plantilla: Gráfico para representar tu cuenta de pérdidas y ganancias en Excel")</f>
        <v>Plantilla: Gráfico para representar tu cuenta de pérdidas y ganancias en Excel</v>
      </c>
      <c r="O34" s="217"/>
      <c r="P34" s="213"/>
      <c r="Q34" s="215"/>
      <c r="R34" s="215"/>
      <c r="S34" s="217"/>
      <c r="T34" s="217"/>
      <c r="U34" s="213"/>
      <c r="V34" s="215"/>
      <c r="W34" s="215"/>
      <c r="X34" s="217"/>
      <c r="Y34" s="217"/>
      <c r="Z34" s="213"/>
      <c r="AA34" s="215"/>
      <c r="AB34" s="215"/>
      <c r="AC34" s="217"/>
      <c r="AD34" s="217"/>
      <c r="AE34" s="213"/>
      <c r="AF34" s="215"/>
      <c r="AG34" s="215"/>
      <c r="AH34" s="217"/>
      <c r="AI34" s="217"/>
      <c r="AJ34" s="213"/>
    </row>
    <row r="35" spans="1:36" ht="33.75" customHeight="1">
      <c r="A35" s="213"/>
      <c r="B35" s="214">
        <f ca="1">IFERROR(__xludf.DUMMYFUNCTION("""COMPUTED_VALUE"""),2812490)</f>
        <v>2812490</v>
      </c>
      <c r="C35" s="215" t="str">
        <f ca="1">IFERROR(__xludf.DUMMYFUNCTION("""COMPUTED_VALUE"""),"Beginner")</f>
        <v>Beginner</v>
      </c>
      <c r="D35" s="216" t="str">
        <f ca="1">IFERROR(__xludf.DUMMYFUNCTION("""COMPUTED_VALUE"""),"Corporate Finance Foundations")</f>
        <v>Corporate Finance Foundations</v>
      </c>
      <c r="E35" s="217"/>
      <c r="F35" s="213"/>
      <c r="G35" s="214"/>
      <c r="H35" s="215"/>
      <c r="I35" s="217"/>
      <c r="J35" s="217"/>
      <c r="K35" s="213"/>
      <c r="L35" s="215">
        <f ca="1">IFERROR(__xludf.DUMMYFUNCTION("""COMPUTED_VALUE"""),490350)</f>
        <v>490350</v>
      </c>
      <c r="M35" s="215" t="str">
        <f ca="1">IFERROR(__xludf.DUMMYFUNCTION("""COMPUTED_VALUE"""),"Beginner")</f>
        <v>Beginner</v>
      </c>
      <c r="N35" s="217" t="str">
        <f ca="1">IFERROR(__xludf.DUMMYFUNCTION("""COMPUTED_VALUE"""),"Presupuestos para pequeñas empresas")</f>
        <v>Presupuestos para pequeñas empresas</v>
      </c>
      <c r="O35" s="217"/>
      <c r="P35" s="213"/>
      <c r="Q35" s="215"/>
      <c r="R35" s="215"/>
      <c r="S35" s="217"/>
      <c r="T35" s="217"/>
      <c r="U35" s="213"/>
      <c r="V35" s="215"/>
      <c r="W35" s="215"/>
      <c r="X35" s="217"/>
      <c r="Y35" s="217"/>
      <c r="Z35" s="213"/>
      <c r="AA35" s="215"/>
      <c r="AB35" s="215"/>
      <c r="AC35" s="217"/>
      <c r="AD35" s="217"/>
      <c r="AE35" s="213"/>
      <c r="AF35" s="215"/>
      <c r="AG35" s="215"/>
      <c r="AH35" s="217"/>
      <c r="AI35" s="217"/>
      <c r="AJ35" s="213"/>
    </row>
    <row r="36" spans="1:36" ht="33.75" customHeight="1">
      <c r="A36" s="213"/>
      <c r="B36" s="214">
        <f ca="1">IFERROR(__xludf.DUMMYFUNCTION("""COMPUTED_VALUE"""),2815106)</f>
        <v>2815106</v>
      </c>
      <c r="C36" s="215" t="str">
        <f ca="1">IFERROR(__xludf.DUMMYFUNCTION("""COMPUTED_VALUE"""),"Beginner")</f>
        <v>Beginner</v>
      </c>
      <c r="D36" s="216" t="str">
        <f ca="1">IFERROR(__xludf.DUMMYFUNCTION("""COMPUTED_VALUE"""),"Financial Accounting Foundations")</f>
        <v>Financial Accounting Foundations</v>
      </c>
      <c r="E36" s="217"/>
      <c r="F36" s="213"/>
      <c r="G36" s="214"/>
      <c r="H36" s="215"/>
      <c r="I36" s="217"/>
      <c r="J36" s="217"/>
      <c r="K36" s="213"/>
      <c r="L36" s="215"/>
      <c r="M36" s="215"/>
      <c r="N36" s="217"/>
      <c r="O36" s="217"/>
      <c r="P36" s="213"/>
      <c r="Q36" s="215"/>
      <c r="R36" s="215"/>
      <c r="S36" s="217"/>
      <c r="T36" s="217"/>
      <c r="U36" s="213"/>
      <c r="V36" s="215"/>
      <c r="W36" s="215"/>
      <c r="X36" s="217"/>
      <c r="Y36" s="217"/>
      <c r="Z36" s="213"/>
      <c r="AA36" s="215"/>
      <c r="AB36" s="215"/>
      <c r="AC36" s="217"/>
      <c r="AD36" s="217"/>
      <c r="AE36" s="213"/>
      <c r="AF36" s="215"/>
      <c r="AG36" s="215"/>
      <c r="AH36" s="217"/>
      <c r="AI36" s="217"/>
      <c r="AJ36" s="213"/>
    </row>
    <row r="37" spans="1:36" ht="33.75" customHeight="1">
      <c r="A37" s="213"/>
      <c r="B37" s="214">
        <f ca="1">IFERROR(__xludf.DUMMYFUNCTION("""COMPUTED_VALUE"""),5043068)</f>
        <v>5043068</v>
      </c>
      <c r="C37" s="215" t="str">
        <f ca="1">IFERROR(__xludf.DUMMYFUNCTION("""COMPUTED_VALUE"""),"Beginner")</f>
        <v>Beginner</v>
      </c>
      <c r="D37" s="216" t="str">
        <f ca="1">IFERROR(__xludf.DUMMYFUNCTION("""COMPUTED_VALUE"""),"Behavioral Finance Foundations")</f>
        <v>Behavioral Finance Foundations</v>
      </c>
      <c r="E37" s="217"/>
      <c r="F37" s="213"/>
      <c r="G37" s="214"/>
      <c r="H37" s="215"/>
      <c r="I37" s="217"/>
      <c r="J37" s="217"/>
      <c r="K37" s="213"/>
      <c r="L37" s="215"/>
      <c r="M37" s="215"/>
      <c r="N37" s="217"/>
      <c r="O37" s="217"/>
      <c r="P37" s="213"/>
      <c r="Q37" s="215"/>
      <c r="R37" s="215"/>
      <c r="S37" s="217"/>
      <c r="T37" s="217"/>
      <c r="U37" s="213"/>
      <c r="V37" s="215"/>
      <c r="W37" s="215"/>
      <c r="X37" s="217"/>
      <c r="Y37" s="217"/>
      <c r="Z37" s="213"/>
      <c r="AA37" s="215"/>
      <c r="AB37" s="215"/>
      <c r="AC37" s="217"/>
      <c r="AD37" s="217"/>
      <c r="AE37" s="213"/>
      <c r="AF37" s="215"/>
      <c r="AG37" s="215"/>
      <c r="AH37" s="217"/>
      <c r="AI37" s="217"/>
      <c r="AJ37" s="213"/>
    </row>
    <row r="38" spans="1:36" ht="33.75" customHeight="1">
      <c r="A38" s="213"/>
      <c r="B38" s="214">
        <f ca="1">IFERROR(__xludf.DUMMYFUNCTION("""COMPUTED_VALUE"""),2832047)</f>
        <v>2832047</v>
      </c>
      <c r="C38" s="215" t="str">
        <f ca="1">IFERROR(__xludf.DUMMYFUNCTION("""COMPUTED_VALUE"""),"Beginner")</f>
        <v>Beginner</v>
      </c>
      <c r="D38" s="216" t="str">
        <f ca="1">IFERROR(__xludf.DUMMYFUNCTION("""COMPUTED_VALUE"""),"Using the Time Value of Money to Make Financial Decisions")</f>
        <v>Using the Time Value of Money to Make Financial Decisions</v>
      </c>
      <c r="E38" s="217"/>
      <c r="F38" s="213"/>
      <c r="G38" s="214"/>
      <c r="H38" s="215"/>
      <c r="I38" s="217"/>
      <c r="J38" s="217"/>
      <c r="K38" s="213"/>
      <c r="L38" s="215"/>
      <c r="M38" s="215"/>
      <c r="N38" s="217"/>
      <c r="O38" s="217"/>
      <c r="P38" s="213"/>
      <c r="Q38" s="215"/>
      <c r="R38" s="215"/>
      <c r="S38" s="217"/>
      <c r="T38" s="217"/>
      <c r="U38" s="213"/>
      <c r="V38" s="215"/>
      <c r="W38" s="215"/>
      <c r="X38" s="217"/>
      <c r="Y38" s="217"/>
      <c r="Z38" s="213"/>
      <c r="AA38" s="215"/>
      <c r="AB38" s="215"/>
      <c r="AC38" s="217"/>
      <c r="AD38" s="217"/>
      <c r="AE38" s="213"/>
      <c r="AF38" s="215"/>
      <c r="AG38" s="215"/>
      <c r="AH38" s="217"/>
      <c r="AI38" s="217"/>
      <c r="AJ38" s="213"/>
    </row>
    <row r="39" spans="1:36" ht="33.75" customHeight="1">
      <c r="A39" s="213"/>
      <c r="B39" s="214">
        <f ca="1">IFERROR(__xludf.DUMMYFUNCTION("""COMPUTED_VALUE"""),188211)</f>
        <v>188211</v>
      </c>
      <c r="C39" s="215" t="str">
        <f ca="1">IFERROR(__xludf.DUMMYFUNCTION("""COMPUTED_VALUE"""),"Beginner")</f>
        <v>Beginner</v>
      </c>
      <c r="D39" s="216" t="str">
        <f ca="1">IFERROR(__xludf.DUMMYFUNCTION("""COMPUTED_VALUE"""),"Finance Essentials for Small Business")</f>
        <v>Finance Essentials for Small Business</v>
      </c>
      <c r="E39" s="217"/>
      <c r="F39" s="213"/>
      <c r="G39" s="214"/>
      <c r="H39" s="215"/>
      <c r="I39" s="217"/>
      <c r="J39" s="217"/>
      <c r="K39" s="213"/>
      <c r="L39" s="215"/>
      <c r="M39" s="215"/>
      <c r="N39" s="217"/>
      <c r="O39" s="217"/>
      <c r="P39" s="213"/>
      <c r="Q39" s="215"/>
      <c r="R39" s="215"/>
      <c r="S39" s="217"/>
      <c r="T39" s="217"/>
      <c r="U39" s="213"/>
      <c r="V39" s="215"/>
      <c r="W39" s="215"/>
      <c r="X39" s="217"/>
      <c r="Y39" s="217"/>
      <c r="Z39" s="213"/>
      <c r="AA39" s="215"/>
      <c r="AB39" s="215"/>
      <c r="AC39" s="217"/>
      <c r="AD39" s="217"/>
      <c r="AE39" s="213"/>
      <c r="AF39" s="215"/>
      <c r="AG39" s="215"/>
      <c r="AH39" s="217"/>
      <c r="AI39" s="217"/>
      <c r="AJ39" s="213"/>
    </row>
    <row r="40" spans="1:36" ht="33.75" customHeight="1">
      <c r="A40" s="213"/>
      <c r="B40" s="214">
        <f ca="1">IFERROR(__xludf.DUMMYFUNCTION("""COMPUTED_VALUE"""),2886049)</f>
        <v>2886049</v>
      </c>
      <c r="C40" s="215" t="str">
        <f ca="1">IFERROR(__xludf.DUMMYFUNCTION("""COMPUTED_VALUE"""),"Beginner")</f>
        <v>Beginner</v>
      </c>
      <c r="D40" s="216" t="str">
        <f ca="1">IFERROR(__xludf.DUMMYFUNCTION("""COMPUTED_VALUE"""),"Managing Your Personal Finances")</f>
        <v>Managing Your Personal Finances</v>
      </c>
      <c r="E40" s="217"/>
      <c r="F40" s="213"/>
      <c r="G40" s="214"/>
      <c r="H40" s="215"/>
      <c r="I40" s="217"/>
      <c r="J40" s="217"/>
      <c r="K40" s="213"/>
      <c r="L40" s="215"/>
      <c r="M40" s="215"/>
      <c r="N40" s="217"/>
      <c r="O40" s="217"/>
      <c r="P40" s="213"/>
      <c r="Q40" s="215"/>
      <c r="R40" s="215"/>
      <c r="S40" s="217"/>
      <c r="T40" s="217"/>
      <c r="U40" s="213"/>
      <c r="V40" s="215"/>
      <c r="W40" s="215"/>
      <c r="X40" s="217"/>
      <c r="Y40" s="217"/>
      <c r="Z40" s="213"/>
      <c r="AA40" s="215"/>
      <c r="AB40" s="215"/>
      <c r="AC40" s="217"/>
      <c r="AD40" s="217"/>
      <c r="AE40" s="213"/>
      <c r="AF40" s="215"/>
      <c r="AG40" s="215"/>
      <c r="AH40" s="217"/>
      <c r="AI40" s="217"/>
      <c r="AJ40" s="213"/>
    </row>
    <row r="41" spans="1:36" ht="33.75" customHeight="1">
      <c r="A41" s="213"/>
      <c r="B41" s="214">
        <f ca="1">IFERROR(__xludf.DUMMYFUNCTION("""COMPUTED_VALUE"""),2881068)</f>
        <v>2881068</v>
      </c>
      <c r="C41" s="215" t="str">
        <f ca="1">IFERROR(__xludf.DUMMYFUNCTION("""COMPUTED_VALUE"""),"Beginner")</f>
        <v>Beginner</v>
      </c>
      <c r="D41" s="216" t="str">
        <f ca="1">IFERROR(__xludf.DUMMYFUNCTION("""COMPUTED_VALUE"""),"First Five Things You Have to Do to Start a Business as a Creator")</f>
        <v>First Five Things You Have to Do to Start a Business as a Creator</v>
      </c>
      <c r="E41" s="217"/>
      <c r="F41" s="213"/>
      <c r="G41" s="214"/>
      <c r="H41" s="215"/>
      <c r="I41" s="217"/>
      <c r="J41" s="217"/>
      <c r="K41" s="213"/>
      <c r="L41" s="215"/>
      <c r="M41" s="215"/>
      <c r="N41" s="217"/>
      <c r="O41" s="217"/>
      <c r="P41" s="213"/>
      <c r="Q41" s="215"/>
      <c r="R41" s="215"/>
      <c r="S41" s="217"/>
      <c r="T41" s="217"/>
      <c r="U41" s="213"/>
      <c r="V41" s="215"/>
      <c r="W41" s="215"/>
      <c r="X41" s="217"/>
      <c r="Y41" s="217"/>
      <c r="Z41" s="213"/>
      <c r="AA41" s="215"/>
      <c r="AB41" s="215"/>
      <c r="AC41" s="217"/>
      <c r="AD41" s="217"/>
      <c r="AE41" s="213"/>
      <c r="AF41" s="215"/>
      <c r="AG41" s="215"/>
      <c r="AH41" s="217"/>
      <c r="AI41" s="217"/>
      <c r="AJ41" s="213"/>
    </row>
    <row r="42" spans="1:36" ht="33.75" customHeight="1">
      <c r="A42" s="213"/>
      <c r="B42" s="214">
        <f ca="1">IFERROR(__xludf.DUMMYFUNCTION("""COMPUTED_VALUE"""),2421750)</f>
        <v>2421750</v>
      </c>
      <c r="C42" s="215" t="str">
        <f ca="1">IFERROR(__xludf.DUMMYFUNCTION("""COMPUTED_VALUE"""),"Beginner")</f>
        <v>Beginner</v>
      </c>
      <c r="D42" s="216" t="str">
        <f ca="1">IFERROR(__xludf.DUMMYFUNCTION("""COMPUTED_VALUE"""),"Build Your Financial Literacy")</f>
        <v>Build Your Financial Literacy</v>
      </c>
      <c r="E42" s="217"/>
      <c r="F42" s="213"/>
      <c r="G42" s="214"/>
      <c r="H42" s="215"/>
      <c r="I42" s="217"/>
      <c r="J42" s="217"/>
      <c r="K42" s="213"/>
      <c r="L42" s="215"/>
      <c r="M42" s="215"/>
      <c r="N42" s="217"/>
      <c r="O42" s="217"/>
      <c r="P42" s="213"/>
      <c r="Q42" s="215"/>
      <c r="R42" s="215"/>
      <c r="S42" s="217"/>
      <c r="T42" s="217"/>
      <c r="U42" s="213"/>
      <c r="V42" s="215"/>
      <c r="W42" s="215"/>
      <c r="X42" s="217"/>
      <c r="Y42" s="217"/>
      <c r="Z42" s="213"/>
      <c r="AA42" s="215"/>
      <c r="AB42" s="215"/>
      <c r="AC42" s="217"/>
      <c r="AD42" s="217"/>
      <c r="AE42" s="213"/>
      <c r="AF42" s="215"/>
      <c r="AG42" s="215"/>
      <c r="AH42" s="217"/>
      <c r="AI42" s="217"/>
      <c r="AJ42" s="213"/>
    </row>
    <row r="43" spans="1:36" ht="33.75" customHeight="1">
      <c r="A43" s="213"/>
      <c r="B43" s="214">
        <f ca="1">IFERROR(__xludf.DUMMYFUNCTION("""COMPUTED_VALUE"""),2887313)</f>
        <v>2887313</v>
      </c>
      <c r="C43" s="215" t="str">
        <f ca="1">IFERROR(__xludf.DUMMYFUNCTION("""COMPUTED_VALUE"""),"Beginner")</f>
        <v>Beginner</v>
      </c>
      <c r="D43" s="216" t="str">
        <f ca="1">IFERROR(__xludf.DUMMYFUNCTION("""COMPUTED_VALUE"""),"Managerial Finance Foundations")</f>
        <v>Managerial Finance Foundations</v>
      </c>
      <c r="E43" s="217"/>
      <c r="F43" s="213"/>
      <c r="G43" s="214"/>
      <c r="H43" s="215"/>
      <c r="I43" s="217"/>
      <c r="J43" s="217"/>
      <c r="K43" s="213"/>
      <c r="L43" s="215"/>
      <c r="M43" s="215"/>
      <c r="N43" s="217"/>
      <c r="O43" s="217"/>
      <c r="P43" s="213"/>
      <c r="Q43" s="215"/>
      <c r="R43" s="215"/>
      <c r="S43" s="217"/>
      <c r="T43" s="217"/>
      <c r="U43" s="213"/>
      <c r="V43" s="215"/>
      <c r="W43" s="215"/>
      <c r="X43" s="217"/>
      <c r="Y43" s="217"/>
      <c r="Z43" s="213"/>
      <c r="AA43" s="215"/>
      <c r="AB43" s="215"/>
      <c r="AC43" s="217"/>
      <c r="AD43" s="217"/>
      <c r="AE43" s="213"/>
      <c r="AF43" s="215"/>
      <c r="AG43" s="215"/>
      <c r="AH43" s="217"/>
      <c r="AI43" s="217"/>
      <c r="AJ43" s="213"/>
    </row>
    <row r="44" spans="1:36" ht="33.75" customHeight="1">
      <c r="A44" s="213"/>
      <c r="B44" s="214">
        <f ca="1">IFERROR(__xludf.DUMMYFUNCTION("""COMPUTED_VALUE"""),2889063)</f>
        <v>2889063</v>
      </c>
      <c r="C44" s="215" t="str">
        <f ca="1">IFERROR(__xludf.DUMMYFUNCTION("""COMPUTED_VALUE"""),"Beginner")</f>
        <v>Beginner</v>
      </c>
      <c r="D44" s="216" t="str">
        <f ca="1">IFERROR(__xludf.DUMMYFUNCTION("""COMPUTED_VALUE"""),"Accounting Foundations: Understanding the GAAP (Generally Accepted Accounting Principles)")</f>
        <v>Accounting Foundations: Understanding the GAAP (Generally Accepted Accounting Principles)</v>
      </c>
      <c r="E44" s="217"/>
      <c r="F44" s="213"/>
      <c r="G44" s="214"/>
      <c r="H44" s="215"/>
      <c r="I44" s="217"/>
      <c r="J44" s="217"/>
      <c r="K44" s="213"/>
      <c r="L44" s="215"/>
      <c r="M44" s="215"/>
      <c r="N44" s="217"/>
      <c r="O44" s="217"/>
      <c r="P44" s="213"/>
      <c r="Q44" s="215"/>
      <c r="R44" s="215"/>
      <c r="S44" s="217"/>
      <c r="T44" s="217"/>
      <c r="U44" s="213"/>
      <c r="V44" s="215"/>
      <c r="W44" s="215"/>
      <c r="X44" s="217"/>
      <c r="Y44" s="217"/>
      <c r="Z44" s="213"/>
      <c r="AA44" s="215"/>
      <c r="AB44" s="215"/>
      <c r="AC44" s="217"/>
      <c r="AD44" s="217"/>
      <c r="AE44" s="213"/>
      <c r="AF44" s="215"/>
      <c r="AG44" s="215"/>
      <c r="AH44" s="217"/>
      <c r="AI44" s="217"/>
      <c r="AJ44" s="213"/>
    </row>
    <row r="45" spans="1:36" ht="33.75" customHeight="1">
      <c r="A45" s="213"/>
      <c r="B45" s="214">
        <f ca="1">IFERROR(__xludf.DUMMYFUNCTION("""COMPUTED_VALUE"""),2878200)</f>
        <v>2878200</v>
      </c>
      <c r="C45" s="215" t="str">
        <f ca="1">IFERROR(__xludf.DUMMYFUNCTION("""COMPUTED_VALUE"""),"Beginner + Intermediate")</f>
        <v>Beginner + Intermediate</v>
      </c>
      <c r="D45" s="216" t="str">
        <f ca="1">IFERROR(__xludf.DUMMYFUNCTION("""COMPUTED_VALUE"""),"QuickBooks Online Essential Training")</f>
        <v>QuickBooks Online Essential Training</v>
      </c>
      <c r="E45" s="217"/>
      <c r="F45" s="213"/>
      <c r="G45" s="214"/>
      <c r="H45" s="215"/>
      <c r="I45" s="217"/>
      <c r="J45" s="217"/>
      <c r="K45" s="213"/>
      <c r="L45" s="215"/>
      <c r="M45" s="215"/>
      <c r="N45" s="217"/>
      <c r="O45" s="217"/>
      <c r="P45" s="213"/>
      <c r="Q45" s="215"/>
      <c r="R45" s="215"/>
      <c r="S45" s="217"/>
      <c r="T45" s="217"/>
      <c r="U45" s="213"/>
      <c r="V45" s="215"/>
      <c r="W45" s="215"/>
      <c r="X45" s="217"/>
      <c r="Y45" s="217"/>
      <c r="Z45" s="213"/>
      <c r="AA45" s="215"/>
      <c r="AB45" s="215"/>
      <c r="AC45" s="217"/>
      <c r="AD45" s="217"/>
      <c r="AE45" s="213"/>
      <c r="AF45" s="215"/>
      <c r="AG45" s="215"/>
      <c r="AH45" s="217"/>
      <c r="AI45" s="217"/>
      <c r="AJ45" s="213"/>
    </row>
    <row r="46" spans="1:36" ht="33.75" customHeight="1">
      <c r="A46" s="213"/>
      <c r="B46" s="214">
        <f ca="1">IFERROR(__xludf.DUMMYFUNCTION("""COMPUTED_VALUE"""),786351)</f>
        <v>786351</v>
      </c>
      <c r="C46" s="215" t="str">
        <f ca="1">IFERROR(__xludf.DUMMYFUNCTION("""COMPUTED_VALUE"""),"Beginner + Intermediate")</f>
        <v>Beginner + Intermediate</v>
      </c>
      <c r="D46" s="216" t="str">
        <f ca="1">IFERROR(__xludf.DUMMYFUNCTION("""COMPUTED_VALUE"""),"QuickBooks Pro 2019 Essential Training")</f>
        <v>QuickBooks Pro 2019 Essential Training</v>
      </c>
      <c r="E46" s="217"/>
      <c r="F46" s="213"/>
      <c r="G46" s="214"/>
      <c r="H46" s="215"/>
      <c r="I46" s="217"/>
      <c r="J46" s="217"/>
      <c r="K46" s="213"/>
      <c r="L46" s="215"/>
      <c r="M46" s="215"/>
      <c r="N46" s="217"/>
      <c r="O46" s="217"/>
      <c r="P46" s="213"/>
      <c r="Q46" s="215"/>
      <c r="R46" s="215"/>
      <c r="S46" s="217"/>
      <c r="T46" s="217"/>
      <c r="U46" s="213"/>
      <c r="V46" s="215"/>
      <c r="W46" s="215"/>
      <c r="X46" s="217"/>
      <c r="Y46" s="217"/>
      <c r="Z46" s="213"/>
      <c r="AA46" s="215"/>
      <c r="AB46" s="215"/>
      <c r="AC46" s="217"/>
      <c r="AD46" s="217"/>
      <c r="AE46" s="213"/>
      <c r="AF46" s="215"/>
      <c r="AG46" s="215"/>
      <c r="AH46" s="217"/>
      <c r="AI46" s="217"/>
      <c r="AJ46" s="213"/>
    </row>
    <row r="47" spans="1:36" ht="33.75" customHeight="1">
      <c r="A47" s="213"/>
      <c r="B47" s="214">
        <f ca="1">IFERROR(__xludf.DUMMYFUNCTION("""COMPUTED_VALUE"""),713376)</f>
        <v>713376</v>
      </c>
      <c r="C47" s="215" t="str">
        <f ca="1">IFERROR(__xludf.DUMMYFUNCTION("""COMPUTED_VALUE"""),"Beginner + Intermediate")</f>
        <v>Beginner + Intermediate</v>
      </c>
      <c r="D47" s="216" t="str">
        <f ca="1">IFERROR(__xludf.DUMMYFUNCTION("""COMPUTED_VALUE"""),"Financial Accounting Part 2")</f>
        <v>Financial Accounting Part 2</v>
      </c>
      <c r="E47" s="217"/>
      <c r="F47" s="213"/>
      <c r="G47" s="214"/>
      <c r="H47" s="215"/>
      <c r="I47" s="217"/>
      <c r="J47" s="217"/>
      <c r="K47" s="213"/>
      <c r="L47" s="215"/>
      <c r="M47" s="215"/>
      <c r="N47" s="217"/>
      <c r="O47" s="217"/>
      <c r="P47" s="213"/>
      <c r="Q47" s="215"/>
      <c r="R47" s="215"/>
      <c r="S47" s="217"/>
      <c r="T47" s="217"/>
      <c r="U47" s="213"/>
      <c r="V47" s="215"/>
      <c r="W47" s="215"/>
      <c r="X47" s="217"/>
      <c r="Y47" s="217"/>
      <c r="Z47" s="213"/>
      <c r="AA47" s="215"/>
      <c r="AB47" s="215"/>
      <c r="AC47" s="217"/>
      <c r="AD47" s="217"/>
      <c r="AE47" s="213"/>
      <c r="AF47" s="215"/>
      <c r="AG47" s="215"/>
      <c r="AH47" s="217"/>
      <c r="AI47" s="217"/>
      <c r="AJ47" s="213"/>
    </row>
    <row r="48" spans="1:36" ht="33.75" customHeight="1">
      <c r="A48" s="213"/>
      <c r="B48" s="214">
        <f ca="1">IFERROR(__xludf.DUMMYFUNCTION("""COMPUTED_VALUE"""),608996)</f>
        <v>608996</v>
      </c>
      <c r="C48" s="215" t="str">
        <f ca="1">IFERROR(__xludf.DUMMYFUNCTION("""COMPUTED_VALUE"""),"Beginner + Intermediate")</f>
        <v>Beginner + Intermediate</v>
      </c>
      <c r="D48" s="216" t="str">
        <f ca="1">IFERROR(__xludf.DUMMYFUNCTION("""COMPUTED_VALUE"""),"Finance Foundations: Risk Management")</f>
        <v>Finance Foundations: Risk Management</v>
      </c>
      <c r="E48" s="217"/>
      <c r="F48" s="213"/>
      <c r="G48" s="214"/>
      <c r="H48" s="215"/>
      <c r="I48" s="217"/>
      <c r="J48" s="217"/>
      <c r="K48" s="213"/>
      <c r="L48" s="215"/>
      <c r="M48" s="215"/>
      <c r="N48" s="217"/>
      <c r="O48" s="217"/>
      <c r="P48" s="213"/>
      <c r="Q48" s="215"/>
      <c r="R48" s="215"/>
      <c r="S48" s="217"/>
      <c r="T48" s="217"/>
      <c r="U48" s="213"/>
      <c r="V48" s="215"/>
      <c r="W48" s="215"/>
      <c r="X48" s="217"/>
      <c r="Y48" s="217"/>
      <c r="Z48" s="213"/>
      <c r="AA48" s="215"/>
      <c r="AB48" s="215"/>
      <c r="AC48" s="217"/>
      <c r="AD48" s="217"/>
      <c r="AE48" s="213"/>
      <c r="AF48" s="215"/>
      <c r="AG48" s="215"/>
      <c r="AH48" s="217"/>
      <c r="AI48" s="217"/>
      <c r="AJ48" s="213"/>
    </row>
    <row r="49" spans="1:36" ht="33.75" customHeight="1">
      <c r="A49" s="213"/>
      <c r="B49" s="214">
        <f ca="1">IFERROR(__xludf.DUMMYFUNCTION("""COMPUTED_VALUE"""),713377)</f>
        <v>713377</v>
      </c>
      <c r="C49" s="215" t="str">
        <f ca="1">IFERROR(__xludf.DUMMYFUNCTION("""COMPUTED_VALUE"""),"Beginner + Intermediate")</f>
        <v>Beginner + Intermediate</v>
      </c>
      <c r="D49" s="216" t="str">
        <f ca="1">IFERROR(__xludf.DUMMYFUNCTION("""COMPUTED_VALUE"""),"Financial Accounting Part 1")</f>
        <v>Financial Accounting Part 1</v>
      </c>
      <c r="E49" s="217"/>
      <c r="F49" s="213"/>
      <c r="G49" s="214"/>
      <c r="H49" s="215"/>
      <c r="I49" s="217"/>
      <c r="J49" s="217"/>
      <c r="K49" s="213"/>
      <c r="L49" s="215"/>
      <c r="M49" s="215"/>
      <c r="N49" s="217"/>
      <c r="O49" s="217"/>
      <c r="P49" s="213"/>
      <c r="Q49" s="215"/>
      <c r="R49" s="215"/>
      <c r="S49" s="217"/>
      <c r="T49" s="217"/>
      <c r="U49" s="213"/>
      <c r="V49" s="215"/>
      <c r="W49" s="215"/>
      <c r="X49" s="217"/>
      <c r="Y49" s="217"/>
      <c r="Z49" s="213"/>
      <c r="AA49" s="215"/>
      <c r="AB49" s="215"/>
      <c r="AC49" s="217"/>
      <c r="AD49" s="217"/>
      <c r="AE49" s="213"/>
      <c r="AF49" s="215"/>
      <c r="AG49" s="215"/>
      <c r="AH49" s="217"/>
      <c r="AI49" s="217"/>
      <c r="AJ49" s="213"/>
    </row>
    <row r="50" spans="1:36" ht="33.75" customHeight="1">
      <c r="A50" s="213"/>
      <c r="B50" s="214">
        <f ca="1">IFERROR(__xludf.DUMMYFUNCTION("""COMPUTED_VALUE"""),2863039)</f>
        <v>2863039</v>
      </c>
      <c r="C50" s="215" t="str">
        <f ca="1">IFERROR(__xludf.DUMMYFUNCTION("""COMPUTED_VALUE"""),"Beginner + Intermediate")</f>
        <v>Beginner + Intermediate</v>
      </c>
      <c r="D50" s="216" t="str">
        <f ca="1">IFERROR(__xludf.DUMMYFUNCTION("""COMPUTED_VALUE"""),"Analyzing a Real Estate Deal")</f>
        <v>Analyzing a Real Estate Deal</v>
      </c>
      <c r="E50" s="217"/>
      <c r="F50" s="213"/>
      <c r="G50" s="214"/>
      <c r="H50" s="215"/>
      <c r="I50" s="217"/>
      <c r="J50" s="217"/>
      <c r="K50" s="213"/>
      <c r="L50" s="215"/>
      <c r="M50" s="215"/>
      <c r="N50" s="217"/>
      <c r="O50" s="217"/>
      <c r="P50" s="213"/>
      <c r="Q50" s="215"/>
      <c r="R50" s="215"/>
      <c r="S50" s="217"/>
      <c r="T50" s="217"/>
      <c r="U50" s="213"/>
      <c r="V50" s="215"/>
      <c r="W50" s="215"/>
      <c r="X50" s="217"/>
      <c r="Y50" s="217"/>
      <c r="Z50" s="213"/>
      <c r="AA50" s="215"/>
      <c r="AB50" s="215"/>
      <c r="AC50" s="217"/>
      <c r="AD50" s="217"/>
      <c r="AE50" s="213"/>
      <c r="AF50" s="215"/>
      <c r="AG50" s="215"/>
      <c r="AH50" s="217"/>
      <c r="AI50" s="217"/>
      <c r="AJ50" s="213"/>
    </row>
    <row r="51" spans="1:36" ht="33.75" customHeight="1">
      <c r="A51" s="213"/>
      <c r="B51" s="214">
        <f ca="1">IFERROR(__xludf.DUMMYFUNCTION("""COMPUTED_VALUE"""),2837224)</f>
        <v>2837224</v>
      </c>
      <c r="C51" s="215" t="str">
        <f ca="1">IFERROR(__xludf.DUMMYFUNCTION("""COMPUTED_VALUE"""),"Beginner + Intermediate")</f>
        <v>Beginner + Intermediate</v>
      </c>
      <c r="D51" s="216" t="str">
        <f ca="1">IFERROR(__xludf.DUMMYFUNCTION("""COMPUTED_VALUE"""),"Economics for Everyone: Understanding a Recession")</f>
        <v>Economics for Everyone: Understanding a Recession</v>
      </c>
      <c r="E51" s="217"/>
      <c r="F51" s="213"/>
      <c r="G51" s="214"/>
      <c r="H51" s="215"/>
      <c r="I51" s="217"/>
      <c r="J51" s="217"/>
      <c r="K51" s="213"/>
      <c r="L51" s="215"/>
      <c r="M51" s="215"/>
      <c r="N51" s="217"/>
      <c r="O51" s="217"/>
      <c r="P51" s="213"/>
      <c r="Q51" s="215"/>
      <c r="R51" s="215"/>
      <c r="S51" s="217"/>
      <c r="T51" s="217"/>
      <c r="U51" s="213"/>
      <c r="V51" s="215"/>
      <c r="W51" s="215"/>
      <c r="X51" s="217"/>
      <c r="Y51" s="217"/>
      <c r="Z51" s="213"/>
      <c r="AA51" s="215"/>
      <c r="AB51" s="215"/>
      <c r="AC51" s="217"/>
      <c r="AD51" s="217"/>
      <c r="AE51" s="213"/>
      <c r="AF51" s="215"/>
      <c r="AG51" s="215"/>
      <c r="AH51" s="217"/>
      <c r="AI51" s="217"/>
      <c r="AJ51" s="213"/>
    </row>
    <row r="52" spans="1:36" ht="33.75" customHeight="1">
      <c r="A52" s="213"/>
      <c r="B52" s="214">
        <f ca="1">IFERROR(__xludf.DUMMYFUNCTION("""COMPUTED_VALUE"""),765313)</f>
        <v>765313</v>
      </c>
      <c r="C52" s="215" t="str">
        <f ca="1">IFERROR(__xludf.DUMMYFUNCTION("""COMPUTED_VALUE"""),"Beginner + Intermediate")</f>
        <v>Beginner + Intermediate</v>
      </c>
      <c r="D52" s="216" t="str">
        <f ca="1">IFERROR(__xludf.DUMMYFUNCTION("""COMPUTED_VALUE"""),"Developing Investment Acumen")</f>
        <v>Developing Investment Acumen</v>
      </c>
      <c r="E52" s="217"/>
      <c r="F52" s="213"/>
      <c r="G52" s="214"/>
      <c r="H52" s="215"/>
      <c r="I52" s="217"/>
      <c r="J52" s="217"/>
      <c r="K52" s="213"/>
      <c r="L52" s="215"/>
      <c r="M52" s="215"/>
      <c r="N52" s="217"/>
      <c r="O52" s="217"/>
      <c r="P52" s="213"/>
      <c r="Q52" s="215"/>
      <c r="R52" s="215"/>
      <c r="S52" s="217"/>
      <c r="T52" s="217"/>
      <c r="U52" s="213"/>
      <c r="V52" s="215"/>
      <c r="W52" s="215"/>
      <c r="X52" s="217"/>
      <c r="Y52" s="217"/>
      <c r="Z52" s="213"/>
      <c r="AA52" s="215"/>
      <c r="AB52" s="215"/>
      <c r="AC52" s="217"/>
      <c r="AD52" s="217"/>
      <c r="AE52" s="213"/>
      <c r="AF52" s="215"/>
      <c r="AG52" s="215"/>
      <c r="AH52" s="217"/>
      <c r="AI52" s="217"/>
      <c r="AJ52" s="213"/>
    </row>
    <row r="53" spans="1:36" ht="33.75" customHeight="1">
      <c r="A53" s="213"/>
      <c r="B53" s="214">
        <f ca="1">IFERROR(__xludf.DUMMYFUNCTION("""COMPUTED_VALUE"""),565365)</f>
        <v>565365</v>
      </c>
      <c r="C53" s="215" t="str">
        <f ca="1">IFERROR(__xludf.DUMMYFUNCTION("""COMPUTED_VALUE"""),"Beginner + Intermediate")</f>
        <v>Beginner + Intermediate</v>
      </c>
      <c r="D53" s="216" t="str">
        <f ca="1">IFERROR(__xludf.DUMMYFUNCTION("""COMPUTED_VALUE"""),"Finance and Accounting Tips")</f>
        <v>Finance and Accounting Tips</v>
      </c>
      <c r="E53" s="217"/>
      <c r="F53" s="213"/>
      <c r="G53" s="214"/>
      <c r="H53" s="215"/>
      <c r="I53" s="217"/>
      <c r="J53" s="217"/>
      <c r="K53" s="213"/>
      <c r="L53" s="215"/>
      <c r="M53" s="215"/>
      <c r="N53" s="217"/>
      <c r="O53" s="217"/>
      <c r="P53" s="213"/>
      <c r="Q53" s="215"/>
      <c r="R53" s="215"/>
      <c r="S53" s="217"/>
      <c r="T53" s="217"/>
      <c r="U53" s="213"/>
      <c r="V53" s="215"/>
      <c r="W53" s="215"/>
      <c r="X53" s="217"/>
      <c r="Y53" s="217"/>
      <c r="Z53" s="213"/>
      <c r="AA53" s="215"/>
      <c r="AB53" s="215"/>
      <c r="AC53" s="217"/>
      <c r="AD53" s="217"/>
      <c r="AE53" s="213"/>
      <c r="AF53" s="215"/>
      <c r="AG53" s="215"/>
      <c r="AH53" s="217"/>
      <c r="AI53" s="217"/>
      <c r="AJ53" s="213"/>
    </row>
    <row r="54" spans="1:36" ht="33.75" customHeight="1">
      <c r="A54" s="213"/>
      <c r="B54" s="214">
        <f ca="1">IFERROR(__xludf.DUMMYFUNCTION("""COMPUTED_VALUE"""),639059)</f>
        <v>639059</v>
      </c>
      <c r="C54" s="215" t="str">
        <f ca="1">IFERROR(__xludf.DUMMYFUNCTION("""COMPUTED_VALUE"""),"Beginner + Intermediate")</f>
        <v>Beginner + Intermediate</v>
      </c>
      <c r="D54" s="216" t="str">
        <f ca="1">IFERROR(__xludf.DUMMYFUNCTION("""COMPUTED_VALUE"""),"Financial Record Keeping")</f>
        <v>Financial Record Keeping</v>
      </c>
      <c r="E54" s="217"/>
      <c r="F54" s="213"/>
      <c r="G54" s="214"/>
      <c r="H54" s="215"/>
      <c r="I54" s="217"/>
      <c r="J54" s="217"/>
      <c r="K54" s="213"/>
      <c r="L54" s="215"/>
      <c r="M54" s="215"/>
      <c r="N54" s="217"/>
      <c r="O54" s="217"/>
      <c r="P54" s="213"/>
      <c r="Q54" s="215"/>
      <c r="R54" s="215"/>
      <c r="S54" s="217"/>
      <c r="T54" s="217"/>
      <c r="U54" s="213"/>
      <c r="V54" s="215"/>
      <c r="W54" s="215"/>
      <c r="X54" s="217"/>
      <c r="Y54" s="217"/>
      <c r="Z54" s="213"/>
      <c r="AA54" s="215"/>
      <c r="AB54" s="215"/>
      <c r="AC54" s="217"/>
      <c r="AD54" s="217"/>
      <c r="AE54" s="213"/>
      <c r="AF54" s="215"/>
      <c r="AG54" s="215"/>
      <c r="AH54" s="217"/>
      <c r="AI54" s="217"/>
      <c r="AJ54" s="213"/>
    </row>
    <row r="55" spans="1:36" ht="33.75" customHeight="1">
      <c r="A55" s="213"/>
      <c r="B55" s="214">
        <f ca="1">IFERROR(__xludf.DUMMYFUNCTION("""COMPUTED_VALUE"""),697709)</f>
        <v>697709</v>
      </c>
      <c r="C55" s="215" t="str">
        <f ca="1">IFERROR(__xludf.DUMMYFUNCTION("""COMPUTED_VALUE"""),"Beginner + Intermediate")</f>
        <v>Beginner + Intermediate</v>
      </c>
      <c r="D55" s="216" t="str">
        <f ca="1">IFERROR(__xludf.DUMMYFUNCTION("""COMPUTED_VALUE"""),"Financial Modeling Foundations")</f>
        <v>Financial Modeling Foundations</v>
      </c>
      <c r="E55" s="217"/>
      <c r="F55" s="213"/>
      <c r="G55" s="214"/>
      <c r="H55" s="215"/>
      <c r="I55" s="217"/>
      <c r="J55" s="217"/>
      <c r="K55" s="213"/>
      <c r="L55" s="215"/>
      <c r="M55" s="215"/>
      <c r="N55" s="217"/>
      <c r="O55" s="217"/>
      <c r="P55" s="213"/>
      <c r="Q55" s="215"/>
      <c r="R55" s="215"/>
      <c r="S55" s="217"/>
      <c r="T55" s="217"/>
      <c r="U55" s="213"/>
      <c r="V55" s="215"/>
      <c r="W55" s="215"/>
      <c r="X55" s="217"/>
      <c r="Y55" s="217"/>
      <c r="Z55" s="213"/>
      <c r="AA55" s="215"/>
      <c r="AB55" s="215"/>
      <c r="AC55" s="217"/>
      <c r="AD55" s="217"/>
      <c r="AE55" s="213"/>
      <c r="AF55" s="215"/>
      <c r="AG55" s="215"/>
      <c r="AH55" s="217"/>
      <c r="AI55" s="217"/>
      <c r="AJ55" s="213"/>
    </row>
    <row r="56" spans="1:36" ht="33.75" customHeight="1">
      <c r="A56" s="213"/>
      <c r="B56" s="214">
        <f ca="1">IFERROR(__xludf.DUMMYFUNCTION("""COMPUTED_VALUE"""),495322)</f>
        <v>495322</v>
      </c>
      <c r="C56" s="215" t="str">
        <f ca="1">IFERROR(__xludf.DUMMYFUNCTION("""COMPUTED_VALUE"""),"Beginner + Intermediate")</f>
        <v>Beginner + Intermediate</v>
      </c>
      <c r="D56" s="216" t="str">
        <f ca="1">IFERROR(__xludf.DUMMYFUNCTION("""COMPUTED_VALUE"""),"Statistics Foundations: 2")</f>
        <v>Statistics Foundations: 2</v>
      </c>
      <c r="E56" s="217"/>
      <c r="F56" s="213"/>
      <c r="G56" s="214"/>
      <c r="H56" s="215"/>
      <c r="I56" s="217"/>
      <c r="J56" s="217"/>
      <c r="K56" s="213"/>
      <c r="L56" s="215"/>
      <c r="M56" s="215"/>
      <c r="N56" s="217"/>
      <c r="O56" s="217"/>
      <c r="P56" s="213"/>
      <c r="Q56" s="215"/>
      <c r="R56" s="215"/>
      <c r="S56" s="217"/>
      <c r="T56" s="217"/>
      <c r="U56" s="213"/>
      <c r="V56" s="215"/>
      <c r="W56" s="215"/>
      <c r="X56" s="217"/>
      <c r="Y56" s="217"/>
      <c r="Z56" s="213"/>
      <c r="AA56" s="215"/>
      <c r="AB56" s="215"/>
      <c r="AC56" s="217"/>
      <c r="AD56" s="217"/>
      <c r="AE56" s="213"/>
      <c r="AF56" s="215"/>
      <c r="AG56" s="215"/>
      <c r="AH56" s="217"/>
      <c r="AI56" s="217"/>
      <c r="AJ56" s="213"/>
    </row>
    <row r="57" spans="1:36" ht="33.75" customHeight="1">
      <c r="A57" s="213"/>
      <c r="B57" s="214">
        <f ca="1">IFERROR(__xludf.DUMMYFUNCTION("""COMPUTED_VALUE"""),5005044)</f>
        <v>5005044</v>
      </c>
      <c r="C57" s="215" t="str">
        <f ca="1">IFERROR(__xludf.DUMMYFUNCTION("""COMPUTED_VALUE"""),"Intermediate")</f>
        <v>Intermediate</v>
      </c>
      <c r="D57" s="216" t="str">
        <f ca="1">IFERROR(__xludf.DUMMYFUNCTION("""COMPUTED_VALUE"""),"Activity-Based Costing")</f>
        <v>Activity-Based Costing</v>
      </c>
      <c r="E57" s="217"/>
      <c r="F57" s="213"/>
      <c r="G57" s="214"/>
      <c r="H57" s="215"/>
      <c r="I57" s="217"/>
      <c r="J57" s="217"/>
      <c r="K57" s="213"/>
      <c r="L57" s="215"/>
      <c r="M57" s="215"/>
      <c r="N57" s="217"/>
      <c r="O57" s="217"/>
      <c r="P57" s="213"/>
      <c r="Q57" s="215"/>
      <c r="R57" s="215"/>
      <c r="S57" s="217"/>
      <c r="T57" s="217"/>
      <c r="U57" s="213"/>
      <c r="V57" s="215"/>
      <c r="W57" s="215"/>
      <c r="X57" s="217"/>
      <c r="Y57" s="217"/>
      <c r="Z57" s="213"/>
      <c r="AA57" s="215"/>
      <c r="AB57" s="215"/>
      <c r="AC57" s="217"/>
      <c r="AD57" s="217"/>
      <c r="AE57" s="213"/>
      <c r="AF57" s="215"/>
      <c r="AG57" s="215"/>
      <c r="AH57" s="217"/>
      <c r="AI57" s="217"/>
      <c r="AJ57" s="213"/>
    </row>
    <row r="58" spans="1:36" ht="33.75" customHeight="1">
      <c r="A58" s="213"/>
      <c r="B58" s="214">
        <f ca="1">IFERROR(__xludf.DUMMYFUNCTION("""COMPUTED_VALUE"""),5043069)</f>
        <v>5043069</v>
      </c>
      <c r="C58" s="215" t="str">
        <f ca="1">IFERROR(__xludf.DUMMYFUNCTION("""COMPUTED_VALUE"""),"Intermediate")</f>
        <v>Intermediate</v>
      </c>
      <c r="D58" s="216" t="str">
        <f ca="1">IFERROR(__xludf.DUMMYFUNCTION("""COMPUTED_VALUE"""),"Corporate Financial Statement Analysis")</f>
        <v>Corporate Financial Statement Analysis</v>
      </c>
      <c r="E58" s="217"/>
      <c r="F58" s="213"/>
      <c r="G58" s="214"/>
      <c r="H58" s="215"/>
      <c r="I58" s="217"/>
      <c r="J58" s="217"/>
      <c r="K58" s="213"/>
      <c r="L58" s="215"/>
      <c r="M58" s="215"/>
      <c r="N58" s="217"/>
      <c r="O58" s="217"/>
      <c r="P58" s="213"/>
      <c r="Q58" s="215"/>
      <c r="R58" s="215"/>
      <c r="S58" s="217"/>
      <c r="T58" s="217"/>
      <c r="U58" s="213"/>
      <c r="V58" s="215"/>
      <c r="W58" s="215"/>
      <c r="X58" s="217"/>
      <c r="Y58" s="217"/>
      <c r="Z58" s="213"/>
      <c r="AA58" s="215"/>
      <c r="AB58" s="215"/>
      <c r="AC58" s="217"/>
      <c r="AD58" s="217"/>
      <c r="AE58" s="213"/>
      <c r="AF58" s="215"/>
      <c r="AG58" s="215"/>
      <c r="AH58" s="217"/>
      <c r="AI58" s="217"/>
      <c r="AJ58" s="213"/>
    </row>
    <row r="59" spans="1:36" ht="33.75" customHeight="1">
      <c r="A59" s="213"/>
      <c r="B59" s="214">
        <f ca="1">IFERROR(__xludf.DUMMYFUNCTION("""COMPUTED_VALUE"""),2825616)</f>
        <v>2825616</v>
      </c>
      <c r="C59" s="215" t="str">
        <f ca="1">IFERROR(__xludf.DUMMYFUNCTION("""COMPUTED_VALUE"""),"Intermediate")</f>
        <v>Intermediate</v>
      </c>
      <c r="D59" s="216" t="str">
        <f ca="1">IFERROR(__xludf.DUMMYFUNCTION("""COMPUTED_VALUE"""),"Finance Strategies for Business Leaders")</f>
        <v>Finance Strategies for Business Leaders</v>
      </c>
      <c r="E59" s="217"/>
      <c r="F59" s="213"/>
      <c r="G59" s="214"/>
      <c r="H59" s="215"/>
      <c r="I59" s="217"/>
      <c r="J59" s="217"/>
      <c r="K59" s="213"/>
      <c r="L59" s="215"/>
      <c r="M59" s="215"/>
      <c r="N59" s="217"/>
      <c r="O59" s="217"/>
      <c r="P59" s="213"/>
      <c r="Q59" s="215"/>
      <c r="R59" s="215"/>
      <c r="S59" s="217"/>
      <c r="T59" s="217"/>
      <c r="U59" s="213"/>
      <c r="V59" s="215"/>
      <c r="W59" s="215"/>
      <c r="X59" s="217"/>
      <c r="Y59" s="217"/>
      <c r="Z59" s="213"/>
      <c r="AA59" s="215"/>
      <c r="AB59" s="215"/>
      <c r="AC59" s="217"/>
      <c r="AD59" s="217"/>
      <c r="AE59" s="213"/>
      <c r="AF59" s="215"/>
      <c r="AG59" s="215"/>
      <c r="AH59" s="217"/>
      <c r="AI59" s="217"/>
      <c r="AJ59" s="213"/>
    </row>
    <row r="60" spans="1:36" ht="33.75" customHeight="1">
      <c r="A60" s="213"/>
      <c r="B60" s="214">
        <f ca="1">IFERROR(__xludf.DUMMYFUNCTION("""COMPUTED_VALUE"""),2852000)</f>
        <v>2852000</v>
      </c>
      <c r="C60" s="215" t="str">
        <f ca="1">IFERROR(__xludf.DUMMYFUNCTION("""COMPUTED_VALUE"""),"Intermediate")</f>
        <v>Intermediate</v>
      </c>
      <c r="D60" s="216" t="str">
        <f ca="1">IFERROR(__xludf.DUMMYFUNCTION("""COMPUTED_VALUE"""),"SAP Business One: Finance and Banking")</f>
        <v>SAP Business One: Finance and Banking</v>
      </c>
      <c r="E60" s="217"/>
      <c r="F60" s="213"/>
      <c r="G60" s="214"/>
      <c r="H60" s="215"/>
      <c r="I60" s="217"/>
      <c r="J60" s="217"/>
      <c r="K60" s="213"/>
      <c r="L60" s="215"/>
      <c r="M60" s="215"/>
      <c r="N60" s="217"/>
      <c r="O60" s="217"/>
      <c r="P60" s="213"/>
      <c r="Q60" s="215"/>
      <c r="R60" s="215"/>
      <c r="S60" s="217"/>
      <c r="T60" s="217"/>
      <c r="U60" s="213"/>
      <c r="V60" s="215"/>
      <c r="W60" s="215"/>
      <c r="X60" s="217"/>
      <c r="Y60" s="217"/>
      <c r="Z60" s="213"/>
      <c r="AA60" s="215"/>
      <c r="AB60" s="215"/>
      <c r="AC60" s="217"/>
      <c r="AD60" s="217"/>
      <c r="AE60" s="213"/>
      <c r="AF60" s="215"/>
      <c r="AG60" s="215"/>
      <c r="AH60" s="217"/>
      <c r="AI60" s="217"/>
      <c r="AJ60" s="213"/>
    </row>
    <row r="61" spans="1:36" ht="33.75" customHeight="1">
      <c r="A61" s="213"/>
      <c r="B61" s="214">
        <f ca="1">IFERROR(__xludf.DUMMYFUNCTION("""COMPUTED_VALUE"""),368915)</f>
        <v>368915</v>
      </c>
      <c r="C61" s="215" t="str">
        <f ca="1">IFERROR(__xludf.DUMMYFUNCTION("""COMPUTED_VALUE"""),"Intermediate")</f>
        <v>Intermediate</v>
      </c>
      <c r="D61" s="216" t="str">
        <f ca="1">IFERROR(__xludf.DUMMYFUNCTION("""COMPUTED_VALUE"""),"Finance for Non-Financial Managers")</f>
        <v>Finance for Non-Financial Managers</v>
      </c>
      <c r="E61" s="217"/>
      <c r="F61" s="213"/>
      <c r="G61" s="214"/>
      <c r="H61" s="215"/>
      <c r="I61" s="217"/>
      <c r="J61" s="217"/>
      <c r="K61" s="213"/>
      <c r="L61" s="215"/>
      <c r="M61" s="215"/>
      <c r="N61" s="217"/>
      <c r="O61" s="217"/>
      <c r="P61" s="213"/>
      <c r="Q61" s="215"/>
      <c r="R61" s="215"/>
      <c r="S61" s="217"/>
      <c r="T61" s="217"/>
      <c r="U61" s="213"/>
      <c r="V61" s="215"/>
      <c r="W61" s="215"/>
      <c r="X61" s="217"/>
      <c r="Y61" s="217"/>
      <c r="Z61" s="213"/>
      <c r="AA61" s="215"/>
      <c r="AB61" s="215"/>
      <c r="AC61" s="217"/>
      <c r="AD61" s="217"/>
      <c r="AE61" s="213"/>
      <c r="AF61" s="215"/>
      <c r="AG61" s="215"/>
      <c r="AH61" s="217"/>
      <c r="AI61" s="217"/>
      <c r="AJ61" s="213"/>
    </row>
    <row r="62" spans="1:36" ht="33.75" customHeight="1">
      <c r="A62" s="213"/>
      <c r="B62" s="214">
        <f ca="1">IFERROR(__xludf.DUMMYFUNCTION("""COMPUTED_VALUE"""),569337)</f>
        <v>569337</v>
      </c>
      <c r="C62" s="215" t="str">
        <f ca="1">IFERROR(__xludf.DUMMYFUNCTION("""COMPUTED_VALUE"""),"Intermediate")</f>
        <v>Intermediate</v>
      </c>
      <c r="D62" s="216" t="str">
        <f ca="1">IFERROR(__xludf.DUMMYFUNCTION("""COMPUTED_VALUE"""),"Financial Forecasting with Big Data")</f>
        <v>Financial Forecasting with Big Data</v>
      </c>
      <c r="E62" s="217"/>
      <c r="F62" s="213"/>
      <c r="G62" s="214"/>
      <c r="H62" s="215"/>
      <c r="I62" s="217"/>
      <c r="J62" s="217"/>
      <c r="K62" s="213"/>
      <c r="L62" s="215"/>
      <c r="M62" s="215"/>
      <c r="N62" s="217"/>
      <c r="O62" s="217"/>
      <c r="P62" s="213"/>
      <c r="Q62" s="215"/>
      <c r="R62" s="215"/>
      <c r="S62" s="217"/>
      <c r="T62" s="217"/>
      <c r="U62" s="213"/>
      <c r="V62" s="215"/>
      <c r="W62" s="215"/>
      <c r="X62" s="217"/>
      <c r="Y62" s="217"/>
      <c r="Z62" s="213"/>
      <c r="AA62" s="215"/>
      <c r="AB62" s="215"/>
      <c r="AC62" s="217"/>
      <c r="AD62" s="217"/>
      <c r="AE62" s="213"/>
      <c r="AF62" s="215"/>
      <c r="AG62" s="215"/>
      <c r="AH62" s="217"/>
      <c r="AI62" s="217"/>
      <c r="AJ62" s="213"/>
    </row>
    <row r="63" spans="1:36" ht="33.75" customHeight="1">
      <c r="A63" s="213"/>
      <c r="B63" s="214">
        <f ca="1">IFERROR(__xludf.DUMMYFUNCTION("""COMPUTED_VALUE"""),608997)</f>
        <v>608997</v>
      </c>
      <c r="C63" s="215" t="str">
        <f ca="1">IFERROR(__xludf.DUMMYFUNCTION("""COMPUTED_VALUE"""),"Intermediate")</f>
        <v>Intermediate</v>
      </c>
      <c r="D63" s="216" t="str">
        <f ca="1">IFERROR(__xludf.DUMMYFUNCTION("""COMPUTED_VALUE"""),"Forecasting Using Financial Statements")</f>
        <v>Forecasting Using Financial Statements</v>
      </c>
      <c r="E63" s="217"/>
      <c r="F63" s="213"/>
      <c r="G63" s="214"/>
      <c r="H63" s="215"/>
      <c r="I63" s="217"/>
      <c r="J63" s="217"/>
      <c r="K63" s="213"/>
      <c r="L63" s="215"/>
      <c r="M63" s="215"/>
      <c r="N63" s="217"/>
      <c r="O63" s="217"/>
      <c r="P63" s="213"/>
      <c r="Q63" s="215"/>
      <c r="R63" s="215"/>
      <c r="S63" s="217"/>
      <c r="T63" s="217"/>
      <c r="U63" s="213"/>
      <c r="V63" s="215"/>
      <c r="W63" s="215"/>
      <c r="X63" s="217"/>
      <c r="Y63" s="217"/>
      <c r="Z63" s="213"/>
      <c r="AA63" s="215"/>
      <c r="AB63" s="215"/>
      <c r="AC63" s="217"/>
      <c r="AD63" s="217"/>
      <c r="AE63" s="213"/>
      <c r="AF63" s="215"/>
      <c r="AG63" s="215"/>
      <c r="AH63" s="217"/>
      <c r="AI63" s="217"/>
      <c r="AJ63" s="213"/>
    </row>
    <row r="64" spans="1:36" ht="33.75" customHeight="1">
      <c r="A64" s="213"/>
      <c r="B64" s="214">
        <f ca="1">IFERROR(__xludf.DUMMYFUNCTION("""COMPUTED_VALUE"""),696865)</f>
        <v>696865</v>
      </c>
      <c r="C64" s="215" t="str">
        <f ca="1">IFERROR(__xludf.DUMMYFUNCTION("""COMPUTED_VALUE"""),"Intermediate")</f>
        <v>Intermediate</v>
      </c>
      <c r="D64" s="216" t="str">
        <f ca="1">IFERROR(__xludf.DUMMYFUNCTION("""COMPUTED_VALUE"""),"Protecting Profitability by Reducing Financial Risk")</f>
        <v>Protecting Profitability by Reducing Financial Risk</v>
      </c>
      <c r="E64" s="217"/>
      <c r="F64" s="213"/>
      <c r="G64" s="214"/>
      <c r="H64" s="215"/>
      <c r="I64" s="217"/>
      <c r="J64" s="217"/>
      <c r="K64" s="213"/>
      <c r="L64" s="215"/>
      <c r="M64" s="215"/>
      <c r="N64" s="217"/>
      <c r="O64" s="217"/>
      <c r="P64" s="213"/>
      <c r="Q64" s="215"/>
      <c r="R64" s="215"/>
      <c r="S64" s="217"/>
      <c r="T64" s="217"/>
      <c r="U64" s="213"/>
      <c r="V64" s="215"/>
      <c r="W64" s="215"/>
      <c r="X64" s="217"/>
      <c r="Y64" s="217"/>
      <c r="Z64" s="213"/>
      <c r="AA64" s="215"/>
      <c r="AB64" s="215"/>
      <c r="AC64" s="217"/>
      <c r="AD64" s="217"/>
      <c r="AE64" s="213"/>
      <c r="AF64" s="215"/>
      <c r="AG64" s="215"/>
      <c r="AH64" s="217"/>
      <c r="AI64" s="217"/>
      <c r="AJ64" s="213"/>
    </row>
    <row r="65" spans="1:36" ht="33.75" customHeight="1">
      <c r="A65" s="213"/>
      <c r="B65" s="214">
        <f ca="1">IFERROR(__xludf.DUMMYFUNCTION("""COMPUTED_VALUE"""),2804051)</f>
        <v>2804051</v>
      </c>
      <c r="C65" s="215" t="str">
        <f ca="1">IFERROR(__xludf.DUMMYFUNCTION("""COMPUTED_VALUE"""),"Intermediate")</f>
        <v>Intermediate</v>
      </c>
      <c r="D65" s="216" t="str">
        <f ca="1">IFERROR(__xludf.DUMMYFUNCTION("""COMPUTED_VALUE"""),"SAP Accounts Payable Boot Camp")</f>
        <v>SAP Accounts Payable Boot Camp</v>
      </c>
      <c r="E65" s="217"/>
      <c r="F65" s="213"/>
      <c r="G65" s="214"/>
      <c r="H65" s="215"/>
      <c r="I65" s="217"/>
      <c r="J65" s="217"/>
      <c r="K65" s="213"/>
      <c r="L65" s="215"/>
      <c r="M65" s="215"/>
      <c r="N65" s="217"/>
      <c r="O65" s="217"/>
      <c r="P65" s="213"/>
      <c r="Q65" s="215"/>
      <c r="R65" s="215"/>
      <c r="S65" s="217"/>
      <c r="T65" s="217"/>
      <c r="U65" s="213"/>
      <c r="V65" s="215"/>
      <c r="W65" s="215"/>
      <c r="X65" s="217"/>
      <c r="Y65" s="217"/>
      <c r="Z65" s="213"/>
      <c r="AA65" s="215"/>
      <c r="AB65" s="215"/>
      <c r="AC65" s="217"/>
      <c r="AD65" s="217"/>
      <c r="AE65" s="213"/>
      <c r="AF65" s="215"/>
      <c r="AG65" s="215"/>
      <c r="AH65" s="217"/>
      <c r="AI65" s="217"/>
      <c r="AJ65" s="213"/>
    </row>
    <row r="66" spans="1:36" ht="33.75" customHeight="1">
      <c r="A66" s="213"/>
      <c r="B66" s="214">
        <f ca="1">IFERROR(__xludf.DUMMYFUNCTION("""COMPUTED_VALUE"""),569336)</f>
        <v>569336</v>
      </c>
      <c r="C66" s="215" t="str">
        <f ca="1">IFERROR(__xludf.DUMMYFUNCTION("""COMPUTED_VALUE"""),"Intermediate")</f>
        <v>Intermediate</v>
      </c>
      <c r="D66" s="216" t="str">
        <f ca="1">IFERROR(__xludf.DUMMYFUNCTION("""COMPUTED_VALUE"""),"Excel: Economic Analysis and Data Analytics")</f>
        <v>Excel: Economic Analysis and Data Analytics</v>
      </c>
      <c r="E66" s="217"/>
      <c r="F66" s="213"/>
      <c r="G66" s="214"/>
      <c r="H66" s="215"/>
      <c r="I66" s="217"/>
      <c r="J66" s="217"/>
      <c r="K66" s="213"/>
      <c r="L66" s="215"/>
      <c r="M66" s="215"/>
      <c r="N66" s="217"/>
      <c r="O66" s="217"/>
      <c r="P66" s="213"/>
      <c r="Q66" s="215"/>
      <c r="R66" s="215"/>
      <c r="S66" s="217"/>
      <c r="T66" s="217"/>
      <c r="U66" s="213"/>
      <c r="V66" s="215"/>
      <c r="W66" s="215"/>
      <c r="X66" s="217"/>
      <c r="Y66" s="217"/>
      <c r="Z66" s="213"/>
      <c r="AA66" s="215"/>
      <c r="AB66" s="215"/>
      <c r="AC66" s="217"/>
      <c r="AD66" s="217"/>
      <c r="AE66" s="213"/>
      <c r="AF66" s="215"/>
      <c r="AG66" s="215"/>
      <c r="AH66" s="217"/>
      <c r="AI66" s="217"/>
      <c r="AJ66" s="213"/>
    </row>
    <row r="67" spans="1:36" ht="33.75" customHeight="1">
      <c r="A67" s="213"/>
      <c r="B67" s="214">
        <f ca="1">IFERROR(__xludf.DUMMYFUNCTION("""COMPUTED_VALUE"""),599601)</f>
        <v>599601</v>
      </c>
      <c r="C67" s="215" t="str">
        <f ca="1">IFERROR(__xludf.DUMMYFUNCTION("""COMPUTED_VALUE"""),"Intermediate")</f>
        <v>Intermediate</v>
      </c>
      <c r="D67" s="216" t="str">
        <f ca="1">IFERROR(__xludf.DUMMYFUNCTION("""COMPUTED_VALUE"""),"Contracting for Consultants")</f>
        <v>Contracting for Consultants</v>
      </c>
      <c r="E67" s="217"/>
      <c r="F67" s="213"/>
      <c r="G67" s="214"/>
      <c r="H67" s="215"/>
      <c r="I67" s="217"/>
      <c r="J67" s="217"/>
      <c r="K67" s="213"/>
      <c r="L67" s="215"/>
      <c r="M67" s="215"/>
      <c r="N67" s="217"/>
      <c r="O67" s="217"/>
      <c r="P67" s="213"/>
      <c r="Q67" s="215"/>
      <c r="R67" s="215"/>
      <c r="S67" s="217"/>
      <c r="T67" s="217"/>
      <c r="U67" s="213"/>
      <c r="V67" s="215"/>
      <c r="W67" s="215"/>
      <c r="X67" s="217"/>
      <c r="Y67" s="217"/>
      <c r="Z67" s="213"/>
      <c r="AA67" s="215"/>
      <c r="AB67" s="215"/>
      <c r="AC67" s="217"/>
      <c r="AD67" s="217"/>
      <c r="AE67" s="213"/>
      <c r="AF67" s="215"/>
      <c r="AG67" s="215"/>
      <c r="AH67" s="217"/>
      <c r="AI67" s="217"/>
      <c r="AJ67" s="213"/>
    </row>
    <row r="68" spans="1:36" ht="33.75" customHeight="1">
      <c r="A68" s="213"/>
      <c r="B68" s="214">
        <f ca="1">IFERROR(__xludf.DUMMYFUNCTION("""COMPUTED_VALUE"""),746307)</f>
        <v>746307</v>
      </c>
      <c r="C68" s="215" t="str">
        <f ca="1">IFERROR(__xludf.DUMMYFUNCTION("""COMPUTED_VALUE"""),"Intermediate")</f>
        <v>Intermediate</v>
      </c>
      <c r="D68" s="216" t="str">
        <f ca="1">IFERROR(__xludf.DUMMYFUNCTION("""COMPUTED_VALUE"""),"Consulting Foundations: Client Management and Relationships")</f>
        <v>Consulting Foundations: Client Management and Relationships</v>
      </c>
      <c r="E68" s="217"/>
      <c r="F68" s="213"/>
      <c r="G68" s="214"/>
      <c r="H68" s="215"/>
      <c r="I68" s="217"/>
      <c r="J68" s="217"/>
      <c r="K68" s="213"/>
      <c r="L68" s="215"/>
      <c r="M68" s="215"/>
      <c r="N68" s="217"/>
      <c r="O68" s="217"/>
      <c r="P68" s="213"/>
      <c r="Q68" s="215"/>
      <c r="R68" s="215"/>
      <c r="S68" s="217"/>
      <c r="T68" s="217"/>
      <c r="U68" s="213"/>
      <c r="V68" s="215"/>
      <c r="W68" s="215"/>
      <c r="X68" s="217"/>
      <c r="Y68" s="217"/>
      <c r="Z68" s="213"/>
      <c r="AA68" s="215"/>
      <c r="AB68" s="215"/>
      <c r="AC68" s="217"/>
      <c r="AD68" s="217"/>
      <c r="AE68" s="213"/>
      <c r="AF68" s="215"/>
      <c r="AG68" s="215"/>
      <c r="AH68" s="217"/>
      <c r="AI68" s="217"/>
      <c r="AJ68" s="213"/>
    </row>
    <row r="69" spans="1:36" ht="33.75" customHeight="1">
      <c r="A69" s="213"/>
      <c r="B69" s="214">
        <f ca="1">IFERROR(__xludf.DUMMYFUNCTION("""COMPUTED_VALUE"""),758618)</f>
        <v>758618</v>
      </c>
      <c r="C69" s="215" t="str">
        <f ca="1">IFERROR(__xludf.DUMMYFUNCTION("""COMPUTED_VALUE"""),"Intermediate")</f>
        <v>Intermediate</v>
      </c>
      <c r="D69" s="216" t="str">
        <f ca="1">IFERROR(__xludf.DUMMYFUNCTION("""COMPUTED_VALUE"""),"Critical Roles Consultants Play (and the Skills You Need to Fill Them)")</f>
        <v>Critical Roles Consultants Play (and the Skills You Need to Fill Them)</v>
      </c>
      <c r="E69" s="217"/>
      <c r="F69" s="213"/>
      <c r="G69" s="214"/>
      <c r="H69" s="215"/>
      <c r="I69" s="217"/>
      <c r="J69" s="217"/>
      <c r="K69" s="213"/>
      <c r="L69" s="215"/>
      <c r="M69" s="215"/>
      <c r="N69" s="217"/>
      <c r="O69" s="217"/>
      <c r="P69" s="213"/>
      <c r="Q69" s="215"/>
      <c r="R69" s="215"/>
      <c r="S69" s="217"/>
      <c r="T69" s="217"/>
      <c r="U69" s="213"/>
      <c r="V69" s="215"/>
      <c r="W69" s="215"/>
      <c r="X69" s="217"/>
      <c r="Y69" s="217"/>
      <c r="Z69" s="213"/>
      <c r="AA69" s="215"/>
      <c r="AB69" s="215"/>
      <c r="AC69" s="217"/>
      <c r="AD69" s="217"/>
      <c r="AE69" s="213"/>
      <c r="AF69" s="215"/>
      <c r="AG69" s="215"/>
      <c r="AH69" s="217"/>
      <c r="AI69" s="217"/>
      <c r="AJ69" s="213"/>
    </row>
    <row r="70" spans="1:36" ht="33.75" customHeight="1">
      <c r="A70" s="213"/>
      <c r="B70" s="214">
        <f ca="1">IFERROR(__xludf.DUMMYFUNCTION("""COMPUTED_VALUE"""),784276)</f>
        <v>784276</v>
      </c>
      <c r="C70" s="215" t="str">
        <f ca="1">IFERROR(__xludf.DUMMYFUNCTION("""COMPUTED_VALUE"""),"Intermediate")</f>
        <v>Intermediate</v>
      </c>
      <c r="D70" s="216" t="str">
        <f ca="1">IFERROR(__xludf.DUMMYFUNCTION("""COMPUTED_VALUE"""),"Excel for Investment Professionals")</f>
        <v>Excel for Investment Professionals</v>
      </c>
      <c r="E70" s="217"/>
      <c r="F70" s="213"/>
      <c r="G70" s="214"/>
      <c r="H70" s="215"/>
      <c r="I70" s="217"/>
      <c r="J70" s="217"/>
      <c r="K70" s="213"/>
      <c r="L70" s="215"/>
      <c r="M70" s="215"/>
      <c r="N70" s="217"/>
      <c r="O70" s="217"/>
      <c r="P70" s="213"/>
      <c r="Q70" s="215"/>
      <c r="R70" s="215"/>
      <c r="S70" s="217"/>
      <c r="T70" s="217"/>
      <c r="U70" s="213"/>
      <c r="V70" s="215"/>
      <c r="W70" s="215"/>
      <c r="X70" s="217"/>
      <c r="Y70" s="217"/>
      <c r="Z70" s="213"/>
      <c r="AA70" s="215"/>
      <c r="AB70" s="215"/>
      <c r="AC70" s="217"/>
      <c r="AD70" s="217"/>
      <c r="AE70" s="213"/>
      <c r="AF70" s="215"/>
      <c r="AG70" s="215"/>
      <c r="AH70" s="217"/>
      <c r="AI70" s="217"/>
      <c r="AJ70" s="213"/>
    </row>
    <row r="71" spans="1:36" ht="33.75" customHeight="1">
      <c r="A71" s="213"/>
      <c r="B71" s="214">
        <f ca="1">IFERROR(__xludf.DUMMYFUNCTION("""COMPUTED_VALUE"""),504663)</f>
        <v>504663</v>
      </c>
      <c r="C71" s="215" t="str">
        <f ca="1">IFERROR(__xludf.DUMMYFUNCTION("""COMPUTED_VALUE"""),"Intermediate")</f>
        <v>Intermediate</v>
      </c>
      <c r="D71" s="216" t="str">
        <f ca="1">IFERROR(__xludf.DUMMYFUNCTION("""COMPUTED_VALUE"""),"Excel 2016: Financial Functions in Depth")</f>
        <v>Excel 2016: Financial Functions in Depth</v>
      </c>
      <c r="E71" s="217"/>
      <c r="F71" s="213"/>
      <c r="G71" s="214"/>
      <c r="H71" s="215"/>
      <c r="I71" s="217"/>
      <c r="J71" s="217"/>
      <c r="K71" s="213"/>
      <c r="L71" s="215"/>
      <c r="M71" s="215"/>
      <c r="N71" s="217"/>
      <c r="O71" s="217"/>
      <c r="P71" s="213"/>
      <c r="Q71" s="215"/>
      <c r="R71" s="215"/>
      <c r="S71" s="217"/>
      <c r="T71" s="217"/>
      <c r="U71" s="213"/>
      <c r="V71" s="215"/>
      <c r="W71" s="215"/>
      <c r="X71" s="217"/>
      <c r="Y71" s="217"/>
      <c r="Z71" s="213"/>
      <c r="AA71" s="215"/>
      <c r="AB71" s="215"/>
      <c r="AC71" s="217"/>
      <c r="AD71" s="217"/>
      <c r="AE71" s="213"/>
      <c r="AF71" s="215"/>
      <c r="AG71" s="215"/>
      <c r="AH71" s="217"/>
      <c r="AI71" s="217"/>
      <c r="AJ71" s="213"/>
    </row>
    <row r="72" spans="1:36" ht="33.75" customHeight="1">
      <c r="A72" s="213"/>
      <c r="B72" s="214">
        <f ca="1">IFERROR(__xludf.DUMMYFUNCTION("""COMPUTED_VALUE"""),697706)</f>
        <v>697706</v>
      </c>
      <c r="C72" s="215" t="str">
        <f ca="1">IFERROR(__xludf.DUMMYFUNCTION("""COMPUTED_VALUE"""),"Intermediate")</f>
        <v>Intermediate</v>
      </c>
      <c r="D72" s="216" t="str">
        <f ca="1">IFERROR(__xludf.DUMMYFUNCTION("""COMPUTED_VALUE"""),"Excel for Corporate Finance Professionals")</f>
        <v>Excel for Corporate Finance Professionals</v>
      </c>
      <c r="E72" s="217"/>
      <c r="F72" s="213"/>
      <c r="G72" s="214"/>
      <c r="H72" s="215"/>
      <c r="I72" s="217"/>
      <c r="J72" s="217"/>
      <c r="K72" s="213"/>
      <c r="L72" s="215"/>
      <c r="M72" s="215"/>
      <c r="N72" s="217"/>
      <c r="O72" s="217"/>
      <c r="P72" s="213"/>
      <c r="Q72" s="215"/>
      <c r="R72" s="215"/>
      <c r="S72" s="217"/>
      <c r="T72" s="217"/>
      <c r="U72" s="213"/>
      <c r="V72" s="215"/>
      <c r="W72" s="215"/>
      <c r="X72" s="217"/>
      <c r="Y72" s="217"/>
      <c r="Z72" s="213"/>
      <c r="AA72" s="215"/>
      <c r="AB72" s="215"/>
      <c r="AC72" s="217"/>
      <c r="AD72" s="217"/>
      <c r="AE72" s="213"/>
      <c r="AF72" s="215"/>
      <c r="AG72" s="215"/>
      <c r="AH72" s="217"/>
      <c r="AI72" s="217"/>
      <c r="AJ72" s="213"/>
    </row>
    <row r="73" spans="1:36" ht="33.75" customHeight="1">
      <c r="A73" s="213"/>
      <c r="B73" s="214">
        <f ca="1">IFERROR(__xludf.DUMMYFUNCTION("""COMPUTED_VALUE"""),5015860)</f>
        <v>5015860</v>
      </c>
      <c r="C73" s="215" t="str">
        <f ca="1">IFERROR(__xludf.DUMMYFUNCTION("""COMPUTED_VALUE"""),"Intermediate")</f>
        <v>Intermediate</v>
      </c>
      <c r="D73" s="216" t="str">
        <f ca="1">IFERROR(__xludf.DUMMYFUNCTION("""COMPUTED_VALUE"""),"Corporate Finance: Robust Financial Modeling")</f>
        <v>Corporate Finance: Robust Financial Modeling</v>
      </c>
      <c r="E73" s="217"/>
      <c r="F73" s="213"/>
      <c r="G73" s="214"/>
      <c r="H73" s="215"/>
      <c r="I73" s="217"/>
      <c r="J73" s="217"/>
      <c r="K73" s="213"/>
      <c r="L73" s="215"/>
      <c r="M73" s="215"/>
      <c r="N73" s="217"/>
      <c r="O73" s="217"/>
      <c r="P73" s="213"/>
      <c r="Q73" s="215"/>
      <c r="R73" s="215"/>
      <c r="S73" s="217"/>
      <c r="T73" s="217"/>
      <c r="U73" s="213"/>
      <c r="V73" s="215"/>
      <c r="W73" s="215"/>
      <c r="X73" s="217"/>
      <c r="Y73" s="217"/>
      <c r="Z73" s="213"/>
      <c r="AA73" s="215"/>
      <c r="AB73" s="215"/>
      <c r="AC73" s="217"/>
      <c r="AD73" s="217"/>
      <c r="AE73" s="213"/>
      <c r="AF73" s="215"/>
      <c r="AG73" s="215"/>
      <c r="AH73" s="217"/>
      <c r="AI73" s="217"/>
      <c r="AJ73" s="213"/>
    </row>
    <row r="74" spans="1:36" ht="33.75" customHeight="1">
      <c r="A74" s="213"/>
      <c r="B74" s="214">
        <f ca="1">IFERROR(__xludf.DUMMYFUNCTION("""COMPUTED_VALUE"""),699343)</f>
        <v>699343</v>
      </c>
      <c r="C74" s="215" t="str">
        <f ca="1">IFERROR(__xludf.DUMMYFUNCTION("""COMPUTED_VALUE"""),"Intermediate")</f>
        <v>Intermediate</v>
      </c>
      <c r="D74" s="216" t="str">
        <f ca="1">IFERROR(__xludf.DUMMYFUNCTION("""COMPUTED_VALUE"""),"Increasing Engagement with Elearning Programs")</f>
        <v>Increasing Engagement with Elearning Programs</v>
      </c>
      <c r="E74" s="217"/>
      <c r="F74" s="213"/>
      <c r="G74" s="214"/>
      <c r="H74" s="215"/>
      <c r="I74" s="217"/>
      <c r="J74" s="217"/>
      <c r="K74" s="213"/>
      <c r="L74" s="215"/>
      <c r="M74" s="215"/>
      <c r="N74" s="217"/>
      <c r="O74" s="217"/>
      <c r="P74" s="213"/>
      <c r="Q74" s="215"/>
      <c r="R74" s="215"/>
      <c r="S74" s="217"/>
      <c r="T74" s="217"/>
      <c r="U74" s="213"/>
      <c r="V74" s="215"/>
      <c r="W74" s="215"/>
      <c r="X74" s="217"/>
      <c r="Y74" s="217"/>
      <c r="Z74" s="213"/>
      <c r="AA74" s="215"/>
      <c r="AB74" s="215"/>
      <c r="AC74" s="217"/>
      <c r="AD74" s="217"/>
      <c r="AE74" s="213"/>
      <c r="AF74" s="215"/>
      <c r="AG74" s="215"/>
      <c r="AH74" s="217"/>
      <c r="AI74" s="217"/>
      <c r="AJ74" s="213"/>
    </row>
    <row r="75" spans="1:36" ht="33.75" customHeight="1">
      <c r="A75" s="213"/>
      <c r="B75" s="214">
        <f ca="1">IFERROR(__xludf.DUMMYFUNCTION("""COMPUTED_VALUE"""),609019)</f>
        <v>609019</v>
      </c>
      <c r="C75" s="215" t="str">
        <f ca="1">IFERROR(__xludf.DUMMYFUNCTION("""COMPUTED_VALUE"""),"Intermediate")</f>
        <v>Intermediate</v>
      </c>
      <c r="D75" s="216" t="str">
        <f ca="1">IFERROR(__xludf.DUMMYFUNCTION("""COMPUTED_VALUE"""),"Data Analytics for Business Professionals")</f>
        <v>Data Analytics for Business Professionals</v>
      </c>
      <c r="E75" s="217"/>
      <c r="F75" s="213"/>
      <c r="G75" s="214"/>
      <c r="H75" s="215"/>
      <c r="I75" s="217"/>
      <c r="J75" s="217"/>
      <c r="K75" s="213"/>
      <c r="L75" s="215"/>
      <c r="M75" s="215"/>
      <c r="N75" s="217"/>
      <c r="O75" s="217"/>
      <c r="P75" s="213"/>
      <c r="Q75" s="215"/>
      <c r="R75" s="215"/>
      <c r="S75" s="217"/>
      <c r="T75" s="217"/>
      <c r="U75" s="213"/>
      <c r="V75" s="215"/>
      <c r="W75" s="215"/>
      <c r="X75" s="217"/>
      <c r="Y75" s="217"/>
      <c r="Z75" s="213"/>
      <c r="AA75" s="215"/>
      <c r="AB75" s="215"/>
      <c r="AC75" s="217"/>
      <c r="AD75" s="217"/>
      <c r="AE75" s="213"/>
      <c r="AF75" s="215"/>
      <c r="AG75" s="215"/>
      <c r="AH75" s="217"/>
      <c r="AI75" s="217"/>
      <c r="AJ75" s="213"/>
    </row>
    <row r="76" spans="1:36" ht="33.75" customHeight="1">
      <c r="A76" s="213"/>
      <c r="B76" s="214">
        <f ca="1">IFERROR(__xludf.DUMMYFUNCTION("""COMPUTED_VALUE"""),622076)</f>
        <v>622076</v>
      </c>
      <c r="C76" s="215" t="str">
        <f ca="1">IFERROR(__xludf.DUMMYFUNCTION("""COMPUTED_VALUE"""),"Intermediate")</f>
        <v>Intermediate</v>
      </c>
      <c r="D76" s="216" t="str">
        <f ca="1">IFERROR(__xludf.DUMMYFUNCTION("""COMPUTED_VALUE"""),"Algorithmic Trading and Stocks Essential Training")</f>
        <v>Algorithmic Trading and Stocks Essential Training</v>
      </c>
      <c r="E76" s="217"/>
      <c r="F76" s="213"/>
      <c r="G76" s="214"/>
      <c r="H76" s="215"/>
      <c r="I76" s="217"/>
      <c r="J76" s="217"/>
      <c r="K76" s="213"/>
      <c r="L76" s="215"/>
      <c r="M76" s="215"/>
      <c r="N76" s="217"/>
      <c r="O76" s="217"/>
      <c r="P76" s="213"/>
      <c r="Q76" s="215"/>
      <c r="R76" s="215"/>
      <c r="S76" s="217"/>
      <c r="T76" s="217"/>
      <c r="U76" s="213"/>
      <c r="V76" s="215"/>
      <c r="W76" s="215"/>
      <c r="X76" s="217"/>
      <c r="Y76" s="217"/>
      <c r="Z76" s="213"/>
      <c r="AA76" s="215"/>
      <c r="AB76" s="215"/>
      <c r="AC76" s="217"/>
      <c r="AD76" s="217"/>
      <c r="AE76" s="213"/>
      <c r="AF76" s="215"/>
      <c r="AG76" s="215"/>
      <c r="AH76" s="217"/>
      <c r="AI76" s="217"/>
      <c r="AJ76" s="213"/>
    </row>
    <row r="77" spans="1:36" ht="33.75" customHeight="1">
      <c r="A77" s="213"/>
      <c r="B77" s="214">
        <f ca="1">IFERROR(__xludf.DUMMYFUNCTION("""COMPUTED_VALUE"""),622077)</f>
        <v>622077</v>
      </c>
      <c r="C77" s="215" t="str">
        <f ca="1">IFERROR(__xludf.DUMMYFUNCTION("""COMPUTED_VALUE"""),"Intermediate")</f>
        <v>Intermediate</v>
      </c>
      <c r="D77" s="216" t="str">
        <f ca="1">IFERROR(__xludf.DUMMYFUNCTION("""COMPUTED_VALUE"""),"Data Analytics for Pricing Analysts in Excel")</f>
        <v>Data Analytics for Pricing Analysts in Excel</v>
      </c>
      <c r="E77" s="217"/>
      <c r="F77" s="213"/>
      <c r="G77" s="214"/>
      <c r="H77" s="215"/>
      <c r="I77" s="217"/>
      <c r="J77" s="217"/>
      <c r="K77" s="213"/>
      <c r="L77" s="215"/>
      <c r="M77" s="215"/>
      <c r="N77" s="217"/>
      <c r="O77" s="217"/>
      <c r="P77" s="213"/>
      <c r="Q77" s="215"/>
      <c r="R77" s="215"/>
      <c r="S77" s="217"/>
      <c r="T77" s="217"/>
      <c r="U77" s="213"/>
      <c r="V77" s="215"/>
      <c r="W77" s="215"/>
      <c r="X77" s="217"/>
      <c r="Y77" s="217"/>
      <c r="Z77" s="213"/>
      <c r="AA77" s="215"/>
      <c r="AB77" s="215"/>
      <c r="AC77" s="217"/>
      <c r="AD77" s="217"/>
      <c r="AE77" s="213"/>
      <c r="AF77" s="215"/>
      <c r="AG77" s="215"/>
      <c r="AH77" s="217"/>
      <c r="AI77" s="217"/>
      <c r="AJ77" s="213"/>
    </row>
    <row r="78" spans="1:36" ht="33.75" customHeight="1">
      <c r="A78" s="213"/>
      <c r="B78" s="214">
        <f ca="1">IFERROR(__xludf.DUMMYFUNCTION("""COMPUTED_VALUE"""),672260)</f>
        <v>672260</v>
      </c>
      <c r="C78" s="215" t="str">
        <f ca="1">IFERROR(__xludf.DUMMYFUNCTION("""COMPUTED_VALUE"""),"Intermediate")</f>
        <v>Intermediate</v>
      </c>
      <c r="D78" s="216" t="str">
        <f ca="1">IFERROR(__xludf.DUMMYFUNCTION("""COMPUTED_VALUE"""),"SQL for Statistics Essential Training")</f>
        <v>SQL for Statistics Essential Training</v>
      </c>
      <c r="E78" s="217"/>
      <c r="F78" s="213"/>
      <c r="G78" s="214"/>
      <c r="H78" s="215"/>
      <c r="I78" s="217"/>
      <c r="J78" s="217"/>
      <c r="K78" s="213"/>
      <c r="L78" s="215"/>
      <c r="M78" s="215"/>
      <c r="N78" s="217"/>
      <c r="O78" s="217"/>
      <c r="P78" s="213"/>
      <c r="Q78" s="215"/>
      <c r="R78" s="215"/>
      <c r="S78" s="217"/>
      <c r="T78" s="217"/>
      <c r="U78" s="213"/>
      <c r="V78" s="215"/>
      <c r="W78" s="215"/>
      <c r="X78" s="217"/>
      <c r="Y78" s="217"/>
      <c r="Z78" s="213"/>
      <c r="AA78" s="215"/>
      <c r="AB78" s="215"/>
      <c r="AC78" s="217"/>
      <c r="AD78" s="217"/>
      <c r="AE78" s="213"/>
      <c r="AF78" s="215"/>
      <c r="AG78" s="215"/>
      <c r="AH78" s="217"/>
      <c r="AI78" s="217"/>
      <c r="AJ78" s="213"/>
    </row>
    <row r="79" spans="1:36" ht="33.75" customHeight="1">
      <c r="A79" s="213"/>
      <c r="B79" s="214">
        <f ca="1">IFERROR(__xludf.DUMMYFUNCTION("""COMPUTED_VALUE"""),2805906)</f>
        <v>2805906</v>
      </c>
      <c r="C79" s="215" t="str">
        <f ca="1">IFERROR(__xludf.DUMMYFUNCTION("""COMPUTED_VALUE"""),"Intermediate")</f>
        <v>Intermediate</v>
      </c>
      <c r="D79" s="216" t="str">
        <f ca="1">IFERROR(__xludf.DUMMYFUNCTION("""COMPUTED_VALUE"""),"Financial Modeling and Forecasting Financial Statements")</f>
        <v>Financial Modeling and Forecasting Financial Statements</v>
      </c>
      <c r="E79" s="217"/>
      <c r="F79" s="213"/>
      <c r="G79" s="214"/>
      <c r="H79" s="215"/>
      <c r="I79" s="217"/>
      <c r="J79" s="217"/>
      <c r="K79" s="213"/>
      <c r="L79" s="215"/>
      <c r="M79" s="215"/>
      <c r="N79" s="217"/>
      <c r="O79" s="217"/>
      <c r="P79" s="213"/>
      <c r="Q79" s="215"/>
      <c r="R79" s="215"/>
      <c r="S79" s="217"/>
      <c r="T79" s="217"/>
      <c r="U79" s="213"/>
      <c r="V79" s="215"/>
      <c r="W79" s="215"/>
      <c r="X79" s="217"/>
      <c r="Y79" s="217"/>
      <c r="Z79" s="213"/>
      <c r="AA79" s="215"/>
      <c r="AB79" s="215"/>
      <c r="AC79" s="217"/>
      <c r="AD79" s="217"/>
      <c r="AE79" s="213"/>
      <c r="AF79" s="215"/>
      <c r="AG79" s="215"/>
      <c r="AH79" s="217"/>
      <c r="AI79" s="217"/>
      <c r="AJ79" s="213"/>
    </row>
    <row r="80" spans="1:36" ht="33.75" customHeight="1">
      <c r="A80" s="213"/>
      <c r="B80" s="214">
        <f ca="1">IFERROR(__xludf.DUMMYFUNCTION("""COMPUTED_VALUE"""),2815054)</f>
        <v>2815054</v>
      </c>
      <c r="C80" s="215" t="str">
        <f ca="1">IFERROR(__xludf.DUMMYFUNCTION("""COMPUTED_VALUE"""),"Intermediate")</f>
        <v>Intermediate</v>
      </c>
      <c r="D80" s="216" t="str">
        <f ca="1">IFERROR(__xludf.DUMMYFUNCTION("""COMPUTED_VALUE"""),"Accounting Foundations: Leases")</f>
        <v>Accounting Foundations: Leases</v>
      </c>
      <c r="E80" s="217"/>
      <c r="F80" s="213"/>
      <c r="G80" s="214"/>
      <c r="H80" s="215"/>
      <c r="I80" s="217"/>
      <c r="J80" s="217"/>
      <c r="K80" s="213"/>
      <c r="L80" s="215"/>
      <c r="M80" s="215"/>
      <c r="N80" s="217"/>
      <c r="O80" s="217"/>
      <c r="P80" s="213"/>
      <c r="Q80" s="215"/>
      <c r="R80" s="215"/>
      <c r="S80" s="217"/>
      <c r="T80" s="217"/>
      <c r="U80" s="213"/>
      <c r="V80" s="215"/>
      <c r="W80" s="215"/>
      <c r="X80" s="217"/>
      <c r="Y80" s="217"/>
      <c r="Z80" s="213"/>
      <c r="AA80" s="215"/>
      <c r="AB80" s="215"/>
      <c r="AC80" s="217"/>
      <c r="AD80" s="217"/>
      <c r="AE80" s="213"/>
      <c r="AF80" s="215"/>
      <c r="AG80" s="215"/>
      <c r="AH80" s="217"/>
      <c r="AI80" s="217"/>
      <c r="AJ80" s="213"/>
    </row>
    <row r="81" spans="1:36" ht="33.75" customHeight="1">
      <c r="A81" s="213"/>
      <c r="B81" s="214">
        <f ca="1">IFERROR(__xludf.DUMMYFUNCTION("""COMPUTED_VALUE"""),2823100)</f>
        <v>2823100</v>
      </c>
      <c r="C81" s="215" t="str">
        <f ca="1">IFERROR(__xludf.DUMMYFUNCTION("""COMPUTED_VALUE"""),"Intermediate")</f>
        <v>Intermediate</v>
      </c>
      <c r="D81" s="216" t="str">
        <f ca="1">IFERROR(__xludf.DUMMYFUNCTION("""COMPUTED_VALUE"""),"Excel: Implementing Balanced Scorecards with KPIs")</f>
        <v>Excel: Implementing Balanced Scorecards with KPIs</v>
      </c>
      <c r="E81" s="217"/>
      <c r="F81" s="213"/>
      <c r="G81" s="214"/>
      <c r="H81" s="215"/>
      <c r="I81" s="217"/>
      <c r="J81" s="217"/>
      <c r="K81" s="213"/>
      <c r="L81" s="215"/>
      <c r="M81" s="215"/>
      <c r="N81" s="217"/>
      <c r="O81" s="217"/>
      <c r="P81" s="213"/>
      <c r="Q81" s="215"/>
      <c r="R81" s="215"/>
      <c r="S81" s="217"/>
      <c r="T81" s="217"/>
      <c r="U81" s="213"/>
      <c r="V81" s="215"/>
      <c r="W81" s="215"/>
      <c r="X81" s="217"/>
      <c r="Y81" s="217"/>
      <c r="Z81" s="213"/>
      <c r="AA81" s="215"/>
      <c r="AB81" s="215"/>
      <c r="AC81" s="217"/>
      <c r="AD81" s="217"/>
      <c r="AE81" s="213"/>
      <c r="AF81" s="215"/>
      <c r="AG81" s="215"/>
      <c r="AH81" s="217"/>
      <c r="AI81" s="217"/>
      <c r="AJ81" s="213"/>
    </row>
    <row r="82" spans="1:36" ht="33.75" customHeight="1">
      <c r="A82" s="213"/>
      <c r="B82" s="214">
        <f ca="1">IFERROR(__xludf.DUMMYFUNCTION("""COMPUTED_VALUE"""),2825033)</f>
        <v>2825033</v>
      </c>
      <c r="C82" s="215" t="str">
        <f ca="1">IFERROR(__xludf.DUMMYFUNCTION("""COMPUTED_VALUE"""),"Intermediate")</f>
        <v>Intermediate</v>
      </c>
      <c r="D82" s="216" t="str">
        <f ca="1">IFERROR(__xludf.DUMMYFUNCTION("""COMPUTED_VALUE"""),"Accounting Foundations: Internal Controls")</f>
        <v>Accounting Foundations: Internal Controls</v>
      </c>
      <c r="E82" s="217"/>
      <c r="F82" s="213"/>
      <c r="G82" s="214"/>
      <c r="H82" s="215"/>
      <c r="I82" s="217"/>
      <c r="J82" s="217"/>
      <c r="K82" s="213"/>
      <c r="L82" s="215"/>
      <c r="M82" s="215"/>
      <c r="N82" s="217"/>
      <c r="O82" s="217"/>
      <c r="P82" s="213"/>
      <c r="Q82" s="215"/>
      <c r="R82" s="215"/>
      <c r="S82" s="217"/>
      <c r="T82" s="217"/>
      <c r="U82" s="213"/>
      <c r="V82" s="215"/>
      <c r="W82" s="215"/>
      <c r="X82" s="217"/>
      <c r="Y82" s="217"/>
      <c r="Z82" s="213"/>
      <c r="AA82" s="215"/>
      <c r="AB82" s="215"/>
      <c r="AC82" s="217"/>
      <c r="AD82" s="217"/>
      <c r="AE82" s="213"/>
      <c r="AF82" s="215"/>
      <c r="AG82" s="215"/>
      <c r="AH82" s="217"/>
      <c r="AI82" s="217"/>
      <c r="AJ82" s="213"/>
    </row>
    <row r="83" spans="1:36" ht="33.75" customHeight="1">
      <c r="A83" s="213"/>
      <c r="B83" s="214">
        <f ca="1">IFERROR(__xludf.DUMMYFUNCTION("""COMPUTED_VALUE"""),2805121)</f>
        <v>2805121</v>
      </c>
      <c r="C83" s="215" t="str">
        <f ca="1">IFERROR(__xludf.DUMMYFUNCTION("""COMPUTED_VALUE"""),"Intermediate")</f>
        <v>Intermediate</v>
      </c>
      <c r="D83" s="216" t="str">
        <f ca="1">IFERROR(__xludf.DUMMYFUNCTION("""COMPUTED_VALUE"""),"Evaluating Business Investment Decisions")</f>
        <v>Evaluating Business Investment Decisions</v>
      </c>
      <c r="E83" s="217"/>
      <c r="F83" s="213"/>
      <c r="G83" s="214"/>
      <c r="H83" s="215"/>
      <c r="I83" s="217"/>
      <c r="J83" s="217"/>
      <c r="K83" s="213"/>
      <c r="L83" s="215"/>
      <c r="M83" s="215"/>
      <c r="N83" s="217"/>
      <c r="O83" s="217"/>
      <c r="P83" s="213"/>
      <c r="Q83" s="215"/>
      <c r="R83" s="215"/>
      <c r="S83" s="217"/>
      <c r="T83" s="217"/>
      <c r="U83" s="213"/>
      <c r="V83" s="215"/>
      <c r="W83" s="215"/>
      <c r="X83" s="217"/>
      <c r="Y83" s="217"/>
      <c r="Z83" s="213"/>
      <c r="AA83" s="215"/>
      <c r="AB83" s="215"/>
      <c r="AC83" s="217"/>
      <c r="AD83" s="217"/>
      <c r="AE83" s="213"/>
      <c r="AF83" s="215"/>
      <c r="AG83" s="215"/>
      <c r="AH83" s="217"/>
      <c r="AI83" s="217"/>
      <c r="AJ83" s="213"/>
    </row>
    <row r="84" spans="1:36" ht="33.75" customHeight="1">
      <c r="A84" s="213"/>
      <c r="B84" s="214">
        <f ca="1">IFERROR(__xludf.DUMMYFUNCTION("""COMPUTED_VALUE"""),5019813)</f>
        <v>5019813</v>
      </c>
      <c r="C84" s="215" t="str">
        <f ca="1">IFERROR(__xludf.DUMMYFUNCTION("""COMPUTED_VALUE"""),"Intermediate")</f>
        <v>Intermediate</v>
      </c>
      <c r="D84" s="216" t="str">
        <f ca="1">IFERROR(__xludf.DUMMYFUNCTION("""COMPUTED_VALUE"""),"AI in Fintech Essential Training")</f>
        <v>AI in Fintech Essential Training</v>
      </c>
      <c r="E84" s="217"/>
      <c r="F84" s="213"/>
      <c r="G84" s="214"/>
      <c r="H84" s="215"/>
      <c r="I84" s="217"/>
      <c r="J84" s="217"/>
      <c r="K84" s="213"/>
      <c r="L84" s="215"/>
      <c r="M84" s="215"/>
      <c r="N84" s="217"/>
      <c r="O84" s="217"/>
      <c r="P84" s="213"/>
      <c r="Q84" s="215"/>
      <c r="R84" s="215"/>
      <c r="S84" s="217"/>
      <c r="T84" s="217"/>
      <c r="U84" s="213"/>
      <c r="V84" s="215"/>
      <c r="W84" s="215"/>
      <c r="X84" s="217"/>
      <c r="Y84" s="217"/>
      <c r="Z84" s="213"/>
      <c r="AA84" s="215"/>
      <c r="AB84" s="215"/>
      <c r="AC84" s="217"/>
      <c r="AD84" s="217"/>
      <c r="AE84" s="213"/>
      <c r="AF84" s="215"/>
      <c r="AG84" s="215"/>
      <c r="AH84" s="217"/>
      <c r="AI84" s="217"/>
      <c r="AJ84" s="213"/>
    </row>
    <row r="85" spans="1:36" ht="33.75" customHeight="1">
      <c r="A85" s="213"/>
      <c r="B85" s="214">
        <f ca="1">IFERROR(__xludf.DUMMYFUNCTION("""COMPUTED_VALUE"""),2823136)</f>
        <v>2823136</v>
      </c>
      <c r="C85" s="215" t="str">
        <f ca="1">IFERROR(__xludf.DUMMYFUNCTION("""COMPUTED_VALUE"""),"Intermediate")</f>
        <v>Intermediate</v>
      </c>
      <c r="D85" s="216" t="str">
        <f ca="1">IFERROR(__xludf.DUMMYFUNCTION("""COMPUTED_VALUE"""),"Accounting Foundations: Cost-Based Pricing Strategies")</f>
        <v>Accounting Foundations: Cost-Based Pricing Strategies</v>
      </c>
      <c r="E85" s="217"/>
      <c r="F85" s="213"/>
      <c r="G85" s="214"/>
      <c r="H85" s="215"/>
      <c r="I85" s="217"/>
      <c r="J85" s="217"/>
      <c r="K85" s="213"/>
      <c r="L85" s="215"/>
      <c r="M85" s="215"/>
      <c r="N85" s="217"/>
      <c r="O85" s="217"/>
      <c r="P85" s="213"/>
      <c r="Q85" s="215"/>
      <c r="R85" s="215"/>
      <c r="S85" s="217"/>
      <c r="T85" s="217"/>
      <c r="U85" s="213"/>
      <c r="V85" s="215"/>
      <c r="W85" s="215"/>
      <c r="X85" s="217"/>
      <c r="Y85" s="217"/>
      <c r="Z85" s="213"/>
      <c r="AA85" s="215"/>
      <c r="AB85" s="215"/>
      <c r="AC85" s="217"/>
      <c r="AD85" s="217"/>
      <c r="AE85" s="213"/>
      <c r="AF85" s="215"/>
      <c r="AG85" s="215"/>
      <c r="AH85" s="217"/>
      <c r="AI85" s="217"/>
      <c r="AJ85" s="213"/>
    </row>
    <row r="86" spans="1:36" ht="33.75" customHeight="1">
      <c r="A86" s="213"/>
      <c r="B86" s="214">
        <f ca="1">IFERROR(__xludf.DUMMYFUNCTION("""COMPUTED_VALUE"""),2823389)</f>
        <v>2823389</v>
      </c>
      <c r="C86" s="215" t="str">
        <f ca="1">IFERROR(__xludf.DUMMYFUNCTION("""COMPUTED_VALUE"""),"Intermediate")</f>
        <v>Intermediate</v>
      </c>
      <c r="D86" s="216" t="str">
        <f ca="1">IFERROR(__xludf.DUMMYFUNCTION("""COMPUTED_VALUE"""),"Economics for Business Leaders")</f>
        <v>Economics for Business Leaders</v>
      </c>
      <c r="E86" s="217"/>
      <c r="F86" s="213"/>
      <c r="G86" s="214"/>
      <c r="H86" s="215"/>
      <c r="I86" s="217"/>
      <c r="J86" s="217"/>
      <c r="K86" s="213"/>
      <c r="L86" s="215"/>
      <c r="M86" s="215"/>
      <c r="N86" s="217"/>
      <c r="O86" s="217"/>
      <c r="P86" s="213"/>
      <c r="Q86" s="215"/>
      <c r="R86" s="215"/>
      <c r="S86" s="217"/>
      <c r="T86" s="217"/>
      <c r="U86" s="213"/>
      <c r="V86" s="215"/>
      <c r="W86" s="215"/>
      <c r="X86" s="217"/>
      <c r="Y86" s="217"/>
      <c r="Z86" s="213"/>
      <c r="AA86" s="215"/>
      <c r="AB86" s="215"/>
      <c r="AC86" s="217"/>
      <c r="AD86" s="217"/>
      <c r="AE86" s="213"/>
      <c r="AF86" s="215"/>
      <c r="AG86" s="215"/>
      <c r="AH86" s="217"/>
      <c r="AI86" s="217"/>
      <c r="AJ86" s="213"/>
    </row>
    <row r="87" spans="1:36" ht="33.75" customHeight="1">
      <c r="A87" s="213"/>
      <c r="B87" s="214">
        <f ca="1">IFERROR(__xludf.DUMMYFUNCTION("""COMPUTED_VALUE"""),2873324)</f>
        <v>2873324</v>
      </c>
      <c r="C87" s="215" t="str">
        <f ca="1">IFERROR(__xludf.DUMMYFUNCTION("""COMPUTED_VALUE"""),"Intermediate")</f>
        <v>Intermediate</v>
      </c>
      <c r="D87" s="216" t="str">
        <f ca="1">IFERROR(__xludf.DUMMYFUNCTION("""COMPUTED_VALUE"""),"Accounting Foundations: Global Finance and Accounting")</f>
        <v>Accounting Foundations: Global Finance and Accounting</v>
      </c>
      <c r="E87" s="217"/>
      <c r="F87" s="213"/>
      <c r="G87" s="214"/>
      <c r="H87" s="215"/>
      <c r="I87" s="217"/>
      <c r="J87" s="217"/>
      <c r="K87" s="213"/>
      <c r="L87" s="215"/>
      <c r="M87" s="215"/>
      <c r="N87" s="217"/>
      <c r="O87" s="217"/>
      <c r="P87" s="213"/>
      <c r="Q87" s="215"/>
      <c r="R87" s="215"/>
      <c r="S87" s="217"/>
      <c r="T87" s="217"/>
      <c r="U87" s="213"/>
      <c r="V87" s="215"/>
      <c r="W87" s="215"/>
      <c r="X87" s="217"/>
      <c r="Y87" s="217"/>
      <c r="Z87" s="213"/>
      <c r="AA87" s="215"/>
      <c r="AB87" s="215"/>
      <c r="AC87" s="217"/>
      <c r="AD87" s="217"/>
      <c r="AE87" s="213"/>
      <c r="AF87" s="215"/>
      <c r="AG87" s="215"/>
      <c r="AH87" s="217"/>
      <c r="AI87" s="217"/>
      <c r="AJ87" s="213"/>
    </row>
    <row r="88" spans="1:36" ht="33.75" customHeight="1">
      <c r="A88" s="213"/>
      <c r="B88" s="214">
        <f ca="1">IFERROR(__xludf.DUMMYFUNCTION("""COMPUTED_VALUE"""),2882184)</f>
        <v>2882184</v>
      </c>
      <c r="C88" s="215" t="str">
        <f ca="1">IFERROR(__xludf.DUMMYFUNCTION("""COMPUTED_VALUE"""),"Intermediate")</f>
        <v>Intermediate</v>
      </c>
      <c r="D88" s="217" t="str">
        <f ca="1">IFERROR(__xludf.DUMMYFUNCTION("""COMPUTED_VALUE"""),"Audit and Due Diligence: Priorities and Best Practices")</f>
        <v>Audit and Due Diligence: Priorities and Best Practices</v>
      </c>
      <c r="E88" s="217"/>
      <c r="F88" s="213"/>
      <c r="G88" s="214"/>
      <c r="H88" s="215"/>
      <c r="I88" s="217"/>
      <c r="J88" s="217"/>
      <c r="K88" s="213"/>
      <c r="L88" s="215"/>
      <c r="M88" s="215"/>
      <c r="N88" s="217"/>
      <c r="O88" s="217"/>
      <c r="P88" s="213"/>
      <c r="Q88" s="215"/>
      <c r="R88" s="215"/>
      <c r="S88" s="217"/>
      <c r="T88" s="217"/>
      <c r="U88" s="213"/>
      <c r="V88" s="215"/>
      <c r="W88" s="215"/>
      <c r="X88" s="217"/>
      <c r="Y88" s="217"/>
      <c r="Z88" s="213"/>
      <c r="AA88" s="215"/>
      <c r="AB88" s="215"/>
      <c r="AC88" s="217"/>
      <c r="AD88" s="217"/>
      <c r="AE88" s="213"/>
      <c r="AF88" s="215"/>
      <c r="AG88" s="215"/>
      <c r="AH88" s="217"/>
      <c r="AI88" s="217"/>
      <c r="AJ88" s="213"/>
    </row>
    <row r="89" spans="1:36" ht="16">
      <c r="A89" s="213"/>
      <c r="B89" s="214">
        <f ca="1">IFERROR(__xludf.DUMMYFUNCTION("""COMPUTED_VALUE"""),2880137)</f>
        <v>2880137</v>
      </c>
      <c r="C89" s="215" t="str">
        <f ca="1">IFERROR(__xludf.DUMMYFUNCTION("""COMPUTED_VALUE"""),"Intermediate")</f>
        <v>Intermediate</v>
      </c>
      <c r="D89" s="216" t="str">
        <f ca="1">IFERROR(__xludf.DUMMYFUNCTION("""COMPUTED_VALUE"""),"Excel Modeling Tips and Tricks")</f>
        <v>Excel Modeling Tips and Tricks</v>
      </c>
      <c r="E89" s="217"/>
      <c r="F89" s="213"/>
      <c r="G89" s="214"/>
      <c r="H89" s="215"/>
      <c r="I89" s="217"/>
      <c r="J89" s="217"/>
      <c r="K89" s="213"/>
      <c r="L89" s="215"/>
      <c r="M89" s="215"/>
      <c r="N89" s="217"/>
      <c r="O89" s="217"/>
      <c r="P89" s="213"/>
      <c r="Q89" s="215"/>
      <c r="R89" s="215"/>
      <c r="S89" s="217"/>
      <c r="T89" s="217"/>
      <c r="U89" s="213"/>
      <c r="V89" s="215"/>
      <c r="W89" s="215"/>
      <c r="X89" s="217"/>
      <c r="Y89" s="217"/>
      <c r="Z89" s="213"/>
      <c r="AA89" s="215"/>
      <c r="AB89" s="215"/>
      <c r="AC89" s="217"/>
      <c r="AD89" s="217"/>
      <c r="AE89" s="213"/>
      <c r="AF89" s="215"/>
      <c r="AG89" s="215"/>
      <c r="AH89" s="217"/>
      <c r="AI89" s="217"/>
      <c r="AJ89" s="213"/>
    </row>
    <row r="90" spans="1:36" ht="16">
      <c r="A90" s="213"/>
      <c r="B90" s="214">
        <f ca="1">IFERROR(__xludf.DUMMYFUNCTION("""COMPUTED_VALUE"""),2885198)</f>
        <v>2885198</v>
      </c>
      <c r="C90" s="215" t="str">
        <f ca="1">IFERROR(__xludf.DUMMYFUNCTION("""COMPUTED_VALUE"""),"Intermediate")</f>
        <v>Intermediate</v>
      </c>
      <c r="D90" s="216" t="str">
        <f ca="1">IFERROR(__xludf.DUMMYFUNCTION("""COMPUTED_VALUE"""),"The Future of Audit")</f>
        <v>The Future of Audit</v>
      </c>
      <c r="E90" s="217"/>
      <c r="F90" s="213"/>
      <c r="G90" s="214"/>
      <c r="H90" s="215"/>
      <c r="I90" s="217"/>
      <c r="J90" s="217"/>
      <c r="K90" s="213"/>
      <c r="L90" s="215"/>
      <c r="M90" s="215"/>
      <c r="N90" s="217"/>
      <c r="O90" s="217"/>
      <c r="P90" s="213"/>
      <c r="Q90" s="215"/>
      <c r="R90" s="215"/>
      <c r="S90" s="217"/>
      <c r="T90" s="217"/>
      <c r="U90" s="213"/>
      <c r="V90" s="215"/>
      <c r="W90" s="215"/>
      <c r="X90" s="217"/>
      <c r="Y90" s="217"/>
      <c r="Z90" s="213"/>
      <c r="AA90" s="215"/>
      <c r="AB90" s="215"/>
      <c r="AC90" s="217"/>
      <c r="AD90" s="217"/>
      <c r="AE90" s="213"/>
      <c r="AF90" s="215"/>
      <c r="AG90" s="215"/>
      <c r="AH90" s="217"/>
      <c r="AI90" s="217"/>
      <c r="AJ90" s="213"/>
    </row>
    <row r="91" spans="1:36" ht="16">
      <c r="A91" s="213"/>
      <c r="B91" s="214">
        <f ca="1">IFERROR(__xludf.DUMMYFUNCTION("""COMPUTED_VALUE"""),2878184)</f>
        <v>2878184</v>
      </c>
      <c r="C91" s="215" t="str">
        <f ca="1">IFERROR(__xludf.DUMMYFUNCTION("""COMPUTED_VALUE"""),"Intermediate")</f>
        <v>Intermediate</v>
      </c>
      <c r="D91" s="216" t="str">
        <f ca="1">IFERROR(__xludf.DUMMYFUNCTION("""COMPUTED_VALUE"""),"QuickBooks Online Tips and Tricks")</f>
        <v>QuickBooks Online Tips and Tricks</v>
      </c>
      <c r="E91" s="217"/>
      <c r="F91" s="213"/>
      <c r="G91" s="214"/>
      <c r="H91" s="215"/>
      <c r="I91" s="217"/>
      <c r="J91" s="217"/>
      <c r="K91" s="213"/>
      <c r="L91" s="215"/>
      <c r="M91" s="215"/>
      <c r="N91" s="217"/>
      <c r="O91" s="217"/>
      <c r="P91" s="213"/>
      <c r="Q91" s="215"/>
      <c r="R91" s="215"/>
      <c r="S91" s="217"/>
      <c r="T91" s="217"/>
      <c r="U91" s="213"/>
      <c r="V91" s="215"/>
      <c r="W91" s="215"/>
      <c r="X91" s="217"/>
      <c r="Y91" s="217"/>
      <c r="Z91" s="213"/>
      <c r="AA91" s="215"/>
      <c r="AB91" s="215"/>
      <c r="AC91" s="217"/>
      <c r="AD91" s="217"/>
      <c r="AE91" s="213"/>
      <c r="AF91" s="215"/>
      <c r="AG91" s="215"/>
      <c r="AH91" s="217"/>
      <c r="AI91" s="217"/>
      <c r="AJ91" s="213"/>
    </row>
    <row r="92" spans="1:36" ht="16">
      <c r="A92" s="213"/>
      <c r="B92" s="214">
        <f ca="1">IFERROR(__xludf.DUMMYFUNCTION("""COMPUTED_VALUE"""),2835070)</f>
        <v>2835070</v>
      </c>
      <c r="C92" s="215" t="str">
        <f ca="1">IFERROR(__xludf.DUMMYFUNCTION("""COMPUTED_VALUE"""),"Intermediate")</f>
        <v>Intermediate</v>
      </c>
      <c r="D92" s="216" t="str">
        <f ca="1">IFERROR(__xludf.DUMMYFUNCTION("""COMPUTED_VALUE"""),"The Business of Accounting")</f>
        <v>The Business of Accounting</v>
      </c>
      <c r="E92" s="217"/>
      <c r="F92" s="213"/>
      <c r="G92" s="214"/>
      <c r="H92" s="215"/>
      <c r="I92" s="217"/>
      <c r="J92" s="217"/>
      <c r="K92" s="213"/>
      <c r="L92" s="215"/>
      <c r="M92" s="215"/>
      <c r="N92" s="217"/>
      <c r="O92" s="217"/>
      <c r="P92" s="213"/>
      <c r="Q92" s="215"/>
      <c r="R92" s="215"/>
      <c r="S92" s="217"/>
      <c r="T92" s="217"/>
      <c r="U92" s="213"/>
      <c r="V92" s="215"/>
      <c r="W92" s="215"/>
      <c r="X92" s="217"/>
      <c r="Y92" s="217"/>
      <c r="Z92" s="213"/>
      <c r="AA92" s="215"/>
      <c r="AB92" s="215"/>
      <c r="AC92" s="217"/>
      <c r="AD92" s="217"/>
      <c r="AE92" s="213"/>
      <c r="AF92" s="215"/>
      <c r="AG92" s="215"/>
      <c r="AH92" s="217"/>
      <c r="AI92" s="217"/>
      <c r="AJ92" s="213"/>
    </row>
    <row r="93" spans="1:36" ht="30">
      <c r="A93" s="213"/>
      <c r="B93" s="214">
        <f ca="1">IFERROR(__xludf.DUMMYFUNCTION("""COMPUTED_VALUE"""),2885259)</f>
        <v>2885259</v>
      </c>
      <c r="C93" s="215" t="str">
        <f ca="1">IFERROR(__xludf.DUMMYFUNCTION("""COMPUTED_VALUE"""),"Intermediate")</f>
        <v>Intermediate</v>
      </c>
      <c r="D93" s="216" t="str">
        <f ca="1">IFERROR(__xludf.DUMMYFUNCTION("""COMPUTED_VALUE"""),"Accounting Foundations: Statement of Cash Flows")</f>
        <v>Accounting Foundations: Statement of Cash Flows</v>
      </c>
      <c r="E93" s="217"/>
      <c r="F93" s="213"/>
      <c r="G93" s="214"/>
      <c r="H93" s="215"/>
      <c r="I93" s="217"/>
      <c r="J93" s="217"/>
      <c r="K93" s="213"/>
      <c r="L93" s="215"/>
      <c r="M93" s="215"/>
      <c r="N93" s="217"/>
      <c r="O93" s="217"/>
      <c r="P93" s="213"/>
      <c r="Q93" s="215"/>
      <c r="R93" s="215"/>
      <c r="S93" s="217"/>
      <c r="T93" s="217"/>
      <c r="U93" s="213"/>
      <c r="V93" s="215"/>
      <c r="W93" s="215"/>
      <c r="X93" s="217"/>
      <c r="Y93" s="217"/>
      <c r="Z93" s="213"/>
      <c r="AA93" s="215"/>
      <c r="AB93" s="215"/>
      <c r="AC93" s="217"/>
      <c r="AD93" s="217"/>
      <c r="AE93" s="213"/>
      <c r="AF93" s="215"/>
      <c r="AG93" s="215"/>
      <c r="AH93" s="217"/>
      <c r="AI93" s="217"/>
      <c r="AJ93" s="213"/>
    </row>
    <row r="94" spans="1:36" ht="16">
      <c r="A94" s="213"/>
      <c r="B94" s="214">
        <f ca="1">IFERROR(__xludf.DUMMYFUNCTION("""COMPUTED_VALUE"""),3156783)</f>
        <v>3156783</v>
      </c>
      <c r="C94" s="215" t="str">
        <f ca="1">IFERROR(__xludf.DUMMYFUNCTION("""COMPUTED_VALUE"""),"Intermediate")</f>
        <v>Intermediate</v>
      </c>
      <c r="D94" s="216" t="str">
        <f ca="1">IFERROR(__xludf.DUMMYFUNCTION("""COMPUTED_VALUE"""),"Finance Foundations: Corporate Governanace")</f>
        <v>Finance Foundations: Corporate Governanace</v>
      </c>
      <c r="E94" s="217"/>
      <c r="F94" s="213"/>
      <c r="G94" s="214"/>
      <c r="H94" s="215"/>
      <c r="I94" s="217"/>
      <c r="J94" s="217"/>
      <c r="K94" s="213"/>
      <c r="L94" s="215"/>
      <c r="M94" s="215"/>
      <c r="N94" s="217"/>
      <c r="O94" s="217"/>
      <c r="P94" s="213"/>
      <c r="Q94" s="215"/>
      <c r="R94" s="215"/>
      <c r="S94" s="217"/>
      <c r="T94" s="217"/>
      <c r="U94" s="213"/>
      <c r="V94" s="215"/>
      <c r="W94" s="215"/>
      <c r="X94" s="217"/>
      <c r="Y94" s="217"/>
      <c r="Z94" s="213"/>
      <c r="AA94" s="215"/>
      <c r="AB94" s="215"/>
      <c r="AC94" s="217"/>
      <c r="AD94" s="217"/>
      <c r="AE94" s="213"/>
      <c r="AF94" s="215"/>
      <c r="AG94" s="215"/>
      <c r="AH94" s="217"/>
      <c r="AI94" s="217"/>
      <c r="AJ94" s="213"/>
    </row>
    <row r="95" spans="1:36" ht="16">
      <c r="A95" s="213"/>
      <c r="B95" s="214">
        <f ca="1">IFERROR(__xludf.DUMMYFUNCTION("""COMPUTED_VALUE"""),2881214)</f>
        <v>2881214</v>
      </c>
      <c r="C95" s="215" t="str">
        <f ca="1">IFERROR(__xludf.DUMMYFUNCTION("""COMPUTED_VALUE"""),"General")</f>
        <v>General</v>
      </c>
      <c r="D95" s="216" t="str">
        <f ca="1">IFERROR(__xludf.DUMMYFUNCTION("""COMPUTED_VALUE"""),"Preparing for an Audit")</f>
        <v>Preparing for an Audit</v>
      </c>
      <c r="E95" s="217"/>
      <c r="F95" s="213"/>
      <c r="G95" s="214"/>
      <c r="H95" s="215"/>
      <c r="I95" s="217"/>
      <c r="J95" s="217"/>
      <c r="K95" s="213"/>
      <c r="L95" s="215"/>
      <c r="M95" s="215"/>
      <c r="N95" s="217"/>
      <c r="O95" s="217"/>
      <c r="P95" s="213"/>
      <c r="Q95" s="215"/>
      <c r="R95" s="215"/>
      <c r="S95" s="217"/>
      <c r="T95" s="217"/>
      <c r="U95" s="213"/>
      <c r="V95" s="215"/>
      <c r="W95" s="215"/>
      <c r="X95" s="217"/>
      <c r="Y95" s="217"/>
      <c r="Z95" s="213"/>
      <c r="AA95" s="215"/>
      <c r="AB95" s="215"/>
      <c r="AC95" s="217"/>
      <c r="AD95" s="217"/>
      <c r="AE95" s="213"/>
      <c r="AF95" s="215"/>
      <c r="AG95" s="215"/>
      <c r="AH95" s="217"/>
      <c r="AI95" s="217"/>
      <c r="AJ95" s="213"/>
    </row>
    <row r="96" spans="1:36" ht="16">
      <c r="A96" s="213"/>
      <c r="B96" s="214">
        <f ca="1">IFERROR(__xludf.DUMMYFUNCTION("""COMPUTED_VALUE"""),2888050)</f>
        <v>2888050</v>
      </c>
      <c r="C96" s="215" t="str">
        <f ca="1">IFERROR(__xludf.DUMMYFUNCTION("""COMPUTED_VALUE"""),"General")</f>
        <v>General</v>
      </c>
      <c r="D96" s="217" t="str">
        <f ca="1">IFERROR(__xludf.DUMMYFUNCTION("""COMPUTED_VALUE"""),"Introduction to NFTs: Non-fungible Tokens")</f>
        <v>Introduction to NFTs: Non-fungible Tokens</v>
      </c>
      <c r="E96" s="217"/>
      <c r="F96" s="213"/>
      <c r="G96" s="214"/>
      <c r="H96" s="215"/>
      <c r="I96" s="217"/>
      <c r="J96" s="217"/>
      <c r="K96" s="213"/>
      <c r="L96" s="215"/>
      <c r="M96" s="215"/>
      <c r="N96" s="217"/>
      <c r="O96" s="217"/>
      <c r="P96" s="213"/>
      <c r="Q96" s="215"/>
      <c r="R96" s="215"/>
      <c r="S96" s="217"/>
      <c r="T96" s="217"/>
      <c r="U96" s="213"/>
      <c r="V96" s="215"/>
      <c r="W96" s="215"/>
      <c r="X96" s="217"/>
      <c r="Y96" s="217"/>
      <c r="Z96" s="213"/>
      <c r="AA96" s="215"/>
      <c r="AB96" s="215"/>
      <c r="AC96" s="217"/>
      <c r="AD96" s="217"/>
      <c r="AE96" s="213"/>
      <c r="AF96" s="215"/>
      <c r="AG96" s="215"/>
      <c r="AH96" s="217"/>
      <c r="AI96" s="217"/>
      <c r="AJ96" s="213"/>
    </row>
    <row r="97" spans="1:36" ht="16">
      <c r="A97" s="213"/>
      <c r="B97" s="214">
        <f ca="1">IFERROR(__xludf.DUMMYFUNCTION("""COMPUTED_VALUE"""),2880062)</f>
        <v>2880062</v>
      </c>
      <c r="C97" s="215" t="str">
        <f ca="1">IFERROR(__xludf.DUMMYFUNCTION("""COMPUTED_VALUE"""),"General")</f>
        <v>General</v>
      </c>
      <c r="D97" s="217" t="str">
        <f ca="1">IFERROR(__xludf.DUMMYFUNCTION("""COMPUTED_VALUE"""),"Accounting Ethics")</f>
        <v>Accounting Ethics</v>
      </c>
      <c r="E97" s="217"/>
      <c r="F97" s="213"/>
      <c r="G97" s="214"/>
      <c r="H97" s="215"/>
      <c r="I97" s="217"/>
      <c r="J97" s="217"/>
      <c r="K97" s="213"/>
      <c r="L97" s="215"/>
      <c r="M97" s="215"/>
      <c r="N97" s="217"/>
      <c r="O97" s="217"/>
      <c r="P97" s="213"/>
      <c r="Q97" s="215"/>
      <c r="R97" s="215"/>
      <c r="S97" s="217"/>
      <c r="T97" s="217"/>
      <c r="U97" s="213"/>
      <c r="V97" s="215"/>
      <c r="W97" s="215"/>
      <c r="X97" s="217"/>
      <c r="Y97" s="217"/>
      <c r="Z97" s="213"/>
      <c r="AA97" s="215"/>
      <c r="AB97" s="215"/>
      <c r="AC97" s="217"/>
      <c r="AD97" s="217"/>
      <c r="AE97" s="213"/>
      <c r="AF97" s="215"/>
      <c r="AG97" s="215"/>
      <c r="AH97" s="217"/>
      <c r="AI97" s="217"/>
      <c r="AJ97" s="213"/>
    </row>
    <row r="98" spans="1:36" ht="30">
      <c r="A98" s="213"/>
      <c r="B98" s="214">
        <f ca="1">IFERROR(__xludf.DUMMYFUNCTION("""COMPUTED_VALUE"""),630613)</f>
        <v>630613</v>
      </c>
      <c r="C98" s="215" t="str">
        <f ca="1">IFERROR(__xludf.DUMMYFUNCTION("""COMPUTED_VALUE"""),"General")</f>
        <v>General</v>
      </c>
      <c r="D98" s="217" t="str">
        <f ca="1">IFERROR(__xludf.DUMMYFUNCTION("""COMPUTED_VALUE"""),"The Data Science of Economics, Banking, and Finance, with Barton Poulson")</f>
        <v>The Data Science of Economics, Banking, and Finance, with Barton Poulson</v>
      </c>
      <c r="E98" s="217"/>
      <c r="F98" s="213"/>
      <c r="G98" s="214"/>
      <c r="H98" s="215"/>
      <c r="I98" s="217"/>
      <c r="J98" s="217"/>
      <c r="K98" s="213"/>
      <c r="L98" s="215"/>
      <c r="M98" s="215"/>
      <c r="N98" s="217"/>
      <c r="O98" s="217"/>
      <c r="P98" s="213"/>
      <c r="Q98" s="215"/>
      <c r="R98" s="215"/>
      <c r="S98" s="217"/>
      <c r="T98" s="217"/>
      <c r="U98" s="213"/>
      <c r="V98" s="215"/>
      <c r="W98" s="215"/>
      <c r="X98" s="217"/>
      <c r="Y98" s="217"/>
      <c r="Z98" s="213"/>
      <c r="AA98" s="215"/>
      <c r="AB98" s="215"/>
      <c r="AC98" s="217"/>
      <c r="AD98" s="217"/>
      <c r="AE98" s="213"/>
      <c r="AF98" s="215"/>
      <c r="AG98" s="215"/>
      <c r="AH98" s="217"/>
      <c r="AI98" s="217"/>
      <c r="AJ98" s="213"/>
    </row>
    <row r="99" spans="1:36" ht="16">
      <c r="A99" s="213"/>
      <c r="B99" s="214">
        <f ca="1">IFERROR(__xludf.DUMMYFUNCTION("""COMPUTED_VALUE"""),761929)</f>
        <v>761929</v>
      </c>
      <c r="C99" s="215" t="str">
        <f ca="1">IFERROR(__xludf.DUMMYFUNCTION("""COMPUTED_VALUE"""),"General")</f>
        <v>General</v>
      </c>
      <c r="D99" s="217" t="str">
        <f ca="1">IFERROR(__xludf.DUMMYFUNCTION("""COMPUTED_VALUE"""),"Agile Foundations")</f>
        <v>Agile Foundations</v>
      </c>
      <c r="E99" s="217"/>
      <c r="F99" s="213"/>
      <c r="G99" s="214"/>
      <c r="H99" s="215"/>
      <c r="I99" s="218"/>
      <c r="J99" s="219"/>
      <c r="K99" s="213"/>
      <c r="L99" s="215"/>
      <c r="M99" s="215"/>
      <c r="N99" s="220"/>
      <c r="O99" s="220"/>
      <c r="P99" s="213"/>
      <c r="Q99" s="215"/>
      <c r="R99" s="215"/>
      <c r="S99" s="220"/>
      <c r="T99" s="220"/>
      <c r="U99" s="213"/>
      <c r="V99" s="215"/>
      <c r="W99" s="215"/>
      <c r="X99" s="220"/>
      <c r="Y99" s="220"/>
      <c r="Z99" s="213"/>
      <c r="AA99" s="215"/>
      <c r="AB99" s="215"/>
      <c r="AC99" s="221"/>
      <c r="AD99" s="221"/>
      <c r="AE99" s="213"/>
      <c r="AF99" s="215"/>
      <c r="AG99" s="215"/>
      <c r="AH99" s="220"/>
      <c r="AI99" s="220"/>
      <c r="AJ99" s="213"/>
    </row>
    <row r="100" spans="1:36" ht="15" customHeight="1">
      <c r="B100">
        <f ca="1">IFERROR(__xludf.DUMMYFUNCTION("""COMPUTED_VALUE"""),777380)</f>
        <v>777380</v>
      </c>
      <c r="C100" t="str">
        <f ca="1">IFERROR(__xludf.DUMMYFUNCTION("""COMPUTED_VALUE"""),"General")</f>
        <v>General</v>
      </c>
      <c r="D100" t="str">
        <f ca="1">IFERROR(__xludf.DUMMYFUNCTION("""COMPUTED_VALUE"""),"Project Management: International Projects")</f>
        <v>Project Management: International Projects</v>
      </c>
    </row>
    <row r="101" spans="1:36" ht="15" customHeight="1">
      <c r="B101">
        <f ca="1">IFERROR(__xludf.DUMMYFUNCTION("""COMPUTED_VALUE"""),2975162)</f>
        <v>2975162</v>
      </c>
      <c r="C101" t="str">
        <f ca="1">IFERROR(__xludf.DUMMYFUNCTION("""COMPUTED_VALUE"""),"General")</f>
        <v>General</v>
      </c>
      <c r="D101" t="str">
        <f ca="1">IFERROR(__xludf.DUMMYFUNCTION("""COMPUTED_VALUE"""),"Recovering from a Financial Setback")</f>
        <v>Recovering from a Financial Setback</v>
      </c>
    </row>
    <row r="102" spans="1:36" ht="15" customHeight="1">
      <c r="B102">
        <f ca="1">IFERROR(__xludf.DUMMYFUNCTION("""COMPUTED_VALUE"""),786357)</f>
        <v>786357</v>
      </c>
      <c r="C102" t="str">
        <f ca="1">IFERROR(__xludf.DUMMYFUNCTION("""COMPUTED_VALUE"""),"General")</f>
        <v>General</v>
      </c>
      <c r="D102" t="str">
        <f ca="1">IFERROR(__xludf.DUMMYFUNCTION("""COMPUTED_VALUE"""),"Financial Basics Everyone Should Know")</f>
        <v>Financial Basics Everyone Should Know</v>
      </c>
    </row>
    <row r="103" spans="1:36" ht="15" customHeight="1">
      <c r="B103">
        <f ca="1">IFERROR(__xludf.DUMMYFUNCTION("""COMPUTED_VALUE"""),2873100)</f>
        <v>2873100</v>
      </c>
      <c r="C103" t="str">
        <f ca="1">IFERROR(__xludf.DUMMYFUNCTION("""COMPUTED_VALUE"""),"General")</f>
        <v>General</v>
      </c>
      <c r="D103" t="str">
        <f ca="1">IFERROR(__xludf.DUMMYFUNCTION("""COMPUTED_VALUE"""),"Economics for Everyone: Housing Markets in Crisis")</f>
        <v>Economics for Everyone: Housing Markets in Crisis</v>
      </c>
    </row>
    <row r="104" spans="1:36" ht="15" customHeight="1">
      <c r="B104">
        <f ca="1">IFERROR(__xludf.DUMMYFUNCTION("""COMPUTED_VALUE"""),2869051)</f>
        <v>2869051</v>
      </c>
      <c r="C104" t="str">
        <f ca="1">IFERROR(__xludf.DUMMYFUNCTION("""COMPUTED_VALUE"""),"General")</f>
        <v>General</v>
      </c>
      <c r="D104" t="str">
        <f ca="1">IFERROR(__xludf.DUMMYFUNCTION("""COMPUTED_VALUE"""),"What Is Business Analysis?")</f>
        <v>What Is Business Analysis?</v>
      </c>
    </row>
  </sheetData>
  <mergeCells count="14">
    <mergeCell ref="B1:E1"/>
    <mergeCell ref="L1:O1"/>
    <mergeCell ref="V1:Y1"/>
    <mergeCell ref="AF1:AI1"/>
    <mergeCell ref="B2:E2"/>
    <mergeCell ref="L2:O2"/>
    <mergeCell ref="V2:Y2"/>
    <mergeCell ref="AF2:AI2"/>
    <mergeCell ref="G1:J1"/>
    <mergeCell ref="G2:J2"/>
    <mergeCell ref="Q1:T1"/>
    <mergeCell ref="Q2:T2"/>
    <mergeCell ref="AA1:AD1"/>
    <mergeCell ref="AA2:AD2"/>
  </mergeCells>
  <hyperlinks>
    <hyperlink ref="D4" r:id="rId1" display="https://www.linkedin.com/learning/corporate-finance-profitability-in-a-financial-downturn?trk=ondemandfile" xr:uid="{00000000-0004-0000-1500-000000000000}"/>
    <hyperlink ref="E4" r:id="rId2" display="https://www.linkedin.com/learning/paths/become-an-accounts-payable-officer-2?trk=ondemandfile" xr:uid="{00000000-0004-0000-1500-000001000000}"/>
    <hyperlink ref="I4" r:id="rId3" display="https://www.linkedin.com/learning/blockchain-creer-et-deployer-un-smart-contract?trk=contentmappingfile" xr:uid="{00000000-0004-0000-1500-000002000000}"/>
    <hyperlink ref="N4" r:id="rId4" display="https://www.linkedin.com/learning/como-negociar-con-los-bancos?trk=ondemandfile" xr:uid="{00000000-0004-0000-1500-000003000000}"/>
    <hyperlink ref="O4" r:id="rId5" display="https://www.linkedin.com/learning/paths/optimiza-tu-gestion-financiera?trk=ondemandfile" xr:uid="{00000000-0004-0000-1500-000004000000}"/>
    <hyperlink ref="S4" r:id="rId6" display="https://www.linkedin.com/learning/00-bilanzen-lesen-und-verstehen?trk=ondemandfile" xr:uid="{00000000-0004-0000-1500-000005000000}"/>
    <hyperlink ref="X4" r:id="rId7" display="https://www.linkedin.com/learning/developing-business-acumen-2?trk=ondemandfile" xr:uid="{00000000-0004-0000-1500-000006000000}"/>
    <hyperlink ref="AH4" r:id="rId8" display="https://www.linkedin.com/learning/corporate-financial-statement-analysis-3?trk=ondemandfile" xr:uid="{00000000-0004-0000-1500-000007000000}"/>
    <hyperlink ref="D5" r:id="rId9" display="https://www.linkedin.com/learning/lean-technology-strategy-financial-management-to-support-business-agility?trk=ondemandfile" xr:uid="{00000000-0004-0000-1500-000008000000}"/>
    <hyperlink ref="E5" r:id="rId10" display="https://www.linkedin.com/learning/paths/become-a-bookkeeper?trk=ondemandfile" xr:uid="{00000000-0004-0000-1500-000009000000}"/>
    <hyperlink ref="I5" r:id="rId11" display="https://www.linkedin.com/learning/blockchain-prise-en-main-de-solidity?trk=contentmappingfile" xr:uid="{00000000-0004-0000-1500-00000A000000}"/>
    <hyperlink ref="N5" r:id="rId12" display="https://www.linkedin.com/learning/00-contabilidad-y-finanzas-trucos-semanales?trk=ondemandfile" xr:uid="{00000000-0004-0000-1500-00000B000000}"/>
    <hyperlink ref="O5" r:id="rId13" display="https://www.linkedin.com/learning/paths/conviertete-en-responsable-financiero?trk=ondemandfile" xr:uid="{00000000-0004-0000-1500-00000C000000}"/>
    <hyperlink ref="S5" r:id="rId14" display="https://www.linkedin.com/learning/bitcoins-und-kryptowahrungen-grundlagen?trk=ondemandfile" xr:uid="{00000000-0004-0000-1500-00000D000000}"/>
    <hyperlink ref="X5" r:id="rId15" display="https://www.linkedin.com/learning/corporate-financial-statement-analysis-2?trk=ondemandfile" xr:uid="{00000000-0004-0000-1500-00000E000000}"/>
    <hyperlink ref="AC5" r:id="rId16" display="https://www.linkedin.com/learning/financas-para-gerentes-nao-financeiros?trk=contentmappingfile" xr:uid="{00000000-0004-0000-1500-00000F000000}"/>
    <hyperlink ref="AH5" r:id="rId17" display="https://www.linkedin.com/learning/accounting-foundations-5?trk=ondemandfile" xr:uid="{00000000-0004-0000-1500-000010000000}"/>
    <hyperlink ref="D6" r:id="rId18" display="https://www.linkedin.com/learning/nonprofit-foundations?trk=ondemandfile" xr:uid="{00000000-0004-0000-1500-000011000000}"/>
    <hyperlink ref="E6" r:id="rId19" display="https://www.linkedin.com/learning/paths/become-a-corporate-financial-planning-analyst?trk=ondemandfile" xr:uid="{00000000-0004-0000-1500-000012000000}"/>
    <hyperlink ref="N6" r:id="rId20" display="https://www.linkedin.com/learning/economia-de-la-empresa?trk=contentmappingfile" xr:uid="{00000000-0004-0000-1500-000013000000}"/>
    <hyperlink ref="O6" r:id="rId21" display="https://www.linkedin.com/learning/paths/conviertete-en-asistente-de-contabilidad?trk=ondemandfile" xr:uid="{00000000-0004-0000-1500-000014000000}"/>
    <hyperlink ref="S6" r:id="rId22" display="https://www.linkedin.com/learning/businessplan-f-r-ihr-unternehmen?trk=ondemandfile" xr:uid="{00000000-0004-0000-1500-000015000000}"/>
    <hyperlink ref="X6" r:id="rId23" display="https://www.linkedin.com/learning/accounting-foundations-3?trk=ondemandfile" xr:uid="{00000000-0004-0000-1500-000016000000}"/>
    <hyperlink ref="AH6" r:id="rId24" display="https://www.linkedin.com/learning/agile-foundations-2?trk=ondemandfile" xr:uid="{00000000-0004-0000-1500-000017000000}"/>
    <hyperlink ref="D7" r:id="rId25" display="https://www.linkedin.com/learning/accounting-for-managers?trk=ondemandfile" xr:uid="{00000000-0004-0000-1500-000018000000}"/>
    <hyperlink ref="E7" r:id="rId26" display="https://www.linkedin.com/learning/paths/become-an-economist?trk=ondemandfile" xr:uid="{00000000-0004-0000-1500-000019000000}"/>
    <hyperlink ref="I7" r:id="rId27" display="https://www.linkedin.com/learning/excel-pour-mac-preparer-des-ecritures-comptables?trk=contentmappingfile" xr:uid="{00000000-0004-0000-1500-00001A000000}"/>
    <hyperlink ref="N7" r:id="rId28" display="https://www.linkedin.com/learning/excel-2016-practico-facturacion-y-control-de-gastos?trk=ondemandfile" xr:uid="{00000000-0004-0000-1500-00001B000000}"/>
    <hyperlink ref="O7" r:id="rId29" display="https://www.linkedin.com/learning/paths/conviertete-en-asistente-administrativo?trk=ondemandfile" xr:uid="{00000000-0004-0000-1500-00001C000000}"/>
    <hyperlink ref="S7" r:id="rId30" display="https://www.linkedin.com/learning/die-unternehmensleistung-messen?trk=ondemandfile" xr:uid="{00000000-0004-0000-1500-00001D000000}"/>
    <hyperlink ref="X7" r:id="rId31" display="https://www.linkedin.com/learning/finance-foundations-4?trk=ondemandfile" xr:uid="{00000000-0004-0000-1500-00001E000000}"/>
    <hyperlink ref="AH7" r:id="rId32" display="https://www.linkedin.com/learning/measuring-business-performance-3?trk=ondemandfile" xr:uid="{00000000-0004-0000-1500-00001F000000}"/>
    <hyperlink ref="D8" r:id="rId33" display="https://www.linkedin.com/learning/job-interview-tips-for-accountants?trk=ondemandfile" xr:uid="{00000000-0004-0000-1500-000020000000}"/>
    <hyperlink ref="E8" r:id="rId34" display="https://www.linkedin.com/learning/paths/become-a-financial-analyst?trk=ondemandfile" xr:uid="{00000000-0004-0000-1500-000021000000}"/>
    <hyperlink ref="N8" r:id="rId35" display="https://www.linkedin.com/learning/excel-2016-practico-gestion-de-tesoreria-para-pymes?trk=ondemandfile" xr:uid="{00000000-0004-0000-1500-000022000000}"/>
    <hyperlink ref="S8" r:id="rId36" display="https://www.linkedin.com/learning/finanzen-grundlagen?trk=ondemandfile" xr:uid="{00000000-0004-0000-1500-000023000000}"/>
    <hyperlink ref="X8" r:id="rId37" display="https://www.linkedin.com/learning/finance-for-non-financial-managers-3?trk=ondemandfile" xr:uid="{00000000-0004-0000-1500-000024000000}"/>
    <hyperlink ref="AH8" r:id="rId38" display="https://www.linkedin.com/learning/finance-foundations?trk=ondemandfile" xr:uid="{00000000-0004-0000-1500-000025000000}"/>
    <hyperlink ref="D9" r:id="rId39" display="https://www.linkedin.com/learning/s-4-finance-fiori-accounts-receivable-analytics?trk=ondemandfile" xr:uid="{00000000-0004-0000-1500-000026000000}"/>
    <hyperlink ref="E9" r:id="rId40" display="https://www.linkedin.com/learning/paths/become-a-small-business-owner?trk=ondemandfile" xr:uid="{00000000-0004-0000-1500-000027000000}"/>
    <hyperlink ref="N9" r:id="rId41" display="https://www.linkedin.com/learning/creaci-n-de-un-plan-de-viabilidad-econ-mico-financiero-en-excel?trk=ondemandfile" xr:uid="{00000000-0004-0000-1500-000028000000}"/>
    <hyperlink ref="S9" r:id="rId42" display="https://www.linkedin.com/learning/die-finanzen-im-griff-als-grunder?trk=ondemandfile" xr:uid="{00000000-0004-0000-1500-000029000000}"/>
    <hyperlink ref="AH9" r:id="rId43" display="https://www.linkedin.com/learning/finance-for-non-financial-managers-2?trk=ondemandfile" xr:uid="{00000000-0004-0000-1500-00002A000000}"/>
    <hyperlink ref="D10" r:id="rId44" display="https://www.linkedin.com/learning/s-4-finance-fiori-accounts-payable-analytics?trk=ondemandfile" xr:uid="{00000000-0004-0000-1500-00002B000000}"/>
    <hyperlink ref="E10" r:id="rId45" display="https://www.linkedin.com/learning/paths/develop-your-finance-and-accounting-skills?trk=ondemandfile" xr:uid="{00000000-0004-0000-1500-00002C000000}"/>
    <hyperlink ref="N10" r:id="rId46" display="https://www.linkedin.com/learning/excel-para-analisis-financiero-y-finanzas-corporativas-office-365-microsoft-365?trk=contentmappingfile" xr:uid="{00000000-0004-0000-1500-00002D000000}"/>
    <hyperlink ref="S10" r:id="rId47" display="https://www.linkedin.com/learning/finanzwissen-fur-nicht-kaufmannische-fuhrungskrafte?trk=ondemandfile" xr:uid="{00000000-0004-0000-1500-00002E000000}"/>
    <hyperlink ref="D11" r:id="rId48" display="https://www.linkedin.com/learning/advanced-bookkeeping-techniques?trk=ondemandfile" xr:uid="{00000000-0004-0000-1500-00002F000000}"/>
    <hyperlink ref="E11" r:id="rId49" display="https://www.linkedin.com/learning/paths/get-ahead-in-the-on-demand-gig-economy?trk=ondemandfile" xr:uid="{00000000-0004-0000-1500-000030000000}"/>
    <hyperlink ref="I11" r:id="rId50" display="https://www.linkedin.com/learning/l-intelligence-artificielle-dans-le-secteur-de-la-banque-et-de-l-assurance?trk=contentmappingfile" xr:uid="{00000000-0004-0000-1500-000031000000}"/>
    <hyperlink ref="N11" r:id="rId51" display="https://www.linkedin.com/learning/excel-herramientas-de-analisis-avanzadas?trk=ondemandfile" xr:uid="{00000000-0004-0000-1500-000032000000}"/>
    <hyperlink ref="S11" r:id="rId52" display="https://www.linkedin.com/learning/geld-am-aktienmarkt-anlegen?trk=ondemandfile" xr:uid="{00000000-0004-0000-1500-000033000000}"/>
    <hyperlink ref="D12" r:id="rId53" display="https://www.linkedin.com/learning/focusing-on-the-bottom-line-as-an-employee?trk=ondemandfile" xr:uid="{00000000-0004-0000-1500-000034000000}"/>
    <hyperlink ref="E12" r:id="rId54" display="https://www.linkedin.com/learning/paths/stay-ahead-in-personal-finance?trk=ondemandfile" xr:uid="{00000000-0004-0000-1500-000035000000}"/>
    <hyperlink ref="N12" r:id="rId55" display="https://www.linkedin.com/learning/excel-para-principiantes-crear-y-gestionar-facturas-365-2019?trk=contentmappingfile" xr:uid="{00000000-0004-0000-1500-000036000000}"/>
    <hyperlink ref="S12" r:id="rId56" display="https://www.linkedin.com/learning/ecommerce-kosten?trk=ondemandfile" xr:uid="{00000000-0004-0000-1500-000037000000}"/>
    <hyperlink ref="D13" r:id="rId57" display="https://www.linkedin.com/learning/business-analytics-deep-dive-forecasting-with-exponential-smoothing?trk=ondemandfile" xr:uid="{00000000-0004-0000-1500-000038000000}"/>
    <hyperlink ref="N13" r:id="rId58" display="https://www.linkedin.com/learning/finanzas-para-dirigentes-no-especialistas-en-finanzas?trk=contentmappingfile" xr:uid="{00000000-0004-0000-1500-000039000000}"/>
    <hyperlink ref="S13" r:id="rId59" display="https://www.linkedin.com/learning/grundlagen-des-e-commerce-payment?trk=ondemandfile" xr:uid="{00000000-0004-0000-1500-00003A000000}"/>
    <hyperlink ref="D14" r:id="rId60" display="https://www.linkedin.com/learning/business-analytics-forecasting-with-seasonal-baseline-smoothing?trk=ondemandfile" xr:uid="{00000000-0004-0000-1500-00003B000000}"/>
    <hyperlink ref="N14" r:id="rId61" display="https://www.linkedin.com/learning/finanzas-para-peque-as-empresas?trk=ondemandfile" xr:uid="{00000000-0004-0000-1500-00003C000000}"/>
    <hyperlink ref="S14" r:id="rId62" display="https://www.linkedin.com/learning/excel-workshop-kassenbuch?trk=ondemandfile" xr:uid="{00000000-0004-0000-1500-00003D000000}"/>
    <hyperlink ref="D15" r:id="rId63" display="https://www.linkedin.com/learning/business-intelligence-for-consultants?trk=ondemandfile" xr:uid="{00000000-0004-0000-1500-00003E000000}"/>
    <hyperlink ref="N15" r:id="rId64" display="https://www.linkedin.com/learning/finanzas-personales-trucos?trk=ondemandfile" xr:uid="{00000000-0004-0000-1500-00003F000000}"/>
    <hyperlink ref="S15" r:id="rId65" display="https://www.linkedin.com/learning/e4d1e956-259e-36d6-baae-f836ce983afc?trk=ondemandfile" xr:uid="{00000000-0004-0000-1500-000040000000}"/>
    <hyperlink ref="D16" r:id="rId66" display="https://www.linkedin.com/learning/accounting-foundations-asset-impairment?trk=ondemandfile" xr:uid="{00000000-0004-0000-1500-000041000000}"/>
    <hyperlink ref="N16" r:id="rId67" display="https://www.linkedin.com/learning/finanzas-personales-trucos-avanzados?trk=ondemandfile" xr:uid="{00000000-0004-0000-1500-000042000000}"/>
    <hyperlink ref="S16" r:id="rId68" display="https://www.linkedin.com/learning/unternehmerische-fahigkeiten-entwickeln?trk=ondemandfile" xr:uid="{00000000-0004-0000-1500-000043000000}"/>
    <hyperlink ref="D17" r:id="rId69" display="https://www.linkedin.com/learning/financial-adulting?trk=ondemandfile" xr:uid="{00000000-0004-0000-1500-000044000000}"/>
    <hyperlink ref="N17" r:id="rId70" display="https://www.linkedin.com/learning/00-fundamentos-de-fintech-o-finanza-tecnologica?trk=ondemandfile" xr:uid="{00000000-0004-0000-1500-000045000000}"/>
    <hyperlink ref="S17" r:id="rId71" display="https://www.linkedin.com/learning/11731ecd-ff9a-3036-be55-55edd14aa971?trk=ondemandfile" xr:uid="{00000000-0004-0000-1500-000046000000}"/>
    <hyperlink ref="D18" r:id="rId72" display="https://www.linkedin.com/learning/sap-erp-essential-training?trk=ondemandfile" xr:uid="{00000000-0004-0000-1500-000047000000}"/>
    <hyperlink ref="N18" r:id="rId73" display="https://www.linkedin.com/learning/fundamentos-de-la-contabilidad?trk=ondemandfile" xr:uid="{00000000-0004-0000-1500-000048000000}"/>
    <hyperlink ref="D19" r:id="rId74" display="https://www.linkedin.com/learning/accounting-foundations-2?trk=ondemandfile" xr:uid="{00000000-0004-0000-1500-000049000000}"/>
    <hyperlink ref="N19" r:id="rId75" display="https://www.linkedin.com/learning/00-gestion-de-proyectos-presupuestos?trk=ondemandfile" xr:uid="{00000000-0004-0000-1500-00004A000000}"/>
    <hyperlink ref="D20" r:id="rId76" display="https://www.linkedin.com/learning/779740?trk=ondemandfile" xr:uid="{00000000-0004-0000-1500-00004B000000}"/>
    <hyperlink ref="N20" r:id="rId77" display="https://www.linkedin.com/learning/educaci-n-financiera-an-lisis-de-informes-financieros?trk=ondemandfile" xr:uid="{00000000-0004-0000-1500-00004C000000}"/>
    <hyperlink ref="D21" r:id="rId78" display="https://www.linkedin.com/learning/accounting-foundations-budgeting-2?trk=ondemandfile" xr:uid="{00000000-0004-0000-1500-00004D000000}"/>
    <hyperlink ref="N21" r:id="rId79" display="https://www.linkedin.com/learning/educaci-n-financiera-comprensi-n-de-informes-financieros?trk=ondemandfile" xr:uid="{00000000-0004-0000-1500-00004E000000}"/>
    <hyperlink ref="D22" r:id="rId80" display="https://www.linkedin.com/learning/audit-and-due-diligence-foundations?trk=ondemandfile" xr:uid="{00000000-0004-0000-1500-00004F000000}"/>
    <hyperlink ref="N22" r:id="rId81" display="https://www.linkedin.com/learning/educaci-n-financiera-control-y-reducci-n-de-costes?trk=ondemandfile" xr:uid="{00000000-0004-0000-1500-000050000000}"/>
    <hyperlink ref="D23" r:id="rId82" display="https://www.linkedin.com/learning/business-tax-foundations?trk=ondemandfile" xr:uid="{00000000-0004-0000-1500-000051000000}"/>
    <hyperlink ref="N23" r:id="rId83" display="https://www.linkedin.com/learning/educaci-n-financiera-decisiones-de-inversi-n?trk=ondemandfile" xr:uid="{00000000-0004-0000-1500-000052000000}"/>
    <hyperlink ref="D24" r:id="rId84" display="https://www.linkedin.com/learning/finance-foundations-2?trk=ondemandfile" xr:uid="{00000000-0004-0000-1500-000053000000}"/>
    <hyperlink ref="N24" r:id="rId85" display="https://www.linkedin.com/learning/educaci-n-financiera-terminolog-a-econ-mico-financiera?trk=ondemandfile" xr:uid="{00000000-0004-0000-1500-000054000000}"/>
    <hyperlink ref="D25" r:id="rId86" display="https://www.linkedin.com/learning/finance-foundations-income-taxes-2?trk=ondemandfile" xr:uid="{00000000-0004-0000-1500-000055000000}"/>
    <hyperlink ref="N25" r:id="rId87" display="https://www.linkedin.com/learning/fundamentos-de-matematica-bases-y-calculo-mental?trk=ondemandfile" xr:uid="{00000000-0004-0000-1500-000056000000}"/>
    <hyperlink ref="D26" r:id="rId88" display="https://www.linkedin.com/learning/running-a-profitable-business-understanding-financial-ratios?trk=ondemandfile" xr:uid="{00000000-0004-0000-1500-000057000000}"/>
    <hyperlink ref="N26" r:id="rId89" display="https://www.linkedin.com/learning/gestion-de-cuentas-clave?trk=ondemandfile" xr:uid="{00000000-0004-0000-1500-000058000000}"/>
    <hyperlink ref="D27" r:id="rId90" display="https://www.linkedin.com/learning/teaching-your-kids-about-finance?trk=ondemandfile" xr:uid="{00000000-0004-0000-1500-000059000000}"/>
    <hyperlink ref="N27" r:id="rId91" display="https://www.linkedin.com/learning/el-fondo-de-maniobra-en-la-empresa?trk=ondemandfile" xr:uid="{00000000-0004-0000-1500-00005A000000}"/>
    <hyperlink ref="D28" r:id="rId92" display="https://www.linkedin.com/learning/finance-foundations-for-solopreneurs?trk=ondemandfile" xr:uid="{00000000-0004-0000-1500-00005B000000}"/>
    <hyperlink ref="N28" r:id="rId93" display="https://www.linkedin.com/learning/gestion-financiera-rentabilidad?trk=ondemandfile" xr:uid="{00000000-0004-0000-1500-00005C000000}"/>
    <hyperlink ref="D29" r:id="rId94" display="https://www.linkedin.com/learning/understanding-capital-markets?trk=ondemandfile" xr:uid="{00000000-0004-0000-1500-00005D000000}"/>
    <hyperlink ref="N29" r:id="rId95" display="https://www.linkedin.com/learning/gestiona-tus-finanzas-personales-en-tiempos-de-crisis?trk=ondemandfile" xr:uid="{00000000-0004-0000-1500-00005E000000}"/>
    <hyperlink ref="D30" r:id="rId96" display="https://www.linkedin.com/learning/how-to-analyze-a-wholesale-deal-in-real-estate?trk=ondemandfile" xr:uid="{00000000-0004-0000-1500-00005F000000}"/>
    <hyperlink ref="N30" r:id="rId97" display="https://www.linkedin.com/learning/modelizacion-financiera-y-prevision-de-estados-financieros?trk=contentmappingfile" xr:uid="{00000000-0004-0000-1500-000060000000}"/>
    <hyperlink ref="D31" r:id="rId98" display="https://www.linkedin.com/learning/consulting-foundations?trk=ondemandfile" xr:uid="{00000000-0004-0000-1500-000061000000}"/>
    <hyperlink ref="N31" r:id="rId99" display="https://www.linkedin.com/learning/plan-de-viabilidad-economico-financiero-para-el-emprendimiento?trk=contentmappingfile" xr:uid="{00000000-0004-0000-1500-000062000000}"/>
    <hyperlink ref="D32" r:id="rId100" display="https://www.linkedin.com/learning/agile-moscow-prioritization?trk=ondemandfile" xr:uid="{00000000-0004-0000-1500-000063000000}"/>
    <hyperlink ref="N32" r:id="rId101" display="https://www.linkedin.com/learning/plantilla-analisis-vertical-cuenta-de-perdidas-y-ganancias-con-excel?trk=ondemandfile" xr:uid="{00000000-0004-0000-1500-000064000000}"/>
    <hyperlink ref="D33" r:id="rId102" display="https://www.linkedin.com/learning/picking-the-right-chart-for-your-data?trk=ondemandfile" xr:uid="{00000000-0004-0000-1500-000065000000}"/>
    <hyperlink ref="N33" r:id="rId103" display="https://www.linkedin.com/learning/plantilla-controla-perdidas-y-ganancias-con-este-panel-de-power-bi?trk=ondemandfile" xr:uid="{00000000-0004-0000-1500-000066000000}"/>
    <hyperlink ref="D34" r:id="rId104" display="https://www.linkedin.com/learning/applying-managerial-accounting?trk=ondemandfile" xr:uid="{00000000-0004-0000-1500-000067000000}"/>
    <hyperlink ref="N34" r:id="rId105" display="https://www.linkedin.com/learning/plantilla-grafico-para-representar-ingresos-y-gastos-cuenta-perdidas-y-ganancias-en-excel?trk=ondemandfile" xr:uid="{00000000-0004-0000-1500-000068000000}"/>
    <hyperlink ref="D35" r:id="rId106" display="https://www.linkedin.com/learning/corporate-finance-foundations?trk=ondemandfile" xr:uid="{00000000-0004-0000-1500-000069000000}"/>
    <hyperlink ref="N35" r:id="rId107" display="https://www.linkedin.com/learning/presupuestos-para-peque-as-empresas?trk=ondemandfile" xr:uid="{00000000-0004-0000-1500-00006A000000}"/>
    <hyperlink ref="D36" r:id="rId108" display="https://www.linkedin.com/learning/financial-accounting-foundations?trk=ondemandfile" xr:uid="{00000000-0004-0000-1500-00006B000000}"/>
    <hyperlink ref="D37" r:id="rId109" display="https://www.linkedin.com/learning/behavioral-finance-foundations-2?trk=ondemandfile" xr:uid="{00000000-0004-0000-1500-00006C000000}"/>
    <hyperlink ref="D38" r:id="rId110" display="https://www.linkedin.com/learning/using-the-time-value-of-money-to-make-financial-decisions-2020?trk=ondemandfile" xr:uid="{00000000-0004-0000-1500-00006D000000}"/>
    <hyperlink ref="D39" r:id="rId111" display="https://www.linkedin.com/learning/finance-essentials-for-small-business?trk=ondemandfile" xr:uid="{00000000-0004-0000-1500-00006E000000}"/>
    <hyperlink ref="D40" r:id="rId112" display="https://www.linkedin.com/learning/managing-your-personal-finances-2021?trk=ondemandfile" xr:uid="{00000000-0004-0000-1500-00006F000000}"/>
    <hyperlink ref="D41" r:id="rId113" display="https://www.linkedin.com/learning/first-5-things-you-have-to-do-to-start-a-business-as-a-creator?trk=ondemandfile" xr:uid="{00000000-0004-0000-1500-000070000000}"/>
    <hyperlink ref="D42" r:id="rId114" display="https://www.linkedin.com/learning/build-your-financial-literacy?trk=ondemandfile" xr:uid="{00000000-0004-0000-1500-000071000000}"/>
    <hyperlink ref="D43" r:id="rId115" display="https://www.linkedin.com/learning/managerial-finance-foundations?trk=ondemandfile" xr:uid="{00000000-0004-0000-1500-000072000000}"/>
    <hyperlink ref="D44" r:id="rId116" display="https://www.linkedin.com/learning/accounting-foundations-understanding-the-gaap-general-applied-accounting-principles?trk=ondemandfile" xr:uid="{00000000-0004-0000-1500-000073000000}"/>
    <hyperlink ref="D45" r:id="rId117" display="https://www.linkedin.com/learning/quickbooks-online-essential-training-2021?trk=ondemandfile" xr:uid="{00000000-0004-0000-1500-000074000000}"/>
    <hyperlink ref="D46" r:id="rId118" display="https://www.linkedin.com/learning/quickbooks-pro-2019-essential-training?trk=ondemandfile" xr:uid="{00000000-0004-0000-1500-000075000000}"/>
    <hyperlink ref="D47" r:id="rId119" display="https://www.linkedin.com/learning/financial-accounting-part-2?trk=ondemandfile" xr:uid="{00000000-0004-0000-1500-000076000000}"/>
    <hyperlink ref="D48" r:id="rId120" display="https://www.linkedin.com/learning/finance-foundations-risk-management?trk=ondemandfile" xr:uid="{00000000-0004-0000-1500-000077000000}"/>
    <hyperlink ref="D49" r:id="rId121" display="https://www.linkedin.com/learning/financial-accounting-part-1?trk=ondemandfile" xr:uid="{00000000-0004-0000-1500-000078000000}"/>
    <hyperlink ref="D50" r:id="rId122" display="https://www.linkedin.com/learning/analyzing-a-real-estate-deal?trk=ondemandfile" xr:uid="{00000000-0004-0000-1500-000079000000}"/>
    <hyperlink ref="D51" r:id="rId123" display="https://www.linkedin.com/learning/economics-for-everyone-understanding-a-recession?trk=ondemandfile" xr:uid="{00000000-0004-0000-1500-00007A000000}"/>
    <hyperlink ref="D52" r:id="rId124" display="https://www.linkedin.com/learning/developing-investment-acumen?trk=ondemandfile" xr:uid="{00000000-0004-0000-1500-00007B000000}"/>
    <hyperlink ref="D53" r:id="rId125" display="https://www.linkedin.com/learning/finance-and-accounting-tips?trk=ondemandfile" xr:uid="{00000000-0004-0000-1500-00007C000000}"/>
    <hyperlink ref="D54" r:id="rId126" display="https://www.linkedin.com/learning/financial-record-keeping?trk=ondemandfile" xr:uid="{00000000-0004-0000-1500-00007D000000}"/>
    <hyperlink ref="D55" r:id="rId127" display="https://www.linkedin.com/learning/financial-modeling?trk=ondemandfile" xr:uid="{00000000-0004-0000-1500-00007E000000}"/>
    <hyperlink ref="D56" r:id="rId128" display="https://www.linkedin.com/learning/statistics-foundations-2?trk=ondemandfile" xr:uid="{00000000-0004-0000-1500-00007F000000}"/>
    <hyperlink ref="D57" r:id="rId129" display="https://www.linkedin.com/learning/activity-based-costing?trk=ondemandfile" xr:uid="{00000000-0004-0000-1500-000080000000}"/>
    <hyperlink ref="D58" r:id="rId130" display="https://www.linkedin.com/learning/corporate-finance-statement-analysis?trk=ondemandfile" xr:uid="{00000000-0004-0000-1500-000081000000}"/>
    <hyperlink ref="D59" r:id="rId131" display="https://www.linkedin.com/learning/corporate-finance-strategies-for-business-leaders?trk=ondemandfile" xr:uid="{00000000-0004-0000-1500-000082000000}"/>
    <hyperlink ref="D60" r:id="rId132" display="https://www.linkedin.com/learning/sap-business-one-finance-and-banking?trk=ondemandfile" xr:uid="{00000000-0004-0000-1500-000083000000}"/>
    <hyperlink ref="D61" r:id="rId133" display="https://www.linkedin.com/learning/finance-for-non-financial-managers?trk=ondemandfile" xr:uid="{00000000-0004-0000-1500-000084000000}"/>
    <hyperlink ref="D62" r:id="rId134" display="https://www.linkedin.com/learning/financial-forecasting-with-big-data?trk=ondemandfile" xr:uid="{00000000-0004-0000-1500-000085000000}"/>
    <hyperlink ref="D63" r:id="rId135" display="https://www.linkedin.com/learning/forecasting-using-financial-statements?trk=ondemandfile" xr:uid="{00000000-0004-0000-1500-000086000000}"/>
    <hyperlink ref="B64" r:id="rId136" display="https://www.linkedin.com/learning/managing-globally/what-is-cultural-agility" xr:uid="{00000000-0004-0000-1500-000087000000}"/>
    <hyperlink ref="C64" r:id="rId137" display="https://www.linkedin.com/learning/managing-globally/what-is-cultural-agility" xr:uid="{00000000-0004-0000-1500-000088000000}"/>
    <hyperlink ref="D64" r:id="rId138" display="https://www.linkedin.com/learning/financial-risk-management-reduce-risk?trk=ondemandfile" xr:uid="{00000000-0004-0000-1500-000089000000}"/>
    <hyperlink ref="D65" r:id="rId139" display="https://www.linkedin.com/learning/sap-accounts-payable-boot-camp?trk=ondemandfile" xr:uid="{00000000-0004-0000-1500-00008A000000}"/>
    <hyperlink ref="D66" r:id="rId140" display="https://www.linkedin.com/learning/applied-economic-forecasting-with-big-data?trk=ondemandfile" xr:uid="{00000000-0004-0000-1500-00008B000000}"/>
    <hyperlink ref="D67" r:id="rId141" display="https://www.linkedin.com/learning/contracting-for-consultants?trk=ondemandfile" xr:uid="{00000000-0004-0000-1500-00008C000000}"/>
    <hyperlink ref="D68" r:id="rId142" display="https://www.linkedin.com/learning/consulting-foundations-client-management-and-relationships?trk=ondemandfile" xr:uid="{00000000-0004-0000-1500-00008D000000}"/>
    <hyperlink ref="D69" r:id="rId143" display="https://www.linkedin.com/learning/critical-roles-consultants-play-and-the-skills-you-need-to-fill-them?trk=ondemandfile" xr:uid="{00000000-0004-0000-1500-00008E000000}"/>
    <hyperlink ref="D70" r:id="rId144" display="https://www.linkedin.com/learning/excel-for-investment-professionals?trk=ondemandfile" xr:uid="{00000000-0004-0000-1500-00008F000000}"/>
    <hyperlink ref="D71" r:id="rId145" display="https://www.linkedin.com/learning/excel-2016-financial-functions-in-depth?trk=ondemandfile" xr:uid="{00000000-0004-0000-1500-000090000000}"/>
    <hyperlink ref="D72" r:id="rId146" display="https://www.linkedin.com/learning/excel-for-corporate-finance-professionals?trk=ondemandfile" xr:uid="{00000000-0004-0000-1500-000091000000}"/>
    <hyperlink ref="D73" r:id="rId147" display="https://www.linkedin.com/learning/corporate-finance-robust-financial-modeling?trk=ondemandfile" xr:uid="{00000000-0004-0000-1500-000092000000}"/>
    <hyperlink ref="D74" r:id="rId148" display="https://www.linkedin.com/learning/increasing-engagement-with-elearning-programs?trk=ondemandfile" xr:uid="{00000000-0004-0000-1500-000093000000}"/>
    <hyperlink ref="D75" r:id="rId149" display="https://www.linkedin.com/learning/data-analytics-for-business-professionals?trk=ondemandfile" xr:uid="{00000000-0004-0000-1500-000094000000}"/>
    <hyperlink ref="B76" r:id="rId150" display="https://www.linkedin.com/learning/managing-globally/what-is-cultural-agility" xr:uid="{00000000-0004-0000-1500-000095000000}"/>
    <hyperlink ref="C76" r:id="rId151" display="https://www.linkedin.com/learning/managing-globally/what-is-cultural-agility" xr:uid="{00000000-0004-0000-1500-000096000000}"/>
    <hyperlink ref="D76" r:id="rId152" display="https://www.linkedin.com/learning/algorithmic-trading-and-stocks-essential-training?trk=ondemandfile" xr:uid="{00000000-0004-0000-1500-000097000000}"/>
    <hyperlink ref="D77" r:id="rId153" display="https://www.linkedin.com/learning/data-analytics-for-pricing-analysts-in-excel?trk=ondemandfile" xr:uid="{00000000-0004-0000-1500-000098000000}"/>
    <hyperlink ref="D78" r:id="rId154" display="https://www.linkedin.com/learning/sql-for-statistics-essential-training?trk=ondemandfile" xr:uid="{00000000-0004-0000-1500-000099000000}"/>
    <hyperlink ref="D79" r:id="rId155" display="https://www.linkedin.com/learning/financial-modeling-and-forecasting-financial-statements?trk=ondemandfile" xr:uid="{00000000-0004-0000-1500-00009A000000}"/>
    <hyperlink ref="D80" r:id="rId156" display="https://www.linkedin.com/learning/accounting-foundations-leases?trk=ondemandfile" xr:uid="{00000000-0004-0000-1500-00009B000000}"/>
    <hyperlink ref="D81" r:id="rId157" display="https://www.linkedin.com/learning/excel-implementing-balanced-scorecards-with-kpis?trk=ondemandfile" xr:uid="{00000000-0004-0000-1500-00009C000000}"/>
    <hyperlink ref="D82" r:id="rId158" display="https://www.linkedin.com/learning/accounting-foundations-internal-controls?trk=ondemandfile" xr:uid="{00000000-0004-0000-1500-00009D000000}"/>
    <hyperlink ref="D83" r:id="rId159" display="https://www.linkedin.com/learning/business-investment-analysis?trk=ondemandfile" xr:uid="{00000000-0004-0000-1500-00009E000000}"/>
    <hyperlink ref="D84" r:id="rId160" display="https://www.linkedin.com/learning/ai-in-fintech-essential-training?trk=ondemandfile" xr:uid="{00000000-0004-0000-1500-00009F000000}"/>
    <hyperlink ref="D85" r:id="rId161" display="https://www.linkedin.com/learning/accounting-foundations-cost-based-pricing-strategies?trk=ondemandfile" xr:uid="{00000000-0004-0000-1500-0000A0000000}"/>
    <hyperlink ref="D86" r:id="rId162" display="https://www.linkedin.com/learning/economics-for-business-leaders?trk=ondemandfile" xr:uid="{00000000-0004-0000-1500-0000A1000000}"/>
    <hyperlink ref="D87" r:id="rId163" display="https://www.linkedin.com/learning/accounting-foundations-global-finance-accounting?trk=ondemandfile" xr:uid="{00000000-0004-0000-1500-0000A2000000}"/>
    <hyperlink ref="D88" r:id="rId164" display="https://www.linkedin.com/learning/audit-and-due-diligence-priorities-and-best-practices?trk=ondemandfile" xr:uid="{00000000-0004-0000-1500-0000A3000000}"/>
    <hyperlink ref="D89" r:id="rId165" display="https://www.linkedin.com/learning/excel-modeling-tips-and-tricks?trk=ondemandfile" xr:uid="{00000000-0004-0000-1500-0000A4000000}"/>
    <hyperlink ref="D90" r:id="rId166" display="https://www.linkedin.com/learning/the-future-of-audit?trk=ondemandfile" xr:uid="{00000000-0004-0000-1500-0000A5000000}"/>
    <hyperlink ref="D91" r:id="rId167" display="https://www.linkedin.com/learning/quickbooks-online-tips-and-tricks?trk=ondemandfile" xr:uid="{00000000-0004-0000-1500-0000A6000000}"/>
    <hyperlink ref="D92" r:id="rId168" display="https://www.linkedin.com/learning/the-business-of-accounting?trk=ondemandfile" xr:uid="{00000000-0004-0000-1500-0000A7000000}"/>
    <hyperlink ref="D93" r:id="rId169" display="https://www.linkedin.com/learning/accounting-foundations-statement-of-cash-flows?trk=ondemandfile" xr:uid="{00000000-0004-0000-1500-0000A8000000}"/>
    <hyperlink ref="D94" r:id="rId170" display="https://www.linkedin.com/learning/finance-foundations-corporate-governanace?trk=ondemandfile" xr:uid="{00000000-0004-0000-1500-0000A9000000}"/>
    <hyperlink ref="D95" r:id="rId171" display="https://www.linkedin.com/learning/preparing-for-an-audit?trk=ondemandfile" xr:uid="{00000000-0004-0000-1500-0000AA000000}"/>
    <hyperlink ref="D96" r:id="rId172" display="https://www.linkedin.com/learning/introduction-to-nfts-non-fungible-tokens?trk=ondemandfile" xr:uid="{00000000-0004-0000-1500-0000AB000000}"/>
    <hyperlink ref="D97" r:id="rId173" display="https://www.linkedin.com/learning/accounting-ethics?trk=ondemandfile" xr:uid="{00000000-0004-0000-1500-0000AC000000}"/>
    <hyperlink ref="D98" r:id="rId174" display="https://www.linkedin.com/learning/the-data-science-of-economics-banking-and-finance-with-barton-poulson?trk=ondemandfile" xr:uid="{00000000-0004-0000-1500-0000AD000000}"/>
    <hyperlink ref="D99" r:id="rId175" display="https://www.linkedin.com/learning/agile-foundations?trk=ondemandfile" xr:uid="{00000000-0004-0000-1500-0000AE000000}"/>
    <hyperlink ref="C100" r:id="rId176" display="https://www.linkedin.com/learning/content/425902?u=104" xr:uid="{00000000-0004-0000-1500-0000AF000000}"/>
    <hyperlink ref="D100" r:id="rId177" display="https://www.linkedin.com/learning/managing-international-projects-2?trk=ondemandfile" xr:uid="{00000000-0004-0000-1500-0000B0000000}"/>
    <hyperlink ref="D101" r:id="rId178" display="https://www.linkedin.com/learning/recovering-from-a-financial-setback?trk=ondemandfile" xr:uid="{00000000-0004-0000-1500-0000B1000000}"/>
    <hyperlink ref="D102" r:id="rId179" display="https://www.linkedin.com/learning/financial-basics-everyone-should-know?trk=ondemandfile" xr:uid="{00000000-0004-0000-1500-0000B2000000}"/>
    <hyperlink ref="D103" r:id="rId180" display="https://www.linkedin.com/learning/economics-for-everyone-housing-markets-in-crisis?trk=ondemandfile" xr:uid="{00000000-0004-0000-1500-0000B3000000}"/>
    <hyperlink ref="D104" r:id="rId181" display="https://www.linkedin.com/learning/what-is-business-analysis?trk=ondemandfile" xr:uid="{00000000-0004-0000-1500-0000B4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Click and enter a value from range 'Competency Titles'!A1:A27" xr:uid="{00000000-0002-0000-1500-000000000000}">
          <x14:formula1>
            <xm:f>#REF!</xm:f>
          </x14:formula1>
          <xm:sqref>B1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1155CC"/>
    <outlinePr summaryBelow="0" summaryRight="0"/>
  </sheetPr>
  <dimension ref="A1:AJ99"/>
  <sheetViews>
    <sheetView showGridLines="0" workbookViewId="0">
      <pane ySplit="3" topLeftCell="A4" activePane="bottomLeft" state="frozen"/>
      <selection pane="bottomLeft" sqref="A1:XFD1048576"/>
    </sheetView>
  </sheetViews>
  <sheetFormatPr baseColWidth="10" defaultColWidth="11.1640625" defaultRowHeight="15" customHeight="1"/>
  <cols>
    <col min="1" max="1" width="1.1640625" customWidth="1"/>
    <col min="2" max="2" width="11.1640625" customWidth="1"/>
    <col min="3" max="3" width="18.5" customWidth="1"/>
    <col min="4" max="5" width="44.5" customWidth="1"/>
    <col min="6" max="6" width="1.1640625" customWidth="1"/>
    <col min="7" max="7" width="11.1640625" customWidth="1"/>
    <col min="8" max="8" width="19.33203125" customWidth="1"/>
    <col min="9" max="10" width="44.5" customWidth="1"/>
    <col min="11" max="11" width="1.1640625" customWidth="1"/>
    <col min="12" max="12" width="11.1640625" customWidth="1"/>
    <col min="13" max="13" width="20.83203125" customWidth="1"/>
    <col min="14" max="15" width="44.5" customWidth="1"/>
    <col min="16" max="16" width="1.1640625" customWidth="1"/>
    <col min="17" max="17" width="11.1640625" customWidth="1"/>
    <col min="18" max="18" width="19.6640625" customWidth="1"/>
    <col min="19" max="20" width="44.5" customWidth="1"/>
    <col min="21" max="21" width="1.1640625" customWidth="1"/>
    <col min="23" max="23" width="18.6640625" customWidth="1"/>
    <col min="24" max="25" width="44.5" customWidth="1"/>
    <col min="26" max="26" width="1.1640625" customWidth="1"/>
    <col min="27" max="27" width="11.1640625" customWidth="1"/>
    <col min="28" max="28" width="26.6640625" customWidth="1"/>
    <col min="29" max="30" width="44.5" customWidth="1"/>
    <col min="31" max="31" width="1.1640625" customWidth="1"/>
    <col min="32" max="32" width="11.1640625" customWidth="1"/>
    <col min="33" max="33" width="21" customWidth="1"/>
    <col min="34" max="35" width="44.5" customWidth="1"/>
    <col min="36" max="36" width="1.1640625" customWidth="1"/>
  </cols>
  <sheetData>
    <row r="1" spans="1:36" ht="34.5" customHeight="1">
      <c r="A1" s="208"/>
      <c r="B1" s="230" t="s">
        <v>12</v>
      </c>
      <c r="C1" s="222"/>
      <c r="D1" s="222"/>
      <c r="E1" s="222"/>
      <c r="F1" s="208"/>
      <c r="G1" s="230" t="str">
        <f ca="1">IFERROR(__xludf.DUMMYFUNCTION("IFERROR(UNIQUE(FILTER(French!B:B,French!A:A=B1)))"),"Ressources humaines et gestion des RH")</f>
        <v>Ressources humaines et gestion des RH</v>
      </c>
      <c r="H1" s="222"/>
      <c r="I1" s="222"/>
      <c r="J1" s="222"/>
      <c r="K1" s="208"/>
      <c r="L1" s="230" t="str">
        <f ca="1">IFERROR(__xludf.DUMMYFUNCTION("IFERROR((UNIQUE(FILTER(Spanish!B:B,Spanish!A:A=B1))))"),"Conocimientos sobre recursos humanos su gestión")</f>
        <v>Conocimientos sobre recursos humanos su gestión</v>
      </c>
      <c r="M1" s="222"/>
      <c r="N1" s="222"/>
      <c r="O1" s="222"/>
      <c r="P1" s="208"/>
      <c r="Q1" s="230" t="str">
        <f ca="1">IFERROR(__xludf.DUMMYFUNCTION("IFERROR(UNIQUE(FILTER(German!B:B,German!A:A=B1)))"),"Personalwesen und HR Management")</f>
        <v>Personalwesen und HR Management</v>
      </c>
      <c r="R1" s="222"/>
      <c r="S1" s="222"/>
      <c r="T1" s="222"/>
      <c r="U1" s="208"/>
      <c r="V1" s="230" t="str">
        <f ca="1">IFERROR(__xludf.DUMMYFUNCTION("IFERROR(UNIQUE(FILTER(Japanese!B:B,Japanese!A:A=B1)))"),"人事・労務管理")</f>
        <v>人事・労務管理</v>
      </c>
      <c r="W1" s="222"/>
      <c r="X1" s="222"/>
      <c r="Y1" s="222"/>
      <c r="Z1" s="208"/>
      <c r="AA1" s="230" t="str">
        <f ca="1">IFERROR(__xludf.DUMMYFUNCTION("IFERROR(UNIQUE(FILTER(Portuguese!B:B,Portuguese!A:A=B1)))"),"Conhecimento e gestão de RH")</f>
        <v>Conhecimento e gestão de RH</v>
      </c>
      <c r="AB1" s="222"/>
      <c r="AC1" s="222"/>
      <c r="AD1" s="222"/>
      <c r="AE1" s="208"/>
      <c r="AF1" s="230" t="str">
        <f ca="1">IFERROR(__xludf.DUMMYFUNCTION("IFERROR(UNIQUE(FILTER(Mandarin!B:B,Mandarin!A:A=B1)))"),"人力资源及管理")</f>
        <v>人力资源及管理</v>
      </c>
      <c r="AG1" s="222"/>
      <c r="AH1" s="222"/>
      <c r="AI1" s="222"/>
      <c r="AJ1" s="208"/>
    </row>
    <row r="2" spans="1:36" ht="28" customHeight="1">
      <c r="A2" s="209"/>
      <c r="B2" s="234" t="s">
        <v>4713</v>
      </c>
      <c r="C2" s="222"/>
      <c r="D2" s="222"/>
      <c r="E2" s="222"/>
      <c r="F2" s="209"/>
      <c r="G2" s="231" t="s">
        <v>4714</v>
      </c>
      <c r="H2" s="222"/>
      <c r="I2" s="222"/>
      <c r="J2" s="222"/>
      <c r="K2" s="209"/>
      <c r="L2" s="235" t="s">
        <v>4715</v>
      </c>
      <c r="M2" s="222"/>
      <c r="N2" s="222"/>
      <c r="O2" s="222"/>
      <c r="P2" s="209"/>
      <c r="Q2" s="232" t="s">
        <v>4716</v>
      </c>
      <c r="R2" s="222"/>
      <c r="S2" s="222"/>
      <c r="T2" s="222"/>
      <c r="U2" s="209"/>
      <c r="V2" s="236" t="s">
        <v>4717</v>
      </c>
      <c r="W2" s="222"/>
      <c r="X2" s="222"/>
      <c r="Y2" s="222"/>
      <c r="Z2" s="209"/>
      <c r="AA2" s="233" t="s">
        <v>4718</v>
      </c>
      <c r="AB2" s="222"/>
      <c r="AC2" s="222"/>
      <c r="AD2" s="222"/>
      <c r="AE2" s="209"/>
      <c r="AF2" s="237" t="s">
        <v>4719</v>
      </c>
      <c r="AG2" s="222"/>
      <c r="AH2" s="222"/>
      <c r="AI2" s="222"/>
      <c r="AJ2" s="209"/>
    </row>
    <row r="3" spans="1:36" ht="26" customHeight="1">
      <c r="A3" s="210"/>
      <c r="B3" s="211" t="str">
        <f ca="1">IFERROR(__xludf.DUMMYFUNCTION("FILTER(English!B:B,English!A:A=B1)"),"Course IDs")</f>
        <v>Course IDs</v>
      </c>
      <c r="C3" s="211" t="str">
        <f ca="1">IFERROR(__xludf.DUMMYFUNCTION("FILTER(English!C:C,English!A:A=B1)"),"Levels")</f>
        <v>Levels</v>
      </c>
      <c r="D3" s="211" t="str">
        <f ca="1">IFERROR(__xludf.DUMMYFUNCTION("FILTER(English!D:D,English!A:A=B1)"),"Courses")</f>
        <v>Courses</v>
      </c>
      <c r="E3" s="212" t="str">
        <f ca="1">IFERROR(__xludf.DUMMYFUNCTION("FILTER(English!E:E,English!A:A=B1)"),"Learning Paths")</f>
        <v>Learning Paths</v>
      </c>
      <c r="F3" s="210"/>
      <c r="G3" s="211" t="str">
        <f ca="1">IFERROR(__xludf.DUMMYFUNCTION("FILTER(French!C:C,French!B:B=G1)"),"Course IDs")</f>
        <v>Course IDs</v>
      </c>
      <c r="H3" s="211" t="str">
        <f ca="1">IFERROR(__xludf.DUMMYFUNCTION("FILTER(French!D:D,French!B:B=G1)"),"Levels")</f>
        <v>Levels</v>
      </c>
      <c r="I3" s="211" t="str">
        <f ca="1">IFERROR(__xludf.DUMMYFUNCTION("FILTER(French!E:E,French!B:B=G1)"),"Courses")</f>
        <v>Courses</v>
      </c>
      <c r="J3" s="212" t="str">
        <f ca="1">IFERROR(__xludf.DUMMYFUNCTION("FILTER(French!G:G,French!B:B=G1)"),"Learning Paths")</f>
        <v>Learning Paths</v>
      </c>
      <c r="K3" s="210"/>
      <c r="L3" s="211" t="str">
        <f ca="1">IFERROR(__xludf.DUMMYFUNCTION("FILTER(Spanish!C:C,Spanish!B:B=L1)"),"Course IDs")</f>
        <v>Course IDs</v>
      </c>
      <c r="M3" s="211" t="str">
        <f ca="1">IFERROR(__xludf.DUMMYFUNCTION("FILTER(Spanish!D:D,Spanish!B:B=L1)"),"Levels")</f>
        <v>Levels</v>
      </c>
      <c r="N3" s="211" t="str">
        <f ca="1">IFERROR(__xludf.DUMMYFUNCTION("FILTER(Spanish!E:E,Spanish!B:B=L1)"),"Courses")</f>
        <v>Courses</v>
      </c>
      <c r="O3" s="212" t="str">
        <f ca="1">IFERROR(__xludf.DUMMYFUNCTION("FILTER(Spanish!G:G,Spanish!B:B=L1)"),"Learning Paths")</f>
        <v>Learning Paths</v>
      </c>
      <c r="P3" s="210"/>
      <c r="Q3" s="211" t="str">
        <f ca="1">IFERROR(__xludf.DUMMYFUNCTION("FILTER(German!C:C,German!B:B=Q1)"),"Course IDs")</f>
        <v>Course IDs</v>
      </c>
      <c r="R3" s="211" t="str">
        <f ca="1">IFERROR(__xludf.DUMMYFUNCTION("FILTER(German!D:D,German!B:B=Q1)"),"Levels")</f>
        <v>Levels</v>
      </c>
      <c r="S3" s="211" t="str">
        <f ca="1">IFERROR(__xludf.DUMMYFUNCTION("FILTER(German!E:E,German!B:B=Q1)"),"Courses")</f>
        <v>Courses</v>
      </c>
      <c r="T3" s="212" t="str">
        <f ca="1">IFERROR(__xludf.DUMMYFUNCTION("FILTER(German!G:G,German!B:B=Q1)"),"Learning Paths")</f>
        <v>Learning Paths</v>
      </c>
      <c r="U3" s="210"/>
      <c r="V3" s="211" t="str">
        <f ca="1">IFERROR(__xludf.DUMMYFUNCTION("FILTER(Japanese!C:C,Japanese!B:B=V1)"),"Course IDs")</f>
        <v>Course IDs</v>
      </c>
      <c r="W3" s="211" t="str">
        <f ca="1">IFERROR(__xludf.DUMMYFUNCTION("FILTER(Japanese!D:D,Japanese!B:B=V1)"),"Levels")</f>
        <v>Levels</v>
      </c>
      <c r="X3" s="211" t="str">
        <f ca="1">IFERROR(__xludf.DUMMYFUNCTION("FILTER(Japanese!E:E,Japanese!B:B=V1)"),"Courses")</f>
        <v>Courses</v>
      </c>
      <c r="Y3" s="212" t="str">
        <f ca="1">IFERROR(__xludf.DUMMYFUNCTION("FILTER(Japanese!G:G,Japanese!B:B=V1)"),"Learning Paths")</f>
        <v>Learning Paths</v>
      </c>
      <c r="Z3" s="210"/>
      <c r="AA3" s="211" t="str">
        <f ca="1">IFERROR(__xludf.DUMMYFUNCTION("FILTER(Portuguese!C:C,Portuguese!B:B=AA1)"),"Course IDs")</f>
        <v>Course IDs</v>
      </c>
      <c r="AB3" s="211" t="str">
        <f ca="1">IFERROR(__xludf.DUMMYFUNCTION("FILTER(Portuguese!D:D,Portuguese!B:B=AA1)"),"Levels")</f>
        <v>Levels</v>
      </c>
      <c r="AC3" s="211" t="str">
        <f ca="1">IFERROR(__xludf.DUMMYFUNCTION("FILTER(Portuguese!E:E,Portuguese!B:B=AA1)"),"Courses")</f>
        <v>Courses</v>
      </c>
      <c r="AD3" s="212" t="str">
        <f ca="1">IFERROR(__xludf.DUMMYFUNCTION("FILTER(Portuguese!G:G,Portuguese!B:B=AA1)"),"Learning Paths")</f>
        <v>Learning Paths</v>
      </c>
      <c r="AE3" s="210"/>
      <c r="AF3" s="211" t="str">
        <f ca="1">IFERROR(__xludf.DUMMYFUNCTION("FILTER(Mandarin!C:C,Mandarin!B:B=AF1)"),"Course IDs")</f>
        <v>Course IDs</v>
      </c>
      <c r="AG3" s="211" t="str">
        <f ca="1">IFERROR(__xludf.DUMMYFUNCTION("FILTER(Mandarin!D:D,Mandarin!B:B=AF1)"),"Levels")</f>
        <v>Levels</v>
      </c>
      <c r="AH3" s="211" t="str">
        <f ca="1">IFERROR(__xludf.DUMMYFUNCTION("FILTER(Mandarin!E:E,Mandarin!B:B=AF1)"),"Courses")</f>
        <v>Courses</v>
      </c>
      <c r="AI3" s="212" t="str">
        <f ca="1">IFERROR(__xludf.DUMMYFUNCTION("FILTER(Mandarin!G:G,Mandarin!B:B=AF1)"),"Learning Paths")</f>
        <v>Learning Paths</v>
      </c>
      <c r="AJ3" s="210"/>
    </row>
    <row r="4" spans="1:36" ht="33.75" customHeight="1">
      <c r="A4" s="213"/>
      <c r="B4" s="214">
        <f ca="1">IFERROR(__xludf.DUMMYFUNCTION("""COMPUTED_VALUE"""),688515)</f>
        <v>688515</v>
      </c>
      <c r="C4" s="215" t="str">
        <f ca="1">IFERROR(__xludf.DUMMYFUNCTION("""COMPUTED_VALUE"""),"Advanced")</f>
        <v>Advanced</v>
      </c>
      <c r="D4" s="216" t="str">
        <f ca="1">IFERROR(__xludf.DUMMYFUNCTION("""COMPUTED_VALUE"""),"Succession Planning")</f>
        <v>Succession Planning</v>
      </c>
      <c r="E4" s="217" t="str">
        <f ca="1">IFERROR(__xludf.DUMMYFUNCTION("""COMPUTED_VALUE"""),"Build a Company Learning and Development Program")</f>
        <v>Build a Company Learning and Development Program</v>
      </c>
      <c r="F4" s="213"/>
      <c r="G4" s="214">
        <f ca="1">IFERROR(__xludf.DUMMYFUNCTION("""COMPUTED_VALUE"""),707943)</f>
        <v>707943</v>
      </c>
      <c r="H4" s="215" t="str">
        <f ca="1">IFERROR(__xludf.DUMMYFUNCTION("""COMPUTED_VALUE"""),"Advanced")</f>
        <v>Advanced</v>
      </c>
      <c r="I4" s="217" t="str">
        <f ca="1">IFERROR(__xludf.DUMMYFUNCTION("""COMPUTED_VALUE"""),"10 conseils pour mener des entretiens d'embauche efficaces")</f>
        <v>10 conseils pour mener des entretiens d'embauche efficaces</v>
      </c>
      <c r="J4" s="217" t="str">
        <f ca="1">IFERROR(__xludf.DUMMYFUNCTION("""COMPUTED_VALUE"""),"Devenir recruteur de talents")</f>
        <v>Devenir recruteur de talents</v>
      </c>
      <c r="K4" s="213"/>
      <c r="L4" s="215">
        <f ca="1">IFERROR(__xludf.DUMMYFUNCTION("""COMPUTED_VALUE"""),5025693)</f>
        <v>5025693</v>
      </c>
      <c r="M4" s="215" t="str">
        <f ca="1">IFERROR(__xludf.DUMMYFUNCTION("""COMPUTED_VALUE"""),"Intermediate")</f>
        <v>Intermediate</v>
      </c>
      <c r="N4" s="217" t="str">
        <f ca="1">IFERROR(__xludf.DUMMYFUNCTION("""COMPUTED_VALUE"""),"Agile en acción: Construye tu equipo ágil")</f>
        <v>Agile en acción: Construye tu equipo ágil</v>
      </c>
      <c r="O4" s="217" t="str">
        <f ca="1">IFERROR(__xludf.DUMMYFUNCTION("""COMPUTED_VALUE"""),"Conviértete en reclutador de talentos")</f>
        <v>Conviértete en reclutador de talentos</v>
      </c>
      <c r="P4" s="213"/>
      <c r="Q4" s="215">
        <f ca="1">IFERROR(__xludf.DUMMYFUNCTION("""COMPUTED_VALUE"""),3013966)</f>
        <v>3013966</v>
      </c>
      <c r="R4" s="215" t="str">
        <f ca="1">IFERROR(__xludf.DUMMYFUNCTION("""COMPUTED_VALUE"""),"All levels")</f>
        <v>All levels</v>
      </c>
      <c r="S4" s="217" t="str">
        <f ca="1">IFERROR(__xludf.DUMMYFUNCTION("""COMPUTED_VALUE"""),"10 Mythen über Diversity, Inclusion und Zugehörigkeit am Arbeitsplatz")</f>
        <v>10 Mythen über Diversity, Inclusion und Zugehörigkeit am Arbeitsplatz</v>
      </c>
      <c r="T4" s="217" t="str">
        <f ca="1">IFERROR(__xludf.DUMMYFUNCTION("""COMPUTED_VALUE"""),"Mitarbeiter finden und halten")</f>
        <v>Mitarbeiter finden und halten</v>
      </c>
      <c r="U4" s="213"/>
      <c r="V4" s="215">
        <f ca="1">IFERROR(__xludf.DUMMYFUNCTION("""COMPUTED_VALUE"""),2892077)</f>
        <v>2892077</v>
      </c>
      <c r="W4" s="215" t="str">
        <f ca="1">IFERROR(__xludf.DUMMYFUNCTION("""COMPUTED_VALUE"""),"All levels")</f>
        <v>All levels</v>
      </c>
      <c r="X4" s="217" t="str">
        <f ca="1">IFERROR(__xludf.DUMMYFUNCTION("""COMPUTED_VALUE"""),"インクルーシブにチームを率いるには")</f>
        <v>インクルーシブにチームを率いるには</v>
      </c>
      <c r="Y4" s="217" t="str">
        <f ca="1">IFERROR(__xludf.DUMMYFUNCTION("""COMPUTED_VALUE"""),"N/A")</f>
        <v>N/A</v>
      </c>
      <c r="Z4" s="213"/>
      <c r="AA4" s="215">
        <f ca="1">IFERROR(__xludf.DUMMYFUNCTION("""COMPUTED_VALUE"""),2931603)</f>
        <v>2931603</v>
      </c>
      <c r="AB4" s="215" t="str">
        <f ca="1">IFERROR(__xludf.DUMMYFUNCTION("""COMPUTED_VALUE"""),"All levels")</f>
        <v>All levels</v>
      </c>
      <c r="AC4" s="217" t="str">
        <f ca="1">IFERROR(__xludf.DUMMYFUNCTION("""COMPUTED_VALUE"""),"A Comunicação entre Equipes Multiculturais")</f>
        <v>A Comunicação entre Equipes Multiculturais</v>
      </c>
      <c r="AD4" s="217" t="str">
        <f ca="1">IFERROR(__xludf.DUMMYFUNCTION("""COMPUTED_VALUE"""),"Torne-se um Líder")</f>
        <v>Torne-se um Líder</v>
      </c>
      <c r="AE4" s="213"/>
      <c r="AF4" s="215">
        <f ca="1">IFERROR(__xludf.DUMMYFUNCTION("""COMPUTED_VALUE"""),2882002)</f>
        <v>2882002</v>
      </c>
      <c r="AG4" s="215" t="str">
        <f ca="1">IFERROR(__xludf.DUMMYFUNCTION("""COMPUTED_VALUE"""),"Intermediate")</f>
        <v>Intermediate</v>
      </c>
      <c r="AH4" s="217" t="str">
        <f ca="1">IFERROR(__xludf.DUMMYFUNCTION("""COMPUTED_VALUE"""),"人力资源：远程面试")</f>
        <v>人力资源：远程面试</v>
      </c>
      <c r="AI4" s="217" t="str">
        <f ca="1">IFERROR(__xludf.DUMMYFUNCTION("""COMPUTED_VALUE"""),"成为领导者")</f>
        <v>成为领导者</v>
      </c>
      <c r="AJ4" s="213"/>
    </row>
    <row r="5" spans="1:36" ht="30">
      <c r="A5" s="213"/>
      <c r="B5" s="214">
        <f ca="1">IFERROR(__xludf.DUMMYFUNCTION("""COMPUTED_VALUE"""),656782)</f>
        <v>656782</v>
      </c>
      <c r="C5" s="215" t="str">
        <f ca="1">IFERROR(__xludf.DUMMYFUNCTION("""COMPUTED_VALUE"""),"Beginner")</f>
        <v>Beginner</v>
      </c>
      <c r="D5" s="216" t="str">
        <f ca="1">IFERROR(__xludf.DUMMYFUNCTION("""COMPUTED_VALUE"""),"Organizational Culture")</f>
        <v>Organizational Culture</v>
      </c>
      <c r="E5" s="217" t="str">
        <f ca="1">IFERROR(__xludf.DUMMYFUNCTION("""COMPUTED_VALUE"""),"Become a Corporate Recruiter")</f>
        <v>Become a Corporate Recruiter</v>
      </c>
      <c r="F5" s="213"/>
      <c r="G5" s="214">
        <f ca="1">IFERROR(__xludf.DUMMYFUNCTION("""COMPUTED_VALUE"""),2457036)</f>
        <v>2457036</v>
      </c>
      <c r="H5" s="215" t="str">
        <f ca="1">IFERROR(__xludf.DUMMYFUNCTION("""COMPUTED_VALUE"""),"Intermediate")</f>
        <v>Intermediate</v>
      </c>
      <c r="I5" s="217" t="str">
        <f ca="1">IFERROR(__xludf.DUMMYFUNCTION("""COMPUTED_VALUE"""),"Améliorer son index d'égalité professionnelle")</f>
        <v>Améliorer son index d'égalité professionnelle</v>
      </c>
      <c r="J5" s="217" t="str">
        <f ca="1">IFERROR(__xludf.DUMMYFUNCTION("""COMPUTED_VALUE"""),"Attirer et garder ses talents")</f>
        <v>Attirer et garder ses talents</v>
      </c>
      <c r="K5" s="213"/>
      <c r="L5" s="215">
        <f ca="1">IFERROR(__xludf.DUMMYFUNCTION("""COMPUTED_VALUE"""),2873071)</f>
        <v>2873071</v>
      </c>
      <c r="M5" s="215" t="str">
        <f ca="1">IFERROR(__xludf.DUMMYFUNCTION("""COMPUTED_VALUE"""),"Intermediate")</f>
        <v>Intermediate</v>
      </c>
      <c r="N5" s="217" t="str">
        <f ca="1">IFERROR(__xludf.DUMMYFUNCTION("""COMPUTED_VALUE"""),"Big data, recursos humanos y gestión del bienestar laboral")</f>
        <v>Big data, recursos humanos y gestión del bienestar laboral</v>
      </c>
      <c r="O5" s="217" t="str">
        <f ca="1">IFERROR(__xludf.DUMMYFUNCTION("""COMPUTED_VALUE"""),"Profundiza en la búsqueda, selección y retención de talentos")</f>
        <v>Profundiza en la búsqueda, selección y retención de talentos</v>
      </c>
      <c r="P5" s="213"/>
      <c r="Q5" s="215">
        <f ca="1">IFERROR(__xludf.DUMMYFUNCTION("""COMPUTED_VALUE"""),2816017)</f>
        <v>2816017</v>
      </c>
      <c r="R5" s="215" t="str">
        <f ca="1">IFERROR(__xludf.DUMMYFUNCTION("""COMPUTED_VALUE"""),"All levels")</f>
        <v>All levels</v>
      </c>
      <c r="S5" s="217" t="str">
        <f ca="1">IFERROR(__xludf.DUMMYFUNCTION("""COMPUTED_VALUE"""),"Agile Lernformate in Organisationen")</f>
        <v>Agile Lernformate in Organisationen</v>
      </c>
      <c r="T5" s="217" t="str">
        <f ca="1">IFERROR(__xludf.DUMMYFUNCTION("""COMPUTED_VALUE"""),"Recruiter:in werden")</f>
        <v>Recruiter:in werden</v>
      </c>
      <c r="U5" s="213"/>
      <c r="V5" s="215">
        <f ca="1">IFERROR(__xludf.DUMMYFUNCTION("""COMPUTED_VALUE"""),2918416)</f>
        <v>2918416</v>
      </c>
      <c r="W5" s="215" t="str">
        <f ca="1">IFERROR(__xludf.DUMMYFUNCTION("""COMPUTED_VALUE"""),"Advanced")</f>
        <v>Advanced</v>
      </c>
      <c r="X5" s="217" t="str">
        <f ca="1">IFERROR(__xludf.DUMMYFUNCTION("""COMPUTED_VALUE"""),"これからの人材採用と育成")</f>
        <v>これからの人材採用と育成</v>
      </c>
      <c r="Y5" s="217"/>
      <c r="Z5" s="213"/>
      <c r="AA5" s="215">
        <f ca="1">IFERROR(__xludf.DUMMYFUNCTION("""COMPUTED_VALUE"""),2929559)</f>
        <v>2929559</v>
      </c>
      <c r="AB5" s="215" t="str">
        <f ca="1">IFERROR(__xludf.DUMMYFUNCTION("""COMPUTED_VALUE"""),"All levels")</f>
        <v>All levels</v>
      </c>
      <c r="AC5" s="217" t="str">
        <f ca="1">IFERROR(__xludf.DUMMYFUNCTION("""COMPUTED_VALUE"""),"Boas Práticas para o Sucesso em Projetos Internacionais")</f>
        <v>Boas Práticas para o Sucesso em Projetos Internacionais</v>
      </c>
      <c r="AD5" s="217" t="str">
        <f ca="1">IFERROR(__xludf.DUMMYFUNCTION("""COMPUTED_VALUE"""),"Transforme-se num Líder Disruptivo")</f>
        <v>Transforme-se num Líder Disruptivo</v>
      </c>
      <c r="AE5" s="213"/>
      <c r="AF5" s="215">
        <f ca="1">IFERROR(__xludf.DUMMYFUNCTION("""COMPUTED_VALUE"""),2255864)</f>
        <v>2255864</v>
      </c>
      <c r="AG5" s="215" t="str">
        <f ca="1">IFERROR(__xludf.DUMMYFUNCTION("""COMPUTED_VALUE"""),"Intermediate")</f>
        <v>Intermediate</v>
      </c>
      <c r="AH5" s="217" t="str">
        <f ca="1">IFERROR(__xludf.DUMMYFUNCTION("""COMPUTED_VALUE"""),"创建高绩效文化")</f>
        <v>创建高绩效文化</v>
      </c>
      <c r="AI5" s="217" t="str">
        <f ca="1">IFERROR(__xludf.DUMMYFUNCTION("""COMPUTED_VALUE"""),"成为管理者")</f>
        <v>成为管理者</v>
      </c>
      <c r="AJ5" s="213"/>
    </row>
    <row r="6" spans="1:36" ht="30">
      <c r="A6" s="213"/>
      <c r="B6" s="214">
        <f ca="1">IFERROR(__xludf.DUMMYFUNCTION("""COMPUTED_VALUE"""),661748)</f>
        <v>661748</v>
      </c>
      <c r="C6" s="215" t="str">
        <f ca="1">IFERROR(__xludf.DUMMYFUNCTION("""COMPUTED_VALUE"""),"Beginner + Intermediate")</f>
        <v>Beginner + Intermediate</v>
      </c>
      <c r="D6" s="216" t="str">
        <f ca="1">IFERROR(__xludf.DUMMYFUNCTION("""COMPUTED_VALUE"""),"Rewarding Employee Performance")</f>
        <v>Rewarding Employee Performance</v>
      </c>
      <c r="E6" s="217" t="str">
        <f ca="1">IFERROR(__xludf.DUMMYFUNCTION("""COMPUTED_VALUE"""),"Become an External Recruiter")</f>
        <v>Become an External Recruiter</v>
      </c>
      <c r="F6" s="213"/>
      <c r="G6" s="214">
        <f ca="1">IFERROR(__xludf.DUMMYFUNCTION("""COMPUTED_VALUE"""),2841038)</f>
        <v>2841038</v>
      </c>
      <c r="H6" s="215" t="str">
        <f ca="1">IFERROR(__xludf.DUMMYFUNCTION("""COMPUTED_VALUE"""),"All levels")</f>
        <v>All levels</v>
      </c>
      <c r="I6" s="217" t="str">
        <f ca="1">IFERROR(__xludf.DUMMYFUNCTION("""COMPUTED_VALUE"""),"Bien-être au travail avec la méthode Yogist")</f>
        <v>Bien-être au travail avec la méthode Yogist</v>
      </c>
      <c r="J6" s="217"/>
      <c r="K6" s="213"/>
      <c r="L6" s="215">
        <f ca="1">IFERROR(__xludf.DUMMYFUNCTION("""COMPUTED_VALUE"""),608982)</f>
        <v>608982</v>
      </c>
      <c r="M6" s="215" t="str">
        <f ca="1">IFERROR(__xludf.DUMMYFUNCTION("""COMPUTED_VALUE"""),"Beginner")</f>
        <v>Beginner</v>
      </c>
      <c r="N6" s="217" t="str">
        <f ca="1">IFERROR(__xludf.DUMMYFUNCTION("""COMPUTED_VALUE"""),"Cómo crear equipos de alto rendimiento")</f>
        <v>Cómo crear equipos de alto rendimiento</v>
      </c>
      <c r="O6" s="217" t="str">
        <f ca="1">IFERROR(__xludf.DUMMYFUNCTION("""COMPUTED_VALUE"""),"Gestiona el rendimiento")</f>
        <v>Gestiona el rendimiento</v>
      </c>
      <c r="P6" s="213"/>
      <c r="Q6" s="215">
        <f ca="1">IFERROR(__xludf.DUMMYFUNCTION("""COMPUTED_VALUE"""),2873039)</f>
        <v>2873039</v>
      </c>
      <c r="R6" s="215" t="str">
        <f ca="1">IFERROR(__xludf.DUMMYFUNCTION("""COMPUTED_VALUE"""),"Intermediate")</f>
        <v>Intermediate</v>
      </c>
      <c r="S6" s="217" t="str">
        <f ca="1">IFERROR(__xludf.DUMMYFUNCTION("""COMPUTED_VALUE"""),"Agiles Personalmanagement")</f>
        <v>Agiles Personalmanagement</v>
      </c>
      <c r="T6" s="217"/>
      <c r="U6" s="213"/>
      <c r="V6" s="215">
        <f ca="1">IFERROR(__xludf.DUMMYFUNCTION("""COMPUTED_VALUE"""),3148360)</f>
        <v>3148360</v>
      </c>
      <c r="W6" s="215" t="str">
        <f ca="1">IFERROR(__xludf.DUMMYFUNCTION("""COMPUTED_VALUE"""),"Intermediate")</f>
        <v>Intermediate</v>
      </c>
      <c r="X6" s="217" t="str">
        <f ca="1">IFERROR(__xludf.DUMMYFUNCTION("""COMPUTED_VALUE"""),"ダイバーシティに配慮した採用戦略")</f>
        <v>ダイバーシティに配慮した採用戦略</v>
      </c>
      <c r="Y6" s="217"/>
      <c r="Z6" s="213"/>
      <c r="AA6" s="215">
        <f ca="1">IFERROR(__xludf.DUMMYFUNCTION("""COMPUTED_VALUE"""),2448095)</f>
        <v>2448095</v>
      </c>
      <c r="AB6" s="215" t="str">
        <f ca="1">IFERROR(__xludf.DUMMYFUNCTION("""COMPUTED_VALUE"""),"Beginner, Intermediate")</f>
        <v>Beginner, Intermediate</v>
      </c>
      <c r="AC6" s="217" t="str">
        <f ca="1">IFERROR(__xludf.DUMMYFUNCTION("""COMPUTED_VALUE"""),"Como Aproveitar ao Máximo o LinkedIn Recruiter")</f>
        <v>Como Aproveitar ao Máximo o LinkedIn Recruiter</v>
      </c>
      <c r="AD6" s="217"/>
      <c r="AE6" s="213"/>
      <c r="AF6" s="215">
        <f ca="1">IFERROR(__xludf.DUMMYFUNCTION("""COMPUTED_VALUE"""),794524)</f>
        <v>794524</v>
      </c>
      <c r="AG6" s="215" t="str">
        <f ca="1">IFERROR(__xludf.DUMMYFUNCTION("""COMPUTED_VALUE"""),"Intermediate")</f>
        <v>Intermediate</v>
      </c>
      <c r="AH6" s="217" t="str">
        <f ca="1">IFERROR(__xludf.DUMMYFUNCTION("""COMPUTED_VALUE"""),"发掘和留住高潜力人才")</f>
        <v>发掘和留住高潜力人才</v>
      </c>
      <c r="AI6" s="217" t="str">
        <f ca="1">IFERROR(__xludf.DUMMYFUNCTION("""COMPUTED_VALUE"""),"发掘并留住人才")</f>
        <v>发掘并留住人才</v>
      </c>
      <c r="AJ6" s="213"/>
    </row>
    <row r="7" spans="1:36" ht="33.75" customHeight="1">
      <c r="A7" s="213"/>
      <c r="B7" s="214">
        <f ca="1">IFERROR(__xludf.DUMMYFUNCTION("""COMPUTED_VALUE"""),599603)</f>
        <v>599603</v>
      </c>
      <c r="C7" s="215" t="str">
        <f ca="1">IFERROR(__xludf.DUMMYFUNCTION("""COMPUTED_VALUE"""),"Intermediate")</f>
        <v>Intermediate</v>
      </c>
      <c r="D7" s="216" t="str">
        <f ca="1">IFERROR(__xludf.DUMMYFUNCTION("""COMPUTED_VALUE"""),"Communicating Employee Rewards")</f>
        <v>Communicating Employee Rewards</v>
      </c>
      <c r="E7" s="217" t="str">
        <f ca="1">IFERROR(__xludf.DUMMYFUNCTION("""COMPUTED_VALUE"""),"Become a Technical Recruiter")</f>
        <v>Become a Technical Recruiter</v>
      </c>
      <c r="F7" s="213"/>
      <c r="G7" s="214">
        <f ca="1">IFERROR(__xludf.DUMMYFUNCTION("""COMPUTED_VALUE"""),792276)</f>
        <v>792276</v>
      </c>
      <c r="H7" s="215" t="str">
        <f ca="1">IFERROR(__xludf.DUMMYFUNCTION("""COMPUTED_VALUE"""),"Intermediate")</f>
        <v>Intermediate</v>
      </c>
      <c r="I7" s="217" t="str">
        <f ca="1">IFERROR(__xludf.DUMMYFUNCTION("""COMPUTED_VALUE"""),"Bien-être au travail et prévention des risques psychosociaux")</f>
        <v>Bien-être au travail et prévention des risques psychosociaux</v>
      </c>
      <c r="J7" s="217"/>
      <c r="K7" s="213"/>
      <c r="L7" s="215">
        <f ca="1">IFERROR(__xludf.DUMMYFUNCTION("""COMPUTED_VALUE"""),5025679)</f>
        <v>5025679</v>
      </c>
      <c r="M7" s="215" t="str">
        <f ca="1">IFERROR(__xludf.DUMMYFUNCTION("""COMPUTED_VALUE"""),"Advanced")</f>
        <v>Advanced</v>
      </c>
      <c r="N7" s="217" t="str">
        <f ca="1">IFERROR(__xludf.DUMMYFUNCTION("""COMPUTED_VALUE"""),"Cómo crear una cultura de alto rendimiento")</f>
        <v>Cómo crear una cultura de alto rendimiento</v>
      </c>
      <c r="O7" s="217" t="str">
        <f ca="1">IFERROR(__xludf.DUMMYFUNCTION("""COMPUTED_VALUE"""),"Trabajo a distancia: Preparándote a ti mismo y a tus equipos para el éxito")</f>
        <v>Trabajo a distancia: Preparándote a ti mismo y a tus equipos para el éxito</v>
      </c>
      <c r="P7" s="213"/>
      <c r="Q7" s="215">
        <f ca="1">IFERROR(__xludf.DUMMYFUNCTION("""COMPUTED_VALUE"""),702515)</f>
        <v>702515</v>
      </c>
      <c r="R7" s="215" t="str">
        <f ca="1">IFERROR(__xludf.DUMMYFUNCTION("""COMPUTED_VALUE"""),"Beginner")</f>
        <v>Beginner</v>
      </c>
      <c r="S7" s="217" t="str">
        <f ca="1">IFERROR(__xludf.DUMMYFUNCTION("""COMPUTED_VALUE"""),"Beurteilungsgespräche führen")</f>
        <v>Beurteilungsgespräche führen</v>
      </c>
      <c r="T7" s="217"/>
      <c r="U7" s="213"/>
      <c r="V7" s="215">
        <f ca="1">IFERROR(__xludf.DUMMYFUNCTION("""COMPUTED_VALUE"""),2430001)</f>
        <v>2430001</v>
      </c>
      <c r="W7" s="215" t="str">
        <f ca="1">IFERROR(__xludf.DUMMYFUNCTION("""COMPUTED_VALUE"""),"Beginner")</f>
        <v>Beginner</v>
      </c>
      <c r="X7" s="217" t="str">
        <f ca="1">IFERROR(__xludf.DUMMYFUNCTION("""COMPUTED_VALUE"""),"マネージャーとして新入社員研修を成功させるには")</f>
        <v>マネージャーとして新入社員研修を成功させるには</v>
      </c>
      <c r="Y7" s="217"/>
      <c r="Z7" s="213"/>
      <c r="AA7" s="215">
        <f ca="1">IFERROR(__xludf.DUMMYFUNCTION("""COMPUTED_VALUE"""),2908959)</f>
        <v>2908959</v>
      </c>
      <c r="AB7" s="215" t="str">
        <f ca="1">IFERROR(__xludf.DUMMYFUNCTION("""COMPUTED_VALUE"""),"Advanced")</f>
        <v>Advanced</v>
      </c>
      <c r="AC7" s="217" t="str">
        <f ca="1">IFERROR(__xludf.DUMMYFUNCTION("""COMPUTED_VALUE"""),"Como Criar uma Cultura de Alto Desempenho")</f>
        <v>Como Criar uma Cultura de Alto Desempenho</v>
      </c>
      <c r="AD7" s="217"/>
      <c r="AE7" s="213"/>
      <c r="AF7" s="215">
        <f ca="1">IFERROR(__xludf.DUMMYFUNCTION("""COMPUTED_VALUE"""),2994026)</f>
        <v>2994026</v>
      </c>
      <c r="AG7" s="215" t="str">
        <f ca="1">IFERROR(__xludf.DUMMYFUNCTION("""COMPUTED_VALUE"""),"Beginner, Intermediate")</f>
        <v>Beginner, Intermediate</v>
      </c>
      <c r="AH7" s="217" t="str">
        <f ca="1">IFERROR(__xludf.DUMMYFUNCTION("""COMPUTED_VALUE"""),"员工招聘：经理篇")</f>
        <v>员工招聘：经理篇</v>
      </c>
      <c r="AI7" s="217" t="str">
        <f ca="1">IFERROR(__xludf.DUMMYFUNCTION("""COMPUTED_VALUE"""),"成为数据科学家")</f>
        <v>成为数据科学家</v>
      </c>
      <c r="AJ7" s="213"/>
    </row>
    <row r="8" spans="1:36" ht="33.75" customHeight="1">
      <c r="A8" s="213"/>
      <c r="B8" s="214">
        <f ca="1">IFERROR(__xludf.DUMMYFUNCTION("""COMPUTED_VALUE"""),700792)</f>
        <v>700792</v>
      </c>
      <c r="C8" s="215" t="str">
        <f ca="1">IFERROR(__xludf.DUMMYFUNCTION("""COMPUTED_VALUE"""),"Intermediate")</f>
        <v>Intermediate</v>
      </c>
      <c r="D8" s="216" t="str">
        <f ca="1">IFERROR(__xludf.DUMMYFUNCTION("""COMPUTED_VALUE"""),"Employee Experience")</f>
        <v>Employee Experience</v>
      </c>
      <c r="E8" s="217" t="str">
        <f ca="1">IFERROR(__xludf.DUMMYFUNCTION("""COMPUTED_VALUE"""),"Become an HR Business Partner")</f>
        <v>Become an HR Business Partner</v>
      </c>
      <c r="F8" s="213"/>
      <c r="G8" s="214">
        <f ca="1">IFERROR(__xludf.DUMMYFUNCTION("""COMPUTED_VALUE"""),627594)</f>
        <v>627594</v>
      </c>
      <c r="H8" s="215" t="str">
        <f ca="1">IFERROR(__xludf.DUMMYFUNCTION("""COMPUTED_VALUE"""),"All levels")</f>
        <v>All levels</v>
      </c>
      <c r="I8" s="217" t="str">
        <f ca="1">IFERROR(__xludf.DUMMYFUNCTION("""COMPUTED_VALUE"""),"Bonheur et bien-être au travail : Série")</f>
        <v>Bonheur et bien-être au travail : Série</v>
      </c>
      <c r="J8" s="217"/>
      <c r="K8" s="213"/>
      <c r="L8" s="215">
        <f ca="1">IFERROR(__xludf.DUMMYFUNCTION("""COMPUTED_VALUE"""),2915508)</f>
        <v>2915508</v>
      </c>
      <c r="M8" s="215" t="str">
        <f ca="1">IFERROR(__xludf.DUMMYFUNCTION("""COMPUTED_VALUE"""),"All levels")</f>
        <v>All levels</v>
      </c>
      <c r="N8" s="217" t="str">
        <f ca="1">IFERROR(__xludf.DUMMYFUNCTION("""COMPUTED_VALUE"""),"Cómo detener el acoso laboral y la intimidación")</f>
        <v>Cómo detener el acoso laboral y la intimidación</v>
      </c>
      <c r="O8" s="217"/>
      <c r="P8" s="213"/>
      <c r="Q8" s="215">
        <f ca="1">IFERROR(__xludf.DUMMYFUNCTION("""COMPUTED_VALUE"""),759349)</f>
        <v>759349</v>
      </c>
      <c r="R8" s="215" t="str">
        <f ca="1">IFERROR(__xludf.DUMMYFUNCTION("""COMPUTED_VALUE"""),"Intermediate")</f>
        <v>Intermediate</v>
      </c>
      <c r="S8" s="217" t="str">
        <f ca="1">IFERROR(__xludf.DUMMYFUNCTION("""COMPUTED_VALUE"""),"Das Personal der Zukunft")</f>
        <v>Das Personal der Zukunft</v>
      </c>
      <c r="T8" s="217"/>
      <c r="U8" s="213"/>
      <c r="V8" s="215">
        <f ca="1">IFERROR(__xludf.DUMMYFUNCTION("""COMPUTED_VALUE"""),778468)</f>
        <v>778468</v>
      </c>
      <c r="W8" s="215" t="str">
        <f ca="1">IFERROR(__xludf.DUMMYFUNCTION("""COMPUTED_VALUE"""),"Intermediate")</f>
        <v>Intermediate</v>
      </c>
      <c r="X8" s="217" t="str">
        <f ca="1">IFERROR(__xludf.DUMMYFUNCTION("""COMPUTED_VALUE"""),"優秀な人材を確保するには")</f>
        <v>優秀な人材を確保するには</v>
      </c>
      <c r="Y8" s="217"/>
      <c r="Z8" s="213"/>
      <c r="AA8" s="215">
        <f ca="1">IFERROR(__xludf.DUMMYFUNCTION("""COMPUTED_VALUE"""),2931453)</f>
        <v>2931453</v>
      </c>
      <c r="AB8" s="215" t="str">
        <f ca="1">IFERROR(__xludf.DUMMYFUNCTION("""COMPUTED_VALUE"""),"Beginner")</f>
        <v>Beginner</v>
      </c>
      <c r="AC8" s="217" t="str">
        <f ca="1">IFERROR(__xludf.DUMMYFUNCTION("""COMPUTED_VALUE"""),"Como Demitir Colaboradores")</f>
        <v>Como Demitir Colaboradores</v>
      </c>
      <c r="AD8" s="217"/>
      <c r="AE8" s="213"/>
      <c r="AF8" s="215">
        <f ca="1">IFERROR(__xludf.DUMMYFUNCTION("""COMPUTED_VALUE"""),2822705)</f>
        <v>2822705</v>
      </c>
      <c r="AG8" s="215" t="str">
        <f ca="1">IFERROR(__xludf.DUMMYFUNCTION("""COMPUTED_VALUE"""),"Advanced")</f>
        <v>Advanced</v>
      </c>
      <c r="AH8" s="217" t="str">
        <f ca="1">IFERROR(__xludf.DUMMYFUNCTION("""COMPUTED_VALUE"""),"员工敬业度")</f>
        <v>员工敬业度</v>
      </c>
      <c r="AI8" s="217"/>
      <c r="AJ8" s="213"/>
    </row>
    <row r="9" spans="1:36" ht="33.75" customHeight="1">
      <c r="A9" s="213"/>
      <c r="B9" s="214">
        <f ca="1">IFERROR(__xludf.DUMMYFUNCTION("""COMPUTED_VALUE"""),612175)</f>
        <v>612175</v>
      </c>
      <c r="C9" s="215" t="str">
        <f ca="1">IFERROR(__xludf.DUMMYFUNCTION("""COMPUTED_VALUE"""),"Intermediate")</f>
        <v>Intermediate</v>
      </c>
      <c r="D9" s="216" t="str">
        <f ca="1">IFERROR(__xludf.DUMMYFUNCTION("""COMPUTED_VALUE"""),"Creating a Leadership Development Program")</f>
        <v>Creating a Leadership Development Program</v>
      </c>
      <c r="E9" s="217" t="str">
        <f ca="1">IFERROR(__xludf.DUMMYFUNCTION("""COMPUTED_VALUE"""),"Build a More Equitable and Inclusive Workplace")</f>
        <v>Build a More Equitable and Inclusive Workplace</v>
      </c>
      <c r="F9" s="213"/>
      <c r="G9" s="214">
        <f ca="1">IFERROR(__xludf.DUMMYFUNCTION("""COMPUTED_VALUE"""),3006768)</f>
        <v>3006768</v>
      </c>
      <c r="H9" s="215" t="str">
        <f ca="1">IFERROR(__xludf.DUMMYFUNCTION("""COMPUTED_VALUE"""),"Intermediate")</f>
        <v>Intermediate</v>
      </c>
      <c r="I9" s="217" t="str">
        <f ca="1">IFERROR(__xludf.DUMMYFUNCTION("""COMPUTED_VALUE"""),"Choisir d'être un bon manager")</f>
        <v>Choisir d'être un bon manager</v>
      </c>
      <c r="J9" s="217"/>
      <c r="K9" s="213"/>
      <c r="L9" s="215">
        <f ca="1">IFERROR(__xludf.DUMMYFUNCTION("""COMPUTED_VALUE"""),2841605)</f>
        <v>2841605</v>
      </c>
      <c r="M9" s="215" t="str">
        <f ca="1">IFERROR(__xludf.DUMMYFUNCTION("""COMPUTED_VALUE"""),"Beginner, Intermediate")</f>
        <v>Beginner, Intermediate</v>
      </c>
      <c r="N9" s="217" t="str">
        <f ca="1">IFERROR(__xludf.DUMMYFUNCTION("""COMPUTED_VALUE"""),"Cómo encontrar un trabajo a distancia")</f>
        <v>Cómo encontrar un trabajo a distancia</v>
      </c>
      <c r="O9" s="217"/>
      <c r="P9" s="213"/>
      <c r="Q9" s="215">
        <f ca="1">IFERROR(__xludf.DUMMYFUNCTION("""COMPUTED_VALUE"""),5018592)</f>
        <v>5018592</v>
      </c>
      <c r="R9" s="215" t="str">
        <f ca="1">IFERROR(__xludf.DUMMYFUNCTION("""COMPUTED_VALUE"""),"Advanced")</f>
        <v>Advanced</v>
      </c>
      <c r="S9" s="217" t="str">
        <f ca="1">IFERROR(__xludf.DUMMYFUNCTION("""COMPUTED_VALUE"""),"Diversität und Inklusion in globalen Unternehmen")</f>
        <v>Diversität und Inklusion in globalen Unternehmen</v>
      </c>
      <c r="T9" s="217"/>
      <c r="U9" s="213"/>
      <c r="V9" s="215">
        <f ca="1">IFERROR(__xludf.DUMMYFUNCTION("""COMPUTED_VALUE"""),3153208)</f>
        <v>3153208</v>
      </c>
      <c r="W9" s="215" t="str">
        <f ca="1">IFERROR(__xludf.DUMMYFUNCTION("""COMPUTED_VALUE"""),"Beginner")</f>
        <v>Beginner</v>
      </c>
      <c r="X9" s="217" t="str">
        <f ca="1">IFERROR(__xludf.DUMMYFUNCTION("""COMPUTED_VALUE"""),"実力がある人材のマネジメント")</f>
        <v>実力がある人材のマネジメント</v>
      </c>
      <c r="Y9" s="217"/>
      <c r="Z9" s="213"/>
      <c r="AA9" s="215">
        <f ca="1">IFERROR(__xludf.DUMMYFUNCTION("""COMPUTED_VALUE"""),753196)</f>
        <v>753196</v>
      </c>
      <c r="AB9" s="215" t="str">
        <f ca="1">IFERROR(__xludf.DUMMYFUNCTION("""COMPUTED_VALUE"""),"Intermediate")</f>
        <v>Intermediate</v>
      </c>
      <c r="AC9" s="217" t="str">
        <f ca="1">IFERROR(__xludf.DUMMYFUNCTION("""COMPUTED_VALUE"""),"Como Encontrar e Reter Profissionais de Alto Potencial")</f>
        <v>Como Encontrar e Reter Profissionais de Alto Potencial</v>
      </c>
      <c r="AD9" s="217"/>
      <c r="AE9" s="213"/>
      <c r="AF9" s="215">
        <f ca="1">IFERROR(__xludf.DUMMYFUNCTION("""COMPUTED_VALUE"""),3051195)</f>
        <v>3051195</v>
      </c>
      <c r="AG9" s="215" t="str">
        <f ca="1">IFERROR(__xludf.DUMMYFUNCTION("""COMPUTED_VALUE"""),"Intermediate")</f>
        <v>Intermediate</v>
      </c>
      <c r="AH9" s="217" t="str">
        <f ca="1">IFERROR(__xludf.DUMMYFUNCTION("""COMPUTED_VALUE"""),"商务英语：远程面试")</f>
        <v>商务英语：远程面试</v>
      </c>
      <c r="AI9" s="217"/>
      <c r="AJ9" s="213"/>
    </row>
    <row r="10" spans="1:36" ht="33.75" customHeight="1">
      <c r="A10" s="213"/>
      <c r="B10" s="214">
        <f ca="1">IFERROR(__xludf.DUMMYFUNCTION("""COMPUTED_VALUE"""),520220)</f>
        <v>520220</v>
      </c>
      <c r="C10" s="215" t="str">
        <f ca="1">IFERROR(__xludf.DUMMYFUNCTION("""COMPUTED_VALUE"""),"Intermediate")</f>
        <v>Intermediate</v>
      </c>
      <c r="D10" s="216" t="str">
        <f ca="1">IFERROR(__xludf.DUMMYFUNCTION("""COMPUTED_VALUE"""),"Organizational Learning and Development")</f>
        <v>Organizational Learning and Development</v>
      </c>
      <c r="E10" s="217" t="str">
        <f ca="1">IFERROR(__xludf.DUMMYFUNCTION("""COMPUTED_VALUE"""),"Build Your Skills in Recruiting")</f>
        <v>Build Your Skills in Recruiting</v>
      </c>
      <c r="F10" s="213"/>
      <c r="G10" s="214">
        <f ca="1">IFERROR(__xludf.DUMMYFUNCTION("""COMPUTED_VALUE"""),3175198)</f>
        <v>3175198</v>
      </c>
      <c r="H10" s="215" t="str">
        <f ca="1">IFERROR(__xludf.DUMMYFUNCTION("""COMPUTED_VALUE"""),"Intermediate")</f>
        <v>Intermediate</v>
      </c>
      <c r="I10" s="217" t="str">
        <f ca="1">IFERROR(__xludf.DUMMYFUNCTION("""COMPUTED_VALUE"""),"Conseils d’experte : Manager la Génération Z")</f>
        <v>Conseils d’experte : Manager la Génération Z</v>
      </c>
      <c r="J10" s="217"/>
      <c r="K10" s="213"/>
      <c r="L10" s="215">
        <f ca="1">IFERROR(__xludf.DUMMYFUNCTION("""COMPUTED_VALUE"""),2218979)</f>
        <v>2218979</v>
      </c>
      <c r="M10" s="215" t="str">
        <f ca="1">IFERROR(__xludf.DUMMYFUNCTION("""COMPUTED_VALUE"""),"Beginner")</f>
        <v>Beginner</v>
      </c>
      <c r="N10" s="217" t="str">
        <f ca="1">IFERROR(__xludf.DUMMYFUNCTION("""COMPUTED_VALUE"""),"Cómo gestionar a personas con alto potencial")</f>
        <v>Cómo gestionar a personas con alto potencial</v>
      </c>
      <c r="O10" s="217"/>
      <c r="P10" s="213"/>
      <c r="Q10" s="215">
        <f ca="1">IFERROR(__xludf.DUMMYFUNCTION("""COMPUTED_VALUE"""),549183)</f>
        <v>549183</v>
      </c>
      <c r="R10" s="215" t="str">
        <f ca="1">IFERROR(__xludf.DUMMYFUNCTION("""COMPUTED_VALUE"""),"Beginner")</f>
        <v>Beginner</v>
      </c>
      <c r="S10" s="217" t="str">
        <f ca="1">IFERROR(__xludf.DUMMYFUNCTION("""COMPUTED_VALUE"""),"Einführung ins E-Learning")</f>
        <v>Einführung ins E-Learning</v>
      </c>
      <c r="T10" s="217"/>
      <c r="U10" s="213"/>
      <c r="V10" s="215">
        <f ca="1">IFERROR(__xludf.DUMMYFUNCTION("""COMPUTED_VALUE"""),3158188)</f>
        <v>3158188</v>
      </c>
      <c r="W10" s="215" t="str">
        <f ca="1">IFERROR(__xludf.DUMMYFUNCTION("""COMPUTED_VALUE"""),"Beginner")</f>
        <v>Beginner</v>
      </c>
      <c r="X10" s="217" t="str">
        <f ca="1">IFERROR(__xludf.DUMMYFUNCTION("""COMPUTED_VALUE"""),"将来有望な人材をマネジメントするには")</f>
        <v>将来有望な人材をマネジメントするには</v>
      </c>
      <c r="Y10" s="217"/>
      <c r="Z10" s="213"/>
      <c r="AA10" s="215">
        <f ca="1">IFERROR(__xludf.DUMMYFUNCTION("""COMPUTED_VALUE"""),2928582)</f>
        <v>2928582</v>
      </c>
      <c r="AB10" s="215" t="str">
        <f ca="1">IFERROR(__xludf.DUMMYFUNCTION("""COMPUTED_VALUE"""),"Beginner")</f>
        <v>Beginner</v>
      </c>
      <c r="AC10" s="217" t="str">
        <f ca="1">IFERROR(__xludf.DUMMYFUNCTION("""COMPUTED_VALUE"""),"Como Engajar os Colaboradores")</f>
        <v>Como Engajar os Colaboradores</v>
      </c>
      <c r="AD10" s="217"/>
      <c r="AE10" s="213"/>
      <c r="AF10" s="215">
        <f ca="1">IFERROR(__xludf.DUMMYFUNCTION("""COMPUTED_VALUE"""),3002652)</f>
        <v>3002652</v>
      </c>
      <c r="AG10" s="215" t="str">
        <f ca="1">IFERROR(__xludf.DUMMYFUNCTION("""COMPUTED_VALUE"""),"All levels")</f>
        <v>All levels</v>
      </c>
      <c r="AH10" s="217" t="str">
        <f ca="1">IFERROR(__xludf.DUMMYFUNCTION("""COMPUTED_VALUE"""),"培养跨文化竞争力和包容性")</f>
        <v>培养跨文化竞争力和包容性</v>
      </c>
      <c r="AI10" s="217"/>
      <c r="AJ10" s="213"/>
    </row>
    <row r="11" spans="1:36" ht="33.75" customHeight="1">
      <c r="A11" s="213"/>
      <c r="B11" s="214">
        <f ca="1">IFERROR(__xludf.DUMMYFUNCTION("""COMPUTED_VALUE"""),659268)</f>
        <v>659268</v>
      </c>
      <c r="C11" s="215" t="str">
        <f ca="1">IFERROR(__xludf.DUMMYFUNCTION("""COMPUTED_VALUE"""),"Intermediate")</f>
        <v>Intermediate</v>
      </c>
      <c r="D11" s="216" t="str">
        <f ca="1">IFERROR(__xludf.DUMMYFUNCTION("""COMPUTED_VALUE"""),"360-Degree Feedback")</f>
        <v>360-Degree Feedback</v>
      </c>
      <c r="E11" s="217" t="str">
        <f ca="1">IFERROR(__xludf.DUMMYFUNCTION("""COMPUTED_VALUE"""),"Develop Your HR Management and Leadership Skills")</f>
        <v>Develop Your HR Management and Leadership Skills</v>
      </c>
      <c r="F11" s="213"/>
      <c r="G11" s="214">
        <f ca="1">IFERROR(__xludf.DUMMYFUNCTION("""COMPUTED_VALUE"""),758900)</f>
        <v>758900</v>
      </c>
      <c r="H11" s="215" t="str">
        <f ca="1">IFERROR(__xludf.DUMMYFUNCTION("""COMPUTED_VALUE"""),"Advanced")</f>
        <v>Advanced</v>
      </c>
      <c r="I11" s="217" t="str">
        <f ca="1">IFERROR(__xludf.DUMMYFUNCTION("""COMPUTED_VALUE"""),"Créer un environnement de travail positif et sain")</f>
        <v>Créer un environnement de travail positif et sain</v>
      </c>
      <c r="J11" s="217"/>
      <c r="K11" s="213"/>
      <c r="L11" s="215">
        <f ca="1">IFERROR(__xludf.DUMMYFUNCTION("""COMPUTED_VALUE"""),2221544)</f>
        <v>2221544</v>
      </c>
      <c r="M11" s="215" t="str">
        <f ca="1">IFERROR(__xludf.DUMMYFUNCTION("""COMPUTED_VALUE"""),"Beginner")</f>
        <v>Beginner</v>
      </c>
      <c r="N11" s="217" t="str">
        <f ca="1">IFERROR(__xludf.DUMMYFUNCTION("""COMPUTED_VALUE"""),"Cómo gestionar al personal de alto rendimiento")</f>
        <v>Cómo gestionar al personal de alto rendimiento</v>
      </c>
      <c r="O11" s="217"/>
      <c r="P11" s="213"/>
      <c r="Q11" s="215">
        <f ca="1">IFERROR(__xludf.DUMMYFUNCTION("""COMPUTED_VALUE"""),2917865)</f>
        <v>2917865</v>
      </c>
      <c r="R11" s="215" t="str">
        <f ca="1">IFERROR(__xludf.DUMMYFUNCTION("""COMPUTED_VALUE"""),"Intermediate")</f>
        <v>Intermediate</v>
      </c>
      <c r="S11" s="217" t="str">
        <f ca="1">IFERROR(__xludf.DUMMYFUNCTION("""COMPUTED_VALUE"""),"E-Learning: Technologien und Systeme")</f>
        <v>E-Learning: Technologien und Systeme</v>
      </c>
      <c r="T11" s="217"/>
      <c r="U11" s="213"/>
      <c r="V11" s="215">
        <f ca="1">IFERROR(__xludf.DUMMYFUNCTION("""COMPUTED_VALUE"""),3141506)</f>
        <v>3141506</v>
      </c>
      <c r="W11" s="215" t="str">
        <f ca="1">IFERROR(__xludf.DUMMYFUNCTION("""COMPUTED_VALUE"""),"All levels")</f>
        <v>All levels</v>
      </c>
      <c r="X11" s="217" t="str">
        <f ca="1">IFERROR(__xludf.DUMMYFUNCTION("""COMPUTED_VALUE"""),"異文化理解能力とインクルージョンを育むには")</f>
        <v>異文化理解能力とインクルージョンを育むには</v>
      </c>
      <c r="Y11" s="217"/>
      <c r="Z11" s="213"/>
      <c r="AA11" s="215">
        <f ca="1">IFERROR(__xludf.DUMMYFUNCTION("""COMPUTED_VALUE"""),2873260)</f>
        <v>2873260</v>
      </c>
      <c r="AB11" s="215" t="str">
        <f ca="1">IFERROR(__xludf.DUMMYFUNCTION("""COMPUTED_VALUE"""),"Intermediate")</f>
        <v>Intermediate</v>
      </c>
      <c r="AC11" s="217" t="str">
        <f ca="1">IFERROR(__xludf.DUMMYFUNCTION("""COMPUTED_VALUE"""),"Como Gerenciar Múltiplas Gerações no Ambiente de Trabalho")</f>
        <v>Como Gerenciar Múltiplas Gerações no Ambiente de Trabalho</v>
      </c>
      <c r="AD11" s="217"/>
      <c r="AE11" s="213"/>
      <c r="AF11" s="215">
        <f ca="1">IFERROR(__xludf.DUMMYFUNCTION("""COMPUTED_VALUE"""),2813191)</f>
        <v>2813191</v>
      </c>
      <c r="AG11" s="215" t="str">
        <f ca="1">IFERROR(__xludf.DUMMYFUNCTION("""COMPUTED_VALUE"""),"Intermediate")</f>
        <v>Intermediate</v>
      </c>
      <c r="AH11" s="217" t="str">
        <f ca="1">IFERROR(__xludf.DUMMYFUNCTION("""COMPUTED_VALUE"""),"基于绩效式招聘")</f>
        <v>基于绩效式招聘</v>
      </c>
      <c r="AI11" s="217"/>
      <c r="AJ11" s="213"/>
    </row>
    <row r="12" spans="1:36" ht="33.75" customHeight="1">
      <c r="A12" s="213"/>
      <c r="B12" s="214">
        <f ca="1">IFERROR(__xludf.DUMMYFUNCTION("""COMPUTED_VALUE"""),625916)</f>
        <v>625916</v>
      </c>
      <c r="C12" s="215" t="str">
        <f ca="1">IFERROR(__xludf.DUMMYFUNCTION("""COMPUTED_VALUE"""),"Intermediate")</f>
        <v>Intermediate</v>
      </c>
      <c r="D12" s="216" t="str">
        <f ca="1">IFERROR(__xludf.DUMMYFUNCTION("""COMPUTED_VALUE"""),"Developing Managers in Organizations")</f>
        <v>Developing Managers in Organizations</v>
      </c>
      <c r="E12" s="217" t="str">
        <f ca="1">IFERROR(__xludf.DUMMYFUNCTION("""COMPUTED_VALUE"""),"Diversity, Inclusion, and Belonging for HR Professionals and Leaders")</f>
        <v>Diversity, Inclusion, and Belonging for HR Professionals and Leaders</v>
      </c>
      <c r="F12" s="213"/>
      <c r="G12" s="214">
        <f ca="1">IFERROR(__xludf.DUMMYFUNCTION("""COMPUTED_VALUE"""),2454197)</f>
        <v>2454197</v>
      </c>
      <c r="H12" s="215" t="str">
        <f ca="1">IFERROR(__xludf.DUMMYFUNCTION("""COMPUTED_VALUE"""),"All levels")</f>
        <v>All levels</v>
      </c>
      <c r="I12" s="217" t="str">
        <f ca="1">IFERROR(__xludf.DUMMYFUNCTION("""COMPUTED_VALUE"""),"Demander une augmentation de salaire")</f>
        <v>Demander une augmentation de salaire</v>
      </c>
      <c r="J12" s="217"/>
      <c r="K12" s="213"/>
      <c r="L12" s="215">
        <f ca="1">IFERROR(__xludf.DUMMYFUNCTION("""COMPUTED_VALUE"""),5025658)</f>
        <v>5025658</v>
      </c>
      <c r="M12" s="215" t="str">
        <f ca="1">IFERROR(__xludf.DUMMYFUNCTION("""COMPUTED_VALUE"""),"Intermediate")</f>
        <v>Intermediate</v>
      </c>
      <c r="N12" s="217" t="str">
        <f ca="1">IFERROR(__xludf.DUMMYFUNCTION("""COMPUTED_VALUE"""),"Cómo hacer coaching a tu personal para obtener resultados")</f>
        <v>Cómo hacer coaching a tu personal para obtener resultados</v>
      </c>
      <c r="O12" s="217"/>
      <c r="P12" s="213"/>
      <c r="Q12" s="215">
        <f ca="1">IFERROR(__xludf.DUMMYFUNCTION("""COMPUTED_VALUE"""),2887132)</f>
        <v>2887132</v>
      </c>
      <c r="R12" s="215" t="str">
        <f ca="1">IFERROR(__xludf.DUMMYFUNCTION("""COMPUTED_VALUE"""),"Beginner")</f>
        <v>Beginner</v>
      </c>
      <c r="S12" s="217" t="str">
        <f ca="1">IFERROR(__xludf.DUMMYFUNCTION("""COMPUTED_VALUE"""),"Employer Branding – Grundlagen")</f>
        <v>Employer Branding – Grundlagen</v>
      </c>
      <c r="T12" s="217"/>
      <c r="U12" s="213"/>
      <c r="V12" s="215">
        <f ca="1">IFERROR(__xludf.DUMMYFUNCTION("""COMPUTED_VALUE"""),2888078)</f>
        <v>2888078</v>
      </c>
      <c r="W12" s="215" t="str">
        <f ca="1">IFERROR(__xludf.DUMMYFUNCTION("""COMPUTED_VALUE"""),"All levels")</f>
        <v>All levels</v>
      </c>
      <c r="X12" s="217" t="str">
        <f ca="1">IFERROR(__xludf.DUMMYFUNCTION("""COMPUTED_VALUE"""),"職場でのハラスメントを防ぐには")</f>
        <v>職場でのハラスメントを防ぐには</v>
      </c>
      <c r="Y12" s="217"/>
      <c r="Z12" s="213"/>
      <c r="AA12" s="215">
        <f ca="1">IFERROR(__xludf.DUMMYFUNCTION("""COMPUTED_VALUE"""),2929560)</f>
        <v>2929560</v>
      </c>
      <c r="AB12" s="215" t="str">
        <f ca="1">IFERROR(__xludf.DUMMYFUNCTION("""COMPUTED_VALUE"""),"Intermediate")</f>
        <v>Intermediate</v>
      </c>
      <c r="AC12" s="217" t="str">
        <f ca="1">IFERROR(__xludf.DUMMYFUNCTION("""COMPUTED_VALUE"""),"Como Gerenciar uma Equipe Diversificada")</f>
        <v>Como Gerenciar uma Equipe Diversificada</v>
      </c>
      <c r="AD12" s="217"/>
      <c r="AE12" s="213"/>
      <c r="AF12" s="215">
        <f ca="1">IFERROR(__xludf.DUMMYFUNCTION("""COMPUTED_VALUE"""),2824040)</f>
        <v>2824040</v>
      </c>
      <c r="AG12" s="215" t="str">
        <f ca="1">IFERROR(__xludf.DUMMYFUNCTION("""COMPUTED_VALUE"""),"Beginner, Intermediate")</f>
        <v>Beginner, Intermediate</v>
      </c>
      <c r="AH12" s="217" t="str">
        <f ca="1">IFERROR(__xludf.DUMMYFUNCTION("""COMPUTED_VALUE"""),"提升员工绩效")</f>
        <v>提升员工绩效</v>
      </c>
      <c r="AI12" s="217"/>
      <c r="AJ12" s="213"/>
    </row>
    <row r="13" spans="1:36" ht="33.75" customHeight="1">
      <c r="A13" s="213"/>
      <c r="B13" s="214">
        <f ca="1">IFERROR(__xludf.DUMMYFUNCTION("""COMPUTED_VALUE"""),756286)</f>
        <v>756286</v>
      </c>
      <c r="C13" s="215" t="str">
        <f ca="1">IFERROR(__xludf.DUMMYFUNCTION("""COMPUTED_VALUE"""),"Intermediate")</f>
        <v>Intermediate</v>
      </c>
      <c r="D13" s="216" t="str">
        <f ca="1">IFERROR(__xludf.DUMMYFUNCTION("""COMPUTED_VALUE"""),"HR and Digital Transformation")</f>
        <v>HR and Digital Transformation</v>
      </c>
      <c r="E13" s="217" t="str">
        <f ca="1">IFERROR(__xludf.DUMMYFUNCTION("""COMPUTED_VALUE"""),"Finding and Retaining Talent")</f>
        <v>Finding and Retaining Talent</v>
      </c>
      <c r="F13" s="213"/>
      <c r="G13" s="214">
        <f ca="1">IFERROR(__xludf.DUMMYFUNCTION("""COMPUTED_VALUE"""),499817)</f>
        <v>499817</v>
      </c>
      <c r="H13" s="215" t="str">
        <f ca="1">IFERROR(__xludf.DUMMYFUNCTION("""COMPUTED_VALUE"""),"Beginner")</f>
        <v>Beginner</v>
      </c>
      <c r="I13" s="217" t="str">
        <f ca="1">IFERROR(__xludf.DUMMYFUNCTION("""COMPUTED_VALUE"""),"Développer la motivation et l'engagement des employés / employées")</f>
        <v>Développer la motivation et l'engagement des employés / employées</v>
      </c>
      <c r="J13" s="217"/>
      <c r="K13" s="213"/>
      <c r="L13" s="215">
        <f ca="1">IFERROR(__xludf.DUMMYFUNCTION("""COMPUTED_VALUE"""),732317)</f>
        <v>732317</v>
      </c>
      <c r="M13" s="215" t="str">
        <f ca="1">IFERROR(__xludf.DUMMYFUNCTION("""COMPUTED_VALUE"""),"Intermediate")</f>
        <v>Intermediate</v>
      </c>
      <c r="N13" s="217" t="str">
        <f ca="1">IFERROR(__xludf.DUMMYFUNCTION("""COMPUTED_VALUE"""),"Cómo identificar y retener personal con alto potencial")</f>
        <v>Cómo identificar y retener personal con alto potencial</v>
      </c>
      <c r="O13" s="217"/>
      <c r="P13" s="213"/>
      <c r="Q13" s="215">
        <f ca="1">IFERROR(__xludf.DUMMYFUNCTION("""COMPUTED_VALUE"""),195336)</f>
        <v>195336</v>
      </c>
      <c r="R13" s="215" t="str">
        <f ca="1">IFERROR(__xludf.DUMMYFUNCTION("""COMPUTED_VALUE"""),"All levels")</f>
        <v>All levels</v>
      </c>
      <c r="S13" s="217" t="str">
        <f ca="1">IFERROR(__xludf.DUMMYFUNCTION("""COMPUTED_VALUE"""),"Erfolgreiche Kommunikation")</f>
        <v>Erfolgreiche Kommunikation</v>
      </c>
      <c r="T13" s="217"/>
      <c r="U13" s="213"/>
      <c r="V13" s="215">
        <f ca="1">IFERROR(__xludf.DUMMYFUNCTION("""COMPUTED_VALUE"""),3144302)</f>
        <v>3144302</v>
      </c>
      <c r="W13" s="215" t="str">
        <f ca="1">IFERROR(__xludf.DUMMYFUNCTION("""COMPUTED_VALUE"""),"All levels")</f>
        <v>All levels</v>
      </c>
      <c r="X13" s="217" t="str">
        <f ca="1">IFERROR(__xludf.DUMMYFUNCTION("""COMPUTED_VALUE"""),"職場で声をあげるには：傍観者から一歩踏み出すために")</f>
        <v>職場で声をあげるには：傍観者から一歩踏み出すために</v>
      </c>
      <c r="Y13" s="217"/>
      <c r="Z13" s="213"/>
      <c r="AA13" s="215">
        <f ca="1">IFERROR(__xludf.DUMMYFUNCTION("""COMPUTED_VALUE"""),5036508)</f>
        <v>5036508</v>
      </c>
      <c r="AB13" s="215" t="str">
        <f ca="1">IFERROR(__xludf.DUMMYFUNCTION("""COMPUTED_VALUE"""),"Beginner")</f>
        <v>Beginner</v>
      </c>
      <c r="AC13" s="217" t="str">
        <f ca="1">IFERROR(__xludf.DUMMYFUNCTION("""COMPUTED_VALUE"""),"Como Integrar Novos Colaboradores e Colaboradoras à Empresa")</f>
        <v>Como Integrar Novos Colaboradores e Colaboradoras à Empresa</v>
      </c>
      <c r="AD13" s="217"/>
      <c r="AE13" s="213"/>
      <c r="AF13" s="215">
        <f ca="1">IFERROR(__xludf.DUMMYFUNCTION("""COMPUTED_VALUE"""),2815031)</f>
        <v>2815031</v>
      </c>
      <c r="AG13" s="215" t="str">
        <f ca="1">IFERROR(__xludf.DUMMYFUNCTION("""COMPUTED_VALUE"""),"Beginner")</f>
        <v>Beginner</v>
      </c>
      <c r="AH13" s="217" t="str">
        <f ca="1">IFERROR(__xludf.DUMMYFUNCTION("""COMPUTED_VALUE"""),"新员工入职培训")</f>
        <v>新员工入职培训</v>
      </c>
      <c r="AI13" s="217"/>
      <c r="AJ13" s="213"/>
    </row>
    <row r="14" spans="1:36" ht="33.75" customHeight="1">
      <c r="A14" s="213"/>
      <c r="B14" s="214">
        <f ca="1">IFERROR(__xludf.DUMMYFUNCTION("""COMPUTED_VALUE"""),592486)</f>
        <v>592486</v>
      </c>
      <c r="C14" s="215" t="str">
        <f ca="1">IFERROR(__xludf.DUMMYFUNCTION("""COMPUTED_VALUE"""),"Intermediate")</f>
        <v>Intermediate</v>
      </c>
      <c r="D14" s="216" t="str">
        <f ca="1">IFERROR(__xludf.DUMMYFUNCTION("""COMPUTED_VALUE"""),"The Future of Performance Management")</f>
        <v>The Future of Performance Management</v>
      </c>
      <c r="E14" s="217"/>
      <c r="F14" s="213"/>
      <c r="G14" s="214">
        <f ca="1">IFERROR(__xludf.DUMMYFUNCTION("""COMPUTED_VALUE"""),778418)</f>
        <v>778418</v>
      </c>
      <c r="H14" s="215" t="str">
        <f ca="1">IFERROR(__xludf.DUMMYFUNCTION("""COMPUTED_VALUE"""),"Advanced")</f>
        <v>Advanced</v>
      </c>
      <c r="I14" s="217" t="str">
        <f ca="1">IFERROR(__xludf.DUMMYFUNCTION("""COMPUTED_VALUE"""),"Développer l'engagement des employés / employées")</f>
        <v>Développer l'engagement des employés / employées</v>
      </c>
      <c r="J14" s="217"/>
      <c r="K14" s="213"/>
      <c r="L14" s="215">
        <f ca="1">IFERROR(__xludf.DUMMYFUNCTION("""COMPUTED_VALUE"""),421140)</f>
        <v>421140</v>
      </c>
      <c r="M14" s="215" t="str">
        <f ca="1">IFERROR(__xludf.DUMMYFUNCTION("""COMPUTED_VALUE"""),"Beginner")</f>
        <v>Beginner</v>
      </c>
      <c r="N14" s="217" t="str">
        <f ca="1">IFERROR(__xludf.DUMMYFUNCTION("""COMPUTED_VALUE"""),"Cómo integrar a personas nuevas en la empresa")</f>
        <v>Cómo integrar a personas nuevas en la empresa</v>
      </c>
      <c r="O14" s="217"/>
      <c r="P14" s="213"/>
      <c r="Q14" s="215">
        <f ca="1">IFERROR(__xludf.DUMMYFUNCTION("""COMPUTED_VALUE"""),3144288)</f>
        <v>3144288</v>
      </c>
      <c r="R14" s="215" t="str">
        <f ca="1">IFERROR(__xludf.DUMMYFUNCTION("""COMPUTED_VALUE"""),"All levels")</f>
        <v>All levels</v>
      </c>
      <c r="S14" s="217" t="str">
        <f ca="1">IFERROR(__xludf.DUMMYFUNCTION("""COMPUTED_VALUE"""),"Gespräche strukturieren und steuern")</f>
        <v>Gespräche strukturieren und steuern</v>
      </c>
      <c r="T14" s="217"/>
      <c r="U14" s="213"/>
      <c r="V14" s="215"/>
      <c r="W14" s="215"/>
      <c r="X14" s="217"/>
      <c r="Y14" s="217"/>
      <c r="Z14" s="213"/>
      <c r="AA14" s="215">
        <f ca="1">IFERROR(__xludf.DUMMYFUNCTION("""COMPUTED_VALUE"""),2841371)</f>
        <v>2841371</v>
      </c>
      <c r="AB14" s="215" t="str">
        <f ca="1">IFERROR(__xludf.DUMMYFUNCTION("""COMPUTED_VALUE"""),"Beginner")</f>
        <v>Beginner</v>
      </c>
      <c r="AC14" s="217" t="str">
        <f ca="1">IFERROR(__xludf.DUMMYFUNCTION("""COMPUTED_VALUE"""),"Como Lidar com Pessoas Difíceis no Trabalho")</f>
        <v>Como Lidar com Pessoas Difíceis no Trabalho</v>
      </c>
      <c r="AD14" s="217"/>
      <c r="AE14" s="213"/>
      <c r="AF14" s="215">
        <f ca="1">IFERROR(__xludf.DUMMYFUNCTION("""COMPUTED_VALUE"""),2884179)</f>
        <v>2884179</v>
      </c>
      <c r="AG14" s="215" t="str">
        <f ca="1">IFERROR(__xludf.DUMMYFUNCTION("""COMPUTED_VALUE"""),"All levels")</f>
        <v>All levels</v>
      </c>
      <c r="AH14" s="217" t="str">
        <f ca="1">IFERROR(__xludf.DUMMYFUNCTION("""COMPUTED_VALUE"""),"答疑解惑：项目经理的职业规划")</f>
        <v>答疑解惑：项目经理的职业规划</v>
      </c>
      <c r="AI14" s="217"/>
      <c r="AJ14" s="213"/>
    </row>
    <row r="15" spans="1:36" ht="33.75" customHeight="1">
      <c r="A15" s="213"/>
      <c r="B15" s="214">
        <f ca="1">IFERROR(__xludf.DUMMYFUNCTION("""COMPUTED_VALUE"""),565364)</f>
        <v>565364</v>
      </c>
      <c r="C15" s="215" t="str">
        <f ca="1">IFERROR(__xludf.DUMMYFUNCTION("""COMPUTED_VALUE"""),"Intermediate")</f>
        <v>Intermediate</v>
      </c>
      <c r="D15" s="216" t="str">
        <f ca="1">IFERROR(__xludf.DUMMYFUNCTION("""COMPUTED_VALUE"""),"Managing New Managers")</f>
        <v>Managing New Managers</v>
      </c>
      <c r="E15" s="217"/>
      <c r="F15" s="213"/>
      <c r="G15" s="214">
        <f ca="1">IFERROR(__xludf.DUMMYFUNCTION("""COMPUTED_VALUE"""),610660)</f>
        <v>610660</v>
      </c>
      <c r="H15" s="215" t="str">
        <f ca="1">IFERROR(__xludf.DUMMYFUNCTION("""COMPUTED_VALUE"""),"Intermediate")</f>
        <v>Intermediate</v>
      </c>
      <c r="I15" s="217" t="str">
        <f ca="1">IFERROR(__xludf.DUMMYFUNCTION("""COMPUTED_VALUE"""),"Embaucher et développer sa future force de travail")</f>
        <v>Embaucher et développer sa future force de travail</v>
      </c>
      <c r="J15" s="217"/>
      <c r="K15" s="213"/>
      <c r="L15" s="215">
        <f ca="1">IFERROR(__xludf.DUMMYFUNCTION("""COMPUTED_VALUE"""),2924306)</f>
        <v>2924306</v>
      </c>
      <c r="M15" s="215" t="str">
        <f ca="1">IFERROR(__xludf.DUMMYFUNCTION("""COMPUTED_VALUE"""),"All levels")</f>
        <v>All levels</v>
      </c>
      <c r="N15" s="217" t="str">
        <f ca="1">IFERROR(__xludf.DUMMYFUNCTION("""COMPUTED_VALUE"""),"Cómo liderar equipos inclusivos")</f>
        <v>Cómo liderar equipos inclusivos</v>
      </c>
      <c r="O15" s="217"/>
      <c r="P15" s="213"/>
      <c r="Q15" s="215">
        <f ca="1">IFERROR(__xludf.DUMMYFUNCTION("""COMPUTED_VALUE"""),2433096)</f>
        <v>2433096</v>
      </c>
      <c r="R15" s="215" t="str">
        <f ca="1">IFERROR(__xludf.DUMMYFUNCTION("""COMPUTED_VALUE"""),"Beginner")</f>
        <v>Beginner</v>
      </c>
      <c r="S15" s="217" t="str">
        <f ca="1">IFERROR(__xludf.DUMMYFUNCTION("""COMPUTED_VALUE"""),"Ihre wirkungsvolle Diversity-Strategie entwickeln")</f>
        <v>Ihre wirkungsvolle Diversity-Strategie entwickeln</v>
      </c>
      <c r="T15" s="217"/>
      <c r="U15" s="213"/>
      <c r="V15" s="215"/>
      <c r="W15" s="215"/>
      <c r="X15" s="217"/>
      <c r="Y15" s="217"/>
      <c r="Z15" s="213"/>
      <c r="AA15" s="215">
        <f ca="1">IFERROR(__xludf.DUMMYFUNCTION("""COMPUTED_VALUE"""),2901334)</f>
        <v>2901334</v>
      </c>
      <c r="AB15" s="215" t="str">
        <f ca="1">IFERROR(__xludf.DUMMYFUNCTION("""COMPUTED_VALUE"""),"Beginner, Intermediate")</f>
        <v>Beginner, Intermediate</v>
      </c>
      <c r="AC15" s="217" t="str">
        <f ca="1">IFERROR(__xludf.DUMMYFUNCTION("""COMPUTED_VALUE"""),"Como Melhorar o Desempenho dos Colaboradores")</f>
        <v>Como Melhorar o Desempenho dos Colaboradores</v>
      </c>
      <c r="AD15" s="217"/>
      <c r="AE15" s="213"/>
      <c r="AF15" s="215">
        <f ca="1">IFERROR(__xludf.DUMMYFUNCTION("""COMPUTED_VALUE"""),2822711)</f>
        <v>2822711</v>
      </c>
      <c r="AG15" s="215" t="str">
        <f ca="1">IFERROR(__xludf.DUMMYFUNCTION("""COMPUTED_VALUE"""),"Intermediate")</f>
        <v>Intermediate</v>
      </c>
      <c r="AH15" s="217" t="str">
        <f ca="1">IFERROR(__xludf.DUMMYFUNCTION("""COMPUTED_VALUE"""),"管理企业多元化")</f>
        <v>管理企业多元化</v>
      </c>
      <c r="AI15" s="217"/>
      <c r="AJ15" s="213"/>
    </row>
    <row r="16" spans="1:36" ht="33.75" customHeight="1">
      <c r="A16" s="213"/>
      <c r="B16" s="214">
        <f ca="1">IFERROR(__xludf.DUMMYFUNCTION("""COMPUTED_VALUE"""),2893047)</f>
        <v>2893047</v>
      </c>
      <c r="C16" s="215" t="str">
        <f ca="1">IFERROR(__xludf.DUMMYFUNCTION("""COMPUTED_VALUE"""),"Intermediate")</f>
        <v>Intermediate</v>
      </c>
      <c r="D16" s="216" t="str">
        <f ca="1">IFERROR(__xludf.DUMMYFUNCTION("""COMPUTED_VALUE"""),"HR Leadership as We Move Back into the Office")</f>
        <v>HR Leadership as We Move Back into the Office</v>
      </c>
      <c r="E16" s="217"/>
      <c r="F16" s="213"/>
      <c r="G16" s="214">
        <f ca="1">IFERROR(__xludf.DUMMYFUNCTION("""COMPUTED_VALUE"""),2428547)</f>
        <v>2428547</v>
      </c>
      <c r="H16" s="215" t="str">
        <f ca="1">IFERROR(__xludf.DUMMYFUNCTION("""COMPUTED_VALUE"""),"All levels")</f>
        <v>All levels</v>
      </c>
      <c r="I16" s="217" t="str">
        <f ca="1">IFERROR(__xludf.DUMMYFUNCTION("""COMPUTED_VALUE"""),"Faire face aux microagressions au travail")</f>
        <v>Faire face aux microagressions au travail</v>
      </c>
      <c r="J16" s="217"/>
      <c r="K16" s="213"/>
      <c r="L16" s="215">
        <f ca="1">IFERROR(__xludf.DUMMYFUNCTION("""COMPUTED_VALUE"""),5025680)</f>
        <v>5025680</v>
      </c>
      <c r="M16" s="215" t="str">
        <f ca="1">IFERROR(__xludf.DUMMYFUNCTION("""COMPUTED_VALUE"""),"Intermediate")</f>
        <v>Intermediate</v>
      </c>
      <c r="N16" s="217" t="str">
        <f ca="1">IFERROR(__xludf.DUMMYFUNCTION("""COMPUTED_VALUE"""),"Cómo medir el rendimiento de tu equipo")</f>
        <v>Cómo medir el rendimiento de tu equipo</v>
      </c>
      <c r="O16" s="217"/>
      <c r="P16" s="213"/>
      <c r="Q16" s="215">
        <f ca="1">IFERROR(__xludf.DUMMYFUNCTION("""COMPUTED_VALUE"""),553345)</f>
        <v>553345</v>
      </c>
      <c r="R16" s="215" t="str">
        <f ca="1">IFERROR(__xludf.DUMMYFUNCTION("""COMPUTED_VALUE"""),"All levels")</f>
        <v>All levels</v>
      </c>
      <c r="S16" s="217" t="str">
        <f ca="1">IFERROR(__xludf.DUMMYFUNCTION("""COMPUTED_VALUE"""),"Internationale Personalentwicklung")</f>
        <v>Internationale Personalentwicklung</v>
      </c>
      <c r="T16" s="217"/>
      <c r="U16" s="213"/>
      <c r="V16" s="215"/>
      <c r="W16" s="215"/>
      <c r="X16" s="217"/>
      <c r="Y16" s="217"/>
      <c r="Z16" s="213"/>
      <c r="AA16" s="215">
        <f ca="1">IFERROR(__xludf.DUMMYFUNCTION("""COMPUTED_VALUE"""),2873193)</f>
        <v>2873193</v>
      </c>
      <c r="AB16" s="215" t="str">
        <f ca="1">IFERROR(__xludf.DUMMYFUNCTION("""COMPUTED_VALUE"""),"All levels")</f>
        <v>All levels</v>
      </c>
      <c r="AC16" s="217" t="str">
        <f ca="1">IFERROR(__xludf.DUMMYFUNCTION("""COMPUTED_VALUE"""),"Como Promover o Envolvimento Emocional de seus Colaboradores")</f>
        <v>Como Promover o Envolvimento Emocional de seus Colaboradores</v>
      </c>
      <c r="AD16" s="217"/>
      <c r="AE16" s="213"/>
      <c r="AF16" s="215">
        <f ca="1">IFERROR(__xludf.DUMMYFUNCTION("""COMPUTED_VALUE"""),2243990)</f>
        <v>2243990</v>
      </c>
      <c r="AG16" s="215" t="str">
        <f ca="1">IFERROR(__xludf.DUMMYFUNCTION("""COMPUTED_VALUE"""),"Beginner")</f>
        <v>Beginner</v>
      </c>
      <c r="AH16" s="217" t="str">
        <f ca="1">IFERROR(__xludf.DUMMYFUNCTION("""COMPUTED_VALUE"""),"管理员工绩效问题")</f>
        <v>管理员工绩效问题</v>
      </c>
      <c r="AI16" s="217"/>
      <c r="AJ16" s="213"/>
    </row>
    <row r="17" spans="1:36" ht="33.75" customHeight="1">
      <c r="A17" s="213"/>
      <c r="B17" s="214">
        <f ca="1">IFERROR(__xludf.DUMMYFUNCTION("""COMPUTED_VALUE"""),2881199)</f>
        <v>2881199</v>
      </c>
      <c r="C17" s="215" t="str">
        <f ca="1">IFERROR(__xludf.DUMMYFUNCTION("""COMPUTED_VALUE"""),"Intermediate")</f>
        <v>Intermediate</v>
      </c>
      <c r="D17" s="216" t="str">
        <f ca="1">IFERROR(__xludf.DUMMYFUNCTION("""COMPUTED_VALUE"""),"Finding and Retaining High Potentials")</f>
        <v>Finding and Retaining High Potentials</v>
      </c>
      <c r="E17" s="217"/>
      <c r="F17" s="213"/>
      <c r="G17" s="214">
        <f ca="1">IFERROR(__xludf.DUMMYFUNCTION("""COMPUTED_VALUE"""),3201153)</f>
        <v>3201153</v>
      </c>
      <c r="H17" s="215" t="str">
        <f ca="1">IFERROR(__xludf.DUMMYFUNCTION("""COMPUTED_VALUE"""),"All levels")</f>
        <v>All levels</v>
      </c>
      <c r="I17" s="217" t="str">
        <f ca="1">IFERROR(__xludf.DUMMYFUNCTION("""COMPUTED_VALUE"""),"Favoriser l’inclusion LGBTQ+ au travail")</f>
        <v>Favoriser l’inclusion LGBTQ+ au travail</v>
      </c>
      <c r="J17" s="217"/>
      <c r="K17" s="213"/>
      <c r="L17" s="215">
        <f ca="1">IFERROR(__xludf.DUMMYFUNCTION("""COMPUTED_VALUE"""),5025691)</f>
        <v>5025691</v>
      </c>
      <c r="M17" s="215" t="str">
        <f ca="1">IFERROR(__xludf.DUMMYFUNCTION("""COMPUTED_VALUE"""),"Beginner, Intermediate")</f>
        <v>Beginner, Intermediate</v>
      </c>
      <c r="N17" s="217" t="str">
        <f ca="1">IFERROR(__xludf.DUMMYFUNCTION("""COMPUTED_VALUE"""),"Cómo mejorar el rendimiento de tu personal")</f>
        <v>Cómo mejorar el rendimiento de tu personal</v>
      </c>
      <c r="O17" s="217"/>
      <c r="P17" s="213"/>
      <c r="Q17" s="215">
        <f ca="1">IFERROR(__xludf.DUMMYFUNCTION("""COMPUTED_VALUE"""),2257232)</f>
        <v>2257232</v>
      </c>
      <c r="R17" s="215" t="str">
        <f ca="1">IFERROR(__xludf.DUMMYFUNCTION("""COMPUTED_VALUE"""),"Beginner")</f>
        <v>Beginner</v>
      </c>
      <c r="S17" s="217" t="str">
        <f ca="1">IFERROR(__xludf.DUMMYFUNCTION("""COMPUTED_VALUE"""),"LinkedIn Recruiter lernen")</f>
        <v>LinkedIn Recruiter lernen</v>
      </c>
      <c r="T17" s="217"/>
      <c r="U17" s="213"/>
      <c r="V17" s="215"/>
      <c r="W17" s="215"/>
      <c r="X17" s="217"/>
      <c r="Y17" s="217"/>
      <c r="Z17" s="213"/>
      <c r="AA17" s="215">
        <f ca="1">IFERROR(__xludf.DUMMYFUNCTION("""COMPUTED_VALUE"""),2931595)</f>
        <v>2931595</v>
      </c>
      <c r="AB17" s="215" t="str">
        <f ca="1">IFERROR(__xludf.DUMMYFUNCTION("""COMPUTED_VALUE"""),"Beginner, Intermediate")</f>
        <v>Beginner, Intermediate</v>
      </c>
      <c r="AC17" s="217" t="str">
        <f ca="1">IFERROR(__xludf.DUMMYFUNCTION("""COMPUTED_VALUE"""),"Contratação de Colaboradores: Técnicas para Gerentes")</f>
        <v>Contratação de Colaboradores: Técnicas para Gerentes</v>
      </c>
      <c r="AD17" s="217"/>
      <c r="AE17" s="213"/>
      <c r="AF17" s="215">
        <f ca="1">IFERROR(__xludf.DUMMYFUNCTION("""COMPUTED_VALUE"""),2823543)</f>
        <v>2823543</v>
      </c>
      <c r="AG17" s="215" t="str">
        <f ca="1">IFERROR(__xludf.DUMMYFUNCTION("""COMPUTED_VALUE"""),"Beginner")</f>
        <v>Beginner</v>
      </c>
      <c r="AH17" s="217" t="str">
        <f ca="1">IFERROR(__xludf.DUMMYFUNCTION("""COMPUTED_VALUE"""),"管理高潜力人才")</f>
        <v>管理高潜力人才</v>
      </c>
      <c r="AI17" s="217"/>
      <c r="AJ17" s="213"/>
    </row>
    <row r="18" spans="1:36" ht="33.75" customHeight="1">
      <c r="A18" s="213"/>
      <c r="B18" s="214">
        <f ca="1">IFERROR(__xludf.DUMMYFUNCTION("""COMPUTED_VALUE"""),2891028)</f>
        <v>2891028</v>
      </c>
      <c r="C18" s="215" t="str">
        <f ca="1">IFERROR(__xludf.DUMMYFUNCTION("""COMPUTED_VALUE"""),"Intermediate")</f>
        <v>Intermediate</v>
      </c>
      <c r="D18" s="216" t="str">
        <f ca="1">IFERROR(__xludf.DUMMYFUNCTION("""COMPUTED_VALUE"""),"HR: Providing Flexible Work Options")</f>
        <v>HR: Providing Flexible Work Options</v>
      </c>
      <c r="E18" s="217"/>
      <c r="F18" s="213"/>
      <c r="G18" s="214">
        <f ca="1">IFERROR(__xludf.DUMMYFUNCTION("""COMPUTED_VALUE"""),778457)</f>
        <v>778457</v>
      </c>
      <c r="H18" s="215" t="str">
        <f ca="1">IFERROR(__xludf.DUMMYFUNCTION("""COMPUTED_VALUE"""),"Intermediate")</f>
        <v>Intermediate</v>
      </c>
      <c r="I18" s="217" t="str">
        <f ca="1">IFERROR(__xludf.DUMMYFUNCTION("""COMPUTED_VALUE"""),"Former les managers dans une organisation")</f>
        <v>Former les managers dans une organisation</v>
      </c>
      <c r="J18" s="217"/>
      <c r="K18" s="213"/>
      <c r="L18" s="215">
        <f ca="1">IFERROR(__xludf.DUMMYFUNCTION("""COMPUTED_VALUE"""),587153)</f>
        <v>587153</v>
      </c>
      <c r="M18" s="215" t="str">
        <f ca="1">IFERROR(__xludf.DUMMYFUNCTION("""COMPUTED_VALUE"""),"Intermediate")</f>
        <v>Intermediate</v>
      </c>
      <c r="N18" s="217" t="str">
        <f ca="1">IFERROR(__xludf.DUMMYFUNCTION("""COMPUTED_VALUE"""),"Cómo orientar y desarrollar a tu personal")</f>
        <v>Cómo orientar y desarrollar a tu personal</v>
      </c>
      <c r="O18" s="217"/>
      <c r="P18" s="213"/>
      <c r="Q18" s="215">
        <f ca="1">IFERROR(__xludf.DUMMYFUNCTION("""COMPUTED_VALUE"""),561470)</f>
        <v>561470</v>
      </c>
      <c r="R18" s="215" t="str">
        <f ca="1">IFERROR(__xludf.DUMMYFUNCTION("""COMPUTED_VALUE"""),"Beginner")</f>
        <v>Beginner</v>
      </c>
      <c r="S18" s="217" t="str">
        <f ca="1">IFERROR(__xludf.DUMMYFUNCTION("""COMPUTED_VALUE"""),"Mitarbeiter entwickeln")</f>
        <v>Mitarbeiter entwickeln</v>
      </c>
      <c r="T18" s="217"/>
      <c r="U18" s="213"/>
      <c r="V18" s="215"/>
      <c r="W18" s="215"/>
      <c r="X18" s="217"/>
      <c r="Y18" s="217"/>
      <c r="Z18" s="213"/>
      <c r="AA18" s="215">
        <f ca="1">IFERROR(__xludf.DUMMYFUNCTION("""COMPUTED_VALUE"""),753220)</f>
        <v>753220</v>
      </c>
      <c r="AB18" s="215" t="str">
        <f ca="1">IFERROR(__xludf.DUMMYFUNCTION("""COMPUTED_VALUE"""),"Advanced")</f>
        <v>Advanced</v>
      </c>
      <c r="AC18" s="217" t="str">
        <f ca="1">IFERROR(__xludf.DUMMYFUNCTION("""COMPUTED_VALUE"""),"Contratação e Desenvolvimento de Futuros Colaboradores e Colaboradoras")</f>
        <v>Contratação e Desenvolvimento de Futuros Colaboradores e Colaboradoras</v>
      </c>
      <c r="AD18" s="217"/>
      <c r="AE18" s="213"/>
      <c r="AF18" s="215">
        <f ca="1">IFERROR(__xludf.DUMMYFUNCTION("""COMPUTED_VALUE"""),2823542)</f>
        <v>2823542</v>
      </c>
      <c r="AG18" s="215" t="str">
        <f ca="1">IFERROR(__xludf.DUMMYFUNCTION("""COMPUTED_VALUE"""),"Beginner")</f>
        <v>Beginner</v>
      </c>
      <c r="AH18" s="217" t="str">
        <f ca="1">IFERROR(__xludf.DUMMYFUNCTION("""COMPUTED_VALUE"""),"管理高绩效员工")</f>
        <v>管理高绩效员工</v>
      </c>
      <c r="AI18" s="217"/>
      <c r="AJ18" s="213"/>
    </row>
    <row r="19" spans="1:36" ht="33.75" customHeight="1">
      <c r="A19" s="213"/>
      <c r="B19" s="214">
        <f ca="1">IFERROR(__xludf.DUMMYFUNCTION("""COMPUTED_VALUE"""),570964)</f>
        <v>570964</v>
      </c>
      <c r="C19" s="215" t="str">
        <f ca="1">IFERROR(__xludf.DUMMYFUNCTION("""COMPUTED_VALUE"""),"Advanced")</f>
        <v>Advanced</v>
      </c>
      <c r="D19" s="216" t="str">
        <f ca="1">IFERROR(__xludf.DUMMYFUNCTION("""COMPUTED_VALUE"""),"Employee Engagement")</f>
        <v>Employee Engagement</v>
      </c>
      <c r="E19" s="217"/>
      <c r="F19" s="213"/>
      <c r="G19" s="214">
        <f ca="1">IFERROR(__xludf.DUMMYFUNCTION("""COMPUTED_VALUE"""),5025536)</f>
        <v>5025536</v>
      </c>
      <c r="H19" s="215" t="str">
        <f ca="1">IFERROR(__xludf.DUMMYFUNCTION("""COMPUTED_VALUE"""),"Intermediate")</f>
        <v>Intermediate</v>
      </c>
      <c r="I19" s="217" t="str">
        <f ca="1">IFERROR(__xludf.DUMMYFUNCTION("""COMPUTED_VALUE"""),"Gérer les conflits grâce à la médiation")</f>
        <v>Gérer les conflits grâce à la médiation</v>
      </c>
      <c r="J19" s="217"/>
      <c r="K19" s="213"/>
      <c r="L19" s="215">
        <f ca="1">IFERROR(__xludf.DUMMYFUNCTION("""COMPUTED_VALUE"""),2996869)</f>
        <v>2996869</v>
      </c>
      <c r="M19" s="215" t="str">
        <f ca="1">IFERROR(__xludf.DUMMYFUNCTION("""COMPUTED_VALUE"""),"All levels")</f>
        <v>All levels</v>
      </c>
      <c r="N19" s="217" t="str">
        <f ca="1">IFERROR(__xludf.DUMMYFUNCTION("""COMPUTED_VALUE"""),"Cómo ser parte de un ambiente de trabajo positivo")</f>
        <v>Cómo ser parte de un ambiente de trabajo positivo</v>
      </c>
      <c r="O19" s="217"/>
      <c r="P19" s="213"/>
      <c r="Q19" s="215">
        <f ca="1">IFERROR(__xludf.DUMMYFUNCTION("""COMPUTED_VALUE"""),593045)</f>
        <v>593045</v>
      </c>
      <c r="R19" s="215" t="str">
        <f ca="1">IFERROR(__xludf.DUMMYFUNCTION("""COMPUTED_VALUE"""),"All levels")</f>
        <v>All levels</v>
      </c>
      <c r="S19" s="217" t="str">
        <f ca="1">IFERROR(__xludf.DUMMYFUNCTION("""COMPUTED_VALUE"""),"Mitarbeiter:innen Feedback geben")</f>
        <v>Mitarbeiter:innen Feedback geben</v>
      </c>
      <c r="T19" s="217"/>
      <c r="U19" s="213"/>
      <c r="V19" s="215"/>
      <c r="W19" s="215"/>
      <c r="X19" s="217"/>
      <c r="Y19" s="217"/>
      <c r="Z19" s="213"/>
      <c r="AA19" s="215">
        <f ca="1">IFERROR(__xludf.DUMMYFUNCTION("""COMPUTED_VALUE"""),5023837)</f>
        <v>5023837</v>
      </c>
      <c r="AB19" s="215" t="str">
        <f ca="1">IFERROR(__xludf.DUMMYFUNCTION("""COMPUTED_VALUE"""),"Intermediate")</f>
        <v>Intermediate</v>
      </c>
      <c r="AC19" s="217" t="str">
        <f ca="1">IFERROR(__xludf.DUMMYFUNCTION("""COMPUTED_VALUE"""),"Contratação por Desempenho")</f>
        <v>Contratação por Desempenho</v>
      </c>
      <c r="AD19" s="217"/>
      <c r="AE19" s="213"/>
      <c r="AF19" s="215">
        <f ca="1">IFERROR(__xludf.DUMMYFUNCTION("""COMPUTED_VALUE"""),805603)</f>
        <v>805603</v>
      </c>
      <c r="AG19" s="215" t="str">
        <f ca="1">IFERROR(__xludf.DUMMYFUNCTION("""COMPUTED_VALUE"""),"Advanced")</f>
        <v>Advanced</v>
      </c>
      <c r="AH19" s="217" t="str">
        <f ca="1">IFERROR(__xludf.DUMMYFUNCTION("""COMPUTED_VALUE"""),"雇用和培养未来劳动力")</f>
        <v>雇用和培养未来劳动力</v>
      </c>
      <c r="AI19" s="217"/>
      <c r="AJ19" s="213"/>
    </row>
    <row r="20" spans="1:36" ht="33.75" customHeight="1">
      <c r="A20" s="213"/>
      <c r="B20" s="214">
        <f ca="1">IFERROR(__xludf.DUMMYFUNCTION("""COMPUTED_VALUE"""),659275)</f>
        <v>659275</v>
      </c>
      <c r="C20" s="215" t="str">
        <f ca="1">IFERROR(__xludf.DUMMYFUNCTION("""COMPUTED_VALUE"""),"Advanced")</f>
        <v>Advanced</v>
      </c>
      <c r="D20" s="216" t="str">
        <f ca="1">IFERROR(__xludf.DUMMYFUNCTION("""COMPUTED_VALUE"""),"Human Resources: Building a Performance Management System")</f>
        <v>Human Resources: Building a Performance Management System</v>
      </c>
      <c r="E20" s="217"/>
      <c r="F20" s="213"/>
      <c r="G20" s="214">
        <f ca="1">IFERROR(__xludf.DUMMYFUNCTION("""COMPUTED_VALUE"""),575895)</f>
        <v>575895</v>
      </c>
      <c r="H20" s="215" t="str">
        <f ca="1">IFERROR(__xludf.DUMMYFUNCTION("""COMPUTED_VALUE"""),"Beginner")</f>
        <v>Beginner</v>
      </c>
      <c r="I20" s="217" t="str">
        <f ca="1">IFERROR(__xludf.DUMMYFUNCTION("""COMPUTED_VALUE"""),"Gérer les problèmes de performance de ses employés / employées")</f>
        <v>Gérer les problèmes de performance de ses employés / employées</v>
      </c>
      <c r="J20" s="217"/>
      <c r="K20" s="213"/>
      <c r="L20" s="215">
        <f ca="1">IFERROR(__xludf.DUMMYFUNCTION("""COMPUTED_VALUE"""),714715)</f>
        <v>714715</v>
      </c>
      <c r="M20" s="215" t="str">
        <f ca="1">IFERROR(__xludf.DUMMYFUNCTION("""COMPUTED_VALUE"""),"All levels")</f>
        <v>All levels</v>
      </c>
      <c r="N20" s="217" t="str">
        <f ca="1">IFERROR(__xludf.DUMMYFUNCTION("""COMPUTED_VALUE"""),"Contratación de personal basada en el rendimiento")</f>
        <v>Contratación de personal basada en el rendimiento</v>
      </c>
      <c r="O20" s="217"/>
      <c r="P20" s="213"/>
      <c r="Q20" s="215">
        <f ca="1">IFERROR(__xludf.DUMMYFUNCTION("""COMPUTED_VALUE"""),584362)</f>
        <v>584362</v>
      </c>
      <c r="R20" s="215" t="str">
        <f ca="1">IFERROR(__xludf.DUMMYFUNCTION("""COMPUTED_VALUE"""),"Beginner")</f>
        <v>Beginner</v>
      </c>
      <c r="S20" s="217" t="str">
        <f ca="1">IFERROR(__xludf.DUMMYFUNCTION("""COMPUTED_VALUE"""),"Onboarding neuer Mitarbeiter:innen")</f>
        <v>Onboarding neuer Mitarbeiter:innen</v>
      </c>
      <c r="T20" s="217"/>
      <c r="U20" s="213"/>
      <c r="V20" s="215"/>
      <c r="W20" s="215"/>
      <c r="X20" s="217"/>
      <c r="Y20" s="217"/>
      <c r="Z20" s="213"/>
      <c r="AA20" s="215">
        <f ca="1">IFERROR(__xludf.DUMMYFUNCTION("""COMPUTED_VALUE"""),2459040)</f>
        <v>2459040</v>
      </c>
      <c r="AB20" s="215" t="str">
        <f ca="1">IFERROR(__xludf.DUMMYFUNCTION("""COMPUTED_VALUE"""),"All levels")</f>
        <v>All levels</v>
      </c>
      <c r="AC20" s="217" t="str">
        <f ca="1">IFERROR(__xludf.DUMMYFUNCTION("""COMPUTED_VALUE"""),"Dez Mitos sobre Diversidade e Inclusão no Trabalho")</f>
        <v>Dez Mitos sobre Diversidade e Inclusão no Trabalho</v>
      </c>
      <c r="AD20" s="217"/>
      <c r="AE20" s="213"/>
      <c r="AF20" s="215">
        <f ca="1">IFERROR(__xludf.DUMMYFUNCTION("""COMPUTED_VALUE"""),2822708)</f>
        <v>2822708</v>
      </c>
      <c r="AG20" s="215" t="str">
        <f ca="1">IFERROR(__xludf.DUMMYFUNCTION("""COMPUTED_VALUE"""),"Beginner")</f>
        <v>Beginner</v>
      </c>
      <c r="AH20" s="217" t="str">
        <f ca="1">IFERROR(__xludf.DUMMYFUNCTION("""COMPUTED_VALUE"""),"面试技巧：雇主篇")</f>
        <v>面试技巧：雇主篇</v>
      </c>
      <c r="AI20" s="217"/>
      <c r="AJ20" s="213"/>
    </row>
    <row r="21" spans="1:36" ht="33.75" customHeight="1">
      <c r="A21" s="213"/>
      <c r="B21" s="214">
        <f ca="1">IFERROR(__xludf.DUMMYFUNCTION("""COMPUTED_VALUE"""),2975163)</f>
        <v>2975163</v>
      </c>
      <c r="C21" s="215" t="str">
        <f ca="1">IFERROR(__xludf.DUMMYFUNCTION("""COMPUTED_VALUE"""),"Advanced")</f>
        <v>Advanced</v>
      </c>
      <c r="D21" s="216" t="str">
        <f ca="1">IFERROR(__xludf.DUMMYFUNCTION("""COMPUTED_VALUE"""),"Crisis Communication for HR")</f>
        <v>Crisis Communication for HR</v>
      </c>
      <c r="E21" s="217"/>
      <c r="F21" s="213"/>
      <c r="G21" s="214">
        <f ca="1">IFERROR(__xludf.DUMMYFUNCTION("""COMPUTED_VALUE"""),2454198)</f>
        <v>2454198</v>
      </c>
      <c r="H21" s="215" t="str">
        <f ca="1">IFERROR(__xludf.DUMMYFUNCTION("""COMPUTED_VALUE"""),"All levels")</f>
        <v>All levels</v>
      </c>
      <c r="I21" s="217" t="str">
        <f ca="1">IFERROR(__xludf.DUMMYFUNCTION("""COMPUTED_VALUE"""),"Gérer une demande d'augmentation de salaire")</f>
        <v>Gérer une demande d'augmentation de salaire</v>
      </c>
      <c r="J21" s="217"/>
      <c r="K21" s="213"/>
      <c r="L21" s="215">
        <f ca="1">IFERROR(__xludf.DUMMYFUNCTION("""COMPUTED_VALUE"""),748686)</f>
        <v>748686</v>
      </c>
      <c r="M21" s="215" t="str">
        <f ca="1">IFERROR(__xludf.DUMMYFUNCTION("""COMPUTED_VALUE"""),"Advanced")</f>
        <v>Advanced</v>
      </c>
      <c r="N21" s="217" t="str">
        <f ca="1">IFERROR(__xludf.DUMMYFUNCTION("""COMPUTED_VALUE"""),"Desarrolla la adaptabilidad de tu equipo")</f>
        <v>Desarrolla la adaptabilidad de tu equipo</v>
      </c>
      <c r="O21" s="217"/>
      <c r="P21" s="213"/>
      <c r="Q21" s="215">
        <f ca="1">IFERROR(__xludf.DUMMYFUNCTION("""COMPUTED_VALUE"""),708836)</f>
        <v>708836</v>
      </c>
      <c r="R21" s="215" t="str">
        <f ca="1">IFERROR(__xludf.DUMMYFUNCTION("""COMPUTED_VALUE"""),"Beginner")</f>
        <v>Beginner</v>
      </c>
      <c r="S21" s="217" t="str">
        <f ca="1">IFERROR(__xludf.DUMMYFUNCTION("""COMPUTED_VALUE"""),"Personalstrategie – Grundlagen")</f>
        <v>Personalstrategie – Grundlagen</v>
      </c>
      <c r="T21" s="217"/>
      <c r="U21" s="213"/>
      <c r="V21" s="215"/>
      <c r="W21" s="215"/>
      <c r="X21" s="217"/>
      <c r="Y21" s="217"/>
      <c r="Z21" s="213"/>
      <c r="AA21" s="215">
        <f ca="1">IFERROR(__xludf.DUMMYFUNCTION("""COMPUTED_VALUE"""),2874152)</f>
        <v>2874152</v>
      </c>
      <c r="AB21" s="215" t="str">
        <f ca="1">IFERROR(__xludf.DUMMYFUNCTION("""COMPUTED_VALUE"""),"All levels")</f>
        <v>All levels</v>
      </c>
      <c r="AC21" s="217" t="str">
        <f ca="1">IFERROR(__xludf.DUMMYFUNCTION("""COMPUTED_VALUE"""),"Dicas Rápidas para Gerentes Seniores")</f>
        <v>Dicas Rápidas para Gerentes Seniores</v>
      </c>
      <c r="AD21" s="217"/>
      <c r="AE21" s="213"/>
      <c r="AF21" s="215">
        <f ca="1">IFERROR(__xludf.DUMMYFUNCTION("""COMPUTED_VALUE"""),2873250)</f>
        <v>2873250</v>
      </c>
      <c r="AG21" s="215" t="str">
        <f ca="1">IFERROR(__xludf.DUMMYFUNCTION("""COMPUTED_VALUE"""),"Intermediate")</f>
        <v>Intermediate</v>
      </c>
      <c r="AH21" s="217" t="str">
        <f ca="1">IFERROR(__xludf.DUMMYFUNCTION("""COMPUTED_VALUE"""),"领导者与管理者的教练技能")</f>
        <v>领导者与管理者的教练技能</v>
      </c>
      <c r="AI21" s="217"/>
      <c r="AJ21" s="213"/>
    </row>
    <row r="22" spans="1:36" ht="33.75" customHeight="1">
      <c r="A22" s="213"/>
      <c r="B22" s="214">
        <f ca="1">IFERROR(__xludf.DUMMYFUNCTION("""COMPUTED_VALUE"""),2887263)</f>
        <v>2887263</v>
      </c>
      <c r="C22" s="215" t="str">
        <f ca="1">IFERROR(__xludf.DUMMYFUNCTION("""COMPUTED_VALUE"""),"Advanced")</f>
        <v>Advanced</v>
      </c>
      <c r="D22" s="216" t="str">
        <f ca="1">IFERROR(__xludf.DUMMYFUNCTION("""COMPUTED_VALUE"""),"Planning for Your Hybrid Organization")</f>
        <v>Planning for Your Hybrid Organization</v>
      </c>
      <c r="E22" s="217"/>
      <c r="F22" s="213"/>
      <c r="G22" s="214">
        <f ca="1">IFERROR(__xludf.DUMMYFUNCTION("""COMPUTED_VALUE"""),796909)</f>
        <v>796909</v>
      </c>
      <c r="H22" s="215" t="str">
        <f ca="1">IFERROR(__xludf.DUMMYFUNCTION("""COMPUTED_VALUE"""),"Advanced")</f>
        <v>Advanced</v>
      </c>
      <c r="I22" s="217" t="str">
        <f ca="1">IFERROR(__xludf.DUMMYFUNCTION("""COMPUTED_VALUE"""),"Instaurer une culture de la performance")</f>
        <v>Instaurer une culture de la performance</v>
      </c>
      <c r="J22" s="217"/>
      <c r="K22" s="213"/>
      <c r="L22" s="215">
        <f ca="1">IFERROR(__xludf.DUMMYFUNCTION("""COMPUTED_VALUE"""),5025686)</f>
        <v>5025686</v>
      </c>
      <c r="M22" s="215" t="str">
        <f ca="1">IFERROR(__xludf.DUMMYFUNCTION("""COMPUTED_VALUE"""),"Intermediate")</f>
        <v>Intermediate</v>
      </c>
      <c r="N22" s="217" t="str">
        <f ca="1">IFERROR(__xludf.DUMMYFUNCTION("""COMPUTED_VALUE"""),"El futuro de la gestión del rendimiento")</f>
        <v>El futuro de la gestión del rendimiento</v>
      </c>
      <c r="O22" s="217"/>
      <c r="P22" s="213"/>
      <c r="Q22" s="215">
        <f ca="1">IFERROR(__xludf.DUMMYFUNCTION("""COMPUTED_VALUE"""),2920902)</f>
        <v>2920902</v>
      </c>
      <c r="R22" s="215" t="str">
        <f ca="1">IFERROR(__xludf.DUMMYFUNCTION("""COMPUTED_VALUE"""),"Beginner")</f>
        <v>Beginner</v>
      </c>
      <c r="S22" s="217" t="str">
        <f ca="1">IFERROR(__xludf.DUMMYFUNCTION("""COMPUTED_VALUE"""),"Personalverwaltung – Grundlagen")</f>
        <v>Personalverwaltung – Grundlagen</v>
      </c>
      <c r="T22" s="217"/>
      <c r="U22" s="213"/>
      <c r="V22" s="215"/>
      <c r="W22" s="215"/>
      <c r="X22" s="217"/>
      <c r="Y22" s="217"/>
      <c r="Z22" s="213"/>
      <c r="AA22" s="215">
        <f ca="1">IFERROR(__xludf.DUMMYFUNCTION("""COMPUTED_VALUE"""),2911567)</f>
        <v>2911567</v>
      </c>
      <c r="AB22" s="215" t="str">
        <f ca="1">IFERROR(__xludf.DUMMYFUNCTION("""COMPUTED_VALUE"""),"Beginner")</f>
        <v>Beginner</v>
      </c>
      <c r="AC22" s="217" t="str">
        <f ca="1">IFERROR(__xludf.DUMMYFUNCTION("""COMPUTED_VALUE"""),"Fundamentos da Avaliação de Desempenho")</f>
        <v>Fundamentos da Avaliação de Desempenho</v>
      </c>
      <c r="AD22" s="217"/>
      <c r="AE22" s="213"/>
      <c r="AF22" s="215"/>
      <c r="AG22" s="215"/>
      <c r="AH22" s="217"/>
      <c r="AI22" s="217"/>
      <c r="AJ22" s="213"/>
    </row>
    <row r="23" spans="1:36" ht="33.75" customHeight="1">
      <c r="A23" s="213"/>
      <c r="B23" s="214">
        <f ca="1">IFERROR(__xludf.DUMMYFUNCTION("""COMPUTED_VALUE"""),577354)</f>
        <v>577354</v>
      </c>
      <c r="C23" s="215" t="str">
        <f ca="1">IFERROR(__xludf.DUMMYFUNCTION("""COMPUTED_VALUE"""),"Advanced")</f>
        <v>Advanced</v>
      </c>
      <c r="D23" s="216" t="str">
        <f ca="1">IFERROR(__xludf.DUMMYFUNCTION("""COMPUTED_VALUE"""),"Employer Branding to Attract Talent")</f>
        <v>Employer Branding to Attract Talent</v>
      </c>
      <c r="E23" s="217"/>
      <c r="F23" s="213"/>
      <c r="G23" s="214">
        <f ca="1">IFERROR(__xludf.DUMMYFUNCTION("""COMPUTED_VALUE"""),400730)</f>
        <v>400730</v>
      </c>
      <c r="H23" s="215" t="str">
        <f ca="1">IFERROR(__xludf.DUMMYFUNCTION("""COMPUTED_VALUE"""),"Beginner")</f>
        <v>Beginner</v>
      </c>
      <c r="I23" s="217" t="str">
        <f ca="1">IFERROR(__xludf.DUMMYFUNCTION("""COMPUTED_VALUE"""),"Intégrer les nouvelles recrues")</f>
        <v>Intégrer les nouvelles recrues</v>
      </c>
      <c r="J23" s="217"/>
      <c r="K23" s="213"/>
      <c r="L23" s="215">
        <f ca="1">IFERROR(__xludf.DUMMYFUNCTION("""COMPUTED_VALUE"""),748685)</f>
        <v>748685</v>
      </c>
      <c r="M23" s="215" t="str">
        <f ca="1">IFERROR(__xludf.DUMMYFUNCTION("""COMPUTED_VALUE"""),"Advanced")</f>
        <v>Advanced</v>
      </c>
      <c r="N23" s="217" t="str">
        <f ca="1">IFERROR(__xludf.DUMMYFUNCTION("""COMPUTED_VALUE"""),"Empodera a tu equipo")</f>
        <v>Empodera a tu equipo</v>
      </c>
      <c r="O23" s="217"/>
      <c r="P23" s="213"/>
      <c r="Q23" s="215">
        <f ca="1">IFERROR(__xludf.DUMMYFUNCTION("""COMPUTED_VALUE"""),2808159)</f>
        <v>2808159</v>
      </c>
      <c r="R23" s="215" t="str">
        <f ca="1">IFERROR(__xludf.DUMMYFUNCTION("""COMPUTED_VALUE"""),"Intermediate")</f>
        <v>Intermediate</v>
      </c>
      <c r="S23" s="217" t="str">
        <f ca="1">IFERROR(__xludf.DUMMYFUNCTION("""COMPUTED_VALUE"""),"Personalwesen: Onboarding-Programme durchführen")</f>
        <v>Personalwesen: Onboarding-Programme durchführen</v>
      </c>
      <c r="T23" s="217"/>
      <c r="U23" s="213"/>
      <c r="V23" s="215"/>
      <c r="W23" s="215"/>
      <c r="X23" s="217"/>
      <c r="Y23" s="217"/>
      <c r="Z23" s="213"/>
      <c r="AA23" s="215">
        <f ca="1">IFERROR(__xludf.DUMMYFUNCTION("""COMPUTED_VALUE"""),2210175)</f>
        <v>2210175</v>
      </c>
      <c r="AB23" s="215" t="str">
        <f ca="1">IFERROR(__xludf.DUMMYFUNCTION("""COMPUTED_VALUE"""),"Intermediate")</f>
        <v>Intermediate</v>
      </c>
      <c r="AC23" s="217" t="str">
        <f ca="1">IFERROR(__xludf.DUMMYFUNCTION("""COMPUTED_VALUE"""),"Gestão de Problemas de Desempenho dos Colaboradores")</f>
        <v>Gestão de Problemas de Desempenho dos Colaboradores</v>
      </c>
      <c r="AD23" s="217"/>
      <c r="AE23" s="213"/>
      <c r="AF23" s="215"/>
      <c r="AG23" s="215"/>
      <c r="AH23" s="217"/>
      <c r="AI23" s="217"/>
      <c r="AJ23" s="213"/>
    </row>
    <row r="24" spans="1:36" ht="33.75" customHeight="1">
      <c r="A24" s="213"/>
      <c r="B24" s="214">
        <f ca="1">IFERROR(__xludf.DUMMYFUNCTION("""COMPUTED_VALUE"""),2819029)</f>
        <v>2819029</v>
      </c>
      <c r="C24" s="215" t="str">
        <f ca="1">IFERROR(__xludf.DUMMYFUNCTION("""COMPUTED_VALUE"""),"Beginner")</f>
        <v>Beginner</v>
      </c>
      <c r="D24" s="216" t="str">
        <f ca="1">IFERROR(__xludf.DUMMYFUNCTION("""COMPUTED_VALUE"""),"Onboarding New Hires as a Manager")</f>
        <v>Onboarding New Hires as a Manager</v>
      </c>
      <c r="E24" s="217"/>
      <c r="F24" s="213"/>
      <c r="G24" s="214">
        <f ca="1">IFERROR(__xludf.DUMMYFUNCTION("""COMPUTED_VALUE"""),604072)</f>
        <v>604072</v>
      </c>
      <c r="H24" s="215" t="str">
        <f ca="1">IFERROR(__xludf.DUMMYFUNCTION("""COMPUTED_VALUE"""),"All levels")</f>
        <v>All levels</v>
      </c>
      <c r="I24" s="217" t="str">
        <f ca="1">IFERROR(__xludf.DUMMYFUNCTION("""COMPUTED_VALUE"""),"Jeff Weiner – Définir une culture et un plan d'évolution")</f>
        <v>Jeff Weiner – Définir une culture et un plan d'évolution</v>
      </c>
      <c r="J24" s="217"/>
      <c r="K24" s="213"/>
      <c r="L24" s="215">
        <f ca="1">IFERROR(__xludf.DUMMYFUNCTION("""COMPUTED_VALUE"""),2822449)</f>
        <v>2822449</v>
      </c>
      <c r="M24" s="215" t="str">
        <f ca="1">IFERROR(__xludf.DUMMYFUNCTION("""COMPUTED_VALUE"""),"Advanced")</f>
        <v>Advanced</v>
      </c>
      <c r="N24" s="217" t="str">
        <f ca="1">IFERROR(__xludf.DUMMYFUNCTION("""COMPUTED_VALUE"""),"Excel: Crear un dashboard para RRHH con Power Query y Power Pivot")</f>
        <v>Excel: Crear un dashboard para RRHH con Power Query y Power Pivot</v>
      </c>
      <c r="O24" s="217"/>
      <c r="P24" s="213"/>
      <c r="Q24" s="215">
        <f ca="1">IFERROR(__xludf.DUMMYFUNCTION("""COMPUTED_VALUE"""),2959000)</f>
        <v>2959000</v>
      </c>
      <c r="R24" s="215" t="str">
        <f ca="1">IFERROR(__xludf.DUMMYFUNCTION("""COMPUTED_VALUE"""),"All levels")</f>
        <v>All levels</v>
      </c>
      <c r="S24" s="217" t="str">
        <f ca="1">IFERROR(__xludf.DUMMYFUNCTION("""COMPUTED_VALUE"""),"Raumgestaltung für Innovation, Kreativität und Agilität")</f>
        <v>Raumgestaltung für Innovation, Kreativität und Agilität</v>
      </c>
      <c r="T24" s="217"/>
      <c r="U24" s="213"/>
      <c r="V24" s="215"/>
      <c r="W24" s="215"/>
      <c r="X24" s="217"/>
      <c r="Y24" s="217"/>
      <c r="Z24" s="213"/>
      <c r="AA24" s="215">
        <f ca="1">IFERROR(__xludf.DUMMYFUNCTION("""COMPUTED_VALUE"""),3154987)</f>
        <v>3154987</v>
      </c>
      <c r="AB24" s="215" t="str">
        <f ca="1">IFERROR(__xludf.DUMMYFUNCTION("""COMPUTED_VALUE"""),"All levels")</f>
        <v>All levels</v>
      </c>
      <c r="AC24" s="217" t="str">
        <f ca="1">IFERROR(__xludf.DUMMYFUNCTION("""COMPUTED_VALUE"""),"Kwame Christian Responde Sobre Como Abordar Assuntos Raciais")</f>
        <v>Kwame Christian Responde Sobre Como Abordar Assuntos Raciais</v>
      </c>
      <c r="AD24" s="217"/>
      <c r="AE24" s="213"/>
      <c r="AF24" s="215"/>
      <c r="AG24" s="215"/>
      <c r="AH24" s="217"/>
      <c r="AI24" s="217"/>
      <c r="AJ24" s="213"/>
    </row>
    <row r="25" spans="1:36" ht="33.75" customHeight="1">
      <c r="A25" s="213"/>
      <c r="B25" s="214">
        <f ca="1">IFERROR(__xludf.DUMMYFUNCTION("""COMPUTED_VALUE"""),184803)</f>
        <v>184803</v>
      </c>
      <c r="C25" s="215" t="str">
        <f ca="1">IFERROR(__xludf.DUMMYFUNCTION("""COMPUTED_VALUE"""),"Beginner")</f>
        <v>Beginner</v>
      </c>
      <c r="D25" s="216" t="str">
        <f ca="1">IFERROR(__xludf.DUMMYFUNCTION("""COMPUTED_VALUE"""),"Nonprofit Management Foundations")</f>
        <v>Nonprofit Management Foundations</v>
      </c>
      <c r="E25" s="217"/>
      <c r="F25" s="213"/>
      <c r="G25" s="214">
        <f ca="1">IFERROR(__xludf.DUMMYFUNCTION("""COMPUTED_VALUE"""),2882001)</f>
        <v>2882001</v>
      </c>
      <c r="H25" s="215" t="str">
        <f ca="1">IFERROR(__xludf.DUMMYFUNCTION("""COMPUTED_VALUE"""),"Intermediate")</f>
        <v>Intermediate</v>
      </c>
      <c r="I25" s="217" t="str">
        <f ca="1">IFERROR(__xludf.DUMMYFUNCTION("""COMPUTED_VALUE"""),"La minute de formation : Favoriser l'engagement des employés")</f>
        <v>La minute de formation : Favoriser l'engagement des employés</v>
      </c>
      <c r="J25" s="217"/>
      <c r="K25" s="213"/>
      <c r="L25" s="215">
        <f ca="1">IFERROR(__xludf.DUMMYFUNCTION("""COMPUTED_VALUE"""),5025665)</f>
        <v>5025665</v>
      </c>
      <c r="M25" s="215" t="str">
        <f ca="1">IFERROR(__xludf.DUMMYFUNCTION("""COMPUTED_VALUE"""),"All levels")</f>
        <v>All levels</v>
      </c>
      <c r="N25" s="217" t="str">
        <f ca="1">IFERROR(__xludf.DUMMYFUNCTION("""COMPUTED_VALUE"""),"Fundamentos de gestión de equipos IT y programación")</f>
        <v>Fundamentos de gestión de equipos IT y programación</v>
      </c>
      <c r="O25" s="217"/>
      <c r="P25" s="213"/>
      <c r="Q25" s="215">
        <f ca="1">IFERROR(__xludf.DUMMYFUNCTION("""COMPUTED_VALUE"""),5022380)</f>
        <v>5022380</v>
      </c>
      <c r="R25" s="215" t="str">
        <f ca="1">IFERROR(__xludf.DUMMYFUNCTION("""COMPUTED_VALUE"""),"All levels")</f>
        <v>All levels</v>
      </c>
      <c r="S25" s="217" t="str">
        <f ca="1">IFERROR(__xludf.DUMMYFUNCTION("""COMPUTED_VALUE"""),"Recruiting – Grundlagen")</f>
        <v>Recruiting – Grundlagen</v>
      </c>
      <c r="T25" s="217"/>
      <c r="U25" s="213"/>
      <c r="V25" s="215"/>
      <c r="W25" s="215"/>
      <c r="X25" s="217"/>
      <c r="Y25" s="217"/>
      <c r="Z25" s="213"/>
      <c r="AA25" s="215">
        <f ca="1">IFERROR(__xludf.DUMMYFUNCTION("""COMPUTED_VALUE"""),2841350)</f>
        <v>2841350</v>
      </c>
      <c r="AB25" s="215" t="str">
        <f ca="1">IFERROR(__xludf.DUMMYFUNCTION("""COMPUTED_VALUE"""),"Intermediate")</f>
        <v>Intermediate</v>
      </c>
      <c r="AC25" s="217" t="str">
        <f ca="1">IFERROR(__xludf.DUMMYFUNCTION("""COMPUTED_VALUE"""),"Liderança Colaborativa")</f>
        <v>Liderança Colaborativa</v>
      </c>
      <c r="AD25" s="217"/>
      <c r="AE25" s="213"/>
      <c r="AF25" s="215"/>
      <c r="AG25" s="215"/>
      <c r="AH25" s="217"/>
      <c r="AI25" s="217"/>
      <c r="AJ25" s="213"/>
    </row>
    <row r="26" spans="1:36" ht="33.75" customHeight="1">
      <c r="A26" s="213"/>
      <c r="B26" s="214">
        <f ca="1">IFERROR(__xludf.DUMMYFUNCTION("""COMPUTED_VALUE"""),5034159)</f>
        <v>5034159</v>
      </c>
      <c r="C26" s="215" t="str">
        <f ca="1">IFERROR(__xludf.DUMMYFUNCTION("""COMPUTED_VALUE"""),"Beginner + Intermediate")</f>
        <v>Beginner + Intermediate</v>
      </c>
      <c r="D26" s="216" t="str">
        <f ca="1">IFERROR(__xludf.DUMMYFUNCTION("""COMPUTED_VALUE"""),"Hiring an Employee for Managers")</f>
        <v>Hiring an Employee for Managers</v>
      </c>
      <c r="E26" s="217"/>
      <c r="F26" s="213"/>
      <c r="G26" s="214">
        <f ca="1">IFERROR(__xludf.DUMMYFUNCTION("""COMPUTED_VALUE"""),2883000)</f>
        <v>2883000</v>
      </c>
      <c r="H26" s="215" t="str">
        <f ca="1">IFERROR(__xludf.DUMMYFUNCTION("""COMPUTED_VALUE"""),"Intermediate")</f>
        <v>Intermediate</v>
      </c>
      <c r="I26" s="217" t="str">
        <f ca="1">IFERROR(__xludf.DUMMYFUNCTION("""COMPUTED_VALUE"""),"La minute de formation : Gérer les situations RH difficiles")</f>
        <v>La minute de formation : Gérer les situations RH difficiles</v>
      </c>
      <c r="J26" s="217"/>
      <c r="K26" s="213"/>
      <c r="L26" s="215">
        <f ca="1">IFERROR(__xludf.DUMMYFUNCTION("""COMPUTED_VALUE"""),587139)</f>
        <v>587139</v>
      </c>
      <c r="M26" s="215" t="str">
        <f ca="1">IFERROR(__xludf.DUMMYFUNCTION("""COMPUTED_VALUE"""),"Beginner")</f>
        <v>Beginner</v>
      </c>
      <c r="N26" s="217" t="str">
        <f ca="1">IFERROR(__xludf.DUMMYFUNCTION("""COMPUTED_VALUE"""),"Fundamentos de la evaluación del rendimiento")</f>
        <v>Fundamentos de la evaluación del rendimiento</v>
      </c>
      <c r="O26" s="217"/>
      <c r="P26" s="213"/>
      <c r="Q26" s="215">
        <f ca="1">IFERROR(__xludf.DUMMYFUNCTION("""COMPUTED_VALUE"""),702531)</f>
        <v>702531</v>
      </c>
      <c r="R26" s="215" t="str">
        <f ca="1">IFERROR(__xludf.DUMMYFUNCTION("""COMPUTED_VALUE"""),"Intermediate")</f>
        <v>Intermediate</v>
      </c>
      <c r="S26" s="217" t="str">
        <f ca="1">IFERROR(__xludf.DUMMYFUNCTION("""COMPUTED_VALUE"""),"Recruiting: Active Sourcing – Proaktive Suche nach Bewerber:innen")</f>
        <v>Recruiting: Active Sourcing – Proaktive Suche nach Bewerber:innen</v>
      </c>
      <c r="T26" s="217"/>
      <c r="U26" s="213"/>
      <c r="V26" s="215"/>
      <c r="W26" s="215"/>
      <c r="X26" s="217"/>
      <c r="Y26" s="217"/>
      <c r="Z26" s="213"/>
      <c r="AA26" s="215">
        <f ca="1">IFERROR(__xludf.DUMMYFUNCTION("""COMPUTED_VALUE"""),2434279)</f>
        <v>2434279</v>
      </c>
      <c r="AB26" s="215" t="str">
        <f ca="1">IFERROR(__xludf.DUMMYFUNCTION("""COMPUTED_VALUE"""),"Advanced")</f>
        <v>Advanced</v>
      </c>
      <c r="AC26" s="217" t="str">
        <f ca="1">IFERROR(__xludf.DUMMYFUNCTION("""COMPUTED_VALUE"""),"Liderança Global: Como Gerenciar a Complexidade e a Diversidade")</f>
        <v>Liderança Global: Como Gerenciar a Complexidade e a Diversidade</v>
      </c>
      <c r="AD26" s="217"/>
      <c r="AE26" s="213"/>
      <c r="AF26" s="215"/>
      <c r="AG26" s="215"/>
      <c r="AH26" s="217"/>
      <c r="AI26" s="217"/>
      <c r="AJ26" s="213"/>
    </row>
    <row r="27" spans="1:36" ht="33.75" customHeight="1">
      <c r="A27" s="213"/>
      <c r="B27" s="214">
        <f ca="1">IFERROR(__xludf.DUMMYFUNCTION("""COMPUTED_VALUE"""),664803)</f>
        <v>664803</v>
      </c>
      <c r="C27" s="215" t="str">
        <f ca="1">IFERROR(__xludf.DUMMYFUNCTION("""COMPUTED_VALUE"""),"Beginner + Intermediate")</f>
        <v>Beginner + Intermediate</v>
      </c>
      <c r="D27" s="216" t="str">
        <f ca="1">IFERROR(__xludf.DUMMYFUNCTION("""COMPUTED_VALUE"""),"Managing Temporary and Contract Employees")</f>
        <v>Managing Temporary and Contract Employees</v>
      </c>
      <c r="E27" s="217"/>
      <c r="F27" s="213"/>
      <c r="G27" s="214">
        <f ca="1">IFERROR(__xludf.DUMMYFUNCTION("""COMPUTED_VALUE"""),3141016)</f>
        <v>3141016</v>
      </c>
      <c r="H27" s="215" t="str">
        <f ca="1">IFERROR(__xludf.DUMMYFUNCTION("""COMPUTED_VALUE"""),"Intermediate")</f>
        <v>Intermediate</v>
      </c>
      <c r="I27" s="217" t="str">
        <f ca="1">IFERROR(__xludf.DUMMYFUNCTION("""COMPUTED_VALUE"""),"La minute de formation : Instaurer le bien-être et la santé dans son organisation")</f>
        <v>La minute de formation : Instaurer le bien-être et la santé dans son organisation</v>
      </c>
      <c r="J27" s="217"/>
      <c r="K27" s="213"/>
      <c r="L27" s="215">
        <f ca="1">IFERROR(__xludf.DUMMYFUNCTION("""COMPUTED_VALUE"""),766236)</f>
        <v>766236</v>
      </c>
      <c r="M27" s="215" t="str">
        <f ca="1">IFERROR(__xludf.DUMMYFUNCTION("""COMPUTED_VALUE"""),"Intermediate")</f>
        <v>Intermediate</v>
      </c>
      <c r="N27" s="217" t="str">
        <f ca="1">IFERROR(__xludf.DUMMYFUNCTION("""COMPUTED_VALUE"""),"Fundamentos de recursos humanos: Búsqueda de talentos")</f>
        <v>Fundamentos de recursos humanos: Búsqueda de talentos</v>
      </c>
      <c r="O27" s="217"/>
      <c r="P27" s="213"/>
      <c r="Q27" s="215">
        <f ca="1">IFERROR(__xludf.DUMMYFUNCTION("""COMPUTED_VALUE"""),703215)</f>
        <v>703215</v>
      </c>
      <c r="R27" s="215" t="str">
        <f ca="1">IFERROR(__xludf.DUMMYFUNCTION("""COMPUTED_VALUE"""),"Intermediate")</f>
        <v>Intermediate</v>
      </c>
      <c r="S27" s="217" t="str">
        <f ca="1">IFERROR(__xludf.DUMMYFUNCTION("""COMPUTED_VALUE"""),"Recruiting: Fachkräfte und Spezialist:innen gewinnen")</f>
        <v>Recruiting: Fachkräfte und Spezialist:innen gewinnen</v>
      </c>
      <c r="T27" s="217"/>
      <c r="U27" s="213"/>
      <c r="V27" s="215"/>
      <c r="W27" s="215"/>
      <c r="X27" s="217"/>
      <c r="Y27" s="217"/>
      <c r="Z27" s="213"/>
      <c r="AA27" s="215">
        <f ca="1">IFERROR(__xludf.DUMMYFUNCTION("""COMPUTED_VALUE"""),2896676)</f>
        <v>2896676</v>
      </c>
      <c r="AB27" s="215" t="str">
        <f ca="1">IFERROR(__xludf.DUMMYFUNCTION("""COMPUTED_VALUE"""),"Advanced")</f>
        <v>Advanced</v>
      </c>
      <c r="AC27" s="217" t="str">
        <f ca="1">IFERROR(__xludf.DUMMYFUNCTION("""COMPUTED_VALUE"""),"Mulheres na Liderança: Como Impulsionar a Equidade nas Organizações")</f>
        <v>Mulheres na Liderança: Como Impulsionar a Equidade nas Organizações</v>
      </c>
      <c r="AD27" s="217"/>
      <c r="AE27" s="213"/>
      <c r="AF27" s="215"/>
      <c r="AG27" s="215"/>
      <c r="AH27" s="217"/>
      <c r="AI27" s="217"/>
      <c r="AJ27" s="213"/>
    </row>
    <row r="28" spans="1:36" ht="33.75" customHeight="1">
      <c r="A28" s="213"/>
      <c r="B28" s="214">
        <f ca="1">IFERROR(__xludf.DUMMYFUNCTION("""COMPUTED_VALUE"""),2841297)</f>
        <v>2841297</v>
      </c>
      <c r="C28" s="215" t="str">
        <f ca="1">IFERROR(__xludf.DUMMYFUNCTION("""COMPUTED_VALUE"""),"Intermediate")</f>
        <v>Intermediate</v>
      </c>
      <c r="D28" s="216" t="str">
        <f ca="1">IFERROR(__xludf.DUMMYFUNCTION("""COMPUTED_VALUE"""),"Virtual Interviewing for HR")</f>
        <v>Virtual Interviewing for HR</v>
      </c>
      <c r="E28" s="217"/>
      <c r="F28" s="213"/>
      <c r="G28" s="214">
        <f ca="1">IFERROR(__xludf.DUMMYFUNCTION("""COMPUTED_VALUE"""),3141015)</f>
        <v>3141015</v>
      </c>
      <c r="H28" s="215" t="str">
        <f ca="1">IFERROR(__xludf.DUMMYFUNCTION("""COMPUTED_VALUE"""),"Intermediate")</f>
        <v>Intermediate</v>
      </c>
      <c r="I28" s="217" t="str">
        <f ca="1">IFERROR(__xludf.DUMMYFUNCTION("""COMPUTED_VALUE"""),"La minute de formation : Réussir un recrutement")</f>
        <v>La minute de formation : Réussir un recrutement</v>
      </c>
      <c r="J28" s="217"/>
      <c r="K28" s="213"/>
      <c r="L28" s="215">
        <f ca="1">IFERROR(__xludf.DUMMYFUNCTION("""COMPUTED_VALUE"""),714737)</f>
        <v>714737</v>
      </c>
      <c r="M28" s="215" t="str">
        <f ca="1">IFERROR(__xludf.DUMMYFUNCTION("""COMPUTED_VALUE"""),"Intermediate")</f>
        <v>Intermediate</v>
      </c>
      <c r="N28" s="217" t="str">
        <f ca="1">IFERROR(__xludf.DUMMYFUNCTION("""COMPUTED_VALUE"""),"Fundamentos de Recursos humanos: Estrategias de remuneración")</f>
        <v>Fundamentos de Recursos humanos: Estrategias de remuneración</v>
      </c>
      <c r="O28" s="217"/>
      <c r="P28" s="213"/>
      <c r="Q28" s="215">
        <f ca="1">IFERROR(__xludf.DUMMYFUNCTION("""COMPUTED_VALUE"""),703214)</f>
        <v>703214</v>
      </c>
      <c r="R28" s="215" t="str">
        <f ca="1">IFERROR(__xludf.DUMMYFUNCTION("""COMPUTED_VALUE"""),"Intermediate")</f>
        <v>Intermediate</v>
      </c>
      <c r="S28" s="217" t="str">
        <f ca="1">IFERROR(__xludf.DUMMYFUNCTION("""COMPUTED_VALUE"""),"Recruiting: Job-Interviews führen")</f>
        <v>Recruiting: Job-Interviews führen</v>
      </c>
      <c r="T28" s="217"/>
      <c r="U28" s="213"/>
      <c r="V28" s="215"/>
      <c r="W28" s="215"/>
      <c r="X28" s="217"/>
      <c r="Y28" s="217"/>
      <c r="Z28" s="213"/>
      <c r="AA28" s="215">
        <f ca="1">IFERROR(__xludf.DUMMYFUNCTION("""COMPUTED_VALUE"""),2928591)</f>
        <v>2928591</v>
      </c>
      <c r="AB28" s="215" t="str">
        <f ca="1">IFERROR(__xludf.DUMMYFUNCTION("""COMPUTED_VALUE"""),"Intermediate")</f>
        <v>Intermediate</v>
      </c>
      <c r="AC28" s="217" t="str">
        <f ca="1">IFERROR(__xludf.DUMMYFUNCTION("""COMPUTED_VALUE"""),"Recursos Humanos: Estratégias de Remuneração")</f>
        <v>Recursos Humanos: Estratégias de Remuneração</v>
      </c>
      <c r="AD28" s="217"/>
      <c r="AE28" s="213"/>
      <c r="AF28" s="215"/>
      <c r="AG28" s="215"/>
      <c r="AH28" s="217"/>
      <c r="AI28" s="217"/>
      <c r="AJ28" s="213"/>
    </row>
    <row r="29" spans="1:36" ht="33.75" customHeight="1">
      <c r="A29" s="213"/>
      <c r="B29" s="214">
        <f ca="1">IFERROR(__xludf.DUMMYFUNCTION("""COMPUTED_VALUE"""),601769)</f>
        <v>601769</v>
      </c>
      <c r="C29" s="215" t="str">
        <f ca="1">IFERROR(__xludf.DUMMYFUNCTION("""COMPUTED_VALUE"""),"Intermediate")</f>
        <v>Intermediate</v>
      </c>
      <c r="D29" s="216" t="str">
        <f ca="1">IFERROR(__xludf.DUMMYFUNCTION("""COMPUTED_VALUE"""),"Human Resources: Managing Employee Problems")</f>
        <v>Human Resources: Managing Employee Problems</v>
      </c>
      <c r="E29" s="217"/>
      <c r="F29" s="213"/>
      <c r="G29" s="214">
        <f ca="1">IFERROR(__xludf.DUMMYFUNCTION("""COMPUTED_VALUE"""),723124)</f>
        <v>723124</v>
      </c>
      <c r="H29" s="215" t="str">
        <f ca="1">IFERROR(__xludf.DUMMYFUNCTION("""COMPUTED_VALUE"""),"Intermediate")</f>
        <v>Intermediate</v>
      </c>
      <c r="I29" s="217" t="str">
        <f ca="1">IFERROR(__xludf.DUMMYFUNCTION("""COMPUTED_VALUE"""),"La transformation numérique pour les ressources humaines")</f>
        <v>La transformation numérique pour les ressources humaines</v>
      </c>
      <c r="J29" s="217"/>
      <c r="K29" s="213"/>
      <c r="L29" s="215">
        <f ca="1">IFERROR(__xludf.DUMMYFUNCTION("""COMPUTED_VALUE"""),750056)</f>
        <v>750056</v>
      </c>
      <c r="M29" s="215" t="str">
        <f ca="1">IFERROR(__xludf.DUMMYFUNCTION("""COMPUTED_VALUE"""),"Intermediate")</f>
        <v>Intermediate</v>
      </c>
      <c r="N29" s="217" t="str">
        <f ca="1">IFERROR(__xludf.DUMMYFUNCTION("""COMPUTED_VALUE"""),"Fundamentos de recursos humanos: Gestión de la incorporación corporativa")</f>
        <v>Fundamentos de recursos humanos: Gestión de la incorporación corporativa</v>
      </c>
      <c r="O29" s="217"/>
      <c r="P29" s="213"/>
      <c r="Q29" s="215">
        <f ca="1">IFERROR(__xludf.DUMMYFUNCTION("""COMPUTED_VALUE"""),697738)</f>
        <v>697738</v>
      </c>
      <c r="R29" s="215" t="str">
        <f ca="1">IFERROR(__xludf.DUMMYFUNCTION("""COMPUTED_VALUE"""),"Intermediate")</f>
        <v>Intermediate</v>
      </c>
      <c r="S29" s="217" t="str">
        <f ca="1">IFERROR(__xludf.DUMMYFUNCTION("""COMPUTED_VALUE"""),"Talente finden und binden")</f>
        <v>Talente finden und binden</v>
      </c>
      <c r="T29" s="217"/>
      <c r="U29" s="213"/>
      <c r="V29" s="215"/>
      <c r="W29" s="215"/>
      <c r="X29" s="217"/>
      <c r="Y29" s="217"/>
      <c r="Z29" s="213"/>
      <c r="AA29" s="215">
        <f ca="1">IFERROR(__xludf.DUMMYFUNCTION("""COMPUTED_VALUE"""),2931592)</f>
        <v>2931592</v>
      </c>
      <c r="AB29" s="215" t="str">
        <f ca="1">IFERROR(__xludf.DUMMYFUNCTION("""COMPUTED_VALUE"""),"Beginner")</f>
        <v>Beginner</v>
      </c>
      <c r="AC29" s="217" t="str">
        <f ca="1">IFERROR(__xludf.DUMMYFUNCTION("""COMPUTED_VALUE"""),"Técnicas de Entrevista para um Recrutamento de Sucesso")</f>
        <v>Técnicas de Entrevista para um Recrutamento de Sucesso</v>
      </c>
      <c r="AD29" s="217"/>
      <c r="AE29" s="213"/>
      <c r="AF29" s="215"/>
      <c r="AG29" s="215"/>
      <c r="AH29" s="217"/>
      <c r="AI29" s="217"/>
      <c r="AJ29" s="213"/>
    </row>
    <row r="30" spans="1:36" ht="33.75" customHeight="1">
      <c r="A30" s="213"/>
      <c r="B30" s="214">
        <f ca="1">IFERROR(__xludf.DUMMYFUNCTION("""COMPUTED_VALUE"""),466170)</f>
        <v>466170</v>
      </c>
      <c r="C30" s="215" t="str">
        <f ca="1">IFERROR(__xludf.DUMMYFUNCTION("""COMPUTED_VALUE"""),"Intermediate")</f>
        <v>Intermediate</v>
      </c>
      <c r="D30" s="216" t="str">
        <f ca="1">IFERROR(__xludf.DUMMYFUNCTION("""COMPUTED_VALUE"""),"Hire, Retain, and Grow Top Millennial Talent")</f>
        <v>Hire, Retain, and Grow Top Millennial Talent</v>
      </c>
      <c r="E30" s="217"/>
      <c r="F30" s="213"/>
      <c r="G30" s="214">
        <f ca="1">IFERROR(__xludf.DUMMYFUNCTION("""COMPUTED_VALUE"""),707935)</f>
        <v>707935</v>
      </c>
      <c r="H30" s="215" t="str">
        <f ca="1">IFERROR(__xludf.DUMMYFUNCTION("""COMPUTED_VALUE"""),"Intermediate")</f>
        <v>Intermediate</v>
      </c>
      <c r="I30" s="217" t="str">
        <f ca="1">IFERROR(__xludf.DUMMYFUNCTION("""COMPUTED_VALUE"""),"Laisser partir un employé / une employée")</f>
        <v>Laisser partir un employé / une employée</v>
      </c>
      <c r="J30" s="217"/>
      <c r="K30" s="213"/>
      <c r="L30" s="215">
        <f ca="1">IFERROR(__xludf.DUMMYFUNCTION("""COMPUTED_VALUE"""),750063)</f>
        <v>750063</v>
      </c>
      <c r="M30" s="215" t="str">
        <f ca="1">IFERROR(__xludf.DUMMYFUNCTION("""COMPUTED_VALUE"""),"Beginner, Intermediate")</f>
        <v>Beginner, Intermediate</v>
      </c>
      <c r="N30" s="217" t="str">
        <f ca="1">IFERROR(__xludf.DUMMYFUNCTION("""COMPUTED_VALUE"""),"Fundamentos de recursos humanos: Reclutamiento")</f>
        <v>Fundamentos de recursos humanos: Reclutamiento</v>
      </c>
      <c r="O30" s="217"/>
      <c r="P30" s="213"/>
      <c r="Q30" s="215">
        <f ca="1">IFERROR(__xludf.DUMMYFUNCTION("""COMPUTED_VALUE"""),2434087)</f>
        <v>2434087</v>
      </c>
      <c r="R30" s="215" t="str">
        <f ca="1">IFERROR(__xludf.DUMMYFUNCTION("""COMPUTED_VALUE"""),"Beginner")</f>
        <v>Beginner</v>
      </c>
      <c r="S30" s="217" t="str">
        <f ca="1">IFERROR(__xludf.DUMMYFUNCTION("""COMPUTED_VALUE"""),"Wertschätzende Kommunikation – Trotz Unterschieden erfolgreich kommunizieren")</f>
        <v>Wertschätzende Kommunikation – Trotz Unterschieden erfolgreich kommunizieren</v>
      </c>
      <c r="T30" s="217"/>
      <c r="U30" s="213"/>
      <c r="V30" s="215"/>
      <c r="W30" s="215"/>
      <c r="X30" s="217"/>
      <c r="Y30" s="217"/>
      <c r="Z30" s="213"/>
      <c r="AA30" s="215"/>
      <c r="AB30" s="215"/>
      <c r="AC30" s="217"/>
      <c r="AD30" s="217"/>
      <c r="AE30" s="213"/>
      <c r="AF30" s="215"/>
      <c r="AG30" s="215"/>
      <c r="AH30" s="217"/>
      <c r="AI30" s="217"/>
      <c r="AJ30" s="213"/>
    </row>
    <row r="31" spans="1:36" ht="33.75" customHeight="1">
      <c r="A31" s="213"/>
      <c r="B31" s="214">
        <f ca="1">IFERROR(__xludf.DUMMYFUNCTION("""COMPUTED_VALUE"""),628692)</f>
        <v>628692</v>
      </c>
      <c r="C31" s="215" t="str">
        <f ca="1">IFERROR(__xludf.DUMMYFUNCTION("""COMPUTED_VALUE"""),"Intermediate")</f>
        <v>Intermediate</v>
      </c>
      <c r="D31" s="216" t="str">
        <f ca="1">IFERROR(__xludf.DUMMYFUNCTION("""COMPUTED_VALUE"""),"Hiring, Managing, and Separating from Employees")</f>
        <v>Hiring, Managing, and Separating from Employees</v>
      </c>
      <c r="E31" s="217"/>
      <c r="F31" s="213"/>
      <c r="G31" s="214">
        <f ca="1">IFERROR(__xludf.DUMMYFUNCTION("""COMPUTED_VALUE"""),2457227)</f>
        <v>2457227</v>
      </c>
      <c r="H31" s="215" t="str">
        <f ca="1">IFERROR(__xludf.DUMMYFUNCTION("""COMPUTED_VALUE"""),"All levels")</f>
        <v>All levels</v>
      </c>
      <c r="I31" s="217" t="str">
        <f ca="1">IFERROR(__xludf.DUMMYFUNCTION("""COMPUTED_VALUE"""),"Le leadership inclusif : Devenir un allié / une alliée")</f>
        <v>Le leadership inclusif : Devenir un allié / une alliée</v>
      </c>
      <c r="J31" s="217"/>
      <c r="K31" s="213"/>
      <c r="L31" s="215">
        <f ca="1">IFERROR(__xludf.DUMMYFUNCTION("""COMPUTED_VALUE"""),714717)</f>
        <v>714717</v>
      </c>
      <c r="M31" s="215" t="str">
        <f ca="1">IFERROR(__xludf.DUMMYFUNCTION("""COMPUTED_VALUE"""),"Advanced")</f>
        <v>Advanced</v>
      </c>
      <c r="N31" s="217" t="str">
        <f ca="1">IFERROR(__xludf.DUMMYFUNCTION("""COMPUTED_VALUE"""),"Gestión de equipos mediante OKR's o misiones, objetivos y resultados clave")</f>
        <v>Gestión de equipos mediante OKR's o misiones, objetivos y resultados clave</v>
      </c>
      <c r="O31" s="217"/>
      <c r="P31" s="213"/>
      <c r="Q31" s="215">
        <f ca="1">IFERROR(__xludf.DUMMYFUNCTION("""COMPUTED_VALUE"""),5033458)</f>
        <v>5033458</v>
      </c>
      <c r="R31" s="215" t="str">
        <f ca="1">IFERROR(__xludf.DUMMYFUNCTION("""COMPUTED_VALUE"""),"All levels")</f>
        <v>All levels</v>
      </c>
      <c r="S31" s="217" t="str">
        <f ca="1">IFERROR(__xludf.DUMMYFUNCTION("""COMPUTED_VALUE"""),"Ziele für Mitarbeiter:innen und Teams setzen")</f>
        <v>Ziele für Mitarbeiter:innen und Teams setzen</v>
      </c>
      <c r="T31" s="217"/>
      <c r="U31" s="213"/>
      <c r="V31" s="215"/>
      <c r="W31" s="215"/>
      <c r="X31" s="217"/>
      <c r="Y31" s="217"/>
      <c r="Z31" s="213"/>
      <c r="AA31" s="215"/>
      <c r="AB31" s="215"/>
      <c r="AC31" s="217"/>
      <c r="AD31" s="217"/>
      <c r="AE31" s="213"/>
      <c r="AF31" s="215"/>
      <c r="AG31" s="215"/>
      <c r="AH31" s="217"/>
      <c r="AI31" s="217"/>
      <c r="AJ31" s="213"/>
    </row>
    <row r="32" spans="1:36" ht="30">
      <c r="A32" s="213"/>
      <c r="B32" s="214">
        <f ca="1">IFERROR(__xludf.DUMMYFUNCTION("""COMPUTED_VALUE"""),2878236)</f>
        <v>2878236</v>
      </c>
      <c r="C32" s="215" t="str">
        <f ca="1">IFERROR(__xludf.DUMMYFUNCTION("""COMPUTED_VALUE"""),"Intermediate")</f>
        <v>Intermediate</v>
      </c>
      <c r="D32" s="216" t="str">
        <f ca="1">IFERROR(__xludf.DUMMYFUNCTION("""COMPUTED_VALUE"""),"Hiring and Supporting Neurodiversity in the Workplace")</f>
        <v>Hiring and Supporting Neurodiversity in the Workplace</v>
      </c>
      <c r="E32" s="217"/>
      <c r="F32" s="213"/>
      <c r="G32" s="214">
        <f ca="1">IFERROR(__xludf.DUMMYFUNCTION("""COMPUTED_VALUE"""),723125)</f>
        <v>723125</v>
      </c>
      <c r="H32" s="215" t="str">
        <f ca="1">IFERROR(__xludf.DUMMYFUNCTION("""COMPUTED_VALUE"""),"Intermediate")</f>
        <v>Intermediate</v>
      </c>
      <c r="I32" s="217" t="str">
        <f ca="1">IFERROR(__xludf.DUMMYFUNCTION("""COMPUTED_VALUE"""),"Le recrutement axé sur la performance")</f>
        <v>Le recrutement axé sur la performance</v>
      </c>
      <c r="J32" s="217"/>
      <c r="K32" s="213"/>
      <c r="L32" s="215">
        <f ca="1">IFERROR(__xludf.DUMMYFUNCTION("""COMPUTED_VALUE"""),587141)</f>
        <v>587141</v>
      </c>
      <c r="M32" s="215" t="str">
        <f ca="1">IFERROR(__xludf.DUMMYFUNCTION("""COMPUTED_VALUE"""),"All levels")</f>
        <v>All levels</v>
      </c>
      <c r="N32" s="217" t="str">
        <f ca="1">IFERROR(__xludf.DUMMYFUNCTION("""COMPUTED_VALUE"""),"Gestión de problemas de rendimiento")</f>
        <v>Gestión de problemas de rendimiento</v>
      </c>
      <c r="O32" s="217"/>
      <c r="P32" s="213"/>
      <c r="Q32" s="215">
        <f ca="1">IFERROR(__xludf.DUMMYFUNCTION("""COMPUTED_VALUE"""),593896)</f>
        <v>593896</v>
      </c>
      <c r="R32" s="215" t="str">
        <f ca="1">IFERROR(__xludf.DUMMYFUNCTION("""COMPUTED_VALUE"""),"Intermediate")</f>
        <v>Intermediate</v>
      </c>
      <c r="S32" s="217" t="str">
        <f ca="1">IFERROR(__xludf.DUMMYFUNCTION("""COMPUTED_VALUE"""),"Zielvereinbarungsgespräche führen")</f>
        <v>Zielvereinbarungsgespräche führen</v>
      </c>
      <c r="T32" s="217"/>
      <c r="U32" s="213"/>
      <c r="V32" s="215"/>
      <c r="W32" s="215"/>
      <c r="X32" s="217"/>
      <c r="Y32" s="217"/>
      <c r="Z32" s="213"/>
      <c r="AA32" s="215"/>
      <c r="AB32" s="215"/>
      <c r="AC32" s="217"/>
      <c r="AD32" s="217"/>
      <c r="AE32" s="213"/>
      <c r="AF32" s="215"/>
      <c r="AG32" s="215"/>
      <c r="AH32" s="217"/>
      <c r="AI32" s="217"/>
      <c r="AJ32" s="213"/>
    </row>
    <row r="33" spans="1:36" ht="33.75" customHeight="1">
      <c r="A33" s="213"/>
      <c r="B33" s="214">
        <f ca="1">IFERROR(__xludf.DUMMYFUNCTION("""COMPUTED_VALUE"""),2894043)</f>
        <v>2894043</v>
      </c>
      <c r="C33" s="215" t="str">
        <f ca="1">IFERROR(__xludf.DUMMYFUNCTION("""COMPUTED_VALUE"""),"Intermediate")</f>
        <v>Intermediate</v>
      </c>
      <c r="D33" s="216" t="str">
        <f ca="1">IFERROR(__xludf.DUMMYFUNCTION("""COMPUTED_VALUE"""),"HR Communication in Today's Fluid Workplace")</f>
        <v>HR Communication in Today's Fluid Workplace</v>
      </c>
      <c r="E33" s="217"/>
      <c r="F33" s="213"/>
      <c r="G33" s="214">
        <f ca="1">IFERROR(__xludf.DUMMYFUNCTION("""COMPUTED_VALUE"""),2879002)</f>
        <v>2879002</v>
      </c>
      <c r="H33" s="215" t="str">
        <f ca="1">IFERROR(__xludf.DUMMYFUNCTION("""COMPUTED_VALUE"""),"Intermediate")</f>
        <v>Intermediate</v>
      </c>
      <c r="I33" s="217" t="str">
        <f ca="1">IFERROR(__xludf.DUMMYFUNCTION("""COMPUTED_VALUE"""),"Les entretiens à distance pour les HR")</f>
        <v>Les entretiens à distance pour les HR</v>
      </c>
      <c r="J33" s="217"/>
      <c r="K33" s="213"/>
      <c r="L33" s="215">
        <f ca="1">IFERROR(__xludf.DUMMYFUNCTION("""COMPUTED_VALUE"""),2841606)</f>
        <v>2841606</v>
      </c>
      <c r="M33" s="215" t="str">
        <f ca="1">IFERROR(__xludf.DUMMYFUNCTION("""COMPUTED_VALUE"""),"Beginner")</f>
        <v>Beginner</v>
      </c>
      <c r="N33" s="217" t="str">
        <f ca="1">IFERROR(__xludf.DUMMYFUNCTION("""COMPUTED_VALUE"""),"Gestiona tu entrevista de trabajo en videoconferencia")</f>
        <v>Gestiona tu entrevista de trabajo en videoconferencia</v>
      </c>
      <c r="O33" s="217"/>
      <c r="P33" s="213"/>
      <c r="Q33" s="215"/>
      <c r="R33" s="215"/>
      <c r="S33" s="217"/>
      <c r="T33" s="217"/>
      <c r="U33" s="213"/>
      <c r="V33" s="215"/>
      <c r="W33" s="215"/>
      <c r="X33" s="217"/>
      <c r="Y33" s="217"/>
      <c r="Z33" s="213"/>
      <c r="AA33" s="215"/>
      <c r="AB33" s="215"/>
      <c r="AC33" s="217"/>
      <c r="AD33" s="217"/>
      <c r="AE33" s="213"/>
      <c r="AF33" s="215"/>
      <c r="AG33" s="215"/>
      <c r="AH33" s="217"/>
      <c r="AI33" s="217"/>
      <c r="AJ33" s="213"/>
    </row>
    <row r="34" spans="1:36" ht="33.75" customHeight="1">
      <c r="A34" s="213"/>
      <c r="B34" s="214">
        <f ca="1">IFERROR(__xludf.DUMMYFUNCTION("""COMPUTED_VALUE"""),3013243)</f>
        <v>3013243</v>
      </c>
      <c r="C34" s="215" t="str">
        <f ca="1">IFERROR(__xludf.DUMMYFUNCTION("""COMPUTED_VALUE"""),"Intermediate")</f>
        <v>Intermediate</v>
      </c>
      <c r="D34" s="216" t="str">
        <f ca="1">IFERROR(__xludf.DUMMYFUNCTION("""COMPUTED_VALUE"""),"HR Recruiting Communication Strategies to Attract and Retain Top Talent")</f>
        <v>HR Recruiting Communication Strategies to Attract and Retain Top Talent</v>
      </c>
      <c r="E34" s="217"/>
      <c r="F34" s="213"/>
      <c r="G34" s="214">
        <f ca="1">IFERROR(__xludf.DUMMYFUNCTION("""COMPUTED_VALUE"""),792275)</f>
        <v>792275</v>
      </c>
      <c r="H34" s="215" t="str">
        <f ca="1">IFERROR(__xludf.DUMMYFUNCTION("""COMPUTED_VALUE"""),"Beginner, Intermediate")</f>
        <v>Beginner, Intermediate</v>
      </c>
      <c r="I34" s="217" t="str">
        <f ca="1">IFERROR(__xludf.DUMMYFUNCTION("""COMPUTED_VALUE"""),"Les fondements de la gestion des ressources humaines")</f>
        <v>Les fondements de la gestion des ressources humaines</v>
      </c>
      <c r="J34" s="217"/>
      <c r="K34" s="213"/>
      <c r="L34" s="215">
        <f ca="1">IFERROR(__xludf.DUMMYFUNCTION("""COMPUTED_VALUE"""),2422924)</f>
        <v>2422924</v>
      </c>
      <c r="M34" s="215" t="str">
        <f ca="1">IFERROR(__xludf.DUMMYFUNCTION("""COMPUTED_VALUE"""),"Advanced")</f>
        <v>Advanced</v>
      </c>
      <c r="N34" s="217" t="str">
        <f ca="1">IFERROR(__xludf.DUMMYFUNCTION("""COMPUTED_VALUE"""),"Liderazgo y recursos humanos: Estrategia de ubicación para una fuerza de trabajo híbrida")</f>
        <v>Liderazgo y recursos humanos: Estrategia de ubicación para una fuerza de trabajo híbrida</v>
      </c>
      <c r="O34" s="217"/>
      <c r="P34" s="213"/>
      <c r="Q34" s="215"/>
      <c r="R34" s="215"/>
      <c r="S34" s="217"/>
      <c r="T34" s="217"/>
      <c r="U34" s="213"/>
      <c r="V34" s="215"/>
      <c r="W34" s="215"/>
      <c r="X34" s="217"/>
      <c r="Y34" s="217"/>
      <c r="Z34" s="213"/>
      <c r="AA34" s="215"/>
      <c r="AB34" s="215"/>
      <c r="AC34" s="217"/>
      <c r="AD34" s="217"/>
      <c r="AE34" s="213"/>
      <c r="AF34" s="215"/>
      <c r="AG34" s="215"/>
      <c r="AH34" s="217"/>
      <c r="AI34" s="217"/>
      <c r="AJ34" s="213"/>
    </row>
    <row r="35" spans="1:36" ht="33.75" customHeight="1">
      <c r="A35" s="213"/>
      <c r="B35" s="214">
        <f ca="1">IFERROR(__xludf.DUMMYFUNCTION("""COMPUTED_VALUE"""),2424655)</f>
        <v>2424655</v>
      </c>
      <c r="C35" s="215" t="str">
        <f ca="1">IFERROR(__xludf.DUMMYFUNCTION("""COMPUTED_VALUE"""),"Intermediate")</f>
        <v>Intermediate</v>
      </c>
      <c r="D35" s="216" t="str">
        <f ca="1">IFERROR(__xludf.DUMMYFUNCTION("""COMPUTED_VALUE"""),"Performance Management: Employee Engagement")</f>
        <v>Performance Management: Employee Engagement</v>
      </c>
      <c r="E35" s="217"/>
      <c r="F35" s="213"/>
      <c r="G35" s="214">
        <f ca="1">IFERROR(__xludf.DUMMYFUNCTION("""COMPUTED_VALUE"""),561058)</f>
        <v>561058</v>
      </c>
      <c r="H35" s="215" t="str">
        <f ca="1">IFERROR(__xludf.DUMMYFUNCTION("""COMPUTED_VALUE"""),"Beginner, Intermediate")</f>
        <v>Beginner, Intermediate</v>
      </c>
      <c r="I35" s="217" t="str">
        <f ca="1">IFERROR(__xludf.DUMMYFUNCTION("""COMPUTED_VALUE"""),"Les fondements du bilan de performance")</f>
        <v>Les fondements du bilan de performance</v>
      </c>
      <c r="J35" s="217"/>
      <c r="K35" s="213"/>
      <c r="L35" s="215">
        <f ca="1">IFERROR(__xludf.DUMMYFUNCTION("""COMPUTED_VALUE"""),2815207)</f>
        <v>2815207</v>
      </c>
      <c r="M35" s="215" t="str">
        <f ca="1">IFERROR(__xludf.DUMMYFUNCTION("""COMPUTED_VALUE"""),"Beginner")</f>
        <v>Beginner</v>
      </c>
      <c r="N35" s="217" t="str">
        <f ca="1">IFERROR(__xludf.DUMMYFUNCTION("""COMPUTED_VALUE"""),"LinkedIn para recursos humanos")</f>
        <v>LinkedIn para recursos humanos</v>
      </c>
      <c r="O35" s="217"/>
      <c r="P35" s="213"/>
      <c r="Q35" s="215"/>
      <c r="R35" s="215"/>
      <c r="S35" s="217"/>
      <c r="T35" s="217"/>
      <c r="U35" s="213"/>
      <c r="V35" s="215"/>
      <c r="W35" s="215"/>
      <c r="X35" s="217"/>
      <c r="Y35" s="217"/>
      <c r="Z35" s="213"/>
      <c r="AA35" s="215"/>
      <c r="AB35" s="215"/>
      <c r="AC35" s="217"/>
      <c r="AD35" s="217"/>
      <c r="AE35" s="213"/>
      <c r="AF35" s="215"/>
      <c r="AG35" s="215"/>
      <c r="AH35" s="217"/>
      <c r="AI35" s="217"/>
      <c r="AJ35" s="213"/>
    </row>
    <row r="36" spans="1:36" ht="33.75" customHeight="1">
      <c r="A36" s="213"/>
      <c r="B36" s="214">
        <f ca="1">IFERROR(__xludf.DUMMYFUNCTION("""COMPUTED_VALUE"""),2895002)</f>
        <v>2895002</v>
      </c>
      <c r="C36" s="215" t="str">
        <f ca="1">IFERROR(__xludf.DUMMYFUNCTION("""COMPUTED_VALUE"""),"Advanced")</f>
        <v>Advanced</v>
      </c>
      <c r="D36" s="216" t="str">
        <f ca="1">IFERROR(__xludf.DUMMYFUNCTION("""COMPUTED_VALUE"""),"People Success: Employee Assessments")</f>
        <v>People Success: Employee Assessments</v>
      </c>
      <c r="E36" s="217"/>
      <c r="F36" s="213"/>
      <c r="G36" s="214">
        <f ca="1">IFERROR(__xludf.DUMMYFUNCTION("""COMPUTED_VALUE"""),2931182)</f>
        <v>2931182</v>
      </c>
      <c r="H36" s="215" t="str">
        <f ca="1">IFERROR(__xludf.DUMMYFUNCTION("""COMPUTED_VALUE"""),"Beginner")</f>
        <v>Beginner</v>
      </c>
      <c r="I36" s="217" t="str">
        <f ca="1">IFERROR(__xludf.DUMMYFUNCTION("""COMPUTED_VALUE"""),"L'essentiel de LinkedIn Job Slots")</f>
        <v>L'essentiel de LinkedIn Job Slots</v>
      </c>
      <c r="J36" s="217"/>
      <c r="K36" s="213"/>
      <c r="L36" s="215">
        <f ca="1">IFERROR(__xludf.DUMMYFUNCTION("""COMPUTED_VALUE"""),2925058)</f>
        <v>2925058</v>
      </c>
      <c r="M36" s="215" t="str">
        <f ca="1">IFERROR(__xludf.DUMMYFUNCTION("""COMPUTED_VALUE"""),"Beginner, Intermediate")</f>
        <v>Beginner, Intermediate</v>
      </c>
      <c r="N36" s="217" t="str">
        <f ca="1">IFERROR(__xludf.DUMMYFUNCTION("""COMPUTED_VALUE"""),"Microsoft Dynamics 365 Talent esencial")</f>
        <v>Microsoft Dynamics 365 Talent esencial</v>
      </c>
      <c r="O36" s="217"/>
      <c r="P36" s="213"/>
      <c r="Q36" s="215"/>
      <c r="R36" s="215"/>
      <c r="S36" s="217"/>
      <c r="T36" s="217"/>
      <c r="U36" s="213"/>
      <c r="V36" s="215"/>
      <c r="W36" s="215"/>
      <c r="X36" s="217"/>
      <c r="Y36" s="217"/>
      <c r="Z36" s="213"/>
      <c r="AA36" s="215"/>
      <c r="AB36" s="215"/>
      <c r="AC36" s="217"/>
      <c r="AD36" s="217"/>
      <c r="AE36" s="213"/>
      <c r="AF36" s="215"/>
      <c r="AG36" s="215"/>
      <c r="AH36" s="217"/>
      <c r="AI36" s="217"/>
      <c r="AJ36" s="213"/>
    </row>
    <row r="37" spans="1:36" ht="33.75" customHeight="1">
      <c r="A37" s="213"/>
      <c r="B37" s="214">
        <f ca="1">IFERROR(__xludf.DUMMYFUNCTION("""COMPUTED_VALUE"""),2817013)</f>
        <v>2817013</v>
      </c>
      <c r="C37" s="215" t="str">
        <f ca="1">IFERROR(__xludf.DUMMYFUNCTION("""COMPUTED_VALUE"""),"General")</f>
        <v>General</v>
      </c>
      <c r="D37" s="216" t="str">
        <f ca="1">IFERROR(__xludf.DUMMYFUNCTION("""COMPUTED_VALUE"""),"Letting an Employee Go")</f>
        <v>Letting an Employee Go</v>
      </c>
      <c r="E37" s="217"/>
      <c r="F37" s="213"/>
      <c r="G37" s="214">
        <f ca="1">IFERROR(__xludf.DUMMYFUNCTION("""COMPUTED_VALUE"""),2823025)</f>
        <v>2823025</v>
      </c>
      <c r="H37" s="215" t="str">
        <f ca="1">IFERROR(__xludf.DUMMYFUNCTION("""COMPUTED_VALUE"""),"Beginner, Intermediate")</f>
        <v>Beginner, Intermediate</v>
      </c>
      <c r="I37" s="217" t="str">
        <f ca="1">IFERROR(__xludf.DUMMYFUNCTION("""COMPUTED_VALUE"""),"L'essentiel de LinkedIn Recruiter")</f>
        <v>L'essentiel de LinkedIn Recruiter</v>
      </c>
      <c r="J37" s="217"/>
      <c r="K37" s="213"/>
      <c r="L37" s="215">
        <f ca="1">IFERROR(__xludf.DUMMYFUNCTION("""COMPUTED_VALUE"""),2836011)</f>
        <v>2836011</v>
      </c>
      <c r="M37" s="215" t="str">
        <f ca="1">IFERROR(__xludf.DUMMYFUNCTION("""COMPUTED_VALUE"""),"All levels")</f>
        <v>All levels</v>
      </c>
      <c r="N37" s="217" t="str">
        <f ca="1">IFERROR(__xludf.DUMMYFUNCTION("""COMPUTED_VALUE"""),"Microsoft Teams: Administrar los horarios de trabajo del personal con Turnos")</f>
        <v>Microsoft Teams: Administrar los horarios de trabajo del personal con Turnos</v>
      </c>
      <c r="O37" s="217"/>
      <c r="P37" s="213"/>
      <c r="Q37" s="215"/>
      <c r="R37" s="215"/>
      <c r="S37" s="217"/>
      <c r="T37" s="217"/>
      <c r="U37" s="213"/>
      <c r="V37" s="215"/>
      <c r="W37" s="215"/>
      <c r="X37" s="217"/>
      <c r="Y37" s="217"/>
      <c r="Z37" s="213"/>
      <c r="AA37" s="215"/>
      <c r="AB37" s="215"/>
      <c r="AC37" s="217"/>
      <c r="AD37" s="217"/>
      <c r="AE37" s="213"/>
      <c r="AF37" s="215"/>
      <c r="AG37" s="215"/>
      <c r="AH37" s="217"/>
      <c r="AI37" s="217"/>
      <c r="AJ37" s="213"/>
    </row>
    <row r="38" spans="1:36" ht="33.75" customHeight="1">
      <c r="A38" s="213"/>
      <c r="B38" s="214">
        <f ca="1">IFERROR(__xludf.DUMMYFUNCTION("""COMPUTED_VALUE"""),2832011)</f>
        <v>2832011</v>
      </c>
      <c r="C38" s="215" t="str">
        <f ca="1">IFERROR(__xludf.DUMMYFUNCTION("""COMPUTED_VALUE"""),"General")</f>
        <v>General</v>
      </c>
      <c r="D38" s="216" t="str">
        <f ca="1">IFERROR(__xludf.DUMMYFUNCTION("""COMPUTED_VALUE"""),"Establishing Work from Home Policies")</f>
        <v>Establishing Work from Home Policies</v>
      </c>
      <c r="E38" s="217"/>
      <c r="F38" s="213"/>
      <c r="G38" s="214">
        <f ca="1">IFERROR(__xludf.DUMMYFUNCTION("""COMPUTED_VALUE"""),5025537)</f>
        <v>5025537</v>
      </c>
      <c r="H38" s="215" t="str">
        <f ca="1">IFERROR(__xludf.DUMMYFUNCTION("""COMPUTED_VALUE"""),"Beginner, Intermediate")</f>
        <v>Beginner, Intermediate</v>
      </c>
      <c r="I38" s="217" t="str">
        <f ca="1">IFERROR(__xludf.DUMMYFUNCTION("""COMPUTED_VALUE"""),"Maîtriser le contrat de travail de l'embauche à la rupture")</f>
        <v>Maîtriser le contrat de travail de l'embauche à la rupture</v>
      </c>
      <c r="J38" s="217"/>
      <c r="K38" s="213"/>
      <c r="L38" s="215">
        <f ca="1">IFERROR(__xludf.DUMMYFUNCTION("""COMPUTED_VALUE"""),449379)</f>
        <v>449379</v>
      </c>
      <c r="M38" s="215" t="str">
        <f ca="1">IFERROR(__xludf.DUMMYFUNCTION("""COMPUTED_VALUE"""),"Beginner")</f>
        <v>Beginner</v>
      </c>
      <c r="N38" s="217" t="str">
        <f ca="1">IFERROR(__xludf.DUMMYFUNCTION("""COMPUTED_VALUE"""),"Motivación e implicación en la empresa")</f>
        <v>Motivación e implicación en la empresa</v>
      </c>
      <c r="O38" s="217"/>
      <c r="P38" s="213"/>
      <c r="Q38" s="215"/>
      <c r="R38" s="215"/>
      <c r="S38" s="217"/>
      <c r="T38" s="217"/>
      <c r="U38" s="213"/>
      <c r="V38" s="215"/>
      <c r="W38" s="215"/>
      <c r="X38" s="217"/>
      <c r="Y38" s="217"/>
      <c r="Z38" s="213"/>
      <c r="AA38" s="215"/>
      <c r="AB38" s="215"/>
      <c r="AC38" s="217"/>
      <c r="AD38" s="217"/>
      <c r="AE38" s="213"/>
      <c r="AF38" s="215"/>
      <c r="AG38" s="215"/>
      <c r="AH38" s="217"/>
      <c r="AI38" s="217"/>
      <c r="AJ38" s="213"/>
    </row>
    <row r="39" spans="1:36" ht="33.75" customHeight="1">
      <c r="A39" s="213"/>
      <c r="B39" s="214">
        <f ca="1">IFERROR(__xludf.DUMMYFUNCTION("""COMPUTED_VALUE"""),2880281)</f>
        <v>2880281</v>
      </c>
      <c r="C39" s="215" t="str">
        <f ca="1">IFERROR(__xludf.DUMMYFUNCTION("""COMPUTED_VALUE"""),"Beginner")</f>
        <v>Beginner</v>
      </c>
      <c r="D39" s="216" t="str">
        <f ca="1">IFERROR(__xludf.DUMMYFUNCTION("""COMPUTED_VALUE"""),"Tech Recruiting Foundations: 5 Waterfall, Agile, and DevOps for Recruiters")</f>
        <v>Tech Recruiting Foundations: 5 Waterfall, Agile, and DevOps for Recruiters</v>
      </c>
      <c r="E39" s="217"/>
      <c r="F39" s="213"/>
      <c r="G39" s="214">
        <f ca="1">IFERROR(__xludf.DUMMYFUNCTION("""COMPUTED_VALUE"""),2421885)</f>
        <v>2421885</v>
      </c>
      <c r="H39" s="215" t="str">
        <f ca="1">IFERROR(__xludf.DUMMYFUNCTION("""COMPUTED_VALUE"""),"Beginner")</f>
        <v>Beginner</v>
      </c>
      <c r="I39" s="217" t="str">
        <f ca="1">IFERROR(__xludf.DUMMYFUNCTION("""COMPUTED_VALUE"""),"Préparer son entretien de développement informatique")</f>
        <v>Préparer son entretien de développement informatique</v>
      </c>
      <c r="J39" s="217"/>
      <c r="K39" s="213"/>
      <c r="L39" s="215">
        <f ca="1">IFERROR(__xludf.DUMMYFUNCTION("""COMPUTED_VALUE"""),2929113)</f>
        <v>2929113</v>
      </c>
      <c r="M39" s="215" t="str">
        <f ca="1">IFERROR(__xludf.DUMMYFUNCTION("""COMPUTED_VALUE"""),"All levels")</f>
        <v>All levels</v>
      </c>
      <c r="N39" s="217" t="str">
        <f ca="1">IFERROR(__xludf.DUMMYFUNCTION("""COMPUTED_VALUE"""),"Plantilla: Curriculum vitae con Word")</f>
        <v>Plantilla: Curriculum vitae con Word</v>
      </c>
      <c r="O39" s="217"/>
      <c r="P39" s="213"/>
      <c r="Q39" s="215"/>
      <c r="R39" s="215"/>
      <c r="S39" s="217"/>
      <c r="T39" s="217"/>
      <c r="U39" s="213"/>
      <c r="V39" s="215"/>
      <c r="W39" s="215"/>
      <c r="X39" s="217"/>
      <c r="Y39" s="217"/>
      <c r="Z39" s="213"/>
      <c r="AA39" s="215"/>
      <c r="AB39" s="215"/>
      <c r="AC39" s="217"/>
      <c r="AD39" s="217"/>
      <c r="AE39" s="213"/>
      <c r="AF39" s="215"/>
      <c r="AG39" s="215"/>
      <c r="AH39" s="217"/>
      <c r="AI39" s="217"/>
      <c r="AJ39" s="213"/>
    </row>
    <row r="40" spans="1:36" ht="33.75" customHeight="1">
      <c r="A40" s="213"/>
      <c r="B40" s="214">
        <f ca="1">IFERROR(__xludf.DUMMYFUNCTION("""COMPUTED_VALUE"""),2886307)</f>
        <v>2886307</v>
      </c>
      <c r="C40" s="215" t="str">
        <f ca="1">IFERROR(__xludf.DUMMYFUNCTION("""COMPUTED_VALUE"""),"Beginner")</f>
        <v>Beginner</v>
      </c>
      <c r="D40" s="216" t="str">
        <f ca="1">IFERROR(__xludf.DUMMYFUNCTION("""COMPUTED_VALUE"""),"Tech Recruiting Foundations: 4 Recruiting for the IT Department")</f>
        <v>Tech Recruiting Foundations: 4 Recruiting for the IT Department</v>
      </c>
      <c r="E40" s="217"/>
      <c r="F40" s="213"/>
      <c r="G40" s="214">
        <f ca="1">IFERROR(__xludf.DUMMYFUNCTION("""COMPUTED_VALUE"""),2458198)</f>
        <v>2458198</v>
      </c>
      <c r="H40" s="215" t="str">
        <f ca="1">IFERROR(__xludf.DUMMYFUNCTION("""COMPUTED_VALUE"""),"All levels")</f>
        <v>All levels</v>
      </c>
      <c r="I40" s="217" t="str">
        <f ca="1">IFERROR(__xludf.DUMMYFUNCTION("""COMPUTED_VALUE"""),"Promouvoir la neurodiversité au travail")</f>
        <v>Promouvoir la neurodiversité au travail</v>
      </c>
      <c r="J40" s="217"/>
      <c r="K40" s="213"/>
      <c r="L40" s="215">
        <f ca="1">IFERROR(__xludf.DUMMYFUNCTION("""COMPUTED_VALUE"""),750053)</f>
        <v>750053</v>
      </c>
      <c r="M40" s="215" t="str">
        <f ca="1">IFERROR(__xludf.DUMMYFUNCTION("""COMPUTED_VALUE"""),"Intermediate")</f>
        <v>Intermediate</v>
      </c>
      <c r="N40" s="217" t="str">
        <f ca="1">IFERROR(__xludf.DUMMYFUNCTION("""COMPUTED_VALUE"""),"Recursos humanos estratégicos")</f>
        <v>Recursos humanos estratégicos</v>
      </c>
      <c r="O40" s="217"/>
      <c r="P40" s="213"/>
      <c r="Q40" s="215"/>
      <c r="R40" s="215"/>
      <c r="S40" s="217"/>
      <c r="T40" s="217"/>
      <c r="U40" s="213"/>
      <c r="V40" s="215"/>
      <c r="W40" s="215"/>
      <c r="X40" s="217"/>
      <c r="Y40" s="217"/>
      <c r="Z40" s="213"/>
      <c r="AA40" s="215"/>
      <c r="AB40" s="215"/>
      <c r="AC40" s="217"/>
      <c r="AD40" s="217"/>
      <c r="AE40" s="213"/>
      <c r="AF40" s="215"/>
      <c r="AG40" s="215"/>
      <c r="AH40" s="217"/>
      <c r="AI40" s="217"/>
      <c r="AJ40" s="213"/>
    </row>
    <row r="41" spans="1:36" ht="33.75" customHeight="1">
      <c r="A41" s="213"/>
      <c r="B41" s="214">
        <f ca="1">IFERROR(__xludf.DUMMYFUNCTION("""COMPUTED_VALUE"""),802827)</f>
        <v>802827</v>
      </c>
      <c r="C41" s="215" t="str">
        <f ca="1">IFERROR(__xludf.DUMMYFUNCTION("""COMPUTED_VALUE"""),"Beginner")</f>
        <v>Beginner</v>
      </c>
      <c r="D41" s="216" t="str">
        <f ca="1">IFERROR(__xludf.DUMMYFUNCTION("""COMPUTED_VALUE"""),"Handling Workplace Bullying")</f>
        <v>Handling Workplace Bullying</v>
      </c>
      <c r="E41" s="217"/>
      <c r="F41" s="213"/>
      <c r="G41" s="214">
        <f ca="1">IFERROR(__xludf.DUMMYFUNCTION("""COMPUTED_VALUE"""),2919859)</f>
        <v>2919859</v>
      </c>
      <c r="H41" s="215" t="str">
        <f ca="1">IFERROR(__xludf.DUMMYFUNCTION("""COMPUTED_VALUE"""),"Advanced")</f>
        <v>Advanced</v>
      </c>
      <c r="I41" s="217" t="str">
        <f ca="1">IFERROR(__xludf.DUMMYFUNCTION("""COMPUTED_VALUE"""),"Recruter des profils Techs")</f>
        <v>Recruter des profils Techs</v>
      </c>
      <c r="J41" s="217"/>
      <c r="K41" s="213"/>
      <c r="L41" s="215">
        <f ca="1">IFERROR(__xludf.DUMMYFUNCTION("""COMPUTED_VALUE"""),5024268)</f>
        <v>5024268</v>
      </c>
      <c r="M41" s="215" t="str">
        <f ca="1">IFERROR(__xludf.DUMMYFUNCTION("""COMPUTED_VALUE"""),"Beginner, Intermediate")</f>
        <v>Beginner, Intermediate</v>
      </c>
      <c r="N41" s="217" t="str">
        <f ca="1">IFERROR(__xludf.DUMMYFUNCTION("""COMPUTED_VALUE"""),"Recursos humanos: Cómo entrevistar aspirantes")</f>
        <v>Recursos humanos: Cómo entrevistar aspirantes</v>
      </c>
      <c r="O41" s="217"/>
      <c r="P41" s="213"/>
      <c r="Q41" s="215"/>
      <c r="R41" s="215"/>
      <c r="S41" s="217"/>
      <c r="T41" s="217"/>
      <c r="U41" s="213"/>
      <c r="V41" s="215"/>
      <c r="W41" s="215"/>
      <c r="X41" s="217"/>
      <c r="Y41" s="217"/>
      <c r="Z41" s="213"/>
      <c r="AA41" s="215"/>
      <c r="AB41" s="215"/>
      <c r="AC41" s="217"/>
      <c r="AD41" s="217"/>
      <c r="AE41" s="213"/>
      <c r="AF41" s="215"/>
      <c r="AG41" s="215"/>
      <c r="AH41" s="217"/>
      <c r="AI41" s="217"/>
      <c r="AJ41" s="213"/>
    </row>
    <row r="42" spans="1:36" ht="33.75" customHeight="1">
      <c r="A42" s="213"/>
      <c r="B42" s="214">
        <f ca="1">IFERROR(__xludf.DUMMYFUNCTION("""COMPUTED_VALUE"""),572890)</f>
        <v>572890</v>
      </c>
      <c r="C42" s="215" t="str">
        <f ca="1">IFERROR(__xludf.DUMMYFUNCTION("""COMPUTED_VALUE"""),"Beginner")</f>
        <v>Beginner</v>
      </c>
      <c r="D42" s="216" t="str">
        <f ca="1">IFERROR(__xludf.DUMMYFUNCTION("""COMPUTED_VALUE"""),"How to Design and Deliver Training Programs")</f>
        <v>How to Design and Deliver Training Programs</v>
      </c>
      <c r="E42" s="217"/>
      <c r="F42" s="213"/>
      <c r="G42" s="214">
        <f ca="1">IFERROR(__xludf.DUMMYFUNCTION("""COMPUTED_VALUE"""),3000006)</f>
        <v>3000006</v>
      </c>
      <c r="H42" s="215" t="str">
        <f ca="1">IFERROR(__xludf.DUMMYFUNCTION("""COMPUTED_VALUE"""),"Intermediate")</f>
        <v>Intermediate</v>
      </c>
      <c r="I42" s="217" t="str">
        <f ca="1">IFERROR(__xludf.DUMMYFUNCTION("""COMPUTED_VALUE"""),"Recruter en pensant à la diversité")</f>
        <v>Recruter en pensant à la diversité</v>
      </c>
      <c r="J42" s="217"/>
      <c r="K42" s="213"/>
      <c r="L42" s="215">
        <f ca="1">IFERROR(__xludf.DUMMYFUNCTION("""COMPUTED_VALUE"""),2929355)</f>
        <v>2929355</v>
      </c>
      <c r="M42" s="215" t="str">
        <f ca="1">IFERROR(__xludf.DUMMYFUNCTION("""COMPUTED_VALUE"""),"Intermediate")</f>
        <v>Intermediate</v>
      </c>
      <c r="N42" s="217" t="str">
        <f ca="1">IFERROR(__xludf.DUMMYFUNCTION("""COMPUTED_VALUE"""),"Recursos humanos: Cómo manejar el bullying en el lugar de trabajo")</f>
        <v>Recursos humanos: Cómo manejar el bullying en el lugar de trabajo</v>
      </c>
      <c r="O42" s="217"/>
      <c r="P42" s="213"/>
      <c r="Q42" s="215"/>
      <c r="R42" s="215"/>
      <c r="S42" s="217"/>
      <c r="T42" s="217"/>
      <c r="U42" s="213"/>
      <c r="V42" s="215"/>
      <c r="W42" s="215"/>
      <c r="X42" s="217"/>
      <c r="Y42" s="217"/>
      <c r="Z42" s="213"/>
      <c r="AA42" s="215"/>
      <c r="AB42" s="215"/>
      <c r="AC42" s="217"/>
      <c r="AD42" s="217"/>
      <c r="AE42" s="213"/>
      <c r="AF42" s="215"/>
      <c r="AG42" s="215"/>
      <c r="AH42" s="217"/>
      <c r="AI42" s="217"/>
      <c r="AJ42" s="213"/>
    </row>
    <row r="43" spans="1:36" ht="33.75" customHeight="1">
      <c r="A43" s="213"/>
      <c r="B43" s="214">
        <f ca="1">IFERROR(__xludf.DUMMYFUNCTION("""COMPUTED_VALUE"""),191268)</f>
        <v>191268</v>
      </c>
      <c r="C43" s="215" t="str">
        <f ca="1">IFERROR(__xludf.DUMMYFUNCTION("""COMPUTED_VALUE"""),"Beginner")</f>
        <v>Beginner</v>
      </c>
      <c r="D43" s="216" t="str">
        <f ca="1">IFERROR(__xludf.DUMMYFUNCTION("""COMPUTED_VALUE"""),"Human Resources Foundations")</f>
        <v>Human Resources Foundations</v>
      </c>
      <c r="E43" s="217"/>
      <c r="F43" s="213"/>
      <c r="G43" s="214">
        <f ca="1">IFERROR(__xludf.DUMMYFUNCTION("""COMPUTED_VALUE"""),561063)</f>
        <v>561063</v>
      </c>
      <c r="H43" s="215" t="str">
        <f ca="1">IFERROR(__xludf.DUMMYFUNCTION("""COMPUTED_VALUE"""),"Intermediate")</f>
        <v>Intermediate</v>
      </c>
      <c r="I43" s="217" t="str">
        <f ca="1">IFERROR(__xludf.DUMMYFUNCTION("""COMPUTED_VALUE"""),"Recruter une équipe")</f>
        <v>Recruter une équipe</v>
      </c>
      <c r="J43" s="217"/>
      <c r="K43" s="213"/>
      <c r="L43" s="215">
        <f ca="1">IFERROR(__xludf.DUMMYFUNCTION("""COMPUTED_VALUE"""),5036703)</f>
        <v>5036703</v>
      </c>
      <c r="M43" s="215" t="str">
        <f ca="1">IFERROR(__xludf.DUMMYFUNCTION("""COMPUTED_VALUE"""),"Beginner, Intermediate")</f>
        <v>Beginner, Intermediate</v>
      </c>
      <c r="N43" s="217" t="str">
        <f ca="1">IFERROR(__xludf.DUMMYFUNCTION("""COMPUTED_VALUE"""),"Recursos humanos: Contratación de perfiles de desarrollo")</f>
        <v>Recursos humanos: Contratación de perfiles de desarrollo</v>
      </c>
      <c r="O43" s="217"/>
      <c r="P43" s="213"/>
      <c r="Q43" s="215"/>
      <c r="R43" s="215"/>
      <c r="S43" s="217"/>
      <c r="T43" s="217"/>
      <c r="U43" s="213"/>
      <c r="V43" s="215"/>
      <c r="W43" s="215"/>
      <c r="X43" s="217"/>
      <c r="Y43" s="217"/>
      <c r="Z43" s="213"/>
      <c r="AA43" s="215"/>
      <c r="AB43" s="215"/>
      <c r="AC43" s="217"/>
      <c r="AD43" s="217"/>
      <c r="AE43" s="213"/>
      <c r="AF43" s="215"/>
      <c r="AG43" s="215"/>
      <c r="AH43" s="217"/>
      <c r="AI43" s="217"/>
      <c r="AJ43" s="213"/>
    </row>
    <row r="44" spans="1:36" ht="33.75" customHeight="1">
      <c r="A44" s="213"/>
      <c r="B44" s="214">
        <f ca="1">IFERROR(__xludf.DUMMYFUNCTION("""COMPUTED_VALUE"""),721920)</f>
        <v>721920</v>
      </c>
      <c r="C44" s="215" t="str">
        <f ca="1">IFERROR(__xludf.DUMMYFUNCTION("""COMPUTED_VALUE"""),"Beginner")</f>
        <v>Beginner</v>
      </c>
      <c r="D44" s="216" t="str">
        <f ca="1">IFERROR(__xludf.DUMMYFUNCTION("""COMPUTED_VALUE"""),"Human Resources: Protecting Confidentiality")</f>
        <v>Human Resources: Protecting Confidentiality</v>
      </c>
      <c r="E44" s="217"/>
      <c r="F44" s="213"/>
      <c r="G44" s="214">
        <f ca="1">IFERROR(__xludf.DUMMYFUNCTION("""COMPUTED_VALUE"""),796902)</f>
        <v>796902</v>
      </c>
      <c r="H44" s="215" t="str">
        <f ca="1">IFERROR(__xludf.DUMMYFUNCTION("""COMPUTED_VALUE"""),"Intermediate")</f>
        <v>Intermediate</v>
      </c>
      <c r="I44" s="217" t="str">
        <f ca="1">IFERROR(__xludf.DUMMYFUNCTION("""COMPUTED_VALUE"""),"Repenser la gestion de la performance")</f>
        <v>Repenser la gestion de la performance</v>
      </c>
      <c r="J44" s="217"/>
      <c r="K44" s="213"/>
      <c r="L44" s="215">
        <f ca="1">IFERROR(__xludf.DUMMYFUNCTION("""COMPUTED_VALUE"""),5036702)</f>
        <v>5036702</v>
      </c>
      <c r="M44" s="215" t="str">
        <f ca="1">IFERROR(__xludf.DUMMYFUNCTION("""COMPUTED_VALUE"""),"Beginner, Intermediate")</f>
        <v>Beginner, Intermediate</v>
      </c>
      <c r="N44" s="217" t="str">
        <f ca="1">IFERROR(__xludf.DUMMYFUNCTION("""COMPUTED_VALUE"""),"Recursos humanos: Contratación IT")</f>
        <v>Recursos humanos: Contratación IT</v>
      </c>
      <c r="O44" s="217"/>
      <c r="P44" s="213"/>
      <c r="Q44" s="215"/>
      <c r="R44" s="215"/>
      <c r="S44" s="217"/>
      <c r="T44" s="217"/>
      <c r="U44" s="213"/>
      <c r="V44" s="215"/>
      <c r="W44" s="215"/>
      <c r="X44" s="217"/>
      <c r="Y44" s="217"/>
      <c r="Z44" s="213"/>
      <c r="AA44" s="215"/>
      <c r="AB44" s="215"/>
      <c r="AC44" s="217"/>
      <c r="AD44" s="217"/>
      <c r="AE44" s="213"/>
      <c r="AF44" s="215"/>
      <c r="AG44" s="215"/>
      <c r="AH44" s="217"/>
      <c r="AI44" s="217"/>
      <c r="AJ44" s="213"/>
    </row>
    <row r="45" spans="1:36" ht="33.75" customHeight="1">
      <c r="A45" s="213"/>
      <c r="B45" s="214">
        <f ca="1">IFERROR(__xludf.DUMMYFUNCTION("""COMPUTED_VALUE"""),794118)</f>
        <v>794118</v>
      </c>
      <c r="C45" s="215" t="str">
        <f ca="1">IFERROR(__xludf.DUMMYFUNCTION("""COMPUTED_VALUE"""),"Beginner")</f>
        <v>Beginner</v>
      </c>
      <c r="D45" s="216" t="str">
        <f ca="1">IFERROR(__xludf.DUMMYFUNCTION("""COMPUTED_VALUE"""),"Teaching Civility in the Workplace")</f>
        <v>Teaching Civility in the Workplace</v>
      </c>
      <c r="E45" s="217"/>
      <c r="F45" s="213"/>
      <c r="G45" s="214">
        <f ca="1">IFERROR(__xludf.DUMMYFUNCTION("""COMPUTED_VALUE"""),2430405)</f>
        <v>2430405</v>
      </c>
      <c r="H45" s="215" t="str">
        <f ca="1">IFERROR(__xludf.DUMMYFUNCTION("""COMPUTED_VALUE"""),"All levels")</f>
        <v>All levels</v>
      </c>
      <c r="I45" s="217" t="str">
        <f ca="1">IFERROR(__xludf.DUMMYFUNCTION("""COMPUTED_VALUE"""),"Réussir un entretien pour un emploi ou un stage dans le design")</f>
        <v>Réussir un entretien pour un emploi ou un stage dans le design</v>
      </c>
      <c r="J45" s="217"/>
      <c r="K45" s="213"/>
      <c r="L45" s="215">
        <f ca="1">IFERROR(__xludf.DUMMYFUNCTION("""COMPUTED_VALUE"""),5024265)</f>
        <v>5024265</v>
      </c>
      <c r="M45" s="215" t="str">
        <f ca="1">IFERROR(__xludf.DUMMYFUNCTION("""COMPUTED_VALUE"""),"Intermediate")</f>
        <v>Intermediate</v>
      </c>
      <c r="N45" s="217" t="str">
        <f ca="1">IFERROR(__xludf.DUMMYFUNCTION("""COMPUTED_VALUE"""),"Recursos humanos: Reclutamiento de la diversidad")</f>
        <v>Recursos humanos: Reclutamiento de la diversidad</v>
      </c>
      <c r="O45" s="217"/>
      <c r="P45" s="213"/>
      <c r="Q45" s="215"/>
      <c r="R45" s="215"/>
      <c r="S45" s="217"/>
      <c r="T45" s="217"/>
      <c r="U45" s="213"/>
      <c r="V45" s="215"/>
      <c r="W45" s="215"/>
      <c r="X45" s="217"/>
      <c r="Y45" s="217"/>
      <c r="Z45" s="213"/>
      <c r="AA45" s="215"/>
      <c r="AB45" s="215"/>
      <c r="AC45" s="217"/>
      <c r="AD45" s="217"/>
      <c r="AE45" s="213"/>
      <c r="AF45" s="215"/>
      <c r="AG45" s="215"/>
      <c r="AH45" s="217"/>
      <c r="AI45" s="217"/>
      <c r="AJ45" s="213"/>
    </row>
    <row r="46" spans="1:36" ht="33.75" customHeight="1">
      <c r="A46" s="213"/>
      <c r="B46" s="214">
        <f ca="1">IFERROR(__xludf.DUMMYFUNCTION("""COMPUTED_VALUE"""),2805907)</f>
        <v>2805907</v>
      </c>
      <c r="C46" s="215" t="str">
        <f ca="1">IFERROR(__xludf.DUMMYFUNCTION("""COMPUTED_VALUE"""),"Beginner")</f>
        <v>Beginner</v>
      </c>
      <c r="D46" s="216" t="str">
        <f ca="1">IFERROR(__xludf.DUMMYFUNCTION("""COMPUTED_VALUE"""),"Women Transforming Tech: Finding Sponsors")</f>
        <v>Women Transforming Tech: Finding Sponsors</v>
      </c>
      <c r="E46" s="217"/>
      <c r="F46" s="213"/>
      <c r="G46" s="214">
        <f ca="1">IFERROR(__xludf.DUMMYFUNCTION("""COMPUTED_VALUE"""),2454243)</f>
        <v>2454243</v>
      </c>
      <c r="H46" s="215" t="str">
        <f ca="1">IFERROR(__xludf.DUMMYFUNCTION("""COMPUTED_VALUE"""),"All levels")</f>
        <v>All levels</v>
      </c>
      <c r="I46" s="217" t="str">
        <f ca="1">IFERROR(__xludf.DUMMYFUNCTION("""COMPUTED_VALUE"""),"S'exprimer contre les discriminations au travail")</f>
        <v>S'exprimer contre les discriminations au travail</v>
      </c>
      <c r="J46" s="217"/>
      <c r="K46" s="213"/>
      <c r="L46" s="215">
        <f ca="1">IFERROR(__xludf.DUMMYFUNCTION("""COMPUTED_VALUE"""),608965)</f>
        <v>608965</v>
      </c>
      <c r="M46" s="215" t="str">
        <f ca="1">IFERROR(__xludf.DUMMYFUNCTION("""COMPUTED_VALUE"""),"Beginner")</f>
        <v>Beginner</v>
      </c>
      <c r="N46" s="217" t="str">
        <f ca="1">IFERROR(__xludf.DUMMYFUNCTION("""COMPUTED_VALUE"""),"Selección de personal y desarrollo de tu equipo")</f>
        <v>Selección de personal y desarrollo de tu equipo</v>
      </c>
      <c r="O46" s="217"/>
      <c r="P46" s="213"/>
      <c r="Q46" s="215"/>
      <c r="R46" s="215"/>
      <c r="S46" s="217"/>
      <c r="T46" s="217"/>
      <c r="U46" s="213"/>
      <c r="V46" s="215"/>
      <c r="W46" s="215"/>
      <c r="X46" s="217"/>
      <c r="Y46" s="217"/>
      <c r="Z46" s="213"/>
      <c r="AA46" s="215"/>
      <c r="AB46" s="215"/>
      <c r="AC46" s="217"/>
      <c r="AD46" s="217"/>
      <c r="AE46" s="213"/>
      <c r="AF46" s="215"/>
      <c r="AG46" s="215"/>
      <c r="AH46" s="217"/>
      <c r="AI46" s="217"/>
      <c r="AJ46" s="213"/>
    </row>
    <row r="47" spans="1:36" ht="33.75" customHeight="1">
      <c r="A47" s="213"/>
      <c r="B47" s="214">
        <f ca="1">IFERROR(__xludf.DUMMYFUNCTION("""COMPUTED_VALUE"""),2813256)</f>
        <v>2813256</v>
      </c>
      <c r="C47" s="215" t="str">
        <f ca="1">IFERROR(__xludf.DUMMYFUNCTION("""COMPUTED_VALUE"""),"Beginner")</f>
        <v>Beginner</v>
      </c>
      <c r="D47" s="216" t="str">
        <f ca="1">IFERROR(__xludf.DUMMYFUNCTION("""COMPUTED_VALUE"""),"Connecting with Your Millennial Manager")</f>
        <v>Connecting with Your Millennial Manager</v>
      </c>
      <c r="E47" s="217"/>
      <c r="F47" s="213"/>
      <c r="G47" s="214">
        <f ca="1">IFERROR(__xludf.DUMMYFUNCTION("""COMPUTED_VALUE"""),610661)</f>
        <v>610661</v>
      </c>
      <c r="H47" s="215" t="str">
        <f ca="1">IFERROR(__xludf.DUMMYFUNCTION("""COMPUTED_VALUE"""),"Intermediate")</f>
        <v>Intermediate</v>
      </c>
      <c r="I47" s="217" t="str">
        <f ca="1">IFERROR(__xludf.DUMMYFUNCTION("""COMPUTED_VALUE"""),"Trouver, embaucher et fidéliser des hauts potentiels")</f>
        <v>Trouver, embaucher et fidéliser des hauts potentiels</v>
      </c>
      <c r="J47" s="217"/>
      <c r="K47" s="213"/>
      <c r="L47" s="215">
        <f ca="1">IFERROR(__xludf.DUMMYFUNCTION("""COMPUTED_VALUE"""),622424)</f>
        <v>622424</v>
      </c>
      <c r="M47" s="215" t="str">
        <f ca="1">IFERROR(__xludf.DUMMYFUNCTION("""COMPUTED_VALUE"""),"Beginner")</f>
        <v>Beginner</v>
      </c>
      <c r="N47" s="217" t="str">
        <f ca="1">IFERROR(__xludf.DUMMYFUNCTION("""COMPUTED_VALUE"""),"Teletrabajo y gestión de equipos remotos")</f>
        <v>Teletrabajo y gestión de equipos remotos</v>
      </c>
      <c r="O47" s="217"/>
      <c r="P47" s="213"/>
      <c r="Q47" s="215"/>
      <c r="R47" s="215"/>
      <c r="S47" s="217"/>
      <c r="T47" s="217"/>
      <c r="U47" s="213"/>
      <c r="V47" s="215"/>
      <c r="W47" s="215"/>
      <c r="X47" s="217"/>
      <c r="Y47" s="217"/>
      <c r="Z47" s="213"/>
      <c r="AA47" s="215"/>
      <c r="AB47" s="215"/>
      <c r="AC47" s="217"/>
      <c r="AD47" s="217"/>
      <c r="AE47" s="213"/>
      <c r="AF47" s="215"/>
      <c r="AG47" s="215"/>
      <c r="AH47" s="217"/>
      <c r="AI47" s="217"/>
      <c r="AJ47" s="213"/>
    </row>
    <row r="48" spans="1:36" ht="33.75" customHeight="1">
      <c r="A48" s="213"/>
      <c r="B48" s="214">
        <f ca="1">IFERROR(__xludf.DUMMYFUNCTION("""COMPUTED_VALUE"""),2823248)</f>
        <v>2823248</v>
      </c>
      <c r="C48" s="215" t="str">
        <f ca="1">IFERROR(__xludf.DUMMYFUNCTION("""COMPUTED_VALUE"""),"Beginner")</f>
        <v>Beginner</v>
      </c>
      <c r="D48" s="216" t="str">
        <f ca="1">IFERROR(__xludf.DUMMYFUNCTION("""COMPUTED_VALUE"""),"Introduction to Employee Relations")</f>
        <v>Introduction to Employee Relations</v>
      </c>
      <c r="E48" s="217"/>
      <c r="F48" s="213"/>
      <c r="G48" s="214"/>
      <c r="H48" s="215"/>
      <c r="I48" s="217"/>
      <c r="J48" s="217"/>
      <c r="K48" s="213"/>
      <c r="L48" s="215">
        <f ca="1">IFERROR(__xludf.DUMMYFUNCTION("""COMPUTED_VALUE"""),651777)</f>
        <v>651777</v>
      </c>
      <c r="M48" s="215" t="str">
        <f ca="1">IFERROR(__xludf.DUMMYFUNCTION("""COMPUTED_VALUE"""),"Beginner")</f>
        <v>Beginner</v>
      </c>
      <c r="N48" s="217" t="str">
        <f ca="1">IFERROR(__xludf.DUMMYFUNCTION("""COMPUTED_VALUE"""),"Transformación digital: El rol de recursos humanos")</f>
        <v>Transformación digital: El rol de recursos humanos</v>
      </c>
      <c r="O48" s="217"/>
      <c r="P48" s="213"/>
      <c r="Q48" s="215"/>
      <c r="R48" s="215"/>
      <c r="S48" s="217"/>
      <c r="T48" s="217"/>
      <c r="U48" s="213"/>
      <c r="V48" s="215"/>
      <c r="W48" s="215"/>
      <c r="X48" s="217"/>
      <c r="Y48" s="217"/>
      <c r="Z48" s="213"/>
      <c r="AA48" s="215"/>
      <c r="AB48" s="215"/>
      <c r="AC48" s="217"/>
      <c r="AD48" s="217"/>
      <c r="AE48" s="213"/>
      <c r="AF48" s="215"/>
      <c r="AG48" s="215"/>
      <c r="AH48" s="217"/>
      <c r="AI48" s="217"/>
      <c r="AJ48" s="213"/>
    </row>
    <row r="49" spans="1:36" ht="33.75" customHeight="1">
      <c r="A49" s="213"/>
      <c r="B49" s="214">
        <f ca="1">IFERROR(__xludf.DUMMYFUNCTION("""COMPUTED_VALUE"""),2823138)</f>
        <v>2823138</v>
      </c>
      <c r="C49" s="215" t="str">
        <f ca="1">IFERROR(__xludf.DUMMYFUNCTION("""COMPUTED_VALUE"""),"Beginner")</f>
        <v>Beginner</v>
      </c>
      <c r="D49" s="216" t="str">
        <f ca="1">IFERROR(__xludf.DUMMYFUNCTION("""COMPUTED_VALUE"""),"Empathy Tips for HR Professionals")</f>
        <v>Empathy Tips for HR Professionals</v>
      </c>
      <c r="E49" s="217"/>
      <c r="F49" s="213"/>
      <c r="G49" s="214"/>
      <c r="H49" s="215"/>
      <c r="I49" s="217"/>
      <c r="J49" s="217"/>
      <c r="K49" s="213"/>
      <c r="L49" s="215"/>
      <c r="M49" s="215"/>
      <c r="N49" s="217"/>
      <c r="O49" s="217"/>
      <c r="P49" s="213"/>
      <c r="Q49" s="215"/>
      <c r="R49" s="215"/>
      <c r="S49" s="217"/>
      <c r="T49" s="217"/>
      <c r="U49" s="213"/>
      <c r="V49" s="215"/>
      <c r="W49" s="215"/>
      <c r="X49" s="217"/>
      <c r="Y49" s="217"/>
      <c r="Z49" s="213"/>
      <c r="AA49" s="215"/>
      <c r="AB49" s="215"/>
      <c r="AC49" s="217"/>
      <c r="AD49" s="217"/>
      <c r="AE49" s="213"/>
      <c r="AF49" s="215"/>
      <c r="AG49" s="215"/>
      <c r="AH49" s="217"/>
      <c r="AI49" s="217"/>
      <c r="AJ49" s="213"/>
    </row>
    <row r="50" spans="1:36" ht="33.75" customHeight="1">
      <c r="A50" s="213"/>
      <c r="B50" s="214">
        <f ca="1">IFERROR(__xludf.DUMMYFUNCTION("""COMPUTED_VALUE"""),2824268)</f>
        <v>2824268</v>
      </c>
      <c r="C50" s="215" t="str">
        <f ca="1">IFERROR(__xludf.DUMMYFUNCTION("""COMPUTED_VALUE"""),"Beginner")</f>
        <v>Beginner</v>
      </c>
      <c r="D50" s="216" t="str">
        <f ca="1">IFERROR(__xludf.DUMMYFUNCTION("""COMPUTED_VALUE"""),"HR Guidelines Everyone Should Know")</f>
        <v>HR Guidelines Everyone Should Know</v>
      </c>
      <c r="E50" s="217"/>
      <c r="F50" s="213"/>
      <c r="G50" s="214"/>
      <c r="H50" s="215"/>
      <c r="I50" s="217"/>
      <c r="J50" s="217"/>
      <c r="K50" s="213"/>
      <c r="L50" s="215"/>
      <c r="M50" s="215"/>
      <c r="N50" s="217"/>
      <c r="O50" s="217"/>
      <c r="P50" s="213"/>
      <c r="Q50" s="215"/>
      <c r="R50" s="215"/>
      <c r="S50" s="217"/>
      <c r="T50" s="217"/>
      <c r="U50" s="213"/>
      <c r="V50" s="215"/>
      <c r="W50" s="215"/>
      <c r="X50" s="217"/>
      <c r="Y50" s="217"/>
      <c r="Z50" s="213"/>
      <c r="AA50" s="215"/>
      <c r="AB50" s="215"/>
      <c r="AC50" s="217"/>
      <c r="AD50" s="217"/>
      <c r="AE50" s="213"/>
      <c r="AF50" s="215"/>
      <c r="AG50" s="215"/>
      <c r="AH50" s="217"/>
      <c r="AI50" s="217"/>
      <c r="AJ50" s="213"/>
    </row>
    <row r="51" spans="1:36" ht="33.75" customHeight="1">
      <c r="A51" s="213"/>
      <c r="B51" s="214">
        <f ca="1">IFERROR(__xludf.DUMMYFUNCTION("""COMPUTED_VALUE"""),2825494)</f>
        <v>2825494</v>
      </c>
      <c r="C51" s="215" t="str">
        <f ca="1">IFERROR(__xludf.DUMMYFUNCTION("""COMPUTED_VALUE"""),"Beginner")</f>
        <v>Beginner</v>
      </c>
      <c r="D51" s="216" t="str">
        <f ca="1">IFERROR(__xludf.DUMMYFUNCTION("""COMPUTED_VALUE"""),"Creating a Culture of Learning")</f>
        <v>Creating a Culture of Learning</v>
      </c>
      <c r="E51" s="217"/>
      <c r="F51" s="213"/>
      <c r="G51" s="214"/>
      <c r="H51" s="215"/>
      <c r="I51" s="217"/>
      <c r="J51" s="217"/>
      <c r="K51" s="213"/>
      <c r="L51" s="215"/>
      <c r="M51" s="215"/>
      <c r="N51" s="217"/>
      <c r="O51" s="217"/>
      <c r="P51" s="213"/>
      <c r="Q51" s="215"/>
      <c r="R51" s="215"/>
      <c r="S51" s="217"/>
      <c r="T51" s="217"/>
      <c r="U51" s="213"/>
      <c r="V51" s="215"/>
      <c r="W51" s="215"/>
      <c r="X51" s="217"/>
      <c r="Y51" s="217"/>
      <c r="Z51" s="213"/>
      <c r="AA51" s="215"/>
      <c r="AB51" s="215"/>
      <c r="AC51" s="217"/>
      <c r="AD51" s="217"/>
      <c r="AE51" s="213"/>
      <c r="AF51" s="215"/>
      <c r="AG51" s="215"/>
      <c r="AH51" s="217"/>
      <c r="AI51" s="217"/>
      <c r="AJ51" s="213"/>
    </row>
    <row r="52" spans="1:36" ht="33.75" customHeight="1">
      <c r="A52" s="213"/>
      <c r="B52" s="214">
        <f ca="1">IFERROR(__xludf.DUMMYFUNCTION("""COMPUTED_VALUE"""),2841554)</f>
        <v>2841554</v>
      </c>
      <c r="C52" s="215" t="str">
        <f ca="1">IFERROR(__xludf.DUMMYFUNCTION("""COMPUTED_VALUE"""),"Beginner")</f>
        <v>Beginner</v>
      </c>
      <c r="D52" s="216" t="str">
        <f ca="1">IFERROR(__xludf.DUMMYFUNCTION("""COMPUTED_VALUE"""),"Inclusion During Difficult Times")</f>
        <v>Inclusion During Difficult Times</v>
      </c>
      <c r="E52" s="217"/>
      <c r="F52" s="213"/>
      <c r="G52" s="214"/>
      <c r="H52" s="215"/>
      <c r="I52" s="217"/>
      <c r="J52" s="217"/>
      <c r="K52" s="213"/>
      <c r="L52" s="215"/>
      <c r="M52" s="215"/>
      <c r="N52" s="217"/>
      <c r="O52" s="217"/>
      <c r="P52" s="213"/>
      <c r="Q52" s="215"/>
      <c r="R52" s="215"/>
      <c r="S52" s="217"/>
      <c r="T52" s="217"/>
      <c r="U52" s="213"/>
      <c r="V52" s="215"/>
      <c r="W52" s="215"/>
      <c r="X52" s="217"/>
      <c r="Y52" s="217"/>
      <c r="Z52" s="213"/>
      <c r="AA52" s="215"/>
      <c r="AB52" s="215"/>
      <c r="AC52" s="217"/>
      <c r="AD52" s="217"/>
      <c r="AE52" s="213"/>
      <c r="AF52" s="215"/>
      <c r="AG52" s="215"/>
      <c r="AH52" s="217"/>
      <c r="AI52" s="217"/>
      <c r="AJ52" s="213"/>
    </row>
    <row r="53" spans="1:36" ht="33.75" customHeight="1">
      <c r="A53" s="213"/>
      <c r="B53" s="214">
        <f ca="1">IFERROR(__xludf.DUMMYFUNCTION("""COMPUTED_VALUE"""),2833040)</f>
        <v>2833040</v>
      </c>
      <c r="C53" s="215" t="str">
        <f ca="1">IFERROR(__xludf.DUMMYFUNCTION("""COMPUTED_VALUE"""),"Beginner")</f>
        <v>Beginner</v>
      </c>
      <c r="D53" s="216" t="str">
        <f ca="1">IFERROR(__xludf.DUMMYFUNCTION("""COMPUTED_VALUE"""),"Recruiting Foundations: Recruiting for External Recruiters")</f>
        <v>Recruiting Foundations: Recruiting for External Recruiters</v>
      </c>
      <c r="E53" s="217"/>
      <c r="F53" s="213"/>
      <c r="G53" s="214"/>
      <c r="H53" s="215"/>
      <c r="I53" s="217"/>
      <c r="J53" s="217"/>
      <c r="K53" s="213"/>
      <c r="L53" s="215"/>
      <c r="M53" s="215"/>
      <c r="N53" s="217"/>
      <c r="O53" s="217"/>
      <c r="P53" s="213"/>
      <c r="Q53" s="215"/>
      <c r="R53" s="215"/>
      <c r="S53" s="217"/>
      <c r="T53" s="217"/>
      <c r="U53" s="213"/>
      <c r="V53" s="215"/>
      <c r="W53" s="215"/>
      <c r="X53" s="217"/>
      <c r="Y53" s="217"/>
      <c r="Z53" s="213"/>
      <c r="AA53" s="215"/>
      <c r="AB53" s="215"/>
      <c r="AC53" s="217"/>
      <c r="AD53" s="217"/>
      <c r="AE53" s="213"/>
      <c r="AF53" s="215"/>
      <c r="AG53" s="215"/>
      <c r="AH53" s="217"/>
      <c r="AI53" s="217"/>
      <c r="AJ53" s="213"/>
    </row>
    <row r="54" spans="1:36" ht="33.75" customHeight="1">
      <c r="A54" s="213"/>
      <c r="B54" s="214">
        <f ca="1">IFERROR(__xludf.DUMMYFUNCTION("""COMPUTED_VALUE"""),5022328)</f>
        <v>5022328</v>
      </c>
      <c r="C54" s="215" t="str">
        <f ca="1">IFERROR(__xludf.DUMMYFUNCTION("""COMPUTED_VALUE"""),"Beginner")</f>
        <v>Beginner</v>
      </c>
      <c r="D54" s="216" t="str">
        <f ca="1">IFERROR(__xludf.DUMMYFUNCTION("""COMPUTED_VALUE"""),"Recruiting Foundations: Recruiting for In-House Recruiters")</f>
        <v>Recruiting Foundations: Recruiting for In-House Recruiters</v>
      </c>
      <c r="E54" s="217"/>
      <c r="F54" s="213"/>
      <c r="G54" s="214"/>
      <c r="H54" s="215"/>
      <c r="I54" s="217"/>
      <c r="J54" s="217"/>
      <c r="K54" s="213"/>
      <c r="L54" s="215"/>
      <c r="M54" s="215"/>
      <c r="N54" s="217"/>
      <c r="O54" s="217"/>
      <c r="P54" s="213"/>
      <c r="Q54" s="215"/>
      <c r="R54" s="215"/>
      <c r="S54" s="217"/>
      <c r="T54" s="217"/>
      <c r="U54" s="213"/>
      <c r="V54" s="215"/>
      <c r="W54" s="215"/>
      <c r="X54" s="217"/>
      <c r="Y54" s="217"/>
      <c r="Z54" s="213"/>
      <c r="AA54" s="215"/>
      <c r="AB54" s="215"/>
      <c r="AC54" s="217"/>
      <c r="AD54" s="217"/>
      <c r="AE54" s="213"/>
      <c r="AF54" s="215"/>
      <c r="AG54" s="215"/>
      <c r="AH54" s="217"/>
      <c r="AI54" s="217"/>
      <c r="AJ54" s="213"/>
    </row>
    <row r="55" spans="1:36" ht="33.75" customHeight="1">
      <c r="A55" s="213"/>
      <c r="B55" s="214">
        <f ca="1">IFERROR(__xludf.DUMMYFUNCTION("""COMPUTED_VALUE"""),2882044)</f>
        <v>2882044</v>
      </c>
      <c r="C55" s="215" t="str">
        <f ca="1">IFERROR(__xludf.DUMMYFUNCTION("""COMPUTED_VALUE"""),"Beginner")</f>
        <v>Beginner</v>
      </c>
      <c r="D55" s="216" t="str">
        <f ca="1">IFERROR(__xludf.DUMMYFUNCTION("""COMPUTED_VALUE"""),"Learning LinkedIn Recruiter")</f>
        <v>Learning LinkedIn Recruiter</v>
      </c>
      <c r="E55" s="217"/>
      <c r="F55" s="213"/>
      <c r="G55" s="214"/>
      <c r="H55" s="215"/>
      <c r="I55" s="217"/>
      <c r="J55" s="217"/>
      <c r="K55" s="213"/>
      <c r="L55" s="215"/>
      <c r="M55" s="215"/>
      <c r="N55" s="217"/>
      <c r="O55" s="217"/>
      <c r="P55" s="213"/>
      <c r="Q55" s="215"/>
      <c r="R55" s="215"/>
      <c r="S55" s="217"/>
      <c r="T55" s="217"/>
      <c r="U55" s="213"/>
      <c r="V55" s="215"/>
      <c r="W55" s="215"/>
      <c r="X55" s="217"/>
      <c r="Y55" s="217"/>
      <c r="Z55" s="213"/>
      <c r="AA55" s="215"/>
      <c r="AB55" s="215"/>
      <c r="AC55" s="217"/>
      <c r="AD55" s="217"/>
      <c r="AE55" s="213"/>
      <c r="AF55" s="215"/>
      <c r="AG55" s="215"/>
      <c r="AH55" s="217"/>
      <c r="AI55" s="217"/>
      <c r="AJ55" s="213"/>
    </row>
    <row r="56" spans="1:36" ht="33.75" customHeight="1">
      <c r="A56" s="213"/>
      <c r="B56" s="214">
        <f ca="1">IFERROR(__xludf.DUMMYFUNCTION("""COMPUTED_VALUE"""),2893008)</f>
        <v>2893008</v>
      </c>
      <c r="C56" s="215" t="str">
        <f ca="1">IFERROR(__xludf.DUMMYFUNCTION("""COMPUTED_VALUE"""),"Beginner")</f>
        <v>Beginner</v>
      </c>
      <c r="D56" s="216" t="str">
        <f ca="1">IFERROR(__xludf.DUMMYFUNCTION("""COMPUTED_VALUE"""),"Demystifying Company Culture")</f>
        <v>Demystifying Company Culture</v>
      </c>
      <c r="E56" s="217"/>
      <c r="F56" s="213"/>
      <c r="G56" s="214"/>
      <c r="H56" s="215"/>
      <c r="I56" s="217"/>
      <c r="J56" s="217"/>
      <c r="K56" s="213"/>
      <c r="L56" s="215"/>
      <c r="M56" s="215"/>
      <c r="N56" s="217"/>
      <c r="O56" s="217"/>
      <c r="P56" s="213"/>
      <c r="Q56" s="215"/>
      <c r="R56" s="215"/>
      <c r="S56" s="217"/>
      <c r="T56" s="217"/>
      <c r="U56" s="213"/>
      <c r="V56" s="215"/>
      <c r="W56" s="215"/>
      <c r="X56" s="217"/>
      <c r="Y56" s="217"/>
      <c r="Z56" s="213"/>
      <c r="AA56" s="215"/>
      <c r="AB56" s="215"/>
      <c r="AC56" s="217"/>
      <c r="AD56" s="217"/>
      <c r="AE56" s="213"/>
      <c r="AF56" s="215"/>
      <c r="AG56" s="215"/>
      <c r="AH56" s="217"/>
      <c r="AI56" s="217"/>
      <c r="AJ56" s="213"/>
    </row>
    <row r="57" spans="1:36" ht="33.75" customHeight="1">
      <c r="A57" s="213"/>
      <c r="B57" s="214">
        <f ca="1">IFERROR(__xludf.DUMMYFUNCTION("""COMPUTED_VALUE"""),2881152)</f>
        <v>2881152</v>
      </c>
      <c r="C57" s="215" t="str">
        <f ca="1">IFERROR(__xludf.DUMMYFUNCTION("""COMPUTED_VALUE"""),"Beginner")</f>
        <v>Beginner</v>
      </c>
      <c r="D57" s="216" t="str">
        <f ca="1">IFERROR(__xludf.DUMMYFUNCTION("""COMPUTED_VALUE"""),"Business Benefits Realization Foundations")</f>
        <v>Business Benefits Realization Foundations</v>
      </c>
      <c r="E57" s="217"/>
      <c r="F57" s="213"/>
      <c r="G57" s="214"/>
      <c r="H57" s="215"/>
      <c r="I57" s="217"/>
      <c r="J57" s="217"/>
      <c r="K57" s="213"/>
      <c r="L57" s="215"/>
      <c r="M57" s="215"/>
      <c r="N57" s="217"/>
      <c r="O57" s="217"/>
      <c r="P57" s="213"/>
      <c r="Q57" s="215"/>
      <c r="R57" s="215"/>
      <c r="S57" s="217"/>
      <c r="T57" s="217"/>
      <c r="U57" s="213"/>
      <c r="V57" s="215"/>
      <c r="W57" s="215"/>
      <c r="X57" s="217"/>
      <c r="Y57" s="217"/>
      <c r="Z57" s="213"/>
      <c r="AA57" s="215"/>
      <c r="AB57" s="215"/>
      <c r="AC57" s="217"/>
      <c r="AD57" s="217"/>
      <c r="AE57" s="213"/>
      <c r="AF57" s="215"/>
      <c r="AG57" s="215"/>
      <c r="AH57" s="217"/>
      <c r="AI57" s="217"/>
      <c r="AJ57" s="213"/>
    </row>
    <row r="58" spans="1:36" ht="33.75" customHeight="1">
      <c r="A58" s="213"/>
      <c r="B58" s="214">
        <f ca="1">IFERROR(__xludf.DUMMYFUNCTION("""COMPUTED_VALUE"""),3007572)</f>
        <v>3007572</v>
      </c>
      <c r="C58" s="215" t="str">
        <f ca="1">IFERROR(__xludf.DUMMYFUNCTION("""COMPUTED_VALUE"""),"Beginner")</f>
        <v>Beginner</v>
      </c>
      <c r="D58" s="216" t="str">
        <f ca="1">IFERROR(__xludf.DUMMYFUNCTION("""COMPUTED_VALUE"""),"Preparing for the SHRM-CP Exam")</f>
        <v>Preparing for the SHRM-CP Exam</v>
      </c>
      <c r="E58" s="217"/>
      <c r="F58" s="213"/>
      <c r="G58" s="214"/>
      <c r="H58" s="215"/>
      <c r="I58" s="217"/>
      <c r="J58" s="217"/>
      <c r="K58" s="213"/>
      <c r="L58" s="215"/>
      <c r="M58" s="215"/>
      <c r="N58" s="217"/>
      <c r="O58" s="217"/>
      <c r="P58" s="213"/>
      <c r="Q58" s="215"/>
      <c r="R58" s="215"/>
      <c r="S58" s="217"/>
      <c r="T58" s="217"/>
      <c r="U58" s="213"/>
      <c r="V58" s="215"/>
      <c r="W58" s="215"/>
      <c r="X58" s="217"/>
      <c r="Y58" s="217"/>
      <c r="Z58" s="213"/>
      <c r="AA58" s="215"/>
      <c r="AB58" s="215"/>
      <c r="AC58" s="217"/>
      <c r="AD58" s="217"/>
      <c r="AE58" s="213"/>
      <c r="AF58" s="215"/>
      <c r="AG58" s="215"/>
      <c r="AH58" s="217"/>
      <c r="AI58" s="217"/>
      <c r="AJ58" s="213"/>
    </row>
    <row r="59" spans="1:36" ht="33.75" customHeight="1">
      <c r="A59" s="213"/>
      <c r="B59" s="214">
        <f ca="1">IFERROR(__xludf.DUMMYFUNCTION("""COMPUTED_VALUE"""),2428537)</f>
        <v>2428537</v>
      </c>
      <c r="C59" s="215" t="str">
        <f ca="1">IFERROR(__xludf.DUMMYFUNCTION("""COMPUTED_VALUE"""),"Beginner")</f>
        <v>Beginner</v>
      </c>
      <c r="D59" s="216" t="str">
        <f ca="1">IFERROR(__xludf.DUMMYFUNCTION("""COMPUTED_VALUE"""),"Getting Started as a LinkedIn Learning Hub Admin")</f>
        <v>Getting Started as a LinkedIn Learning Hub Admin</v>
      </c>
      <c r="E59" s="217"/>
      <c r="F59" s="213"/>
      <c r="G59" s="214"/>
      <c r="H59" s="215"/>
      <c r="I59" s="217"/>
      <c r="J59" s="217"/>
      <c r="K59" s="213"/>
      <c r="L59" s="215"/>
      <c r="M59" s="215"/>
      <c r="N59" s="217"/>
      <c r="O59" s="217"/>
      <c r="P59" s="213"/>
      <c r="Q59" s="215"/>
      <c r="R59" s="215"/>
      <c r="S59" s="217"/>
      <c r="T59" s="217"/>
      <c r="U59" s="213"/>
      <c r="V59" s="215"/>
      <c r="W59" s="215"/>
      <c r="X59" s="217"/>
      <c r="Y59" s="217"/>
      <c r="Z59" s="213"/>
      <c r="AA59" s="215"/>
      <c r="AB59" s="215"/>
      <c r="AC59" s="217"/>
      <c r="AD59" s="217"/>
      <c r="AE59" s="213"/>
      <c r="AF59" s="215"/>
      <c r="AG59" s="215"/>
      <c r="AH59" s="217"/>
      <c r="AI59" s="217"/>
      <c r="AJ59" s="213"/>
    </row>
    <row r="60" spans="1:36" ht="33.75" customHeight="1">
      <c r="A60" s="213"/>
      <c r="B60" s="214">
        <f ca="1">IFERROR(__xludf.DUMMYFUNCTION("""COMPUTED_VALUE"""),3013248)</f>
        <v>3013248</v>
      </c>
      <c r="C60" s="215" t="str">
        <f ca="1">IFERROR(__xludf.DUMMYFUNCTION("""COMPUTED_VALUE"""),"Beginner")</f>
        <v>Beginner</v>
      </c>
      <c r="D60" s="216" t="str">
        <f ca="1">IFERROR(__xludf.DUMMYFUNCTION("""COMPUTED_VALUE"""),"Fair and Effective Interviewing for Diversity and Inclusion")</f>
        <v>Fair and Effective Interviewing for Diversity and Inclusion</v>
      </c>
      <c r="E60" s="217"/>
      <c r="F60" s="213"/>
      <c r="G60" s="214"/>
      <c r="H60" s="215"/>
      <c r="I60" s="217"/>
      <c r="J60" s="217"/>
      <c r="K60" s="213"/>
      <c r="L60" s="215"/>
      <c r="M60" s="215"/>
      <c r="N60" s="217"/>
      <c r="O60" s="217"/>
      <c r="P60" s="213"/>
      <c r="Q60" s="215"/>
      <c r="R60" s="215"/>
      <c r="S60" s="217"/>
      <c r="T60" s="217"/>
      <c r="U60" s="213"/>
      <c r="V60" s="215"/>
      <c r="W60" s="215"/>
      <c r="X60" s="217"/>
      <c r="Y60" s="217"/>
      <c r="Z60" s="213"/>
      <c r="AA60" s="215"/>
      <c r="AB60" s="215"/>
      <c r="AC60" s="217"/>
      <c r="AD60" s="217"/>
      <c r="AE60" s="213"/>
      <c r="AF60" s="215"/>
      <c r="AG60" s="215"/>
      <c r="AH60" s="217"/>
      <c r="AI60" s="217"/>
      <c r="AJ60" s="213"/>
    </row>
    <row r="61" spans="1:36" ht="33.75" customHeight="1">
      <c r="A61" s="213"/>
      <c r="B61" s="214">
        <f ca="1">IFERROR(__xludf.DUMMYFUNCTION("""COMPUTED_VALUE"""),5034182)</f>
        <v>5034182</v>
      </c>
      <c r="C61" s="215" t="str">
        <f ca="1">IFERROR(__xludf.DUMMYFUNCTION("""COMPUTED_VALUE"""),"Beginner + Intermediate")</f>
        <v>Beginner + Intermediate</v>
      </c>
      <c r="D61" s="216" t="str">
        <f ca="1">IFERROR(__xludf.DUMMYFUNCTION("""COMPUTED_VALUE"""),"Hiring and Managing UX Professionals")</f>
        <v>Hiring and Managing UX Professionals</v>
      </c>
      <c r="E61" s="217"/>
      <c r="F61" s="213"/>
      <c r="G61" s="214"/>
      <c r="H61" s="215"/>
      <c r="I61" s="217"/>
      <c r="J61" s="217"/>
      <c r="K61" s="213"/>
      <c r="L61" s="215"/>
      <c r="M61" s="215"/>
      <c r="N61" s="217"/>
      <c r="O61" s="217"/>
      <c r="P61" s="213"/>
      <c r="Q61" s="215"/>
      <c r="R61" s="215"/>
      <c r="S61" s="217"/>
      <c r="T61" s="217"/>
      <c r="U61" s="213"/>
      <c r="V61" s="215"/>
      <c r="W61" s="215"/>
      <c r="X61" s="217"/>
      <c r="Y61" s="217"/>
      <c r="Z61" s="213"/>
      <c r="AA61" s="215"/>
      <c r="AB61" s="215"/>
      <c r="AC61" s="217"/>
      <c r="AD61" s="217"/>
      <c r="AE61" s="213"/>
      <c r="AF61" s="215"/>
      <c r="AG61" s="215"/>
      <c r="AH61" s="217"/>
      <c r="AI61" s="217"/>
      <c r="AJ61" s="213"/>
    </row>
    <row r="62" spans="1:36" ht="33.75" customHeight="1">
      <c r="A62" s="213"/>
      <c r="B62" s="214">
        <f ca="1">IFERROR(__xludf.DUMMYFUNCTION("""COMPUTED_VALUE"""),2823250)</f>
        <v>2823250</v>
      </c>
      <c r="C62" s="215" t="str">
        <f ca="1">IFERROR(__xludf.DUMMYFUNCTION("""COMPUTED_VALUE"""),"Beginner + Intermediate")</f>
        <v>Beginner + Intermediate</v>
      </c>
      <c r="D62" s="216" t="str">
        <f ca="1">IFERROR(__xludf.DUMMYFUNCTION("""COMPUTED_VALUE"""),"Understanding Organisations and the Role of HR")</f>
        <v>Understanding Organisations and the Role of HR</v>
      </c>
      <c r="E62" s="217"/>
      <c r="F62" s="213"/>
      <c r="G62" s="214"/>
      <c r="H62" s="215"/>
      <c r="I62" s="217"/>
      <c r="J62" s="217"/>
      <c r="K62" s="213"/>
      <c r="L62" s="215"/>
      <c r="M62" s="215"/>
      <c r="N62" s="217"/>
      <c r="O62" s="217"/>
      <c r="P62" s="213"/>
      <c r="Q62" s="215"/>
      <c r="R62" s="215"/>
      <c r="S62" s="217"/>
      <c r="T62" s="217"/>
      <c r="U62" s="213"/>
      <c r="V62" s="215"/>
      <c r="W62" s="215"/>
      <c r="X62" s="217"/>
      <c r="Y62" s="217"/>
      <c r="Z62" s="213"/>
      <c r="AA62" s="215"/>
      <c r="AB62" s="215"/>
      <c r="AC62" s="217"/>
      <c r="AD62" s="217"/>
      <c r="AE62" s="213"/>
      <c r="AF62" s="215"/>
      <c r="AG62" s="215"/>
      <c r="AH62" s="217"/>
      <c r="AI62" s="217"/>
      <c r="AJ62" s="213"/>
    </row>
    <row r="63" spans="1:36" ht="33.75" customHeight="1">
      <c r="A63" s="213"/>
      <c r="B63" s="214">
        <f ca="1">IFERROR(__xludf.DUMMYFUNCTION("""COMPUTED_VALUE"""),724786)</f>
        <v>724786</v>
      </c>
      <c r="C63" s="215" t="str">
        <f ca="1">IFERROR(__xludf.DUMMYFUNCTION("""COMPUTED_VALUE"""),"Beginner + Intermediate")</f>
        <v>Beginner + Intermediate</v>
      </c>
      <c r="D63" s="216" t="str">
        <f ca="1">IFERROR(__xludf.DUMMYFUNCTION("""COMPUTED_VALUE"""),"Human Resources: Creating an Employee Handbook")</f>
        <v>Human Resources: Creating an Employee Handbook</v>
      </c>
      <c r="E63" s="217"/>
      <c r="F63" s="213"/>
      <c r="G63" s="214"/>
      <c r="H63" s="215"/>
      <c r="I63" s="217"/>
      <c r="J63" s="217"/>
      <c r="K63" s="213"/>
      <c r="L63" s="215"/>
      <c r="M63" s="215"/>
      <c r="N63" s="217"/>
      <c r="O63" s="217"/>
      <c r="P63" s="213"/>
      <c r="Q63" s="215"/>
      <c r="R63" s="215"/>
      <c r="S63" s="217"/>
      <c r="T63" s="217"/>
      <c r="U63" s="213"/>
      <c r="V63" s="215"/>
      <c r="W63" s="215"/>
      <c r="X63" s="217"/>
      <c r="Y63" s="217"/>
      <c r="Z63" s="213"/>
      <c r="AA63" s="215"/>
      <c r="AB63" s="215"/>
      <c r="AC63" s="217"/>
      <c r="AD63" s="217"/>
      <c r="AE63" s="213"/>
      <c r="AF63" s="215"/>
      <c r="AG63" s="215"/>
      <c r="AH63" s="217"/>
      <c r="AI63" s="217"/>
      <c r="AJ63" s="213"/>
    </row>
    <row r="64" spans="1:36" ht="33.75" customHeight="1">
      <c r="A64" s="213"/>
      <c r="B64" s="214">
        <f ca="1">IFERROR(__xludf.DUMMYFUNCTION("""COMPUTED_VALUE"""),704123)</f>
        <v>704123</v>
      </c>
      <c r="C64" s="215" t="str">
        <f ca="1">IFERROR(__xludf.DUMMYFUNCTION("""COMPUTED_VALUE"""),"Beginner + Intermediate")</f>
        <v>Beginner + Intermediate</v>
      </c>
      <c r="D64" s="216" t="str">
        <f ca="1">IFERROR(__xludf.DUMMYFUNCTION("""COMPUTED_VALUE"""),"Human Resources: Working with Vendors")</f>
        <v>Human Resources: Working with Vendors</v>
      </c>
      <c r="E64" s="217"/>
      <c r="F64" s="213"/>
      <c r="G64" s="214"/>
      <c r="H64" s="215"/>
      <c r="I64" s="217"/>
      <c r="J64" s="217"/>
      <c r="K64" s="213"/>
      <c r="L64" s="215"/>
      <c r="M64" s="215"/>
      <c r="N64" s="217"/>
      <c r="O64" s="217"/>
      <c r="P64" s="213"/>
      <c r="Q64" s="215"/>
      <c r="R64" s="215"/>
      <c r="S64" s="217"/>
      <c r="T64" s="217"/>
      <c r="U64" s="213"/>
      <c r="V64" s="215"/>
      <c r="W64" s="215"/>
      <c r="X64" s="217"/>
      <c r="Y64" s="217"/>
      <c r="Z64" s="213"/>
      <c r="AA64" s="215"/>
      <c r="AB64" s="215"/>
      <c r="AC64" s="217"/>
      <c r="AD64" s="217"/>
      <c r="AE64" s="213"/>
      <c r="AF64" s="215"/>
      <c r="AG64" s="215"/>
      <c r="AH64" s="217"/>
      <c r="AI64" s="217"/>
      <c r="AJ64" s="213"/>
    </row>
    <row r="65" spans="1:36" ht="33.75" customHeight="1">
      <c r="A65" s="213"/>
      <c r="B65" s="214">
        <f ca="1">IFERROR(__xludf.DUMMYFUNCTION("""COMPUTED_VALUE"""),628688)</f>
        <v>628688</v>
      </c>
      <c r="C65" s="215" t="str">
        <f ca="1">IFERROR(__xludf.DUMMYFUNCTION("""COMPUTED_VALUE"""),"Intermediate")</f>
        <v>Intermediate</v>
      </c>
      <c r="D65" s="216" t="str">
        <f ca="1">IFERROR(__xludf.DUMMYFUNCTION("""COMPUTED_VALUE"""),"Introduction to the PHR Certification Exam")</f>
        <v>Introduction to the PHR Certification Exam</v>
      </c>
      <c r="E65" s="217"/>
      <c r="F65" s="213"/>
      <c r="G65" s="214"/>
      <c r="H65" s="215"/>
      <c r="I65" s="217"/>
      <c r="J65" s="217"/>
      <c r="K65" s="213"/>
      <c r="L65" s="215"/>
      <c r="M65" s="215"/>
      <c r="N65" s="217"/>
      <c r="O65" s="217"/>
      <c r="P65" s="213"/>
      <c r="Q65" s="215"/>
      <c r="R65" s="215"/>
      <c r="S65" s="217"/>
      <c r="T65" s="217"/>
      <c r="U65" s="213"/>
      <c r="V65" s="215"/>
      <c r="W65" s="215"/>
      <c r="X65" s="217"/>
      <c r="Y65" s="217"/>
      <c r="Z65" s="213"/>
      <c r="AA65" s="215"/>
      <c r="AB65" s="215"/>
      <c r="AC65" s="217"/>
      <c r="AD65" s="217"/>
      <c r="AE65" s="213"/>
      <c r="AF65" s="215"/>
      <c r="AG65" s="215"/>
      <c r="AH65" s="217"/>
      <c r="AI65" s="217"/>
      <c r="AJ65" s="213"/>
    </row>
    <row r="66" spans="1:36" ht="33.75" customHeight="1">
      <c r="A66" s="213"/>
      <c r="B66" s="214">
        <f ca="1">IFERROR(__xludf.DUMMYFUNCTION("""COMPUTED_VALUE"""),601770)</f>
        <v>601770</v>
      </c>
      <c r="C66" s="215" t="str">
        <f ca="1">IFERROR(__xludf.DUMMYFUNCTION("""COMPUTED_VALUE"""),"Intermediate")</f>
        <v>Intermediate</v>
      </c>
      <c r="D66" s="216" t="str">
        <f ca="1">IFERROR(__xludf.DUMMYFUNCTION("""COMPUTED_VALUE"""),"Creating a Compelling Job Description")</f>
        <v>Creating a Compelling Job Description</v>
      </c>
      <c r="E66" s="217"/>
      <c r="F66" s="213"/>
      <c r="G66" s="214"/>
      <c r="H66" s="215"/>
      <c r="I66" s="217"/>
      <c r="J66" s="217"/>
      <c r="K66" s="213"/>
      <c r="L66" s="215"/>
      <c r="M66" s="215"/>
      <c r="N66" s="217"/>
      <c r="O66" s="217"/>
      <c r="P66" s="213"/>
      <c r="Q66" s="215"/>
      <c r="R66" s="215"/>
      <c r="S66" s="217"/>
      <c r="T66" s="217"/>
      <c r="U66" s="213"/>
      <c r="V66" s="215"/>
      <c r="W66" s="215"/>
      <c r="X66" s="217"/>
      <c r="Y66" s="217"/>
      <c r="Z66" s="213"/>
      <c r="AA66" s="215"/>
      <c r="AB66" s="215"/>
      <c r="AC66" s="217"/>
      <c r="AD66" s="217"/>
      <c r="AE66" s="213"/>
      <c r="AF66" s="215"/>
      <c r="AG66" s="215"/>
      <c r="AH66" s="217"/>
      <c r="AI66" s="217"/>
      <c r="AJ66" s="213"/>
    </row>
    <row r="67" spans="1:36" ht="33.75" customHeight="1">
      <c r="A67" s="213"/>
      <c r="B67" s="214">
        <f ca="1">IFERROR(__xludf.DUMMYFUNCTION("""COMPUTED_VALUE"""),769279)</f>
        <v>769279</v>
      </c>
      <c r="C67" s="215" t="str">
        <f ca="1">IFERROR(__xludf.DUMMYFUNCTION("""COMPUTED_VALUE"""),"Intermediate")</f>
        <v>Intermediate</v>
      </c>
      <c r="D67" s="216" t="str">
        <f ca="1">IFERROR(__xludf.DUMMYFUNCTION("""COMPUTED_VALUE"""),"Driving Workplace Happiness")</f>
        <v>Driving Workplace Happiness</v>
      </c>
      <c r="E67" s="217"/>
      <c r="F67" s="213"/>
      <c r="G67" s="214"/>
      <c r="H67" s="215"/>
      <c r="I67" s="217"/>
      <c r="J67" s="217"/>
      <c r="K67" s="213"/>
      <c r="L67" s="215"/>
      <c r="M67" s="215"/>
      <c r="N67" s="217"/>
      <c r="O67" s="217"/>
      <c r="P67" s="213"/>
      <c r="Q67" s="215"/>
      <c r="R67" s="215"/>
      <c r="S67" s="217"/>
      <c r="T67" s="217"/>
      <c r="U67" s="213"/>
      <c r="V67" s="215"/>
      <c r="W67" s="215"/>
      <c r="X67" s="217"/>
      <c r="Y67" s="217"/>
      <c r="Z67" s="213"/>
      <c r="AA67" s="215"/>
      <c r="AB67" s="215"/>
      <c r="AC67" s="217"/>
      <c r="AD67" s="217"/>
      <c r="AE67" s="213"/>
      <c r="AF67" s="215"/>
      <c r="AG67" s="215"/>
      <c r="AH67" s="217"/>
      <c r="AI67" s="217"/>
      <c r="AJ67" s="213"/>
    </row>
    <row r="68" spans="1:36" ht="33.75" customHeight="1">
      <c r="A68" s="213"/>
      <c r="B68" s="214">
        <f ca="1">IFERROR(__xludf.DUMMYFUNCTION("""COMPUTED_VALUE"""),567787)</f>
        <v>567787</v>
      </c>
      <c r="C68" s="215" t="str">
        <f ca="1">IFERROR(__xludf.DUMMYFUNCTION("""COMPUTED_VALUE"""),"Intermediate")</f>
        <v>Intermediate</v>
      </c>
      <c r="D68" s="216" t="str">
        <f ca="1">IFERROR(__xludf.DUMMYFUNCTION("""COMPUTED_VALUE"""),"Hiring a Recruiting Firm")</f>
        <v>Hiring a Recruiting Firm</v>
      </c>
      <c r="E68" s="217"/>
      <c r="F68" s="213"/>
      <c r="G68" s="214"/>
      <c r="H68" s="215"/>
      <c r="I68" s="217"/>
      <c r="J68" s="217"/>
      <c r="K68" s="213"/>
      <c r="L68" s="215"/>
      <c r="M68" s="215"/>
      <c r="N68" s="217"/>
      <c r="O68" s="217"/>
      <c r="P68" s="213"/>
      <c r="Q68" s="215"/>
      <c r="R68" s="215"/>
      <c r="S68" s="217"/>
      <c r="T68" s="217"/>
      <c r="U68" s="213"/>
      <c r="V68" s="215"/>
      <c r="W68" s="215"/>
      <c r="X68" s="217"/>
      <c r="Y68" s="217"/>
      <c r="Z68" s="213"/>
      <c r="AA68" s="215"/>
      <c r="AB68" s="215"/>
      <c r="AC68" s="217"/>
      <c r="AD68" s="217"/>
      <c r="AE68" s="213"/>
      <c r="AF68" s="215"/>
      <c r="AG68" s="215"/>
      <c r="AH68" s="217"/>
      <c r="AI68" s="217"/>
      <c r="AJ68" s="213"/>
    </row>
    <row r="69" spans="1:36" ht="33.75" customHeight="1">
      <c r="A69" s="213"/>
      <c r="B69" s="214">
        <f ca="1">IFERROR(__xludf.DUMMYFUNCTION("""COMPUTED_VALUE"""),628689)</f>
        <v>628689</v>
      </c>
      <c r="C69" s="215" t="str">
        <f ca="1">IFERROR(__xludf.DUMMYFUNCTION("""COMPUTED_VALUE"""),"Intermediate")</f>
        <v>Intermediate</v>
      </c>
      <c r="D69" s="216" t="str">
        <f ca="1">IFERROR(__xludf.DUMMYFUNCTION("""COMPUTED_VALUE"""),"Hiring Contract Employees")</f>
        <v>Hiring Contract Employees</v>
      </c>
      <c r="E69" s="217"/>
      <c r="F69" s="213"/>
      <c r="G69" s="214"/>
      <c r="H69" s="215"/>
      <c r="I69" s="217"/>
      <c r="J69" s="217"/>
      <c r="K69" s="213"/>
      <c r="L69" s="215"/>
      <c r="M69" s="215"/>
      <c r="N69" s="217"/>
      <c r="O69" s="217"/>
      <c r="P69" s="213"/>
      <c r="Q69" s="215"/>
      <c r="R69" s="215"/>
      <c r="S69" s="217"/>
      <c r="T69" s="217"/>
      <c r="U69" s="213"/>
      <c r="V69" s="215"/>
      <c r="W69" s="215"/>
      <c r="X69" s="217"/>
      <c r="Y69" s="217"/>
      <c r="Z69" s="213"/>
      <c r="AA69" s="215"/>
      <c r="AB69" s="215"/>
      <c r="AC69" s="217"/>
      <c r="AD69" s="217"/>
      <c r="AE69" s="213"/>
      <c r="AF69" s="215"/>
      <c r="AG69" s="215"/>
      <c r="AH69" s="217"/>
      <c r="AI69" s="217"/>
      <c r="AJ69" s="213"/>
    </row>
    <row r="70" spans="1:36" ht="33.75" customHeight="1">
      <c r="A70" s="213"/>
      <c r="B70" s="214">
        <f ca="1">IFERROR(__xludf.DUMMYFUNCTION("""COMPUTED_VALUE"""),612174)</f>
        <v>612174</v>
      </c>
      <c r="C70" s="215" t="str">
        <f ca="1">IFERROR(__xludf.DUMMYFUNCTION("""COMPUTED_VALUE"""),"Intermediate")</f>
        <v>Intermediate</v>
      </c>
      <c r="D70" s="216" t="str">
        <f ca="1">IFERROR(__xludf.DUMMYFUNCTION("""COMPUTED_VALUE"""),"HR as a Business Partner")</f>
        <v>HR as a Business Partner</v>
      </c>
      <c r="E70" s="217"/>
      <c r="F70" s="213"/>
      <c r="G70" s="214"/>
      <c r="H70" s="215"/>
      <c r="I70" s="217"/>
      <c r="J70" s="217"/>
      <c r="K70" s="213"/>
      <c r="L70" s="215"/>
      <c r="M70" s="215"/>
      <c r="N70" s="217"/>
      <c r="O70" s="217"/>
      <c r="P70" s="213"/>
      <c r="Q70" s="215"/>
      <c r="R70" s="215"/>
      <c r="S70" s="217"/>
      <c r="T70" s="217"/>
      <c r="U70" s="213"/>
      <c r="V70" s="215"/>
      <c r="W70" s="215"/>
      <c r="X70" s="217"/>
      <c r="Y70" s="217"/>
      <c r="Z70" s="213"/>
      <c r="AA70" s="215"/>
      <c r="AB70" s="215"/>
      <c r="AC70" s="217"/>
      <c r="AD70" s="217"/>
      <c r="AE70" s="213"/>
      <c r="AF70" s="215"/>
      <c r="AG70" s="215"/>
      <c r="AH70" s="217"/>
      <c r="AI70" s="217"/>
      <c r="AJ70" s="213"/>
    </row>
    <row r="71" spans="1:36" ht="33.75" customHeight="1">
      <c r="A71" s="213"/>
      <c r="B71" s="214">
        <f ca="1">IFERROR(__xludf.DUMMYFUNCTION("""COMPUTED_VALUE"""),587597)</f>
        <v>587597</v>
      </c>
      <c r="C71" s="215" t="str">
        <f ca="1">IFERROR(__xludf.DUMMYFUNCTION("""COMPUTED_VALUE"""),"Beginner")</f>
        <v>Beginner</v>
      </c>
      <c r="D71" s="216" t="str">
        <f ca="1">IFERROR(__xludf.DUMMYFUNCTION("""COMPUTED_VALUE"""),"Human Resources: Compensation and Benefits")</f>
        <v>Human Resources: Compensation and Benefits</v>
      </c>
      <c r="E71" s="217"/>
      <c r="F71" s="213"/>
      <c r="G71" s="214"/>
      <c r="H71" s="215"/>
      <c r="I71" s="217"/>
      <c r="J71" s="217"/>
      <c r="K71" s="213"/>
      <c r="L71" s="215"/>
      <c r="M71" s="215"/>
      <c r="N71" s="217"/>
      <c r="O71" s="217"/>
      <c r="P71" s="213"/>
      <c r="Q71" s="215"/>
      <c r="R71" s="215"/>
      <c r="S71" s="217"/>
      <c r="T71" s="217"/>
      <c r="U71" s="213"/>
      <c r="V71" s="215"/>
      <c r="W71" s="215"/>
      <c r="X71" s="217"/>
      <c r="Y71" s="217"/>
      <c r="Z71" s="213"/>
      <c r="AA71" s="215"/>
      <c r="AB71" s="215"/>
      <c r="AC71" s="217"/>
      <c r="AD71" s="217"/>
      <c r="AE71" s="213"/>
      <c r="AF71" s="215"/>
      <c r="AG71" s="215"/>
      <c r="AH71" s="217"/>
      <c r="AI71" s="217"/>
      <c r="AJ71" s="213"/>
    </row>
    <row r="72" spans="1:36" ht="33.75" customHeight="1">
      <c r="A72" s="213"/>
      <c r="B72" s="214">
        <f ca="1">IFERROR(__xludf.DUMMYFUNCTION("""COMPUTED_VALUE"""),592493)</f>
        <v>592493</v>
      </c>
      <c r="C72" s="215" t="str">
        <f ca="1">IFERROR(__xludf.DUMMYFUNCTION("""COMPUTED_VALUE"""),"Intermediate")</f>
        <v>Intermediate</v>
      </c>
      <c r="D72" s="216" t="str">
        <f ca="1">IFERROR(__xludf.DUMMYFUNCTION("""COMPUTED_VALUE"""),"Human Resources: Job Structure and Design")</f>
        <v>Human Resources: Job Structure and Design</v>
      </c>
      <c r="E72" s="217"/>
      <c r="F72" s="213"/>
      <c r="G72" s="214"/>
      <c r="H72" s="215"/>
      <c r="I72" s="217"/>
      <c r="J72" s="217"/>
      <c r="K72" s="213"/>
      <c r="L72" s="215"/>
      <c r="M72" s="215"/>
      <c r="N72" s="217"/>
      <c r="O72" s="217"/>
      <c r="P72" s="213"/>
      <c r="Q72" s="215"/>
      <c r="R72" s="215"/>
      <c r="S72" s="217"/>
      <c r="T72" s="217"/>
      <c r="U72" s="213"/>
      <c r="V72" s="215"/>
      <c r="W72" s="215"/>
      <c r="X72" s="217"/>
      <c r="Y72" s="217"/>
      <c r="Z72" s="213"/>
      <c r="AA72" s="215"/>
      <c r="AB72" s="215"/>
      <c r="AC72" s="217"/>
      <c r="AD72" s="217"/>
      <c r="AE72" s="213"/>
      <c r="AF72" s="215"/>
      <c r="AG72" s="215"/>
      <c r="AH72" s="217"/>
      <c r="AI72" s="217"/>
      <c r="AJ72" s="213"/>
    </row>
    <row r="73" spans="1:36" ht="33.75" customHeight="1">
      <c r="A73" s="213"/>
      <c r="B73" s="214">
        <f ca="1">IFERROR(__xludf.DUMMYFUNCTION("""COMPUTED_VALUE"""),669537)</f>
        <v>669537</v>
      </c>
      <c r="C73" s="215" t="str">
        <f ca="1">IFERROR(__xludf.DUMMYFUNCTION("""COMPUTED_VALUE"""),"Intermediate")</f>
        <v>Intermediate</v>
      </c>
      <c r="D73" s="216" t="str">
        <f ca="1">IFERROR(__xludf.DUMMYFUNCTION("""COMPUTED_VALUE"""),"Human Resources: Payroll")</f>
        <v>Human Resources: Payroll</v>
      </c>
      <c r="E73" s="217"/>
      <c r="F73" s="213"/>
      <c r="G73" s="214"/>
      <c r="H73" s="215"/>
      <c r="I73" s="217"/>
      <c r="J73" s="217"/>
      <c r="K73" s="213"/>
      <c r="L73" s="215"/>
      <c r="M73" s="215"/>
      <c r="N73" s="217"/>
      <c r="O73" s="217"/>
      <c r="P73" s="213"/>
      <c r="Q73" s="215"/>
      <c r="R73" s="215"/>
      <c r="S73" s="217"/>
      <c r="T73" s="217"/>
      <c r="U73" s="213"/>
      <c r="V73" s="215"/>
      <c r="W73" s="215"/>
      <c r="X73" s="217"/>
      <c r="Y73" s="217"/>
      <c r="Z73" s="213"/>
      <c r="AA73" s="215"/>
      <c r="AB73" s="215"/>
      <c r="AC73" s="217"/>
      <c r="AD73" s="217"/>
      <c r="AE73" s="213"/>
      <c r="AF73" s="215"/>
      <c r="AG73" s="215"/>
      <c r="AH73" s="217"/>
      <c r="AI73" s="217"/>
      <c r="AJ73" s="213"/>
    </row>
    <row r="74" spans="1:36" ht="33.75" customHeight="1">
      <c r="A74" s="213"/>
      <c r="B74" s="214">
        <f ca="1">IFERROR(__xludf.DUMMYFUNCTION("""COMPUTED_VALUE"""),616662)</f>
        <v>616662</v>
      </c>
      <c r="C74" s="215" t="str">
        <f ca="1">IFERROR(__xludf.DUMMYFUNCTION("""COMPUTED_VALUE"""),"Intermediate")</f>
        <v>Intermediate</v>
      </c>
      <c r="D74" s="216" t="str">
        <f ca="1">IFERROR(__xludf.DUMMYFUNCTION("""COMPUTED_VALUE"""),"Human Resources: Using Metrics to Drive HR Strategy")</f>
        <v>Human Resources: Using Metrics to Drive HR Strategy</v>
      </c>
      <c r="E74" s="217"/>
      <c r="F74" s="213"/>
      <c r="G74" s="214"/>
      <c r="H74" s="215"/>
      <c r="I74" s="217"/>
      <c r="J74" s="217"/>
      <c r="K74" s="213"/>
      <c r="L74" s="215"/>
      <c r="M74" s="215"/>
      <c r="N74" s="217"/>
      <c r="O74" s="217"/>
      <c r="P74" s="213"/>
      <c r="Q74" s="215"/>
      <c r="R74" s="215"/>
      <c r="S74" s="217"/>
      <c r="T74" s="217"/>
      <c r="U74" s="213"/>
      <c r="V74" s="215"/>
      <c r="W74" s="215"/>
      <c r="X74" s="217"/>
      <c r="Y74" s="217"/>
      <c r="Z74" s="213"/>
      <c r="AA74" s="215"/>
      <c r="AB74" s="215"/>
      <c r="AC74" s="217"/>
      <c r="AD74" s="217"/>
      <c r="AE74" s="213"/>
      <c r="AF74" s="215"/>
      <c r="AG74" s="215"/>
      <c r="AH74" s="217"/>
      <c r="AI74" s="217"/>
      <c r="AJ74" s="213"/>
    </row>
    <row r="75" spans="1:36" ht="33.75" customHeight="1">
      <c r="A75" s="213"/>
      <c r="B75" s="214">
        <f ca="1">IFERROR(__xludf.DUMMYFUNCTION("""COMPUTED_VALUE"""),429635)</f>
        <v>429635</v>
      </c>
      <c r="C75" s="215" t="str">
        <f ca="1">IFERROR(__xludf.DUMMYFUNCTION("""COMPUTED_VALUE"""),"Intermediate")</f>
        <v>Intermediate</v>
      </c>
      <c r="D75" s="216" t="str">
        <f ca="1">IFERROR(__xludf.DUMMYFUNCTION("""COMPUTED_VALUE"""),"Performance-Based Hiring")</f>
        <v>Performance-Based Hiring</v>
      </c>
      <c r="E75" s="217"/>
      <c r="F75" s="213"/>
      <c r="G75" s="214"/>
      <c r="H75" s="215"/>
      <c r="I75" s="217"/>
      <c r="J75" s="217"/>
      <c r="K75" s="213"/>
      <c r="L75" s="215"/>
      <c r="M75" s="215"/>
      <c r="N75" s="217"/>
      <c r="O75" s="217"/>
      <c r="P75" s="213"/>
      <c r="Q75" s="215"/>
      <c r="R75" s="215"/>
      <c r="S75" s="217"/>
      <c r="T75" s="217"/>
      <c r="U75" s="213"/>
      <c r="V75" s="215"/>
      <c r="W75" s="215"/>
      <c r="X75" s="217"/>
      <c r="Y75" s="217"/>
      <c r="Z75" s="213"/>
      <c r="AA75" s="215"/>
      <c r="AB75" s="215"/>
      <c r="AC75" s="217"/>
      <c r="AD75" s="217"/>
      <c r="AE75" s="213"/>
      <c r="AF75" s="215"/>
      <c r="AG75" s="215"/>
      <c r="AH75" s="217"/>
      <c r="AI75" s="217"/>
      <c r="AJ75" s="213"/>
    </row>
    <row r="76" spans="1:36" ht="33.75" customHeight="1">
      <c r="A76" s="213"/>
      <c r="B76" s="214">
        <f ca="1">IFERROR(__xludf.DUMMYFUNCTION("""COMPUTED_VALUE"""),434461)</f>
        <v>434461</v>
      </c>
      <c r="C76" s="215" t="str">
        <f ca="1">IFERROR(__xludf.DUMMYFUNCTION("""COMPUTED_VALUE"""),"Intermediate")</f>
        <v>Intermediate</v>
      </c>
      <c r="D76" s="216" t="str">
        <f ca="1">IFERROR(__xludf.DUMMYFUNCTION("""COMPUTED_VALUE"""),"Strategic Human Resources")</f>
        <v>Strategic Human Resources</v>
      </c>
      <c r="E76" s="217"/>
      <c r="F76" s="213"/>
      <c r="G76" s="214"/>
      <c r="H76" s="215"/>
      <c r="I76" s="217"/>
      <c r="J76" s="217"/>
      <c r="K76" s="213"/>
      <c r="L76" s="215"/>
      <c r="M76" s="215"/>
      <c r="N76" s="217"/>
      <c r="O76" s="217"/>
      <c r="P76" s="213"/>
      <c r="Q76" s="215"/>
      <c r="R76" s="215"/>
      <c r="S76" s="217"/>
      <c r="T76" s="217"/>
      <c r="U76" s="213"/>
      <c r="V76" s="215"/>
      <c r="W76" s="215"/>
      <c r="X76" s="217"/>
      <c r="Y76" s="217"/>
      <c r="Z76" s="213"/>
      <c r="AA76" s="215"/>
      <c r="AB76" s="215"/>
      <c r="AC76" s="217"/>
      <c r="AD76" s="217"/>
      <c r="AE76" s="213"/>
      <c r="AF76" s="215"/>
      <c r="AG76" s="215"/>
      <c r="AH76" s="217"/>
      <c r="AI76" s="217"/>
      <c r="AJ76" s="213"/>
    </row>
    <row r="77" spans="1:36" ht="33.75" customHeight="1">
      <c r="A77" s="213"/>
      <c r="B77" s="214">
        <f ca="1">IFERROR(__xludf.DUMMYFUNCTION("""COMPUTED_VALUE"""),2228265)</f>
        <v>2228265</v>
      </c>
      <c r="C77" s="215" t="str">
        <f ca="1">IFERROR(__xludf.DUMMYFUNCTION("""COMPUTED_VALUE"""),"Intermediate")</f>
        <v>Intermediate</v>
      </c>
      <c r="D77" s="216" t="str">
        <f ca="1">IFERROR(__xludf.DUMMYFUNCTION("""COMPUTED_VALUE"""),"Interviewing Techniques")</f>
        <v>Interviewing Techniques</v>
      </c>
      <c r="E77" s="217"/>
      <c r="F77" s="213"/>
      <c r="G77" s="214"/>
      <c r="H77" s="215"/>
      <c r="I77" s="217"/>
      <c r="J77" s="217"/>
      <c r="K77" s="213"/>
      <c r="L77" s="215"/>
      <c r="M77" s="215"/>
      <c r="N77" s="217"/>
      <c r="O77" s="217"/>
      <c r="P77" s="213"/>
      <c r="Q77" s="215"/>
      <c r="R77" s="215"/>
      <c r="S77" s="217"/>
      <c r="T77" s="217"/>
      <c r="U77" s="213"/>
      <c r="V77" s="215"/>
      <c r="W77" s="215"/>
      <c r="X77" s="217"/>
      <c r="Y77" s="217"/>
      <c r="Z77" s="213"/>
      <c r="AA77" s="215"/>
      <c r="AB77" s="215"/>
      <c r="AC77" s="217"/>
      <c r="AD77" s="217"/>
      <c r="AE77" s="213"/>
      <c r="AF77" s="215"/>
      <c r="AG77" s="215"/>
      <c r="AH77" s="217"/>
      <c r="AI77" s="217"/>
      <c r="AJ77" s="213"/>
    </row>
    <row r="78" spans="1:36" ht="33.75" customHeight="1">
      <c r="A78" s="213"/>
      <c r="B78" s="214">
        <f ca="1">IFERROR(__xludf.DUMMYFUNCTION("""COMPUTED_VALUE"""),2811351)</f>
        <v>2811351</v>
      </c>
      <c r="C78" s="215" t="str">
        <f ca="1">IFERROR(__xludf.DUMMYFUNCTION("""COMPUTED_VALUE"""),"Intermediate")</f>
        <v>Intermediate</v>
      </c>
      <c r="D78" s="216" t="str">
        <f ca="1">IFERROR(__xludf.DUMMYFUNCTION("""COMPUTED_VALUE"""),"Practical Success Metrics in Your Training Program")</f>
        <v>Practical Success Metrics in Your Training Program</v>
      </c>
      <c r="E78" s="217"/>
      <c r="F78" s="213"/>
      <c r="G78" s="214"/>
      <c r="H78" s="215"/>
      <c r="I78" s="217"/>
      <c r="J78" s="217"/>
      <c r="K78" s="213"/>
      <c r="L78" s="215"/>
      <c r="M78" s="215"/>
      <c r="N78" s="217"/>
      <c r="O78" s="217"/>
      <c r="P78" s="213"/>
      <c r="Q78" s="215"/>
      <c r="R78" s="215"/>
      <c r="S78" s="217"/>
      <c r="T78" s="217"/>
      <c r="U78" s="213"/>
      <c r="V78" s="215"/>
      <c r="W78" s="215"/>
      <c r="X78" s="217"/>
      <c r="Y78" s="217"/>
      <c r="Z78" s="213"/>
      <c r="AA78" s="215"/>
      <c r="AB78" s="215"/>
      <c r="AC78" s="217"/>
      <c r="AD78" s="217"/>
      <c r="AE78" s="213"/>
      <c r="AF78" s="215"/>
      <c r="AG78" s="215"/>
      <c r="AH78" s="217"/>
      <c r="AI78" s="217"/>
      <c r="AJ78" s="213"/>
    </row>
    <row r="79" spans="1:36" ht="33.75" customHeight="1">
      <c r="A79" s="213"/>
      <c r="B79" s="214">
        <f ca="1">IFERROR(__xludf.DUMMYFUNCTION("""COMPUTED_VALUE"""),2818079)</f>
        <v>2818079</v>
      </c>
      <c r="C79" s="215" t="str">
        <f ca="1">IFERROR(__xludf.DUMMYFUNCTION("""COMPUTED_VALUE"""),"Intermediate")</f>
        <v>Intermediate</v>
      </c>
      <c r="D79" s="216" t="str">
        <f ca="1">IFERROR(__xludf.DUMMYFUNCTION("""COMPUTED_VALUE"""),"Diversity Recruiting")</f>
        <v>Diversity Recruiting</v>
      </c>
      <c r="E79" s="217"/>
      <c r="F79" s="213"/>
      <c r="G79" s="214"/>
      <c r="H79" s="215"/>
      <c r="I79" s="217"/>
      <c r="J79" s="217"/>
      <c r="K79" s="213"/>
      <c r="L79" s="215"/>
      <c r="M79" s="215"/>
      <c r="N79" s="217"/>
      <c r="O79" s="217"/>
      <c r="P79" s="213"/>
      <c r="Q79" s="215"/>
      <c r="R79" s="215"/>
      <c r="S79" s="217"/>
      <c r="T79" s="217"/>
      <c r="U79" s="213"/>
      <c r="V79" s="215"/>
      <c r="W79" s="215"/>
      <c r="X79" s="217"/>
      <c r="Y79" s="217"/>
      <c r="Z79" s="213"/>
      <c r="AA79" s="215"/>
      <c r="AB79" s="215"/>
      <c r="AC79" s="217"/>
      <c r="AD79" s="217"/>
      <c r="AE79" s="213"/>
      <c r="AF79" s="215"/>
      <c r="AG79" s="215"/>
      <c r="AH79" s="217"/>
      <c r="AI79" s="217"/>
      <c r="AJ79" s="213"/>
    </row>
    <row r="80" spans="1:36" ht="33.75" customHeight="1">
      <c r="A80" s="213"/>
      <c r="B80" s="214">
        <f ca="1">IFERROR(__xludf.DUMMYFUNCTION("""COMPUTED_VALUE"""),2820166)</f>
        <v>2820166</v>
      </c>
      <c r="C80" s="215" t="str">
        <f ca="1">IFERROR(__xludf.DUMMYFUNCTION("""COMPUTED_VALUE"""),"Intermediate")</f>
        <v>Intermediate</v>
      </c>
      <c r="D80" s="216" t="str">
        <f ca="1">IFERROR(__xludf.DUMMYFUNCTION("""COMPUTED_VALUE"""),"Interviewing a Job Candidate for Recruiters")</f>
        <v>Interviewing a Job Candidate for Recruiters</v>
      </c>
      <c r="E80" s="217"/>
      <c r="F80" s="213"/>
      <c r="G80" s="214"/>
      <c r="H80" s="215"/>
      <c r="I80" s="217"/>
      <c r="J80" s="217"/>
      <c r="K80" s="213"/>
      <c r="L80" s="215"/>
      <c r="M80" s="215"/>
      <c r="N80" s="217"/>
      <c r="O80" s="217"/>
      <c r="P80" s="213"/>
      <c r="Q80" s="215"/>
      <c r="R80" s="215"/>
      <c r="S80" s="217"/>
      <c r="T80" s="217"/>
      <c r="U80" s="213"/>
      <c r="V80" s="215"/>
      <c r="W80" s="215"/>
      <c r="X80" s="217"/>
      <c r="Y80" s="217"/>
      <c r="Z80" s="213"/>
      <c r="AA80" s="215"/>
      <c r="AB80" s="215"/>
      <c r="AC80" s="217"/>
      <c r="AD80" s="217"/>
      <c r="AE80" s="213"/>
      <c r="AF80" s="215"/>
      <c r="AG80" s="215"/>
      <c r="AH80" s="217"/>
      <c r="AI80" s="217"/>
      <c r="AJ80" s="213"/>
    </row>
    <row r="81" spans="1:36" ht="33.75" customHeight="1">
      <c r="A81" s="213"/>
      <c r="B81" s="214">
        <f ca="1">IFERROR(__xludf.DUMMYFUNCTION("""COMPUTED_VALUE"""),2822371)</f>
        <v>2822371</v>
      </c>
      <c r="C81" s="215" t="str">
        <f ca="1">IFERROR(__xludf.DUMMYFUNCTION("""COMPUTED_VALUE"""),"Intermediate")</f>
        <v>Intermediate</v>
      </c>
      <c r="D81" s="216" t="str">
        <f ca="1">IFERROR(__xludf.DUMMYFUNCTION("""COMPUTED_VALUE"""),"Setting and Managing Realistic Expectations for Your L&amp;D Program")</f>
        <v>Setting and Managing Realistic Expectations for Your L&amp;D Program</v>
      </c>
      <c r="E81" s="217"/>
      <c r="F81" s="213"/>
      <c r="G81" s="214"/>
      <c r="H81" s="215"/>
      <c r="I81" s="217"/>
      <c r="J81" s="217"/>
      <c r="K81" s="213"/>
      <c r="L81" s="215"/>
      <c r="M81" s="215"/>
      <c r="N81" s="217"/>
      <c r="O81" s="217"/>
      <c r="P81" s="213"/>
      <c r="Q81" s="215"/>
      <c r="R81" s="215"/>
      <c r="S81" s="217"/>
      <c r="T81" s="217"/>
      <c r="U81" s="213"/>
      <c r="V81" s="215"/>
      <c r="W81" s="215"/>
      <c r="X81" s="217"/>
      <c r="Y81" s="217"/>
      <c r="Z81" s="213"/>
      <c r="AA81" s="215"/>
      <c r="AB81" s="215"/>
      <c r="AC81" s="217"/>
      <c r="AD81" s="217"/>
      <c r="AE81" s="213"/>
      <c r="AF81" s="215"/>
      <c r="AG81" s="215"/>
      <c r="AH81" s="217"/>
      <c r="AI81" s="217"/>
      <c r="AJ81" s="213"/>
    </row>
    <row r="82" spans="1:36" ht="33.75" customHeight="1">
      <c r="A82" s="213"/>
      <c r="B82" s="214">
        <f ca="1">IFERROR(__xludf.DUMMYFUNCTION("""COMPUTED_VALUE"""),2823546)</f>
        <v>2823546</v>
      </c>
      <c r="C82" s="215" t="str">
        <f ca="1">IFERROR(__xludf.DUMMYFUNCTION("""COMPUTED_VALUE"""),"Intermediate")</f>
        <v>Intermediate</v>
      </c>
      <c r="D82" s="216" t="str">
        <f ca="1">IFERROR(__xludf.DUMMYFUNCTION("""COMPUTED_VALUE"""),"Rolling Out a Diversity and Inclusion Training Program in Your Company")</f>
        <v>Rolling Out a Diversity and Inclusion Training Program in Your Company</v>
      </c>
      <c r="E82" s="217"/>
      <c r="F82" s="213"/>
      <c r="G82" s="214"/>
      <c r="H82" s="215"/>
      <c r="I82" s="217"/>
      <c r="J82" s="217"/>
      <c r="K82" s="213"/>
      <c r="L82" s="215"/>
      <c r="M82" s="215"/>
      <c r="N82" s="217"/>
      <c r="O82" s="217"/>
      <c r="P82" s="213"/>
      <c r="Q82" s="215"/>
      <c r="R82" s="215"/>
      <c r="S82" s="217"/>
      <c r="T82" s="217"/>
      <c r="U82" s="213"/>
      <c r="V82" s="215"/>
      <c r="W82" s="215"/>
      <c r="X82" s="217"/>
      <c r="Y82" s="217"/>
      <c r="Z82" s="213"/>
      <c r="AA82" s="215"/>
      <c r="AB82" s="215"/>
      <c r="AC82" s="217"/>
      <c r="AD82" s="217"/>
      <c r="AE82" s="213"/>
      <c r="AF82" s="215"/>
      <c r="AG82" s="215"/>
      <c r="AH82" s="217"/>
      <c r="AI82" s="217"/>
      <c r="AJ82" s="213"/>
    </row>
    <row r="83" spans="1:36" ht="33.75" customHeight="1">
      <c r="A83" s="213"/>
      <c r="B83" s="214">
        <f ca="1">IFERROR(__xludf.DUMMYFUNCTION("""COMPUTED_VALUE"""),2823547)</f>
        <v>2823547</v>
      </c>
      <c r="C83" s="215" t="str">
        <f ca="1">IFERROR(__xludf.DUMMYFUNCTION("""COMPUTED_VALUE"""),"Intermediate")</f>
        <v>Intermediate</v>
      </c>
      <c r="D83" s="216" t="str">
        <f ca="1">IFERROR(__xludf.DUMMYFUNCTION("""COMPUTED_VALUE"""),"Managing Misconduct in the Workplace")</f>
        <v>Managing Misconduct in the Workplace</v>
      </c>
      <c r="E83" s="217"/>
      <c r="F83" s="213"/>
      <c r="G83" s="214"/>
      <c r="H83" s="215"/>
      <c r="I83" s="217"/>
      <c r="J83" s="217"/>
      <c r="K83" s="213"/>
      <c r="L83" s="215"/>
      <c r="M83" s="215"/>
      <c r="N83" s="217"/>
      <c r="O83" s="217"/>
      <c r="P83" s="213"/>
      <c r="Q83" s="215"/>
      <c r="R83" s="215"/>
      <c r="S83" s="217"/>
      <c r="T83" s="217"/>
      <c r="U83" s="213"/>
      <c r="V83" s="215"/>
      <c r="W83" s="215"/>
      <c r="X83" s="217"/>
      <c r="Y83" s="217"/>
      <c r="Z83" s="213"/>
      <c r="AA83" s="215"/>
      <c r="AB83" s="215"/>
      <c r="AC83" s="217"/>
      <c r="AD83" s="217"/>
      <c r="AE83" s="213"/>
      <c r="AF83" s="215"/>
      <c r="AG83" s="215"/>
      <c r="AH83" s="217"/>
      <c r="AI83" s="217"/>
      <c r="AJ83" s="213"/>
    </row>
    <row r="84" spans="1:36" ht="33.75" customHeight="1">
      <c r="A84" s="213"/>
      <c r="B84" s="214">
        <f ca="1">IFERROR(__xludf.DUMMYFUNCTION("""COMPUTED_VALUE"""),2976142)</f>
        <v>2976142</v>
      </c>
      <c r="C84" s="215" t="str">
        <f ca="1">IFERROR(__xludf.DUMMYFUNCTION("""COMPUTED_VALUE"""),"Intermediate")</f>
        <v>Intermediate</v>
      </c>
      <c r="D84" s="216" t="str">
        <f ca="1">IFERROR(__xludf.DUMMYFUNCTION("""COMPUTED_VALUE"""),"Converting Face-to-Face Training into Digital Learning")</f>
        <v>Converting Face-to-Face Training into Digital Learning</v>
      </c>
      <c r="E84" s="217"/>
      <c r="F84" s="213"/>
      <c r="G84" s="214"/>
      <c r="H84" s="215"/>
      <c r="I84" s="217"/>
      <c r="J84" s="217"/>
      <c r="K84" s="213"/>
      <c r="L84" s="215"/>
      <c r="M84" s="215"/>
      <c r="N84" s="217"/>
      <c r="O84" s="217"/>
      <c r="P84" s="213"/>
      <c r="Q84" s="215"/>
      <c r="R84" s="215"/>
      <c r="S84" s="217"/>
      <c r="T84" s="217"/>
      <c r="U84" s="213"/>
      <c r="V84" s="215"/>
      <c r="W84" s="215"/>
      <c r="X84" s="217"/>
      <c r="Y84" s="217"/>
      <c r="Z84" s="213"/>
      <c r="AA84" s="215"/>
      <c r="AB84" s="215"/>
      <c r="AC84" s="217"/>
      <c r="AD84" s="217"/>
      <c r="AE84" s="213"/>
      <c r="AF84" s="215"/>
      <c r="AG84" s="215"/>
      <c r="AH84" s="217"/>
      <c r="AI84" s="217"/>
      <c r="AJ84" s="213"/>
    </row>
    <row r="85" spans="1:36" ht="33.75" customHeight="1">
      <c r="A85" s="213"/>
      <c r="B85" s="214">
        <f ca="1">IFERROR(__xludf.DUMMYFUNCTION("""COMPUTED_VALUE"""),2822642)</f>
        <v>2822642</v>
      </c>
      <c r="C85" s="215" t="str">
        <f ca="1">IFERROR(__xludf.DUMMYFUNCTION("""COMPUTED_VALUE"""),"Intermediate")</f>
        <v>Intermediate</v>
      </c>
      <c r="D85" s="216" t="str">
        <f ca="1">IFERROR(__xludf.DUMMYFUNCTION("""COMPUTED_VALUE"""),"Leadership Mindsets")</f>
        <v>Leadership Mindsets</v>
      </c>
      <c r="E85" s="217"/>
      <c r="F85" s="213"/>
      <c r="G85" s="214"/>
      <c r="H85" s="215"/>
      <c r="I85" s="217"/>
      <c r="J85" s="217"/>
      <c r="K85" s="213"/>
      <c r="L85" s="215"/>
      <c r="M85" s="215"/>
      <c r="N85" s="217"/>
      <c r="O85" s="217"/>
      <c r="P85" s="213"/>
      <c r="Q85" s="215"/>
      <c r="R85" s="215"/>
      <c r="S85" s="217"/>
      <c r="T85" s="217"/>
      <c r="U85" s="213"/>
      <c r="V85" s="215"/>
      <c r="W85" s="215"/>
      <c r="X85" s="217"/>
      <c r="Y85" s="217"/>
      <c r="Z85" s="213"/>
      <c r="AA85" s="215"/>
      <c r="AB85" s="215"/>
      <c r="AC85" s="217"/>
      <c r="AD85" s="217"/>
      <c r="AE85" s="213"/>
      <c r="AF85" s="215"/>
      <c r="AG85" s="215"/>
      <c r="AH85" s="217"/>
      <c r="AI85" s="217"/>
      <c r="AJ85" s="213"/>
    </row>
    <row r="86" spans="1:36" ht="33.75" customHeight="1">
      <c r="A86" s="213"/>
      <c r="B86" s="214">
        <f ca="1">IFERROR(__xludf.DUMMYFUNCTION("""COMPUTED_VALUE"""),2832050)</f>
        <v>2832050</v>
      </c>
      <c r="C86" s="215" t="str">
        <f ca="1">IFERROR(__xludf.DUMMYFUNCTION("""COMPUTED_VALUE"""),"Intermediate")</f>
        <v>Intermediate</v>
      </c>
      <c r="D86" s="216" t="str">
        <f ca="1">IFERROR(__xludf.DUMMYFUNCTION("""COMPUTED_VALUE"""),"Running a Design Business: The Staffing Rule Book")</f>
        <v>Running a Design Business: The Staffing Rule Book</v>
      </c>
      <c r="E86" s="217"/>
      <c r="F86" s="213"/>
      <c r="G86" s="214"/>
      <c r="H86" s="215"/>
      <c r="I86" s="217"/>
      <c r="J86" s="217"/>
      <c r="K86" s="213"/>
      <c r="L86" s="215"/>
      <c r="M86" s="215"/>
      <c r="N86" s="217"/>
      <c r="O86" s="217"/>
      <c r="P86" s="213"/>
      <c r="Q86" s="215"/>
      <c r="R86" s="215"/>
      <c r="S86" s="217"/>
      <c r="T86" s="217"/>
      <c r="U86" s="213"/>
      <c r="V86" s="215"/>
      <c r="W86" s="215"/>
      <c r="X86" s="217"/>
      <c r="Y86" s="217"/>
      <c r="Z86" s="213"/>
      <c r="AA86" s="215"/>
      <c r="AB86" s="215"/>
      <c r="AC86" s="217"/>
      <c r="AD86" s="217"/>
      <c r="AE86" s="213"/>
      <c r="AF86" s="215"/>
      <c r="AG86" s="215"/>
      <c r="AH86" s="217"/>
      <c r="AI86" s="217"/>
      <c r="AJ86" s="213"/>
    </row>
    <row r="87" spans="1:36" ht="33.75" customHeight="1">
      <c r="A87" s="213"/>
      <c r="B87" s="214">
        <f ca="1">IFERROR(__xludf.DUMMYFUNCTION("""COMPUTED_VALUE"""),548771)</f>
        <v>548771</v>
      </c>
      <c r="C87" s="215" t="str">
        <f ca="1">IFERROR(__xludf.DUMMYFUNCTION("""COMPUTED_VALUE"""),"Advanced")</f>
        <v>Advanced</v>
      </c>
      <c r="D87" s="216" t="str">
        <f ca="1">IFERROR(__xludf.DUMMYFUNCTION("""COMPUTED_VALUE"""),"Hiring and Developing Your Future Workforce")</f>
        <v>Hiring and Developing Your Future Workforce</v>
      </c>
      <c r="E87" s="217"/>
      <c r="F87" s="213"/>
      <c r="G87" s="214"/>
      <c r="H87" s="215"/>
      <c r="I87" s="217"/>
      <c r="J87" s="217"/>
      <c r="K87" s="213"/>
      <c r="L87" s="215"/>
      <c r="M87" s="215"/>
      <c r="N87" s="217"/>
      <c r="O87" s="217"/>
      <c r="P87" s="213"/>
      <c r="Q87" s="215"/>
      <c r="R87" s="215"/>
      <c r="S87" s="217"/>
      <c r="T87" s="217"/>
      <c r="U87" s="213"/>
      <c r="V87" s="215"/>
      <c r="W87" s="215"/>
      <c r="X87" s="217"/>
      <c r="Y87" s="217"/>
      <c r="Z87" s="213"/>
      <c r="AA87" s="215"/>
      <c r="AB87" s="215"/>
      <c r="AC87" s="217"/>
      <c r="AD87" s="217"/>
      <c r="AE87" s="213"/>
      <c r="AF87" s="215"/>
      <c r="AG87" s="215"/>
      <c r="AH87" s="217"/>
      <c r="AI87" s="217"/>
      <c r="AJ87" s="213"/>
    </row>
    <row r="88" spans="1:36" ht="33.75" customHeight="1">
      <c r="A88" s="213"/>
      <c r="B88" s="214">
        <f ca="1">IFERROR(__xludf.DUMMYFUNCTION("""COMPUTED_VALUE"""),651190)</f>
        <v>651190</v>
      </c>
      <c r="C88" s="215" t="str">
        <f ca="1">IFERROR(__xludf.DUMMYFUNCTION("""COMPUTED_VALUE"""),"Advanced")</f>
        <v>Advanced</v>
      </c>
      <c r="D88" s="217" t="str">
        <f ca="1">IFERROR(__xludf.DUMMYFUNCTION("""COMPUTED_VALUE"""),"Human Resources: Leadership and Strategic Impact")</f>
        <v>Human Resources: Leadership and Strategic Impact</v>
      </c>
      <c r="E88" s="217"/>
      <c r="F88" s="213"/>
      <c r="G88" s="214"/>
      <c r="H88" s="215"/>
      <c r="I88" s="217"/>
      <c r="J88" s="217"/>
      <c r="K88" s="213"/>
      <c r="L88" s="215"/>
      <c r="M88" s="215"/>
      <c r="N88" s="217"/>
      <c r="O88" s="217"/>
      <c r="P88" s="213"/>
      <c r="Q88" s="215"/>
      <c r="R88" s="215"/>
      <c r="S88" s="217"/>
      <c r="T88" s="217"/>
      <c r="U88" s="213"/>
      <c r="V88" s="215"/>
      <c r="W88" s="215"/>
      <c r="X88" s="217"/>
      <c r="Y88" s="217"/>
      <c r="Z88" s="213"/>
      <c r="AA88" s="215"/>
      <c r="AB88" s="215"/>
      <c r="AC88" s="217"/>
      <c r="AD88" s="217"/>
      <c r="AE88" s="213"/>
      <c r="AF88" s="215"/>
      <c r="AG88" s="215"/>
      <c r="AH88" s="217"/>
      <c r="AI88" s="217"/>
      <c r="AJ88" s="213"/>
    </row>
    <row r="89" spans="1:36" ht="16">
      <c r="A89" s="213"/>
      <c r="B89" s="214">
        <f ca="1">IFERROR(__xludf.DUMMYFUNCTION("""COMPUTED_VALUE"""),639058)</f>
        <v>639058</v>
      </c>
      <c r="C89" s="215" t="str">
        <f ca="1">IFERROR(__xludf.DUMMYFUNCTION("""COMPUTED_VALUE"""),"Advanced")</f>
        <v>Advanced</v>
      </c>
      <c r="D89" s="216" t="str">
        <f ca="1">IFERROR(__xludf.DUMMYFUNCTION("""COMPUTED_VALUE"""),"Human Resources: Selecting an HR System")</f>
        <v>Human Resources: Selecting an HR System</v>
      </c>
      <c r="E89" s="217"/>
      <c r="F89" s="213"/>
      <c r="G89" s="214"/>
      <c r="H89" s="215"/>
      <c r="I89" s="217"/>
      <c r="J89" s="217"/>
      <c r="K89" s="213"/>
      <c r="L89" s="215"/>
      <c r="M89" s="215"/>
      <c r="N89" s="217"/>
      <c r="O89" s="217"/>
      <c r="P89" s="213"/>
      <c r="Q89" s="215"/>
      <c r="R89" s="215"/>
      <c r="S89" s="217"/>
      <c r="T89" s="217"/>
      <c r="U89" s="213"/>
      <c r="V89" s="215"/>
      <c r="W89" s="215"/>
      <c r="X89" s="217"/>
      <c r="Y89" s="217"/>
      <c r="Z89" s="213"/>
      <c r="AA89" s="215"/>
      <c r="AB89" s="215"/>
      <c r="AC89" s="217"/>
      <c r="AD89" s="217"/>
      <c r="AE89" s="213"/>
      <c r="AF89" s="215"/>
      <c r="AG89" s="215"/>
      <c r="AH89" s="217"/>
      <c r="AI89" s="217"/>
      <c r="AJ89" s="213"/>
    </row>
    <row r="90" spans="1:36" ht="30">
      <c r="A90" s="213"/>
      <c r="B90" s="214">
        <f ca="1">IFERROR(__xludf.DUMMYFUNCTION("""COMPUTED_VALUE"""),669536)</f>
        <v>669536</v>
      </c>
      <c r="C90" s="215" t="str">
        <f ca="1">IFERROR(__xludf.DUMMYFUNCTION("""COMPUTED_VALUE"""),"Advanced")</f>
        <v>Advanced</v>
      </c>
      <c r="D90" s="216" t="str">
        <f ca="1">IFERROR(__xludf.DUMMYFUNCTION("""COMPUTED_VALUE"""),"Human Resources: Strategic Workforce Planning")</f>
        <v>Human Resources: Strategic Workforce Planning</v>
      </c>
      <c r="E90" s="217"/>
      <c r="F90" s="213"/>
      <c r="G90" s="214"/>
      <c r="H90" s="215"/>
      <c r="I90" s="217"/>
      <c r="J90" s="217"/>
      <c r="K90" s="213"/>
      <c r="L90" s="215"/>
      <c r="M90" s="215"/>
      <c r="N90" s="217"/>
      <c r="O90" s="217"/>
      <c r="P90" s="213"/>
      <c r="Q90" s="215"/>
      <c r="R90" s="215"/>
      <c r="S90" s="217"/>
      <c r="T90" s="217"/>
      <c r="U90" s="213"/>
      <c r="V90" s="215"/>
      <c r="W90" s="215"/>
      <c r="X90" s="217"/>
      <c r="Y90" s="217"/>
      <c r="Z90" s="213"/>
      <c r="AA90" s="215"/>
      <c r="AB90" s="215"/>
      <c r="AC90" s="217"/>
      <c r="AD90" s="217"/>
      <c r="AE90" s="213"/>
      <c r="AF90" s="215"/>
      <c r="AG90" s="215"/>
      <c r="AH90" s="217"/>
      <c r="AI90" s="217"/>
      <c r="AJ90" s="213"/>
    </row>
    <row r="91" spans="1:36" ht="30">
      <c r="A91" s="213"/>
      <c r="B91" s="214">
        <f ca="1">IFERROR(__xludf.DUMMYFUNCTION("""COMPUTED_VALUE"""),639057)</f>
        <v>639057</v>
      </c>
      <c r="C91" s="215" t="str">
        <f ca="1">IFERROR(__xludf.DUMMYFUNCTION("""COMPUTED_VALUE"""),"Advanced")</f>
        <v>Advanced</v>
      </c>
      <c r="D91" s="216" t="str">
        <f ca="1">IFERROR(__xludf.DUMMYFUNCTION("""COMPUTED_VALUE"""),"Human Resources: Understanding HR Systems Features and Benefits")</f>
        <v>Human Resources: Understanding HR Systems Features and Benefits</v>
      </c>
      <c r="E91" s="217"/>
      <c r="F91" s="213"/>
      <c r="G91" s="214"/>
      <c r="H91" s="215"/>
      <c r="I91" s="217"/>
      <c r="J91" s="217"/>
      <c r="K91" s="213"/>
      <c r="L91" s="215"/>
      <c r="M91" s="215"/>
      <c r="N91" s="217"/>
      <c r="O91" s="217"/>
      <c r="P91" s="213"/>
      <c r="Q91" s="215"/>
      <c r="R91" s="215"/>
      <c r="S91" s="217"/>
      <c r="T91" s="217"/>
      <c r="U91" s="213"/>
      <c r="V91" s="215"/>
      <c r="W91" s="215"/>
      <c r="X91" s="217"/>
      <c r="Y91" s="217"/>
      <c r="Z91" s="213"/>
      <c r="AA91" s="215"/>
      <c r="AB91" s="215"/>
      <c r="AC91" s="217"/>
      <c r="AD91" s="217"/>
      <c r="AE91" s="213"/>
      <c r="AF91" s="215"/>
      <c r="AG91" s="215"/>
      <c r="AH91" s="217"/>
      <c r="AI91" s="217"/>
      <c r="AJ91" s="213"/>
    </row>
    <row r="92" spans="1:36" ht="16">
      <c r="A92" s="213"/>
      <c r="B92" s="214">
        <f ca="1">IFERROR(__xludf.DUMMYFUNCTION("""COMPUTED_VALUE"""),5022330)</f>
        <v>5022330</v>
      </c>
      <c r="C92" s="215" t="str">
        <f ca="1">IFERROR(__xludf.DUMMYFUNCTION("""COMPUTED_VALUE"""),"Advanced")</f>
        <v>Advanced</v>
      </c>
      <c r="D92" s="216" t="str">
        <f ca="1">IFERROR(__xludf.DUMMYFUNCTION("""COMPUTED_VALUE"""),"People Analytics")</f>
        <v>People Analytics</v>
      </c>
      <c r="E92" s="217"/>
      <c r="F92" s="213"/>
      <c r="G92" s="214"/>
      <c r="H92" s="215"/>
      <c r="I92" s="217"/>
      <c r="J92" s="217"/>
      <c r="K92" s="213"/>
      <c r="L92" s="215"/>
      <c r="M92" s="215"/>
      <c r="N92" s="217"/>
      <c r="O92" s="217"/>
      <c r="P92" s="213"/>
      <c r="Q92" s="215"/>
      <c r="R92" s="215"/>
      <c r="S92" s="217"/>
      <c r="T92" s="217"/>
      <c r="U92" s="213"/>
      <c r="V92" s="215"/>
      <c r="W92" s="215"/>
      <c r="X92" s="217"/>
      <c r="Y92" s="217"/>
      <c r="Z92" s="213"/>
      <c r="AA92" s="215"/>
      <c r="AB92" s="215"/>
      <c r="AC92" s="217"/>
      <c r="AD92" s="217"/>
      <c r="AE92" s="213"/>
      <c r="AF92" s="215"/>
      <c r="AG92" s="215"/>
      <c r="AH92" s="217"/>
      <c r="AI92" s="217"/>
      <c r="AJ92" s="213"/>
    </row>
    <row r="93" spans="1:36" ht="16">
      <c r="A93" s="213"/>
      <c r="B93" s="214">
        <f ca="1">IFERROR(__xludf.DUMMYFUNCTION("""COMPUTED_VALUE"""),2812133)</f>
        <v>2812133</v>
      </c>
      <c r="C93" s="215" t="str">
        <f ca="1">IFERROR(__xludf.DUMMYFUNCTION("""COMPUTED_VALUE"""),"Advanced")</f>
        <v>Advanced</v>
      </c>
      <c r="D93" s="216" t="str">
        <f ca="1">IFERROR(__xludf.DUMMYFUNCTION("""COMPUTED_VALUE"""),"Using Neuroscience for More Effective L&amp;D")</f>
        <v>Using Neuroscience for More Effective L&amp;D</v>
      </c>
      <c r="E93" s="217"/>
      <c r="F93" s="213"/>
      <c r="G93" s="214"/>
      <c r="H93" s="215"/>
      <c r="I93" s="217"/>
      <c r="J93" s="217"/>
      <c r="K93" s="213"/>
      <c r="L93" s="215"/>
      <c r="M93" s="215"/>
      <c r="N93" s="217"/>
      <c r="O93" s="217"/>
      <c r="P93" s="213"/>
      <c r="Q93" s="215"/>
      <c r="R93" s="215"/>
      <c r="S93" s="217"/>
      <c r="T93" s="217"/>
      <c r="U93" s="213"/>
      <c r="V93" s="215"/>
      <c r="W93" s="215"/>
      <c r="X93" s="217"/>
      <c r="Y93" s="217"/>
      <c r="Z93" s="213"/>
      <c r="AA93" s="215"/>
      <c r="AB93" s="215"/>
      <c r="AC93" s="217"/>
      <c r="AD93" s="217"/>
      <c r="AE93" s="213"/>
      <c r="AF93" s="215"/>
      <c r="AG93" s="215"/>
      <c r="AH93" s="217"/>
      <c r="AI93" s="217"/>
      <c r="AJ93" s="213"/>
    </row>
    <row r="94" spans="1:36" ht="16">
      <c r="A94" s="213"/>
      <c r="B94" s="214">
        <f ca="1">IFERROR(__xludf.DUMMYFUNCTION("""COMPUTED_VALUE"""),2820164)</f>
        <v>2820164</v>
      </c>
      <c r="C94" s="215" t="str">
        <f ca="1">IFERROR(__xludf.DUMMYFUNCTION("""COMPUTED_VALUE"""),"Advanced")</f>
        <v>Advanced</v>
      </c>
      <c r="D94" s="216" t="str">
        <f ca="1">IFERROR(__xludf.DUMMYFUNCTION("""COMPUTED_VALUE"""),"Human Resources: Pay Strategy")</f>
        <v>Human Resources: Pay Strategy</v>
      </c>
      <c r="E94" s="217"/>
      <c r="F94" s="213"/>
      <c r="G94" s="214"/>
      <c r="H94" s="215"/>
      <c r="I94" s="217"/>
      <c r="J94" s="217"/>
      <c r="K94" s="213"/>
      <c r="L94" s="215"/>
      <c r="M94" s="215"/>
      <c r="N94" s="217"/>
      <c r="O94" s="217"/>
      <c r="P94" s="213"/>
      <c r="Q94" s="215"/>
      <c r="R94" s="215"/>
      <c r="S94" s="217"/>
      <c r="T94" s="217"/>
      <c r="U94" s="213"/>
      <c r="V94" s="215"/>
      <c r="W94" s="215"/>
      <c r="X94" s="217"/>
      <c r="Y94" s="217"/>
      <c r="Z94" s="213"/>
      <c r="AA94" s="215"/>
      <c r="AB94" s="215"/>
      <c r="AC94" s="217"/>
      <c r="AD94" s="217"/>
      <c r="AE94" s="213"/>
      <c r="AF94" s="215"/>
      <c r="AG94" s="215"/>
      <c r="AH94" s="217"/>
      <c r="AI94" s="217"/>
      <c r="AJ94" s="213"/>
    </row>
    <row r="95" spans="1:36" ht="16">
      <c r="A95" s="213"/>
      <c r="B95" s="214">
        <f ca="1">IFERROR(__xludf.DUMMYFUNCTION("""COMPUTED_VALUE"""),2851002)</f>
        <v>2851002</v>
      </c>
      <c r="C95" s="215" t="str">
        <f ca="1">IFERROR(__xludf.DUMMYFUNCTION("""COMPUTED_VALUE"""),"Advanced")</f>
        <v>Advanced</v>
      </c>
      <c r="D95" s="216" t="str">
        <f ca="1">IFERROR(__xludf.DUMMYFUNCTION("""COMPUTED_VALUE"""),"Privacy in the New World of Work")</f>
        <v>Privacy in the New World of Work</v>
      </c>
      <c r="E95" s="217"/>
      <c r="F95" s="213"/>
      <c r="G95" s="214"/>
      <c r="H95" s="215"/>
      <c r="I95" s="217"/>
      <c r="J95" s="217"/>
      <c r="K95" s="213"/>
      <c r="L95" s="215"/>
      <c r="M95" s="215"/>
      <c r="N95" s="217"/>
      <c r="O95" s="217"/>
      <c r="P95" s="213"/>
      <c r="Q95" s="215"/>
      <c r="R95" s="215"/>
      <c r="S95" s="217"/>
      <c r="T95" s="217"/>
      <c r="U95" s="213"/>
      <c r="V95" s="215"/>
      <c r="W95" s="215"/>
      <c r="X95" s="217"/>
      <c r="Y95" s="217"/>
      <c r="Z95" s="213"/>
      <c r="AA95" s="215"/>
      <c r="AB95" s="215"/>
      <c r="AC95" s="217"/>
      <c r="AD95" s="217"/>
      <c r="AE95" s="213"/>
      <c r="AF95" s="215"/>
      <c r="AG95" s="215"/>
      <c r="AH95" s="217"/>
      <c r="AI95" s="217"/>
      <c r="AJ95" s="213"/>
    </row>
    <row r="96" spans="1:36" ht="30">
      <c r="A96" s="213"/>
      <c r="B96" s="214">
        <f ca="1">IFERROR(__xludf.DUMMYFUNCTION("""COMPUTED_VALUE"""),5028612)</f>
        <v>5028612</v>
      </c>
      <c r="C96" s="215" t="str">
        <f ca="1">IFERROR(__xludf.DUMMYFUNCTION("""COMPUTED_VALUE"""),"General")</f>
        <v>General</v>
      </c>
      <c r="D96" s="217" t="str">
        <f ca="1">IFERROR(__xludf.DUMMYFUNCTION("""COMPUTED_VALUE"""),"Bystander Training: From Bystander to Upstander")</f>
        <v>Bystander Training: From Bystander to Upstander</v>
      </c>
      <c r="E96" s="217"/>
      <c r="F96" s="213"/>
      <c r="G96" s="214"/>
      <c r="H96" s="215"/>
      <c r="I96" s="217"/>
      <c r="J96" s="217"/>
      <c r="K96" s="213"/>
      <c r="L96" s="215"/>
      <c r="M96" s="215"/>
      <c r="N96" s="217"/>
      <c r="O96" s="217"/>
      <c r="P96" s="213"/>
      <c r="Q96" s="215"/>
      <c r="R96" s="215"/>
      <c r="S96" s="217"/>
      <c r="T96" s="217"/>
      <c r="U96" s="213"/>
      <c r="V96" s="215"/>
      <c r="W96" s="215"/>
      <c r="X96" s="217"/>
      <c r="Y96" s="217"/>
      <c r="Z96" s="213"/>
      <c r="AA96" s="215"/>
      <c r="AB96" s="215"/>
      <c r="AC96" s="217"/>
      <c r="AD96" s="217"/>
      <c r="AE96" s="213"/>
      <c r="AF96" s="215"/>
      <c r="AG96" s="215"/>
      <c r="AH96" s="217"/>
      <c r="AI96" s="217"/>
      <c r="AJ96" s="213"/>
    </row>
    <row r="97" spans="1:36" ht="16">
      <c r="A97" s="213"/>
      <c r="B97" s="214">
        <f ca="1">IFERROR(__xludf.DUMMYFUNCTION("""COMPUTED_VALUE"""),716048)</f>
        <v>716048</v>
      </c>
      <c r="C97" s="215" t="str">
        <f ca="1">IFERROR(__xludf.DUMMYFUNCTION("""COMPUTED_VALUE"""),"General")</f>
        <v>General</v>
      </c>
      <c r="D97" s="217" t="str">
        <f ca="1">IFERROR(__xludf.DUMMYFUNCTION("""COMPUTED_VALUE"""),"Preventing Harassment in the Workplace")</f>
        <v>Preventing Harassment in the Workplace</v>
      </c>
      <c r="E97" s="217"/>
      <c r="F97" s="213"/>
      <c r="G97" s="214"/>
      <c r="H97" s="215"/>
      <c r="I97" s="217"/>
      <c r="J97" s="217"/>
      <c r="K97" s="213"/>
      <c r="L97" s="215"/>
      <c r="M97" s="215"/>
      <c r="N97" s="217"/>
      <c r="O97" s="217"/>
      <c r="P97" s="213"/>
      <c r="Q97" s="215"/>
      <c r="R97" s="215"/>
      <c r="S97" s="217"/>
      <c r="T97" s="217"/>
      <c r="U97" s="213"/>
      <c r="V97" s="215"/>
      <c r="W97" s="215"/>
      <c r="X97" s="217"/>
      <c r="Y97" s="217"/>
      <c r="Z97" s="213"/>
      <c r="AA97" s="215"/>
      <c r="AB97" s="215"/>
      <c r="AC97" s="217"/>
      <c r="AD97" s="217"/>
      <c r="AE97" s="213"/>
      <c r="AF97" s="215"/>
      <c r="AG97" s="215"/>
      <c r="AH97" s="217"/>
      <c r="AI97" s="217"/>
      <c r="AJ97" s="213"/>
    </row>
    <row r="98" spans="1:36" ht="16">
      <c r="A98" s="213"/>
      <c r="B98" s="214">
        <f ca="1">IFERROR(__xludf.DUMMYFUNCTION("""COMPUTED_VALUE"""),2860033)</f>
        <v>2860033</v>
      </c>
      <c r="C98" s="215" t="str">
        <f ca="1">IFERROR(__xludf.DUMMYFUNCTION("""COMPUTED_VALUE"""),"General")</f>
        <v>General</v>
      </c>
      <c r="D98" s="217" t="str">
        <f ca="1">IFERROR(__xludf.DUMMYFUNCTION("""COMPUTED_VALUE"""),"Adding Value through Diversity")</f>
        <v>Adding Value through Diversity</v>
      </c>
      <c r="E98" s="217"/>
      <c r="F98" s="213"/>
      <c r="G98" s="214"/>
      <c r="H98" s="215"/>
      <c r="I98" s="217"/>
      <c r="J98" s="217"/>
      <c r="K98" s="213"/>
      <c r="L98" s="215"/>
      <c r="M98" s="215"/>
      <c r="N98" s="217"/>
      <c r="O98" s="217"/>
      <c r="P98" s="213"/>
      <c r="Q98" s="215"/>
      <c r="R98" s="215"/>
      <c r="S98" s="217"/>
      <c r="T98" s="217"/>
      <c r="U98" s="213"/>
      <c r="V98" s="215"/>
      <c r="W98" s="215"/>
      <c r="X98" s="217"/>
      <c r="Y98" s="217"/>
      <c r="Z98" s="213"/>
      <c r="AA98" s="215"/>
      <c r="AB98" s="215"/>
      <c r="AC98" s="217"/>
      <c r="AD98" s="217"/>
      <c r="AE98" s="213"/>
      <c r="AF98" s="215"/>
      <c r="AG98" s="215"/>
      <c r="AH98" s="217"/>
      <c r="AI98" s="217"/>
      <c r="AJ98" s="213"/>
    </row>
    <row r="99" spans="1:36" ht="16">
      <c r="A99" s="213"/>
      <c r="B99" s="214">
        <f ca="1">IFERROR(__xludf.DUMMYFUNCTION("""COMPUTED_VALUE"""),2824355)</f>
        <v>2824355</v>
      </c>
      <c r="C99" s="215" t="str">
        <f ca="1">IFERROR(__xludf.DUMMYFUNCTION("""COMPUTED_VALUE"""),"General")</f>
        <v>General</v>
      </c>
      <c r="D99" s="217" t="str">
        <f ca="1">IFERROR(__xludf.DUMMYFUNCTION("""COMPUTED_VALUE"""),"Addiction: A Community Issue")</f>
        <v>Addiction: A Community Issue</v>
      </c>
      <c r="E99" s="217"/>
      <c r="F99" s="213"/>
      <c r="G99" s="214"/>
      <c r="H99" s="215"/>
      <c r="I99" s="218"/>
      <c r="J99" s="219"/>
      <c r="K99" s="213"/>
      <c r="L99" s="215"/>
      <c r="M99" s="215"/>
      <c r="N99" s="220"/>
      <c r="O99" s="220"/>
      <c r="P99" s="213"/>
      <c r="Q99" s="215"/>
      <c r="R99" s="215"/>
      <c r="S99" s="220"/>
      <c r="T99" s="220"/>
      <c r="U99" s="213"/>
      <c r="V99" s="215"/>
      <c r="W99" s="215"/>
      <c r="X99" s="220"/>
      <c r="Y99" s="220"/>
      <c r="Z99" s="213"/>
      <c r="AA99" s="215"/>
      <c r="AB99" s="215"/>
      <c r="AC99" s="221"/>
      <c r="AD99" s="221"/>
      <c r="AE99" s="213"/>
      <c r="AF99" s="215"/>
      <c r="AG99" s="215"/>
      <c r="AH99" s="220"/>
      <c r="AI99" s="220"/>
      <c r="AJ99" s="213"/>
    </row>
  </sheetData>
  <mergeCells count="14">
    <mergeCell ref="B1:E1"/>
    <mergeCell ref="L1:O1"/>
    <mergeCell ref="V1:Y1"/>
    <mergeCell ref="AF1:AI1"/>
    <mergeCell ref="B2:E2"/>
    <mergeCell ref="L2:O2"/>
    <mergeCell ref="V2:Y2"/>
    <mergeCell ref="AF2:AI2"/>
    <mergeCell ref="G1:J1"/>
    <mergeCell ref="G2:J2"/>
    <mergeCell ref="Q1:T1"/>
    <mergeCell ref="Q2:T2"/>
    <mergeCell ref="AA1:AD1"/>
    <mergeCell ref="AA2:AD2"/>
  </mergeCells>
  <hyperlinks>
    <hyperlink ref="D4" r:id="rId1" display="https://www.linkedin.com/learning/succession-planning?trk=ondemandfile" xr:uid="{00000000-0004-0000-1600-000000000000}"/>
    <hyperlink ref="E4" r:id="rId2" display="https://www.linkedin.com/learning/paths/build-a-company-learning-and-development-program?trk=ondemandfile" xr:uid="{00000000-0004-0000-1600-000001000000}"/>
    <hyperlink ref="N4" r:id="rId3" display="https://www.linkedin.com/learning/agile-en-accion-construye-tu-equipo-agil?trk=ondemandfile" xr:uid="{00000000-0004-0000-1600-000002000000}"/>
    <hyperlink ref="O4" r:id="rId4" display="https://www.linkedin.com/learning/paths/conviertete-en-reclutador-de-talentos?trk=ondemandfile" xr:uid="{00000000-0004-0000-1600-000003000000}"/>
    <hyperlink ref="S4" r:id="rId5" display="https://www.linkedin.com/learning/10-mythen-uber-diversity-inclusion-und-zugehorigkeit-am-arbeitsplatz?trk=contentmappingfile" xr:uid="{00000000-0004-0000-1600-000004000000}"/>
    <hyperlink ref="T4" r:id="rId6" display="https://www.linkedin.com/learning/paths/mitarbeiter-finden-und-halten?trk=ondemandfile" xr:uid="{00000000-0004-0000-1600-000005000000}"/>
    <hyperlink ref="X4" r:id="rId7" display="https://www.linkedin.com/learning/leading-inclusive-teams-14683165?trk=contentmappingfile" xr:uid="{00000000-0004-0000-1600-000006000000}"/>
    <hyperlink ref="AD4" r:id="rId8" display="https://www.linkedin.com/learning/paths/torne-se-um-lider?trk=ondemandfile" xr:uid="{00000000-0004-0000-1600-000007000000}"/>
    <hyperlink ref="AH4" r:id="rId9" display="https://www.linkedin.com/learning/virtual-interviewing-for-hr-3?trk=ondemandfile" xr:uid="{00000000-0004-0000-1600-000008000000}"/>
    <hyperlink ref="AI4" r:id="rId10" display="https://www.linkedin.com/learning/paths/3db8a531-c16b-3623-9891-2cd47ac19f68?trk=ondemandfile" xr:uid="{00000000-0004-0000-1600-000009000000}"/>
    <hyperlink ref="D5" r:id="rId11" display="https://www.linkedin.com/learning/organization-culture?trk=ondemandfile" xr:uid="{00000000-0004-0000-1600-00000A000000}"/>
    <hyperlink ref="E5" r:id="rId12" display="https://www.linkedin.com/learning/paths/become-a-corporate-recruiter?trk=ondemandfile" xr:uid="{00000000-0004-0000-1600-00000B000000}"/>
    <hyperlink ref="I5" r:id="rId13" display="https://www.linkedin.com/learning/ameliorer-son-index-d-egalite-professionnelle?trk=contentmappingfile" xr:uid="{00000000-0004-0000-1600-00000C000000}"/>
    <hyperlink ref="N5" r:id="rId14" display="https://www.linkedin.com/learning/big-data-recursos-humanos-y-gestion-del-bienestar-laboral?trk=contentmappingfile" xr:uid="{00000000-0004-0000-1600-00000D000000}"/>
    <hyperlink ref="O5" r:id="rId15" display="https://www.linkedin.com/learning/paths/profundiza-en-la-busqueda-seleccion-y-retencion-de-talentos?trk=ondemandfile" xr:uid="{00000000-0004-0000-1600-00000E000000}"/>
    <hyperlink ref="S5" r:id="rId16" display="https://www.linkedin.com/learning/agile-lernformate-fur-organisationen?trk=ondemandfile" xr:uid="{00000000-0004-0000-1600-00000F000000}"/>
    <hyperlink ref="T5" r:id="rId17" display="https://www.linkedin.com/learning/paths/recruiter-in-werden?trk=ondemandfile" xr:uid="{00000000-0004-0000-1600-000010000000}"/>
    <hyperlink ref="X5" r:id="rId18" display="https://www.linkedin.com/learning/hiring-and-developing-your-future-workforce-3?trk=ondemandfile" xr:uid="{00000000-0004-0000-1600-000011000000}"/>
    <hyperlink ref="AD5" r:id="rId19" display="https://www.linkedin.com/learning/paths/transforme-se-num-lider-disruptivo?trk=ondemandfile" xr:uid="{00000000-0004-0000-1600-000012000000}"/>
    <hyperlink ref="AH5" r:id="rId20" display="https://www.linkedin.com/learning/creating-a-high-performance-culture-4?trk=ondemandfile" xr:uid="{00000000-0004-0000-1600-000013000000}"/>
    <hyperlink ref="AI5" r:id="rId21" display="https://www.linkedin.com/learning/paths/a0eb3d8c-a473-3d5e-b3a6-750ac02b3b49?trk=ondemandfile" xr:uid="{00000000-0004-0000-1600-000014000000}"/>
    <hyperlink ref="D6" r:id="rId22" display="https://www.linkedin.com/learning/rewarding-employee-performance?trk=ondemandfile" xr:uid="{00000000-0004-0000-1600-000015000000}"/>
    <hyperlink ref="E6" r:id="rId23" display="https://www.linkedin.com/learning/paths/become-an-external-recruiter?trk=ondemandfile" xr:uid="{00000000-0004-0000-1600-000016000000}"/>
    <hyperlink ref="N6" r:id="rId24" display="https://www.linkedin.com/learning/00-building-high-performance-teams?trk=ondemandfile" xr:uid="{00000000-0004-0000-1600-000017000000}"/>
    <hyperlink ref="O6" r:id="rId25" display="https://www.linkedin.com/learning/paths/gestiona-el-rendimiento?trk=ondemandfile" xr:uid="{00000000-0004-0000-1600-000018000000}"/>
    <hyperlink ref="S6" r:id="rId26" display="https://www.linkedin.com/learning/agiles-personalmanagement?trk=contentmappingfile" xr:uid="{00000000-0004-0000-1600-000019000000}"/>
    <hyperlink ref="X6" r:id="rId27" display="https://www.linkedin.com/learning/diversity-recruiting-14836915?trk=contentmappingfile" xr:uid="{00000000-0004-0000-1600-00001A000000}"/>
    <hyperlink ref="AC6" r:id="rId28" display="https://www.linkedin.com/learning/como-aproveitar-ao-maximo-o-linkedin-recruiter?trk=contentmappingfile" xr:uid="{00000000-0004-0000-1600-00001B000000}"/>
    <hyperlink ref="AH6" r:id="rId29" display="https://www.linkedin.com/learning/finding-and-retaining-high-potentials-2?trk=ondemandfile" xr:uid="{00000000-0004-0000-1600-00001C000000}"/>
    <hyperlink ref="AI6" r:id="rId30" display="https://www.linkedin.com/learning/paths/90c69069-2437-32f7-a15c-be75af1531ab?trk=ondemandfile" xr:uid="{00000000-0004-0000-1600-00001D000000}"/>
    <hyperlink ref="D7" r:id="rId31" display="https://www.linkedin.com/learning/communicating-employee-rewards?trk=ondemandfile" xr:uid="{00000000-0004-0000-1600-00001E000000}"/>
    <hyperlink ref="E7" r:id="rId32" display="https://www.linkedin.com/learning/paths/become-a-technical-recruiter?trk=ondemandfile" xr:uid="{00000000-0004-0000-1600-00001F000000}"/>
    <hyperlink ref="N7" r:id="rId33" display="https://www.linkedin.com/learning/como-crear-una-cultura-de-alto-rendimiento?trk=ondemandfile" xr:uid="{00000000-0004-0000-1600-000020000000}"/>
    <hyperlink ref="O7" r:id="rId34" display="https://www.linkedin.com/learning/paths/trabajo-a-distancia-preparandote-a-ti-mismo-y-a-tus-equipos-para-el-exito?trk=ondemandfile" xr:uid="{00000000-0004-0000-1600-000021000000}"/>
    <hyperlink ref="S7" r:id="rId35" display="https://www.linkedin.com/learning/beurteilungsgesprache-fuhren?trk=ondemandfile" xr:uid="{00000000-0004-0000-1600-000022000000}"/>
    <hyperlink ref="X7" r:id="rId36" display="https://www.linkedin.com/learning/onboarding-new-hires-as-a-manager-14635568?trk=contentmappingfile" xr:uid="{00000000-0004-0000-1600-000023000000}"/>
    <hyperlink ref="AH7" r:id="rId37" display="https://www.linkedin.com/learning/hiring-an-employee-for-managers-2?trk=ondemandfile" xr:uid="{00000000-0004-0000-1600-000024000000}"/>
    <hyperlink ref="AI7" r:id="rId38" display="https://www.linkedin.com/learning/paths/65b9245d-75e9-323d-a736-70d3af14ddd1?trk=ondemandfile" xr:uid="{00000000-0004-0000-1600-000025000000}"/>
    <hyperlink ref="D8" r:id="rId39" display="https://www.linkedin.com/learning/employee-experience?trk=ondemandfile" xr:uid="{00000000-0004-0000-1600-000026000000}"/>
    <hyperlink ref="E8" r:id="rId40" display="https://www.linkedin.com/learning/paths/become-an-hr-business-partner?trk=ondemandfile" xr:uid="{00000000-0004-0000-1600-000027000000}"/>
    <hyperlink ref="N8" r:id="rId41" display="https://www.linkedin.com/learning/como-detener-el-acoso-laboral-y-la-intimidacion?trk=ondemandfile" xr:uid="{00000000-0004-0000-1600-000028000000}"/>
    <hyperlink ref="S8" r:id="rId42" display="https://www.linkedin.com/learning/das-personal-der-zukunft?trk=ondemandfile" xr:uid="{00000000-0004-0000-1600-000029000000}"/>
    <hyperlink ref="X8" r:id="rId43" display="https://www.linkedin.com/learning/find-and-retain-high-potentials-2?trk=ondemandfile" xr:uid="{00000000-0004-0000-1600-00002A000000}"/>
    <hyperlink ref="AC8" r:id="rId44" display="https://www.linkedin.com/learning/como-demitir-colaboradores?trk=contentmappingfile" xr:uid="{00000000-0004-0000-1600-00002B000000}"/>
    <hyperlink ref="AH8" r:id="rId45" display="https://www.linkedin.com/learning/employee-engagement-3?trk=ondemandfile" xr:uid="{00000000-0004-0000-1600-00002C000000}"/>
    <hyperlink ref="D9" r:id="rId46" display="https://www.linkedin.com/learning/creating-a-leadership-development-program?trk=ondemandfile" xr:uid="{00000000-0004-0000-1600-00002D000000}"/>
    <hyperlink ref="E9" r:id="rId47" display="https://www.linkedin.com/learning/paths/build-a-more-equitable-and-inclusive-workplace?trk=ondemandfile" xr:uid="{00000000-0004-0000-1600-00002E000000}"/>
    <hyperlink ref="I9" r:id="rId48" display="https://www.linkedin.com/learning/choisir-d-etre-un-bon-manager?trk=contentmappingfile" xr:uid="{00000000-0004-0000-1600-00002F000000}"/>
    <hyperlink ref="N9" r:id="rId49" display="https://www.linkedin.com/learning/como-encontrar-un-trabajo-a-distancia?trk=ondemandfile" xr:uid="{00000000-0004-0000-1600-000030000000}"/>
    <hyperlink ref="S9" r:id="rId50" display="https://www.linkedin.com/learning/diversitat-und-inklusion-in-globalen-unternehmen?trk=ondemandfile" xr:uid="{00000000-0004-0000-1600-000031000000}"/>
    <hyperlink ref="X9" r:id="rId51" display="https://www.linkedin.com/learning/managing-high-performers-15918448?trk=contentmappingfile" xr:uid="{00000000-0004-0000-1600-000032000000}"/>
    <hyperlink ref="AH9" r:id="rId52" display="https://www.linkedin.com/learning/business-english-mastering-your-online-interview-15813399?trk=contentmappingfile" xr:uid="{00000000-0004-0000-1600-000033000000}"/>
    <hyperlink ref="D10" r:id="rId53" display="https://www.linkedin.com/learning/organizational-learning-and-development?trk=ondemandfile" xr:uid="{00000000-0004-0000-1600-000034000000}"/>
    <hyperlink ref="E10" r:id="rId54" display="https://www.linkedin.com/learning/paths/build-your-skills-in-recruiting?trk=ondemandfile" xr:uid="{00000000-0004-0000-1600-000035000000}"/>
    <hyperlink ref="I10" r:id="rId55" display="https://www.linkedin.com/learning/conseils-d-experte-manager-la-generation-z?trk=contentmappingfile" xr:uid="{00000000-0004-0000-1600-000036000000}"/>
    <hyperlink ref="N10" r:id="rId56" display="https://www.linkedin.com/learning/como-gestionar-a-personas-con-alto-potencial?trk=contentmappingfile" xr:uid="{00000000-0004-0000-1600-000037000000}"/>
    <hyperlink ref="S10" r:id="rId57" display="https://www.linkedin.com/learning/einfuhrung-ins-e-learning?trk=ondemandfile" xr:uid="{00000000-0004-0000-1600-000038000000}"/>
    <hyperlink ref="X10" r:id="rId58" display="https://www.linkedin.com/learning/managing-high-potentials-15917491?trk=contentmappingfile" xr:uid="{00000000-0004-0000-1600-000039000000}"/>
    <hyperlink ref="AH10" r:id="rId59" display="https://www.linkedin.com/learning/cultivating-cultural-competence-and-inclusion-9619710?trk=contentmappingfile" xr:uid="{00000000-0004-0000-1600-00003A000000}"/>
    <hyperlink ref="D11" r:id="rId60" display="https://www.linkedin.com/learning/360-degree-feedback?trk=ondemandfile" xr:uid="{00000000-0004-0000-1600-00003B000000}"/>
    <hyperlink ref="E11" r:id="rId61" display="https://www.linkedin.com/learning/paths/develop-your-hr-management-and-leadership-skills?trk=ondemandfile" xr:uid="{00000000-0004-0000-1600-00003C000000}"/>
    <hyperlink ref="N11" r:id="rId62" display="https://www.linkedin.com/learning/como-gestionar-al-personal-de-alto-rendimiento?trk=contentmappingfile" xr:uid="{00000000-0004-0000-1600-00003D000000}"/>
    <hyperlink ref="S11" r:id="rId63" display="https://www.linkedin.com/learning/e-learning-technologien-und-systeme?trk=ondemandfile" xr:uid="{00000000-0004-0000-1600-00003E000000}"/>
    <hyperlink ref="X11" r:id="rId64" display="https://www.linkedin.com/learning/cultivating-cultural-competence-and-inclusion-14487222?trk=contentmappingfile" xr:uid="{00000000-0004-0000-1600-00003F000000}"/>
    <hyperlink ref="AH11" r:id="rId65" display="https://www.linkedin.com/learning/performance-based-hiring-2?trk=ondemandfile" xr:uid="{00000000-0004-0000-1600-000040000000}"/>
    <hyperlink ref="C12" r:id="rId66" display="https://www.linkedin.com/learning/content/425902?u=104" xr:uid="{00000000-0004-0000-1600-000041000000}"/>
    <hyperlink ref="D12" r:id="rId67" display="https://www.linkedin.com/learning/developing-managers-in-organizations?trk=ondemandfile" xr:uid="{00000000-0004-0000-1600-000042000000}"/>
    <hyperlink ref="E12" r:id="rId68" display="https://www.linkedin.com/learning/paths/stay-ahead-in-all-things-dibs?trk=ondemandfile" xr:uid="{00000000-0004-0000-1600-000043000000}"/>
    <hyperlink ref="I12" r:id="rId69" display="https://www.linkedin.com/learning/demander-une-augmentation-de-salaire?trk=contentmappingfile" xr:uid="{00000000-0004-0000-1600-000044000000}"/>
    <hyperlink ref="N12" r:id="rId70" display="https://www.linkedin.com/learning/como-hacer-coaching-a-tu-personal-para-obtener-resultados?trk=contentmappingfile" xr:uid="{00000000-0004-0000-1600-000045000000}"/>
    <hyperlink ref="S12" r:id="rId71" display="https://www.linkedin.com/learning/employer-branding-grundlagen?trk=contentmappingfile" xr:uid="{00000000-0004-0000-1600-000046000000}"/>
    <hyperlink ref="X12" r:id="rId72" display="https://www.linkedin.com/learning/preventing-harassment-in-the-workplace-14504857?trk=contentmappingfile" xr:uid="{00000000-0004-0000-1600-000047000000}"/>
    <hyperlink ref="AH12" r:id="rId73" display="https://www.linkedin.com/learning/84777a9a-010b-3e75-8b28-27d3706e8c9a?trk=ondemandfile" xr:uid="{00000000-0004-0000-1600-000048000000}"/>
    <hyperlink ref="D13" r:id="rId74" display="https://www.linkedin.com/learning/hr-and-digital-transformation?trk=ondemandfile" xr:uid="{00000000-0004-0000-1600-000049000000}"/>
    <hyperlink ref="E13" r:id="rId75" display="https://www.linkedin.com/learning/paths/finding-and-retaining-talent?trk=ondemandfile" xr:uid="{00000000-0004-0000-1600-00004A000000}"/>
    <hyperlink ref="I13" r:id="rId76" display="https://www.linkedin.com/learning/developper-la-motivation-et-l-engagement-des-employes-employees?trk=contentmappingfile" xr:uid="{00000000-0004-0000-1600-00004B000000}"/>
    <hyperlink ref="N13" r:id="rId77" display="https://www.linkedin.com/learning/como-identificar-y-retener-personal-con-alto-potencial?trk=ondemandfile" xr:uid="{00000000-0004-0000-1600-00004C000000}"/>
    <hyperlink ref="S13" r:id="rId78" display="https://www.linkedin.com/learning/erfolgreiche-kommunikation?trk=ondemandfile" xr:uid="{00000000-0004-0000-1600-00004D000000}"/>
    <hyperlink ref="X13" r:id="rId79" display="https://www.linkedin.com/learning/bystander-training-from-bystander-to-upstander-9242703?trk=contentmappingfile" xr:uid="{00000000-0004-0000-1600-00004E000000}"/>
    <hyperlink ref="AC13" r:id="rId80" display="https://www.linkedin.com/learning/como-integrar-novos-colaboradores-e-colaboradoras-a-empresa?trk=contentmappingfile" xr:uid="{00000000-0004-0000-1600-00004F000000}"/>
    <hyperlink ref="AH13" r:id="rId81" display="https://www.linkedin.com/learning/onboarding-new-hires-2?trk=contentmappingfile" xr:uid="{00000000-0004-0000-1600-000050000000}"/>
    <hyperlink ref="D14" r:id="rId82" display="https://www.linkedin.com/learning/the-future-of-performance-management?trk=ondemandfile" xr:uid="{00000000-0004-0000-1600-000051000000}"/>
    <hyperlink ref="I14" r:id="rId83" display="https://www.linkedin.com/learning/developper-l-engagement-des-employes-employees?trk=contentmappingfile" xr:uid="{00000000-0004-0000-1600-000052000000}"/>
    <hyperlink ref="N14" r:id="rId84" display="https://www.linkedin.com/learning/como-integrar-a-personas-nuevas-en-la-empresa?trk=contentmappingfile" xr:uid="{00000000-0004-0000-1600-000053000000}"/>
    <hyperlink ref="S14" r:id="rId85" display="https://www.linkedin.com/learning/gesprache-strukturieren-und-steuern?trk=contentmappingfile" xr:uid="{00000000-0004-0000-1600-000054000000}"/>
    <hyperlink ref="AH14" r:id="rId86" display="https://www.linkedin.com/learning/just-ask-developing-a-career-in-project-management?trk=contentmappingfile" xr:uid="{00000000-0004-0000-1600-000055000000}"/>
    <hyperlink ref="D15" r:id="rId87" display="https://www.linkedin.com/learning/managing-new-managers?trk=ondemandfile" xr:uid="{00000000-0004-0000-1600-000056000000}"/>
    <hyperlink ref="N15" r:id="rId88" display="https://www.linkedin.com/learning/como-liderar-equipos-inclusivos?trk=ondemandfile" xr:uid="{00000000-0004-0000-1600-000057000000}"/>
    <hyperlink ref="S15" r:id="rId89" display="https://www.linkedin.com/learning/ihre-wirkungsvolle-diversity-strategie-entwickeln?trk=contentmappingfile" xr:uid="{00000000-0004-0000-1600-000058000000}"/>
    <hyperlink ref="AH15" r:id="rId90" display="https://www.linkedin.com/learning/managing-diversity?trk=ondemandfile" xr:uid="{00000000-0004-0000-1600-000059000000}"/>
    <hyperlink ref="D16" r:id="rId91" display="https://www.linkedin.com/learning/hr-leadership-as-we-move-back-into-the-office?trk=ondemandfile" xr:uid="{00000000-0004-0000-1600-00005A000000}"/>
    <hyperlink ref="I16" r:id="rId92" display="https://www.linkedin.com/learning/faire-face-aux-microagressions-au-travail?trk=contentmappingfile" xr:uid="{00000000-0004-0000-1600-00005B000000}"/>
    <hyperlink ref="N16" r:id="rId93" display="https://www.linkedin.com/learning/como-medir-el-rendimiento-de-tu-equipo?trk=contentmappingfile" xr:uid="{00000000-0004-0000-1600-00005C000000}"/>
    <hyperlink ref="S16" r:id="rId94" display="https://www.linkedin.com/learning/internationale-personalentwicklung?trk=ondemandfile" xr:uid="{00000000-0004-0000-1600-00005D000000}"/>
    <hyperlink ref="AH16" r:id="rId95" display="https://www.linkedin.com/learning/managing-employee-performance-problems-5?trk=ondemandfile" xr:uid="{00000000-0004-0000-1600-00005E000000}"/>
    <hyperlink ref="D17" r:id="rId96" display="https://www.linkedin.com/learning/finding-and-retaining-high-potentials-9018297?trk=ondemandfile" xr:uid="{00000000-0004-0000-1600-00005F000000}"/>
    <hyperlink ref="I17" r:id="rId97" display="https://www.linkedin.com/learning/favoriser-l-inclusion-lgbtq-plus-au-travail?trk=contentmappingfile" xr:uid="{00000000-0004-0000-1600-000060000000}"/>
    <hyperlink ref="N17" r:id="rId98" display="https://www.linkedin.com/learning/como-mejorar-el-rendimiento-de-tu-personal?trk=contentmappingfile" xr:uid="{00000000-0004-0000-1600-000061000000}"/>
    <hyperlink ref="S17" r:id="rId99" display="https://www.linkedin.com/learning/linkedin-recruiter-lernen-2?trk=ondemandfile" xr:uid="{00000000-0004-0000-1600-000062000000}"/>
    <hyperlink ref="AC17" r:id="rId100" display="https://www.linkedin.com/learning/contratacao-de-colaboradores-tecnicas-para-gerentes?trk=contentmappingfile" xr:uid="{00000000-0004-0000-1600-000063000000}"/>
    <hyperlink ref="AH17" r:id="rId101" display="https://www.linkedin.com/learning/managing-high-potentials-3?trk=ondemandfile" xr:uid="{00000000-0004-0000-1600-000064000000}"/>
    <hyperlink ref="D18" r:id="rId102" display="https://www.linkedin.com/learning/hr-providing-flexible-work-options?trk=ondemandfile" xr:uid="{00000000-0004-0000-1600-000065000000}"/>
    <hyperlink ref="N18" r:id="rId103" display="https://www.linkedin.com/learning/como-orientar-y-desarrollar-a-tu-personal?trk=contentmappingfile" xr:uid="{00000000-0004-0000-1600-000066000000}"/>
    <hyperlink ref="S18" r:id="rId104" display="https://www.linkedin.com/learning/00-mitarbeiter-entickeln?trk=ondemandfile" xr:uid="{00000000-0004-0000-1600-000067000000}"/>
    <hyperlink ref="AC18" r:id="rId105" display="https://www.linkedin.com/learning/contratacao-e-desenvolvimento-de-futuros-colaboradores-e-colaboradoras?trk=contentmappingfile" xr:uid="{00000000-0004-0000-1600-000068000000}"/>
    <hyperlink ref="AH18" r:id="rId106" display="https://www.linkedin.com/learning/managing-high-performers-3?trk=ondemandfile" xr:uid="{00000000-0004-0000-1600-000069000000}"/>
    <hyperlink ref="D19" r:id="rId107" display="https://www.linkedin.com/learning/employee-engagement?trk=ondemandfile" xr:uid="{00000000-0004-0000-1600-00006A000000}"/>
    <hyperlink ref="N19" r:id="rId108" display="https://www.linkedin.com/learning/como-ser-parte-de-un-ambiente-de-trabajo-positivo?trk=ondemandfile" xr:uid="{00000000-0004-0000-1600-00006B000000}"/>
    <hyperlink ref="S19" r:id="rId109" display="https://www.linkedin.com/learning/00-feedback?trk=ondemandfile" xr:uid="{00000000-0004-0000-1600-00006C000000}"/>
    <hyperlink ref="AH19" r:id="rId110" display="https://www.linkedin.com/learning/hiring-and-developing-your-future-workforce-2?trk=ondemandfile" xr:uid="{00000000-0004-0000-1600-00006D000000}"/>
    <hyperlink ref="D20" r:id="rId111" display="https://www.linkedin.com/learning/human-resources-building-a-performance-management-system?trk=ondemandfile" xr:uid="{00000000-0004-0000-1600-00006E000000}"/>
    <hyperlink ref="I20" r:id="rId112" display="https://www.linkedin.com/learning/gerer-les-problemes-de-performance-de-ses-employes-employees?trk=contentmappingfile" xr:uid="{00000000-0004-0000-1600-00006F000000}"/>
    <hyperlink ref="N20" r:id="rId113" display="https://www.linkedin.com/learning/00-performance-based-hiring?trk=ondemandfile" xr:uid="{00000000-0004-0000-1600-000070000000}"/>
    <hyperlink ref="S20" r:id="rId114" display="https://www.linkedin.com/learning/00-onboarding?trk=ondemandfile" xr:uid="{00000000-0004-0000-1600-000071000000}"/>
    <hyperlink ref="AC20" r:id="rId115" display="https://www.linkedin.com/learning/dez-mitos-sobre-diversidade-e-inclusao-no-trabalho?trk=contentmappingfile" xr:uid="{00000000-0004-0000-1600-000072000000}"/>
    <hyperlink ref="AH20" r:id="rId116" display="https://www.linkedin.com/learning/interviewing-techniques?trk=ondemandfile" xr:uid="{00000000-0004-0000-1600-000073000000}"/>
    <hyperlink ref="D21" r:id="rId117" display="https://www.linkedin.com/learning/crisis-communication-for-hr?trk=ondemandfile" xr:uid="{00000000-0004-0000-1600-000074000000}"/>
    <hyperlink ref="I21" r:id="rId118" display="https://www.linkedin.com/learning/gerer-une-demande-d-augmentation-de-salaire?trk=contentmappingfile" xr:uid="{00000000-0004-0000-1600-000075000000}"/>
    <hyperlink ref="N21" r:id="rId119" display="https://www.linkedin.com/learning/00-desarrolla-la-adaptabilidad-de-tus-empleados?trk=ondemandfile" xr:uid="{00000000-0004-0000-1600-000076000000}"/>
    <hyperlink ref="S21" r:id="rId120" display="https://www.linkedin.com/learning/hr-strategien?trk=ondemandfile" xr:uid="{00000000-0004-0000-1600-000077000000}"/>
    <hyperlink ref="AH21" r:id="rId121" display="https://www.linkedin.com/learning/coaching-skills-for-leaders-and-managers-5?trk=ondemandfile" xr:uid="{00000000-0004-0000-1600-000078000000}"/>
    <hyperlink ref="D22" r:id="rId122" display="https://www.linkedin.com/learning/planning-for-your-hybrid-organization?trk=ondemandfile" xr:uid="{00000000-0004-0000-1600-000079000000}"/>
    <hyperlink ref="N22" r:id="rId123" display="https://www.linkedin.com/learning/el-futuro-de-la-gestion-del-rendimiento?trk=ondemandfile" xr:uid="{00000000-0004-0000-1600-00007A000000}"/>
    <hyperlink ref="S22" r:id="rId124" display="https://www.linkedin.com/learning/administrative-personalarbeit?trk=ondemandfile" xr:uid="{00000000-0004-0000-1600-00007B000000}"/>
    <hyperlink ref="D23" r:id="rId125" display="https://www.linkedin.com/learning/employer-branding-to-attract-talent?trk=ondemandfile" xr:uid="{00000000-0004-0000-1600-00007C000000}"/>
    <hyperlink ref="N23" r:id="rId126" display="https://www.linkedin.com/learning/empodera-a-tu-equipo?trk=contentmappingfile" xr:uid="{00000000-0004-0000-1600-00007D000000}"/>
    <hyperlink ref="S23" r:id="rId127" display="https://www.linkedin.com/learning/personalwesen-onboarding-programme-durchfuhren?trk=ondemandfile" xr:uid="{00000000-0004-0000-1600-00007E000000}"/>
    <hyperlink ref="D24" r:id="rId128" display="https://www.linkedin.com/learning/onboarding-new-hires-as-a-manager?trk=ondemandfile" xr:uid="{00000000-0004-0000-1600-00007F000000}"/>
    <hyperlink ref="I24" r:id="rId129" display="https://www.linkedin.com/learning/jeff-weiner-definir-une-culture-et-un-plan-d-evolution?trk=contentmappingfile" xr:uid="{00000000-0004-0000-1600-000080000000}"/>
    <hyperlink ref="N24" r:id="rId130" display="https://www.linkedin.com/learning/excel-crear-un-dashboard-para-rrhh-con-power-query-y-power-pivot?trk=ondemandfile" xr:uid="{00000000-0004-0000-1600-000081000000}"/>
    <hyperlink ref="S24" r:id="rId131" display="https://www.linkedin.com/learning/raumgestaltung-fur-innovation-kreativitat-und-agilitat?trk=contentmappingfile" xr:uid="{00000000-0004-0000-1600-000082000000}"/>
    <hyperlink ref="AC24" r:id="rId132" display="https://www.linkedin.com/learning/kwame-christian-responde-sobre-como-abordar-assuntos-raciais?trk=contentmappingfile" xr:uid="{00000000-0004-0000-1600-000083000000}"/>
    <hyperlink ref="D25" r:id="rId133" display="https://www.linkedin.com/learning/nonprofit-foundations?trk=ondemandfile" xr:uid="{00000000-0004-0000-1600-000084000000}"/>
    <hyperlink ref="N25" r:id="rId134" display="https://www.linkedin.com/learning/fundamentos-de-gestion-de-equipos-it-y-programacion?trk=ondemandfile" xr:uid="{00000000-0004-0000-1600-000085000000}"/>
    <hyperlink ref="S25" r:id="rId135" display="https://www.linkedin.com/learning/recruiting-grundlagen?trk=ondemandfile" xr:uid="{00000000-0004-0000-1600-000086000000}"/>
    <hyperlink ref="D26" r:id="rId136" display="https://www.linkedin.com/learning/hiring-an-employee-for-managers?trk=ondemandfile" xr:uid="{00000000-0004-0000-1600-000087000000}"/>
    <hyperlink ref="N26" r:id="rId137" display="https://www.linkedin.com/learning/00-performance-review-fundamentals?trk=ondemandfile" xr:uid="{00000000-0004-0000-1600-000088000000}"/>
    <hyperlink ref="S26" r:id="rId138" display="https://www.linkedin.com/learning/active-sourcing?trk=ondemandfile" xr:uid="{00000000-0004-0000-1600-000089000000}"/>
    <hyperlink ref="AC26" r:id="rId139" display="https://www.linkedin.com/learning/lideranca-global-como-gerenciar-a-complexidade-e-a-diversidade?trk=contentmappingfile" xr:uid="{00000000-0004-0000-1600-00008A000000}"/>
    <hyperlink ref="D27" r:id="rId140" display="https://www.linkedin.com/learning/managing-temporary-and-contract-employees?trk=ondemandfile" xr:uid="{00000000-0004-0000-1600-00008B000000}"/>
    <hyperlink ref="N27" r:id="rId141" display="https://www.linkedin.com/learning/00-fundamentos-de-recursos-humanos-busqueda-de-talentos?trk=ondemandfile" xr:uid="{00000000-0004-0000-1600-00008C000000}"/>
    <hyperlink ref="S27" r:id="rId142" display="https://www.linkedin.com/learning/fachkraftemangel-mit-modernem-recruiting-beheben?trk=ondemandfile" xr:uid="{00000000-0004-0000-1600-00008D000000}"/>
    <hyperlink ref="AC27" r:id="rId143" display="https://www.linkedin.com/learning/mulheres-na-lideranca-como-impulsionar-a-equidade-nas-organizacoes?trk=contentmappingfile" xr:uid="{00000000-0004-0000-1600-00008E000000}"/>
    <hyperlink ref="D28" r:id="rId144" display="https://www.linkedin.com/learning/virtual-interviewing-for-hr?trk=ondemandfile" xr:uid="{00000000-0004-0000-1600-00008F000000}"/>
    <hyperlink ref="N28" r:id="rId145" display="https://www.linkedin.com/learning/00-human-resources-pay-strategy-lp-finding-talent-4?trk=ondemandfile" xr:uid="{00000000-0004-0000-1600-000090000000}"/>
    <hyperlink ref="S28" r:id="rId146" display="https://www.linkedin.com/learning/interview-recruitung?trk=ondemandfile" xr:uid="{00000000-0004-0000-1600-000091000000}"/>
    <hyperlink ref="D29" r:id="rId147" display="https://www.linkedin.com/learning/human-resources-managing-employee-problems?trk=ondemandfile" xr:uid="{00000000-0004-0000-1600-000092000000}"/>
    <hyperlink ref="N29" r:id="rId148" display="https://www.linkedin.com/learning/00-fundamentos-de-recursos-humanos-gestion-de-la-incorporacion-corporativa?trk=ondemandfile" xr:uid="{00000000-0004-0000-1600-000093000000}"/>
    <hyperlink ref="S29" r:id="rId149" display="https://www.linkedin.com/learning/talente-finden-und-binden?trk=ondemandfile" xr:uid="{00000000-0004-0000-1600-000094000000}"/>
    <hyperlink ref="D30" r:id="rId150" display="https://www.linkedin.com/learning/hire-retain-and-grow-top-millennial-talent?trk=ondemandfile" xr:uid="{00000000-0004-0000-1600-000095000000}"/>
    <hyperlink ref="I30" r:id="rId151" display="https://www.linkedin.com/learning/laisser-partir-un-employe-une-employee?trk=contentmappingfile" xr:uid="{00000000-0004-0000-1600-000096000000}"/>
    <hyperlink ref="N30" r:id="rId152" display="https://www.linkedin.com/learning/00-fundamentos-de-recursos-humanos-reclutamiento?trk=ondemandfile" xr:uid="{00000000-0004-0000-1600-000097000000}"/>
    <hyperlink ref="S30" r:id="rId153" display="https://www.linkedin.com/learning/wertschatzende-kommunikation-trotz-unterschieden-erfolgreich-kommunizieren?trk=contentmappingfile" xr:uid="{00000000-0004-0000-1600-000098000000}"/>
    <hyperlink ref="D31" r:id="rId154" display="https://www.linkedin.com/learning/hiring-managing-and-separating-from-employees?trk=ondemandfile" xr:uid="{00000000-0004-0000-1600-000099000000}"/>
    <hyperlink ref="I31" r:id="rId155" display="https://www.linkedin.com/learning/le-leadership-inclusif-devenir-un-allie-une-alliee?trk=contentmappingfile" xr:uid="{00000000-0004-0000-1600-00009A000000}"/>
    <hyperlink ref="N31" r:id="rId156" display="https://www.linkedin.com/learning/gestion-de-equipos-mediante-okr-s-o-misiones-objetivos-y-resultados-clave?trk=contentmappingfile" xr:uid="{00000000-0004-0000-1600-00009B000000}"/>
    <hyperlink ref="S31" r:id="rId157" display="https://www.linkedin.com/learning/ziele-fur-mitarbeiter-innen-und-teams-setzen?trk=ondemandfile" xr:uid="{00000000-0004-0000-1600-00009C000000}"/>
    <hyperlink ref="D32" r:id="rId158" display="https://www.linkedin.com/learning/hiring-and-supporting-neurodiversity-in-the-workplace?trk=ondemandfile" xr:uid="{00000000-0004-0000-1600-00009D000000}"/>
    <hyperlink ref="N32" r:id="rId159" display="https://www.linkedin.com/learning/00-managing-employee-performance-problems?trk=ondemandfile" xr:uid="{00000000-0004-0000-1600-00009E000000}"/>
    <hyperlink ref="S32" r:id="rId160" display="https://www.linkedin.com/learning/00-zielvereinbarung?trk=ondemandfile" xr:uid="{00000000-0004-0000-1600-00009F000000}"/>
    <hyperlink ref="D33" r:id="rId161" display="https://www.linkedin.com/learning/hr-communication-in-today-s-fluid-workplace?trk=ondemandfile" xr:uid="{00000000-0004-0000-1600-0000A0000000}"/>
    <hyperlink ref="I33" r:id="rId162" display="https://www.linkedin.com/learning/les-entretiens-a-distance-pour-les-hr?trk=contentmappingfile" xr:uid="{00000000-0004-0000-1600-0000A1000000}"/>
    <hyperlink ref="N33" r:id="rId163" display="https://www.linkedin.com/learning/gestiona-tu-entrevista-de-trabajo-en-videoconferencia?trk=ondemandfile" xr:uid="{00000000-0004-0000-1600-0000A2000000}"/>
    <hyperlink ref="D34" r:id="rId164" display="https://www.linkedin.com/learning/hr-recruiting-communication-strategies-to-attract-and-retain-top-talent?trk=ondemandfile" xr:uid="{00000000-0004-0000-1600-0000A3000000}"/>
    <hyperlink ref="N34" r:id="rId165" display="https://www.linkedin.com/learning/liderazgo-y-recursos-humanos-estrategia-de-ubicacion-para-una-fuerza-de-trabajo-hibrida?trk=contentmappingfile" xr:uid="{00000000-0004-0000-1600-0000A4000000}"/>
    <hyperlink ref="D35" r:id="rId166" display="https://www.linkedin.com/learning/performance-management-employee-engagement?trk=ondemandfile" xr:uid="{00000000-0004-0000-1600-0000A5000000}"/>
    <hyperlink ref="N35" r:id="rId167" display="https://www.linkedin.com/learning/linkedin-para-recursos-humanos-2?trk=ondemandfile" xr:uid="{00000000-0004-0000-1600-0000A6000000}"/>
    <hyperlink ref="D36" r:id="rId168" display="https://www.linkedin.com/learning/people-success-employee-assessments?trk=ondemandfile" xr:uid="{00000000-0004-0000-1600-0000A7000000}"/>
    <hyperlink ref="N36" r:id="rId169" display="https://www.linkedin.com/learning/microsoft-dynamics-365-for-talent-esencial?trk=ondemandfile" xr:uid="{00000000-0004-0000-1600-0000A8000000}"/>
    <hyperlink ref="D37" r:id="rId170" display="https://www.linkedin.com/learning/letting-an-employee-go-2?trk=ondemandfile" xr:uid="{00000000-0004-0000-1600-0000A9000000}"/>
    <hyperlink ref="N37" r:id="rId171" display="https://www.linkedin.com/learning/microsoft-teams-administrar-los-horarios-de-trabajo-del-personal-con-turnos?trk=ondemandfile" xr:uid="{00000000-0004-0000-1600-0000AA000000}"/>
    <hyperlink ref="D38" r:id="rId172" display="https://www.linkedin.com/learning/become-a-digital-nomad?trk=ondemandfile" xr:uid="{00000000-0004-0000-1600-0000AB000000}"/>
    <hyperlink ref="N38" r:id="rId173" display="https://www.linkedin.com/learning/motivaci-n-e-implicaci-n-en-la-empresa?trk=ondemandfile" xr:uid="{00000000-0004-0000-1600-0000AC000000}"/>
    <hyperlink ref="D39" r:id="rId174" display="https://www.linkedin.com/learning/tech-recruiting-foundations-5-waterfall-agile-and-devops-for-recruiters?trk=ondemandfile" xr:uid="{00000000-0004-0000-1600-0000AD000000}"/>
    <hyperlink ref="I39" r:id="rId175" display="https://www.linkedin.com/learning/preparer-son-entretien-de-developpement-informatique?trk=contentmappingfile" xr:uid="{00000000-0004-0000-1600-0000AE000000}"/>
    <hyperlink ref="N39" r:id="rId176" display="https://www.linkedin.com/learning/plantilla-curriculum-vitae-con-word?trk=ondemandfile" xr:uid="{00000000-0004-0000-1600-0000AF000000}"/>
    <hyperlink ref="D40" r:id="rId177" display="https://www.linkedin.com/learning/tech-recruiting-foundations-4-recruiting-for-the-it-department?trk=ondemandfile" xr:uid="{00000000-0004-0000-1600-0000B0000000}"/>
    <hyperlink ref="I40" r:id="rId178" display="https://www.linkedin.com/learning/promouvoir-la-neurodiversite-au-travail?trk=contentmappingfile" xr:uid="{00000000-0004-0000-1600-0000B1000000}"/>
    <hyperlink ref="N40" r:id="rId179" display="https://www.linkedin.com/learning/recursos-humanos-estrategicos?trk=ondemandfile" xr:uid="{00000000-0004-0000-1600-0000B2000000}"/>
    <hyperlink ref="B41" r:id="rId180" display="https://www.linkedin.com/learning/managing-globally/what-is-cultural-agility" xr:uid="{00000000-0004-0000-1600-0000B3000000}"/>
    <hyperlink ref="C41" r:id="rId181" display="https://www.linkedin.com/learning/managing-globally/what-is-cultural-agility" xr:uid="{00000000-0004-0000-1600-0000B4000000}"/>
    <hyperlink ref="D41" r:id="rId182" display="https://www.linkedin.com/learning/handling-workplace-bullying?trk=ondemandfile" xr:uid="{00000000-0004-0000-1600-0000B5000000}"/>
    <hyperlink ref="N41" r:id="rId183" display="https://www.linkedin.com/learning/recursos-humanos-como-entrevistar-aspirantes?trk=contentmappingfile" xr:uid="{00000000-0004-0000-1600-0000B6000000}"/>
    <hyperlink ref="D42" r:id="rId184" display="https://www.linkedin.com/learning/how-to-design-and-deliver-training-programs?trk=ondemandfile" xr:uid="{00000000-0004-0000-1600-0000B7000000}"/>
    <hyperlink ref="I42" r:id="rId185" display="https://www.linkedin.com/learning/recruter-en-pensant-a-la-diversite?trk=contentmappingfile" xr:uid="{00000000-0004-0000-1600-0000B8000000}"/>
    <hyperlink ref="N42" r:id="rId186" display="https://www.linkedin.com/learning/recursos-humanos-como-manejar-el-bullying-en-el-lugar-de-trabajo?trk=ondemandfile" xr:uid="{00000000-0004-0000-1600-0000B9000000}"/>
    <hyperlink ref="D43" r:id="rId187" display="https://www.linkedin.com/learning/human-resources-foundations?trk=ondemandfile" xr:uid="{00000000-0004-0000-1600-0000BA000000}"/>
    <hyperlink ref="N43" r:id="rId188" display="https://www.linkedin.com/learning/recursos-humanos-contratacion-de-perfiles-de-desarrollo?trk=contentmappingfile" xr:uid="{00000000-0004-0000-1600-0000BB000000}"/>
    <hyperlink ref="D44" r:id="rId189" display="https://www.linkedin.com/learning/human-resources-protecting-confidentiality?trk=ondemandfile" xr:uid="{00000000-0004-0000-1600-0000BC000000}"/>
    <hyperlink ref="N44" r:id="rId190" display="https://www.linkedin.com/learning/aprende-recursos-humanos-para-contratacion-it?trk=ondemandfile" xr:uid="{00000000-0004-0000-1600-0000BD000000}"/>
    <hyperlink ref="D45" r:id="rId191" display="https://www.linkedin.com/learning/teaching-civility-in-the-workplace?trk=ondemandfile" xr:uid="{00000000-0004-0000-1600-0000BE000000}"/>
    <hyperlink ref="I45" r:id="rId192" display="https://www.linkedin.com/learning/reussir-un-entretien-pour-un-emploi-ou-un-stage-dans-le-design?trk=contentmappingfile" xr:uid="{00000000-0004-0000-1600-0000BF000000}"/>
    <hyperlink ref="N45" r:id="rId193" display="https://www.linkedin.com/learning/recursos-humanos-reclutamiento-de-la-diversidad?trk=ondemandfile" xr:uid="{00000000-0004-0000-1600-0000C0000000}"/>
    <hyperlink ref="D46" r:id="rId194" display="https://www.linkedin.com/learning/women-transforming-tech-finding-a-mentor?trk=ondemandfile" xr:uid="{00000000-0004-0000-1600-0000C1000000}"/>
    <hyperlink ref="I46" r:id="rId195" display="https://www.linkedin.com/learning/s-exprimer-contre-les-discriminations-au-travail?trk=contentmappingfile" xr:uid="{00000000-0004-0000-1600-0000C2000000}"/>
    <hyperlink ref="N46" r:id="rId196" display="https://www.linkedin.com/learning/00-como-reclutar-y-desarrollar-a-tu-equipo?trk=ondemandfile" xr:uid="{00000000-0004-0000-1600-0000C3000000}"/>
    <hyperlink ref="D47" r:id="rId197" display="https://www.linkedin.com/learning/collaborating-with-your-millennial-manager?trk=ondemandfile" xr:uid="{00000000-0004-0000-1600-0000C4000000}"/>
    <hyperlink ref="N47" r:id="rId198" display="https://www.linkedin.com/learning/teletrabajo-y-gestion-de-equipos-remotos?trk=contentmappingfile" xr:uid="{00000000-0004-0000-1600-0000C5000000}"/>
    <hyperlink ref="D48" r:id="rId199" display="https://www.linkedin.com/learning/introduction-to-employee-relations?trk=ondemandfile" xr:uid="{00000000-0004-0000-1600-0000C6000000}"/>
    <hyperlink ref="N48" r:id="rId200" display="https://www.linkedin.com/learning/00-transformacion-digital-el-rol-de-recursos-humanos?trk=ondemandfile" xr:uid="{00000000-0004-0000-1600-0000C7000000}"/>
    <hyperlink ref="D49" r:id="rId201" display="https://www.linkedin.com/learning/empathy-tips-for-hr-professionals?trk=ondemandfile" xr:uid="{00000000-0004-0000-1600-0000C8000000}"/>
    <hyperlink ref="D50" r:id="rId202" display="https://www.linkedin.com/learning/hr-guidelines-everyone-should-know?trk=ondemandfile" xr:uid="{00000000-0004-0000-1600-0000C9000000}"/>
    <hyperlink ref="D51" r:id="rId203" display="https://www.linkedin.com/learning/creating-a-culture-of-learning-2?trk=ondemandfile" xr:uid="{00000000-0004-0000-1600-0000CA000000}"/>
    <hyperlink ref="D52" r:id="rId204" display="https://www.linkedin.com/learning/inclusion-during-difficult-times?trk=ondemandfile" xr:uid="{00000000-0004-0000-1600-0000CB000000}"/>
    <hyperlink ref="D53" r:id="rId205" display="https://www.linkedin.com/learning/recruiting-external-recruiters?trk=ondemandfile" xr:uid="{00000000-0004-0000-1600-0000CC000000}"/>
    <hyperlink ref="D54" r:id="rId206" display="https://www.linkedin.com/learning/recruiting-foundations-2019?trk=ondemandfile" xr:uid="{00000000-0004-0000-1600-0000CD000000}"/>
    <hyperlink ref="D55" r:id="rId207" display="https://www.linkedin.com/learning/learning-linkedin-recruiter-2021?trk=ondemandfile" xr:uid="{00000000-0004-0000-1600-0000CE000000}"/>
    <hyperlink ref="D56" r:id="rId208" display="https://www.linkedin.com/learning/demystifying-company-culture?trk=ondemandfile" xr:uid="{00000000-0004-0000-1600-0000CF000000}"/>
    <hyperlink ref="D57" r:id="rId209" display="https://www.linkedin.com/learning/business-benefits-realization-foundations?trk=ondemandfile" xr:uid="{00000000-0004-0000-1600-0000D0000000}"/>
    <hyperlink ref="D58" r:id="rId210" display="https://www.linkedin.com/learning/preparing-for-the-shrm-cp-exam?trk=ondemandfile" xr:uid="{00000000-0004-0000-1600-0000D1000000}"/>
    <hyperlink ref="D59" r:id="rId211" display="https://www.linkedin.com/learning/getting-started-as-a-linkedin-learning-hub-admin?trk=ondemandfile" xr:uid="{00000000-0004-0000-1600-0000D2000000}"/>
    <hyperlink ref="D60" r:id="rId212" display="https://www.linkedin.com/learning/fair-and-effective-interviewing-for-diversity-and-inclusion?trk=ondemandfile" xr:uid="{00000000-0004-0000-1600-0000D3000000}"/>
    <hyperlink ref="D61" r:id="rId213" display="https://www.linkedin.com/learning/hiring-and-managing-ux-professionals?trk=ondemandfile" xr:uid="{00000000-0004-0000-1600-0000D4000000}"/>
    <hyperlink ref="D62" r:id="rId214" display="https://www.linkedin.com/learning/understanding-organisations-and-the-role-of-hr?trk=ondemandfile" xr:uid="{00000000-0004-0000-1600-0000D5000000}"/>
    <hyperlink ref="D63" r:id="rId215" display="https://www.linkedin.com/learning/human-resources-creating-an-employee-handbook?trk=ondemandfile" xr:uid="{00000000-0004-0000-1600-0000D6000000}"/>
    <hyperlink ref="D64" r:id="rId216" display="https://www.linkedin.com/learning/human-resources-working-with-vendors-2?trk=ondemandfile" xr:uid="{00000000-0004-0000-1600-0000D7000000}"/>
    <hyperlink ref="D65" r:id="rId217" display="https://www.linkedin.com/learning/introduction-to-the-phr-certification-exam?trk=ondemandfile" xr:uid="{00000000-0004-0000-1600-0000D8000000}"/>
    <hyperlink ref="D66" r:id="rId218" display="https://www.linkedin.com/learning/creating-a-compelling-job-description?trk=ondemandfile" xr:uid="{00000000-0004-0000-1600-0000D9000000}"/>
    <hyperlink ref="D67" r:id="rId219" display="https://www.linkedin.com/learning/driving-workplace-happiness?trk=ondemandfile" xr:uid="{00000000-0004-0000-1600-0000DA000000}"/>
    <hyperlink ref="D68" r:id="rId220" display="https://www.linkedin.com/learning/hiring-a-recruiting-firm?trk=ondemandfile" xr:uid="{00000000-0004-0000-1600-0000DB000000}"/>
    <hyperlink ref="D69" r:id="rId221" display="https://www.linkedin.com/learning/hiring-contract-employees?trk=ondemandfile" xr:uid="{00000000-0004-0000-1600-0000DC000000}"/>
    <hyperlink ref="D70" r:id="rId222" display="https://www.linkedin.com/learning/hr-as-a-business-partner?trk=ondemandfile" xr:uid="{00000000-0004-0000-1600-0000DD000000}"/>
    <hyperlink ref="D71" r:id="rId223" display="https://www.linkedin.com/learning/human-resources-compensation-and-benefits?trk=ondemandfile" xr:uid="{00000000-0004-0000-1600-0000DE000000}"/>
    <hyperlink ref="D72" r:id="rId224" display="https://www.linkedin.com/learning/human-resources-job-structure-and-design?trk=ondemandfile" xr:uid="{00000000-0004-0000-1600-0000DF000000}"/>
    <hyperlink ref="B73" r:id="rId225" display="https://www.linkedin.com/learning/managing-globally/what-is-cultural-agility" xr:uid="{00000000-0004-0000-1600-0000E0000000}"/>
    <hyperlink ref="C73" r:id="rId226" display="https://www.linkedin.com/learning/managing-globally/what-is-cultural-agility" xr:uid="{00000000-0004-0000-1600-0000E1000000}"/>
    <hyperlink ref="D73" r:id="rId227" display="https://www.linkedin.com/learning/human-resources-payroll?trk=ondemandfile" xr:uid="{00000000-0004-0000-1600-0000E2000000}"/>
    <hyperlink ref="D74" r:id="rId228" display="https://www.linkedin.com/learning/human-resources-using-metrics-to-drive-hr-strategy?trk=ondemandfile" xr:uid="{00000000-0004-0000-1600-0000E3000000}"/>
    <hyperlink ref="D75" r:id="rId229" display="https://www.linkedin.com/learning/performance-based-hiring?trk=ondemandfile" xr:uid="{00000000-0004-0000-1600-0000E4000000}"/>
    <hyperlink ref="D76" r:id="rId230" display="https://www.linkedin.com/learning/strategic-human-resources?trk=ondemandfile" xr:uid="{00000000-0004-0000-1600-0000E5000000}"/>
    <hyperlink ref="D77" r:id="rId231" display="https://www.linkedin.com/learning/interviewing-t-echniques-2019?trk=ondemandfile" xr:uid="{00000000-0004-0000-1600-0000E6000000}"/>
    <hyperlink ref="D78" r:id="rId232" display="https://www.linkedin.com/learning/practical-success-metrics-in-your-training-program?trk=ondemandfile" xr:uid="{00000000-0004-0000-1600-0000E7000000}"/>
    <hyperlink ref="D79" r:id="rId233" display="https://www.linkedin.com/learning/diversity-recruiting-2?trk=ondemandfile" xr:uid="{00000000-0004-0000-1600-0000E8000000}"/>
    <hyperlink ref="D80" r:id="rId234" display="https://www.linkedin.com/learning/interviewing-a-job-candidate-for-recruiters-2?trk=ondemandfile" xr:uid="{00000000-0004-0000-1600-0000E9000000}"/>
    <hyperlink ref="D81" r:id="rId235" display="https://www.linkedin.com/learning/setting-and-managing-realistic-expectations-for-your-l-d-program?trk=ondemandfile" xr:uid="{00000000-0004-0000-1600-0000EA000000}"/>
    <hyperlink ref="D82" r:id="rId236" display="https://www.linkedin.com/learning/rolling-out-a-dibs-training-program-in-your-company?trk=ondemandfile" xr:uid="{00000000-0004-0000-1600-0000EB000000}"/>
    <hyperlink ref="D83" r:id="rId237" display="https://www.linkedin.com/learning/managing-misconduct-in-the-workplace?trk=ondemandfile" xr:uid="{00000000-0004-0000-1600-0000EC000000}"/>
    <hyperlink ref="D84" r:id="rId238" display="https://www.linkedin.com/learning/converting-face-to-face-training-into-digital-learning?trk=ondemandfile" xr:uid="{00000000-0004-0000-1600-0000ED000000}"/>
    <hyperlink ref="D85" r:id="rId239" display="https://www.linkedin.com/learning/leadership-mindsets?trk=ondemandfile" xr:uid="{00000000-0004-0000-1600-0000EE000000}"/>
    <hyperlink ref="D86" r:id="rId240" display="https://www.linkedin.com/learning/running-a-design-business-the-staffing-rule-book?trk=ondemandfile" xr:uid="{00000000-0004-0000-1600-0000EF000000}"/>
    <hyperlink ref="D87" r:id="rId241" display="https://www.linkedin.com/learning/hiring-and-developing-your-future-workforce?trk=ondemandfile" xr:uid="{00000000-0004-0000-1600-0000F0000000}"/>
    <hyperlink ref="D88" r:id="rId242" display="https://www.linkedin.com/learning/human-resources-leadership-and-strategic-impact?trk=ondemandfile" xr:uid="{00000000-0004-0000-1600-0000F1000000}"/>
    <hyperlink ref="D89" r:id="rId243" display="https://www.linkedin.com/learning/human-resources-selecting-an-hr-system?trk=ondemandfile" xr:uid="{00000000-0004-0000-1600-0000F2000000}"/>
    <hyperlink ref="D90" r:id="rId244" display="https://www.linkedin.com/learning/human-resources-strategic-workforce-planning?trk=ondemandfile" xr:uid="{00000000-0004-0000-1600-0000F3000000}"/>
    <hyperlink ref="D91" r:id="rId245" display="https://www.linkedin.com/learning/human-resources-understanding-hr-systems-features-and-benefits?trk=ondemandfile" xr:uid="{00000000-0004-0000-1600-0000F4000000}"/>
    <hyperlink ref="D92" r:id="rId246" display="https://www.linkedin.com/learning/people-analytics?trk=ondemandfile" xr:uid="{00000000-0004-0000-1600-0000F5000000}"/>
    <hyperlink ref="D93" r:id="rId247" display="https://www.linkedin.com/learning/using-neuroscience-for-more-effective-l-d?trk=ondemandfile" xr:uid="{00000000-0004-0000-1600-0000F6000000}"/>
    <hyperlink ref="D94" r:id="rId248" display="https://www.linkedin.com/learning/human-resources-pay-strategy-2?trk=ondemandfile" xr:uid="{00000000-0004-0000-1600-0000F7000000}"/>
    <hyperlink ref="D95" r:id="rId249" display="https://www.linkedin.com/learning/privacy-in-the-age-of-covid?trk=ondemandfile" xr:uid="{00000000-0004-0000-1600-0000F8000000}"/>
    <hyperlink ref="D96" r:id="rId250" display="https://www.linkedin.com/learning/bystander-training-from-bystander-to-upstander?trk=ondemandfile" xr:uid="{00000000-0004-0000-1600-0000F9000000}"/>
    <hyperlink ref="D97" r:id="rId251" display="https://www.linkedin.com/learning/negotiating-power-and-preventing-harassment?trk=ondemandfile" xr:uid="{00000000-0004-0000-1600-0000FA000000}"/>
    <hyperlink ref="D98" r:id="rId252" display="https://www.linkedin.com/learning/adding-value-through-diversity?trk=ondemandfile" xr:uid="{00000000-0004-0000-1600-0000FB000000}"/>
    <hyperlink ref="D99" r:id="rId253" display="https://www.linkedin.com/learning/addiction-a-community-issue?trk=ondemandfile" xr:uid="{00000000-0004-0000-1600-0000FC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Click and enter a value from range 'Competency Titles'!A1:A27" xr:uid="{00000000-0002-0000-1600-000000000000}">
          <x14:formula1>
            <xm:f>#REF!</xm:f>
          </x14:formula1>
          <xm:sqref>B1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134F5C"/>
    <outlinePr summaryBelow="0" summaryRight="0"/>
  </sheetPr>
  <dimension ref="A1:AJ99"/>
  <sheetViews>
    <sheetView showGridLines="0" workbookViewId="0">
      <pane ySplit="3" topLeftCell="A4" activePane="bottomLeft" state="frozen"/>
      <selection pane="bottomLeft" sqref="A1:XFD1048576"/>
    </sheetView>
  </sheetViews>
  <sheetFormatPr baseColWidth="10" defaultColWidth="11.1640625" defaultRowHeight="15" customHeight="1"/>
  <cols>
    <col min="1" max="1" width="1.1640625" customWidth="1"/>
    <col min="2" max="2" width="11.1640625" customWidth="1"/>
    <col min="3" max="3" width="18.5" customWidth="1"/>
    <col min="4" max="5" width="44.5" customWidth="1"/>
    <col min="6" max="6" width="1.1640625" customWidth="1"/>
    <col min="7" max="7" width="11.1640625" customWidth="1"/>
    <col min="8" max="8" width="19.33203125" customWidth="1"/>
    <col min="9" max="10" width="44.5" customWidth="1"/>
    <col min="11" max="11" width="1.1640625" customWidth="1"/>
    <col min="12" max="12" width="11.1640625" customWidth="1"/>
    <col min="13" max="13" width="20.83203125" customWidth="1"/>
    <col min="14" max="15" width="44.5" customWidth="1"/>
    <col min="16" max="16" width="1.1640625" customWidth="1"/>
    <col min="17" max="17" width="11.1640625" customWidth="1"/>
    <col min="18" max="18" width="19.6640625" customWidth="1"/>
    <col min="19" max="20" width="44.5" customWidth="1"/>
    <col min="21" max="21" width="1.1640625" customWidth="1"/>
    <col min="23" max="23" width="18.6640625" customWidth="1"/>
    <col min="24" max="25" width="44.5" customWidth="1"/>
    <col min="26" max="26" width="1.1640625" customWidth="1"/>
    <col min="27" max="27" width="11.1640625" customWidth="1"/>
    <col min="28" max="28" width="26.6640625" customWidth="1"/>
    <col min="29" max="30" width="44.5" customWidth="1"/>
    <col min="31" max="31" width="1.1640625" customWidth="1"/>
    <col min="32" max="32" width="11.1640625" customWidth="1"/>
    <col min="33" max="33" width="21" customWidth="1"/>
    <col min="34" max="35" width="44.5" customWidth="1"/>
    <col min="36" max="36" width="1.1640625" customWidth="1"/>
  </cols>
  <sheetData>
    <row r="1" spans="1:36" ht="34.5" customHeight="1">
      <c r="A1" s="208"/>
      <c r="B1" s="230" t="s">
        <v>13</v>
      </c>
      <c r="C1" s="222"/>
      <c r="D1" s="222"/>
      <c r="E1" s="222"/>
      <c r="F1" s="208"/>
      <c r="G1" s="230" t="str">
        <f ca="1">IFERROR(__xludf.DUMMYFUNCTION("IFERROR(UNIQUE(FILTER(French!B:B,French!A:A=B1)))"),"Conduire le changement")</f>
        <v>Conduire le changement</v>
      </c>
      <c r="H1" s="222"/>
      <c r="I1" s="222"/>
      <c r="J1" s="222"/>
      <c r="K1" s="208"/>
      <c r="L1" s="230" t="str">
        <f ca="1">IFERROR(__xludf.DUMMYFUNCTION("IFERROR((UNIQUE(FILTER(Spanish!B:B,Spanish!A:A=B1))))"),"Liderando el cambio")</f>
        <v>Liderando el cambio</v>
      </c>
      <c r="M1" s="222"/>
      <c r="N1" s="222"/>
      <c r="O1" s="222"/>
      <c r="P1" s="208"/>
      <c r="Q1" s="230" t="str">
        <f ca="1">IFERROR(__xludf.DUMMYFUNCTION("IFERROR(UNIQUE(FILTER(German!B:B,German!A:A=B1)))"),"Veränderung vorantreiben")</f>
        <v>Veränderung vorantreiben</v>
      </c>
      <c r="R1" s="222"/>
      <c r="S1" s="222"/>
      <c r="T1" s="222"/>
      <c r="U1" s="208"/>
      <c r="V1" s="230" t="str">
        <f ca="1">IFERROR(__xludf.DUMMYFUNCTION("IFERROR(UNIQUE(FILTER(Japanese!B:B,Japanese!A:A=B1)))"),"チェンジリーダーシップ")</f>
        <v>チェンジリーダーシップ</v>
      </c>
      <c r="W1" s="222"/>
      <c r="X1" s="222"/>
      <c r="Y1" s="222"/>
      <c r="Z1" s="208"/>
      <c r="AA1" s="230" t="str">
        <f ca="1">IFERROR(__xludf.DUMMYFUNCTION("IFERROR(UNIQUE(FILTER(Portuguese!B:B,Portuguese!A:A=B1)))"),"Gestão de mudanças")</f>
        <v>Gestão de mudanças</v>
      </c>
      <c r="AB1" s="222"/>
      <c r="AC1" s="222"/>
      <c r="AD1" s="222"/>
      <c r="AE1" s="208"/>
      <c r="AF1" s="230" t="str">
        <f ca="1">IFERROR(__xludf.DUMMYFUNCTION("IFERROR(UNIQUE(FILTER(Mandarin!B:B,Mandarin!A:A=B1)))"),"引领变革")</f>
        <v>引领变革</v>
      </c>
      <c r="AG1" s="222"/>
      <c r="AH1" s="222"/>
      <c r="AI1" s="222"/>
      <c r="AJ1" s="208"/>
    </row>
    <row r="2" spans="1:36" ht="28" customHeight="1">
      <c r="A2" s="209"/>
      <c r="B2" s="234" t="s">
        <v>4713</v>
      </c>
      <c r="C2" s="222"/>
      <c r="D2" s="222"/>
      <c r="E2" s="222"/>
      <c r="F2" s="209"/>
      <c r="G2" s="231" t="s">
        <v>4714</v>
      </c>
      <c r="H2" s="222"/>
      <c r="I2" s="222"/>
      <c r="J2" s="222"/>
      <c r="K2" s="209"/>
      <c r="L2" s="235" t="s">
        <v>4715</v>
      </c>
      <c r="M2" s="222"/>
      <c r="N2" s="222"/>
      <c r="O2" s="222"/>
      <c r="P2" s="209"/>
      <c r="Q2" s="232" t="s">
        <v>4716</v>
      </c>
      <c r="R2" s="222"/>
      <c r="S2" s="222"/>
      <c r="T2" s="222"/>
      <c r="U2" s="209"/>
      <c r="V2" s="236" t="s">
        <v>4717</v>
      </c>
      <c r="W2" s="222"/>
      <c r="X2" s="222"/>
      <c r="Y2" s="222"/>
      <c r="Z2" s="209"/>
      <c r="AA2" s="233" t="s">
        <v>4718</v>
      </c>
      <c r="AB2" s="222"/>
      <c r="AC2" s="222"/>
      <c r="AD2" s="222"/>
      <c r="AE2" s="209"/>
      <c r="AF2" s="237" t="s">
        <v>4719</v>
      </c>
      <c r="AG2" s="222"/>
      <c r="AH2" s="222"/>
      <c r="AI2" s="222"/>
      <c r="AJ2" s="209"/>
    </row>
    <row r="3" spans="1:36" ht="26" customHeight="1">
      <c r="A3" s="210"/>
      <c r="B3" s="211" t="str">
        <f ca="1">IFERROR(__xludf.DUMMYFUNCTION("FILTER(English!B:B,English!A:A=B1)"),"Course IDs")</f>
        <v>Course IDs</v>
      </c>
      <c r="C3" s="211" t="str">
        <f ca="1">IFERROR(__xludf.DUMMYFUNCTION("FILTER(English!C:C,English!A:A=B1)"),"Levels")</f>
        <v>Levels</v>
      </c>
      <c r="D3" s="211" t="str">
        <f ca="1">IFERROR(__xludf.DUMMYFUNCTION("FILTER(English!D:D,English!A:A=B1)"),"Courses")</f>
        <v>Courses</v>
      </c>
      <c r="E3" s="212" t="str">
        <f ca="1">IFERROR(__xludf.DUMMYFUNCTION("FILTER(English!E:E,English!A:A=B1)"),"Learning Paths")</f>
        <v>Learning Paths</v>
      </c>
      <c r="F3" s="210"/>
      <c r="G3" s="211" t="str">
        <f ca="1">IFERROR(__xludf.DUMMYFUNCTION("FILTER(French!C:C,French!B:B=G1)"),"Course IDs")</f>
        <v>Course IDs</v>
      </c>
      <c r="H3" s="211" t="str">
        <f ca="1">IFERROR(__xludf.DUMMYFUNCTION("FILTER(French!D:D,French!B:B=G1)"),"Levels")</f>
        <v>Levels</v>
      </c>
      <c r="I3" s="211" t="str">
        <f ca="1">IFERROR(__xludf.DUMMYFUNCTION("FILTER(French!E:E,French!B:B=G1)"),"Courses")</f>
        <v>Courses</v>
      </c>
      <c r="J3" s="212" t="str">
        <f ca="1">IFERROR(__xludf.DUMMYFUNCTION("FILTER(French!G:G,French!B:B=G1)"),"Learning Paths")</f>
        <v>Learning Paths</v>
      </c>
      <c r="K3" s="210"/>
      <c r="L3" s="211" t="str">
        <f ca="1">IFERROR(__xludf.DUMMYFUNCTION("FILTER(Spanish!C:C,Spanish!B:B=L1)"),"Course IDs")</f>
        <v>Course IDs</v>
      </c>
      <c r="M3" s="211" t="str">
        <f ca="1">IFERROR(__xludf.DUMMYFUNCTION("FILTER(Spanish!D:D,Spanish!B:B=L1)"),"Levels")</f>
        <v>Levels</v>
      </c>
      <c r="N3" s="211" t="str">
        <f ca="1">IFERROR(__xludf.DUMMYFUNCTION("FILTER(Spanish!E:E,Spanish!B:B=L1)"),"Courses")</f>
        <v>Courses</v>
      </c>
      <c r="O3" s="212" t="str">
        <f ca="1">IFERROR(__xludf.DUMMYFUNCTION("FILTER(Spanish!G:G,Spanish!B:B=L1)"),"Learning Paths")</f>
        <v>Learning Paths</v>
      </c>
      <c r="P3" s="210"/>
      <c r="Q3" s="211" t="str">
        <f ca="1">IFERROR(__xludf.DUMMYFUNCTION("FILTER(German!C:C,German!B:B=Q1)"),"Course IDs")</f>
        <v>Course IDs</v>
      </c>
      <c r="R3" s="211" t="str">
        <f ca="1">IFERROR(__xludf.DUMMYFUNCTION("FILTER(German!D:D,German!B:B=Q1)"),"Levels")</f>
        <v>Levels</v>
      </c>
      <c r="S3" s="211" t="str">
        <f ca="1">IFERROR(__xludf.DUMMYFUNCTION("FILTER(German!E:E,German!B:B=Q1)"),"Courses")</f>
        <v>Courses</v>
      </c>
      <c r="T3" s="212" t="str">
        <f ca="1">IFERROR(__xludf.DUMMYFUNCTION("FILTER(German!G:G,German!B:B=Q1)"),"Learning Paths")</f>
        <v>Learning Paths</v>
      </c>
      <c r="U3" s="210"/>
      <c r="V3" s="211" t="str">
        <f ca="1">IFERROR(__xludf.DUMMYFUNCTION("FILTER(Japanese!C:C,Japanese!B:B=V1)"),"Course IDs")</f>
        <v>Course IDs</v>
      </c>
      <c r="W3" s="211" t="str">
        <f ca="1">IFERROR(__xludf.DUMMYFUNCTION("FILTER(Japanese!D:D,Japanese!B:B=V1)"),"Levels")</f>
        <v>Levels</v>
      </c>
      <c r="X3" s="211" t="str">
        <f ca="1">IFERROR(__xludf.DUMMYFUNCTION("FILTER(Japanese!E:E,Japanese!B:B=V1)"),"Courses")</f>
        <v>Courses</v>
      </c>
      <c r="Y3" s="212" t="str">
        <f ca="1">IFERROR(__xludf.DUMMYFUNCTION("FILTER(Japanese!G:G,Japanese!B:B=V1)"),"Learning Paths")</f>
        <v>Learning Paths</v>
      </c>
      <c r="Z3" s="210"/>
      <c r="AA3" s="211" t="str">
        <f ca="1">IFERROR(__xludf.DUMMYFUNCTION("FILTER(Portuguese!C:C,Portuguese!B:B=AA1)"),"Course IDs")</f>
        <v>Course IDs</v>
      </c>
      <c r="AB3" s="211" t="str">
        <f ca="1">IFERROR(__xludf.DUMMYFUNCTION("FILTER(Portuguese!D:D,Portuguese!B:B=AA1)"),"Levels")</f>
        <v>Levels</v>
      </c>
      <c r="AC3" s="211" t="str">
        <f ca="1">IFERROR(__xludf.DUMMYFUNCTION("FILTER(Portuguese!E:E,Portuguese!B:B=AA1)"),"Courses")</f>
        <v>Courses</v>
      </c>
      <c r="AD3" s="212" t="str">
        <f ca="1">IFERROR(__xludf.DUMMYFUNCTION("FILTER(Portuguese!G:G,Portuguese!B:B=AA1)"),"Learning Paths")</f>
        <v>Learning Paths</v>
      </c>
      <c r="AE3" s="210"/>
      <c r="AF3" s="211" t="str">
        <f ca="1">IFERROR(__xludf.DUMMYFUNCTION("FILTER(Mandarin!C:C,Mandarin!B:B=AF1)"),"Course IDs")</f>
        <v>Course IDs</v>
      </c>
      <c r="AG3" s="211" t="str">
        <f ca="1">IFERROR(__xludf.DUMMYFUNCTION("FILTER(Mandarin!D:D,Mandarin!B:B=AF1)"),"Levels")</f>
        <v>Levels</v>
      </c>
      <c r="AH3" s="211" t="str">
        <f ca="1">IFERROR(__xludf.DUMMYFUNCTION("FILTER(Mandarin!E:E,Mandarin!B:B=AF1)"),"Courses")</f>
        <v>Courses</v>
      </c>
      <c r="AI3" s="212" t="str">
        <f ca="1">IFERROR(__xludf.DUMMYFUNCTION("FILTER(Mandarin!G:G,Mandarin!B:B=AF1)"),"Learning Paths")</f>
        <v>Learning Paths</v>
      </c>
      <c r="AJ3" s="210"/>
    </row>
    <row r="4" spans="1:36" ht="33.75" customHeight="1">
      <c r="A4" s="213"/>
      <c r="B4" s="214">
        <f ca="1">IFERROR(__xludf.DUMMYFUNCTION("""COMPUTED_VALUE"""),608995)</f>
        <v>608995</v>
      </c>
      <c r="C4" s="215" t="str">
        <f ca="1">IFERROR(__xludf.DUMMYFUNCTION("""COMPUTED_VALUE"""),"General")</f>
        <v>General</v>
      </c>
      <c r="D4" s="216" t="str">
        <f ca="1">IFERROR(__xludf.DUMMYFUNCTION("""COMPUTED_VALUE"""),"Jeff Dyer on Innovation")</f>
        <v>Jeff Dyer on Innovation</v>
      </c>
      <c r="E4" s="217" t="str">
        <f ca="1">IFERROR(__xludf.DUMMYFUNCTION("""COMPUTED_VALUE"""),"Become a Thought Leader")</f>
        <v>Become a Thought Leader</v>
      </c>
      <c r="F4" s="213"/>
      <c r="G4" s="214">
        <f ca="1">IFERROR(__xludf.DUMMYFUNCTION("""COMPUTED_VALUE"""),193475)</f>
        <v>193475</v>
      </c>
      <c r="H4" s="215" t="str">
        <f ca="1">IFERROR(__xludf.DUMMYFUNCTION("""COMPUTED_VALUE"""),"All levels")</f>
        <v>All levels</v>
      </c>
      <c r="I4" s="217" t="str">
        <f ca="1">IFERROR(__xludf.DUMMYFUNCTION("""COMPUTED_VALUE"""),"Accueillir le changement")</f>
        <v>Accueillir le changement</v>
      </c>
      <c r="J4" s="217" t="str">
        <f ca="1">IFERROR(__xludf.DUMMYFUNCTION("""COMPUTED_VALUE"""),"Être un manager à l'heure de la transformation numérique")</f>
        <v>Être un manager à l'heure de la transformation numérique</v>
      </c>
      <c r="K4" s="213"/>
      <c r="L4" s="215">
        <f ca="1">IFERROR(__xludf.DUMMYFUNCTION("""COMPUTED_VALUE"""),766239)</f>
        <v>766239</v>
      </c>
      <c r="M4" s="215" t="str">
        <f ca="1">IFERROR(__xludf.DUMMYFUNCTION("""COMPUTED_VALUE"""),"Advanced")</f>
        <v>Advanced</v>
      </c>
      <c r="N4" s="217" t="str">
        <f ca="1">IFERROR(__xludf.DUMMYFUNCTION("""COMPUTED_VALUE"""),"Agilidad estratégica")</f>
        <v>Agilidad estratégica</v>
      </c>
      <c r="O4" s="217" t="str">
        <f ca="1">IFERROR(__xludf.DUMMYFUNCTION("""COMPUTED_VALUE"""),"Liderazgo en tiempos de transformación digital")</f>
        <v>Liderazgo en tiempos de transformación digital</v>
      </c>
      <c r="P4" s="213"/>
      <c r="Q4" s="215">
        <f ca="1">IFERROR(__xludf.DUMMYFUNCTION("""COMPUTED_VALUE"""),2816017)</f>
        <v>2816017</v>
      </c>
      <c r="R4" s="215" t="str">
        <f ca="1">IFERROR(__xludf.DUMMYFUNCTION("""COMPUTED_VALUE"""),"All levels")</f>
        <v>All levels</v>
      </c>
      <c r="S4" s="217" t="str">
        <f ca="1">IFERROR(__xludf.DUMMYFUNCTION("""COMPUTED_VALUE"""),"Agile Lernformate in Organisationen")</f>
        <v>Agile Lernformate in Organisationen</v>
      </c>
      <c r="T4" s="217" t="str">
        <f ca="1">IFERROR(__xludf.DUMMYFUNCTION("""COMPUTED_VALUE"""),"Durch Veränderungsprozesse führen")</f>
        <v>Durch Veränderungsprozesse führen</v>
      </c>
      <c r="U4" s="213"/>
      <c r="V4" s="215">
        <f ca="1">IFERROR(__xludf.DUMMYFUNCTION("""COMPUTED_VALUE"""),2404542)</f>
        <v>2404542</v>
      </c>
      <c r="W4" s="215" t="str">
        <f ca="1">IFERROR(__xludf.DUMMYFUNCTION("""COMPUTED_VALUE"""),"Advanced")</f>
        <v>Advanced</v>
      </c>
      <c r="X4" s="217" t="str">
        <f ca="1">IFERROR(__xludf.DUMMYFUNCTION("""COMPUTED_VALUE"""),"すぐに変われる組織になるには")</f>
        <v>すぐに変われる組織になるには</v>
      </c>
      <c r="Y4" s="217" t="str">
        <f ca="1">IFERROR(__xludf.DUMMYFUNCTION("""COMPUTED_VALUE"""),"困難な時期に自身を高めて問題を乗り切るには")</f>
        <v>困難な時期に自身を高めて問題を乗り切るには</v>
      </c>
      <c r="Z4" s="213"/>
      <c r="AA4" s="215">
        <f ca="1">IFERROR(__xludf.DUMMYFUNCTION("""COMPUTED_VALUE"""),2908955)</f>
        <v>2908955</v>
      </c>
      <c r="AB4" s="215" t="str">
        <f ca="1">IFERROR(__xludf.DUMMYFUNCTION("""COMPUTED_VALUE"""),"All levels")</f>
        <v>All levels</v>
      </c>
      <c r="AC4" s="217" t="str">
        <f ca="1">IFERROR(__xludf.DUMMYFUNCTION("""COMPUTED_VALUE"""),"A Linguagem Corporal da Liderança")</f>
        <v>A Linguagem Corporal da Liderança</v>
      </c>
      <c r="AD4" s="217" t="str">
        <f ca="1">IFERROR(__xludf.DUMMYFUNCTION("""COMPUTED_VALUE"""),"Torne-se um Líder")</f>
        <v>Torne-se um Líder</v>
      </c>
      <c r="AE4" s="213"/>
      <c r="AF4" s="215">
        <f ca="1">IFERROR(__xludf.DUMMYFUNCTION("""COMPUTED_VALUE"""),780076)</f>
        <v>780076</v>
      </c>
      <c r="AG4" s="215" t="str">
        <f ca="1">IFERROR(__xludf.DUMMYFUNCTION("""COMPUTED_VALUE"""),"All levels")</f>
        <v>All levels</v>
      </c>
      <c r="AH4" s="217" t="str">
        <f ca="1">IFERROR(__xludf.DUMMYFUNCTION("""COMPUTED_VALUE"""),"业务创新基础知识")</f>
        <v>业务创新基础知识</v>
      </c>
      <c r="AI4" s="217" t="str">
        <f ca="1">IFERROR(__xludf.DUMMYFUNCTION("""COMPUTED_VALUE"""),"成为领导者")</f>
        <v>成为领导者</v>
      </c>
      <c r="AJ4" s="213"/>
    </row>
    <row r="5" spans="1:36" ht="30">
      <c r="A5" s="213"/>
      <c r="B5" s="214">
        <f ca="1">IFERROR(__xludf.DUMMYFUNCTION("""COMPUTED_VALUE"""),585010)</f>
        <v>585010</v>
      </c>
      <c r="C5" s="215" t="str">
        <f ca="1">IFERROR(__xludf.DUMMYFUNCTION("""COMPUTED_VALUE"""),"Beginner + Intermediate")</f>
        <v>Beginner + Intermediate</v>
      </c>
      <c r="D5" s="216" t="str">
        <f ca="1">IFERROR(__xludf.DUMMYFUNCTION("""COMPUTED_VALUE"""),"Leading with Innovation")</f>
        <v>Leading with Innovation</v>
      </c>
      <c r="E5" s="217" t="str">
        <f ca="1">IFERROR(__xludf.DUMMYFUNCTION("""COMPUTED_VALUE"""),"Digital Transformation for Leaders")</f>
        <v>Digital Transformation for Leaders</v>
      </c>
      <c r="F5" s="213"/>
      <c r="G5" s="214">
        <f ca="1">IFERROR(__xludf.DUMMYFUNCTION("""COMPUTED_VALUE"""),708567)</f>
        <v>708567</v>
      </c>
      <c r="H5" s="215" t="str">
        <f ca="1">IFERROR(__xludf.DUMMYFUNCTION("""COMPUTED_VALUE"""),"Intermediate")</f>
        <v>Intermediate</v>
      </c>
      <c r="I5" s="217" t="str">
        <f ca="1">IFERROR(__xludf.DUMMYFUNCTION("""COMPUTED_VALUE"""),"Changement et communication")</f>
        <v>Changement et communication</v>
      </c>
      <c r="J5" s="217" t="str">
        <f ca="1">IFERROR(__xludf.DUMMYFUNCTION("""COMPUTED_VALUE"""),"Gérer le changement")</f>
        <v>Gérer le changement</v>
      </c>
      <c r="K5" s="213"/>
      <c r="L5" s="215">
        <f ca="1">IFERROR(__xludf.DUMMYFUNCTION("""COMPUTED_VALUE"""),778412)</f>
        <v>778412</v>
      </c>
      <c r="M5" s="215" t="str">
        <f ca="1">IFERROR(__xludf.DUMMYFUNCTION("""COMPUTED_VALUE"""),"All levels")</f>
        <v>All levels</v>
      </c>
      <c r="N5" s="217" t="str">
        <f ca="1">IFERROR(__xludf.DUMMYFUNCTION("""COMPUTED_VALUE"""),"Bill George sobre autoconocimiento, autenticidad, y liderazgo")</f>
        <v>Bill George sobre autoconocimiento, autenticidad, y liderazgo</v>
      </c>
      <c r="O5" s="217" t="str">
        <f ca="1">IFERROR(__xludf.DUMMYFUNCTION("""COMPUTED_VALUE"""),"Amplía tus competencias como líder para la transformación digital")</f>
        <v>Amplía tus competencias como líder para la transformación digital</v>
      </c>
      <c r="P5" s="213"/>
      <c r="Q5" s="215">
        <f ca="1">IFERROR(__xludf.DUMMYFUNCTION("""COMPUTED_VALUE"""),5025608)</f>
        <v>5025608</v>
      </c>
      <c r="R5" s="215" t="str">
        <f ca="1">IFERROR(__xludf.DUMMYFUNCTION("""COMPUTED_VALUE"""),"Intermediate")</f>
        <v>Intermediate</v>
      </c>
      <c r="S5" s="217" t="str">
        <f ca="1">IFERROR(__xludf.DUMMYFUNCTION("""COMPUTED_VALUE"""),"Agile und digitale Transformation")</f>
        <v>Agile und digitale Transformation</v>
      </c>
      <c r="T5" s="217" t="str">
        <f ca="1">IFERROR(__xludf.DUMMYFUNCTION("""COMPUTED_VALUE"""),"Innovation fördern")</f>
        <v>Innovation fördern</v>
      </c>
      <c r="U5" s="213"/>
      <c r="V5" s="215">
        <f ca="1">IFERROR(__xludf.DUMMYFUNCTION("""COMPUTED_VALUE"""),2916475)</f>
        <v>2916475</v>
      </c>
      <c r="W5" s="215" t="str">
        <f ca="1">IFERROR(__xludf.DUMMYFUNCTION("""COMPUTED_VALUE"""),"Intermediate")</f>
        <v>Intermediate</v>
      </c>
      <c r="X5" s="217" t="str">
        <f ca="1">IFERROR(__xludf.DUMMYFUNCTION("""COMPUTED_VALUE"""),"チェンジマネジメントの基礎")</f>
        <v>チェンジマネジメントの基礎</v>
      </c>
      <c r="Y5" s="217"/>
      <c r="Z5" s="213"/>
      <c r="AA5" s="215">
        <f ca="1">IFERROR(__xludf.DUMMYFUNCTION("""COMPUTED_VALUE"""),801467)</f>
        <v>801467</v>
      </c>
      <c r="AB5" s="215" t="str">
        <f ca="1">IFERROR(__xludf.DUMMYFUNCTION("""COMPUTED_VALUE"""),"All levels")</f>
        <v>All levels</v>
      </c>
      <c r="AC5" s="217" t="str">
        <f ca="1">IFERROR(__xludf.DUMMYFUNCTION("""COMPUTED_VALUE"""),"Agilidade de Aprendizagem")</f>
        <v>Agilidade de Aprendizagem</v>
      </c>
      <c r="AD5" s="217" t="str">
        <f ca="1">IFERROR(__xludf.DUMMYFUNCTION("""COMPUTED_VALUE"""),"Transforme-se num Líder Disruptivo")</f>
        <v>Transforme-se num Líder Disruptivo</v>
      </c>
      <c r="AE5" s="213"/>
      <c r="AF5" s="215">
        <f ca="1">IFERROR(__xludf.DUMMYFUNCTION("""COMPUTED_VALUE"""),2244052)</f>
        <v>2244052</v>
      </c>
      <c r="AG5" s="215" t="str">
        <f ca="1">IFERROR(__xludf.DUMMYFUNCTION("""COMPUTED_VALUE"""),"Beginner, Intermediate")</f>
        <v>Beginner, Intermediate</v>
      </c>
      <c r="AH5" s="217" t="str">
        <f ca="1">IFERROR(__xludf.DUMMYFUNCTION("""COMPUTED_VALUE"""),"创新型领导力")</f>
        <v>创新型领导力</v>
      </c>
      <c r="AI5" s="217" t="str">
        <f ca="1">IFERROR(__xludf.DUMMYFUNCTION("""COMPUTED_VALUE"""),"变革时期的领导力")</f>
        <v>变革时期的领导力</v>
      </c>
      <c r="AJ5" s="213"/>
    </row>
    <row r="6" spans="1:36" ht="30">
      <c r="A6" s="213"/>
      <c r="B6" s="214">
        <f ca="1">IFERROR(__xludf.DUMMYFUNCTION("""COMPUTED_VALUE"""),5015872)</f>
        <v>5015872</v>
      </c>
      <c r="C6" s="215" t="str">
        <f ca="1">IFERROR(__xludf.DUMMYFUNCTION("""COMPUTED_VALUE"""),"Intermediate")</f>
        <v>Intermediate</v>
      </c>
      <c r="D6" s="216" t="str">
        <f ca="1">IFERROR(__xludf.DUMMYFUNCTION("""COMPUTED_VALUE"""),"Built to Last: Successful Habits of Visionary Companies (Blinkist Summary)")</f>
        <v>Built to Last: Successful Habits of Visionary Companies (Blinkist Summary)</v>
      </c>
      <c r="E6" s="217" t="str">
        <f ca="1">IFERROR(__xludf.DUMMYFUNCTION("""COMPUTED_VALUE"""),"Digital Transformation for Tech Leaders")</f>
        <v>Digital Transformation for Tech Leaders</v>
      </c>
      <c r="F6" s="213"/>
      <c r="G6" s="214">
        <f ca="1">IFERROR(__xludf.DUMMYFUNCTION("""COMPUTED_VALUE"""),2982070)</f>
        <v>2982070</v>
      </c>
      <c r="H6" s="215" t="str">
        <f ca="1">IFERROR(__xludf.DUMMYFUNCTION("""COMPUTED_VALUE"""),"Intermediate")</f>
        <v>Intermediate</v>
      </c>
      <c r="I6" s="217" t="str">
        <f ca="1">IFERROR(__xludf.DUMMYFUNCTION("""COMPUTED_VALUE"""),"Communiquer en situation de crise")</f>
        <v>Communiquer en situation de crise</v>
      </c>
      <c r="J6" s="217" t="str">
        <f ca="1">IFERROR(__xludf.DUMMYFUNCTION("""COMPUTED_VALUE"""),"Être un leader IT à l'heure de la transformation numérique")</f>
        <v>Être un leader IT à l'heure de la transformation numérique</v>
      </c>
      <c r="K6" s="213"/>
      <c r="L6" s="215">
        <f ca="1">IFERROR(__xludf.DUMMYFUNCTION("""COMPUTED_VALUE"""),5025676)</f>
        <v>5025676</v>
      </c>
      <c r="M6" s="215" t="str">
        <f ca="1">IFERROR(__xludf.DUMMYFUNCTION("""COMPUTED_VALUE"""),"All levels")</f>
        <v>All levels</v>
      </c>
      <c r="N6" s="217" t="str">
        <f ca="1">IFERROR(__xludf.DUMMYFUNCTION("""COMPUTED_VALUE"""),"Cómo gestionar los puntos ciegos del liderazgo")</f>
        <v>Cómo gestionar los puntos ciegos del liderazgo</v>
      </c>
      <c r="O6" s="217" t="str">
        <f ca="1">IFERROR(__xludf.DUMMYFUNCTION("""COMPUTED_VALUE"""),"Gestiona los cambios")</f>
        <v>Gestiona los cambios</v>
      </c>
      <c r="P6" s="213"/>
      <c r="Q6" s="215">
        <f ca="1">IFERROR(__xludf.DUMMYFUNCTION("""COMPUTED_VALUE"""),759348)</f>
        <v>759348</v>
      </c>
      <c r="R6" s="215" t="str">
        <f ca="1">IFERROR(__xludf.DUMMYFUNCTION("""COMPUTED_VALUE"""),"Beginner")</f>
        <v>Beginner</v>
      </c>
      <c r="S6" s="217" t="str">
        <f ca="1">IFERROR(__xludf.DUMMYFUNCTION("""COMPUTED_VALUE"""),"Agiler führen – eine Einführung")</f>
        <v>Agiler führen – eine Einführung</v>
      </c>
      <c r="T6" s="217"/>
      <c r="U6" s="213"/>
      <c r="V6" s="215">
        <f ca="1">IFERROR(__xludf.DUMMYFUNCTION("""COMPUTED_VALUE"""),5003765)</f>
        <v>5003765</v>
      </c>
      <c r="W6" s="215" t="str">
        <f ca="1">IFERROR(__xludf.DUMMYFUNCTION("""COMPUTED_VALUE"""),"Intermediate")</f>
        <v>Intermediate</v>
      </c>
      <c r="X6" s="217" t="str">
        <f ca="1">IFERROR(__xludf.DUMMYFUNCTION("""COMPUTED_VALUE"""),"リスクを恐れないリーダーになるには")</f>
        <v>リスクを恐れないリーダーになるには</v>
      </c>
      <c r="Y6" s="217"/>
      <c r="Z6" s="213"/>
      <c r="AA6" s="215">
        <f ca="1">IFERROR(__xludf.DUMMYFUNCTION("""COMPUTED_VALUE"""),3201142)</f>
        <v>3201142</v>
      </c>
      <c r="AB6" s="215" t="str">
        <f ca="1">IFERROR(__xludf.DUMMYFUNCTION("""COMPUTED_VALUE"""),"All levels")</f>
        <v>All levels</v>
      </c>
      <c r="AC6" s="217" t="str">
        <f ca="1">IFERROR(__xludf.DUMMYFUNCTION("""COMPUTED_VALUE"""),"Como Apoiar sua Equipe na Gestão da Ansiedade")</f>
        <v>Como Apoiar sua Equipe na Gestão da Ansiedade</v>
      </c>
      <c r="AD6" s="217"/>
      <c r="AE6" s="213"/>
      <c r="AF6" s="215">
        <f ca="1">IFERROR(__xludf.DUMMYFUNCTION("""COMPUTED_VALUE"""),2825734)</f>
        <v>2825734</v>
      </c>
      <c r="AG6" s="215" t="str">
        <f ca="1">IFERROR(__xludf.DUMMYFUNCTION("""COMPUTED_VALUE"""),"Intermediate")</f>
        <v>Intermediate</v>
      </c>
      <c r="AH6" s="217" t="str">
        <f ca="1">IFERROR(__xludf.DUMMYFUNCTION("""COMPUTED_VALUE"""),"变革时期的沟通策略")</f>
        <v>变革时期的沟通策略</v>
      </c>
      <c r="AI6" s="217"/>
      <c r="AJ6" s="213"/>
    </row>
    <row r="7" spans="1:36" ht="33.75" customHeight="1">
      <c r="A7" s="213"/>
      <c r="B7" s="214">
        <f ca="1">IFERROR(__xludf.DUMMYFUNCTION("""COMPUTED_VALUE"""),431182)</f>
        <v>431182</v>
      </c>
      <c r="C7" s="215" t="str">
        <f ca="1">IFERROR(__xludf.DUMMYFUNCTION("""COMPUTED_VALUE"""),"Intermediate")</f>
        <v>Intermediate</v>
      </c>
      <c r="D7" s="216" t="str">
        <f ca="1">IFERROR(__xludf.DUMMYFUNCTION("""COMPUTED_VALUE"""),"Sustainability Strategies")</f>
        <v>Sustainability Strategies</v>
      </c>
      <c r="E7" s="217" t="str">
        <f ca="1">IFERROR(__xludf.DUMMYFUNCTION("""COMPUTED_VALUE"""),"Leading During Times of Change")</f>
        <v>Leading During Times of Change</v>
      </c>
      <c r="F7" s="213"/>
      <c r="G7" s="214">
        <f ca="1">IFERROR(__xludf.DUMMYFUNCTION("""COMPUTED_VALUE"""),616401)</f>
        <v>616401</v>
      </c>
      <c r="H7" s="215" t="str">
        <f ca="1">IFERROR(__xludf.DUMMYFUNCTION("""COMPUTED_VALUE"""),"Intermediate")</f>
        <v>Intermediate</v>
      </c>
      <c r="I7" s="217" t="str">
        <f ca="1">IFERROR(__xludf.DUMMYFUNCTION("""COMPUTED_VALUE"""),"Conduire le changement")</f>
        <v>Conduire le changement</v>
      </c>
      <c r="J7" s="217" t="str">
        <f ca="1">IFERROR(__xludf.DUMMYFUNCTION("""COMPUTED_VALUE"""),"Promouvoir le bien-être en période de changement et d'incertitude")</f>
        <v>Promouvoir le bien-être en période de changement et d'incertitude</v>
      </c>
      <c r="K7" s="213"/>
      <c r="L7" s="215">
        <f ca="1">IFERROR(__xludf.DUMMYFUNCTION("""COMPUTED_VALUE"""),454096)</f>
        <v>454096</v>
      </c>
      <c r="M7" s="215" t="str">
        <f ca="1">IFERROR(__xludf.DUMMYFUNCTION("""COMPUTED_VALUE"""),"All levels")</f>
        <v>All levels</v>
      </c>
      <c r="N7" s="217" t="str">
        <f ca="1">IFERROR(__xludf.DUMMYFUNCTION("""COMPUTED_VALUE"""),"Cómo liderar el cambio en tu empresa")</f>
        <v>Cómo liderar el cambio en tu empresa</v>
      </c>
      <c r="O7" s="217" t="str">
        <f ca="1">IFERROR(__xludf.DUMMYFUNCTION("""COMPUTED_VALUE"""),"Domina las habilidades de vida a nivel de liderazgo")</f>
        <v>Domina las habilidades de vida a nivel de liderazgo</v>
      </c>
      <c r="P7" s="213"/>
      <c r="Q7" s="215">
        <f ca="1">IFERROR(__xludf.DUMMYFUNCTION("""COMPUTED_VALUE"""),5018537)</f>
        <v>5018537</v>
      </c>
      <c r="R7" s="215" t="str">
        <f ca="1">IFERROR(__xludf.DUMMYFUNCTION("""COMPUTED_VALUE"""),"Advanced")</f>
        <v>Advanced</v>
      </c>
      <c r="S7" s="217" t="str">
        <f ca="1">IFERROR(__xludf.DUMMYFUNCTION("""COMPUTED_VALUE"""),"Agilität mit Strategie")</f>
        <v>Agilität mit Strategie</v>
      </c>
      <c r="T7" s="217"/>
      <c r="U7" s="213"/>
      <c r="V7" s="215">
        <f ca="1">IFERROR(__xludf.DUMMYFUNCTION("""COMPUTED_VALUE"""),2888079)</f>
        <v>2888079</v>
      </c>
      <c r="W7" s="215" t="str">
        <f ca="1">IFERROR(__xludf.DUMMYFUNCTION("""COMPUTED_VALUE"""),"All levels")</f>
        <v>All levels</v>
      </c>
      <c r="X7" s="217" t="str">
        <f ca="1">IFERROR(__xludf.DUMMYFUNCTION("""COMPUTED_VALUE"""),"予期せぬ変化を受け入れるには")</f>
        <v>予期せぬ変化を受け入れるには</v>
      </c>
      <c r="Y7" s="217"/>
      <c r="Z7" s="213"/>
      <c r="AA7" s="215">
        <f ca="1">IFERROR(__xludf.DUMMYFUNCTION("""COMPUTED_VALUE"""),2873259)</f>
        <v>2873259</v>
      </c>
      <c r="AB7" s="215" t="str">
        <f ca="1">IFERROR(__xludf.DUMMYFUNCTION("""COMPUTED_VALUE"""),"Intermediate")</f>
        <v>Intermediate</v>
      </c>
      <c r="AC7" s="217" t="str">
        <f ca="1">IFERROR(__xludf.DUMMYFUNCTION("""COMPUTED_VALUE"""),"Como Comunicar Mudanças em uma Organização em Transformação")</f>
        <v>Como Comunicar Mudanças em uma Organização em Transformação</v>
      </c>
      <c r="AD7" s="217"/>
      <c r="AE7" s="213"/>
      <c r="AF7" s="215">
        <f ca="1">IFERROR(__xludf.DUMMYFUNCTION("""COMPUTED_VALUE"""),2424876)</f>
        <v>2424876</v>
      </c>
      <c r="AG7" s="215" t="str">
        <f ca="1">IFERROR(__xludf.DUMMYFUNCTION("""COMPUTED_VALUE"""),"Beginner")</f>
        <v>Beginner</v>
      </c>
      <c r="AH7" s="217" t="str">
        <f ca="1">IFERROR(__xludf.DUMMYFUNCTION("""COMPUTED_VALUE"""),"变革时期的项目管理")</f>
        <v>变革时期的项目管理</v>
      </c>
      <c r="AI7" s="217"/>
      <c r="AJ7" s="213"/>
    </row>
    <row r="8" spans="1:36" ht="33.75" customHeight="1">
      <c r="A8" s="213"/>
      <c r="B8" s="214">
        <f ca="1">IFERROR(__xludf.DUMMYFUNCTION("""COMPUTED_VALUE"""),689761)</f>
        <v>689761</v>
      </c>
      <c r="C8" s="215" t="str">
        <f ca="1">IFERROR(__xludf.DUMMYFUNCTION("""COMPUTED_VALUE"""),"Advanced")</f>
        <v>Advanced</v>
      </c>
      <c r="D8" s="216" t="str">
        <f ca="1">IFERROR(__xludf.DUMMYFUNCTION("""COMPUTED_VALUE"""),"Creating a Culture of Change")</f>
        <v>Creating a Culture of Change</v>
      </c>
      <c r="E8" s="217" t="str">
        <f ca="1">IFERROR(__xludf.DUMMYFUNCTION("""COMPUTED_VALUE"""),"Managing Change")</f>
        <v>Managing Change</v>
      </c>
      <c r="F8" s="213"/>
      <c r="G8" s="214">
        <f ca="1">IFERROR(__xludf.DUMMYFUNCTION("""COMPUTED_VALUE"""),707936)</f>
        <v>707936</v>
      </c>
      <c r="H8" s="215" t="str">
        <f ca="1">IFERROR(__xludf.DUMMYFUNCTION("""COMPUTED_VALUE"""),"Intermediate")</f>
        <v>Intermediate</v>
      </c>
      <c r="I8" s="217" t="str">
        <f ca="1">IFERROR(__xludf.DUMMYFUNCTION("""COMPUTED_VALUE"""),"Créer des organisations créatives")</f>
        <v>Créer des organisations créatives</v>
      </c>
      <c r="J8" s="217"/>
      <c r="K8" s="213"/>
      <c r="L8" s="215">
        <f ca="1">IFERROR(__xludf.DUMMYFUNCTION("""COMPUTED_VALUE"""),2899806)</f>
        <v>2899806</v>
      </c>
      <c r="M8" s="215" t="str">
        <f ca="1">IFERROR(__xludf.DUMMYFUNCTION("""COMPUTED_VALUE"""),"Advanced")</f>
        <v>Advanced</v>
      </c>
      <c r="N8" s="217" t="str">
        <f ca="1">IFERROR(__xludf.DUMMYFUNCTION("""COMPUTED_VALUE"""),"Cómo liderar equipos de alto potencial")</f>
        <v>Cómo liderar equipos de alto potencial</v>
      </c>
      <c r="O8" s="217" t="str">
        <f ca="1">IFERROR(__xludf.DUMMYFUNCTION("""COMPUTED_VALUE"""),"Fomenta la innovación")</f>
        <v>Fomenta la innovación</v>
      </c>
      <c r="P8" s="213"/>
      <c r="Q8" s="215">
        <f ca="1">IFERROR(__xludf.DUMMYFUNCTION("""COMPUTED_VALUE"""),2809733)</f>
        <v>2809733</v>
      </c>
      <c r="R8" s="215" t="str">
        <f ca="1">IFERROR(__xludf.DUMMYFUNCTION("""COMPUTED_VALUE"""),"All levels")</f>
        <v>All levels</v>
      </c>
      <c r="S8" s="217" t="str">
        <f ca="1">IFERROR(__xludf.DUMMYFUNCTION("""COMPUTED_VALUE"""),"Als Führungskraft das agile Lernen im Team unterstützen")</f>
        <v>Als Führungskraft das agile Lernen im Team unterstützen</v>
      </c>
      <c r="T8" s="217"/>
      <c r="U8" s="213"/>
      <c r="V8" s="215">
        <f ca="1">IFERROR(__xludf.DUMMYFUNCTION("""COMPUTED_VALUE"""),3146326)</f>
        <v>3146326</v>
      </c>
      <c r="W8" s="215" t="str">
        <f ca="1">IFERROR(__xludf.DUMMYFUNCTION("""COMPUTED_VALUE"""),"Intermediate")</f>
        <v>Intermediate</v>
      </c>
      <c r="X8" s="217" t="str">
        <f ca="1">IFERROR(__xludf.DUMMYFUNCTION("""COMPUTED_VALUE"""),"変化のときのコミュニケーション術")</f>
        <v>変化のときのコミュニケーション術</v>
      </c>
      <c r="Y8" s="217"/>
      <c r="Z8" s="213"/>
      <c r="AA8" s="215">
        <f ca="1">IFERROR(__xludf.DUMMYFUNCTION("""COMPUTED_VALUE"""),2386413)</f>
        <v>2386413</v>
      </c>
      <c r="AB8" s="215" t="str">
        <f ca="1">IFERROR(__xludf.DUMMYFUNCTION("""COMPUTED_VALUE"""),"All levels")</f>
        <v>All levels</v>
      </c>
      <c r="AC8" s="217" t="str">
        <f ca="1">IFERROR(__xludf.DUMMYFUNCTION("""COMPUTED_VALUE"""),"Como Conciliar o Trabalho Remoto com a Vida Familiar em Tempos de Crise")</f>
        <v>Como Conciliar o Trabalho Remoto com a Vida Familiar em Tempos de Crise</v>
      </c>
      <c r="AD8" s="217"/>
      <c r="AE8" s="213"/>
      <c r="AF8" s="215">
        <f ca="1">IFERROR(__xludf.DUMMYFUNCTION("""COMPUTED_VALUE"""),767950)</f>
        <v>767950</v>
      </c>
      <c r="AG8" s="215" t="str">
        <f ca="1">IFERROR(__xludf.DUMMYFUNCTION("""COMPUTED_VALUE"""),"Intermediate")</f>
        <v>Intermediate</v>
      </c>
      <c r="AH8" s="217" t="str">
        <f ca="1">IFERROR(__xludf.DUMMYFUNCTION("""COMPUTED_VALUE"""),"变革管理基础知识")</f>
        <v>变革管理基础知识</v>
      </c>
      <c r="AI8" s="217"/>
      <c r="AJ8" s="213"/>
    </row>
    <row r="9" spans="1:36" ht="33.75" customHeight="1">
      <c r="A9" s="213"/>
      <c r="B9" s="214">
        <f ca="1">IFERROR(__xludf.DUMMYFUNCTION("""COMPUTED_VALUE"""),758617)</f>
        <v>758617</v>
      </c>
      <c r="C9" s="215" t="str">
        <f ca="1">IFERROR(__xludf.DUMMYFUNCTION("""COMPUTED_VALUE"""),"Advanced")</f>
        <v>Advanced</v>
      </c>
      <c r="D9" s="216" t="str">
        <f ca="1">IFERROR(__xludf.DUMMYFUNCTION("""COMPUTED_VALUE"""),"Leading Change")</f>
        <v>Leading Change</v>
      </c>
      <c r="E9" s="217" t="str">
        <f ca="1">IFERROR(__xludf.DUMMYFUNCTION("""COMPUTED_VALUE"""),"Manage Change and Develop Your Adaptability Skills")</f>
        <v>Manage Change and Develop Your Adaptability Skills</v>
      </c>
      <c r="F9" s="213"/>
      <c r="G9" s="214">
        <f ca="1">IFERROR(__xludf.DUMMYFUNCTION("""COMPUTED_VALUE"""),2823372)</f>
        <v>2823372</v>
      </c>
      <c r="H9" s="215" t="str">
        <f ca="1">IFERROR(__xludf.DUMMYFUNCTION("""COMPUTED_VALUE"""),"Advanced")</f>
        <v>Advanced</v>
      </c>
      <c r="I9" s="217" t="str">
        <f ca="1">IFERROR(__xludf.DUMMYFUNCTION("""COMPUTED_VALUE"""),"Créer une culture du changement")</f>
        <v>Créer une culture du changement</v>
      </c>
      <c r="J9" s="217"/>
      <c r="K9" s="213"/>
      <c r="L9" s="215">
        <f ca="1">IFERROR(__xludf.DUMMYFUNCTION("""COMPUTED_VALUE"""),2926133)</f>
        <v>2926133</v>
      </c>
      <c r="M9" s="215" t="str">
        <f ca="1">IFERROR(__xludf.DUMMYFUNCTION("""COMPUTED_VALUE"""),"All levels")</f>
        <v>All levels</v>
      </c>
      <c r="N9" s="217" t="str">
        <f ca="1">IFERROR(__xludf.DUMMYFUNCTION("""COMPUTED_VALUE"""),"Cómo liderar reuniones individuales productivas")</f>
        <v>Cómo liderar reuniones individuales productivas</v>
      </c>
      <c r="O9" s="217" t="str">
        <f ca="1">IFERROR(__xludf.DUMMYFUNCTION("""COMPUTED_VALUE"""),"Trabajo a distancia: Preparándote a ti mismo y a tus equipos para el éxito")</f>
        <v>Trabajo a distancia: Preparándote a ti mismo y a tus equipos para el éxito</v>
      </c>
      <c r="P9" s="213"/>
      <c r="Q9" s="215">
        <f ca="1">IFERROR(__xludf.DUMMYFUNCTION("""COMPUTED_VALUE"""),689456)</f>
        <v>689456</v>
      </c>
      <c r="R9" s="215" t="str">
        <f ca="1">IFERROR(__xludf.DUMMYFUNCTION("""COMPUTED_VALUE"""),"Intermediate")</f>
        <v>Intermediate</v>
      </c>
      <c r="S9" s="217" t="str">
        <f ca="1">IFERROR(__xludf.DUMMYFUNCTION("""COMPUTED_VALUE"""),"Als Führungskraft Risiken eingehen")</f>
        <v>Als Führungskraft Risiken eingehen</v>
      </c>
      <c r="T9" s="217"/>
      <c r="U9" s="213"/>
      <c r="V9" s="215">
        <f ca="1">IFERROR(__xludf.DUMMYFUNCTION("""COMPUTED_VALUE"""),3117546)</f>
        <v>3117546</v>
      </c>
      <c r="W9" s="215" t="str">
        <f ca="1">IFERROR(__xludf.DUMMYFUNCTION("""COMPUTED_VALUE"""),"Advanced")</f>
        <v>Advanced</v>
      </c>
      <c r="X9" s="217" t="str">
        <f ca="1">IFERROR(__xludf.DUMMYFUNCTION("""COMPUTED_VALUE"""),"変化を活かす企業文化を育むには")</f>
        <v>変化を活かす企業文化を育むには</v>
      </c>
      <c r="Y9" s="217"/>
      <c r="Z9" s="213"/>
      <c r="AA9" s="215">
        <f ca="1">IFERROR(__xludf.DUMMYFUNCTION("""COMPUTED_VALUE"""),801474)</f>
        <v>801474</v>
      </c>
      <c r="AB9" s="215" t="str">
        <f ca="1">IFERROR(__xludf.DUMMYFUNCTION("""COMPUTED_VALUE"""),"Advanced")</f>
        <v>Advanced</v>
      </c>
      <c r="AC9" s="217" t="str">
        <f ca="1">IFERROR(__xludf.DUMMYFUNCTION("""COMPUTED_VALUE"""),"Como Criar Estratégias de Crescimento")</f>
        <v>Como Criar Estratégias de Crescimento</v>
      </c>
      <c r="AD9" s="217"/>
      <c r="AE9" s="213"/>
      <c r="AF9" s="215">
        <f ca="1">IFERROR(__xludf.DUMMYFUNCTION("""COMPUTED_VALUE"""),2825717)</f>
        <v>2825717</v>
      </c>
      <c r="AG9" s="215" t="str">
        <f ca="1">IFERROR(__xludf.DUMMYFUNCTION("""COMPUTED_VALUE"""),"All levels")</f>
        <v>All levels</v>
      </c>
      <c r="AH9" s="217" t="str">
        <f ca="1">IFERROR(__xludf.DUMMYFUNCTION("""COMPUTED_VALUE"""),"培养成长型思维")</f>
        <v>培养成长型思维</v>
      </c>
      <c r="AI9" s="217"/>
      <c r="AJ9" s="213"/>
    </row>
    <row r="10" spans="1:36" ht="33.75" customHeight="1">
      <c r="A10" s="213"/>
      <c r="B10" s="214">
        <f ca="1">IFERROR(__xludf.DUMMYFUNCTION("""COMPUTED_VALUE"""),772319)</f>
        <v>772319</v>
      </c>
      <c r="C10" s="215" t="str">
        <f ca="1">IFERROR(__xludf.DUMMYFUNCTION("""COMPUTED_VALUE"""),"Advanced")</f>
        <v>Advanced</v>
      </c>
      <c r="D10" s="216" t="str">
        <f ca="1">IFERROR(__xludf.DUMMYFUNCTION("""COMPUTED_VALUE"""),"Assessing Digital Maturity")</f>
        <v>Assessing Digital Maturity</v>
      </c>
      <c r="E10" s="217" t="str">
        <f ca="1">IFERROR(__xludf.DUMMYFUNCTION("""COMPUTED_VALUE"""),"Women in Leadership")</f>
        <v>Women in Leadership</v>
      </c>
      <c r="F10" s="213"/>
      <c r="G10" s="214">
        <f ca="1">IFERROR(__xludf.DUMMYFUNCTION("""COMPUTED_VALUE"""),2834036)</f>
        <v>2834036</v>
      </c>
      <c r="H10" s="215" t="str">
        <f ca="1">IFERROR(__xludf.DUMMYFUNCTION("""COMPUTED_VALUE"""),"All levels")</f>
        <v>All levels</v>
      </c>
      <c r="I10" s="217" t="str">
        <f ca="1">IFERROR(__xludf.DUMMYFUNCTION("""COMPUTED_VALUE"""),"Cultiver une perspective de développement")</f>
        <v>Cultiver une perspective de développement</v>
      </c>
      <c r="J10" s="217"/>
      <c r="K10" s="213"/>
      <c r="L10" s="215">
        <f ca="1">IFERROR(__xludf.DUMMYFUNCTION("""COMPUTED_VALUE"""),714719)</f>
        <v>714719</v>
      </c>
      <c r="M10" s="215" t="str">
        <f ca="1">IFERROR(__xludf.DUMMYFUNCTION("""COMPUTED_VALUE"""),"All levels")</f>
        <v>All levels</v>
      </c>
      <c r="N10" s="217" t="str">
        <f ca="1">IFERROR(__xludf.DUMMYFUNCTION("""COMPUTED_VALUE"""),"Comunicación en momentos de cambio")</f>
        <v>Comunicación en momentos de cambio</v>
      </c>
      <c r="O10" s="217" t="str">
        <f ca="1">IFERROR(__xludf.DUMMYFUNCTION("""COMPUTED_VALUE"""),"Mujeres en el liderazgo")</f>
        <v>Mujeres en el liderazgo</v>
      </c>
      <c r="P10" s="213"/>
      <c r="Q10" s="215">
        <f ca="1">IFERROR(__xludf.DUMMYFUNCTION("""COMPUTED_VALUE"""),694290)</f>
        <v>694290</v>
      </c>
      <c r="R10" s="215" t="str">
        <f ca="1">IFERROR(__xludf.DUMMYFUNCTION("""COMPUTED_VALUE"""),"Intermediate")</f>
        <v>Intermediate</v>
      </c>
      <c r="S10" s="217" t="str">
        <f ca="1">IFERROR(__xludf.DUMMYFUNCTION("""COMPUTED_VALUE"""),"Change Management – Grundlagen")</f>
        <v>Change Management – Grundlagen</v>
      </c>
      <c r="T10" s="217"/>
      <c r="U10" s="213"/>
      <c r="V10" s="215">
        <f ca="1">IFERROR(__xludf.DUMMYFUNCTION("""COMPUTED_VALUE"""),763115)</f>
        <v>763115</v>
      </c>
      <c r="W10" s="215" t="str">
        <f ca="1">IFERROR(__xludf.DUMMYFUNCTION("""COMPUTED_VALUE"""),"Intermediate")</f>
        <v>Intermediate</v>
      </c>
      <c r="X10" s="217" t="str">
        <f ca="1">IFERROR(__xludf.DUMMYFUNCTION("""COMPUTED_VALUE"""),"社内改革をスムーズに進めるには")</f>
        <v>社内改革をスムーズに進めるには</v>
      </c>
      <c r="Y10" s="217"/>
      <c r="Z10" s="213"/>
      <c r="AA10" s="215">
        <f ca="1">IFERROR(__xludf.DUMMYFUNCTION("""COMPUTED_VALUE"""),2928590)</f>
        <v>2928590</v>
      </c>
      <c r="AB10" s="215" t="str">
        <f ca="1">IFERROR(__xludf.DUMMYFUNCTION("""COMPUTED_VALUE"""),"Advanced")</f>
        <v>Advanced</v>
      </c>
      <c r="AC10" s="217" t="str">
        <f ca="1">IFERROR(__xludf.DUMMYFUNCTION("""COMPUTED_VALUE"""),"Como Criar uma Cultura de Mudança")</f>
        <v>Como Criar uma Cultura de Mudança</v>
      </c>
      <c r="AD10" s="217"/>
      <c r="AE10" s="213"/>
      <c r="AF10" s="215">
        <f ca="1">IFERROR(__xludf.DUMMYFUNCTION("""COMPUTED_VALUE"""),2887002)</f>
        <v>2887002</v>
      </c>
      <c r="AG10" s="215" t="str">
        <f ca="1">IFERROR(__xludf.DUMMYFUNCTION("""COMPUTED_VALUE"""),"Beginner")</f>
        <v>Beginner</v>
      </c>
      <c r="AH10" s="217" t="str">
        <f ca="1">IFERROR(__xludf.DUMMYFUNCTION("""COMPUTED_VALUE"""),"女性推动技术变革：消除偏见")</f>
        <v>女性推动技术变革：消除偏见</v>
      </c>
      <c r="AI10" s="217"/>
      <c r="AJ10" s="213"/>
    </row>
    <row r="11" spans="1:36" ht="33.75" customHeight="1">
      <c r="A11" s="213"/>
      <c r="B11" s="214">
        <f ca="1">IFERROR(__xludf.DUMMYFUNCTION("""COMPUTED_VALUE"""),2806194)</f>
        <v>2806194</v>
      </c>
      <c r="C11" s="215" t="str">
        <f ca="1">IFERROR(__xludf.DUMMYFUNCTION("""COMPUTED_VALUE"""),"Advanced")</f>
        <v>Advanced</v>
      </c>
      <c r="D11" s="216" t="str">
        <f ca="1">IFERROR(__xludf.DUMMYFUNCTION("""COMPUTED_VALUE"""),"Counterintuitive Leadership Strategies for a VUCA (Volatile, Uncertain, Complex, Ambiguous) Environment")</f>
        <v>Counterintuitive Leadership Strategies for a VUCA (Volatile, Uncertain, Complex, Ambiguous) Environment</v>
      </c>
      <c r="E11" s="217"/>
      <c r="F11" s="213"/>
      <c r="G11" s="214">
        <f ca="1">IFERROR(__xludf.DUMMYFUNCTION("""COMPUTED_VALUE"""),723133)</f>
        <v>723133</v>
      </c>
      <c r="H11" s="215" t="str">
        <f ca="1">IFERROR(__xludf.DUMMYFUNCTION("""COMPUTED_VALUE"""),"Beginner")</f>
        <v>Beginner</v>
      </c>
      <c r="I11" s="217" t="str">
        <f ca="1">IFERROR(__xludf.DUMMYFUNCTION("""COMPUTED_VALUE"""),"Découvrir le design thinking")</f>
        <v>Découvrir le design thinking</v>
      </c>
      <c r="J11" s="217"/>
      <c r="K11" s="213"/>
      <c r="L11" s="215">
        <f ca="1">IFERROR(__xludf.DUMMYFUNCTION("""COMPUTED_VALUE"""),708566)</f>
        <v>708566</v>
      </c>
      <c r="M11" s="215" t="str">
        <f ca="1">IFERROR(__xludf.DUMMYFUNCTION("""COMPUTED_VALUE"""),"Intermediate")</f>
        <v>Intermediate</v>
      </c>
      <c r="N11" s="217" t="str">
        <f ca="1">IFERROR(__xludf.DUMMYFUNCTION("""COMPUTED_VALUE"""),"Desarrollar la creatividad en las organizaciones")</f>
        <v>Desarrollar la creatividad en las organizaciones</v>
      </c>
      <c r="O11" s="217"/>
      <c r="P11" s="213"/>
      <c r="Q11" s="215">
        <f ca="1">IFERROR(__xludf.DUMMYFUNCTION("""COMPUTED_VALUE"""),648142)</f>
        <v>648142</v>
      </c>
      <c r="R11" s="215" t="str">
        <f ca="1">IFERROR(__xludf.DUMMYFUNCTION("""COMPUTED_VALUE"""),"Beginner")</f>
        <v>Beginner</v>
      </c>
      <c r="S11" s="217" t="str">
        <f ca="1">IFERROR(__xludf.DUMMYFUNCTION("""COMPUTED_VALUE"""),"Design Thinking – Grundlagen")</f>
        <v>Design Thinking – Grundlagen</v>
      </c>
      <c r="T11" s="217"/>
      <c r="U11" s="213"/>
      <c r="V11" s="215">
        <f ca="1">IFERROR(__xludf.DUMMYFUNCTION("""COMPUTED_VALUE"""),2883006)</f>
        <v>2883006</v>
      </c>
      <c r="W11" s="215" t="str">
        <f ca="1">IFERROR(__xludf.DUMMYFUNCTION("""COMPUTED_VALUE"""),"All levels")</f>
        <v>All levels</v>
      </c>
      <c r="X11" s="217" t="str">
        <f ca="1">IFERROR(__xludf.DUMMYFUNCTION("""COMPUTED_VALUE"""),"職場での人種差別に取り組むには")</f>
        <v>職場での人種差別に取り組むには</v>
      </c>
      <c r="Y11" s="217"/>
      <c r="Z11" s="213"/>
      <c r="AA11" s="215">
        <f ca="1">IFERROR(__xludf.DUMMYFUNCTION("""COMPUTED_VALUE"""),2841349)</f>
        <v>2841349</v>
      </c>
      <c r="AB11" s="215" t="str">
        <f ca="1">IFERROR(__xludf.DUMMYFUNCTION("""COMPUTED_VALUE"""),"Intermediate")</f>
        <v>Intermediate</v>
      </c>
      <c r="AC11" s="217" t="str">
        <f ca="1">IFERROR(__xludf.DUMMYFUNCTION("""COMPUTED_VALUE"""),"Como Desenvolver a Liderança de Pensamento")</f>
        <v>Como Desenvolver a Liderança de Pensamento</v>
      </c>
      <c r="AD11" s="217"/>
      <c r="AE11" s="213"/>
      <c r="AF11" s="215">
        <f ca="1">IFERROR(__xludf.DUMMYFUNCTION("""COMPUTED_VALUE"""),762260)</f>
        <v>762260</v>
      </c>
      <c r="AG11" s="215" t="str">
        <f ca="1">IFERROR(__xludf.DUMMYFUNCTION("""COMPUTED_VALUE"""),"Intermediate")</f>
        <v>Intermediate</v>
      </c>
      <c r="AH11" s="217" t="str">
        <f ca="1">IFERROR(__xludf.DUMMYFUNCTION("""COMPUTED_VALUE"""),"引领变革")</f>
        <v>引领变革</v>
      </c>
      <c r="AI11" s="217"/>
      <c r="AJ11" s="213"/>
    </row>
    <row r="12" spans="1:36" ht="33.75" customHeight="1">
      <c r="A12" s="213"/>
      <c r="B12" s="214">
        <f ca="1">IFERROR(__xludf.DUMMYFUNCTION("""COMPUTED_VALUE"""),2811712)</f>
        <v>2811712</v>
      </c>
      <c r="C12" s="215" t="str">
        <f ca="1">IFERROR(__xludf.DUMMYFUNCTION("""COMPUTED_VALUE"""),"General")</f>
        <v>General</v>
      </c>
      <c r="D12" s="216" t="str">
        <f ca="1">IFERROR(__xludf.DUMMYFUNCTION("""COMPUTED_VALUE"""),"Aaron Dignan on Transformational Change")</f>
        <v>Aaron Dignan on Transformational Change</v>
      </c>
      <c r="E12" s="217"/>
      <c r="F12" s="213"/>
      <c r="G12" s="214">
        <f ca="1">IFERROR(__xludf.DUMMYFUNCTION("""COMPUTED_VALUE"""),778444)</f>
        <v>778444</v>
      </c>
      <c r="H12" s="215" t="str">
        <f ca="1">IFERROR(__xludf.DUMMYFUNCTION("""COMPUTED_VALUE"""),"All levels")</f>
        <v>All levels</v>
      </c>
      <c r="I12" s="217" t="str">
        <f ca="1">IFERROR(__xludf.DUMMYFUNCTION("""COMPUTED_VALUE"""),"Développer un état d'esprit d'apprenant")</f>
        <v>Développer un état d'esprit d'apprenant</v>
      </c>
      <c r="J12" s="217"/>
      <c r="K12" s="213"/>
      <c r="L12" s="215">
        <f ca="1">IFERROR(__xludf.DUMMYFUNCTION("""COMPUTED_VALUE"""),2381564)</f>
        <v>2381564</v>
      </c>
      <c r="M12" s="215" t="str">
        <f ca="1">IFERROR(__xludf.DUMMYFUNCTION("""COMPUTED_VALUE"""),"Beginner")</f>
        <v>Beginner</v>
      </c>
      <c r="N12" s="217" t="str">
        <f ca="1">IFERROR(__xludf.DUMMYFUNCTION("""COMPUTED_VALUE"""),"El camino hacia el liderazgo femenino")</f>
        <v>El camino hacia el liderazgo femenino</v>
      </c>
      <c r="O12" s="217"/>
      <c r="P12" s="213"/>
      <c r="Q12" s="215">
        <f ca="1">IFERROR(__xludf.DUMMYFUNCTION("""COMPUTED_VALUE"""),631820)</f>
        <v>631820</v>
      </c>
      <c r="R12" s="215" t="str">
        <f ca="1">IFERROR(__xludf.DUMMYFUNCTION("""COMPUTED_VALUE"""),"Beginner")</f>
        <v>Beginner</v>
      </c>
      <c r="S12" s="217" t="str">
        <f ca="1">IFERROR(__xludf.DUMMYFUNCTION("""COMPUTED_VALUE"""),"Design Thinking am Praxisbeispiel")</f>
        <v>Design Thinking am Praxisbeispiel</v>
      </c>
      <c r="T12" s="217"/>
      <c r="U12" s="213"/>
      <c r="V12" s="215"/>
      <c r="W12" s="215"/>
      <c r="X12" s="217"/>
      <c r="Y12" s="217"/>
      <c r="Z12" s="213"/>
      <c r="AA12" s="215">
        <f ca="1">IFERROR(__xludf.DUMMYFUNCTION("""COMPUTED_VALUE"""),2874192)</f>
        <v>2874192</v>
      </c>
      <c r="AB12" s="215" t="str">
        <f ca="1">IFERROR(__xludf.DUMMYFUNCTION("""COMPUTED_VALUE"""),"Advanced")</f>
        <v>Advanced</v>
      </c>
      <c r="AC12" s="217" t="str">
        <f ca="1">IFERROR(__xludf.DUMMYFUNCTION("""COMPUTED_VALUE"""),"Como Desenvolver sua Estratégia Digital")</f>
        <v>Como Desenvolver sua Estratégia Digital</v>
      </c>
      <c r="AD12" s="217"/>
      <c r="AE12" s="213"/>
      <c r="AF12" s="215">
        <f ca="1">IFERROR(__xludf.DUMMYFUNCTION("""COMPUTED_VALUE"""),5015332)</f>
        <v>5015332</v>
      </c>
      <c r="AG12" s="215" t="str">
        <f ca="1">IFERROR(__xludf.DUMMYFUNCTION("""COMPUTED_VALUE"""),"Advanced")</f>
        <v>Advanced</v>
      </c>
      <c r="AH12" s="217" t="str">
        <f ca="1">IFERROR(__xludf.DUMMYFUNCTION("""COMPUTED_VALUE"""),"战略灵活性")</f>
        <v>战略灵活性</v>
      </c>
      <c r="AI12" s="217"/>
      <c r="AJ12" s="213"/>
    </row>
    <row r="13" spans="1:36" ht="33.75" customHeight="1">
      <c r="A13" s="213"/>
      <c r="B13" s="214">
        <f ca="1">IFERROR(__xludf.DUMMYFUNCTION("""COMPUTED_VALUE"""),2241053)</f>
        <v>2241053</v>
      </c>
      <c r="C13" s="215" t="str">
        <f ca="1">IFERROR(__xludf.DUMMYFUNCTION("""COMPUTED_VALUE"""),"General")</f>
        <v>General</v>
      </c>
      <c r="D13" s="216" t="str">
        <f ca="1">IFERROR(__xludf.DUMMYFUNCTION("""COMPUTED_VALUE"""),"Leading Organizations: Ten Timeless Truths (getAbstract Summary)")</f>
        <v>Leading Organizations: Ten Timeless Truths (getAbstract Summary)</v>
      </c>
      <c r="E13" s="217"/>
      <c r="F13" s="213"/>
      <c r="G13" s="214">
        <f ca="1">IFERROR(__xludf.DUMMYFUNCTION("""COMPUTED_VALUE"""),5025546)</f>
        <v>5025546</v>
      </c>
      <c r="H13" s="215" t="str">
        <f ca="1">IFERROR(__xludf.DUMMYFUNCTION("""COMPUTED_VALUE"""),"Intermediate")</f>
        <v>Intermediate</v>
      </c>
      <c r="I13" s="217" t="str">
        <f ca="1">IFERROR(__xludf.DUMMYFUNCTION("""COMPUTED_VALUE"""),"Être à la pointe de l'innovation")</f>
        <v>Être à la pointe de l'innovation</v>
      </c>
      <c r="J13" s="217"/>
      <c r="K13" s="213"/>
      <c r="L13" s="215">
        <f ca="1">IFERROR(__xludf.DUMMYFUNCTION("""COMPUTED_VALUE"""),2841040)</f>
        <v>2841040</v>
      </c>
      <c r="M13" s="215" t="str">
        <f ca="1">IFERROR(__xludf.DUMMYFUNCTION("""COMPUTED_VALUE"""),"Beginner, Intermediate")</f>
        <v>Beginner, Intermediate</v>
      </c>
      <c r="N13" s="217" t="str">
        <f ca="1">IFERROR(__xludf.DUMMYFUNCTION("""COMPUTED_VALUE"""),"Estrategias para salir de una crisis empresarial")</f>
        <v>Estrategias para salir de una crisis empresarial</v>
      </c>
      <c r="O13" s="217"/>
      <c r="P13" s="213"/>
      <c r="Q13" s="215">
        <f ca="1">IFERROR(__xludf.DUMMYFUNCTION("""COMPUTED_VALUE"""),784036)</f>
        <v>784036</v>
      </c>
      <c r="R13" s="215" t="str">
        <f ca="1">IFERROR(__xludf.DUMMYFUNCTION("""COMPUTED_VALUE"""),"All levels")</f>
        <v>All levels</v>
      </c>
      <c r="S13" s="217" t="str">
        <f ca="1">IFERROR(__xludf.DUMMYFUNCTION("""COMPUTED_VALUE"""),"Die kreative Organisation")</f>
        <v>Die kreative Organisation</v>
      </c>
      <c r="T13" s="217"/>
      <c r="U13" s="213"/>
      <c r="V13" s="215"/>
      <c r="W13" s="215"/>
      <c r="X13" s="217"/>
      <c r="Y13" s="217"/>
      <c r="Z13" s="213"/>
      <c r="AA13" s="215">
        <f ca="1">IFERROR(__xludf.DUMMYFUNCTION("""COMPUTED_VALUE"""),2929566)</f>
        <v>2929566</v>
      </c>
      <c r="AB13" s="215" t="str">
        <f ca="1">IFERROR(__xludf.DUMMYFUNCTION("""COMPUTED_VALUE"""),"Beginner")</f>
        <v>Beginner</v>
      </c>
      <c r="AC13" s="217" t="str">
        <f ca="1">IFERROR(__xludf.DUMMYFUNCTION("""COMPUTED_VALUE"""),"Como Desenvolver uma Mentalidade de Aprendizagem")</f>
        <v>Como Desenvolver uma Mentalidade de Aprendizagem</v>
      </c>
      <c r="AD13" s="217"/>
      <c r="AE13" s="213"/>
      <c r="AF13" s="215">
        <f ca="1">IFERROR(__xludf.DUMMYFUNCTION("""COMPUTED_VALUE"""),2824446)</f>
        <v>2824446</v>
      </c>
      <c r="AG13" s="215" t="str">
        <f ca="1">IFERROR(__xludf.DUMMYFUNCTION("""COMPUTED_VALUE"""),"Beginner")</f>
        <v>Beginner</v>
      </c>
      <c r="AH13" s="217" t="str">
        <f ca="1">IFERROR(__xludf.DUMMYFUNCTION("""COMPUTED_VALUE"""),"打破常规")</f>
        <v>打破常规</v>
      </c>
      <c r="AI13" s="217"/>
      <c r="AJ13" s="213"/>
    </row>
    <row r="14" spans="1:36" ht="33.75" customHeight="1">
      <c r="A14" s="213"/>
      <c r="B14" s="214">
        <f ca="1">IFERROR(__xludf.DUMMYFUNCTION("""COMPUTED_VALUE"""),602861)</f>
        <v>602861</v>
      </c>
      <c r="C14" s="215" t="str">
        <f ca="1">IFERROR(__xludf.DUMMYFUNCTION("""COMPUTED_VALUE"""),"Advanced")</f>
        <v>Advanced</v>
      </c>
      <c r="D14" s="216" t="str">
        <f ca="1">IFERROR(__xludf.DUMMYFUNCTION("""COMPUTED_VALUE"""),"Strategic Agility")</f>
        <v>Strategic Agility</v>
      </c>
      <c r="E14" s="217"/>
      <c r="F14" s="213"/>
      <c r="G14" s="214">
        <f ca="1">IFERROR(__xludf.DUMMYFUNCTION("""COMPUTED_VALUE"""),3117209)</f>
        <v>3117209</v>
      </c>
      <c r="H14" s="215" t="str">
        <f ca="1">IFERROR(__xludf.DUMMYFUNCTION("""COMPUTED_VALUE"""),"All levels")</f>
        <v>All levels</v>
      </c>
      <c r="I14" s="217" t="str">
        <f ca="1">IFERROR(__xludf.DUMMYFUNCTION("""COMPUTED_VALUE"""),"Faire face au deuil, à la perte et au changement")</f>
        <v>Faire face au deuil, à la perte et au changement</v>
      </c>
      <c r="J14" s="217"/>
      <c r="K14" s="213"/>
      <c r="L14" s="215">
        <f ca="1">IFERROR(__xludf.DUMMYFUNCTION("""COMPUTED_VALUE"""),703866)</f>
        <v>703866</v>
      </c>
      <c r="M14" s="215" t="str">
        <f ca="1">IFERROR(__xludf.DUMMYFUNCTION("""COMPUTED_VALUE"""),"Beginner")</f>
        <v>Beginner</v>
      </c>
      <c r="N14" s="217" t="str">
        <f ca="1">IFERROR(__xludf.DUMMYFUNCTION("""COMPUTED_VALUE"""),"Fundamentos de la gestión de proyectos: Cambios")</f>
        <v>Fundamentos de la gestión de proyectos: Cambios</v>
      </c>
      <c r="O14" s="217"/>
      <c r="P14" s="213"/>
      <c r="Q14" s="215">
        <f ca="1">IFERROR(__xludf.DUMMYFUNCTION("""COMPUTED_VALUE"""),703217)</f>
        <v>703217</v>
      </c>
      <c r="R14" s="215" t="str">
        <f ca="1">IFERROR(__xludf.DUMMYFUNCTION("""COMPUTED_VALUE"""),"Intermediate")</f>
        <v>Intermediate</v>
      </c>
      <c r="S14" s="217" t="str">
        <f ca="1">IFERROR(__xludf.DUMMYFUNCTION("""COMPUTED_VALUE"""),"Digitale Transformation im Publishing")</f>
        <v>Digitale Transformation im Publishing</v>
      </c>
      <c r="T14" s="217"/>
      <c r="U14" s="213"/>
      <c r="V14" s="215"/>
      <c r="W14" s="215"/>
      <c r="X14" s="217"/>
      <c r="Y14" s="217"/>
      <c r="Z14" s="213"/>
      <c r="AA14" s="215">
        <f ca="1">IFERROR(__xludf.DUMMYFUNCTION("""COMPUTED_VALUE"""),2432276)</f>
        <v>2432276</v>
      </c>
      <c r="AB14" s="215" t="str">
        <f ca="1">IFERROR(__xludf.DUMMYFUNCTION("""COMPUTED_VALUE"""),"Intermediate")</f>
        <v>Intermediate</v>
      </c>
      <c r="AC14" s="217" t="str">
        <f ca="1">IFERROR(__xludf.DUMMYFUNCTION("""COMPUTED_VALUE"""),"Como Estimular o Pensamento Criativo da sua Equipe")</f>
        <v>Como Estimular o Pensamento Criativo da sua Equipe</v>
      </c>
      <c r="AD14" s="217"/>
      <c r="AE14" s="213"/>
      <c r="AF14" s="215">
        <f ca="1">IFERROR(__xludf.DUMMYFUNCTION("""COMPUTED_VALUE"""),2824441)</f>
        <v>2824441</v>
      </c>
      <c r="AG14" s="215" t="str">
        <f ca="1">IFERROR(__xludf.DUMMYFUNCTION("""COMPUTED_VALUE"""),"Advanced")</f>
        <v>Advanced</v>
      </c>
      <c r="AH14" s="217" t="str">
        <f ca="1">IFERROR(__xludf.DUMMYFUNCTION("""COMPUTED_VALUE"""),"打造企业创造力")</f>
        <v>打造企业创造力</v>
      </c>
      <c r="AI14" s="217"/>
      <c r="AJ14" s="213"/>
    </row>
    <row r="15" spans="1:36" ht="33.75" customHeight="1">
      <c r="A15" s="213"/>
      <c r="B15" s="214">
        <f ca="1">IFERROR(__xludf.DUMMYFUNCTION("""COMPUTED_VALUE"""),2833088)</f>
        <v>2833088</v>
      </c>
      <c r="C15" s="215" t="str">
        <f ca="1">IFERROR(__xludf.DUMMYFUNCTION("""COMPUTED_VALUE"""),"Advanced")</f>
        <v>Advanced</v>
      </c>
      <c r="D15" s="216" t="str">
        <f ca="1">IFERROR(__xludf.DUMMYFUNCTION("""COMPUTED_VALUE"""),"Using Emotions to Leverage and Accelerate Change: A Guide for Leaders")</f>
        <v>Using Emotions to Leverage and Accelerate Change: A Guide for Leaders</v>
      </c>
      <c r="E15" s="217"/>
      <c r="F15" s="213"/>
      <c r="G15" s="214">
        <f ca="1">IFERROR(__xludf.DUMMYFUNCTION("""COMPUTED_VALUE"""),575062)</f>
        <v>575062</v>
      </c>
      <c r="H15" s="215" t="str">
        <f ca="1">IFERROR(__xludf.DUMMYFUNCTION("""COMPUTED_VALUE"""),"Intermediate")</f>
        <v>Intermediate</v>
      </c>
      <c r="I15" s="217" t="str">
        <f ca="1">IFERROR(__xludf.DUMMYFUNCTION("""COMPUTED_VALUE"""),"Gérer le changement")</f>
        <v>Gérer le changement</v>
      </c>
      <c r="J15" s="217"/>
      <c r="K15" s="213"/>
      <c r="L15" s="215">
        <f ca="1">IFERROR(__xludf.DUMMYFUNCTION("""COMPUTED_VALUE"""),708556)</f>
        <v>708556</v>
      </c>
      <c r="M15" s="215" t="str">
        <f ca="1">IFERROR(__xludf.DUMMYFUNCTION("""COMPUTED_VALUE"""),"Intermediate")</f>
        <v>Intermediate</v>
      </c>
      <c r="N15" s="217" t="str">
        <f ca="1">IFERROR(__xludf.DUMMYFUNCTION("""COMPUTED_VALUE"""),"Fundamentos de la gestión de proyectos: Liderazgo")</f>
        <v>Fundamentos de la gestión de proyectos: Liderazgo</v>
      </c>
      <c r="O15" s="217"/>
      <c r="P15" s="213"/>
      <c r="Q15" s="215">
        <f ca="1">IFERROR(__xludf.DUMMYFUNCTION("""COMPUTED_VALUE"""),678927)</f>
        <v>678927</v>
      </c>
      <c r="R15" s="215" t="str">
        <f ca="1">IFERROR(__xludf.DUMMYFUNCTION("""COMPUTED_VALUE"""),"All levels")</f>
        <v>All levels</v>
      </c>
      <c r="S15" s="217" t="str">
        <f ca="1">IFERROR(__xludf.DUMMYFUNCTION("""COMPUTED_VALUE"""),"Disrupt yourself – Erfinden Sie sich neu")</f>
        <v>Disrupt yourself – Erfinden Sie sich neu</v>
      </c>
      <c r="T15" s="217"/>
      <c r="U15" s="213"/>
      <c r="V15" s="215"/>
      <c r="W15" s="215"/>
      <c r="X15" s="217"/>
      <c r="Y15" s="217"/>
      <c r="Z15" s="213"/>
      <c r="AA15" s="215">
        <f ca="1">IFERROR(__xludf.DUMMYFUNCTION("""COMPUTED_VALUE"""),2460035)</f>
        <v>2460035</v>
      </c>
      <c r="AB15" s="215" t="str">
        <f ca="1">IFERROR(__xludf.DUMMYFUNCTION("""COMPUTED_VALUE"""),"All levels")</f>
        <v>All levels</v>
      </c>
      <c r="AC15" s="217" t="str">
        <f ca="1">IFERROR(__xludf.DUMMYFUNCTION("""COMPUTED_VALUE"""),"Como Exercer a Liderança Compassiva: a Perspectiva de Jeff Weiner")</f>
        <v>Como Exercer a Liderança Compassiva: a Perspectiva de Jeff Weiner</v>
      </c>
      <c r="AD15" s="217"/>
      <c r="AE15" s="213"/>
      <c r="AF15" s="215">
        <f ca="1">IFERROR(__xludf.DUMMYFUNCTION("""COMPUTED_VALUE"""),2880003)</f>
        <v>2880003</v>
      </c>
      <c r="AG15" s="215" t="str">
        <f ca="1">IFERROR(__xludf.DUMMYFUNCTION("""COMPUTED_VALUE"""),"All levels")</f>
        <v>All levels</v>
      </c>
      <c r="AH15" s="217" t="str">
        <f ca="1">IFERROR(__xludf.DUMMYFUNCTION("""COMPUTED_VALUE"""),"拥抱意外变化")</f>
        <v>拥抱意外变化</v>
      </c>
      <c r="AI15" s="217"/>
      <c r="AJ15" s="213"/>
    </row>
    <row r="16" spans="1:36" ht="33.75" customHeight="1">
      <c r="A16" s="213"/>
      <c r="B16" s="214">
        <f ca="1">IFERROR(__xludf.DUMMYFUNCTION("""COMPUTED_VALUE"""),2881200)</f>
        <v>2881200</v>
      </c>
      <c r="C16" s="215" t="str">
        <f ca="1">IFERROR(__xludf.DUMMYFUNCTION("""COMPUTED_VALUE"""),"Advanced")</f>
        <v>Advanced</v>
      </c>
      <c r="D16" s="216" t="str">
        <f ca="1">IFERROR(__xludf.DUMMYFUNCTION("""COMPUTED_VALUE"""),"Coaching Yourself and Your Team from Uncertainty to Action")</f>
        <v>Coaching Yourself and Your Team from Uncertainty to Action</v>
      </c>
      <c r="E16" s="217"/>
      <c r="F16" s="213"/>
      <c r="G16" s="214">
        <f ca="1">IFERROR(__xludf.DUMMYFUNCTION("""COMPUTED_VALUE"""),2822438)</f>
        <v>2822438</v>
      </c>
      <c r="H16" s="215" t="str">
        <f ca="1">IFERROR(__xludf.DUMMYFUNCTION("""COMPUTED_VALUE"""),"Beginner, Intermediate")</f>
        <v>Beginner, Intermediate</v>
      </c>
      <c r="I16" s="217" t="str">
        <f ca="1">IFERROR(__xludf.DUMMYFUNCTION("""COMPUTED_VALUE"""),"Gérer le stress pour un changement positif")</f>
        <v>Gérer le stress pour un changement positif</v>
      </c>
      <c r="J16" s="217"/>
      <c r="K16" s="213"/>
      <c r="L16" s="215">
        <f ca="1">IFERROR(__xludf.DUMMYFUNCTION("""COMPUTED_VALUE"""),3115669)</f>
        <v>3115669</v>
      </c>
      <c r="M16" s="215" t="str">
        <f ca="1">IFERROR(__xludf.DUMMYFUNCTION("""COMPUTED_VALUE"""),"Beginner, Intermediate")</f>
        <v>Beginner, Intermediate</v>
      </c>
      <c r="N16" s="217" t="str">
        <f ca="1">IFERROR(__xludf.DUMMYFUNCTION("""COMPUTED_VALUE"""),"Gestión del estrés en tiempos de incertidumbre: Vivir o sobrevivir")</f>
        <v>Gestión del estrés en tiempos de incertidumbre: Vivir o sobrevivir</v>
      </c>
      <c r="O16" s="217"/>
      <c r="P16" s="213"/>
      <c r="Q16" s="215">
        <f ca="1">IFERROR(__xludf.DUMMYFUNCTION("""COMPUTED_VALUE"""),2210922)</f>
        <v>2210922</v>
      </c>
      <c r="R16" s="215" t="str">
        <f ca="1">IFERROR(__xludf.DUMMYFUNCTION("""COMPUTED_VALUE"""),"Beginner, Intermediate")</f>
        <v>Beginner, Intermediate</v>
      </c>
      <c r="S16" s="217" t="str">
        <f ca="1">IFERROR(__xludf.DUMMYFUNCTION("""COMPUTED_VALUE"""),"Disruption und Transformation erfolgreich nutzen: zukunftssichere Unternehmensführung")</f>
        <v>Disruption und Transformation erfolgreich nutzen: zukunftssichere Unternehmensführung</v>
      </c>
      <c r="T16" s="217"/>
      <c r="U16" s="213"/>
      <c r="V16" s="215"/>
      <c r="W16" s="215"/>
      <c r="X16" s="217"/>
      <c r="Y16" s="217"/>
      <c r="Z16" s="213"/>
      <c r="AA16" s="215">
        <f ca="1">IFERROR(__xludf.DUMMYFUNCTION("""COMPUTED_VALUE"""),2876178)</f>
        <v>2876178</v>
      </c>
      <c r="AB16" s="215" t="str">
        <f ca="1">IFERROR(__xludf.DUMMYFUNCTION("""COMPUTED_VALUE"""),"All levels")</f>
        <v>All levels</v>
      </c>
      <c r="AC16" s="217" t="str">
        <f ca="1">IFERROR(__xludf.DUMMYFUNCTION("""COMPUTED_VALUE"""),"Como Lidar com Mudanças Inesperadas")</f>
        <v>Como Lidar com Mudanças Inesperadas</v>
      </c>
      <c r="AD16" s="217"/>
      <c r="AE16" s="213"/>
      <c r="AF16" s="215">
        <f ca="1">IFERROR(__xludf.DUMMYFUNCTION("""COMPUTED_VALUE"""),3105031)</f>
        <v>3105031</v>
      </c>
      <c r="AG16" s="215" t="str">
        <f ca="1">IFERROR(__xludf.DUMMYFUNCTION("""COMPUTED_VALUE"""),"All levels")</f>
        <v>All levels</v>
      </c>
      <c r="AH16" s="217" t="str">
        <f ca="1">IFERROR(__xludf.DUMMYFUNCTION("""COMPUTED_VALUE"""),"激发团队创造力")</f>
        <v>激发团队创造力</v>
      </c>
      <c r="AI16" s="217"/>
      <c r="AJ16" s="213"/>
    </row>
    <row r="17" spans="1:36" ht="33.75" customHeight="1">
      <c r="A17" s="213"/>
      <c r="B17" s="214">
        <f ca="1">IFERROR(__xludf.DUMMYFUNCTION("""COMPUTED_VALUE"""),2426605)</f>
        <v>2426605</v>
      </c>
      <c r="C17" s="215" t="str">
        <f ca="1">IFERROR(__xludf.DUMMYFUNCTION("""COMPUTED_VALUE"""),"Beginner")</f>
        <v>Beginner</v>
      </c>
      <c r="D17" s="216" t="str">
        <f ca="1">IFERROR(__xludf.DUMMYFUNCTION("""COMPUTED_VALUE"""),"How to Be an Inclusive Leader (getAbstract Summary)")</f>
        <v>How to Be an Inclusive Leader (getAbstract Summary)</v>
      </c>
      <c r="E17" s="217"/>
      <c r="F17" s="213"/>
      <c r="G17" s="214">
        <f ca="1">IFERROR(__xludf.DUMMYFUNCTION("""COMPUTED_VALUE"""),778437)</f>
        <v>778437</v>
      </c>
      <c r="H17" s="215" t="str">
        <f ca="1">IFERROR(__xludf.DUMMYFUNCTION("""COMPUTED_VALUE"""),"Advanced")</f>
        <v>Advanced</v>
      </c>
      <c r="I17" s="217" t="str">
        <f ca="1">IFERROR(__xludf.DUMMYFUNCTION("""COMPUTED_VALUE"""),"L’agilité stratégique")</f>
        <v>L’agilité stratégique</v>
      </c>
      <c r="J17" s="217"/>
      <c r="K17" s="213"/>
      <c r="L17" s="215">
        <f ca="1">IFERROR(__xludf.DUMMYFUNCTION("""COMPUTED_VALUE"""),608979)</f>
        <v>608979</v>
      </c>
      <c r="M17" s="215" t="str">
        <f ca="1">IFERROR(__xludf.DUMMYFUNCTION("""COMPUTED_VALUE"""),"Beginner")</f>
        <v>Beginner</v>
      </c>
      <c r="N17" s="217" t="str">
        <f ca="1">IFERROR(__xludf.DUMMYFUNCTION("""COMPUTED_VALUE"""),"Innovación en la empresa")</f>
        <v>Innovación en la empresa</v>
      </c>
      <c r="O17" s="217"/>
      <c r="P17" s="213"/>
      <c r="Q17" s="215">
        <f ca="1">IFERROR(__xludf.DUMMYFUNCTION("""COMPUTED_VALUE"""),2929657)</f>
        <v>2929657</v>
      </c>
      <c r="R17" s="215" t="str">
        <f ca="1">IFERROR(__xludf.DUMMYFUNCTION("""COMPUTED_VALUE"""),"All levels")</f>
        <v>All levels</v>
      </c>
      <c r="S17" s="217" t="str">
        <f ca="1">IFERROR(__xludf.DUMMYFUNCTION("""COMPUTED_VALUE"""),"Ein agiles Mindset entwickeln")</f>
        <v>Ein agiles Mindset entwickeln</v>
      </c>
      <c r="T17" s="217"/>
      <c r="U17" s="213"/>
      <c r="V17" s="215"/>
      <c r="W17" s="215"/>
      <c r="X17" s="217"/>
      <c r="Y17" s="217"/>
      <c r="Z17" s="213"/>
      <c r="AA17" s="215">
        <f ca="1">IFERROR(__xludf.DUMMYFUNCTION("""COMPUTED_VALUE"""),2908964)</f>
        <v>2908964</v>
      </c>
      <c r="AB17" s="215" t="str">
        <f ca="1">IFERROR(__xludf.DUMMYFUNCTION("""COMPUTED_VALUE"""),"Intermediate")</f>
        <v>Intermediate</v>
      </c>
      <c r="AC17" s="217" t="str">
        <f ca="1">IFERROR(__xludf.DUMMYFUNCTION("""COMPUTED_VALUE"""),"Como Planejar a Comunicação em Tempos de Mudança")</f>
        <v>Como Planejar a Comunicação em Tempos de Mudança</v>
      </c>
      <c r="AD17" s="217"/>
      <c r="AE17" s="213"/>
      <c r="AF17" s="215">
        <f ca="1">IFERROR(__xludf.DUMMYFUNCTION("""COMPUTED_VALUE"""),2700211)</f>
        <v>2700211</v>
      </c>
      <c r="AG17" s="215" t="str">
        <f ca="1">IFERROR(__xludf.DUMMYFUNCTION("""COMPUTED_VALUE"""),"Advanced")</f>
        <v>Advanced</v>
      </c>
      <c r="AH17" s="217" t="str">
        <f ca="1">IFERROR(__xludf.DUMMYFUNCTION("""COMPUTED_VALUE"""),"设计成长策略")</f>
        <v>设计成长策略</v>
      </c>
      <c r="AI17" s="217"/>
      <c r="AJ17" s="213"/>
    </row>
    <row r="18" spans="1:36" ht="33.75" customHeight="1">
      <c r="A18" s="213"/>
      <c r="B18" s="214">
        <f ca="1">IFERROR(__xludf.DUMMYFUNCTION("""COMPUTED_VALUE"""),2819181)</f>
        <v>2819181</v>
      </c>
      <c r="C18" s="215" t="str">
        <f ca="1">IFERROR(__xludf.DUMMYFUNCTION("""COMPUTED_VALUE"""),"Beginner")</f>
        <v>Beginner</v>
      </c>
      <c r="D18" s="216" t="str">
        <f ca="1">IFERROR(__xludf.DUMMYFUNCTION("""COMPUTED_VALUE"""),"Becoming an AI-First Product Leader")</f>
        <v>Becoming an AI-First Product Leader</v>
      </c>
      <c r="E18" s="217"/>
      <c r="F18" s="213"/>
      <c r="G18" s="214">
        <f ca="1">IFERROR(__xludf.DUMMYFUNCTION("""COMPUTED_VALUE"""),2841343)</f>
        <v>2841343</v>
      </c>
      <c r="H18" s="215" t="str">
        <f ca="1">IFERROR(__xludf.DUMMYFUNCTION("""COMPUTED_VALUE"""),"Intermediate")</f>
        <v>Intermediate</v>
      </c>
      <c r="I18" s="217" t="str">
        <f ca="1">IFERROR(__xludf.DUMMYFUNCTION("""COMPUTED_VALUE"""),"Le service client en période de crise")</f>
        <v>Le service client en période de crise</v>
      </c>
      <c r="J18" s="217"/>
      <c r="K18" s="213"/>
      <c r="L18" s="215">
        <f ca="1">IFERROR(__xludf.DUMMYFUNCTION("""COMPUTED_VALUE"""),748215)</f>
        <v>748215</v>
      </c>
      <c r="M18" s="215" t="str">
        <f ca="1">IFERROR(__xludf.DUMMYFUNCTION("""COMPUTED_VALUE"""),"Intermediate")</f>
        <v>Intermediate</v>
      </c>
      <c r="N18" s="217" t="str">
        <f ca="1">IFERROR(__xludf.DUMMYFUNCTION("""COMPUTED_VALUE"""),"Inteligencia emocional en la gestión empresarial")</f>
        <v>Inteligencia emocional en la gestión empresarial</v>
      </c>
      <c r="O18" s="217"/>
      <c r="P18" s="213"/>
      <c r="Q18" s="215">
        <f ca="1">IFERROR(__xludf.DUMMYFUNCTION("""COMPUTED_VALUE"""),2996362)</f>
        <v>2996362</v>
      </c>
      <c r="R18" s="215" t="str">
        <f ca="1">IFERROR(__xludf.DUMMYFUNCTION("""COMPUTED_VALUE"""),"Advanced")</f>
        <v>Advanced</v>
      </c>
      <c r="S18" s="217" t="str">
        <f ca="1">IFERROR(__xludf.DUMMYFUNCTION("""COMPUTED_VALUE"""),"Eine Veränderungskultur schaffen")</f>
        <v>Eine Veränderungskultur schaffen</v>
      </c>
      <c r="T18" s="217"/>
      <c r="U18" s="213"/>
      <c r="V18" s="215"/>
      <c r="W18" s="215"/>
      <c r="X18" s="217"/>
      <c r="Y18" s="217"/>
      <c r="Z18" s="213"/>
      <c r="AA18" s="215">
        <f ca="1">IFERROR(__xludf.DUMMYFUNCTION("""COMPUTED_VALUE"""),801456)</f>
        <v>801456</v>
      </c>
      <c r="AB18" s="215" t="str">
        <f ca="1">IFERROR(__xludf.DUMMYFUNCTION("""COMPUTED_VALUE"""),"Advanced")</f>
        <v>Advanced</v>
      </c>
      <c r="AC18" s="217" t="str">
        <f ca="1">IFERROR(__xludf.DUMMYFUNCTION("""COMPUTED_VALUE"""),"Como Usar a Agilidade Estratégica")</f>
        <v>Como Usar a Agilidade Estratégica</v>
      </c>
      <c r="AD18" s="217"/>
      <c r="AE18" s="213"/>
      <c r="AF18" s="215">
        <f ca="1">IFERROR(__xludf.DUMMYFUNCTION("""COMPUTED_VALUE"""),2824241)</f>
        <v>2824241</v>
      </c>
      <c r="AG18" s="215" t="str">
        <f ca="1">IFERROR(__xludf.DUMMYFUNCTION("""COMPUTED_VALUE"""),"Beginner")</f>
        <v>Beginner</v>
      </c>
      <c r="AH18" s="217" t="str">
        <f ca="1">IFERROR(__xludf.DUMMYFUNCTION("""COMPUTED_VALUE"""),"项目管理基础知识：变更")</f>
        <v>项目管理基础知识：变更</v>
      </c>
      <c r="AI18" s="217"/>
      <c r="AJ18" s="213"/>
    </row>
    <row r="19" spans="1:36" ht="33.75" customHeight="1">
      <c r="A19" s="213"/>
      <c r="B19" s="214">
        <f ca="1">IFERROR(__xludf.DUMMYFUNCTION("""COMPUTED_VALUE"""),370569)</f>
        <v>370569</v>
      </c>
      <c r="C19" s="215" t="str">
        <f ca="1">IFERROR(__xludf.DUMMYFUNCTION("""COMPUTED_VALUE"""),"General")</f>
        <v>General</v>
      </c>
      <c r="D19" s="216" t="str">
        <f ca="1">IFERROR(__xludf.DUMMYFUNCTION("""COMPUTED_VALUE"""),"Organization Communication")</f>
        <v>Organization Communication</v>
      </c>
      <c r="E19" s="217"/>
      <c r="F19" s="213"/>
      <c r="G19" s="214">
        <f ca="1">IFERROR(__xludf.DUMMYFUNCTION("""COMPUTED_VALUE"""),699915)</f>
        <v>699915</v>
      </c>
      <c r="H19" s="215" t="str">
        <f ca="1">IFERROR(__xludf.DUMMYFUNCTION("""COMPUTED_VALUE"""),"Advanced")</f>
        <v>Advanced</v>
      </c>
      <c r="I19" s="217" t="str">
        <f ca="1">IFERROR(__xludf.DUMMYFUNCTION("""COMPUTED_VALUE"""),"Les fondements de la prise de risque pour les dirigeants / dirigeantes")</f>
        <v>Les fondements de la prise de risque pour les dirigeants / dirigeantes</v>
      </c>
      <c r="J19" s="217"/>
      <c r="K19" s="213"/>
      <c r="L19" s="215">
        <f ca="1">IFERROR(__xludf.DUMMYFUNCTION("""COMPUTED_VALUE"""),766240)</f>
        <v>766240</v>
      </c>
      <c r="M19" s="215" t="str">
        <f ca="1">IFERROR(__xludf.DUMMYFUNCTION("""COMPUTED_VALUE"""),"All levels")</f>
        <v>All levels</v>
      </c>
      <c r="N19" s="217" t="str">
        <f ca="1">IFERROR(__xludf.DUMMYFUNCTION("""COMPUTED_VALUE"""),"Intrapreneurship y mentalidad de crecimiento")</f>
        <v>Intrapreneurship y mentalidad de crecimiento</v>
      </c>
      <c r="O19" s="217"/>
      <c r="P19" s="213"/>
      <c r="Q19" s="215">
        <f ca="1">IFERROR(__xludf.DUMMYFUNCTION("""COMPUTED_VALUE"""),5025620)</f>
        <v>5025620</v>
      </c>
      <c r="R19" s="215" t="str">
        <f ca="1">IFERROR(__xludf.DUMMYFUNCTION("""COMPUTED_VALUE"""),"Beginner, Intermediate")</f>
        <v>Beginner, Intermediate</v>
      </c>
      <c r="S19" s="217" t="str">
        <f ca="1">IFERROR(__xludf.DUMMYFUNCTION("""COMPUTED_VALUE"""),"Führen mit Innovation")</f>
        <v>Führen mit Innovation</v>
      </c>
      <c r="T19" s="217"/>
      <c r="U19" s="213"/>
      <c r="V19" s="215"/>
      <c r="W19" s="215"/>
      <c r="X19" s="217"/>
      <c r="Y19" s="217"/>
      <c r="Z19" s="213"/>
      <c r="AA19" s="215">
        <f ca="1">IFERROR(__xludf.DUMMYFUNCTION("""COMPUTED_VALUE"""),3161001)</f>
        <v>3161001</v>
      </c>
      <c r="AB19" s="215" t="str">
        <f ca="1">IFERROR(__xludf.DUMMYFUNCTION("""COMPUTED_VALUE"""),"Beginner")</f>
        <v>Beginner</v>
      </c>
      <c r="AC19" s="217" t="str">
        <f ca="1">IFERROR(__xludf.DUMMYFUNCTION("""COMPUTED_VALUE"""),"Dicas e Estratégias para Exercer uma Liderança de Alto Impacto")</f>
        <v>Dicas e Estratégias para Exercer uma Liderança de Alto Impacto</v>
      </c>
      <c r="AD19" s="217"/>
      <c r="AE19" s="213"/>
      <c r="AF19" s="215">
        <f ca="1">IFERROR(__xludf.DUMMYFUNCTION("""COMPUTED_VALUE"""),797750)</f>
        <v>797750</v>
      </c>
      <c r="AG19" s="215" t="str">
        <f ca="1">IFERROR(__xludf.DUMMYFUNCTION("""COMPUTED_VALUE"""),"Intermediate")</f>
        <v>Intermediate</v>
      </c>
      <c r="AH19" s="217" t="str">
        <f ca="1">IFERROR(__xludf.DUMMYFUNCTION("""COMPUTED_VALUE"""),"领导者的冒险精神")</f>
        <v>领导者的冒险精神</v>
      </c>
      <c r="AI19" s="217"/>
      <c r="AJ19" s="213"/>
    </row>
    <row r="20" spans="1:36" ht="33.75" customHeight="1">
      <c r="A20" s="213"/>
      <c r="B20" s="214">
        <f ca="1">IFERROR(__xludf.DUMMYFUNCTION("""COMPUTED_VALUE"""),2242045)</f>
        <v>2242045</v>
      </c>
      <c r="C20" s="215" t="str">
        <f ca="1">IFERROR(__xludf.DUMMYFUNCTION("""COMPUTED_VALUE"""),"General")</f>
        <v>General</v>
      </c>
      <c r="D20" s="216" t="str">
        <f ca="1">IFERROR(__xludf.DUMMYFUNCTION("""COMPUTED_VALUE"""),"The Purpose Effect (getAbstract Summary)")</f>
        <v>The Purpose Effect (getAbstract Summary)</v>
      </c>
      <c r="E20" s="217"/>
      <c r="F20" s="213"/>
      <c r="G20" s="214">
        <f ca="1">IFERROR(__xludf.DUMMYFUNCTION("""COMPUTED_VALUE"""),605125)</f>
        <v>605125</v>
      </c>
      <c r="H20" s="215" t="str">
        <f ca="1">IFERROR(__xludf.DUMMYFUNCTION("""COMPUTED_VALUE"""),"All levels")</f>
        <v>All levels</v>
      </c>
      <c r="I20" s="217" t="str">
        <f ca="1">IFERROR(__xludf.DUMMYFUNCTION("""COMPUTED_VALUE"""),"Les fondements de l'innovation commerciale")</f>
        <v>Les fondements de l'innovation commerciale</v>
      </c>
      <c r="J20" s="217"/>
      <c r="K20" s="213"/>
      <c r="L20" s="215">
        <f ca="1">IFERROR(__xludf.DUMMYFUNCTION("""COMPUTED_VALUE"""),2841604)</f>
        <v>2841604</v>
      </c>
      <c r="M20" s="215" t="str">
        <f ca="1">IFERROR(__xludf.DUMMYFUNCTION("""COMPUTED_VALUE"""),"Advanced")</f>
        <v>Advanced</v>
      </c>
      <c r="N20" s="217" t="str">
        <f ca="1">IFERROR(__xludf.DUMMYFUNCTION("""COMPUTED_VALUE"""),"Liderazgo ágil: Cómo afrontar la nueva normalidad")</f>
        <v>Liderazgo ágil: Cómo afrontar la nueva normalidad</v>
      </c>
      <c r="O20" s="217"/>
      <c r="P20" s="213"/>
      <c r="Q20" s="215">
        <f ca="1">IFERROR(__xludf.DUMMYFUNCTION("""COMPUTED_VALUE"""),593047)</f>
        <v>593047</v>
      </c>
      <c r="R20" s="215" t="str">
        <f ca="1">IFERROR(__xludf.DUMMYFUNCTION("""COMPUTED_VALUE"""),"All levels")</f>
        <v>All levels</v>
      </c>
      <c r="S20" s="217" t="str">
        <f ca="1">IFERROR(__xludf.DUMMYFUNCTION("""COMPUTED_VALUE"""),"Führung im 21. Jahrhundert")</f>
        <v>Führung im 21. Jahrhundert</v>
      </c>
      <c r="T20" s="217"/>
      <c r="U20" s="213"/>
      <c r="V20" s="215"/>
      <c r="W20" s="215"/>
      <c r="X20" s="217"/>
      <c r="Y20" s="217"/>
      <c r="Z20" s="213"/>
      <c r="AA20" s="215">
        <f ca="1">IFERROR(__xludf.DUMMYFUNCTION("""COMPUTED_VALUE"""),2929551)</f>
        <v>2929551</v>
      </c>
      <c r="AB20" s="215" t="str">
        <f ca="1">IFERROR(__xludf.DUMMYFUNCTION("""COMPUTED_VALUE"""),"All levels")</f>
        <v>All levels</v>
      </c>
      <c r="AC20" s="217" t="str">
        <f ca="1">IFERROR(__xludf.DUMMYFUNCTION("""COMPUTED_VALUE"""),"Fundamentos de Gestão Ágil")</f>
        <v>Fundamentos de Gestão Ágil</v>
      </c>
      <c r="AD20" s="217"/>
      <c r="AE20" s="213"/>
      <c r="AF20" s="215">
        <f ca="1">IFERROR(__xludf.DUMMYFUNCTION("""COMPUTED_VALUE"""),2823600)</f>
        <v>2823600</v>
      </c>
      <c r="AG20" s="215" t="str">
        <f ca="1">IFERROR(__xludf.DUMMYFUNCTION("""COMPUTED_VALUE"""),"All levels")</f>
        <v>All levels</v>
      </c>
      <c r="AH20" s="217" t="str">
        <f ca="1">IFERROR(__xludf.DUMMYFUNCTION("""COMPUTED_VALUE"""),"领导者的肢体语言")</f>
        <v>领导者的肢体语言</v>
      </c>
      <c r="AI20" s="217"/>
      <c r="AJ20" s="213"/>
    </row>
    <row r="21" spans="1:36" ht="33.75" customHeight="1">
      <c r="A21" s="213"/>
      <c r="B21" s="214">
        <f ca="1">IFERROR(__xludf.DUMMYFUNCTION("""COMPUTED_VALUE"""),2813223)</f>
        <v>2813223</v>
      </c>
      <c r="C21" s="215" t="str">
        <f ca="1">IFERROR(__xludf.DUMMYFUNCTION("""COMPUTED_VALUE"""),"General")</f>
        <v>General</v>
      </c>
      <c r="D21" s="216" t="str">
        <f ca="1">IFERROR(__xludf.DUMMYFUNCTION("""COMPUTED_VALUE"""),"Leading like a Futurist")</f>
        <v>Leading like a Futurist</v>
      </c>
      <c r="E21" s="217"/>
      <c r="F21" s="213"/>
      <c r="G21" s="214">
        <f ca="1">IFERROR(__xludf.DUMMYFUNCTION("""COMPUTED_VALUE"""),2841047)</f>
        <v>2841047</v>
      </c>
      <c r="H21" s="215" t="str">
        <f ca="1">IFERROR(__xludf.DUMMYFUNCTION("""COMPUTED_VALUE"""),"Intermediate")</f>
        <v>Intermediate</v>
      </c>
      <c r="I21" s="217" t="str">
        <f ca="1">IFERROR(__xludf.DUMMYFUNCTION("""COMPUTED_VALUE"""),"Vendre en période de crise")</f>
        <v>Vendre en période de crise</v>
      </c>
      <c r="J21" s="217"/>
      <c r="K21" s="213"/>
      <c r="L21" s="215">
        <f ca="1">IFERROR(__xludf.DUMMYFUNCTION("""COMPUTED_VALUE"""),5025621)</f>
        <v>5025621</v>
      </c>
      <c r="M21" s="215" t="str">
        <f ca="1">IFERROR(__xludf.DUMMYFUNCTION("""COMPUTED_VALUE"""),"Beginner")</f>
        <v>Beginner</v>
      </c>
      <c r="N21" s="217" t="str">
        <f ca="1">IFERROR(__xludf.DUMMYFUNCTION("""COMPUTED_VALUE"""),"Liderazgo con innovación")</f>
        <v>Liderazgo con innovación</v>
      </c>
      <c r="O21" s="217"/>
      <c r="P21" s="213"/>
      <c r="Q21" s="215">
        <f ca="1">IFERROR(__xludf.DUMMYFUNCTION("""COMPUTED_VALUE"""),2380068)</f>
        <v>2380068</v>
      </c>
      <c r="R21" s="215" t="str">
        <f ca="1">IFERROR(__xludf.DUMMYFUNCTION("""COMPUTED_VALUE"""),"Intermediate")</f>
        <v>Intermediate</v>
      </c>
      <c r="S21" s="217" t="str">
        <f ca="1">IFERROR(__xludf.DUMMYFUNCTION("""COMPUTED_VALUE"""),"Führung in Zeiten von Unsicherheit")</f>
        <v>Führung in Zeiten von Unsicherheit</v>
      </c>
      <c r="T21" s="217"/>
      <c r="U21" s="213"/>
      <c r="V21" s="215"/>
      <c r="W21" s="215"/>
      <c r="X21" s="217"/>
      <c r="Y21" s="217"/>
      <c r="Z21" s="213"/>
      <c r="AA21" s="215">
        <f ca="1">IFERROR(__xludf.DUMMYFUNCTION("""COMPUTED_VALUE"""),2908961)</f>
        <v>2908961</v>
      </c>
      <c r="AB21" s="215" t="str">
        <f ca="1">IFERROR(__xludf.DUMMYFUNCTION("""COMPUTED_VALUE"""),"Beginner")</f>
        <v>Beginner</v>
      </c>
      <c r="AC21" s="217" t="str">
        <f ca="1">IFERROR(__xludf.DUMMYFUNCTION("""COMPUTED_VALUE"""),"Fundamentos de Gestão de Projetos: Solicitações de Mudança")</f>
        <v>Fundamentos de Gestão de Projetos: Solicitações de Mudança</v>
      </c>
      <c r="AD21" s="217"/>
      <c r="AE21" s="213"/>
      <c r="AF21" s="215"/>
      <c r="AG21" s="215"/>
      <c r="AH21" s="217"/>
      <c r="AI21" s="217"/>
      <c r="AJ21" s="213"/>
    </row>
    <row r="22" spans="1:36" ht="33.75" customHeight="1">
      <c r="A22" s="213"/>
      <c r="B22" s="214">
        <f ca="1">IFERROR(__xludf.DUMMYFUNCTION("""COMPUTED_VALUE"""),2300012)</f>
        <v>2300012</v>
      </c>
      <c r="C22" s="215" t="str">
        <f ca="1">IFERROR(__xludf.DUMMYFUNCTION("""COMPUTED_VALUE"""),"General")</f>
        <v>General</v>
      </c>
      <c r="D22" s="216" t="str">
        <f ca="1">IFERROR(__xludf.DUMMYFUNCTION("""COMPUTED_VALUE"""),"Navigating Environmental Sustainability: A Guide for Leaders")</f>
        <v>Navigating Environmental Sustainability: A Guide for Leaders</v>
      </c>
      <c r="E22" s="217"/>
      <c r="F22" s="213"/>
      <c r="G22" s="214"/>
      <c r="H22" s="215"/>
      <c r="I22" s="217"/>
      <c r="J22" s="217"/>
      <c r="K22" s="213"/>
      <c r="L22" s="215">
        <f ca="1">IFERROR(__xludf.DUMMYFUNCTION("""COMPUTED_VALUE"""),438738)</f>
        <v>438738</v>
      </c>
      <c r="M22" s="215" t="str">
        <f ca="1">IFERROR(__xludf.DUMMYFUNCTION("""COMPUTED_VALUE"""),"All levels")</f>
        <v>All levels</v>
      </c>
      <c r="N22" s="217" t="str">
        <f ca="1">IFERROR(__xludf.DUMMYFUNCTION("""COMPUTED_VALUE"""),"Liderazgo con inteligencia emocional")</f>
        <v>Liderazgo con inteligencia emocional</v>
      </c>
      <c r="O22" s="217"/>
      <c r="P22" s="213"/>
      <c r="Q22" s="215">
        <f ca="1">IFERROR(__xludf.DUMMYFUNCTION("""COMPUTED_VALUE"""),2989062)</f>
        <v>2989062</v>
      </c>
      <c r="R22" s="215" t="str">
        <f ca="1">IFERROR(__xludf.DUMMYFUNCTION("""COMPUTED_VALUE"""),"All levels")</f>
        <v>All levels</v>
      </c>
      <c r="S22" s="217" t="str">
        <f ca="1">IFERROR(__xludf.DUMMYFUNCTION("""COMPUTED_VALUE"""),"Führung und Kommunikation im digitalen Zeitalter")</f>
        <v>Führung und Kommunikation im digitalen Zeitalter</v>
      </c>
      <c r="T22" s="217"/>
      <c r="U22" s="213"/>
      <c r="V22" s="215"/>
      <c r="W22" s="215"/>
      <c r="X22" s="217"/>
      <c r="Y22" s="217"/>
      <c r="Z22" s="213"/>
      <c r="AA22" s="215">
        <f ca="1">IFERROR(__xludf.DUMMYFUNCTION("""COMPUTED_VALUE"""),753078)</f>
        <v>753078</v>
      </c>
      <c r="AB22" s="215" t="str">
        <f ca="1">IFERROR(__xludf.DUMMYFUNCTION("""COMPUTED_VALUE"""),"All levels")</f>
        <v>All levels</v>
      </c>
      <c r="AC22" s="217" t="str">
        <f ca="1">IFERROR(__xludf.DUMMYFUNCTION("""COMPUTED_VALUE"""),"Fundamentos de Inovação Empresarial")</f>
        <v>Fundamentos de Inovação Empresarial</v>
      </c>
      <c r="AD22" s="217"/>
      <c r="AE22" s="213"/>
      <c r="AF22" s="215"/>
      <c r="AG22" s="215"/>
      <c r="AH22" s="217"/>
      <c r="AI22" s="217"/>
      <c r="AJ22" s="213"/>
    </row>
    <row r="23" spans="1:36" ht="33.75" customHeight="1">
      <c r="A23" s="213"/>
      <c r="B23" s="214">
        <f ca="1">IFERROR(__xludf.DUMMYFUNCTION("""COMPUTED_VALUE"""),5010646)</f>
        <v>5010646</v>
      </c>
      <c r="C23" s="215" t="str">
        <f ca="1">IFERROR(__xludf.DUMMYFUNCTION("""COMPUTED_VALUE"""),"Intermediate")</f>
        <v>Intermediate</v>
      </c>
      <c r="D23" s="216" t="str">
        <f ca="1">IFERROR(__xludf.DUMMYFUNCTION("""COMPUTED_VALUE"""),"Building Resilience as a Leader")</f>
        <v>Building Resilience as a Leader</v>
      </c>
      <c r="E23" s="217"/>
      <c r="F23" s="213"/>
      <c r="G23" s="214"/>
      <c r="H23" s="215"/>
      <c r="I23" s="217"/>
      <c r="J23" s="217"/>
      <c r="K23" s="213"/>
      <c r="L23" s="215">
        <f ca="1">IFERROR(__xludf.DUMMYFUNCTION("""COMPUTED_VALUE"""),2841043)</f>
        <v>2841043</v>
      </c>
      <c r="M23" s="215" t="str">
        <f ca="1">IFERROR(__xludf.DUMMYFUNCTION("""COMPUTED_VALUE"""),"Advanced")</f>
        <v>Advanced</v>
      </c>
      <c r="N23" s="217" t="str">
        <f ca="1">IFERROR(__xludf.DUMMYFUNCTION("""COMPUTED_VALUE"""),"Liderazgo en tiempos de crisis")</f>
        <v>Liderazgo en tiempos de crisis</v>
      </c>
      <c r="O23" s="217"/>
      <c r="P23" s="213"/>
      <c r="Q23" s="215">
        <f ca="1">IFERROR(__xludf.DUMMYFUNCTION("""COMPUTED_VALUE"""),713867)</f>
        <v>713867</v>
      </c>
      <c r="R23" s="215" t="str">
        <f ca="1">IFERROR(__xludf.DUMMYFUNCTION("""COMPUTED_VALUE"""),"All levels")</f>
        <v>All levels</v>
      </c>
      <c r="S23" s="217" t="str">
        <f ca="1">IFERROR(__xludf.DUMMYFUNCTION("""COMPUTED_VALUE"""),"Innovation in Unternehmen")</f>
        <v>Innovation in Unternehmen</v>
      </c>
      <c r="T23" s="217"/>
      <c r="U23" s="213"/>
      <c r="V23" s="215"/>
      <c r="W23" s="215"/>
      <c r="X23" s="217"/>
      <c r="Y23" s="217"/>
      <c r="Z23" s="213"/>
      <c r="AA23" s="215">
        <f ca="1">IFERROR(__xludf.DUMMYFUNCTION("""COMPUTED_VALUE"""),2391483)</f>
        <v>2391483</v>
      </c>
      <c r="AB23" s="215" t="str">
        <f ca="1">IFERROR(__xludf.DUMMYFUNCTION("""COMPUTED_VALUE"""),"All levels")</f>
        <v>All levels</v>
      </c>
      <c r="AC23" s="217" t="str">
        <f ca="1">IFERROR(__xludf.DUMMYFUNCTION("""COMPUTED_VALUE"""),"Gestão da Comunicação em Tempos de Crise")</f>
        <v>Gestão da Comunicação em Tempos de Crise</v>
      </c>
      <c r="AD23" s="217"/>
      <c r="AE23" s="213"/>
      <c r="AF23" s="215"/>
      <c r="AG23" s="215"/>
      <c r="AH23" s="217"/>
      <c r="AI23" s="217"/>
      <c r="AJ23" s="213"/>
    </row>
    <row r="24" spans="1:36" ht="33.75" customHeight="1">
      <c r="A24" s="213"/>
      <c r="B24" s="214">
        <f ca="1">IFERROR(__xludf.DUMMYFUNCTION("""COMPUTED_VALUE"""),520220)</f>
        <v>520220</v>
      </c>
      <c r="C24" s="215" t="str">
        <f ca="1">IFERROR(__xludf.DUMMYFUNCTION("""COMPUTED_VALUE"""),"Intermediate")</f>
        <v>Intermediate</v>
      </c>
      <c r="D24" s="216" t="str">
        <f ca="1">IFERROR(__xludf.DUMMYFUNCTION("""COMPUTED_VALUE"""),"Organizational Learning and Development")</f>
        <v>Organizational Learning and Development</v>
      </c>
      <c r="E24" s="217"/>
      <c r="F24" s="213"/>
      <c r="G24" s="214"/>
      <c r="H24" s="215"/>
      <c r="I24" s="217"/>
      <c r="J24" s="217"/>
      <c r="K24" s="213"/>
      <c r="L24" s="215">
        <f ca="1">IFERROR(__xludf.DUMMYFUNCTION("""COMPUTED_VALUE"""),2221545)</f>
        <v>2221545</v>
      </c>
      <c r="M24" s="215" t="str">
        <f ca="1">IFERROR(__xludf.DUMMYFUNCTION("""COMPUTED_VALUE"""),"Intermediate")</f>
        <v>Intermediate</v>
      </c>
      <c r="N24" s="217" t="str">
        <f ca="1">IFERROR(__xludf.DUMMYFUNCTION("""COMPUTED_VALUE"""),"Liderazgo inclusivo")</f>
        <v>Liderazgo inclusivo</v>
      </c>
      <c r="O24" s="217"/>
      <c r="P24" s="213"/>
      <c r="Q24" s="215">
        <f ca="1">IFERROR(__xludf.DUMMYFUNCTION("""COMPUTED_VALUE"""),2215003)</f>
        <v>2215003</v>
      </c>
      <c r="R24" s="215" t="str">
        <f ca="1">IFERROR(__xludf.DUMMYFUNCTION("""COMPUTED_VALUE"""),"Intermediate")</f>
        <v>Intermediate</v>
      </c>
      <c r="S24" s="217" t="str">
        <f ca="1">IFERROR(__xludf.DUMMYFUNCTION("""COMPUTED_VALUE"""),"Kommunikation in Zeiten der Veränderung")</f>
        <v>Kommunikation in Zeiten der Veränderung</v>
      </c>
      <c r="T24" s="217"/>
      <c r="U24" s="213"/>
      <c r="V24" s="215"/>
      <c r="W24" s="215"/>
      <c r="X24" s="217"/>
      <c r="Y24" s="217"/>
      <c r="Z24" s="213"/>
      <c r="AA24" s="215">
        <f ca="1">IFERROR(__xludf.DUMMYFUNCTION("""COMPUTED_VALUE"""),3103280)</f>
        <v>3103280</v>
      </c>
      <c r="AB24" s="215" t="str">
        <f ca="1">IFERROR(__xludf.DUMMYFUNCTION("""COMPUTED_VALUE"""),"All levels")</f>
        <v>All levels</v>
      </c>
      <c r="AC24" s="217" t="str">
        <f ca="1">IFERROR(__xludf.DUMMYFUNCTION("""COMPUTED_VALUE"""),"Janaína Manfredini responde sobre a superação de desafios em tempos incertos")</f>
        <v>Janaína Manfredini responde sobre a superação de desafios em tempos incertos</v>
      </c>
      <c r="AD24" s="217"/>
      <c r="AE24" s="213"/>
      <c r="AF24" s="215"/>
      <c r="AG24" s="215"/>
      <c r="AH24" s="217"/>
      <c r="AI24" s="217"/>
      <c r="AJ24" s="213"/>
    </row>
    <row r="25" spans="1:36" ht="33.75" customHeight="1">
      <c r="A25" s="213"/>
      <c r="B25" s="214">
        <f ca="1">IFERROR(__xludf.DUMMYFUNCTION("""COMPUTED_VALUE"""),580624)</f>
        <v>580624</v>
      </c>
      <c r="C25" s="215" t="str">
        <f ca="1">IFERROR(__xludf.DUMMYFUNCTION("""COMPUTED_VALUE"""),"Intermediate")</f>
        <v>Intermediate</v>
      </c>
      <c r="D25" s="216" t="str">
        <f ca="1">IFERROR(__xludf.DUMMYFUNCTION("""COMPUTED_VALUE"""),"Communicating in Times of Change")</f>
        <v>Communicating in Times of Change</v>
      </c>
      <c r="E25" s="217"/>
      <c r="F25" s="213"/>
      <c r="G25" s="214"/>
      <c r="H25" s="215"/>
      <c r="I25" s="217"/>
      <c r="J25" s="217"/>
      <c r="K25" s="213"/>
      <c r="L25" s="215">
        <f ca="1">IFERROR(__xludf.DUMMYFUNCTION("""COMPUTED_VALUE"""),2924305)</f>
        <v>2924305</v>
      </c>
      <c r="M25" s="215" t="str">
        <f ca="1">IFERROR(__xludf.DUMMYFUNCTION("""COMPUTED_VALUE"""),"Beginner, Intermediate")</f>
        <v>Beginner, Intermediate</v>
      </c>
      <c r="N25" s="217" t="str">
        <f ca="1">IFERROR(__xludf.DUMMYFUNCTION("""COMPUTED_VALUE"""),"Liderazgo transformador")</f>
        <v>Liderazgo transformador</v>
      </c>
      <c r="O25" s="217"/>
      <c r="P25" s="213"/>
      <c r="Q25" s="215">
        <f ca="1">IFERROR(__xludf.DUMMYFUNCTION("""COMPUTED_VALUE"""),2999028)</f>
        <v>2999028</v>
      </c>
      <c r="R25" s="215" t="str">
        <f ca="1">IFERROR(__xludf.DUMMYFUNCTION("""COMPUTED_VALUE"""),"All levels")</f>
        <v>All levels</v>
      </c>
      <c r="S25" s="217" t="str">
        <f ca="1">IFERROR(__xludf.DUMMYFUNCTION("""COMPUTED_VALUE"""),"Marketing in Zeiten der Veränderung")</f>
        <v>Marketing in Zeiten der Veränderung</v>
      </c>
      <c r="T25" s="217"/>
      <c r="U25" s="213"/>
      <c r="V25" s="215"/>
      <c r="W25" s="215"/>
      <c r="X25" s="217"/>
      <c r="Y25" s="217"/>
      <c r="Z25" s="213"/>
      <c r="AA25" s="215">
        <f ca="1">IFERROR(__xludf.DUMMYFUNCTION("""COMPUTED_VALUE"""),2902184)</f>
        <v>2902184</v>
      </c>
      <c r="AB25" s="215" t="str">
        <f ca="1">IFERROR(__xludf.DUMMYFUNCTION("""COMPUTED_VALUE"""),"Beginner + Intermediate")</f>
        <v>Beginner + Intermediate</v>
      </c>
      <c r="AC25" s="217" t="str">
        <f ca="1">IFERROR(__xludf.DUMMYFUNCTION("""COMPUTED_VALUE"""),"Liderança com Inovação")</f>
        <v>Liderança com Inovação</v>
      </c>
      <c r="AD25" s="217"/>
      <c r="AE25" s="213"/>
      <c r="AF25" s="215"/>
      <c r="AG25" s="215"/>
      <c r="AH25" s="217"/>
      <c r="AI25" s="217"/>
      <c r="AJ25" s="213"/>
    </row>
    <row r="26" spans="1:36" ht="33.75" customHeight="1">
      <c r="A26" s="213"/>
      <c r="B26" s="214">
        <f ca="1">IFERROR(__xludf.DUMMYFUNCTION("""COMPUTED_VALUE"""),2813183)</f>
        <v>2813183</v>
      </c>
      <c r="C26" s="215" t="str">
        <f ca="1">IFERROR(__xludf.DUMMYFUNCTION("""COMPUTED_VALUE"""),"Intermediate")</f>
        <v>Intermediate</v>
      </c>
      <c r="D26" s="216" t="str">
        <f ca="1">IFERROR(__xludf.DUMMYFUNCTION("""COMPUTED_VALUE"""),"Leading with Values")</f>
        <v>Leading with Values</v>
      </c>
      <c r="E26" s="217"/>
      <c r="F26" s="213"/>
      <c r="G26" s="214"/>
      <c r="H26" s="215"/>
      <c r="I26" s="217"/>
      <c r="J26" s="217"/>
      <c r="K26" s="213"/>
      <c r="L26" s="215">
        <f ca="1">IFERROR(__xludf.DUMMYFUNCTION("""COMPUTED_VALUE"""),609788)</f>
        <v>609788</v>
      </c>
      <c r="M26" s="215" t="str">
        <f ca="1">IFERROR(__xludf.DUMMYFUNCTION("""COMPUTED_VALUE"""),"Beginner")</f>
        <v>Beginner</v>
      </c>
      <c r="N26" s="217" t="str">
        <f ca="1">IFERROR(__xludf.DUMMYFUNCTION("""COMPUTED_VALUE"""),"Liderazgo y la capacidad de asumir riesgos")</f>
        <v>Liderazgo y la capacidad de asumir riesgos</v>
      </c>
      <c r="O26" s="217"/>
      <c r="P26" s="213"/>
      <c r="Q26" s="215">
        <f ca="1">IFERROR(__xludf.DUMMYFUNCTION("""COMPUTED_VALUE"""),2804681)</f>
        <v>2804681</v>
      </c>
      <c r="R26" s="215" t="str">
        <f ca="1">IFERROR(__xludf.DUMMYFUNCTION("""COMPUTED_VALUE"""),"Intermediate")</f>
        <v>Intermediate</v>
      </c>
      <c r="S26" s="217" t="str">
        <f ca="1">IFERROR(__xludf.DUMMYFUNCTION("""COMPUTED_VALUE"""),"Projektmanagement: Änderungsmanagement")</f>
        <v>Projektmanagement: Änderungsmanagement</v>
      </c>
      <c r="T26" s="217"/>
      <c r="U26" s="213"/>
      <c r="V26" s="215"/>
      <c r="W26" s="215"/>
      <c r="X26" s="217"/>
      <c r="Y26" s="217"/>
      <c r="Z26" s="213"/>
      <c r="AA26" s="215">
        <f ca="1">IFERROR(__xludf.DUMMYFUNCTION("""COMPUTED_VALUE"""),2388472)</f>
        <v>2388472</v>
      </c>
      <c r="AB26" s="215" t="str">
        <f ca="1">IFERROR(__xludf.DUMMYFUNCTION("""COMPUTED_VALUE"""),"Advanced")</f>
        <v>Advanced</v>
      </c>
      <c r="AC26" s="217" t="str">
        <f ca="1">IFERROR(__xludf.DUMMYFUNCTION("""COMPUTED_VALUE"""),"Liderança Criativa: Como Estimular o Pensamento Inovador em sua Equipe")</f>
        <v>Liderança Criativa: Como Estimular o Pensamento Inovador em sua Equipe</v>
      </c>
      <c r="AD26" s="217"/>
      <c r="AE26" s="213"/>
      <c r="AF26" s="215"/>
      <c r="AG26" s="215"/>
      <c r="AH26" s="217"/>
      <c r="AI26" s="217"/>
      <c r="AJ26" s="213"/>
    </row>
    <row r="27" spans="1:36" ht="33.75" customHeight="1">
      <c r="A27" s="213"/>
      <c r="B27" s="214">
        <f ca="1">IFERROR(__xludf.DUMMYFUNCTION("""COMPUTED_VALUE"""),2876230)</f>
        <v>2876230</v>
      </c>
      <c r="C27" s="215" t="str">
        <f ca="1">IFERROR(__xludf.DUMMYFUNCTION("""COMPUTED_VALUE"""),"Intermediate")</f>
        <v>Intermediate</v>
      </c>
      <c r="D27" s="216" t="str">
        <f ca="1">IFERROR(__xludf.DUMMYFUNCTION("""COMPUTED_VALUE"""),"Moving Past Change Fatigue to the Growth Edge")</f>
        <v>Moving Past Change Fatigue to the Growth Edge</v>
      </c>
      <c r="E27" s="217"/>
      <c r="F27" s="213"/>
      <c r="G27" s="214"/>
      <c r="H27" s="215"/>
      <c r="I27" s="217"/>
      <c r="J27" s="217"/>
      <c r="K27" s="213"/>
      <c r="L27" s="215">
        <f ca="1">IFERROR(__xludf.DUMMYFUNCTION("""COMPUTED_VALUE"""),2422924)</f>
        <v>2422924</v>
      </c>
      <c r="M27" s="215" t="str">
        <f ca="1">IFERROR(__xludf.DUMMYFUNCTION("""COMPUTED_VALUE"""),"Advanced")</f>
        <v>Advanced</v>
      </c>
      <c r="N27" s="217" t="str">
        <f ca="1">IFERROR(__xludf.DUMMYFUNCTION("""COMPUTED_VALUE"""),"Liderazgo y recursos humanos: Estrategia de ubicación para una fuerza de trabajo híbrida")</f>
        <v>Liderazgo y recursos humanos: Estrategia de ubicación para una fuerza de trabajo híbrida</v>
      </c>
      <c r="O27" s="217"/>
      <c r="P27" s="213"/>
      <c r="Q27" s="215">
        <f ca="1">IFERROR(__xludf.DUMMYFUNCTION("""COMPUTED_VALUE"""),3151140)</f>
        <v>3151140</v>
      </c>
      <c r="R27" s="215" t="str">
        <f ca="1">IFERROR(__xludf.DUMMYFUNCTION("""COMPUTED_VALUE"""),"All levels")</f>
        <v>All levels</v>
      </c>
      <c r="S27" s="217" t="str">
        <f ca="1">IFERROR(__xludf.DUMMYFUNCTION("""COMPUTED_VALUE"""),"Unerwartete Veränderungen annehmen")</f>
        <v>Unerwartete Veränderungen annehmen</v>
      </c>
      <c r="T27" s="217"/>
      <c r="U27" s="213"/>
      <c r="V27" s="215"/>
      <c r="W27" s="215"/>
      <c r="X27" s="217"/>
      <c r="Y27" s="217"/>
      <c r="Z27" s="213"/>
      <c r="AA27" s="215">
        <f ca="1">IFERROR(__xludf.DUMMYFUNCTION("""COMPUTED_VALUE"""),752461)</f>
        <v>752461</v>
      </c>
      <c r="AB27" s="215" t="str">
        <f ca="1">IFERROR(__xludf.DUMMYFUNCTION("""COMPUTED_VALUE"""),"Intermediate")</f>
        <v>Intermediate</v>
      </c>
      <c r="AC27" s="217" t="str">
        <f ca="1">IFERROR(__xludf.DUMMYFUNCTION("""COMPUTED_VALUE"""),"Liderando Mudanças")</f>
        <v>Liderando Mudanças</v>
      </c>
      <c r="AD27" s="217"/>
      <c r="AE27" s="213"/>
      <c r="AF27" s="215"/>
      <c r="AG27" s="215"/>
      <c r="AH27" s="217"/>
      <c r="AI27" s="217"/>
      <c r="AJ27" s="213"/>
    </row>
    <row r="28" spans="1:36" ht="33.75" customHeight="1">
      <c r="A28" s="213"/>
      <c r="B28" s="214">
        <f ca="1">IFERROR(__xludf.DUMMYFUNCTION("""COMPUTED_VALUE"""),2869096)</f>
        <v>2869096</v>
      </c>
      <c r="C28" s="215" t="str">
        <f ca="1">IFERROR(__xludf.DUMMYFUNCTION("""COMPUTED_VALUE"""),"Intermediate")</f>
        <v>Intermediate</v>
      </c>
      <c r="D28" s="216" t="str">
        <f ca="1">IFERROR(__xludf.DUMMYFUNCTION("""COMPUTED_VALUE"""),"Change Leadership")</f>
        <v>Change Leadership</v>
      </c>
      <c r="E28" s="217"/>
      <c r="F28" s="213"/>
      <c r="G28" s="214"/>
      <c r="H28" s="215"/>
      <c r="I28" s="217"/>
      <c r="J28" s="217"/>
      <c r="K28" s="213"/>
      <c r="L28" s="215">
        <f ca="1">IFERROR(__xludf.DUMMYFUNCTION("""COMPUTED_VALUE"""),608964)</f>
        <v>608964</v>
      </c>
      <c r="M28" s="215" t="str">
        <f ca="1">IFERROR(__xludf.DUMMYFUNCTION("""COMPUTED_VALUE"""),"All levels")</f>
        <v>All levels</v>
      </c>
      <c r="N28" s="217" t="str">
        <f ca="1">IFERROR(__xludf.DUMMYFUNCTION("""COMPUTED_VALUE"""),"Liderazgo y trabajo en equipo")</f>
        <v>Liderazgo y trabajo en equipo</v>
      </c>
      <c r="O28" s="217"/>
      <c r="P28" s="213"/>
      <c r="Q28" s="215">
        <f ca="1">IFERROR(__xludf.DUMMYFUNCTION("""COMPUTED_VALUE"""),584361)</f>
        <v>584361</v>
      </c>
      <c r="R28" s="215" t="str">
        <f ca="1">IFERROR(__xludf.DUMMYFUNCTION("""COMPUTED_VALUE"""),"Intermediate")</f>
        <v>Intermediate</v>
      </c>
      <c r="S28" s="217" t="str">
        <f ca="1">IFERROR(__xludf.DUMMYFUNCTION("""COMPUTED_VALUE"""),"Veränderung vorantreiben")</f>
        <v>Veränderung vorantreiben</v>
      </c>
      <c r="T28" s="217"/>
      <c r="U28" s="213"/>
      <c r="V28" s="215"/>
      <c r="W28" s="215"/>
      <c r="X28" s="217"/>
      <c r="Y28" s="217"/>
      <c r="Z28" s="213"/>
      <c r="AA28" s="215">
        <f ca="1">IFERROR(__xludf.DUMMYFUNCTION("""COMPUTED_VALUE"""),2902080)</f>
        <v>2902080</v>
      </c>
      <c r="AB28" s="215" t="str">
        <f ca="1">IFERROR(__xludf.DUMMYFUNCTION("""COMPUTED_VALUE"""),"All levels")</f>
        <v>All levels</v>
      </c>
      <c r="AC28" s="217" t="str">
        <f ca="1">IFERROR(__xludf.DUMMYFUNCTION("""COMPUTED_VALUE"""),"Técnicas para Desbloquear a Criatividade e Estimular a Inovação")</f>
        <v>Técnicas para Desbloquear a Criatividade e Estimular a Inovação</v>
      </c>
      <c r="AD28" s="217"/>
      <c r="AE28" s="213"/>
      <c r="AF28" s="215"/>
      <c r="AG28" s="215"/>
      <c r="AH28" s="217"/>
      <c r="AI28" s="217"/>
      <c r="AJ28" s="213"/>
    </row>
    <row r="29" spans="1:36" ht="33.75" customHeight="1">
      <c r="A29" s="213"/>
      <c r="B29" s="214">
        <f ca="1">IFERROR(__xludf.DUMMYFUNCTION("""COMPUTED_VALUE"""),5015873)</f>
        <v>5015873</v>
      </c>
      <c r="C29" s="215" t="str">
        <f ca="1">IFERROR(__xludf.DUMMYFUNCTION("""COMPUTED_VALUE"""),"Intermediate")</f>
        <v>Intermediate</v>
      </c>
      <c r="D29" s="216" t="str">
        <f ca="1">IFERROR(__xludf.DUMMYFUNCTION("""COMPUTED_VALUE"""),"Start with Why: How Great Leaders Inspire Everyone to Take Action (Blinkist Summary)")</f>
        <v>Start with Why: How Great Leaders Inspire Everyone to Take Action (Blinkist Summary)</v>
      </c>
      <c r="E29" s="217"/>
      <c r="F29" s="213"/>
      <c r="G29" s="214"/>
      <c r="H29" s="215"/>
      <c r="I29" s="217"/>
      <c r="J29" s="217"/>
      <c r="K29" s="213"/>
      <c r="L29" s="215">
        <f ca="1">IFERROR(__xludf.DUMMYFUNCTION("""COMPUTED_VALUE"""),798439)</f>
        <v>798439</v>
      </c>
      <c r="M29" s="215" t="str">
        <f ca="1">IFERROR(__xludf.DUMMYFUNCTION("""COMPUTED_VALUE"""),"Intermediate")</f>
        <v>Intermediate</v>
      </c>
      <c r="N29" s="217" t="str">
        <f ca="1">IFERROR(__xludf.DUMMYFUNCTION("""COMPUTED_VALUE"""),"Storytelling para el liderazgo")</f>
        <v>Storytelling para el liderazgo</v>
      </c>
      <c r="O29" s="217"/>
      <c r="P29" s="213"/>
      <c r="Q29" s="215">
        <f ca="1">IFERROR(__xludf.DUMMYFUNCTION("""COMPUTED_VALUE"""),2925266)</f>
        <v>2925266</v>
      </c>
      <c r="R29" s="215" t="str">
        <f ca="1">IFERROR(__xludf.DUMMYFUNCTION("""COMPUTED_VALUE"""),"All levels")</f>
        <v>All levels</v>
      </c>
      <c r="S29" s="217" t="str">
        <f ca="1">IFERROR(__xludf.DUMMYFUNCTION("""COMPUTED_VALUE"""),"Veränderungen im Beruf erfolgreich bewältigen")</f>
        <v>Veränderungen im Beruf erfolgreich bewältigen</v>
      </c>
      <c r="T29" s="217"/>
      <c r="U29" s="213"/>
      <c r="V29" s="215"/>
      <c r="W29" s="215"/>
      <c r="X29" s="217"/>
      <c r="Y29" s="217"/>
      <c r="Z29" s="213"/>
      <c r="AA29" s="215">
        <f ca="1">IFERROR(__xludf.DUMMYFUNCTION("""COMPUTED_VALUE"""),753208)</f>
        <v>753208</v>
      </c>
      <c r="AB29" s="215" t="str">
        <f ca="1">IFERROR(__xludf.DUMMYFUNCTION("""COMPUTED_VALUE"""),"Intermediate")</f>
        <v>Intermediate</v>
      </c>
      <c r="AC29" s="217" t="str">
        <f ca="1">IFERROR(__xludf.DUMMYFUNCTION("""COMPUTED_VALUE"""),"Tomada de Riscos para Líderes")</f>
        <v>Tomada de Riscos para Líderes</v>
      </c>
      <c r="AD29" s="217"/>
      <c r="AE29" s="213"/>
      <c r="AF29" s="215"/>
      <c r="AG29" s="215"/>
      <c r="AH29" s="217"/>
      <c r="AI29" s="217"/>
      <c r="AJ29" s="213"/>
    </row>
    <row r="30" spans="1:36" ht="33.75" customHeight="1">
      <c r="A30" s="213"/>
      <c r="B30" s="214">
        <f ca="1">IFERROR(__xludf.DUMMYFUNCTION("""COMPUTED_VALUE"""),2890106)</f>
        <v>2890106</v>
      </c>
      <c r="C30" s="215" t="str">
        <f ca="1">IFERROR(__xludf.DUMMYFUNCTION("""COMPUTED_VALUE"""),"Intermediate")</f>
        <v>Intermediate</v>
      </c>
      <c r="D30" s="216" t="str">
        <f ca="1">IFERROR(__xludf.DUMMYFUNCTION("""COMPUTED_VALUE"""),"Reorganize and Transition Your Team for Change")</f>
        <v>Reorganize and Transition Your Team for Change</v>
      </c>
      <c r="E30" s="217"/>
      <c r="F30" s="213"/>
      <c r="G30" s="214"/>
      <c r="H30" s="215"/>
      <c r="I30" s="217"/>
      <c r="J30" s="217"/>
      <c r="K30" s="213"/>
      <c r="L30" s="215"/>
      <c r="M30" s="215"/>
      <c r="N30" s="217"/>
      <c r="O30" s="217"/>
      <c r="P30" s="213"/>
      <c r="Q30" s="215"/>
      <c r="R30" s="215"/>
      <c r="S30" s="217"/>
      <c r="T30" s="217"/>
      <c r="U30" s="213"/>
      <c r="V30" s="215"/>
      <c r="W30" s="215"/>
      <c r="X30" s="217"/>
      <c r="Y30" s="217"/>
      <c r="Z30" s="213"/>
      <c r="AA30" s="215"/>
      <c r="AB30" s="215"/>
      <c r="AC30" s="217"/>
      <c r="AD30" s="217"/>
      <c r="AE30" s="213"/>
      <c r="AF30" s="215"/>
      <c r="AG30" s="215"/>
      <c r="AH30" s="217"/>
      <c r="AI30" s="217"/>
      <c r="AJ30" s="213"/>
    </row>
    <row r="31" spans="1:36" ht="33.75" customHeight="1">
      <c r="A31" s="213"/>
      <c r="B31" s="214">
        <f ca="1">IFERROR(__xludf.DUMMYFUNCTION("""COMPUTED_VALUE"""),2825404)</f>
        <v>2825404</v>
      </c>
      <c r="C31" s="215" t="str">
        <f ca="1">IFERROR(__xludf.DUMMYFUNCTION("""COMPUTED_VALUE"""),"Beginner")</f>
        <v>Beginner</v>
      </c>
      <c r="D31" s="216" t="str">
        <f ca="1">IFERROR(__xludf.DUMMYFUNCTION("""COMPUTED_VALUE"""),"Leading with Fearless Mindfulness")</f>
        <v>Leading with Fearless Mindfulness</v>
      </c>
      <c r="E31" s="217"/>
      <c r="F31" s="213"/>
      <c r="G31" s="214"/>
      <c r="H31" s="215"/>
      <c r="I31" s="217"/>
      <c r="J31" s="217"/>
      <c r="K31" s="213"/>
      <c r="L31" s="215"/>
      <c r="M31" s="215"/>
      <c r="N31" s="217"/>
      <c r="O31" s="217"/>
      <c r="P31" s="213"/>
      <c r="Q31" s="215"/>
      <c r="R31" s="215"/>
      <c r="S31" s="217"/>
      <c r="T31" s="217"/>
      <c r="U31" s="213"/>
      <c r="V31" s="215"/>
      <c r="W31" s="215"/>
      <c r="X31" s="217"/>
      <c r="Y31" s="217"/>
      <c r="Z31" s="213"/>
      <c r="AA31" s="215"/>
      <c r="AB31" s="215"/>
      <c r="AC31" s="217"/>
      <c r="AD31" s="217"/>
      <c r="AE31" s="213"/>
      <c r="AF31" s="215"/>
      <c r="AG31" s="215"/>
      <c r="AH31" s="217"/>
      <c r="AI31" s="217"/>
      <c r="AJ31" s="213"/>
    </row>
    <row r="32" spans="1:36" ht="16">
      <c r="A32" s="213"/>
      <c r="B32" s="214">
        <f ca="1">IFERROR(__xludf.DUMMYFUNCTION("""COMPUTED_VALUE"""),2875338)</f>
        <v>2875338</v>
      </c>
      <c r="C32" s="215" t="str">
        <f ca="1">IFERROR(__xludf.DUMMYFUNCTION("""COMPUTED_VALUE"""),"Beginner")</f>
        <v>Beginner</v>
      </c>
      <c r="D32" s="216" t="str">
        <f ca="1">IFERROR(__xludf.DUMMYFUNCTION("""COMPUTED_VALUE"""),"Supporting Workers with Disabilities")</f>
        <v>Supporting Workers with Disabilities</v>
      </c>
      <c r="E32" s="217"/>
      <c r="F32" s="213"/>
      <c r="G32" s="214"/>
      <c r="H32" s="215"/>
      <c r="I32" s="217"/>
      <c r="J32" s="217"/>
      <c r="K32" s="213"/>
      <c r="L32" s="215"/>
      <c r="M32" s="215"/>
      <c r="N32" s="217"/>
      <c r="O32" s="217"/>
      <c r="P32" s="213"/>
      <c r="Q32" s="215"/>
      <c r="R32" s="215"/>
      <c r="S32" s="217"/>
      <c r="T32" s="217"/>
      <c r="U32" s="213"/>
      <c r="V32" s="215"/>
      <c r="W32" s="215"/>
      <c r="X32" s="217"/>
      <c r="Y32" s="217"/>
      <c r="Z32" s="213"/>
      <c r="AA32" s="215"/>
      <c r="AB32" s="215"/>
      <c r="AC32" s="217"/>
      <c r="AD32" s="217"/>
      <c r="AE32" s="213"/>
      <c r="AF32" s="215"/>
      <c r="AG32" s="215"/>
      <c r="AH32" s="217"/>
      <c r="AI32" s="217"/>
      <c r="AJ32" s="213"/>
    </row>
    <row r="33" spans="1:36" ht="33.75" customHeight="1">
      <c r="A33" s="213"/>
      <c r="B33" s="214">
        <f ca="1">IFERROR(__xludf.DUMMYFUNCTION("""COMPUTED_VALUE"""),2835013)</f>
        <v>2835013</v>
      </c>
      <c r="C33" s="215" t="str">
        <f ca="1">IFERROR(__xludf.DUMMYFUNCTION("""COMPUTED_VALUE"""),"Beginner + Intermediate")</f>
        <v>Beginner + Intermediate</v>
      </c>
      <c r="D33" s="216" t="str">
        <f ca="1">IFERROR(__xludf.DUMMYFUNCTION("""COMPUTED_VALUE"""),"Building Change Capability for Managers")</f>
        <v>Building Change Capability for Managers</v>
      </c>
      <c r="E33" s="217"/>
      <c r="F33" s="213"/>
      <c r="G33" s="214"/>
      <c r="H33" s="215"/>
      <c r="I33" s="217"/>
      <c r="J33" s="217"/>
      <c r="K33" s="213"/>
      <c r="L33" s="215"/>
      <c r="M33" s="215"/>
      <c r="N33" s="217"/>
      <c r="O33" s="217"/>
      <c r="P33" s="213"/>
      <c r="Q33" s="215"/>
      <c r="R33" s="215"/>
      <c r="S33" s="217"/>
      <c r="T33" s="217"/>
      <c r="U33" s="213"/>
      <c r="V33" s="215"/>
      <c r="W33" s="215"/>
      <c r="X33" s="217"/>
      <c r="Y33" s="217"/>
      <c r="Z33" s="213"/>
      <c r="AA33" s="215"/>
      <c r="AB33" s="215"/>
      <c r="AC33" s="217"/>
      <c r="AD33" s="217"/>
      <c r="AE33" s="213"/>
      <c r="AF33" s="215"/>
      <c r="AG33" s="215"/>
      <c r="AH33" s="217"/>
      <c r="AI33" s="217"/>
      <c r="AJ33" s="213"/>
    </row>
    <row r="34" spans="1:36" ht="33.75" customHeight="1">
      <c r="A34" s="213"/>
      <c r="B34" s="214">
        <f ca="1">IFERROR(__xludf.DUMMYFUNCTION("""COMPUTED_VALUE"""),2809355)</f>
        <v>2809355</v>
      </c>
      <c r="C34" s="215" t="str">
        <f ca="1">IFERROR(__xludf.DUMMYFUNCTION("""COMPUTED_VALUE"""),"General")</f>
        <v>General</v>
      </c>
      <c r="D34" s="216" t="str">
        <f ca="1">IFERROR(__xludf.DUMMYFUNCTION("""COMPUTED_VALUE"""),"Body Language for Leaders")</f>
        <v>Body Language for Leaders</v>
      </c>
      <c r="E34" s="217"/>
      <c r="F34" s="213"/>
      <c r="G34" s="214"/>
      <c r="H34" s="215"/>
      <c r="I34" s="217"/>
      <c r="J34" s="217"/>
      <c r="K34" s="213"/>
      <c r="L34" s="215"/>
      <c r="M34" s="215"/>
      <c r="N34" s="217"/>
      <c r="O34" s="217"/>
      <c r="P34" s="213"/>
      <c r="Q34" s="215"/>
      <c r="R34" s="215"/>
      <c r="S34" s="217"/>
      <c r="T34" s="217"/>
      <c r="U34" s="213"/>
      <c r="V34" s="215"/>
      <c r="W34" s="215"/>
      <c r="X34" s="217"/>
      <c r="Y34" s="217"/>
      <c r="Z34" s="213"/>
      <c r="AA34" s="215"/>
      <c r="AB34" s="215"/>
      <c r="AC34" s="217"/>
      <c r="AD34" s="217"/>
      <c r="AE34" s="213"/>
      <c r="AF34" s="215"/>
      <c r="AG34" s="215"/>
      <c r="AH34" s="217"/>
      <c r="AI34" s="217"/>
      <c r="AJ34" s="213"/>
    </row>
    <row r="35" spans="1:36" ht="33.75" customHeight="1">
      <c r="A35" s="213"/>
      <c r="B35" s="214">
        <f ca="1">IFERROR(__xludf.DUMMYFUNCTION("""COMPUTED_VALUE"""),5022327)</f>
        <v>5022327</v>
      </c>
      <c r="C35" s="215" t="str">
        <f ca="1">IFERROR(__xludf.DUMMYFUNCTION("""COMPUTED_VALUE"""),"Intermediate")</f>
        <v>Intermediate</v>
      </c>
      <c r="D35" s="216" t="str">
        <f ca="1">IFERROR(__xludf.DUMMYFUNCTION("""COMPUTED_VALUE"""),"Leading Your Team Through Change")</f>
        <v>Leading Your Team Through Change</v>
      </c>
      <c r="E35" s="217"/>
      <c r="F35" s="213"/>
      <c r="G35" s="214"/>
      <c r="H35" s="215"/>
      <c r="I35" s="217"/>
      <c r="J35" s="217"/>
      <c r="K35" s="213"/>
      <c r="L35" s="215"/>
      <c r="M35" s="215"/>
      <c r="N35" s="217"/>
      <c r="O35" s="217"/>
      <c r="P35" s="213"/>
      <c r="Q35" s="215"/>
      <c r="R35" s="215"/>
      <c r="S35" s="217"/>
      <c r="T35" s="217"/>
      <c r="U35" s="213"/>
      <c r="V35" s="215"/>
      <c r="W35" s="215"/>
      <c r="X35" s="217"/>
      <c r="Y35" s="217"/>
      <c r="Z35" s="213"/>
      <c r="AA35" s="215"/>
      <c r="AB35" s="215"/>
      <c r="AC35" s="217"/>
      <c r="AD35" s="217"/>
      <c r="AE35" s="213"/>
      <c r="AF35" s="215"/>
      <c r="AG35" s="215"/>
      <c r="AH35" s="217"/>
      <c r="AI35" s="217"/>
      <c r="AJ35" s="213"/>
    </row>
    <row r="36" spans="1:36" ht="33.75" customHeight="1">
      <c r="A36" s="213"/>
      <c r="B36" s="214">
        <f ca="1">IFERROR(__xludf.DUMMYFUNCTION("""COMPUTED_VALUE"""),711796)</f>
        <v>711796</v>
      </c>
      <c r="C36" s="215" t="str">
        <f ca="1">IFERROR(__xludf.DUMMYFUNCTION("""COMPUTED_VALUE"""),"Intermediate")</f>
        <v>Intermediate</v>
      </c>
      <c r="D36" s="216" t="str">
        <f ca="1">IFERROR(__xludf.DUMMYFUNCTION("""COMPUTED_VALUE"""),"Managing Organizational Change for Managers")</f>
        <v>Managing Organizational Change for Managers</v>
      </c>
      <c r="E36" s="217"/>
      <c r="F36" s="213"/>
      <c r="G36" s="214"/>
      <c r="H36" s="215"/>
      <c r="I36" s="217"/>
      <c r="J36" s="217"/>
      <c r="K36" s="213"/>
      <c r="L36" s="215"/>
      <c r="M36" s="215"/>
      <c r="N36" s="217"/>
      <c r="O36" s="217"/>
      <c r="P36" s="213"/>
      <c r="Q36" s="215"/>
      <c r="R36" s="215"/>
      <c r="S36" s="217"/>
      <c r="T36" s="217"/>
      <c r="U36" s="213"/>
      <c r="V36" s="215"/>
      <c r="W36" s="215"/>
      <c r="X36" s="217"/>
      <c r="Y36" s="217"/>
      <c r="Z36" s="213"/>
      <c r="AA36" s="215"/>
      <c r="AB36" s="215"/>
      <c r="AC36" s="217"/>
      <c r="AD36" s="217"/>
      <c r="AE36" s="213"/>
      <c r="AF36" s="215"/>
      <c r="AG36" s="215"/>
      <c r="AH36" s="217"/>
      <c r="AI36" s="217"/>
      <c r="AJ36" s="213"/>
    </row>
    <row r="37" spans="1:36" ht="33.75" customHeight="1">
      <c r="A37" s="213"/>
      <c r="B37" s="214">
        <f ca="1">IFERROR(__xludf.DUMMYFUNCTION("""COMPUTED_VALUE"""),2875378)</f>
        <v>2875378</v>
      </c>
      <c r="C37" s="215" t="str">
        <f ca="1">IFERROR(__xludf.DUMMYFUNCTION("""COMPUTED_VALUE"""),"Intermediate")</f>
        <v>Intermediate</v>
      </c>
      <c r="D37" s="216" t="str">
        <f ca="1">IFERROR(__xludf.DUMMYFUNCTION("""COMPUTED_VALUE"""),"How to Support Your Employees' Well-Being")</f>
        <v>How to Support Your Employees' Well-Being</v>
      </c>
      <c r="E37" s="217"/>
      <c r="F37" s="213"/>
      <c r="G37" s="214"/>
      <c r="H37" s="215"/>
      <c r="I37" s="217"/>
      <c r="J37" s="217"/>
      <c r="K37" s="213"/>
      <c r="L37" s="215"/>
      <c r="M37" s="215"/>
      <c r="N37" s="217"/>
      <c r="O37" s="217"/>
      <c r="P37" s="213"/>
      <c r="Q37" s="215"/>
      <c r="R37" s="215"/>
      <c r="S37" s="217"/>
      <c r="T37" s="217"/>
      <c r="U37" s="213"/>
      <c r="V37" s="215"/>
      <c r="W37" s="215"/>
      <c r="X37" s="217"/>
      <c r="Y37" s="217"/>
      <c r="Z37" s="213"/>
      <c r="AA37" s="215"/>
      <c r="AB37" s="215"/>
      <c r="AC37" s="217"/>
      <c r="AD37" s="217"/>
      <c r="AE37" s="213"/>
      <c r="AF37" s="215"/>
      <c r="AG37" s="215"/>
      <c r="AH37" s="217"/>
      <c r="AI37" s="217"/>
      <c r="AJ37" s="213"/>
    </row>
    <row r="38" spans="1:36" ht="33.75" customHeight="1">
      <c r="A38" s="213"/>
      <c r="B38" s="214">
        <f ca="1">IFERROR(__xludf.DUMMYFUNCTION("""COMPUTED_VALUE"""),2894117)</f>
        <v>2894117</v>
      </c>
      <c r="C38" s="215" t="str">
        <f ca="1">IFERROR(__xludf.DUMMYFUNCTION("""COMPUTED_VALUE"""),"Intermediate")</f>
        <v>Intermediate</v>
      </c>
      <c r="D38" s="216" t="str">
        <f ca="1">IFERROR(__xludf.DUMMYFUNCTION("""COMPUTED_VALUE"""),"Change Management Tips for Leaders")</f>
        <v>Change Management Tips for Leaders</v>
      </c>
      <c r="E38" s="217"/>
      <c r="F38" s="213"/>
      <c r="G38" s="214"/>
      <c r="H38" s="215"/>
      <c r="I38" s="217"/>
      <c r="J38" s="217"/>
      <c r="K38" s="213"/>
      <c r="L38" s="215"/>
      <c r="M38" s="215"/>
      <c r="N38" s="217"/>
      <c r="O38" s="217"/>
      <c r="P38" s="213"/>
      <c r="Q38" s="215"/>
      <c r="R38" s="215"/>
      <c r="S38" s="217"/>
      <c r="T38" s="217"/>
      <c r="U38" s="213"/>
      <c r="V38" s="215"/>
      <c r="W38" s="215"/>
      <c r="X38" s="217"/>
      <c r="Y38" s="217"/>
      <c r="Z38" s="213"/>
      <c r="AA38" s="215"/>
      <c r="AB38" s="215"/>
      <c r="AC38" s="217"/>
      <c r="AD38" s="217"/>
      <c r="AE38" s="213"/>
      <c r="AF38" s="215"/>
      <c r="AG38" s="215"/>
      <c r="AH38" s="217"/>
      <c r="AI38" s="217"/>
      <c r="AJ38" s="213"/>
    </row>
    <row r="39" spans="1:36" ht="33.75" customHeight="1">
      <c r="A39" s="213"/>
      <c r="B39" s="214">
        <f ca="1">IFERROR(__xludf.DUMMYFUNCTION("""COMPUTED_VALUE"""),718628)</f>
        <v>718628</v>
      </c>
      <c r="C39" s="215" t="str">
        <f ca="1">IFERROR(__xludf.DUMMYFUNCTION("""COMPUTED_VALUE"""),"General")</f>
        <v>General</v>
      </c>
      <c r="D39" s="216" t="str">
        <f ca="1">IFERROR(__xludf.DUMMYFUNCTION("""COMPUTED_VALUE"""),"Cultivating a Growth Mindset")</f>
        <v>Cultivating a Growth Mindset</v>
      </c>
      <c r="E39" s="217"/>
      <c r="F39" s="213"/>
      <c r="G39" s="214"/>
      <c r="H39" s="215"/>
      <c r="I39" s="217"/>
      <c r="J39" s="217"/>
      <c r="K39" s="213"/>
      <c r="L39" s="215"/>
      <c r="M39" s="215"/>
      <c r="N39" s="217"/>
      <c r="O39" s="217"/>
      <c r="P39" s="213"/>
      <c r="Q39" s="215"/>
      <c r="R39" s="215"/>
      <c r="S39" s="217"/>
      <c r="T39" s="217"/>
      <c r="U39" s="213"/>
      <c r="V39" s="215"/>
      <c r="W39" s="215"/>
      <c r="X39" s="217"/>
      <c r="Y39" s="217"/>
      <c r="Z39" s="213"/>
      <c r="AA39" s="215"/>
      <c r="AB39" s="215"/>
      <c r="AC39" s="217"/>
      <c r="AD39" s="217"/>
      <c r="AE39" s="213"/>
      <c r="AF39" s="215"/>
      <c r="AG39" s="215"/>
      <c r="AH39" s="217"/>
      <c r="AI39" s="217"/>
      <c r="AJ39" s="213"/>
    </row>
    <row r="40" spans="1:36" ht="33.75" customHeight="1">
      <c r="A40" s="213"/>
      <c r="B40" s="214">
        <f ca="1">IFERROR(__xludf.DUMMYFUNCTION("""COMPUTED_VALUE"""),661751)</f>
        <v>661751</v>
      </c>
      <c r="C40" s="215" t="str">
        <f ca="1">IFERROR(__xludf.DUMMYFUNCTION("""COMPUTED_VALUE"""),"Beginner")</f>
        <v>Beginner</v>
      </c>
      <c r="D40" s="216" t="str">
        <f ca="1">IFERROR(__xludf.DUMMYFUNCTION("""COMPUTED_VALUE"""),"Developing a Learning Mindset")</f>
        <v>Developing a Learning Mindset</v>
      </c>
      <c r="E40" s="217"/>
      <c r="F40" s="213"/>
      <c r="G40" s="214"/>
      <c r="H40" s="215"/>
      <c r="I40" s="217"/>
      <c r="J40" s="217"/>
      <c r="K40" s="213"/>
      <c r="L40" s="215"/>
      <c r="M40" s="215"/>
      <c r="N40" s="217"/>
      <c r="O40" s="217"/>
      <c r="P40" s="213"/>
      <c r="Q40" s="215"/>
      <c r="R40" s="215"/>
      <c r="S40" s="217"/>
      <c r="T40" s="217"/>
      <c r="U40" s="213"/>
      <c r="V40" s="215"/>
      <c r="W40" s="215"/>
      <c r="X40" s="217"/>
      <c r="Y40" s="217"/>
      <c r="Z40" s="213"/>
      <c r="AA40" s="215"/>
      <c r="AB40" s="215"/>
      <c r="AC40" s="217"/>
      <c r="AD40" s="217"/>
      <c r="AE40" s="213"/>
      <c r="AF40" s="215"/>
      <c r="AG40" s="215"/>
      <c r="AH40" s="217"/>
      <c r="AI40" s="217"/>
      <c r="AJ40" s="213"/>
    </row>
    <row r="41" spans="1:36" ht="33.75" customHeight="1">
      <c r="A41" s="213"/>
      <c r="B41" s="214">
        <f ca="1">IFERROR(__xludf.DUMMYFUNCTION("""COMPUTED_VALUE"""),5015862)</f>
        <v>5015862</v>
      </c>
      <c r="C41" s="215" t="str">
        <f ca="1">IFERROR(__xludf.DUMMYFUNCTION("""COMPUTED_VALUE"""),"General")</f>
        <v>General</v>
      </c>
      <c r="D41" s="216" t="str">
        <f ca="1">IFERROR(__xludf.DUMMYFUNCTION("""COMPUTED_VALUE"""),"Embracing Unexpected Change")</f>
        <v>Embracing Unexpected Change</v>
      </c>
      <c r="E41" s="217"/>
      <c r="F41" s="213"/>
      <c r="G41" s="214"/>
      <c r="H41" s="215"/>
      <c r="I41" s="217"/>
      <c r="J41" s="217"/>
      <c r="K41" s="213"/>
      <c r="L41" s="215"/>
      <c r="M41" s="215"/>
      <c r="N41" s="217"/>
      <c r="O41" s="217"/>
      <c r="P41" s="213"/>
      <c r="Q41" s="215"/>
      <c r="R41" s="215"/>
      <c r="S41" s="217"/>
      <c r="T41" s="217"/>
      <c r="U41" s="213"/>
      <c r="V41" s="215"/>
      <c r="W41" s="215"/>
      <c r="X41" s="217"/>
      <c r="Y41" s="217"/>
      <c r="Z41" s="213"/>
      <c r="AA41" s="215"/>
      <c r="AB41" s="215"/>
      <c r="AC41" s="217"/>
      <c r="AD41" s="217"/>
      <c r="AE41" s="213"/>
      <c r="AF41" s="215"/>
      <c r="AG41" s="215"/>
      <c r="AH41" s="217"/>
      <c r="AI41" s="217"/>
      <c r="AJ41" s="213"/>
    </row>
    <row r="42" spans="1:36" ht="33.75" customHeight="1">
      <c r="A42" s="213"/>
      <c r="B42" s="214">
        <f ca="1">IFERROR(__xludf.DUMMYFUNCTION("""COMPUTED_VALUE"""),616671)</f>
        <v>616671</v>
      </c>
      <c r="C42" s="215" t="str">
        <f ca="1">IFERROR(__xludf.DUMMYFUNCTION("""COMPUTED_VALUE"""),"General")</f>
        <v>General</v>
      </c>
      <c r="D42" s="216" t="str">
        <f ca="1">IFERROR(__xludf.DUMMYFUNCTION("""COMPUTED_VALUE"""),"Learning Design for Sustainability")</f>
        <v>Learning Design for Sustainability</v>
      </c>
      <c r="E42" s="217"/>
      <c r="F42" s="213"/>
      <c r="G42" s="214"/>
      <c r="H42" s="215"/>
      <c r="I42" s="217"/>
      <c r="J42" s="217"/>
      <c r="K42" s="213"/>
      <c r="L42" s="215"/>
      <c r="M42" s="215"/>
      <c r="N42" s="217"/>
      <c r="O42" s="217"/>
      <c r="P42" s="213"/>
      <c r="Q42" s="215"/>
      <c r="R42" s="215"/>
      <c r="S42" s="217"/>
      <c r="T42" s="217"/>
      <c r="U42" s="213"/>
      <c r="V42" s="215"/>
      <c r="W42" s="215"/>
      <c r="X42" s="217"/>
      <c r="Y42" s="217"/>
      <c r="Z42" s="213"/>
      <c r="AA42" s="215"/>
      <c r="AB42" s="215"/>
      <c r="AC42" s="217"/>
      <c r="AD42" s="217"/>
      <c r="AE42" s="213"/>
      <c r="AF42" s="215"/>
      <c r="AG42" s="215"/>
      <c r="AH42" s="217"/>
      <c r="AI42" s="217"/>
      <c r="AJ42" s="213"/>
    </row>
    <row r="43" spans="1:36" ht="33.75" customHeight="1">
      <c r="A43" s="213"/>
      <c r="B43" s="214">
        <f ca="1">IFERROR(__xludf.DUMMYFUNCTION("""COMPUTED_VALUE"""),599597)</f>
        <v>599597</v>
      </c>
      <c r="C43" s="215" t="str">
        <f ca="1">IFERROR(__xludf.DUMMYFUNCTION("""COMPUTED_VALUE"""),"Beginner")</f>
        <v>Beginner</v>
      </c>
      <c r="D43" s="216" t="str">
        <f ca="1">IFERROR(__xludf.DUMMYFUNCTION("""COMPUTED_VALUE"""),"Performing under Pressure")</f>
        <v>Performing under Pressure</v>
      </c>
      <c r="E43" s="217"/>
      <c r="F43" s="213"/>
      <c r="G43" s="214"/>
      <c r="H43" s="215"/>
      <c r="I43" s="217"/>
      <c r="J43" s="217"/>
      <c r="K43" s="213"/>
      <c r="L43" s="215"/>
      <c r="M43" s="215"/>
      <c r="N43" s="217"/>
      <c r="O43" s="217"/>
      <c r="P43" s="213"/>
      <c r="Q43" s="215"/>
      <c r="R43" s="215"/>
      <c r="S43" s="217"/>
      <c r="T43" s="217"/>
      <c r="U43" s="213"/>
      <c r="V43" s="215"/>
      <c r="W43" s="215"/>
      <c r="X43" s="217"/>
      <c r="Y43" s="217"/>
      <c r="Z43" s="213"/>
      <c r="AA43" s="215"/>
      <c r="AB43" s="215"/>
      <c r="AC43" s="217"/>
      <c r="AD43" s="217"/>
      <c r="AE43" s="213"/>
      <c r="AF43" s="215"/>
      <c r="AG43" s="215"/>
      <c r="AH43" s="217"/>
      <c r="AI43" s="217"/>
      <c r="AJ43" s="213"/>
    </row>
    <row r="44" spans="1:36" ht="33.75" customHeight="1">
      <c r="A44" s="213"/>
      <c r="B44" s="214">
        <f ca="1">IFERROR(__xludf.DUMMYFUNCTION("""COMPUTED_VALUE"""),2807858)</f>
        <v>2807858</v>
      </c>
      <c r="C44" s="215" t="str">
        <f ca="1">IFERROR(__xludf.DUMMYFUNCTION("""COMPUTED_VALUE"""),"Beginner")</f>
        <v>Beginner</v>
      </c>
      <c r="D44" s="216" t="str">
        <f ca="1">IFERROR(__xludf.DUMMYFUNCTION("""COMPUTED_VALUE"""),"Women Transforming Tech: Getting Strategic with Your Career")</f>
        <v>Women Transforming Tech: Getting Strategic with Your Career</v>
      </c>
      <c r="E44" s="217"/>
      <c r="F44" s="213"/>
      <c r="G44" s="214"/>
      <c r="H44" s="215"/>
      <c r="I44" s="217"/>
      <c r="J44" s="217"/>
      <c r="K44" s="213"/>
      <c r="L44" s="215"/>
      <c r="M44" s="215"/>
      <c r="N44" s="217"/>
      <c r="O44" s="217"/>
      <c r="P44" s="213"/>
      <c r="Q44" s="215"/>
      <c r="R44" s="215"/>
      <c r="S44" s="217"/>
      <c r="T44" s="217"/>
      <c r="U44" s="213"/>
      <c r="V44" s="215"/>
      <c r="W44" s="215"/>
      <c r="X44" s="217"/>
      <c r="Y44" s="217"/>
      <c r="Z44" s="213"/>
      <c r="AA44" s="215"/>
      <c r="AB44" s="215"/>
      <c r="AC44" s="217"/>
      <c r="AD44" s="217"/>
      <c r="AE44" s="213"/>
      <c r="AF44" s="215"/>
      <c r="AG44" s="215"/>
      <c r="AH44" s="217"/>
      <c r="AI44" s="217"/>
      <c r="AJ44" s="213"/>
    </row>
    <row r="45" spans="1:36" ht="33.75" customHeight="1">
      <c r="A45" s="213"/>
      <c r="B45" s="214">
        <f ca="1">IFERROR(__xludf.DUMMYFUNCTION("""COMPUTED_VALUE"""),2810166)</f>
        <v>2810166</v>
      </c>
      <c r="C45" s="215" t="str">
        <f ca="1">IFERROR(__xludf.DUMMYFUNCTION("""COMPUTED_VALUE"""),"Beginner")</f>
        <v>Beginner</v>
      </c>
      <c r="D45" s="216" t="str">
        <f ca="1">IFERROR(__xludf.DUMMYFUNCTION("""COMPUTED_VALUE"""),"Women Transforming Tech: Breaking Bias")</f>
        <v>Women Transforming Tech: Breaking Bias</v>
      </c>
      <c r="E45" s="217"/>
      <c r="F45" s="213"/>
      <c r="G45" s="214"/>
      <c r="H45" s="215"/>
      <c r="I45" s="217"/>
      <c r="J45" s="217"/>
      <c r="K45" s="213"/>
      <c r="L45" s="215"/>
      <c r="M45" s="215"/>
      <c r="N45" s="217"/>
      <c r="O45" s="217"/>
      <c r="P45" s="213"/>
      <c r="Q45" s="215"/>
      <c r="R45" s="215"/>
      <c r="S45" s="217"/>
      <c r="T45" s="217"/>
      <c r="U45" s="213"/>
      <c r="V45" s="215"/>
      <c r="W45" s="215"/>
      <c r="X45" s="217"/>
      <c r="Y45" s="217"/>
      <c r="Z45" s="213"/>
      <c r="AA45" s="215"/>
      <c r="AB45" s="215"/>
      <c r="AC45" s="217"/>
      <c r="AD45" s="217"/>
      <c r="AE45" s="213"/>
      <c r="AF45" s="215"/>
      <c r="AG45" s="215"/>
      <c r="AH45" s="217"/>
      <c r="AI45" s="217"/>
      <c r="AJ45" s="213"/>
    </row>
    <row r="46" spans="1:36" ht="33.75" customHeight="1">
      <c r="A46" s="213"/>
      <c r="B46" s="214">
        <f ca="1">IFERROR(__xludf.DUMMYFUNCTION("""COMPUTED_VALUE"""),2825405)</f>
        <v>2825405</v>
      </c>
      <c r="C46" s="215" t="str">
        <f ca="1">IFERROR(__xludf.DUMMYFUNCTION("""COMPUTED_VALUE"""),"Beginner")</f>
        <v>Beginner</v>
      </c>
      <c r="D46" s="216" t="str">
        <f ca="1">IFERROR(__xludf.DUMMYFUNCTION("""COMPUTED_VALUE"""),"Guy Kawasaki on Turning Life Wisdom into Business Success")</f>
        <v>Guy Kawasaki on Turning Life Wisdom into Business Success</v>
      </c>
      <c r="E46" s="217"/>
      <c r="F46" s="213"/>
      <c r="G46" s="214"/>
      <c r="H46" s="215"/>
      <c r="I46" s="217"/>
      <c r="J46" s="217"/>
      <c r="K46" s="213"/>
      <c r="L46" s="215"/>
      <c r="M46" s="215"/>
      <c r="N46" s="217"/>
      <c r="O46" s="217"/>
      <c r="P46" s="213"/>
      <c r="Q46" s="215"/>
      <c r="R46" s="215"/>
      <c r="S46" s="217"/>
      <c r="T46" s="217"/>
      <c r="U46" s="213"/>
      <c r="V46" s="215"/>
      <c r="W46" s="215"/>
      <c r="X46" s="217"/>
      <c r="Y46" s="217"/>
      <c r="Z46" s="213"/>
      <c r="AA46" s="215"/>
      <c r="AB46" s="215"/>
      <c r="AC46" s="217"/>
      <c r="AD46" s="217"/>
      <c r="AE46" s="213"/>
      <c r="AF46" s="215"/>
      <c r="AG46" s="215"/>
      <c r="AH46" s="217"/>
      <c r="AI46" s="217"/>
      <c r="AJ46" s="213"/>
    </row>
    <row r="47" spans="1:36" ht="33.75" customHeight="1">
      <c r="A47" s="213"/>
      <c r="B47" s="214">
        <f ca="1">IFERROR(__xludf.DUMMYFUNCTION("""COMPUTED_VALUE"""),2848273)</f>
        <v>2848273</v>
      </c>
      <c r="C47" s="215" t="str">
        <f ca="1">IFERROR(__xludf.DUMMYFUNCTION("""COMPUTED_VALUE"""),"Beginner")</f>
        <v>Beginner</v>
      </c>
      <c r="D47" s="216" t="str">
        <f ca="1">IFERROR(__xludf.DUMMYFUNCTION("""COMPUTED_VALUE"""),"Advocating for Change in Your Organization")</f>
        <v>Advocating for Change in Your Organization</v>
      </c>
      <c r="E47" s="217"/>
      <c r="F47" s="213"/>
      <c r="G47" s="214"/>
      <c r="H47" s="215"/>
      <c r="I47" s="217"/>
      <c r="J47" s="217"/>
      <c r="K47" s="213"/>
      <c r="L47" s="215"/>
      <c r="M47" s="215"/>
      <c r="N47" s="217"/>
      <c r="O47" s="217"/>
      <c r="P47" s="213"/>
      <c r="Q47" s="215"/>
      <c r="R47" s="215"/>
      <c r="S47" s="217"/>
      <c r="T47" s="217"/>
      <c r="U47" s="213"/>
      <c r="V47" s="215"/>
      <c r="W47" s="215"/>
      <c r="X47" s="217"/>
      <c r="Y47" s="217"/>
      <c r="Z47" s="213"/>
      <c r="AA47" s="215"/>
      <c r="AB47" s="215"/>
      <c r="AC47" s="217"/>
      <c r="AD47" s="217"/>
      <c r="AE47" s="213"/>
      <c r="AF47" s="215"/>
      <c r="AG47" s="215"/>
      <c r="AH47" s="217"/>
      <c r="AI47" s="217"/>
      <c r="AJ47" s="213"/>
    </row>
    <row r="48" spans="1:36" ht="33.75" customHeight="1">
      <c r="A48" s="213"/>
      <c r="B48" s="214">
        <f ca="1">IFERROR(__xludf.DUMMYFUNCTION("""COMPUTED_VALUE"""),2893008)</f>
        <v>2893008</v>
      </c>
      <c r="C48" s="215" t="str">
        <f ca="1">IFERROR(__xludf.DUMMYFUNCTION("""COMPUTED_VALUE"""),"Beginner")</f>
        <v>Beginner</v>
      </c>
      <c r="D48" s="216" t="str">
        <f ca="1">IFERROR(__xludf.DUMMYFUNCTION("""COMPUTED_VALUE"""),"Demystifying Company Culture")</f>
        <v>Demystifying Company Culture</v>
      </c>
      <c r="E48" s="217"/>
      <c r="F48" s="213"/>
      <c r="G48" s="214"/>
      <c r="H48" s="215"/>
      <c r="I48" s="217"/>
      <c r="J48" s="217"/>
      <c r="K48" s="213"/>
      <c r="L48" s="215"/>
      <c r="M48" s="215"/>
      <c r="N48" s="217"/>
      <c r="O48" s="217"/>
      <c r="P48" s="213"/>
      <c r="Q48" s="215"/>
      <c r="R48" s="215"/>
      <c r="S48" s="217"/>
      <c r="T48" s="217"/>
      <c r="U48" s="213"/>
      <c r="V48" s="215"/>
      <c r="W48" s="215"/>
      <c r="X48" s="217"/>
      <c r="Y48" s="217"/>
      <c r="Z48" s="213"/>
      <c r="AA48" s="215"/>
      <c r="AB48" s="215"/>
      <c r="AC48" s="217"/>
      <c r="AD48" s="217"/>
      <c r="AE48" s="213"/>
      <c r="AF48" s="215"/>
      <c r="AG48" s="215"/>
      <c r="AH48" s="217"/>
      <c r="AI48" s="217"/>
      <c r="AJ48" s="213"/>
    </row>
    <row r="49" spans="1:36" ht="33.75" customHeight="1">
      <c r="A49" s="213"/>
      <c r="B49" s="214">
        <f ca="1">IFERROR(__xludf.DUMMYFUNCTION("""COMPUTED_VALUE"""),2877283)</f>
        <v>2877283</v>
      </c>
      <c r="C49" s="215" t="str">
        <f ca="1">IFERROR(__xludf.DUMMYFUNCTION("""COMPUTED_VALUE"""),"Beginner")</f>
        <v>Beginner</v>
      </c>
      <c r="D49" s="216" t="str">
        <f ca="1">IFERROR(__xludf.DUMMYFUNCTION("""COMPUTED_VALUE"""),"Creating a Great Place to Work for All")</f>
        <v>Creating a Great Place to Work for All</v>
      </c>
      <c r="E49" s="217"/>
      <c r="F49" s="213"/>
      <c r="G49" s="214"/>
      <c r="H49" s="215"/>
      <c r="I49" s="217"/>
      <c r="J49" s="217"/>
      <c r="K49" s="213"/>
      <c r="L49" s="215"/>
      <c r="M49" s="215"/>
      <c r="N49" s="217"/>
      <c r="O49" s="217"/>
      <c r="P49" s="213"/>
      <c r="Q49" s="215"/>
      <c r="R49" s="215"/>
      <c r="S49" s="217"/>
      <c r="T49" s="217"/>
      <c r="U49" s="213"/>
      <c r="V49" s="215"/>
      <c r="W49" s="215"/>
      <c r="X49" s="217"/>
      <c r="Y49" s="217"/>
      <c r="Z49" s="213"/>
      <c r="AA49" s="215"/>
      <c r="AB49" s="215"/>
      <c r="AC49" s="217"/>
      <c r="AD49" s="217"/>
      <c r="AE49" s="213"/>
      <c r="AF49" s="215"/>
      <c r="AG49" s="215"/>
      <c r="AH49" s="217"/>
      <c r="AI49" s="217"/>
      <c r="AJ49" s="213"/>
    </row>
    <row r="50" spans="1:36" ht="33.75" customHeight="1">
      <c r="A50" s="213"/>
      <c r="B50" s="214">
        <f ca="1">IFERROR(__xludf.DUMMYFUNCTION("""COMPUTED_VALUE"""),2893113)</f>
        <v>2893113</v>
      </c>
      <c r="C50" s="215" t="str">
        <f ca="1">IFERROR(__xludf.DUMMYFUNCTION("""COMPUTED_VALUE"""),"Beginner")</f>
        <v>Beginner</v>
      </c>
      <c r="D50" s="216" t="str">
        <f ca="1">IFERROR(__xludf.DUMMYFUNCTION("""COMPUTED_VALUE"""),"Change Management Tips for Individuals")</f>
        <v>Change Management Tips for Individuals</v>
      </c>
      <c r="E50" s="217"/>
      <c r="F50" s="213"/>
      <c r="G50" s="214"/>
      <c r="H50" s="215"/>
      <c r="I50" s="217"/>
      <c r="J50" s="217"/>
      <c r="K50" s="213"/>
      <c r="L50" s="215"/>
      <c r="M50" s="215"/>
      <c r="N50" s="217"/>
      <c r="O50" s="217"/>
      <c r="P50" s="213"/>
      <c r="Q50" s="215"/>
      <c r="R50" s="215"/>
      <c r="S50" s="217"/>
      <c r="T50" s="217"/>
      <c r="U50" s="213"/>
      <c r="V50" s="215"/>
      <c r="W50" s="215"/>
      <c r="X50" s="217"/>
      <c r="Y50" s="217"/>
      <c r="Z50" s="213"/>
      <c r="AA50" s="215"/>
      <c r="AB50" s="215"/>
      <c r="AC50" s="217"/>
      <c r="AD50" s="217"/>
      <c r="AE50" s="213"/>
      <c r="AF50" s="215"/>
      <c r="AG50" s="215"/>
      <c r="AH50" s="217"/>
      <c r="AI50" s="217"/>
      <c r="AJ50" s="213"/>
    </row>
    <row r="51" spans="1:36" ht="33.75" customHeight="1">
      <c r="A51" s="213"/>
      <c r="B51" s="214">
        <f ca="1">IFERROR(__xludf.DUMMYFUNCTION("""COMPUTED_VALUE"""),2422661)</f>
        <v>2422661</v>
      </c>
      <c r="C51" s="215" t="str">
        <f ca="1">IFERROR(__xludf.DUMMYFUNCTION("""COMPUTED_VALUE"""),"Beginner")</f>
        <v>Beginner</v>
      </c>
      <c r="D51" s="216" t="str">
        <f ca="1">IFERROR(__xludf.DUMMYFUNCTION("""COMPUTED_VALUE"""),"How to Lead and Inspire Change")</f>
        <v>How to Lead and Inspire Change</v>
      </c>
      <c r="E51" s="217"/>
      <c r="F51" s="213"/>
      <c r="G51" s="214"/>
      <c r="H51" s="215"/>
      <c r="I51" s="217"/>
      <c r="J51" s="217"/>
      <c r="K51" s="213"/>
      <c r="L51" s="215"/>
      <c r="M51" s="215"/>
      <c r="N51" s="217"/>
      <c r="O51" s="217"/>
      <c r="P51" s="213"/>
      <c r="Q51" s="215"/>
      <c r="R51" s="215"/>
      <c r="S51" s="217"/>
      <c r="T51" s="217"/>
      <c r="U51" s="213"/>
      <c r="V51" s="215"/>
      <c r="W51" s="215"/>
      <c r="X51" s="217"/>
      <c r="Y51" s="217"/>
      <c r="Z51" s="213"/>
      <c r="AA51" s="215"/>
      <c r="AB51" s="215"/>
      <c r="AC51" s="217"/>
      <c r="AD51" s="217"/>
      <c r="AE51" s="213"/>
      <c r="AF51" s="215"/>
      <c r="AG51" s="215"/>
      <c r="AH51" s="217"/>
      <c r="AI51" s="217"/>
      <c r="AJ51" s="213"/>
    </row>
    <row r="52" spans="1:36" ht="33.75" customHeight="1">
      <c r="A52" s="213"/>
      <c r="B52" s="214">
        <f ca="1">IFERROR(__xludf.DUMMYFUNCTION("""COMPUTED_VALUE"""),3013036)</f>
        <v>3013036</v>
      </c>
      <c r="C52" s="215" t="str">
        <f ca="1">IFERROR(__xludf.DUMMYFUNCTION("""COMPUTED_VALUE"""),"Beginner")</f>
        <v>Beginner</v>
      </c>
      <c r="D52" s="216" t="str">
        <f ca="1">IFERROR(__xludf.DUMMYFUNCTION("""COMPUTED_VALUE"""),"Creating Safe Spaces for Tough Conversations at Work")</f>
        <v>Creating Safe Spaces for Tough Conversations at Work</v>
      </c>
      <c r="E52" s="217"/>
      <c r="F52" s="213"/>
      <c r="G52" s="214"/>
      <c r="H52" s="215"/>
      <c r="I52" s="217"/>
      <c r="J52" s="217"/>
      <c r="K52" s="213"/>
      <c r="L52" s="215"/>
      <c r="M52" s="215"/>
      <c r="N52" s="217"/>
      <c r="O52" s="217"/>
      <c r="P52" s="213"/>
      <c r="Q52" s="215"/>
      <c r="R52" s="215"/>
      <c r="S52" s="217"/>
      <c r="T52" s="217"/>
      <c r="U52" s="213"/>
      <c r="V52" s="215"/>
      <c r="W52" s="215"/>
      <c r="X52" s="217"/>
      <c r="Y52" s="217"/>
      <c r="Z52" s="213"/>
      <c r="AA52" s="215"/>
      <c r="AB52" s="215"/>
      <c r="AC52" s="217"/>
      <c r="AD52" s="217"/>
      <c r="AE52" s="213"/>
      <c r="AF52" s="215"/>
      <c r="AG52" s="215"/>
      <c r="AH52" s="217"/>
      <c r="AI52" s="217"/>
      <c r="AJ52" s="213"/>
    </row>
    <row r="53" spans="1:36" ht="33.75" customHeight="1">
      <c r="A53" s="213"/>
      <c r="B53" s="214">
        <f ca="1">IFERROR(__xludf.DUMMYFUNCTION("""COMPUTED_VALUE"""),3008555)</f>
        <v>3008555</v>
      </c>
      <c r="C53" s="215" t="str">
        <f ca="1">IFERROR(__xludf.DUMMYFUNCTION("""COMPUTED_VALUE"""),"Beginner")</f>
        <v>Beginner</v>
      </c>
      <c r="D53" s="216" t="str">
        <f ca="1">IFERROR(__xludf.DUMMYFUNCTION("""COMPUTED_VALUE"""),"Strategies to Foster Inclusive Language at Work")</f>
        <v>Strategies to Foster Inclusive Language at Work</v>
      </c>
      <c r="E53" s="217"/>
      <c r="F53" s="213"/>
      <c r="G53" s="214"/>
      <c r="H53" s="215"/>
      <c r="I53" s="217"/>
      <c r="J53" s="217"/>
      <c r="K53" s="213"/>
      <c r="L53" s="215"/>
      <c r="M53" s="215"/>
      <c r="N53" s="217"/>
      <c r="O53" s="217"/>
      <c r="P53" s="213"/>
      <c r="Q53" s="215"/>
      <c r="R53" s="215"/>
      <c r="S53" s="217"/>
      <c r="T53" s="217"/>
      <c r="U53" s="213"/>
      <c r="V53" s="215"/>
      <c r="W53" s="215"/>
      <c r="X53" s="217"/>
      <c r="Y53" s="217"/>
      <c r="Z53" s="213"/>
      <c r="AA53" s="215"/>
      <c r="AB53" s="215"/>
      <c r="AC53" s="217"/>
      <c r="AD53" s="217"/>
      <c r="AE53" s="213"/>
      <c r="AF53" s="215"/>
      <c r="AG53" s="215"/>
      <c r="AH53" s="217"/>
      <c r="AI53" s="217"/>
      <c r="AJ53" s="213"/>
    </row>
    <row r="54" spans="1:36" ht="33.75" customHeight="1">
      <c r="A54" s="213"/>
      <c r="B54" s="214">
        <f ca="1">IFERROR(__xludf.DUMMYFUNCTION("""COMPUTED_VALUE"""),2815033)</f>
        <v>2815033</v>
      </c>
      <c r="C54" s="215" t="str">
        <f ca="1">IFERROR(__xludf.DUMMYFUNCTION("""COMPUTED_VALUE"""),"Beginner + Intermediate")</f>
        <v>Beginner + Intermediate</v>
      </c>
      <c r="D54" s="216" t="str">
        <f ca="1">IFERROR(__xludf.DUMMYFUNCTION("""COMPUTED_VALUE"""),"Mixtape: Highlights from LinkedIn Learning Courses")</f>
        <v>Mixtape: Highlights from LinkedIn Learning Courses</v>
      </c>
      <c r="E54" s="217"/>
      <c r="F54" s="213"/>
      <c r="G54" s="214"/>
      <c r="H54" s="215"/>
      <c r="I54" s="217"/>
      <c r="J54" s="217"/>
      <c r="K54" s="213"/>
      <c r="L54" s="215"/>
      <c r="M54" s="215"/>
      <c r="N54" s="217"/>
      <c r="O54" s="217"/>
      <c r="P54" s="213"/>
      <c r="Q54" s="215"/>
      <c r="R54" s="215"/>
      <c r="S54" s="217"/>
      <c r="T54" s="217"/>
      <c r="U54" s="213"/>
      <c r="V54" s="215"/>
      <c r="W54" s="215"/>
      <c r="X54" s="217"/>
      <c r="Y54" s="217"/>
      <c r="Z54" s="213"/>
      <c r="AA54" s="215"/>
      <c r="AB54" s="215"/>
      <c r="AC54" s="217"/>
      <c r="AD54" s="217"/>
      <c r="AE54" s="213"/>
      <c r="AF54" s="215"/>
      <c r="AG54" s="215"/>
      <c r="AH54" s="217"/>
      <c r="AI54" s="217"/>
      <c r="AJ54" s="213"/>
    </row>
    <row r="55" spans="1:36" ht="33.75" customHeight="1">
      <c r="A55" s="213"/>
      <c r="B55" s="214">
        <f ca="1">IFERROR(__xludf.DUMMYFUNCTION("""COMPUTED_VALUE"""),2808538)</f>
        <v>2808538</v>
      </c>
      <c r="C55" s="215" t="str">
        <f ca="1">IFERROR(__xludf.DUMMYFUNCTION("""COMPUTED_VALUE"""),"Beginner + Intermediate")</f>
        <v>Beginner + Intermediate</v>
      </c>
      <c r="D55" s="216" t="str">
        <f ca="1">IFERROR(__xludf.DUMMYFUNCTION("""COMPUTED_VALUE"""),"Being Your Own Fierce Self-Advocate")</f>
        <v>Being Your Own Fierce Self-Advocate</v>
      </c>
      <c r="E55" s="217"/>
      <c r="F55" s="213"/>
      <c r="G55" s="214"/>
      <c r="H55" s="215"/>
      <c r="I55" s="217"/>
      <c r="J55" s="217"/>
      <c r="K55" s="213"/>
      <c r="L55" s="215"/>
      <c r="M55" s="215"/>
      <c r="N55" s="217"/>
      <c r="O55" s="217"/>
      <c r="P55" s="213"/>
      <c r="Q55" s="215"/>
      <c r="R55" s="215"/>
      <c r="S55" s="217"/>
      <c r="T55" s="217"/>
      <c r="U55" s="213"/>
      <c r="V55" s="215"/>
      <c r="W55" s="215"/>
      <c r="X55" s="217"/>
      <c r="Y55" s="217"/>
      <c r="Z55" s="213"/>
      <c r="AA55" s="215"/>
      <c r="AB55" s="215"/>
      <c r="AC55" s="217"/>
      <c r="AD55" s="217"/>
      <c r="AE55" s="213"/>
      <c r="AF55" s="215"/>
      <c r="AG55" s="215"/>
      <c r="AH55" s="217"/>
      <c r="AI55" s="217"/>
      <c r="AJ55" s="213"/>
    </row>
    <row r="56" spans="1:36" ht="33.75" customHeight="1">
      <c r="A56" s="213"/>
      <c r="B56" s="214">
        <f ca="1">IFERROR(__xludf.DUMMYFUNCTION("""COMPUTED_VALUE"""),659269)</f>
        <v>659269</v>
      </c>
      <c r="C56" s="215" t="str">
        <f ca="1">IFERROR(__xludf.DUMMYFUNCTION("""COMPUTED_VALUE"""),"Beginner + Intermediate")</f>
        <v>Beginner + Intermediate</v>
      </c>
      <c r="D56" s="216" t="str">
        <f ca="1">IFERROR(__xludf.DUMMYFUNCTION("""COMPUTED_VALUE"""),"Managing Stress for Positive Change")</f>
        <v>Managing Stress for Positive Change</v>
      </c>
      <c r="E56" s="217"/>
      <c r="F56" s="213"/>
      <c r="G56" s="214"/>
      <c r="H56" s="215"/>
      <c r="I56" s="217"/>
      <c r="J56" s="217"/>
      <c r="K56" s="213"/>
      <c r="L56" s="215"/>
      <c r="M56" s="215"/>
      <c r="N56" s="217"/>
      <c r="O56" s="217"/>
      <c r="P56" s="213"/>
      <c r="Q56" s="215"/>
      <c r="R56" s="215"/>
      <c r="S56" s="217"/>
      <c r="T56" s="217"/>
      <c r="U56" s="213"/>
      <c r="V56" s="215"/>
      <c r="W56" s="215"/>
      <c r="X56" s="217"/>
      <c r="Y56" s="217"/>
      <c r="Z56" s="213"/>
      <c r="AA56" s="215"/>
      <c r="AB56" s="215"/>
      <c r="AC56" s="217"/>
      <c r="AD56" s="217"/>
      <c r="AE56" s="213"/>
      <c r="AF56" s="215"/>
      <c r="AG56" s="215"/>
      <c r="AH56" s="217"/>
      <c r="AI56" s="217"/>
      <c r="AJ56" s="213"/>
    </row>
    <row r="57" spans="1:36" ht="33.75" customHeight="1">
      <c r="A57" s="213"/>
      <c r="B57" s="214">
        <f ca="1">IFERROR(__xludf.DUMMYFUNCTION("""COMPUTED_VALUE"""),699331)</f>
        <v>699331</v>
      </c>
      <c r="C57" s="215" t="str">
        <f ca="1">IFERROR(__xludf.DUMMYFUNCTION("""COMPUTED_VALUE"""),"Intermediate")</f>
        <v>Intermediate</v>
      </c>
      <c r="D57" s="216" t="str">
        <f ca="1">IFERROR(__xludf.DUMMYFUNCTION("""COMPUTED_VALUE"""),"Adaptive Project Leadership")</f>
        <v>Adaptive Project Leadership</v>
      </c>
      <c r="E57" s="217"/>
      <c r="F57" s="213"/>
      <c r="G57" s="214"/>
      <c r="H57" s="215"/>
      <c r="I57" s="217"/>
      <c r="J57" s="217"/>
      <c r="K57" s="213"/>
      <c r="L57" s="215"/>
      <c r="M57" s="215"/>
      <c r="N57" s="217"/>
      <c r="O57" s="217"/>
      <c r="P57" s="213"/>
      <c r="Q57" s="215"/>
      <c r="R57" s="215"/>
      <c r="S57" s="217"/>
      <c r="T57" s="217"/>
      <c r="U57" s="213"/>
      <c r="V57" s="215"/>
      <c r="W57" s="215"/>
      <c r="X57" s="217"/>
      <c r="Y57" s="217"/>
      <c r="Z57" s="213"/>
      <c r="AA57" s="215"/>
      <c r="AB57" s="215"/>
      <c r="AC57" s="217"/>
      <c r="AD57" s="217"/>
      <c r="AE57" s="213"/>
      <c r="AF57" s="215"/>
      <c r="AG57" s="215"/>
      <c r="AH57" s="217"/>
      <c r="AI57" s="217"/>
      <c r="AJ57" s="213"/>
    </row>
    <row r="58" spans="1:36" ht="33.75" customHeight="1">
      <c r="A58" s="213"/>
      <c r="B58" s="214">
        <f ca="1">IFERROR(__xludf.DUMMYFUNCTION("""COMPUTED_VALUE"""),718627)</f>
        <v>718627</v>
      </c>
      <c r="C58" s="215" t="str">
        <f ca="1">IFERROR(__xludf.DUMMYFUNCTION("""COMPUTED_VALUE"""),"Intermediate")</f>
        <v>Intermediate</v>
      </c>
      <c r="D58" s="216" t="str">
        <f ca="1">IFERROR(__xludf.DUMMYFUNCTION("""COMPUTED_VALUE"""),"Enhancing Team Innovation")</f>
        <v>Enhancing Team Innovation</v>
      </c>
      <c r="E58" s="217"/>
      <c r="F58" s="213"/>
      <c r="G58" s="214"/>
      <c r="H58" s="215"/>
      <c r="I58" s="217"/>
      <c r="J58" s="217"/>
      <c r="K58" s="213"/>
      <c r="L58" s="215"/>
      <c r="M58" s="215"/>
      <c r="N58" s="217"/>
      <c r="O58" s="217"/>
      <c r="P58" s="213"/>
      <c r="Q58" s="215"/>
      <c r="R58" s="215"/>
      <c r="S58" s="217"/>
      <c r="T58" s="217"/>
      <c r="U58" s="213"/>
      <c r="V58" s="215"/>
      <c r="W58" s="215"/>
      <c r="X58" s="217"/>
      <c r="Y58" s="217"/>
      <c r="Z58" s="213"/>
      <c r="AA58" s="215"/>
      <c r="AB58" s="215"/>
      <c r="AC58" s="217"/>
      <c r="AD58" s="217"/>
      <c r="AE58" s="213"/>
      <c r="AF58" s="215"/>
      <c r="AG58" s="215"/>
      <c r="AH58" s="217"/>
      <c r="AI58" s="217"/>
      <c r="AJ58" s="213"/>
    </row>
    <row r="59" spans="1:36" ht="33.75" customHeight="1">
      <c r="A59" s="213"/>
      <c r="B59" s="214">
        <f ca="1">IFERROR(__xludf.DUMMYFUNCTION("""COMPUTED_VALUE"""),2814066)</f>
        <v>2814066</v>
      </c>
      <c r="C59" s="215" t="str">
        <f ca="1">IFERROR(__xludf.DUMMYFUNCTION("""COMPUTED_VALUE"""),"Intermediate")</f>
        <v>Intermediate</v>
      </c>
      <c r="D59" s="216" t="str">
        <f ca="1">IFERROR(__xludf.DUMMYFUNCTION("""COMPUTED_VALUE"""),"Leading with Kindness and Strength")</f>
        <v>Leading with Kindness and Strength</v>
      </c>
      <c r="E59" s="217"/>
      <c r="F59" s="213"/>
      <c r="G59" s="214"/>
      <c r="H59" s="215"/>
      <c r="I59" s="217"/>
      <c r="J59" s="217"/>
      <c r="K59" s="213"/>
      <c r="L59" s="215"/>
      <c r="M59" s="215"/>
      <c r="N59" s="217"/>
      <c r="O59" s="217"/>
      <c r="P59" s="213"/>
      <c r="Q59" s="215"/>
      <c r="R59" s="215"/>
      <c r="S59" s="217"/>
      <c r="T59" s="217"/>
      <c r="U59" s="213"/>
      <c r="V59" s="215"/>
      <c r="W59" s="215"/>
      <c r="X59" s="217"/>
      <c r="Y59" s="217"/>
      <c r="Z59" s="213"/>
      <c r="AA59" s="215"/>
      <c r="AB59" s="215"/>
      <c r="AC59" s="217"/>
      <c r="AD59" s="217"/>
      <c r="AE59" s="213"/>
      <c r="AF59" s="215"/>
      <c r="AG59" s="215"/>
      <c r="AH59" s="217"/>
      <c r="AI59" s="217"/>
      <c r="AJ59" s="213"/>
    </row>
    <row r="60" spans="1:36" ht="33.75" customHeight="1">
      <c r="A60" s="213"/>
      <c r="B60" s="214">
        <f ca="1">IFERROR(__xludf.DUMMYFUNCTION("""COMPUTED_VALUE"""),2823041)</f>
        <v>2823041</v>
      </c>
      <c r="C60" s="215" t="str">
        <f ca="1">IFERROR(__xludf.DUMMYFUNCTION("""COMPUTED_VALUE"""),"Intermediate")</f>
        <v>Intermediate</v>
      </c>
      <c r="D60" s="216" t="str">
        <f ca="1">IFERROR(__xludf.DUMMYFUNCTION("""COMPUTED_VALUE"""),"Communicating Change in an Enterprise-Wide Transformation")</f>
        <v>Communicating Change in an Enterprise-Wide Transformation</v>
      </c>
      <c r="E60" s="217"/>
      <c r="F60" s="213"/>
      <c r="G60" s="214"/>
      <c r="H60" s="215"/>
      <c r="I60" s="217"/>
      <c r="J60" s="217"/>
      <c r="K60" s="213"/>
      <c r="L60" s="215"/>
      <c r="M60" s="215"/>
      <c r="N60" s="217"/>
      <c r="O60" s="217"/>
      <c r="P60" s="213"/>
      <c r="Q60" s="215"/>
      <c r="R60" s="215"/>
      <c r="S60" s="217"/>
      <c r="T60" s="217"/>
      <c r="U60" s="213"/>
      <c r="V60" s="215"/>
      <c r="W60" s="215"/>
      <c r="X60" s="217"/>
      <c r="Y60" s="217"/>
      <c r="Z60" s="213"/>
      <c r="AA60" s="215"/>
      <c r="AB60" s="215"/>
      <c r="AC60" s="217"/>
      <c r="AD60" s="217"/>
      <c r="AE60" s="213"/>
      <c r="AF60" s="215"/>
      <c r="AG60" s="215"/>
      <c r="AH60" s="217"/>
      <c r="AI60" s="217"/>
      <c r="AJ60" s="213"/>
    </row>
    <row r="61" spans="1:36" ht="33.75" customHeight="1">
      <c r="A61" s="213"/>
      <c r="B61" s="214">
        <f ca="1">IFERROR(__xludf.DUMMYFUNCTION("""COMPUTED_VALUE"""),2836015)</f>
        <v>2836015</v>
      </c>
      <c r="C61" s="215" t="str">
        <f ca="1">IFERROR(__xludf.DUMMYFUNCTION("""COMPUTED_VALUE"""),"Intermediate")</f>
        <v>Intermediate</v>
      </c>
      <c r="D61" s="216" t="str">
        <f ca="1">IFERROR(__xludf.DUMMYFUNCTION("""COMPUTED_VALUE"""),"How to Innovate and Stay Relevant in Times of Change and Uncertainty")</f>
        <v>How to Innovate and Stay Relevant in Times of Change and Uncertainty</v>
      </c>
      <c r="E61" s="217"/>
      <c r="F61" s="213"/>
      <c r="G61" s="214"/>
      <c r="H61" s="215"/>
      <c r="I61" s="217"/>
      <c r="J61" s="217"/>
      <c r="K61" s="213"/>
      <c r="L61" s="215"/>
      <c r="M61" s="215"/>
      <c r="N61" s="217"/>
      <c r="O61" s="217"/>
      <c r="P61" s="213"/>
      <c r="Q61" s="215"/>
      <c r="R61" s="215"/>
      <c r="S61" s="217"/>
      <c r="T61" s="217"/>
      <c r="U61" s="213"/>
      <c r="V61" s="215"/>
      <c r="W61" s="215"/>
      <c r="X61" s="217"/>
      <c r="Y61" s="217"/>
      <c r="Z61" s="213"/>
      <c r="AA61" s="215"/>
      <c r="AB61" s="215"/>
      <c r="AC61" s="217"/>
      <c r="AD61" s="217"/>
      <c r="AE61" s="213"/>
      <c r="AF61" s="215"/>
      <c r="AG61" s="215"/>
      <c r="AH61" s="217"/>
      <c r="AI61" s="217"/>
      <c r="AJ61" s="213"/>
    </row>
    <row r="62" spans="1:36" ht="33.75" customHeight="1">
      <c r="A62" s="213"/>
      <c r="B62" s="214">
        <f ca="1">IFERROR(__xludf.DUMMYFUNCTION("""COMPUTED_VALUE"""),2838146)</f>
        <v>2838146</v>
      </c>
      <c r="C62" s="215" t="str">
        <f ca="1">IFERROR(__xludf.DUMMYFUNCTION("""COMPUTED_VALUE"""),"Intermediate")</f>
        <v>Intermediate</v>
      </c>
      <c r="D62" s="216" t="str">
        <f ca="1">IFERROR(__xludf.DUMMYFUNCTION("""COMPUTED_VALUE"""),"Leading in Uncertain Times")</f>
        <v>Leading in Uncertain Times</v>
      </c>
      <c r="E62" s="217"/>
      <c r="F62" s="213"/>
      <c r="G62" s="214"/>
      <c r="H62" s="215"/>
      <c r="I62" s="217"/>
      <c r="J62" s="217"/>
      <c r="K62" s="213"/>
      <c r="L62" s="215"/>
      <c r="M62" s="215"/>
      <c r="N62" s="217"/>
      <c r="O62" s="217"/>
      <c r="P62" s="213"/>
      <c r="Q62" s="215"/>
      <c r="R62" s="215"/>
      <c r="S62" s="217"/>
      <c r="T62" s="217"/>
      <c r="U62" s="213"/>
      <c r="V62" s="215"/>
      <c r="W62" s="215"/>
      <c r="X62" s="217"/>
      <c r="Y62" s="217"/>
      <c r="Z62" s="213"/>
      <c r="AA62" s="215"/>
      <c r="AB62" s="215"/>
      <c r="AC62" s="217"/>
      <c r="AD62" s="217"/>
      <c r="AE62" s="213"/>
      <c r="AF62" s="215"/>
      <c r="AG62" s="215"/>
      <c r="AH62" s="217"/>
      <c r="AI62" s="217"/>
      <c r="AJ62" s="213"/>
    </row>
    <row r="63" spans="1:36" ht="33.75" customHeight="1">
      <c r="A63" s="213"/>
      <c r="B63" s="214">
        <f ca="1">IFERROR(__xludf.DUMMYFUNCTION("""COMPUTED_VALUE"""),2825691)</f>
        <v>2825691</v>
      </c>
      <c r="C63" s="215" t="str">
        <f ca="1">IFERROR(__xludf.DUMMYFUNCTION("""COMPUTED_VALUE"""),"General")</f>
        <v>General</v>
      </c>
      <c r="D63" s="216" t="str">
        <f ca="1">IFERROR(__xludf.DUMMYFUNCTION("""COMPUTED_VALUE"""),"The Employee's Guide to Sustainability")</f>
        <v>The Employee's Guide to Sustainability</v>
      </c>
      <c r="E63" s="217"/>
      <c r="F63" s="213"/>
      <c r="G63" s="214"/>
      <c r="H63" s="215"/>
      <c r="I63" s="217"/>
      <c r="J63" s="217"/>
      <c r="K63" s="213"/>
      <c r="L63" s="215"/>
      <c r="M63" s="215"/>
      <c r="N63" s="217"/>
      <c r="O63" s="217"/>
      <c r="P63" s="213"/>
      <c r="Q63" s="215"/>
      <c r="R63" s="215"/>
      <c r="S63" s="217"/>
      <c r="T63" s="217"/>
      <c r="U63" s="213"/>
      <c r="V63" s="215"/>
      <c r="W63" s="215"/>
      <c r="X63" s="217"/>
      <c r="Y63" s="217"/>
      <c r="Z63" s="213"/>
      <c r="AA63" s="215"/>
      <c r="AB63" s="215"/>
      <c r="AC63" s="217"/>
      <c r="AD63" s="217"/>
      <c r="AE63" s="213"/>
      <c r="AF63" s="215"/>
      <c r="AG63" s="215"/>
      <c r="AH63" s="217"/>
      <c r="AI63" s="217"/>
      <c r="AJ63" s="213"/>
    </row>
    <row r="64" spans="1:36" ht="33.75" customHeight="1">
      <c r="A64" s="213"/>
      <c r="B64" s="214">
        <f ca="1">IFERROR(__xludf.DUMMYFUNCTION("""COMPUTED_VALUE"""),2825458)</f>
        <v>2825458</v>
      </c>
      <c r="C64" s="215" t="str">
        <f ca="1">IFERROR(__xludf.DUMMYFUNCTION("""COMPUTED_VALUE"""),"General")</f>
        <v>General</v>
      </c>
      <c r="D64" s="216" t="str">
        <f ca="1">IFERROR(__xludf.DUMMYFUNCTION("""COMPUTED_VALUE"""),"Emily Cohen: Brutal Honesty as a Business Strategy")</f>
        <v>Emily Cohen: Brutal Honesty as a Business Strategy</v>
      </c>
      <c r="E64" s="217"/>
      <c r="F64" s="213"/>
      <c r="G64" s="214"/>
      <c r="H64" s="215"/>
      <c r="I64" s="217"/>
      <c r="J64" s="217"/>
      <c r="K64" s="213"/>
      <c r="L64" s="215"/>
      <c r="M64" s="215"/>
      <c r="N64" s="217"/>
      <c r="O64" s="217"/>
      <c r="P64" s="213"/>
      <c r="Q64" s="215"/>
      <c r="R64" s="215"/>
      <c r="S64" s="217"/>
      <c r="T64" s="217"/>
      <c r="U64" s="213"/>
      <c r="V64" s="215"/>
      <c r="W64" s="215"/>
      <c r="X64" s="217"/>
      <c r="Y64" s="217"/>
      <c r="Z64" s="213"/>
      <c r="AA64" s="215"/>
      <c r="AB64" s="215"/>
      <c r="AC64" s="217"/>
      <c r="AD64" s="217"/>
      <c r="AE64" s="213"/>
      <c r="AF64" s="215"/>
      <c r="AG64" s="215"/>
      <c r="AH64" s="217"/>
      <c r="AI64" s="217"/>
      <c r="AJ64" s="213"/>
    </row>
    <row r="65" spans="1:36" ht="33.75" customHeight="1">
      <c r="A65" s="213"/>
      <c r="B65" s="214">
        <f ca="1">IFERROR(__xludf.DUMMYFUNCTION("""COMPUTED_VALUE"""),2839077)</f>
        <v>2839077</v>
      </c>
      <c r="C65" s="215" t="str">
        <f ca="1">IFERROR(__xludf.DUMMYFUNCTION("""COMPUTED_VALUE"""),"General")</f>
        <v>General</v>
      </c>
      <c r="D65" s="216" t="str">
        <f ca="1">IFERROR(__xludf.DUMMYFUNCTION("""COMPUTED_VALUE"""),"Reframing Organizations (Blinkist Summary)")</f>
        <v>Reframing Organizations (Blinkist Summary)</v>
      </c>
      <c r="E65" s="217"/>
      <c r="F65" s="213"/>
      <c r="G65" s="214"/>
      <c r="H65" s="215"/>
      <c r="I65" s="217"/>
      <c r="J65" s="217"/>
      <c r="K65" s="213"/>
      <c r="L65" s="215"/>
      <c r="M65" s="215"/>
      <c r="N65" s="217"/>
      <c r="O65" s="217"/>
      <c r="P65" s="213"/>
      <c r="Q65" s="215"/>
      <c r="R65" s="215"/>
      <c r="S65" s="217"/>
      <c r="T65" s="217"/>
      <c r="U65" s="213"/>
      <c r="V65" s="215"/>
      <c r="W65" s="215"/>
      <c r="X65" s="217"/>
      <c r="Y65" s="217"/>
      <c r="Z65" s="213"/>
      <c r="AA65" s="215"/>
      <c r="AB65" s="215"/>
      <c r="AC65" s="217"/>
      <c r="AD65" s="217"/>
      <c r="AE65" s="213"/>
      <c r="AF65" s="215"/>
      <c r="AG65" s="215"/>
      <c r="AH65" s="217"/>
      <c r="AI65" s="217"/>
      <c r="AJ65" s="213"/>
    </row>
    <row r="66" spans="1:36" ht="33.75" customHeight="1">
      <c r="A66" s="213"/>
      <c r="B66" s="214">
        <f ca="1">IFERROR(__xludf.DUMMYFUNCTION("""COMPUTED_VALUE"""),2864030)</f>
        <v>2864030</v>
      </c>
      <c r="C66" s="215" t="str">
        <f ca="1">IFERROR(__xludf.DUMMYFUNCTION("""COMPUTED_VALUE"""),"General")</f>
        <v>General</v>
      </c>
      <c r="D66" s="216" t="str">
        <f ca="1">IFERROR(__xludf.DUMMYFUNCTION("""COMPUTED_VALUE"""),"Driving Change and Anti-Racism")</f>
        <v>Driving Change and Anti-Racism</v>
      </c>
      <c r="E66" s="217"/>
      <c r="F66" s="213"/>
      <c r="G66" s="214"/>
      <c r="H66" s="215"/>
      <c r="I66" s="217"/>
      <c r="J66" s="217"/>
      <c r="K66" s="213"/>
      <c r="L66" s="215"/>
      <c r="M66" s="215"/>
      <c r="N66" s="217"/>
      <c r="O66" s="217"/>
      <c r="P66" s="213"/>
      <c r="Q66" s="215"/>
      <c r="R66" s="215"/>
      <c r="S66" s="217"/>
      <c r="T66" s="217"/>
      <c r="U66" s="213"/>
      <c r="V66" s="215"/>
      <c r="W66" s="215"/>
      <c r="X66" s="217"/>
      <c r="Y66" s="217"/>
      <c r="Z66" s="213"/>
      <c r="AA66" s="215"/>
      <c r="AB66" s="215"/>
      <c r="AC66" s="217"/>
      <c r="AD66" s="217"/>
      <c r="AE66" s="213"/>
      <c r="AF66" s="215"/>
      <c r="AG66" s="215"/>
      <c r="AH66" s="217"/>
      <c r="AI66" s="217"/>
      <c r="AJ66" s="213"/>
    </row>
    <row r="67" spans="1:36" ht="33.75" customHeight="1">
      <c r="A67" s="213"/>
      <c r="B67" s="214">
        <f ca="1">IFERROR(__xludf.DUMMYFUNCTION("""COMPUTED_VALUE"""),2833004)</f>
        <v>2833004</v>
      </c>
      <c r="C67" s="215" t="str">
        <f ca="1">IFERROR(__xludf.DUMMYFUNCTION("""COMPUTED_VALUE"""),"General")</f>
        <v>General</v>
      </c>
      <c r="D67" s="216" t="str">
        <f ca="1">IFERROR(__xludf.DUMMYFUNCTION("""COMPUTED_VALUE"""),"Mastering Self-Leadership")</f>
        <v>Mastering Self-Leadership</v>
      </c>
      <c r="E67" s="217"/>
      <c r="F67" s="213"/>
      <c r="G67" s="214"/>
      <c r="H67" s="215"/>
      <c r="I67" s="217"/>
      <c r="J67" s="217"/>
      <c r="K67" s="213"/>
      <c r="L67" s="215"/>
      <c r="M67" s="215"/>
      <c r="N67" s="217"/>
      <c r="O67" s="217"/>
      <c r="P67" s="213"/>
      <c r="Q67" s="215"/>
      <c r="R67" s="215"/>
      <c r="S67" s="217"/>
      <c r="T67" s="217"/>
      <c r="U67" s="213"/>
      <c r="V67" s="215"/>
      <c r="W67" s="215"/>
      <c r="X67" s="217"/>
      <c r="Y67" s="217"/>
      <c r="Z67" s="213"/>
      <c r="AA67" s="215"/>
      <c r="AB67" s="215"/>
      <c r="AC67" s="217"/>
      <c r="AD67" s="217"/>
      <c r="AE67" s="213"/>
      <c r="AF67" s="215"/>
      <c r="AG67" s="215"/>
      <c r="AH67" s="217"/>
      <c r="AI67" s="217"/>
      <c r="AJ67" s="213"/>
    </row>
    <row r="68" spans="1:36" ht="33.75" customHeight="1">
      <c r="A68" s="213"/>
      <c r="B68" s="214">
        <f ca="1">IFERROR(__xludf.DUMMYFUNCTION("""COMPUTED_VALUE"""),2825721)</f>
        <v>2825721</v>
      </c>
      <c r="C68" s="215" t="str">
        <f ca="1">IFERROR(__xludf.DUMMYFUNCTION("""COMPUTED_VALUE"""),"General")</f>
        <v>General</v>
      </c>
      <c r="D68" s="216" t="str">
        <f ca="1">IFERROR(__xludf.DUMMYFUNCTION("""COMPUTED_VALUE"""),"Preparing Yourself for Change")</f>
        <v>Preparing Yourself for Change</v>
      </c>
      <c r="E68" s="217"/>
      <c r="F68" s="213"/>
      <c r="G68" s="214"/>
      <c r="H68" s="215"/>
      <c r="I68" s="217"/>
      <c r="J68" s="217"/>
      <c r="K68" s="213"/>
      <c r="L68" s="215"/>
      <c r="M68" s="215"/>
      <c r="N68" s="217"/>
      <c r="O68" s="217"/>
      <c r="P68" s="213"/>
      <c r="Q68" s="215"/>
      <c r="R68" s="215"/>
      <c r="S68" s="217"/>
      <c r="T68" s="217"/>
      <c r="U68" s="213"/>
      <c r="V68" s="215"/>
      <c r="W68" s="215"/>
      <c r="X68" s="217"/>
      <c r="Y68" s="217"/>
      <c r="Z68" s="213"/>
      <c r="AA68" s="215"/>
      <c r="AB68" s="215"/>
      <c r="AC68" s="217"/>
      <c r="AD68" s="217"/>
      <c r="AE68" s="213"/>
      <c r="AF68" s="215"/>
      <c r="AG68" s="215"/>
      <c r="AH68" s="217"/>
      <c r="AI68" s="217"/>
      <c r="AJ68" s="213"/>
    </row>
    <row r="69" spans="1:36" ht="33.75" customHeight="1">
      <c r="A69" s="213"/>
      <c r="B69" s="214">
        <f ca="1">IFERROR(__xludf.DUMMYFUNCTION("""COMPUTED_VALUE"""),2877280)</f>
        <v>2877280</v>
      </c>
      <c r="C69" s="215" t="str">
        <f ca="1">IFERROR(__xludf.DUMMYFUNCTION("""COMPUTED_VALUE"""),"General")</f>
        <v>General</v>
      </c>
      <c r="D69" s="216" t="str">
        <f ca="1">IFERROR(__xludf.DUMMYFUNCTION("""COMPUTED_VALUE"""),"Change Management: Plan on a Page")</f>
        <v>Change Management: Plan on a Page</v>
      </c>
      <c r="E69" s="217"/>
      <c r="F69" s="213"/>
      <c r="G69" s="214"/>
      <c r="H69" s="215"/>
      <c r="I69" s="217"/>
      <c r="J69" s="217"/>
      <c r="K69" s="213"/>
      <c r="L69" s="215"/>
      <c r="M69" s="215"/>
      <c r="N69" s="217"/>
      <c r="O69" s="217"/>
      <c r="P69" s="213"/>
      <c r="Q69" s="215"/>
      <c r="R69" s="215"/>
      <c r="S69" s="217"/>
      <c r="T69" s="217"/>
      <c r="U69" s="213"/>
      <c r="V69" s="215"/>
      <c r="W69" s="215"/>
      <c r="X69" s="217"/>
      <c r="Y69" s="217"/>
      <c r="Z69" s="213"/>
      <c r="AA69" s="215"/>
      <c r="AB69" s="215"/>
      <c r="AC69" s="217"/>
      <c r="AD69" s="217"/>
      <c r="AE69" s="213"/>
      <c r="AF69" s="215"/>
      <c r="AG69" s="215"/>
      <c r="AH69" s="217"/>
      <c r="AI69" s="217"/>
      <c r="AJ69" s="213"/>
    </row>
    <row r="70" spans="1:36" ht="33.75" customHeight="1">
      <c r="A70" s="213"/>
      <c r="B70" s="214">
        <f ca="1">IFERROR(__xludf.DUMMYFUNCTION("""COMPUTED_VALUE"""),2876246)</f>
        <v>2876246</v>
      </c>
      <c r="C70" s="215" t="str">
        <f ca="1">IFERROR(__xludf.DUMMYFUNCTION("""COMPUTED_VALUE"""),"General")</f>
        <v>General</v>
      </c>
      <c r="D70" s="216" t="str">
        <f ca="1">IFERROR(__xludf.DUMMYFUNCTION("""COMPUTED_VALUE"""),"Change Management: Roadmap to Execution")</f>
        <v>Change Management: Roadmap to Execution</v>
      </c>
      <c r="E70" s="217"/>
      <c r="F70" s="213"/>
      <c r="G70" s="214"/>
      <c r="H70" s="215"/>
      <c r="I70" s="217"/>
      <c r="J70" s="217"/>
      <c r="K70" s="213"/>
      <c r="L70" s="215"/>
      <c r="M70" s="215"/>
      <c r="N70" s="217"/>
      <c r="O70" s="217"/>
      <c r="P70" s="213"/>
      <c r="Q70" s="215"/>
      <c r="R70" s="215"/>
      <c r="S70" s="217"/>
      <c r="T70" s="217"/>
      <c r="U70" s="213"/>
      <c r="V70" s="215"/>
      <c r="W70" s="215"/>
      <c r="X70" s="217"/>
      <c r="Y70" s="217"/>
      <c r="Z70" s="213"/>
      <c r="AA70" s="215"/>
      <c r="AB70" s="215"/>
      <c r="AC70" s="217"/>
      <c r="AD70" s="217"/>
      <c r="AE70" s="213"/>
      <c r="AF70" s="215"/>
      <c r="AG70" s="215"/>
      <c r="AH70" s="217"/>
      <c r="AI70" s="217"/>
      <c r="AJ70" s="213"/>
    </row>
    <row r="71" spans="1:36" ht="33.75" customHeight="1">
      <c r="A71" s="213"/>
      <c r="B71" s="214">
        <f ca="1">IFERROR(__xludf.DUMMYFUNCTION("""COMPUTED_VALUE"""),2883104)</f>
        <v>2883104</v>
      </c>
      <c r="C71" s="215" t="str">
        <f ca="1">IFERROR(__xludf.DUMMYFUNCTION("""COMPUTED_VALUE"""),"General")</f>
        <v>General</v>
      </c>
      <c r="D71" s="216" t="str">
        <f ca="1">IFERROR(__xludf.DUMMYFUNCTION("""COMPUTED_VALUE"""),"How to Be More Inclusive")</f>
        <v>How to Be More Inclusive</v>
      </c>
      <c r="E71" s="217"/>
      <c r="F71" s="213"/>
      <c r="G71" s="214"/>
      <c r="H71" s="215"/>
      <c r="I71" s="217"/>
      <c r="J71" s="217"/>
      <c r="K71" s="213"/>
      <c r="L71" s="215"/>
      <c r="M71" s="215"/>
      <c r="N71" s="217"/>
      <c r="O71" s="217"/>
      <c r="P71" s="213"/>
      <c r="Q71" s="215"/>
      <c r="R71" s="215"/>
      <c r="S71" s="217"/>
      <c r="T71" s="217"/>
      <c r="U71" s="213"/>
      <c r="V71" s="215"/>
      <c r="W71" s="215"/>
      <c r="X71" s="217"/>
      <c r="Y71" s="217"/>
      <c r="Z71" s="213"/>
      <c r="AA71" s="215"/>
      <c r="AB71" s="215"/>
      <c r="AC71" s="217"/>
      <c r="AD71" s="217"/>
      <c r="AE71" s="213"/>
      <c r="AF71" s="215"/>
      <c r="AG71" s="215"/>
      <c r="AH71" s="217"/>
      <c r="AI71" s="217"/>
      <c r="AJ71" s="213"/>
    </row>
    <row r="72" spans="1:36" ht="33.75" customHeight="1">
      <c r="A72" s="213"/>
      <c r="B72" s="214"/>
      <c r="C72" s="215"/>
      <c r="D72" s="216"/>
      <c r="E72" s="217"/>
      <c r="F72" s="213"/>
      <c r="G72" s="214"/>
      <c r="H72" s="215"/>
      <c r="I72" s="217"/>
      <c r="J72" s="217"/>
      <c r="K72" s="213"/>
      <c r="L72" s="215"/>
      <c r="M72" s="215"/>
      <c r="N72" s="217"/>
      <c r="O72" s="217"/>
      <c r="P72" s="213"/>
      <c r="Q72" s="215"/>
      <c r="R72" s="215"/>
      <c r="S72" s="217"/>
      <c r="T72" s="217"/>
      <c r="U72" s="213"/>
      <c r="V72" s="215"/>
      <c r="W72" s="215"/>
      <c r="X72" s="217"/>
      <c r="Y72" s="217"/>
      <c r="Z72" s="213"/>
      <c r="AA72" s="215"/>
      <c r="AB72" s="215"/>
      <c r="AC72" s="217"/>
      <c r="AD72" s="217"/>
      <c r="AE72" s="213"/>
      <c r="AF72" s="215"/>
      <c r="AG72" s="215"/>
      <c r="AH72" s="217"/>
      <c r="AI72" s="217"/>
      <c r="AJ72" s="213"/>
    </row>
    <row r="73" spans="1:36" ht="33.75" customHeight="1">
      <c r="A73" s="213"/>
      <c r="B73" s="214"/>
      <c r="C73" s="215"/>
      <c r="D73" s="216"/>
      <c r="E73" s="217"/>
      <c r="F73" s="213"/>
      <c r="G73" s="214"/>
      <c r="H73" s="215"/>
      <c r="I73" s="217"/>
      <c r="J73" s="217"/>
      <c r="K73" s="213"/>
      <c r="L73" s="215"/>
      <c r="M73" s="215"/>
      <c r="N73" s="217"/>
      <c r="O73" s="217"/>
      <c r="P73" s="213"/>
      <c r="Q73" s="215"/>
      <c r="R73" s="215"/>
      <c r="S73" s="217"/>
      <c r="T73" s="217"/>
      <c r="U73" s="213"/>
      <c r="V73" s="215"/>
      <c r="W73" s="215"/>
      <c r="X73" s="217"/>
      <c r="Y73" s="217"/>
      <c r="Z73" s="213"/>
      <c r="AA73" s="215"/>
      <c r="AB73" s="215"/>
      <c r="AC73" s="217"/>
      <c r="AD73" s="217"/>
      <c r="AE73" s="213"/>
      <c r="AF73" s="215"/>
      <c r="AG73" s="215"/>
      <c r="AH73" s="217"/>
      <c r="AI73" s="217"/>
      <c r="AJ73" s="213"/>
    </row>
    <row r="74" spans="1:36" ht="33.75" customHeight="1">
      <c r="A74" s="213"/>
      <c r="B74" s="214"/>
      <c r="C74" s="215"/>
      <c r="D74" s="216"/>
      <c r="E74" s="217"/>
      <c r="F74" s="213"/>
      <c r="G74" s="214"/>
      <c r="H74" s="215"/>
      <c r="I74" s="217"/>
      <c r="J74" s="217"/>
      <c r="K74" s="213"/>
      <c r="L74" s="215"/>
      <c r="M74" s="215"/>
      <c r="N74" s="217"/>
      <c r="O74" s="217"/>
      <c r="P74" s="213"/>
      <c r="Q74" s="215"/>
      <c r="R74" s="215"/>
      <c r="S74" s="217"/>
      <c r="T74" s="217"/>
      <c r="U74" s="213"/>
      <c r="V74" s="215"/>
      <c r="W74" s="215"/>
      <c r="X74" s="217"/>
      <c r="Y74" s="217"/>
      <c r="Z74" s="213"/>
      <c r="AA74" s="215"/>
      <c r="AB74" s="215"/>
      <c r="AC74" s="217"/>
      <c r="AD74" s="217"/>
      <c r="AE74" s="213"/>
      <c r="AF74" s="215"/>
      <c r="AG74" s="215"/>
      <c r="AH74" s="217"/>
      <c r="AI74" s="217"/>
      <c r="AJ74" s="213"/>
    </row>
    <row r="75" spans="1:36" ht="33.75" customHeight="1">
      <c r="A75" s="213"/>
      <c r="B75" s="214"/>
      <c r="C75" s="215"/>
      <c r="D75" s="216"/>
      <c r="E75" s="217"/>
      <c r="F75" s="213"/>
      <c r="G75" s="214"/>
      <c r="H75" s="215"/>
      <c r="I75" s="217"/>
      <c r="J75" s="217"/>
      <c r="K75" s="213"/>
      <c r="L75" s="215"/>
      <c r="M75" s="215"/>
      <c r="N75" s="217"/>
      <c r="O75" s="217"/>
      <c r="P75" s="213"/>
      <c r="Q75" s="215"/>
      <c r="R75" s="215"/>
      <c r="S75" s="217"/>
      <c r="T75" s="217"/>
      <c r="U75" s="213"/>
      <c r="V75" s="215"/>
      <c r="W75" s="215"/>
      <c r="X75" s="217"/>
      <c r="Y75" s="217"/>
      <c r="Z75" s="213"/>
      <c r="AA75" s="215"/>
      <c r="AB75" s="215"/>
      <c r="AC75" s="217"/>
      <c r="AD75" s="217"/>
      <c r="AE75" s="213"/>
      <c r="AF75" s="215"/>
      <c r="AG75" s="215"/>
      <c r="AH75" s="217"/>
      <c r="AI75" s="217"/>
      <c r="AJ75" s="213"/>
    </row>
    <row r="76" spans="1:36" ht="33.75" customHeight="1">
      <c r="A76" s="213"/>
      <c r="B76" s="214"/>
      <c r="C76" s="215"/>
      <c r="D76" s="216"/>
      <c r="E76" s="217"/>
      <c r="F76" s="213"/>
      <c r="G76" s="214"/>
      <c r="H76" s="215"/>
      <c r="I76" s="217"/>
      <c r="J76" s="217"/>
      <c r="K76" s="213"/>
      <c r="L76" s="215"/>
      <c r="M76" s="215"/>
      <c r="N76" s="217"/>
      <c r="O76" s="217"/>
      <c r="P76" s="213"/>
      <c r="Q76" s="215"/>
      <c r="R76" s="215"/>
      <c r="S76" s="217"/>
      <c r="T76" s="217"/>
      <c r="U76" s="213"/>
      <c r="V76" s="215"/>
      <c r="W76" s="215"/>
      <c r="X76" s="217"/>
      <c r="Y76" s="217"/>
      <c r="Z76" s="213"/>
      <c r="AA76" s="215"/>
      <c r="AB76" s="215"/>
      <c r="AC76" s="217"/>
      <c r="AD76" s="217"/>
      <c r="AE76" s="213"/>
      <c r="AF76" s="215"/>
      <c r="AG76" s="215"/>
      <c r="AH76" s="217"/>
      <c r="AI76" s="217"/>
      <c r="AJ76" s="213"/>
    </row>
    <row r="77" spans="1:36" ht="33.75" customHeight="1">
      <c r="A77" s="213"/>
      <c r="B77" s="214"/>
      <c r="C77" s="215"/>
      <c r="D77" s="216"/>
      <c r="E77" s="217"/>
      <c r="F77" s="213"/>
      <c r="G77" s="214"/>
      <c r="H77" s="215"/>
      <c r="I77" s="217"/>
      <c r="J77" s="217"/>
      <c r="K77" s="213"/>
      <c r="L77" s="215"/>
      <c r="M77" s="215"/>
      <c r="N77" s="217"/>
      <c r="O77" s="217"/>
      <c r="P77" s="213"/>
      <c r="Q77" s="215"/>
      <c r="R77" s="215"/>
      <c r="S77" s="217"/>
      <c r="T77" s="217"/>
      <c r="U77" s="213"/>
      <c r="V77" s="215"/>
      <c r="W77" s="215"/>
      <c r="X77" s="217"/>
      <c r="Y77" s="217"/>
      <c r="Z77" s="213"/>
      <c r="AA77" s="215"/>
      <c r="AB77" s="215"/>
      <c r="AC77" s="217"/>
      <c r="AD77" s="217"/>
      <c r="AE77" s="213"/>
      <c r="AF77" s="215"/>
      <c r="AG77" s="215"/>
      <c r="AH77" s="217"/>
      <c r="AI77" s="217"/>
      <c r="AJ77" s="213"/>
    </row>
    <row r="78" spans="1:36" ht="33.75" customHeight="1">
      <c r="A78" s="213"/>
      <c r="B78" s="214"/>
      <c r="C78" s="215"/>
      <c r="D78" s="216"/>
      <c r="E78" s="217"/>
      <c r="F78" s="213"/>
      <c r="G78" s="214"/>
      <c r="H78" s="215"/>
      <c r="I78" s="217"/>
      <c r="J78" s="217"/>
      <c r="K78" s="213"/>
      <c r="L78" s="215"/>
      <c r="M78" s="215"/>
      <c r="N78" s="217"/>
      <c r="O78" s="217"/>
      <c r="P78" s="213"/>
      <c r="Q78" s="215"/>
      <c r="R78" s="215"/>
      <c r="S78" s="217"/>
      <c r="T78" s="217"/>
      <c r="U78" s="213"/>
      <c r="V78" s="215"/>
      <c r="W78" s="215"/>
      <c r="X78" s="217"/>
      <c r="Y78" s="217"/>
      <c r="Z78" s="213"/>
      <c r="AA78" s="215"/>
      <c r="AB78" s="215"/>
      <c r="AC78" s="217"/>
      <c r="AD78" s="217"/>
      <c r="AE78" s="213"/>
      <c r="AF78" s="215"/>
      <c r="AG78" s="215"/>
      <c r="AH78" s="217"/>
      <c r="AI78" s="217"/>
      <c r="AJ78" s="213"/>
    </row>
    <row r="79" spans="1:36" ht="33.75" customHeight="1">
      <c r="A79" s="213"/>
      <c r="B79" s="214"/>
      <c r="C79" s="215"/>
      <c r="D79" s="216"/>
      <c r="E79" s="217"/>
      <c r="F79" s="213"/>
      <c r="G79" s="214"/>
      <c r="H79" s="215"/>
      <c r="I79" s="217"/>
      <c r="J79" s="217"/>
      <c r="K79" s="213"/>
      <c r="L79" s="215"/>
      <c r="M79" s="215"/>
      <c r="N79" s="217"/>
      <c r="O79" s="217"/>
      <c r="P79" s="213"/>
      <c r="Q79" s="215"/>
      <c r="R79" s="215"/>
      <c r="S79" s="217"/>
      <c r="T79" s="217"/>
      <c r="U79" s="213"/>
      <c r="V79" s="215"/>
      <c r="W79" s="215"/>
      <c r="X79" s="217"/>
      <c r="Y79" s="217"/>
      <c r="Z79" s="213"/>
      <c r="AA79" s="215"/>
      <c r="AB79" s="215"/>
      <c r="AC79" s="217"/>
      <c r="AD79" s="217"/>
      <c r="AE79" s="213"/>
      <c r="AF79" s="215"/>
      <c r="AG79" s="215"/>
      <c r="AH79" s="217"/>
      <c r="AI79" s="217"/>
      <c r="AJ79" s="213"/>
    </row>
    <row r="80" spans="1:36" ht="33.75" customHeight="1">
      <c r="A80" s="213"/>
      <c r="B80" s="214"/>
      <c r="C80" s="215"/>
      <c r="D80" s="216"/>
      <c r="E80" s="217"/>
      <c r="F80" s="213"/>
      <c r="G80" s="214"/>
      <c r="H80" s="215"/>
      <c r="I80" s="217"/>
      <c r="J80" s="217"/>
      <c r="K80" s="213"/>
      <c r="L80" s="215"/>
      <c r="M80" s="215"/>
      <c r="N80" s="217"/>
      <c r="O80" s="217"/>
      <c r="P80" s="213"/>
      <c r="Q80" s="215"/>
      <c r="R80" s="215"/>
      <c r="S80" s="217"/>
      <c r="T80" s="217"/>
      <c r="U80" s="213"/>
      <c r="V80" s="215"/>
      <c r="W80" s="215"/>
      <c r="X80" s="217"/>
      <c r="Y80" s="217"/>
      <c r="Z80" s="213"/>
      <c r="AA80" s="215"/>
      <c r="AB80" s="215"/>
      <c r="AC80" s="217"/>
      <c r="AD80" s="217"/>
      <c r="AE80" s="213"/>
      <c r="AF80" s="215"/>
      <c r="AG80" s="215"/>
      <c r="AH80" s="217"/>
      <c r="AI80" s="217"/>
      <c r="AJ80" s="213"/>
    </row>
    <row r="81" spans="1:36" ht="33.75" customHeight="1">
      <c r="A81" s="213"/>
      <c r="B81" s="214"/>
      <c r="C81" s="215"/>
      <c r="D81" s="216"/>
      <c r="E81" s="217"/>
      <c r="F81" s="213"/>
      <c r="G81" s="214"/>
      <c r="H81" s="215"/>
      <c r="I81" s="217"/>
      <c r="J81" s="217"/>
      <c r="K81" s="213"/>
      <c r="L81" s="215"/>
      <c r="M81" s="215"/>
      <c r="N81" s="217"/>
      <c r="O81" s="217"/>
      <c r="P81" s="213"/>
      <c r="Q81" s="215"/>
      <c r="R81" s="215"/>
      <c r="S81" s="217"/>
      <c r="T81" s="217"/>
      <c r="U81" s="213"/>
      <c r="V81" s="215"/>
      <c r="W81" s="215"/>
      <c r="X81" s="217"/>
      <c r="Y81" s="217"/>
      <c r="Z81" s="213"/>
      <c r="AA81" s="215"/>
      <c r="AB81" s="215"/>
      <c r="AC81" s="217"/>
      <c r="AD81" s="217"/>
      <c r="AE81" s="213"/>
      <c r="AF81" s="215"/>
      <c r="AG81" s="215"/>
      <c r="AH81" s="217"/>
      <c r="AI81" s="217"/>
      <c r="AJ81" s="213"/>
    </row>
    <row r="82" spans="1:36" ht="33.75" customHeight="1">
      <c r="A82" s="213"/>
      <c r="B82" s="214"/>
      <c r="C82" s="215"/>
      <c r="D82" s="216"/>
      <c r="E82" s="217"/>
      <c r="F82" s="213"/>
      <c r="G82" s="214"/>
      <c r="H82" s="215"/>
      <c r="I82" s="217"/>
      <c r="J82" s="217"/>
      <c r="K82" s="213"/>
      <c r="L82" s="215"/>
      <c r="M82" s="215"/>
      <c r="N82" s="217"/>
      <c r="O82" s="217"/>
      <c r="P82" s="213"/>
      <c r="Q82" s="215"/>
      <c r="R82" s="215"/>
      <c r="S82" s="217"/>
      <c r="T82" s="217"/>
      <c r="U82" s="213"/>
      <c r="V82" s="215"/>
      <c r="W82" s="215"/>
      <c r="X82" s="217"/>
      <c r="Y82" s="217"/>
      <c r="Z82" s="213"/>
      <c r="AA82" s="215"/>
      <c r="AB82" s="215"/>
      <c r="AC82" s="217"/>
      <c r="AD82" s="217"/>
      <c r="AE82" s="213"/>
      <c r="AF82" s="215"/>
      <c r="AG82" s="215"/>
      <c r="AH82" s="217"/>
      <c r="AI82" s="217"/>
      <c r="AJ82" s="213"/>
    </row>
    <row r="83" spans="1:36" ht="33.75" customHeight="1">
      <c r="A83" s="213"/>
      <c r="B83" s="214"/>
      <c r="C83" s="215"/>
      <c r="D83" s="216"/>
      <c r="E83" s="217"/>
      <c r="F83" s="213"/>
      <c r="G83" s="214"/>
      <c r="H83" s="215"/>
      <c r="I83" s="217"/>
      <c r="J83" s="217"/>
      <c r="K83" s="213"/>
      <c r="L83" s="215"/>
      <c r="M83" s="215"/>
      <c r="N83" s="217"/>
      <c r="O83" s="217"/>
      <c r="P83" s="213"/>
      <c r="Q83" s="215"/>
      <c r="R83" s="215"/>
      <c r="S83" s="217"/>
      <c r="T83" s="217"/>
      <c r="U83" s="213"/>
      <c r="V83" s="215"/>
      <c r="W83" s="215"/>
      <c r="X83" s="217"/>
      <c r="Y83" s="217"/>
      <c r="Z83" s="213"/>
      <c r="AA83" s="215"/>
      <c r="AB83" s="215"/>
      <c r="AC83" s="217"/>
      <c r="AD83" s="217"/>
      <c r="AE83" s="213"/>
      <c r="AF83" s="215"/>
      <c r="AG83" s="215"/>
      <c r="AH83" s="217"/>
      <c r="AI83" s="217"/>
      <c r="AJ83" s="213"/>
    </row>
    <row r="84" spans="1:36" ht="33.75" customHeight="1">
      <c r="A84" s="213"/>
      <c r="B84" s="214"/>
      <c r="C84" s="215"/>
      <c r="D84" s="216"/>
      <c r="E84" s="217"/>
      <c r="F84" s="213"/>
      <c r="G84" s="214"/>
      <c r="H84" s="215"/>
      <c r="I84" s="217"/>
      <c r="J84" s="217"/>
      <c r="K84" s="213"/>
      <c r="L84" s="215"/>
      <c r="M84" s="215"/>
      <c r="N84" s="217"/>
      <c r="O84" s="217"/>
      <c r="P84" s="213"/>
      <c r="Q84" s="215"/>
      <c r="R84" s="215"/>
      <c r="S84" s="217"/>
      <c r="T84" s="217"/>
      <c r="U84" s="213"/>
      <c r="V84" s="215"/>
      <c r="W84" s="215"/>
      <c r="X84" s="217"/>
      <c r="Y84" s="217"/>
      <c r="Z84" s="213"/>
      <c r="AA84" s="215"/>
      <c r="AB84" s="215"/>
      <c r="AC84" s="217"/>
      <c r="AD84" s="217"/>
      <c r="AE84" s="213"/>
      <c r="AF84" s="215"/>
      <c r="AG84" s="215"/>
      <c r="AH84" s="217"/>
      <c r="AI84" s="217"/>
      <c r="AJ84" s="213"/>
    </row>
    <row r="85" spans="1:36" ht="33.75" customHeight="1">
      <c r="A85" s="213"/>
      <c r="B85" s="214"/>
      <c r="C85" s="215"/>
      <c r="D85" s="216"/>
      <c r="E85" s="217"/>
      <c r="F85" s="213"/>
      <c r="G85" s="214"/>
      <c r="H85" s="215"/>
      <c r="I85" s="217"/>
      <c r="J85" s="217"/>
      <c r="K85" s="213"/>
      <c r="L85" s="215"/>
      <c r="M85" s="215"/>
      <c r="N85" s="217"/>
      <c r="O85" s="217"/>
      <c r="P85" s="213"/>
      <c r="Q85" s="215"/>
      <c r="R85" s="215"/>
      <c r="S85" s="217"/>
      <c r="T85" s="217"/>
      <c r="U85" s="213"/>
      <c r="V85" s="215"/>
      <c r="W85" s="215"/>
      <c r="X85" s="217"/>
      <c r="Y85" s="217"/>
      <c r="Z85" s="213"/>
      <c r="AA85" s="215"/>
      <c r="AB85" s="215"/>
      <c r="AC85" s="217"/>
      <c r="AD85" s="217"/>
      <c r="AE85" s="213"/>
      <c r="AF85" s="215"/>
      <c r="AG85" s="215"/>
      <c r="AH85" s="217"/>
      <c r="AI85" s="217"/>
      <c r="AJ85" s="213"/>
    </row>
    <row r="86" spans="1:36" ht="33.75" customHeight="1">
      <c r="A86" s="213"/>
      <c r="B86" s="214"/>
      <c r="C86" s="215"/>
      <c r="D86" s="216"/>
      <c r="E86" s="217"/>
      <c r="F86" s="213"/>
      <c r="G86" s="214"/>
      <c r="H86" s="215"/>
      <c r="I86" s="217"/>
      <c r="J86" s="217"/>
      <c r="K86" s="213"/>
      <c r="L86" s="215"/>
      <c r="M86" s="215"/>
      <c r="N86" s="217"/>
      <c r="O86" s="217"/>
      <c r="P86" s="213"/>
      <c r="Q86" s="215"/>
      <c r="R86" s="215"/>
      <c r="S86" s="217"/>
      <c r="T86" s="217"/>
      <c r="U86" s="213"/>
      <c r="V86" s="215"/>
      <c r="W86" s="215"/>
      <c r="X86" s="217"/>
      <c r="Y86" s="217"/>
      <c r="Z86" s="213"/>
      <c r="AA86" s="215"/>
      <c r="AB86" s="215"/>
      <c r="AC86" s="217"/>
      <c r="AD86" s="217"/>
      <c r="AE86" s="213"/>
      <c r="AF86" s="215"/>
      <c r="AG86" s="215"/>
      <c r="AH86" s="217"/>
      <c r="AI86" s="217"/>
      <c r="AJ86" s="213"/>
    </row>
    <row r="87" spans="1:36" ht="33.75" customHeight="1">
      <c r="A87" s="213"/>
      <c r="B87" s="214"/>
      <c r="C87" s="215"/>
      <c r="D87" s="216"/>
      <c r="E87" s="217"/>
      <c r="F87" s="213"/>
      <c r="G87" s="214"/>
      <c r="H87" s="215"/>
      <c r="I87" s="217"/>
      <c r="J87" s="217"/>
      <c r="K87" s="213"/>
      <c r="L87" s="215"/>
      <c r="M87" s="215"/>
      <c r="N87" s="217"/>
      <c r="O87" s="217"/>
      <c r="P87" s="213"/>
      <c r="Q87" s="215"/>
      <c r="R87" s="215"/>
      <c r="S87" s="217"/>
      <c r="T87" s="217"/>
      <c r="U87" s="213"/>
      <c r="V87" s="215"/>
      <c r="W87" s="215"/>
      <c r="X87" s="217"/>
      <c r="Y87" s="217"/>
      <c r="Z87" s="213"/>
      <c r="AA87" s="215"/>
      <c r="AB87" s="215"/>
      <c r="AC87" s="217"/>
      <c r="AD87" s="217"/>
      <c r="AE87" s="213"/>
      <c r="AF87" s="215"/>
      <c r="AG87" s="215"/>
      <c r="AH87" s="217"/>
      <c r="AI87" s="217"/>
      <c r="AJ87" s="213"/>
    </row>
    <row r="88" spans="1:36" ht="33.75" customHeight="1">
      <c r="A88" s="213"/>
      <c r="B88" s="214"/>
      <c r="C88" s="215"/>
      <c r="D88" s="217"/>
      <c r="E88" s="217"/>
      <c r="F88" s="213"/>
      <c r="G88" s="214"/>
      <c r="H88" s="215"/>
      <c r="I88" s="217"/>
      <c r="J88" s="217"/>
      <c r="K88" s="213"/>
      <c r="L88" s="215"/>
      <c r="M88" s="215"/>
      <c r="N88" s="217"/>
      <c r="O88" s="217"/>
      <c r="P88" s="213"/>
      <c r="Q88" s="215"/>
      <c r="R88" s="215"/>
      <c r="S88" s="217"/>
      <c r="T88" s="217"/>
      <c r="U88" s="213"/>
      <c r="V88" s="215"/>
      <c r="W88" s="215"/>
      <c r="X88" s="217"/>
      <c r="Y88" s="217"/>
      <c r="Z88" s="213"/>
      <c r="AA88" s="215"/>
      <c r="AB88" s="215"/>
      <c r="AC88" s="217"/>
      <c r="AD88" s="217"/>
      <c r="AE88" s="213"/>
      <c r="AF88" s="215"/>
      <c r="AG88" s="215"/>
      <c r="AH88" s="217"/>
      <c r="AI88" s="217"/>
      <c r="AJ88" s="213"/>
    </row>
    <row r="89" spans="1:36" ht="16">
      <c r="A89" s="213"/>
      <c r="B89" s="214"/>
      <c r="C89" s="215"/>
      <c r="D89" s="216"/>
      <c r="E89" s="217"/>
      <c r="F89" s="213"/>
      <c r="G89" s="214"/>
      <c r="H89" s="215"/>
      <c r="I89" s="217"/>
      <c r="J89" s="217"/>
      <c r="K89" s="213"/>
      <c r="L89" s="215"/>
      <c r="M89" s="215"/>
      <c r="N89" s="217"/>
      <c r="O89" s="217"/>
      <c r="P89" s="213"/>
      <c r="Q89" s="215"/>
      <c r="R89" s="215"/>
      <c r="S89" s="217"/>
      <c r="T89" s="217"/>
      <c r="U89" s="213"/>
      <c r="V89" s="215"/>
      <c r="W89" s="215"/>
      <c r="X89" s="217"/>
      <c r="Y89" s="217"/>
      <c r="Z89" s="213"/>
      <c r="AA89" s="215"/>
      <c r="AB89" s="215"/>
      <c r="AC89" s="217"/>
      <c r="AD89" s="217"/>
      <c r="AE89" s="213"/>
      <c r="AF89" s="215"/>
      <c r="AG89" s="215"/>
      <c r="AH89" s="217"/>
      <c r="AI89" s="217"/>
      <c r="AJ89" s="213"/>
    </row>
    <row r="90" spans="1:36" ht="16">
      <c r="A90" s="213"/>
      <c r="B90" s="214"/>
      <c r="C90" s="215"/>
      <c r="D90" s="216"/>
      <c r="E90" s="217"/>
      <c r="F90" s="213"/>
      <c r="G90" s="214"/>
      <c r="H90" s="215"/>
      <c r="I90" s="217"/>
      <c r="J90" s="217"/>
      <c r="K90" s="213"/>
      <c r="L90" s="215"/>
      <c r="M90" s="215"/>
      <c r="N90" s="217"/>
      <c r="O90" s="217"/>
      <c r="P90" s="213"/>
      <c r="Q90" s="215"/>
      <c r="R90" s="215"/>
      <c r="S90" s="217"/>
      <c r="T90" s="217"/>
      <c r="U90" s="213"/>
      <c r="V90" s="215"/>
      <c r="W90" s="215"/>
      <c r="X90" s="217"/>
      <c r="Y90" s="217"/>
      <c r="Z90" s="213"/>
      <c r="AA90" s="215"/>
      <c r="AB90" s="215"/>
      <c r="AC90" s="217"/>
      <c r="AD90" s="217"/>
      <c r="AE90" s="213"/>
      <c r="AF90" s="215"/>
      <c r="AG90" s="215"/>
      <c r="AH90" s="217"/>
      <c r="AI90" s="217"/>
      <c r="AJ90" s="213"/>
    </row>
    <row r="91" spans="1:36" ht="16">
      <c r="A91" s="213"/>
      <c r="B91" s="214"/>
      <c r="C91" s="215"/>
      <c r="D91" s="216"/>
      <c r="E91" s="217"/>
      <c r="F91" s="213"/>
      <c r="G91" s="214"/>
      <c r="H91" s="215"/>
      <c r="I91" s="217"/>
      <c r="J91" s="217"/>
      <c r="K91" s="213"/>
      <c r="L91" s="215"/>
      <c r="M91" s="215"/>
      <c r="N91" s="217"/>
      <c r="O91" s="217"/>
      <c r="P91" s="213"/>
      <c r="Q91" s="215"/>
      <c r="R91" s="215"/>
      <c r="S91" s="217"/>
      <c r="T91" s="217"/>
      <c r="U91" s="213"/>
      <c r="V91" s="215"/>
      <c r="W91" s="215"/>
      <c r="X91" s="217"/>
      <c r="Y91" s="217"/>
      <c r="Z91" s="213"/>
      <c r="AA91" s="215"/>
      <c r="AB91" s="215"/>
      <c r="AC91" s="217"/>
      <c r="AD91" s="217"/>
      <c r="AE91" s="213"/>
      <c r="AF91" s="215"/>
      <c r="AG91" s="215"/>
      <c r="AH91" s="217"/>
      <c r="AI91" s="217"/>
      <c r="AJ91" s="213"/>
    </row>
    <row r="92" spans="1:36" ht="16">
      <c r="A92" s="213"/>
      <c r="B92" s="214"/>
      <c r="C92" s="215"/>
      <c r="D92" s="216"/>
      <c r="E92" s="217"/>
      <c r="F92" s="213"/>
      <c r="G92" s="214"/>
      <c r="H92" s="215"/>
      <c r="I92" s="217"/>
      <c r="J92" s="217"/>
      <c r="K92" s="213"/>
      <c r="L92" s="215"/>
      <c r="M92" s="215"/>
      <c r="N92" s="217"/>
      <c r="O92" s="217"/>
      <c r="P92" s="213"/>
      <c r="Q92" s="215"/>
      <c r="R92" s="215"/>
      <c r="S92" s="217"/>
      <c r="T92" s="217"/>
      <c r="U92" s="213"/>
      <c r="V92" s="215"/>
      <c r="W92" s="215"/>
      <c r="X92" s="217"/>
      <c r="Y92" s="217"/>
      <c r="Z92" s="213"/>
      <c r="AA92" s="215"/>
      <c r="AB92" s="215"/>
      <c r="AC92" s="217"/>
      <c r="AD92" s="217"/>
      <c r="AE92" s="213"/>
      <c r="AF92" s="215"/>
      <c r="AG92" s="215"/>
      <c r="AH92" s="217"/>
      <c r="AI92" s="217"/>
      <c r="AJ92" s="213"/>
    </row>
    <row r="93" spans="1:36" ht="16">
      <c r="A93" s="213"/>
      <c r="B93" s="214"/>
      <c r="C93" s="215"/>
      <c r="D93" s="216"/>
      <c r="E93" s="217"/>
      <c r="F93" s="213"/>
      <c r="G93" s="214"/>
      <c r="H93" s="215"/>
      <c r="I93" s="217"/>
      <c r="J93" s="217"/>
      <c r="K93" s="213"/>
      <c r="L93" s="215"/>
      <c r="M93" s="215"/>
      <c r="N93" s="217"/>
      <c r="O93" s="217"/>
      <c r="P93" s="213"/>
      <c r="Q93" s="215"/>
      <c r="R93" s="215"/>
      <c r="S93" s="217"/>
      <c r="T93" s="217"/>
      <c r="U93" s="213"/>
      <c r="V93" s="215"/>
      <c r="W93" s="215"/>
      <c r="X93" s="217"/>
      <c r="Y93" s="217"/>
      <c r="Z93" s="213"/>
      <c r="AA93" s="215"/>
      <c r="AB93" s="215"/>
      <c r="AC93" s="217"/>
      <c r="AD93" s="217"/>
      <c r="AE93" s="213"/>
      <c r="AF93" s="215"/>
      <c r="AG93" s="215"/>
      <c r="AH93" s="217"/>
      <c r="AI93" s="217"/>
      <c r="AJ93" s="213"/>
    </row>
    <row r="94" spans="1:36" ht="16">
      <c r="A94" s="213"/>
      <c r="B94" s="214"/>
      <c r="C94" s="215"/>
      <c r="D94" s="216"/>
      <c r="E94" s="217"/>
      <c r="F94" s="213"/>
      <c r="G94" s="214"/>
      <c r="H94" s="215"/>
      <c r="I94" s="217"/>
      <c r="J94" s="217"/>
      <c r="K94" s="213"/>
      <c r="L94" s="215"/>
      <c r="M94" s="215"/>
      <c r="N94" s="217"/>
      <c r="O94" s="217"/>
      <c r="P94" s="213"/>
      <c r="Q94" s="215"/>
      <c r="R94" s="215"/>
      <c r="S94" s="217"/>
      <c r="T94" s="217"/>
      <c r="U94" s="213"/>
      <c r="V94" s="215"/>
      <c r="W94" s="215"/>
      <c r="X94" s="217"/>
      <c r="Y94" s="217"/>
      <c r="Z94" s="213"/>
      <c r="AA94" s="215"/>
      <c r="AB94" s="215"/>
      <c r="AC94" s="217"/>
      <c r="AD94" s="217"/>
      <c r="AE94" s="213"/>
      <c r="AF94" s="215"/>
      <c r="AG94" s="215"/>
      <c r="AH94" s="217"/>
      <c r="AI94" s="217"/>
      <c r="AJ94" s="213"/>
    </row>
    <row r="95" spans="1:36" ht="16">
      <c r="A95" s="213"/>
      <c r="B95" s="214"/>
      <c r="C95" s="215"/>
      <c r="D95" s="216"/>
      <c r="E95" s="217"/>
      <c r="F95" s="213"/>
      <c r="G95" s="214"/>
      <c r="H95" s="215"/>
      <c r="I95" s="217"/>
      <c r="J95" s="217"/>
      <c r="K95" s="213"/>
      <c r="L95" s="215"/>
      <c r="M95" s="215"/>
      <c r="N95" s="217"/>
      <c r="O95" s="217"/>
      <c r="P95" s="213"/>
      <c r="Q95" s="215"/>
      <c r="R95" s="215"/>
      <c r="S95" s="217"/>
      <c r="T95" s="217"/>
      <c r="U95" s="213"/>
      <c r="V95" s="215"/>
      <c r="W95" s="215"/>
      <c r="X95" s="217"/>
      <c r="Y95" s="217"/>
      <c r="Z95" s="213"/>
      <c r="AA95" s="215"/>
      <c r="AB95" s="215"/>
      <c r="AC95" s="217"/>
      <c r="AD95" s="217"/>
      <c r="AE95" s="213"/>
      <c r="AF95" s="215"/>
      <c r="AG95" s="215"/>
      <c r="AH95" s="217"/>
      <c r="AI95" s="217"/>
      <c r="AJ95" s="213"/>
    </row>
    <row r="96" spans="1:36" ht="16">
      <c r="A96" s="213"/>
      <c r="B96" s="214"/>
      <c r="C96" s="215"/>
      <c r="D96" s="217"/>
      <c r="E96" s="217"/>
      <c r="F96" s="213"/>
      <c r="G96" s="214"/>
      <c r="H96" s="215"/>
      <c r="I96" s="217"/>
      <c r="J96" s="217"/>
      <c r="K96" s="213"/>
      <c r="L96" s="215"/>
      <c r="M96" s="215"/>
      <c r="N96" s="217"/>
      <c r="O96" s="217"/>
      <c r="P96" s="213"/>
      <c r="Q96" s="215"/>
      <c r="R96" s="215"/>
      <c r="S96" s="217"/>
      <c r="T96" s="217"/>
      <c r="U96" s="213"/>
      <c r="V96" s="215"/>
      <c r="W96" s="215"/>
      <c r="X96" s="217"/>
      <c r="Y96" s="217"/>
      <c r="Z96" s="213"/>
      <c r="AA96" s="215"/>
      <c r="AB96" s="215"/>
      <c r="AC96" s="217"/>
      <c r="AD96" s="217"/>
      <c r="AE96" s="213"/>
      <c r="AF96" s="215"/>
      <c r="AG96" s="215"/>
      <c r="AH96" s="217"/>
      <c r="AI96" s="217"/>
      <c r="AJ96" s="213"/>
    </row>
    <row r="97" spans="1:36" ht="16">
      <c r="A97" s="213"/>
      <c r="B97" s="214"/>
      <c r="C97" s="215"/>
      <c r="D97" s="217"/>
      <c r="E97" s="217"/>
      <c r="F97" s="213"/>
      <c r="G97" s="214"/>
      <c r="H97" s="215"/>
      <c r="I97" s="217"/>
      <c r="J97" s="217"/>
      <c r="K97" s="213"/>
      <c r="L97" s="215"/>
      <c r="M97" s="215"/>
      <c r="N97" s="217"/>
      <c r="O97" s="217"/>
      <c r="P97" s="213"/>
      <c r="Q97" s="215"/>
      <c r="R97" s="215"/>
      <c r="S97" s="217"/>
      <c r="T97" s="217"/>
      <c r="U97" s="213"/>
      <c r="V97" s="215"/>
      <c r="W97" s="215"/>
      <c r="X97" s="217"/>
      <c r="Y97" s="217"/>
      <c r="Z97" s="213"/>
      <c r="AA97" s="215"/>
      <c r="AB97" s="215"/>
      <c r="AC97" s="217"/>
      <c r="AD97" s="217"/>
      <c r="AE97" s="213"/>
      <c r="AF97" s="215"/>
      <c r="AG97" s="215"/>
      <c r="AH97" s="217"/>
      <c r="AI97" s="217"/>
      <c r="AJ97" s="213"/>
    </row>
    <row r="98" spans="1:36" ht="16">
      <c r="A98" s="213"/>
      <c r="B98" s="214"/>
      <c r="C98" s="215"/>
      <c r="D98" s="217"/>
      <c r="E98" s="217"/>
      <c r="F98" s="213"/>
      <c r="G98" s="214"/>
      <c r="H98" s="215"/>
      <c r="I98" s="217"/>
      <c r="J98" s="217"/>
      <c r="K98" s="213"/>
      <c r="L98" s="215"/>
      <c r="M98" s="215"/>
      <c r="N98" s="217"/>
      <c r="O98" s="217"/>
      <c r="P98" s="213"/>
      <c r="Q98" s="215"/>
      <c r="R98" s="215"/>
      <c r="S98" s="217"/>
      <c r="T98" s="217"/>
      <c r="U98" s="213"/>
      <c r="V98" s="215"/>
      <c r="W98" s="215"/>
      <c r="X98" s="217"/>
      <c r="Y98" s="217"/>
      <c r="Z98" s="213"/>
      <c r="AA98" s="215"/>
      <c r="AB98" s="215"/>
      <c r="AC98" s="217"/>
      <c r="AD98" s="217"/>
      <c r="AE98" s="213"/>
      <c r="AF98" s="215"/>
      <c r="AG98" s="215"/>
      <c r="AH98" s="217"/>
      <c r="AI98" s="217"/>
      <c r="AJ98" s="213"/>
    </row>
    <row r="99" spans="1:36" ht="16">
      <c r="A99" s="213"/>
      <c r="B99" s="214"/>
      <c r="C99" s="215"/>
      <c r="D99" s="217"/>
      <c r="E99" s="217"/>
      <c r="F99" s="213"/>
      <c r="G99" s="214"/>
      <c r="H99" s="215"/>
      <c r="I99" s="218"/>
      <c r="J99" s="219"/>
      <c r="K99" s="213"/>
      <c r="L99" s="215"/>
      <c r="M99" s="215"/>
      <c r="N99" s="220"/>
      <c r="O99" s="220"/>
      <c r="P99" s="213"/>
      <c r="Q99" s="215"/>
      <c r="R99" s="215"/>
      <c r="S99" s="220"/>
      <c r="T99" s="220"/>
      <c r="U99" s="213"/>
      <c r="V99" s="215"/>
      <c r="W99" s="215"/>
      <c r="X99" s="220"/>
      <c r="Y99" s="220"/>
      <c r="Z99" s="213"/>
      <c r="AA99" s="215"/>
      <c r="AB99" s="215"/>
      <c r="AC99" s="221"/>
      <c r="AD99" s="221"/>
      <c r="AE99" s="213"/>
      <c r="AF99" s="215"/>
      <c r="AG99" s="215"/>
      <c r="AH99" s="220"/>
      <c r="AI99" s="220"/>
      <c r="AJ99" s="213"/>
    </row>
  </sheetData>
  <mergeCells count="14">
    <mergeCell ref="B1:E1"/>
    <mergeCell ref="L1:O1"/>
    <mergeCell ref="V1:Y1"/>
    <mergeCell ref="AF1:AI1"/>
    <mergeCell ref="B2:E2"/>
    <mergeCell ref="L2:O2"/>
    <mergeCell ref="V2:Y2"/>
    <mergeCell ref="AF2:AI2"/>
    <mergeCell ref="G1:J1"/>
    <mergeCell ref="G2:J2"/>
    <mergeCell ref="Q1:T1"/>
    <mergeCell ref="Q2:T2"/>
    <mergeCell ref="AA1:AD1"/>
    <mergeCell ref="AA2:AD2"/>
  </mergeCells>
  <hyperlinks>
    <hyperlink ref="D4" r:id="rId1" display="https://www.linkedin.com/learning/jeff-dyer-on-innovation?trk=ondemandfile" xr:uid="{00000000-0004-0000-1700-000000000000}"/>
    <hyperlink ref="E4" r:id="rId2" display="https://www.linkedin.com/learning/paths/become-a-thought-leader?trk=ondemandfile" xr:uid="{00000000-0004-0000-1700-000001000000}"/>
    <hyperlink ref="N4" r:id="rId3" display="https://www.linkedin.com/learning/00-agilidad-estrategica?trk=ondemandfile" xr:uid="{00000000-0004-0000-1700-000002000000}"/>
    <hyperlink ref="O4" r:id="rId4" display="https://www.linkedin.com/learning/paths/liderazgo-en-tiempos-de-transformacion-digital?trk=ondemandfile" xr:uid="{00000000-0004-0000-1700-000003000000}"/>
    <hyperlink ref="S4" r:id="rId5" display="https://www.linkedin.com/learning/agile-lernformate-fur-organisationen?trk=ondemandfile" xr:uid="{00000000-0004-0000-1700-000004000000}"/>
    <hyperlink ref="T4" r:id="rId6" display="https://www.linkedin.com/learning/paths/durch-veranderungsprozesse-fuhren?trk=ondemandfile" xr:uid="{00000000-0004-0000-1700-000005000000}"/>
    <hyperlink ref="X4" r:id="rId7" display="https://www.linkedin.com/learning/strategic-agility-14172913?trk=ondemandfile" xr:uid="{00000000-0004-0000-1700-000006000000}"/>
    <hyperlink ref="Y4" r:id="rId8" display="https://www.linkedin.com/learning/paths/31070ed0-b901-3bf1-af9c-de2667146e4d?trk=ondemandfile" xr:uid="{00000000-0004-0000-1700-000007000000}"/>
    <hyperlink ref="AC4" r:id="rId9" display="https://www.linkedin.com/learning/a-linguagem-corporal-da-lideranca?trk=contentmappingfile" xr:uid="{00000000-0004-0000-1700-000008000000}"/>
    <hyperlink ref="AD4" r:id="rId10" display="https://www.linkedin.com/learning/paths/torne-se-um-lider?trk=ondemandfile" xr:uid="{00000000-0004-0000-1700-000009000000}"/>
    <hyperlink ref="AH4" r:id="rId11" display="https://www.linkedin.com/learning/business-innovation-foundations-3?trk=ondemandfile" xr:uid="{00000000-0004-0000-1700-00000A000000}"/>
    <hyperlink ref="AI4" r:id="rId12" display="https://www.linkedin.com/learning/paths/3db8a531-c16b-3623-9891-2cd47ac19f68?trk=ondemandfile" xr:uid="{00000000-0004-0000-1700-00000B000000}"/>
    <hyperlink ref="D5" r:id="rId13" display="https://www.linkedin.com/learning/leading-with-innovation?trk=ondemandfile" xr:uid="{00000000-0004-0000-1700-00000C000000}"/>
    <hyperlink ref="E5" r:id="rId14" display="https://www.linkedin.com/learning/paths/digital-transformation-for-leaders?trk=ondemandfile" xr:uid="{00000000-0004-0000-1700-00000D000000}"/>
    <hyperlink ref="N5" r:id="rId15" display="https://www.linkedin.com/learning/00-bill-george-sobre-self-awareness-autenticidad-y-liderazgo?trk=ondemandfile" xr:uid="{00000000-0004-0000-1700-00000E000000}"/>
    <hyperlink ref="O5" r:id="rId16" display="https://www.linkedin.com/learning/paths/amplia-tus-competencias-como-lider-para-la-transformacion-digital?trk=ondemandfile" xr:uid="{00000000-0004-0000-1700-00000F000000}"/>
    <hyperlink ref="S5" r:id="rId17" display="https://www.linkedin.com/learning/agile-und-digitale-transformation?trk=ondemandfile" xr:uid="{00000000-0004-0000-1700-000010000000}"/>
    <hyperlink ref="T5" r:id="rId18" display="https://www.linkedin.com/learning/paths/innovation-fordern?trk=ondemandfile" xr:uid="{00000000-0004-0000-1700-000011000000}"/>
    <hyperlink ref="X5" r:id="rId19" display="https://www.linkedin.com/learning/change-management-foundations-3?trk=ondemandfile" xr:uid="{00000000-0004-0000-1700-000012000000}"/>
    <hyperlink ref="AD5" r:id="rId20" display="https://www.linkedin.com/learning/paths/transforme-se-num-lider-disruptivo?trk=ondemandfile" xr:uid="{00000000-0004-0000-1700-000013000000}"/>
    <hyperlink ref="AH5" r:id="rId21" display="https://www.linkedin.com/learning/leading-with-innovation-4?trk=ondemandfile" xr:uid="{00000000-0004-0000-1700-000014000000}"/>
    <hyperlink ref="AI5" r:id="rId22" display="https://www.linkedin.com/learning/paths/34149b5d-1fd7-337a-8fd6-c725fdd05bf9?trk=ondemandfile" xr:uid="{00000000-0004-0000-1700-000015000000}"/>
    <hyperlink ref="D6" r:id="rId23" display="https://www.linkedin.com/learning/built-to-last-successful-habits-of-visionary-companies?trk=ondemandfile" xr:uid="{00000000-0004-0000-1700-000016000000}"/>
    <hyperlink ref="E6" r:id="rId24" display="https://www.linkedin.com/learning/paths/digital-transformation-for-tech-leaders?trk=ondemandfile" xr:uid="{00000000-0004-0000-1700-000017000000}"/>
    <hyperlink ref="N6" r:id="rId25" display="https://www.linkedin.com/learning/como-gestionar-los-puntos-ciegos-del-liderazgo?trk=ondemandfile" xr:uid="{00000000-0004-0000-1700-000018000000}"/>
    <hyperlink ref="O6" r:id="rId26" display="https://www.linkedin.com/learning/paths/gestiona-los-cambios?trk=ondemandfile" xr:uid="{00000000-0004-0000-1700-000019000000}"/>
    <hyperlink ref="S6" r:id="rId27" display="https://www.linkedin.com/learning/agiler-fuhren-eine-einfuhrung?trk=ondemandfile" xr:uid="{00000000-0004-0000-1700-00001A000000}"/>
    <hyperlink ref="X6" r:id="rId28" display="https://www.linkedin.com/learning/risk-taking-for-leaders-3?trk=ondemandfile" xr:uid="{00000000-0004-0000-1700-00001B000000}"/>
    <hyperlink ref="AC6" r:id="rId29" display="https://www.linkedin.com/learning/como-apoiar-sua-equipe-na-gestao-da-ansiedade?trk=contentmappingfile" xr:uid="{00000000-0004-0000-1700-00001C000000}"/>
    <hyperlink ref="AH6" r:id="rId30" display="https://www.linkedin.com/learning/communicating-in-times-of-change-3?trk=ondemandfile" xr:uid="{00000000-0004-0000-1700-00001D000000}"/>
    <hyperlink ref="D7" r:id="rId31" display="https://www.linkedin.com/learning/sustainability-strategies?trk=ondemandfile" xr:uid="{00000000-0004-0000-1700-00001E000000}"/>
    <hyperlink ref="E7" r:id="rId32" display="https://www.linkedin.com/learning/paths/leading-during-times-of-change?trk=ondemandfile" xr:uid="{00000000-0004-0000-1700-00001F000000}"/>
    <hyperlink ref="N7" r:id="rId33" display="https://www.linkedin.com/learning/como-liderar-el-cambio-en-tu-empresa?trk=ondemandfile" xr:uid="{00000000-0004-0000-1700-000020000000}"/>
    <hyperlink ref="O7" r:id="rId34" display="https://www.linkedin.com/learning/paths/domina-las-habilidades-de-vida-a-nivel-de-liderazgo?trk=ondemandfile" xr:uid="{00000000-0004-0000-1700-000021000000}"/>
    <hyperlink ref="S7" r:id="rId35" display="https://www.linkedin.com/learning/agilitat-mit-strategie?trk=ondemandfile" xr:uid="{00000000-0004-0000-1700-000022000000}"/>
    <hyperlink ref="X7" r:id="rId36" display="https://www.linkedin.com/learning/embracing-unexpected-change-14683580?trk=contentmappingfile" xr:uid="{00000000-0004-0000-1700-000023000000}"/>
    <hyperlink ref="AC7" r:id="rId37" display="https://www.linkedin.com/learning/como-comunicar-mudancas-em-uma-organizacao-em-transformacao?trk=contentmappingfile" xr:uid="{00000000-0004-0000-1700-000024000000}"/>
    <hyperlink ref="AH7" r:id="rId38" display="https://www.linkedin.com/learning/change-management-for-projects-15870814?trk=contentmappingfile" xr:uid="{00000000-0004-0000-1700-000025000000}"/>
    <hyperlink ref="D8" r:id="rId39" display="https://www.linkedin.com/learning/creating-a-culture-of-change?trk=ondemandfile" xr:uid="{00000000-0004-0000-1700-000026000000}"/>
    <hyperlink ref="E8" r:id="rId40" display="https://www.linkedin.com/learning/paths/managing-change?trk=ondemandfile" xr:uid="{00000000-0004-0000-1700-000027000000}"/>
    <hyperlink ref="N8" r:id="rId41" display="https://www.linkedin.com/learning/como-liderar-equipos-de-alto-potencial?trk=contentmappingfile" xr:uid="{00000000-0004-0000-1700-000028000000}"/>
    <hyperlink ref="O8" r:id="rId42" display="https://www.linkedin.com/learning/paths/fomenta-la-innovacion?trk=ondemandfile" xr:uid="{00000000-0004-0000-1700-000029000000}"/>
    <hyperlink ref="S8" r:id="rId43" display="https://www.linkedin.com/learning/als-fuhrungskraft-das-agile-lernen-im-team-unterstutzen?trk=ondemandfile" xr:uid="{00000000-0004-0000-1700-00002A000000}"/>
    <hyperlink ref="X8" r:id="rId44" display="https://www.linkedin.com/learning/communicating-in-times-of-change-14271427?trk=contentmappingfile" xr:uid="{00000000-0004-0000-1700-00002B000000}"/>
    <hyperlink ref="AH8" r:id="rId45" display="https://www.linkedin.com/learning/change-management-foundations-2?trk=ondemandfile" xr:uid="{00000000-0004-0000-1700-00002C000000}"/>
    <hyperlink ref="D9" r:id="rId46" display="https://www.linkedin.com/learning/leading-change-2018?trk=ondemandfile" xr:uid="{00000000-0004-0000-1700-00002D000000}"/>
    <hyperlink ref="E9" r:id="rId47" display="https://www.linkedin.com/learning/paths/manage-change-and-develop-your-adaptability-skills?trk=ondemandfile" xr:uid="{00000000-0004-0000-1700-00002E000000}"/>
    <hyperlink ref="I9" r:id="rId48" display="https://www.linkedin.com/learning/creer-une-culture-du-changement?trk=contentmappingfile" xr:uid="{00000000-0004-0000-1700-00002F000000}"/>
    <hyperlink ref="N9" r:id="rId49" display="https://www.linkedin.com/learning/como-liderar-reuniones-individuales-productivas?trk=ondemandfile" xr:uid="{00000000-0004-0000-1700-000030000000}"/>
    <hyperlink ref="O9" r:id="rId50" display="https://www.linkedin.com/learning/paths/trabajo-a-distancia-preparandote-a-ti-mismo-y-a-tus-equipos-para-el-exito?trk=ondemandfile" xr:uid="{00000000-0004-0000-1700-000031000000}"/>
    <hyperlink ref="S9" r:id="rId51" display="https://www.linkedin.com/learning/risk-taking-lead?trk=ondemandfile" xr:uid="{00000000-0004-0000-1700-000032000000}"/>
    <hyperlink ref="X9" r:id="rId52" display="https://www.linkedin.com/learning/creating-a-culture-of-change-3?trk=ondemandfile" xr:uid="{00000000-0004-0000-1700-000033000000}"/>
    <hyperlink ref="AH9" r:id="rId53" display="https://www.linkedin.com/learning/cultivating-a-growth-mindset-3?trk=ondemandfile" xr:uid="{00000000-0004-0000-1700-000034000000}"/>
    <hyperlink ref="D10" r:id="rId54" display="https://www.linkedin.com/learning/assessing-digital-maturity?trk=ondemandfile" xr:uid="{00000000-0004-0000-1700-000035000000}"/>
    <hyperlink ref="E10" r:id="rId55" display="https://www.linkedin.com/learning/paths/women-in-leadership-3?trk=ondemandfile" xr:uid="{00000000-0004-0000-1700-000036000000}"/>
    <hyperlink ref="N10" r:id="rId56" display="https://www.linkedin.com/learning/00-comunicacion-de-la-gestion-del-cambio?trk=ondemandfile" xr:uid="{00000000-0004-0000-1700-000037000000}"/>
    <hyperlink ref="O10" r:id="rId57" display="https://www.linkedin.com/learning/paths/mujeres-en-el-liderazgo?trk=ondemandfile" xr:uid="{00000000-0004-0000-1700-000038000000}"/>
    <hyperlink ref="S10" r:id="rId58" display="https://www.linkedin.com/learning/change-management-grundlagen?trk=ondemandfile" xr:uid="{00000000-0004-0000-1700-000039000000}"/>
    <hyperlink ref="X10" r:id="rId59" display="https://www.linkedin.com/learning/leading-change-3?trk=ondemandfile" xr:uid="{00000000-0004-0000-1700-00003A000000}"/>
    <hyperlink ref="AH10" r:id="rId60" display="https://www.linkedin.com/learning/women-transforming-tech-breaking-bias?trk=ondemandfile" xr:uid="{00000000-0004-0000-1700-00003B000000}"/>
    <hyperlink ref="D11" r:id="rId61" display="https://www.linkedin.com/learning/counterintuitive-leadership-strategies-for-a-vuca-environment?trk=ondemandfile" xr:uid="{00000000-0004-0000-1700-00003C000000}"/>
    <hyperlink ref="N11" r:id="rId62" display="https://www.linkedin.com/learning/00-building-creative-organizations?trk=ondemandfile" xr:uid="{00000000-0004-0000-1700-00003D000000}"/>
    <hyperlink ref="S11" r:id="rId63" display="https://www.linkedin.com/learning/design-thinking-grundlagen?trk=ondemandfile" xr:uid="{00000000-0004-0000-1700-00003E000000}"/>
    <hyperlink ref="X11" r:id="rId64" display="https://www.linkedin.com/learning/driving-change-and-anti-racism-14252577?trk=ondemandfile" xr:uid="{00000000-0004-0000-1700-00003F000000}"/>
    <hyperlink ref="AC11" r:id="rId65" display="https://www.linkedin.com/learning/como-desenvolver-a-lideranca-de-pensamento?trk=contentmappingfile" xr:uid="{00000000-0004-0000-1700-000040000000}"/>
    <hyperlink ref="AH11" r:id="rId66" display="https://www.linkedin.com/learning/leading-change-2?trk=ondemandfile" xr:uid="{00000000-0004-0000-1700-000041000000}"/>
    <hyperlink ref="D12" r:id="rId67" display="https://www.linkedin.com/learning/aaron-dignan-on-transformational-change?trk=ondemandfile" xr:uid="{00000000-0004-0000-1700-000042000000}"/>
    <hyperlink ref="N12" r:id="rId68" display="https://www.linkedin.com/learning/el-camino-hacia-el-liderazgo-femenino?trk=contentmappingfile" xr:uid="{00000000-0004-0000-1700-000043000000}"/>
    <hyperlink ref="S12" r:id="rId69" display="https://www.linkedin.com/learning/00-design-thinking?trk=ondemandfile" xr:uid="{00000000-0004-0000-1700-000044000000}"/>
    <hyperlink ref="AH12" r:id="rId70" display="https://www.linkedin.com/learning/strategic-agility-3?trk=ondemandfile" xr:uid="{00000000-0004-0000-1700-000045000000}"/>
    <hyperlink ref="D13" r:id="rId71" display="https://www.linkedin.com/learning/leading-organizations-ten-timeless-truths-getabstract-summary?trk=ondemandfile" xr:uid="{00000000-0004-0000-1700-000046000000}"/>
    <hyperlink ref="N13" r:id="rId72" display="https://www.linkedin.com/learning/estrategias-para-salir-de-una-crisis-empresarial?trk=ondemandfile" xr:uid="{00000000-0004-0000-1700-000047000000}"/>
    <hyperlink ref="S13" r:id="rId73" display="https://www.linkedin.com/learning/die-kreative-organisation?trk=ondemandfile" xr:uid="{00000000-0004-0000-1700-000048000000}"/>
    <hyperlink ref="AH13" r:id="rId74" display="https://www.linkedin.com/learning/breaking-out-of-a-rut-2?trk=ondemandfile" xr:uid="{00000000-0004-0000-1700-000049000000}"/>
    <hyperlink ref="D14" r:id="rId75" display="https://www.linkedin.com/learning/strategic-agility?trk=ondemandfile" xr:uid="{00000000-0004-0000-1700-00004A000000}"/>
    <hyperlink ref="N14" r:id="rId76" display="https://www.linkedin.com/learning/00-fundamentos-de-la-gestion-de-proyectos-cambios?trk=ondemandfile" xr:uid="{00000000-0004-0000-1700-00004B000000}"/>
    <hyperlink ref="S14" r:id="rId77" display="https://www.linkedin.com/learning/digitale-transformation?trk=ondemandfile" xr:uid="{00000000-0004-0000-1700-00004C000000}"/>
    <hyperlink ref="AC14" r:id="rId78" display="https://www.linkedin.com/learning/como-estimular-o-pensamento-criativo-da-sua-equipe?trk=contentmappingfile" xr:uid="{00000000-0004-0000-1700-00004D000000}"/>
    <hyperlink ref="AH14" r:id="rId79" display="https://www.linkedin.com/learning/building-creative-organizations-3?trk=ondemandfile" xr:uid="{00000000-0004-0000-1700-00004E000000}"/>
    <hyperlink ref="D15" r:id="rId80" display="https://www.linkedin.com/learning/using-emotions-to-leverage-and-accelerate-change-a-guide-for-leaders?trk=ondemandfile" xr:uid="{00000000-0004-0000-1700-00004F000000}"/>
    <hyperlink ref="N15" r:id="rId81" display="https://www.linkedin.com/learning/00-fundamentos-de-la-gestion-de-proyectos-liderazgo?trk=ondemandfile" xr:uid="{00000000-0004-0000-1700-000050000000}"/>
    <hyperlink ref="S15" r:id="rId82" display="https://www.linkedin.com/learning/disrupt-yourself-erfinden-sie-sich-neu?trk=ondemandfile" xr:uid="{00000000-0004-0000-1700-000051000000}"/>
    <hyperlink ref="AC15" r:id="rId83" display="https://www.linkedin.com/learning/como-exercer-a-lideranca-compassiva-a-perspectiva-de-jeff-weiner?trk=contentmappingfile" xr:uid="{00000000-0004-0000-1700-000052000000}"/>
    <hyperlink ref="AH15" r:id="rId84" display="https://www.linkedin.com/learning/embracing-unexpected-change-2?trk=contentmappingfile" xr:uid="{00000000-0004-0000-1700-000053000000}"/>
    <hyperlink ref="D16" r:id="rId85" display="https://www.linkedin.com/learning/coaching-your-team-from-uncertainty-to-action?trk=ondemandfile" xr:uid="{00000000-0004-0000-1700-000054000000}"/>
    <hyperlink ref="N16" r:id="rId86" display="https://www.linkedin.com/learning/gestion-del-estres-en-tiempos-de-incertidumbre-vivir-o-sobrevivir?trk=ondemandfile" xr:uid="{00000000-0004-0000-1700-000055000000}"/>
    <hyperlink ref="S16" r:id="rId87" display="https://www.linkedin.com/learning/disruption-und-transformation-erfolgreich-nutzen-zukunftssicher-in-vertrieb-und-marketing?trk=ondemandfile" xr:uid="{00000000-0004-0000-1700-000056000000}"/>
    <hyperlink ref="AH16" r:id="rId88" display="https://www.linkedin.com/learning/unlock-your-team-s-creativity-2?trk=ondemandfile" xr:uid="{00000000-0004-0000-1700-000057000000}"/>
    <hyperlink ref="D17" r:id="rId89" display="https://www.linkedin.com/learning/how-to-be-an-inclusive-leader-getabstract-summary?trk=ondemandfile" xr:uid="{00000000-0004-0000-1700-000058000000}"/>
    <hyperlink ref="N17" r:id="rId90" display="https://www.linkedin.com/learning/00-business-innovation?trk=ondemandfile" xr:uid="{00000000-0004-0000-1700-000059000000}"/>
    <hyperlink ref="S17" r:id="rId91" display="https://www.linkedin.com/learning/ein-agiles-mindset-entwickeln?trk=ondemandfile" xr:uid="{00000000-0004-0000-1700-00005A000000}"/>
    <hyperlink ref="AH17" r:id="rId92" display="https://www.linkedin.com/learning/designing-growth-strategies-2?trk=ondemandfile" xr:uid="{00000000-0004-0000-1700-00005B000000}"/>
    <hyperlink ref="D18" r:id="rId93" display="https://www.linkedin.com/learning/ai-for-product-managers?trk=ondemandfile" xr:uid="{00000000-0004-0000-1700-00005C000000}"/>
    <hyperlink ref="N18" r:id="rId94" display="https://www.linkedin.com/learning/00-inteligencia-emocional-y-finanzas?trk=ondemandfile" xr:uid="{00000000-0004-0000-1700-00005D000000}"/>
    <hyperlink ref="S18" r:id="rId95" display="https://www.linkedin.com/learning/eine-veranderungskultur-schaffen?trk=ondemandfile" xr:uid="{00000000-0004-0000-1700-00005E000000}"/>
    <hyperlink ref="AH18" r:id="rId96" display="https://www.linkedin.com/learning/project-management-foundations-change-2?trk=ondemandfile" xr:uid="{00000000-0004-0000-1700-00005F000000}"/>
    <hyperlink ref="D19" r:id="rId97" display="https://www.linkedin.com/learning/organization-communication?trk=ondemandfile" xr:uid="{00000000-0004-0000-1700-000060000000}"/>
    <hyperlink ref="I19" r:id="rId98" display="https://www.linkedin.com/learning/les-fondements-de-la-prise-de-risque-pour-les-dirigeants-dirigeantes?trk=contentmappingfile" xr:uid="{00000000-0004-0000-1700-000061000000}"/>
    <hyperlink ref="N19" r:id="rId99" display="https://www.linkedin.com/learning/00-intrapreneurship-y-mentalidad-de-crecimiento?trk=ondemandfile" xr:uid="{00000000-0004-0000-1700-000062000000}"/>
    <hyperlink ref="S19" r:id="rId100" display="https://www.linkedin.com/learning/fuhren-mit-innovation?trk=ondemandfile" xr:uid="{00000000-0004-0000-1700-000063000000}"/>
    <hyperlink ref="AC19" r:id="rId101" display="https://www.linkedin.com/learning/dicas-e-estrategias-para-exercer-uma-lideranca-de-alto-impacto?trk=contentmappingfile" xr:uid="{00000000-0004-0000-1700-000064000000}"/>
    <hyperlink ref="AH19" r:id="rId102" display="https://www.linkedin.com/learning/risk-taking-for-leaders-2?trk=ondemandfile" xr:uid="{00000000-0004-0000-1700-000065000000}"/>
    <hyperlink ref="D20" r:id="rId103" display="https://www.linkedin.com/learning/the-purpose-effect-getabstract-summary?trk=ondemandfile" xr:uid="{00000000-0004-0000-1700-000066000000}"/>
    <hyperlink ref="N20" r:id="rId104" display="https://www.linkedin.com/learning/liderazgo-agil-como-afrontar-la-nueva-normalidad?trk=ondemandfile" xr:uid="{00000000-0004-0000-1700-000067000000}"/>
    <hyperlink ref="S20" r:id="rId105" display="https://www.linkedin.com/learning/00-fuhrung-21-jahrhundert?trk=ondemandfile" xr:uid="{00000000-0004-0000-1700-000068000000}"/>
    <hyperlink ref="AH20" r:id="rId106" display="https://www.linkedin.com/learning/body-language-for-leaders?trk=ondemandfile" xr:uid="{00000000-0004-0000-1700-000069000000}"/>
    <hyperlink ref="D21" r:id="rId107" display="https://www.linkedin.com/learning/futures-centered-design?trk=ondemandfile" xr:uid="{00000000-0004-0000-1700-00006A000000}"/>
    <hyperlink ref="N21" r:id="rId108" display="https://www.linkedin.com/learning/leading-with-innovation-3?trk=ondemandfile" xr:uid="{00000000-0004-0000-1700-00006B000000}"/>
    <hyperlink ref="S21" r:id="rId109" display="https://www.linkedin.com/learning/fuhrung-in-zeiten-von-unsicherheit?trk=ondemandfile" xr:uid="{00000000-0004-0000-1700-00006C000000}"/>
    <hyperlink ref="D22" r:id="rId110" display="https://www.linkedin.com/learning/navigating-environmental-sustainability-a-guide-for-leaders?trk=ondemandfile" xr:uid="{00000000-0004-0000-1700-00006D000000}"/>
    <hyperlink ref="N22" r:id="rId111" display="https://www.linkedin.com/learning/liderazgo-con-inteligencia-emocional?trk=ondemandfile" xr:uid="{00000000-0004-0000-1700-00006E000000}"/>
    <hyperlink ref="S22" r:id="rId112" display="https://www.linkedin.com/learning/fuhrung-und-kommunikation-im-digitalen-zeitalter?trk=ondemandfile" xr:uid="{00000000-0004-0000-1700-00006F000000}"/>
    <hyperlink ref="AC22" r:id="rId113" display="https://www.linkedin.com/learning/fundamentos-de-inovacao-empresarial?trk=contentmappingfile" xr:uid="{00000000-0004-0000-1700-000070000000}"/>
    <hyperlink ref="D23" r:id="rId114" display="https://www.linkedin.com/learning/building-resilience-as-a-leader?trk=ondemandfile" xr:uid="{00000000-0004-0000-1700-000071000000}"/>
    <hyperlink ref="N23" r:id="rId115" display="https://www.linkedin.com/learning/liderazgo-en-tiempos-de-crisis?trk=ondemandfile" xr:uid="{00000000-0004-0000-1700-000072000000}"/>
    <hyperlink ref="S23" r:id="rId116" display="https://www.linkedin.com/learning/innovation-in-unternehmen?trk=ondemandfile" xr:uid="{00000000-0004-0000-1700-000073000000}"/>
    <hyperlink ref="D24" r:id="rId117" display="https://www.linkedin.com/learning/organizational-learning-and-development?trk=ondemandfile" xr:uid="{00000000-0004-0000-1700-000074000000}"/>
    <hyperlink ref="N24" r:id="rId118" display="https://www.linkedin.com/learning/liderazgo-inclusivo?trk=ondemandfile" xr:uid="{00000000-0004-0000-1700-000075000000}"/>
    <hyperlink ref="S24" r:id="rId119" display="https://www.linkedin.com/learning/kommunikation-in-zeiten-der-veranderung?trk=ondemandfile" xr:uid="{00000000-0004-0000-1700-000076000000}"/>
    <hyperlink ref="D25" r:id="rId120" display="https://www.linkedin.com/learning/communicating-in-times-of-change?trk=ondemandfile" xr:uid="{00000000-0004-0000-1700-000077000000}"/>
    <hyperlink ref="N25" r:id="rId121" display="https://www.linkedin.com/learning/liderazgo-transformador?trk=ondemandfile" xr:uid="{00000000-0004-0000-1700-000078000000}"/>
    <hyperlink ref="S25" r:id="rId122" display="https://www.linkedin.com/learning/marketing-in-zeiten-der-veranderung?trk=ondemandfile" xr:uid="{00000000-0004-0000-1700-000079000000}"/>
    <hyperlink ref="D26" r:id="rId123" display="https://www.linkedin.com/learning/leading-with-values?trk=ondemandfile" xr:uid="{00000000-0004-0000-1700-00007A000000}"/>
    <hyperlink ref="N26" r:id="rId124" display="https://www.linkedin.com/learning/00-risk-taking-for-leaders?trk=ondemandfile" xr:uid="{00000000-0004-0000-1700-00007B000000}"/>
    <hyperlink ref="S26" r:id="rId125" display="https://www.linkedin.com/learning/projektmanagement-anderungsmanagement?trk=ondemandfile" xr:uid="{00000000-0004-0000-1700-00007C000000}"/>
    <hyperlink ref="D27" r:id="rId126" display="https://www.linkedin.com/learning/moving-past-change-fatigue-to-the-growth-edge?trk=ondemandfile" xr:uid="{00000000-0004-0000-1700-00007D000000}"/>
    <hyperlink ref="N27" r:id="rId127" display="https://www.linkedin.com/learning/liderazgo-y-recursos-humanos-estrategia-de-ubicacion-para-una-fuerza-de-trabajo-hibrida?trk=contentmappingfile" xr:uid="{00000000-0004-0000-1700-00007E000000}"/>
    <hyperlink ref="S27" r:id="rId128" display="https://www.linkedin.com/learning/unerwartete-veranderungen-annehmen?trk=ondemandfile" xr:uid="{00000000-0004-0000-1700-00007F000000}"/>
    <hyperlink ref="D28" r:id="rId129" display="https://www.linkedin.com/learning/change-leadership?trk=ondemandfile" xr:uid="{00000000-0004-0000-1700-000080000000}"/>
    <hyperlink ref="N28" r:id="rId130" display="https://www.linkedin.com/learning/00-liderazgo-y-trabajo-en-equipo?trk=ondemandfile" xr:uid="{00000000-0004-0000-1700-000081000000}"/>
    <hyperlink ref="S28" r:id="rId131" display="https://www.linkedin.com/learning/00-leading-change?trk=ondemandfile" xr:uid="{00000000-0004-0000-1700-000082000000}"/>
    <hyperlink ref="D29" r:id="rId132" display="https://www.linkedin.com/learning/start-with-why?trk=ondemandfile" xr:uid="{00000000-0004-0000-1700-000083000000}"/>
    <hyperlink ref="N29" r:id="rId133" display="https://www.linkedin.com/learning/storytelling-para-el-liderazgo?trk=contentmappingfile" xr:uid="{00000000-0004-0000-1700-000084000000}"/>
    <hyperlink ref="S29" r:id="rId134" display="https://www.linkedin.com/learning/veranderungen-im-beruf-erfolgreich-bewaltigen?trk=ondemandfile" xr:uid="{00000000-0004-0000-1700-000085000000}"/>
    <hyperlink ref="D30" r:id="rId135" display="https://www.linkedin.com/learning/reorganize-and-transition-your-team-for-change?trk=ondemandfile" xr:uid="{00000000-0004-0000-1700-000086000000}"/>
    <hyperlink ref="D31" r:id="rId136" display="https://www.linkedin.com/learning/leading-with-fearless-mindfulness?trk=ondemandfile" xr:uid="{00000000-0004-0000-1700-000087000000}"/>
    <hyperlink ref="D32" r:id="rId137" display="https://www.linkedin.com/learning/supporting-workers-with-disabilities?trk=ondemandfile" xr:uid="{00000000-0004-0000-1700-000088000000}"/>
    <hyperlink ref="D33" r:id="rId138" display="https://www.linkedin.com/learning/building-change-capability-for-managers?trk=ondemandfile" xr:uid="{00000000-0004-0000-1700-000089000000}"/>
    <hyperlink ref="D34" r:id="rId139" display="https://www.linkedin.com/learning/body-language-for-leaders-2?trk=ondemandfile" xr:uid="{00000000-0004-0000-1700-00008A000000}"/>
    <hyperlink ref="D35" r:id="rId140" display="https://www.linkedin.com/learning/leading-your-team-through-actionable-change?trk=ondemandfile" xr:uid="{00000000-0004-0000-1700-00008B000000}"/>
    <hyperlink ref="D36" r:id="rId141" display="https://www.linkedin.com/learning/managing-organizational-change-for-managers?trk=ondemandfile" xr:uid="{00000000-0004-0000-1700-00008C000000}"/>
    <hyperlink ref="D37" r:id="rId142" display="https://www.linkedin.com/learning/how-to-support-your-employees-well-being?trk=ondemandfile" xr:uid="{00000000-0004-0000-1700-00008D000000}"/>
    <hyperlink ref="D38" r:id="rId143" display="https://www.linkedin.com/learning/change-management-tips-for-leaders?trk=ondemandfile" xr:uid="{00000000-0004-0000-1700-00008E000000}"/>
    <hyperlink ref="D39" r:id="rId144" display="https://www.linkedin.com/learning/cultivating-a-growth-mindset?trk=ondemandfile" xr:uid="{00000000-0004-0000-1700-00008F000000}"/>
    <hyperlink ref="D40" r:id="rId145" display="https://www.linkedin.com/learning/developing-a-learning-mindset?trk=ondemandfile" xr:uid="{00000000-0004-0000-1700-000090000000}"/>
    <hyperlink ref="D41" r:id="rId146" display="https://www.linkedin.com/learning/embracing-change-2019?trk=ondemandfile" xr:uid="{00000000-0004-0000-1700-000091000000}"/>
    <hyperlink ref="D42" r:id="rId147" display="https://www.linkedin.com/learning/learning-design-for-sustainability?trk=ondemandfile" xr:uid="{00000000-0004-0000-1700-000092000000}"/>
    <hyperlink ref="D43" r:id="rId148" display="https://www.linkedin.com/learning/performing-under-pressure?trk=ondemandfile" xr:uid="{00000000-0004-0000-1700-000093000000}"/>
    <hyperlink ref="D44" r:id="rId149" display="https://www.linkedin.com/learning/women-transforming-tech-breaking-in-and-staying-in-the-industry?trk=ondemandfile" xr:uid="{00000000-0004-0000-1700-000094000000}"/>
    <hyperlink ref="D45" r:id="rId150" display="https://www.linkedin.com/learning/women-transforming-tech-breaking-bias-2?trk=ondemandfile" xr:uid="{00000000-0004-0000-1700-000095000000}"/>
    <hyperlink ref="D46" r:id="rId151" display="https://www.linkedin.com/learning/guy-kawasaki-on-turning-life-wisd-om-into-business-success?trk=ondemandfile" xr:uid="{00000000-0004-0000-1700-000096000000}"/>
    <hyperlink ref="D47" r:id="rId152" display="https://www.linkedin.com/learning/advocating-for-change-in-your-organization?trk=ondemandfile" xr:uid="{00000000-0004-0000-1700-000097000000}"/>
    <hyperlink ref="D48" r:id="rId153" display="https://www.linkedin.com/learning/demystifying-company-culture?trk=ondemandfile" xr:uid="{00000000-0004-0000-1700-000098000000}"/>
    <hyperlink ref="D49" r:id="rId154" display="https://www.linkedin.com/learning/creating-a-great-place-to-work-for-all?trk=ondemandfile" xr:uid="{00000000-0004-0000-1700-000099000000}"/>
    <hyperlink ref="D50" r:id="rId155" display="https://www.linkedin.com/learning/change-management-tips-for-individuals?trk=ondemandfile" xr:uid="{00000000-0004-0000-1700-00009A000000}"/>
    <hyperlink ref="D51" r:id="rId156" display="https://www.linkedin.com/learning/how-to-lead-and-inspire-change?trk=ondemandfile" xr:uid="{00000000-0004-0000-1700-00009B000000}"/>
    <hyperlink ref="D52" r:id="rId157" display="https://www.linkedin.com/learning/creating-safe-spaces-for-tough-conversations-at-work?trk=contentmappingfile" xr:uid="{00000000-0004-0000-1700-00009C000000}"/>
    <hyperlink ref="D53" r:id="rId158" display="https://www.linkedin.com/learning/strategies-to-foster-inclusive-language-at-work?trk=contentmappingfile" xr:uid="{00000000-0004-0000-1700-00009D000000}"/>
    <hyperlink ref="D54" r:id="rId159" display="https://www.linkedin.com/learning/mixtape-highlights-from-linkedin-learning-courses?trk=ondemandfile" xr:uid="{00000000-0004-0000-1700-00009E000000}"/>
    <hyperlink ref="D55" r:id="rId160" display="https://www.linkedin.com/learning/being-your-own-fierce-self-advocate?trk=ondemandfile" xr:uid="{00000000-0004-0000-1700-00009F000000}"/>
    <hyperlink ref="D56" r:id="rId161" display="https://www.linkedin.com/learning/managing-employee-stress-for-positive-change?trk=ondemandfile" xr:uid="{00000000-0004-0000-1700-0000A0000000}"/>
    <hyperlink ref="D57" r:id="rId162" display="https://www.linkedin.com/learning/adaptive-project-leadership?trk=ondemandfile" xr:uid="{00000000-0004-0000-1700-0000A1000000}"/>
    <hyperlink ref="D58" r:id="rId163" display="https://www.linkedin.com/learning/enhancing-team-innovation?trk=ondemandfile" xr:uid="{00000000-0004-0000-1700-0000A2000000}"/>
    <hyperlink ref="D59" r:id="rId164" display="https://www.linkedin.com/learning/leading-with-kindness-and-strength?trk=ondemandfile" xr:uid="{00000000-0004-0000-1700-0000A3000000}"/>
    <hyperlink ref="D60" r:id="rId165" display="https://www.linkedin.com/learning/communicating-an-enterprise-wide-transformation?trk=ondemandfile" xr:uid="{00000000-0004-0000-1700-0000A4000000}"/>
    <hyperlink ref="D61" r:id="rId166" display="https://www.linkedin.com/learning/how-to-innovate-and-stay-relevant-in-times-of-change-and-uncertainty?trk=ondemandfile" xr:uid="{00000000-0004-0000-1700-0000A5000000}"/>
    <hyperlink ref="D62" r:id="rId167" display="https://www.linkedin.com/learning/leading-in-uncertain-times?trk=ondemandfile" xr:uid="{00000000-0004-0000-1700-0000A6000000}"/>
    <hyperlink ref="D63" r:id="rId168" display="https://www.linkedin.com/learning/the-employee-s-guide-to-sustainability?trk=ondemandfile" xr:uid="{00000000-0004-0000-1700-0000A7000000}"/>
    <hyperlink ref="D64" r:id="rId169" display="https://www.linkedin.com/learning/design-of-podcast-emily-cohen-consultant-speaker-brutally-honest?trk=ondemandfile" xr:uid="{00000000-0004-0000-1700-0000A8000000}"/>
    <hyperlink ref="D65" r:id="rId170" display="https://www.linkedin.com/learning/reframing-organizations-blinkist-summary?trk=ondemandfile" xr:uid="{00000000-0004-0000-1700-0000A9000000}"/>
    <hyperlink ref="D66" r:id="rId171" display="https://www.linkedin.com/learning/driving-change-and-anti-racism?trk=ondemandfile" xr:uid="{00000000-0004-0000-1700-0000AA000000}"/>
    <hyperlink ref="D67" r:id="rId172" display="https://www.linkedin.com/learning/mastering-self-leadership?trk=ondemandfile" xr:uid="{00000000-0004-0000-1700-0000AB000000}"/>
    <hyperlink ref="D68" r:id="rId173" display="https://www.linkedin.com/learning/preparing-yourself-for-change?trk=ondemandfile" xr:uid="{00000000-0004-0000-1700-0000AC000000}"/>
    <hyperlink ref="D69" r:id="rId174" display="https://www.linkedin.com/learning/change-management-plan-on-a-page?trk=ondemandfile" xr:uid="{00000000-0004-0000-1700-0000AD000000}"/>
    <hyperlink ref="D70" r:id="rId175" display="https://www.linkedin.com/learning/change-management-roadmap-to-execution?trk=ondemandfile" xr:uid="{00000000-0004-0000-1700-0000AE000000}"/>
    <hyperlink ref="D71" r:id="rId176" display="https://www.linkedin.com/learning/how-to-be-more-inclusive?trk=ondemandfile" xr:uid="{00000000-0004-0000-1700-0000AF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Click and enter a value from range 'Competency Titles'!A1:A27" xr:uid="{00000000-0002-0000-1700-000000000000}">
          <x14:formula1>
            <xm:f>#REF!</xm:f>
          </x14:formula1>
          <xm:sqref>B1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38761D"/>
    <outlinePr summaryBelow="0" summaryRight="0"/>
  </sheetPr>
  <dimension ref="A1:AJ120"/>
  <sheetViews>
    <sheetView showGridLines="0" workbookViewId="0">
      <pane ySplit="3" topLeftCell="A4" activePane="bottomLeft" state="frozen"/>
      <selection pane="bottomLeft" sqref="A1:XFD1048576"/>
    </sheetView>
  </sheetViews>
  <sheetFormatPr baseColWidth="10" defaultColWidth="11.1640625" defaultRowHeight="15" customHeight="1"/>
  <cols>
    <col min="1" max="1" width="1.1640625" customWidth="1"/>
    <col min="2" max="2" width="11.1640625" customWidth="1"/>
    <col min="3" max="3" width="18.5" customWidth="1"/>
    <col min="4" max="5" width="44.5" customWidth="1"/>
    <col min="6" max="6" width="1.1640625" customWidth="1"/>
    <col min="7" max="7" width="11.1640625" customWidth="1"/>
    <col min="8" max="8" width="19.33203125" customWidth="1"/>
    <col min="9" max="10" width="44.5" customWidth="1"/>
    <col min="11" max="11" width="1.1640625" customWidth="1"/>
    <col min="12" max="12" width="11.1640625" customWidth="1"/>
    <col min="13" max="13" width="20.83203125" customWidth="1"/>
    <col min="14" max="15" width="44.5" customWidth="1"/>
    <col min="16" max="16" width="1.1640625" customWidth="1"/>
    <col min="17" max="17" width="11.1640625" customWidth="1"/>
    <col min="18" max="18" width="19.6640625" customWidth="1"/>
    <col min="19" max="20" width="44.5" customWidth="1"/>
    <col min="21" max="21" width="1.1640625" customWidth="1"/>
    <col min="23" max="23" width="18.6640625" customWidth="1"/>
    <col min="24" max="25" width="44.5" customWidth="1"/>
    <col min="26" max="26" width="1.1640625" customWidth="1"/>
    <col min="27" max="27" width="11.1640625" customWidth="1"/>
    <col min="28" max="28" width="26.6640625" customWidth="1"/>
    <col min="29" max="30" width="44.5" customWidth="1"/>
    <col min="31" max="31" width="1.1640625" customWidth="1"/>
    <col min="32" max="32" width="11.1640625" customWidth="1"/>
    <col min="33" max="33" width="21" customWidth="1"/>
    <col min="34" max="35" width="44.5" customWidth="1"/>
    <col min="36" max="36" width="1.1640625" customWidth="1"/>
  </cols>
  <sheetData>
    <row r="1" spans="1:36" ht="34.5" customHeight="1">
      <c r="A1" s="208"/>
      <c r="B1" s="230" t="s">
        <v>14</v>
      </c>
      <c r="C1" s="222"/>
      <c r="D1" s="222"/>
      <c r="E1" s="222"/>
      <c r="F1" s="208"/>
      <c r="G1" s="230" t="str">
        <f ca="1">IFERROR(__xludf.DUMMYFUNCTION("IFERROR(UNIQUE(FILTER(French!B:B,French!A:A=B1)))"),"Leadership efficace et leadership transformationnel")</f>
        <v>Leadership efficace et leadership transformationnel</v>
      </c>
      <c r="H1" s="222"/>
      <c r="I1" s="222"/>
      <c r="J1" s="222"/>
      <c r="K1" s="208"/>
      <c r="L1" s="230" t="str">
        <f ca="1">IFERROR(__xludf.DUMMYFUNCTION("IFERROR((UNIQUE(FILTER(Spanish!B:B,Spanish!A:A=B1))))"),"Liderar de manera eficaz y transformadora")</f>
        <v>Liderar de manera eficaz y transformadora</v>
      </c>
      <c r="M1" s="222"/>
      <c r="N1" s="222"/>
      <c r="O1" s="222"/>
      <c r="P1" s="208"/>
      <c r="Q1" s="230" t="str">
        <f ca="1">IFERROR(__xludf.DUMMYFUNCTION("IFERROR(UNIQUE(FILTER(German!B:B,German!A:A=B1)))"),"Andere wirksam führen und transformative Führung")</f>
        <v>Andere wirksam führen und transformative Führung</v>
      </c>
      <c r="R1" s="222"/>
      <c r="S1" s="222"/>
      <c r="T1" s="222"/>
      <c r="U1" s="208"/>
      <c r="V1" s="230" t="str">
        <f ca="1">IFERROR(__xludf.DUMMYFUNCTION("IFERROR(UNIQUE(FILTER(Japanese!B:B,Japanese!A:A=B1)))"),"効果的な部下の指導と変革型リーダーシップ")</f>
        <v>効果的な部下の指導と変革型リーダーシップ</v>
      </c>
      <c r="W1" s="222"/>
      <c r="X1" s="222"/>
      <c r="Y1" s="222"/>
      <c r="Z1" s="208"/>
      <c r="AA1" s="230" t="str">
        <f ca="1">IFERROR(__xludf.DUMMYFUNCTION("IFERROR(UNIQUE(FILTER(Portuguese!B:B,Portuguese!A:A=B1)))"),"Liderança eficaz de pessoas e liderança transformacional")</f>
        <v>Liderança eficaz de pessoas e liderança transformacional</v>
      </c>
      <c r="AB1" s="222"/>
      <c r="AC1" s="222"/>
      <c r="AD1" s="222"/>
      <c r="AE1" s="208"/>
      <c r="AF1" s="230" t="str">
        <f ca="1">IFERROR(__xludf.DUMMYFUNCTION("IFERROR(UNIQUE(FILTER(Mandarin!B:B,Mandarin!A:A=B1)))"),"有效领导和变革型领导")</f>
        <v>有效领导和变革型领导</v>
      </c>
      <c r="AG1" s="222"/>
      <c r="AH1" s="222"/>
      <c r="AI1" s="222"/>
      <c r="AJ1" s="208"/>
    </row>
    <row r="2" spans="1:36" ht="28" customHeight="1">
      <c r="A2" s="209"/>
      <c r="B2" s="234" t="s">
        <v>4713</v>
      </c>
      <c r="C2" s="222"/>
      <c r="D2" s="222"/>
      <c r="E2" s="222"/>
      <c r="F2" s="209"/>
      <c r="G2" s="231" t="s">
        <v>4714</v>
      </c>
      <c r="H2" s="222"/>
      <c r="I2" s="222"/>
      <c r="J2" s="222"/>
      <c r="K2" s="209"/>
      <c r="L2" s="235" t="s">
        <v>4715</v>
      </c>
      <c r="M2" s="222"/>
      <c r="N2" s="222"/>
      <c r="O2" s="222"/>
      <c r="P2" s="209"/>
      <c r="Q2" s="232" t="s">
        <v>4716</v>
      </c>
      <c r="R2" s="222"/>
      <c r="S2" s="222"/>
      <c r="T2" s="222"/>
      <c r="U2" s="209"/>
      <c r="V2" s="236" t="s">
        <v>4717</v>
      </c>
      <c r="W2" s="222"/>
      <c r="X2" s="222"/>
      <c r="Y2" s="222"/>
      <c r="Z2" s="209"/>
      <c r="AA2" s="233" t="s">
        <v>4718</v>
      </c>
      <c r="AB2" s="222"/>
      <c r="AC2" s="222"/>
      <c r="AD2" s="222"/>
      <c r="AE2" s="209"/>
      <c r="AF2" s="237" t="s">
        <v>4719</v>
      </c>
      <c r="AG2" s="222"/>
      <c r="AH2" s="222"/>
      <c r="AI2" s="222"/>
      <c r="AJ2" s="209"/>
    </row>
    <row r="3" spans="1:36" ht="26" customHeight="1">
      <c r="A3" s="210"/>
      <c r="B3" s="211" t="str">
        <f ca="1">IFERROR(__xludf.DUMMYFUNCTION("FILTER(English!B:B,English!A:A=B1)"),"Course IDs")</f>
        <v>Course IDs</v>
      </c>
      <c r="C3" s="211" t="str">
        <f ca="1">IFERROR(__xludf.DUMMYFUNCTION("FILTER(English!C:C,English!A:A=B1)"),"Levels")</f>
        <v>Levels</v>
      </c>
      <c r="D3" s="211" t="str">
        <f ca="1">IFERROR(__xludf.DUMMYFUNCTION("FILTER(English!D:D,English!A:A=B1)"),"Courses")</f>
        <v>Courses</v>
      </c>
      <c r="E3" s="212" t="str">
        <f ca="1">IFERROR(__xludf.DUMMYFUNCTION("FILTER(English!E:E,English!A:A=B1)"),"Learning Paths")</f>
        <v>Learning Paths</v>
      </c>
      <c r="F3" s="210"/>
      <c r="G3" s="211" t="str">
        <f ca="1">IFERROR(__xludf.DUMMYFUNCTION("FILTER(French!C:C,French!B:B=G1)"),"Course IDs")</f>
        <v>Course IDs</v>
      </c>
      <c r="H3" s="211" t="str">
        <f ca="1">IFERROR(__xludf.DUMMYFUNCTION("FILTER(French!D:D,French!B:B=G1)"),"Levels")</f>
        <v>Levels</v>
      </c>
      <c r="I3" s="211" t="str">
        <f ca="1">IFERROR(__xludf.DUMMYFUNCTION("FILTER(French!E:E,French!B:B=G1)"),"Courses")</f>
        <v>Courses</v>
      </c>
      <c r="J3" s="212" t="str">
        <f ca="1">IFERROR(__xludf.DUMMYFUNCTION("FILTER(French!G:G,French!B:B=G1)"),"Learning Paths")</f>
        <v>Learning Paths</v>
      </c>
      <c r="K3" s="210"/>
      <c r="L3" s="211" t="str">
        <f ca="1">IFERROR(__xludf.DUMMYFUNCTION("FILTER(Spanish!C:C,Spanish!B:B=L1)"),"Course IDs")</f>
        <v>Course IDs</v>
      </c>
      <c r="M3" s="211" t="str">
        <f ca="1">IFERROR(__xludf.DUMMYFUNCTION("FILTER(Spanish!D:D,Spanish!B:B=L1)"),"Levels")</f>
        <v>Levels</v>
      </c>
      <c r="N3" s="211" t="str">
        <f ca="1">IFERROR(__xludf.DUMMYFUNCTION("FILTER(Spanish!E:E,Spanish!B:B=L1)"),"Courses")</f>
        <v>Courses</v>
      </c>
      <c r="O3" s="212" t="str">
        <f ca="1">IFERROR(__xludf.DUMMYFUNCTION("FILTER(Spanish!G:G,Spanish!B:B=L1)"),"Learning Paths")</f>
        <v>Learning Paths</v>
      </c>
      <c r="P3" s="210"/>
      <c r="Q3" s="211" t="str">
        <f ca="1">IFERROR(__xludf.DUMMYFUNCTION("FILTER(German!C:C,German!B:B=Q1)"),"Course IDs")</f>
        <v>Course IDs</v>
      </c>
      <c r="R3" s="211" t="str">
        <f ca="1">IFERROR(__xludf.DUMMYFUNCTION("FILTER(German!D:D,German!B:B=Q1)"),"Levels")</f>
        <v>Levels</v>
      </c>
      <c r="S3" s="211" t="str">
        <f ca="1">IFERROR(__xludf.DUMMYFUNCTION("FILTER(German!E:E,German!B:B=Q1)"),"Courses")</f>
        <v>Courses</v>
      </c>
      <c r="T3" s="212" t="str">
        <f ca="1">IFERROR(__xludf.DUMMYFUNCTION("FILTER(German!G:G,German!B:B=Q1)"),"Learning Paths")</f>
        <v>Learning Paths</v>
      </c>
      <c r="U3" s="210"/>
      <c r="V3" s="211" t="str">
        <f ca="1">IFERROR(__xludf.DUMMYFUNCTION("FILTER(Japanese!C:C,Japanese!B:B=V1)"),"Course IDs")</f>
        <v>Course IDs</v>
      </c>
      <c r="W3" s="211" t="str">
        <f ca="1">IFERROR(__xludf.DUMMYFUNCTION("FILTER(Japanese!D:D,Japanese!B:B=V1)"),"Levels")</f>
        <v>Levels</v>
      </c>
      <c r="X3" s="211" t="str">
        <f ca="1">IFERROR(__xludf.DUMMYFUNCTION("FILTER(Japanese!E:E,Japanese!B:B=V1)"),"Courses")</f>
        <v>Courses</v>
      </c>
      <c r="Y3" s="212" t="str">
        <f ca="1">IFERROR(__xludf.DUMMYFUNCTION("FILTER(Japanese!G:G,Japanese!B:B=V1)"),"Learning Paths")</f>
        <v>Learning Paths</v>
      </c>
      <c r="Z3" s="210"/>
      <c r="AA3" s="211" t="str">
        <f ca="1">IFERROR(__xludf.DUMMYFUNCTION("FILTER(Portuguese!C:C,Portuguese!B:B=AA1)"),"Course IDs")</f>
        <v>Course IDs</v>
      </c>
      <c r="AB3" s="211" t="str">
        <f ca="1">IFERROR(__xludf.DUMMYFUNCTION("FILTER(Portuguese!D:D,Portuguese!B:B=AA1)"),"Levels")</f>
        <v>Levels</v>
      </c>
      <c r="AC3" s="211" t="str">
        <f ca="1">IFERROR(__xludf.DUMMYFUNCTION("FILTER(Portuguese!E:E,Portuguese!B:B=AA1)"),"Courses")</f>
        <v>Courses</v>
      </c>
      <c r="AD3" s="212" t="str">
        <f ca="1">IFERROR(__xludf.DUMMYFUNCTION("FILTER(Portuguese!G:G,Portuguese!B:B=AA1)"),"Learning Paths")</f>
        <v>Learning Paths</v>
      </c>
      <c r="AE3" s="210"/>
      <c r="AF3" s="211" t="str">
        <f ca="1">IFERROR(__xludf.DUMMYFUNCTION("FILTER(Mandarin!C:C,Mandarin!B:B=AF1)"),"Course IDs")</f>
        <v>Course IDs</v>
      </c>
      <c r="AG3" s="211" t="str">
        <f ca="1">IFERROR(__xludf.DUMMYFUNCTION("FILTER(Mandarin!D:D,Mandarin!B:B=AF1)"),"Levels")</f>
        <v>Levels</v>
      </c>
      <c r="AH3" s="211" t="str">
        <f ca="1">IFERROR(__xludf.DUMMYFUNCTION("FILTER(Mandarin!E:E,Mandarin!B:B=AF1)"),"Courses")</f>
        <v>Courses</v>
      </c>
      <c r="AI3" s="212" t="str">
        <f ca="1">IFERROR(__xludf.DUMMYFUNCTION("FILTER(Mandarin!G:G,Mandarin!B:B=AF1)"),"Learning Paths")</f>
        <v>Learning Paths</v>
      </c>
      <c r="AJ3" s="210"/>
    </row>
    <row r="4" spans="1:36" ht="33.75" customHeight="1">
      <c r="A4" s="213"/>
      <c r="B4" s="214">
        <f ca="1">IFERROR(__xludf.DUMMYFUNCTION("""COMPUTED_VALUE"""),2846000)</f>
        <v>2846000</v>
      </c>
      <c r="C4" s="215" t="str">
        <f ca="1">IFERROR(__xludf.DUMMYFUNCTION("""COMPUTED_VALUE"""),"Beginner")</f>
        <v>Beginner</v>
      </c>
      <c r="D4" s="216" t="str">
        <f ca="1">IFERROR(__xludf.DUMMYFUNCTION("""COMPUTED_VALUE"""),"Privacy for Executives and Aspiring Executives")</f>
        <v>Privacy for Executives and Aspiring Executives</v>
      </c>
      <c r="E4" s="217" t="str">
        <f ca="1">IFERROR(__xludf.DUMMYFUNCTION("""COMPUTED_VALUE"""),"Build a Company Learning and Development Program")</f>
        <v>Build a Company Learning and Development Program</v>
      </c>
      <c r="F4" s="213"/>
      <c r="G4" s="214">
        <f ca="1">IFERROR(__xludf.DUMMYFUNCTION("""COMPUTED_VALUE"""),3200215)</f>
        <v>3200215</v>
      </c>
      <c r="H4" s="215" t="str">
        <f ca="1">IFERROR(__xludf.DUMMYFUNCTION("""COMPUTED_VALUE"""),"All levels")</f>
        <v>All levels</v>
      </c>
      <c r="I4" s="217" t="str">
        <f ca="1">IFERROR(__xludf.DUMMYFUNCTION("""COMPUTED_VALUE"""),"10 minutes, un livre : Comment trouver le leader en vous")</f>
        <v>10 minutes, un livre : Comment trouver le leader en vous</v>
      </c>
      <c r="J4" s="217" t="str">
        <f ca="1">IFERROR(__xludf.DUMMYFUNCTION("""COMPUTED_VALUE"""),"Devenir un leader")</f>
        <v>Devenir un leader</v>
      </c>
      <c r="K4" s="213"/>
      <c r="L4" s="215">
        <f ca="1">IFERROR(__xludf.DUMMYFUNCTION("""COMPUTED_VALUE"""),5025693)</f>
        <v>5025693</v>
      </c>
      <c r="M4" s="215" t="str">
        <f ca="1">IFERROR(__xludf.DUMMYFUNCTION("""COMPUTED_VALUE"""),"Intermediate")</f>
        <v>Intermediate</v>
      </c>
      <c r="N4" s="217" t="str">
        <f ca="1">IFERROR(__xludf.DUMMYFUNCTION("""COMPUTED_VALUE"""),"Agile en acción: Construye tu equipo ágil")</f>
        <v>Agile en acción: Construye tu equipo ágil</v>
      </c>
      <c r="O4" s="217" t="str">
        <f ca="1">IFERROR(__xludf.DUMMYFUNCTION("""COMPUTED_VALUE"""),"Mejora tus dotes de liderazgo y gestión de equipos de trabajo")</f>
        <v>Mejora tus dotes de liderazgo y gestión de equipos de trabajo</v>
      </c>
      <c r="P4" s="213"/>
      <c r="Q4" s="215">
        <f ca="1">IFERROR(__xludf.DUMMYFUNCTION("""COMPUTED_VALUE"""),759348)</f>
        <v>759348</v>
      </c>
      <c r="R4" s="215" t="str">
        <f ca="1">IFERROR(__xludf.DUMMYFUNCTION("""COMPUTED_VALUE"""),"Beginner")</f>
        <v>Beginner</v>
      </c>
      <c r="S4" s="217" t="str">
        <f ca="1">IFERROR(__xludf.DUMMYFUNCTION("""COMPUTED_VALUE"""),"Agiler führen – eine Einführung")</f>
        <v>Agiler führen – eine Einführung</v>
      </c>
      <c r="T4" s="217" t="str">
        <f ca="1">IFERROR(__xludf.DUMMYFUNCTION("""COMPUTED_VALUE"""),"Führen im Zeitalter der Digitalen Transformation")</f>
        <v>Führen im Zeitalter der Digitalen Transformation</v>
      </c>
      <c r="U4" s="213"/>
      <c r="V4" s="215">
        <f ca="1">IFERROR(__xludf.DUMMYFUNCTION("""COMPUTED_VALUE"""),3163260)</f>
        <v>3163260</v>
      </c>
      <c r="W4" s="215" t="str">
        <f ca="1">IFERROR(__xludf.DUMMYFUNCTION("""COMPUTED_VALUE"""),"Beginner")</f>
        <v>Beginner</v>
      </c>
      <c r="X4" s="217" t="str">
        <f ca="1">IFERROR(__xludf.DUMMYFUNCTION("""COMPUTED_VALUE"""),"1on1ミーティングを実施する")</f>
        <v>1on1ミーティングを実施する</v>
      </c>
      <c r="Y4" s="217" t="str">
        <f ca="1">IFERROR(__xludf.DUMMYFUNCTION("""COMPUTED_VALUE"""),"N/A")</f>
        <v>N/A</v>
      </c>
      <c r="Z4" s="213"/>
      <c r="AA4" s="215">
        <f ca="1">IFERROR(__xludf.DUMMYFUNCTION("""COMPUTED_VALUE"""),2908955)</f>
        <v>2908955</v>
      </c>
      <c r="AB4" s="215" t="str">
        <f ca="1">IFERROR(__xludf.DUMMYFUNCTION("""COMPUTED_VALUE"""),"All levels")</f>
        <v>All levels</v>
      </c>
      <c r="AC4" s="217" t="str">
        <f ca="1">IFERROR(__xludf.DUMMYFUNCTION("""COMPUTED_VALUE"""),"A Linguagem Corporal da Liderança")</f>
        <v>A Linguagem Corporal da Liderança</v>
      </c>
      <c r="AD4" s="217" t="str">
        <f ca="1">IFERROR(__xludf.DUMMYFUNCTION("""COMPUTED_VALUE"""),"Torne-se um Líder")</f>
        <v>Torne-se um Líder</v>
      </c>
      <c r="AE4" s="213"/>
      <c r="AF4" s="215">
        <f ca="1">IFERROR(__xludf.DUMMYFUNCTION("""COMPUTED_VALUE"""),2421970)</f>
        <v>2421970</v>
      </c>
      <c r="AG4" s="215" t="str">
        <f ca="1">IFERROR(__xludf.DUMMYFUNCTION("""COMPUTED_VALUE"""),"Beginner, Intermediate")</f>
        <v>Beginner, Intermediate</v>
      </c>
      <c r="AH4" s="217" t="str">
        <f ca="1">IFERROR(__xludf.DUMMYFUNCTION("""COMPUTED_VALUE"""),"主导远程会议")</f>
        <v>主导远程会议</v>
      </c>
      <c r="AI4" s="217" t="str">
        <f ca="1">IFERROR(__xludf.DUMMYFUNCTION("""COMPUTED_VALUE"""),"成为领导者")</f>
        <v>成为领导者</v>
      </c>
      <c r="AJ4" s="213"/>
    </row>
    <row r="5" spans="1:36" ht="30">
      <c r="A5" s="213"/>
      <c r="B5" s="214">
        <f ca="1">IFERROR(__xludf.DUMMYFUNCTION("""COMPUTED_VALUE"""),645018)</f>
        <v>645018</v>
      </c>
      <c r="C5" s="215" t="str">
        <f ca="1">IFERROR(__xludf.DUMMYFUNCTION("""COMPUTED_VALUE"""),"General")</f>
        <v>General</v>
      </c>
      <c r="D5" s="216" t="str">
        <f ca="1">IFERROR(__xludf.DUMMYFUNCTION("""COMPUTED_VALUE"""),"Ryan Holmes on Social Leadership")</f>
        <v>Ryan Holmes on Social Leadership</v>
      </c>
      <c r="E5" s="217" t="str">
        <f ca="1">IFERROR(__xludf.DUMMYFUNCTION("""COMPUTED_VALUE"""),"Become an Inclusive Leader")</f>
        <v>Become an Inclusive Leader</v>
      </c>
      <c r="F5" s="213"/>
      <c r="G5" s="214">
        <f ca="1">IFERROR(__xludf.DUMMYFUNCTION("""COMPUTED_VALUE"""),3169224)</f>
        <v>3169224</v>
      </c>
      <c r="H5" s="215" t="str">
        <f ca="1">IFERROR(__xludf.DUMMYFUNCTION("""COMPUTED_VALUE"""),"Beginner, Intermediate")</f>
        <v>Beginner, Intermediate</v>
      </c>
      <c r="I5" s="217" t="str">
        <f ca="1">IFERROR(__xludf.DUMMYFUNCTION("""COMPUTED_VALUE"""),"Accroître la sécurité psychologique de votre équipe")</f>
        <v>Accroître la sécurité psychologique de votre équipe</v>
      </c>
      <c r="J5" s="217" t="str">
        <f ca="1">IFERROR(__xludf.DUMMYFUNCTION("""COMPUTED_VALUE"""),"Démontrer son leadership en tant que dirigeant")</f>
        <v>Démontrer son leadership en tant que dirigeant</v>
      </c>
      <c r="K5" s="213"/>
      <c r="L5" s="215">
        <f ca="1">IFERROR(__xludf.DUMMYFUNCTION("""COMPUTED_VALUE"""),778412)</f>
        <v>778412</v>
      </c>
      <c r="M5" s="215" t="str">
        <f ca="1">IFERROR(__xludf.DUMMYFUNCTION("""COMPUTED_VALUE"""),"All levels")</f>
        <v>All levels</v>
      </c>
      <c r="N5" s="217" t="str">
        <f ca="1">IFERROR(__xludf.DUMMYFUNCTION("""COMPUTED_VALUE"""),"Bill George sobre autoconocimiento, autenticidad, y liderazgo")</f>
        <v>Bill George sobre autoconocimiento, autenticidad, y liderazgo</v>
      </c>
      <c r="O5" s="217" t="str">
        <f ca="1">IFERROR(__xludf.DUMMYFUNCTION("""COMPUTED_VALUE"""),"Domina las habilidades de vida a nivel de liderazgo")</f>
        <v>Domina las habilidades de vida a nivel de liderazgo</v>
      </c>
      <c r="P5" s="213"/>
      <c r="Q5" s="215">
        <f ca="1">IFERROR(__xludf.DUMMYFUNCTION("""COMPUTED_VALUE"""),2809733)</f>
        <v>2809733</v>
      </c>
      <c r="R5" s="215" t="str">
        <f ca="1">IFERROR(__xludf.DUMMYFUNCTION("""COMPUTED_VALUE"""),"All levels")</f>
        <v>All levels</v>
      </c>
      <c r="S5" s="217" t="str">
        <f ca="1">IFERROR(__xludf.DUMMYFUNCTION("""COMPUTED_VALUE"""),"Als Führungskraft das agile Lernen im Team unterstützen")</f>
        <v>Als Führungskraft das agile Lernen im Team unterstützen</v>
      </c>
      <c r="T5" s="217" t="str">
        <f ca="1">IFERROR(__xludf.DUMMYFUNCTION("""COMPUTED_VALUE"""),"Führungskompetenz weiterentwickeln")</f>
        <v>Führungskompetenz weiterentwickeln</v>
      </c>
      <c r="U5" s="213"/>
      <c r="V5" s="215">
        <f ca="1">IFERROR(__xludf.DUMMYFUNCTION("""COMPUTED_VALUE"""),2430002)</f>
        <v>2430002</v>
      </c>
      <c r="W5" s="215" t="str">
        <f ca="1">IFERROR(__xludf.DUMMYFUNCTION("""COMPUTED_VALUE"""),"Beginner")</f>
        <v>Beginner</v>
      </c>
      <c r="X5" s="217" t="str">
        <f ca="1">IFERROR(__xludf.DUMMYFUNCTION("""COMPUTED_VALUE"""),"SMARTの法則でチームと部下の目標を定めるには")</f>
        <v>SMARTの法則でチームと部下の目標を定めるには</v>
      </c>
      <c r="Y5" s="217"/>
      <c r="Z5" s="213"/>
      <c r="AA5" s="215">
        <f ca="1">IFERROR(__xludf.DUMMYFUNCTION("""COMPUTED_VALUE"""),3201142)</f>
        <v>3201142</v>
      </c>
      <c r="AB5" s="215" t="str">
        <f ca="1">IFERROR(__xludf.DUMMYFUNCTION("""COMPUTED_VALUE"""),"All levels")</f>
        <v>All levels</v>
      </c>
      <c r="AC5" s="217" t="str">
        <f ca="1">IFERROR(__xludf.DUMMYFUNCTION("""COMPUTED_VALUE"""),"Como Apoiar sua Equipe na Gestão da Ansiedade")</f>
        <v>Como Apoiar sua Equipe na Gestão da Ansiedade</v>
      </c>
      <c r="AD5" s="217" t="str">
        <f ca="1">IFERROR(__xludf.DUMMYFUNCTION("""COMPUTED_VALUE"""),"Transforme-se num Líder Disruptivo")</f>
        <v>Transforme-se num Líder Disruptivo</v>
      </c>
      <c r="AE5" s="213"/>
      <c r="AF5" s="215">
        <f ca="1">IFERROR(__xludf.DUMMYFUNCTION("""COMPUTED_VALUE"""),797745)</f>
        <v>797745</v>
      </c>
      <c r="AG5" s="215" t="str">
        <f ca="1">IFERROR(__xludf.DUMMYFUNCTION("""COMPUTED_VALUE"""),"Beginner")</f>
        <v>Beginner</v>
      </c>
      <c r="AH5" s="217" t="str">
        <f ca="1">IFERROR(__xludf.DUMMYFUNCTION("""COMPUTED_VALUE"""),"从管理者转变为领导者")</f>
        <v>从管理者转变为领导者</v>
      </c>
      <c r="AI5" s="217" t="str">
        <f ca="1">IFERROR(__xludf.DUMMYFUNCTION("""COMPUTED_VALUE"""),"变革时期的领导力")</f>
        <v>变革时期的领导力</v>
      </c>
      <c r="AJ5" s="213"/>
    </row>
    <row r="6" spans="1:36" ht="30">
      <c r="A6" s="213"/>
      <c r="B6" s="214">
        <f ca="1">IFERROR(__xludf.DUMMYFUNCTION("""COMPUTED_VALUE"""),689764)</f>
        <v>689764</v>
      </c>
      <c r="C6" s="215" t="str">
        <f ca="1">IFERROR(__xludf.DUMMYFUNCTION("""COMPUTED_VALUE"""),"General")</f>
        <v>General</v>
      </c>
      <c r="D6" s="216" t="str">
        <f ca="1">IFERROR(__xludf.DUMMYFUNCTION("""COMPUTED_VALUE"""),"Leadership Stories: 5-Minute Lessons in Leading People")</f>
        <v>Leadership Stories: 5-Minute Lessons in Leading People</v>
      </c>
      <c r="E6" s="217" t="str">
        <f ca="1">IFERROR(__xludf.DUMMYFUNCTION("""COMPUTED_VALUE"""),"Become a Leader")</f>
        <v>Become a Leader</v>
      </c>
      <c r="F6" s="213"/>
      <c r="G6" s="214">
        <f ca="1">IFERROR(__xludf.DUMMYFUNCTION("""COMPUTED_VALUE"""),2822432)</f>
        <v>2822432</v>
      </c>
      <c r="H6" s="215" t="str">
        <f ca="1">IFERROR(__xludf.DUMMYFUNCTION("""COMPUTED_VALUE"""),"Intermediate")</f>
        <v>Intermediate</v>
      </c>
      <c r="I6" s="217" t="str">
        <f ca="1">IFERROR(__xludf.DUMMYFUNCTION("""COMPUTED_VALUE"""),"Compétences en coaching pour les leaders et les managers")</f>
        <v>Compétences en coaching pour les leaders et les managers</v>
      </c>
      <c r="J6" s="217" t="str">
        <f ca="1">IFERROR(__xludf.DUMMYFUNCTION("""COMPUTED_VALUE"""),"Exécuter sa stratégie")</f>
        <v>Exécuter sa stratégie</v>
      </c>
      <c r="K6" s="213"/>
      <c r="L6" s="215">
        <f ca="1">IFERROR(__xludf.DUMMYFUNCTION("""COMPUTED_VALUE"""),778411)</f>
        <v>778411</v>
      </c>
      <c r="M6" s="215" t="str">
        <f ca="1">IFERROR(__xludf.DUMMYFUNCTION("""COMPUTED_VALUE"""),"All levels")</f>
        <v>All levels</v>
      </c>
      <c r="N6" s="217" t="str">
        <f ca="1">IFERROR(__xludf.DUMMYFUNCTION("""COMPUTED_VALUE"""),"Cómo dar y recibir feedback o retroalimentación")</f>
        <v>Cómo dar y recibir feedback o retroalimentación</v>
      </c>
      <c r="O6" s="217" t="str">
        <f ca="1">IFERROR(__xludf.DUMMYFUNCTION("""COMPUTED_VALUE"""),"Amplía tus competencias como líder para la transformación digital")</f>
        <v>Amplía tus competencias como líder para la transformación digital</v>
      </c>
      <c r="P6" s="213"/>
      <c r="Q6" s="215">
        <f ca="1">IFERROR(__xludf.DUMMYFUNCTION("""COMPUTED_VALUE"""),689456)</f>
        <v>689456</v>
      </c>
      <c r="R6" s="215" t="str">
        <f ca="1">IFERROR(__xludf.DUMMYFUNCTION("""COMPUTED_VALUE"""),"Intermediate")</f>
        <v>Intermediate</v>
      </c>
      <c r="S6" s="217" t="str">
        <f ca="1">IFERROR(__xludf.DUMMYFUNCTION("""COMPUTED_VALUE"""),"Als Führungskraft Risiken eingehen")</f>
        <v>Als Führungskraft Risiken eingehen</v>
      </c>
      <c r="T6" s="217" t="str">
        <f ca="1">IFERROR(__xludf.DUMMYFUNCTION("""COMPUTED_VALUE"""),"Führungskraft werden")</f>
        <v>Führungskraft werden</v>
      </c>
      <c r="U6" s="213"/>
      <c r="V6" s="215">
        <f ca="1">IFERROR(__xludf.DUMMYFUNCTION("""COMPUTED_VALUE"""),2869083)</f>
        <v>2869083</v>
      </c>
      <c r="W6" s="215" t="str">
        <f ca="1">IFERROR(__xludf.DUMMYFUNCTION("""COMPUTED_VALUE"""),"Intermediate")</f>
        <v>Intermediate</v>
      </c>
      <c r="X6" s="217" t="str">
        <f ca="1">IFERROR(__xludf.DUMMYFUNCTION("""COMPUTED_VALUE"""),"インクルーシブ・リーダーシップ")</f>
        <v>インクルーシブ・リーダーシップ</v>
      </c>
      <c r="Y6" s="217"/>
      <c r="Z6" s="213"/>
      <c r="AA6" s="215">
        <f ca="1">IFERROR(__xludf.DUMMYFUNCTION("""COMPUTED_VALUE"""),2877214)</f>
        <v>2877214</v>
      </c>
      <c r="AB6" s="215" t="str">
        <f ca="1">IFERROR(__xludf.DUMMYFUNCTION("""COMPUTED_VALUE"""),"Intermediate")</f>
        <v>Intermediate</v>
      </c>
      <c r="AC6" s="217" t="str">
        <f ca="1">IFERROR(__xludf.DUMMYFUNCTION("""COMPUTED_VALUE"""),"Como Criar Condições Para que as Pessoas Prosperem no Trabalho")</f>
        <v>Como Criar Condições Para que as Pessoas Prosperem no Trabalho</v>
      </c>
      <c r="AD6" s="217" t="str">
        <f ca="1">IFERROR(__xludf.DUMMYFUNCTION("""COMPUTED_VALUE"""),"Como Implementar a Gestão de Mudanças")</f>
        <v>Como Implementar a Gestão de Mudanças</v>
      </c>
      <c r="AE6" s="213"/>
      <c r="AF6" s="215">
        <f ca="1">IFERROR(__xludf.DUMMYFUNCTION("""COMPUTED_VALUE"""),2255864)</f>
        <v>2255864</v>
      </c>
      <c r="AG6" s="215" t="str">
        <f ca="1">IFERROR(__xludf.DUMMYFUNCTION("""COMPUTED_VALUE"""),"Intermediate")</f>
        <v>Intermediate</v>
      </c>
      <c r="AH6" s="217" t="str">
        <f ca="1">IFERROR(__xludf.DUMMYFUNCTION("""COMPUTED_VALUE"""),"创建高绩效文化")</f>
        <v>创建高绩效文化</v>
      </c>
      <c r="AI6" s="217"/>
      <c r="AJ6" s="213"/>
    </row>
    <row r="7" spans="1:36" ht="33.75" customHeight="1">
      <c r="A7" s="213"/>
      <c r="B7" s="214">
        <f ca="1">IFERROR(__xludf.DUMMYFUNCTION("""COMPUTED_VALUE"""),585010)</f>
        <v>585010</v>
      </c>
      <c r="C7" s="215" t="str">
        <f ca="1">IFERROR(__xludf.DUMMYFUNCTION("""COMPUTED_VALUE"""),"Beginner + Intermediate")</f>
        <v>Beginner + Intermediate</v>
      </c>
      <c r="D7" s="216" t="str">
        <f ca="1">IFERROR(__xludf.DUMMYFUNCTION("""COMPUTED_VALUE"""),"Leading with Innovation")</f>
        <v>Leading with Innovation</v>
      </c>
      <c r="E7" s="217" t="str">
        <f ca="1">IFERROR(__xludf.DUMMYFUNCTION("""COMPUTED_VALUE"""),"Become a Thought Leader")</f>
        <v>Become a Thought Leader</v>
      </c>
      <c r="F7" s="213"/>
      <c r="G7" s="214">
        <f ca="1">IFERROR(__xludf.DUMMYFUNCTION("""COMPUTED_VALUE"""),616401)</f>
        <v>616401</v>
      </c>
      <c r="H7" s="215" t="str">
        <f ca="1">IFERROR(__xludf.DUMMYFUNCTION("""COMPUTED_VALUE"""),"Intermediate")</f>
        <v>Intermediate</v>
      </c>
      <c r="I7" s="217" t="str">
        <f ca="1">IFERROR(__xludf.DUMMYFUNCTION("""COMPUTED_VALUE"""),"Conduire le changement")</f>
        <v>Conduire le changement</v>
      </c>
      <c r="J7" s="217"/>
      <c r="K7" s="213"/>
      <c r="L7" s="215">
        <f ca="1">IFERROR(__xludf.DUMMYFUNCTION("""COMPUTED_VALUE"""),2218979)</f>
        <v>2218979</v>
      </c>
      <c r="M7" s="215" t="str">
        <f ca="1">IFERROR(__xludf.DUMMYFUNCTION("""COMPUTED_VALUE"""),"Beginner")</f>
        <v>Beginner</v>
      </c>
      <c r="N7" s="217" t="str">
        <f ca="1">IFERROR(__xludf.DUMMYFUNCTION("""COMPUTED_VALUE"""),"Cómo gestionar a personas con alto potencial")</f>
        <v>Cómo gestionar a personas con alto potencial</v>
      </c>
      <c r="O7" s="217" t="str">
        <f ca="1">IFERROR(__xludf.DUMMYFUNCTION("""COMPUTED_VALUE"""),"Conviértete en líder")</f>
        <v>Conviértete en líder</v>
      </c>
      <c r="P7" s="213"/>
      <c r="Q7" s="215">
        <f ca="1">IFERROR(__xludf.DUMMYFUNCTION("""COMPUTED_VALUE"""),2922386)</f>
        <v>2922386</v>
      </c>
      <c r="R7" s="215" t="str">
        <f ca="1">IFERROR(__xludf.DUMMYFUNCTION("""COMPUTED_VALUE"""),"Beginner")</f>
        <v>Beginner</v>
      </c>
      <c r="S7" s="217" t="str">
        <f ca="1">IFERROR(__xludf.DUMMYFUNCTION("""COMPUTED_VALUE"""),"Als Ingenieur:in oder IT-Expert:in Mitarbeiter führen")</f>
        <v>Als Ingenieur:in oder IT-Expert:in Mitarbeiter führen</v>
      </c>
      <c r="T7" s="217" t="str">
        <f ca="1">IFERROR(__xludf.DUMMYFUNCTION("""COMPUTED_VALUE"""),"Führungsqualitäten entwickeln")</f>
        <v>Führungsqualitäten entwickeln</v>
      </c>
      <c r="U7" s="213"/>
      <c r="V7" s="215">
        <f ca="1">IFERROR(__xludf.DUMMYFUNCTION("""COMPUTED_VALUE"""),2892077)</f>
        <v>2892077</v>
      </c>
      <c r="W7" s="215" t="str">
        <f ca="1">IFERROR(__xludf.DUMMYFUNCTION("""COMPUTED_VALUE"""),"All levels")</f>
        <v>All levels</v>
      </c>
      <c r="X7" s="217" t="str">
        <f ca="1">IFERROR(__xludf.DUMMYFUNCTION("""COMPUTED_VALUE"""),"インクルーシブにチームを率いるには")</f>
        <v>インクルーシブにチームを率いるには</v>
      </c>
      <c r="Y7" s="217"/>
      <c r="Z7" s="213"/>
      <c r="AA7" s="215">
        <f ca="1">IFERROR(__xludf.DUMMYFUNCTION("""COMPUTED_VALUE"""),2928594)</f>
        <v>2928594</v>
      </c>
      <c r="AB7" s="215" t="str">
        <f ca="1">IFERROR(__xludf.DUMMYFUNCTION("""COMPUTED_VALUE"""),"Advanced")</f>
        <v>Advanced</v>
      </c>
      <c r="AC7" s="217" t="str">
        <f ca="1">IFERROR(__xludf.DUMMYFUNCTION("""COMPUTED_VALUE"""),"Como Criar Organizações Criativas")</f>
        <v>Como Criar Organizações Criativas</v>
      </c>
      <c r="AD7" s="217"/>
      <c r="AE7" s="213"/>
      <c r="AF7" s="215">
        <f ca="1">IFERROR(__xludf.DUMMYFUNCTION("""COMPUTED_VALUE"""),2244052)</f>
        <v>2244052</v>
      </c>
      <c r="AG7" s="215" t="str">
        <f ca="1">IFERROR(__xludf.DUMMYFUNCTION("""COMPUTED_VALUE"""),"Beginner, Intermediate")</f>
        <v>Beginner, Intermediate</v>
      </c>
      <c r="AH7" s="217" t="str">
        <f ca="1">IFERROR(__xludf.DUMMYFUNCTION("""COMPUTED_VALUE"""),"创新型领导力")</f>
        <v>创新型领导力</v>
      </c>
      <c r="AI7" s="217"/>
      <c r="AJ7" s="213"/>
    </row>
    <row r="8" spans="1:36" ht="33.75" customHeight="1">
      <c r="A8" s="213"/>
      <c r="B8" s="214">
        <f ca="1">IFERROR(__xludf.DUMMYFUNCTION("""COMPUTED_VALUE"""),645013)</f>
        <v>645013</v>
      </c>
      <c r="C8" s="215" t="str">
        <f ca="1">IFERROR(__xludf.DUMMYFUNCTION("""COMPUTED_VALUE"""),"Intermediate")</f>
        <v>Intermediate</v>
      </c>
      <c r="D8" s="216" t="str">
        <f ca="1">IFERROR(__xludf.DUMMYFUNCTION("""COMPUTED_VALUE"""),"Inclusive Leadership")</f>
        <v>Inclusive Leadership</v>
      </c>
      <c r="E8" s="217" t="str">
        <f ca="1">IFERROR(__xludf.DUMMYFUNCTION("""COMPUTED_VALUE"""),"Diversity, Inclusion, and Belonging for Leaders and Managers")</f>
        <v>Diversity, Inclusion, and Belonging for Leaders and Managers</v>
      </c>
      <c r="F8" s="213"/>
      <c r="G8" s="214">
        <f ca="1">IFERROR(__xludf.DUMMYFUNCTION("""COMPUTED_VALUE"""),3168193)</f>
        <v>3168193</v>
      </c>
      <c r="H8" s="215" t="str">
        <f ca="1">IFERROR(__xludf.DUMMYFUNCTION("""COMPUTED_VALUE"""),"Intermediate")</f>
        <v>Intermediate</v>
      </c>
      <c r="I8" s="217" t="str">
        <f ca="1">IFERROR(__xludf.DUMMYFUNCTION("""COMPUTED_VALUE"""),"Conseils d’expert : Créer une culture de coaching entre pairs")</f>
        <v>Conseils d’expert : Créer une culture de coaching entre pairs</v>
      </c>
      <c r="J8" s="217"/>
      <c r="K8" s="213"/>
      <c r="L8" s="215">
        <f ca="1">IFERROR(__xludf.DUMMYFUNCTION("""COMPUTED_VALUE"""),2221544)</f>
        <v>2221544</v>
      </c>
      <c r="M8" s="215" t="str">
        <f ca="1">IFERROR(__xludf.DUMMYFUNCTION("""COMPUTED_VALUE"""),"Beginner")</f>
        <v>Beginner</v>
      </c>
      <c r="N8" s="217" t="str">
        <f ca="1">IFERROR(__xludf.DUMMYFUNCTION("""COMPUTED_VALUE"""),"Cómo gestionar al personal de alto rendimiento")</f>
        <v>Cómo gestionar al personal de alto rendimiento</v>
      </c>
      <c r="O8" s="217" t="str">
        <f ca="1">IFERROR(__xludf.DUMMYFUNCTION("""COMPUTED_VALUE"""),"Profundiza tu capacidad estratégica")</f>
        <v>Profundiza tu capacidad estratégica</v>
      </c>
      <c r="P8" s="213"/>
      <c r="Q8" s="215">
        <f ca="1">IFERROR(__xludf.DUMMYFUNCTION("""COMPUTED_VALUE"""),702514)</f>
        <v>702514</v>
      </c>
      <c r="R8" s="215" t="str">
        <f ca="1">IFERROR(__xludf.DUMMYFUNCTION("""COMPUTED_VALUE"""),"Beginner")</f>
        <v>Beginner</v>
      </c>
      <c r="S8" s="217" t="str">
        <f ca="1">IFERROR(__xludf.DUMMYFUNCTION("""COMPUTED_VALUE"""),"Bereit zur Führung?")</f>
        <v>Bereit zur Führung?</v>
      </c>
      <c r="T8" s="217" t="str">
        <f ca="1">IFERROR(__xludf.DUMMYFUNCTION("""COMPUTED_VALUE"""),"Leader:in werden")</f>
        <v>Leader:in werden</v>
      </c>
      <c r="U8" s="213"/>
      <c r="V8" s="215">
        <f ca="1">IFERROR(__xludf.DUMMYFUNCTION("""COMPUTED_VALUE"""),2427687)</f>
        <v>2427687</v>
      </c>
      <c r="W8" s="215" t="str">
        <f ca="1">IFERROR(__xludf.DUMMYFUNCTION("""COMPUTED_VALUE"""),"Intermediate")</f>
        <v>Intermediate</v>
      </c>
      <c r="X8" s="217" t="str">
        <f ca="1">IFERROR(__xludf.DUMMYFUNCTION("""COMPUTED_VALUE"""),"エグゼクティブとしての振る舞い方を身につけるには")</f>
        <v>エグゼクティブとしての振る舞い方を身につけるには</v>
      </c>
      <c r="Y8" s="217"/>
      <c r="Z8" s="213"/>
      <c r="AA8" s="215">
        <f ca="1">IFERROR(__xludf.DUMMYFUNCTION("""COMPUTED_VALUE"""),2908959)</f>
        <v>2908959</v>
      </c>
      <c r="AB8" s="215" t="str">
        <f ca="1">IFERROR(__xludf.DUMMYFUNCTION("""COMPUTED_VALUE"""),"Advanced")</f>
        <v>Advanced</v>
      </c>
      <c r="AC8" s="217" t="str">
        <f ca="1">IFERROR(__xludf.DUMMYFUNCTION("""COMPUTED_VALUE"""),"Como Criar uma Cultura de Alto Desempenho")</f>
        <v>Como Criar uma Cultura de Alto Desempenho</v>
      </c>
      <c r="AD8" s="217"/>
      <c r="AE8" s="213"/>
      <c r="AF8" s="215">
        <f ca="1">IFERROR(__xludf.DUMMYFUNCTION("""COMPUTED_VALUE"""),5020681)</f>
        <v>5020681</v>
      </c>
      <c r="AG8" s="215" t="str">
        <f ca="1">IFERROR(__xludf.DUMMYFUNCTION("""COMPUTED_VALUE"""),"Intermediate")</f>
        <v>Intermediate</v>
      </c>
      <c r="AH8" s="217" t="str">
        <f ca="1">IFERROR(__xludf.DUMMYFUNCTION("""COMPUTED_VALUE"""),"包容性领导力")</f>
        <v>包容性领导力</v>
      </c>
      <c r="AI8" s="217"/>
      <c r="AJ8" s="213"/>
    </row>
    <row r="9" spans="1:36" ht="33.75" customHeight="1">
      <c r="A9" s="213"/>
      <c r="B9" s="214">
        <f ca="1">IFERROR(__xludf.DUMMYFUNCTION("""COMPUTED_VALUE"""),797722)</f>
        <v>797722</v>
      </c>
      <c r="C9" s="215" t="str">
        <f ca="1">IFERROR(__xludf.DUMMYFUNCTION("""COMPUTED_VALUE"""),"Intermediate")</f>
        <v>Intermediate</v>
      </c>
      <c r="D9" s="216" t="str">
        <f ca="1">IFERROR(__xludf.DUMMYFUNCTION("""COMPUTED_VALUE"""),"Doing Good to Build a Profitable Business")</f>
        <v>Doing Good to Build a Profitable Business</v>
      </c>
      <c r="E9" s="217" t="str">
        <f ca="1">IFERROR(__xludf.DUMMYFUNCTION("""COMPUTED_VALUE"""),"Leading Others Effectively")</f>
        <v>Leading Others Effectively</v>
      </c>
      <c r="F9" s="213"/>
      <c r="G9" s="214">
        <f ca="1">IFERROR(__xludf.DUMMYFUNCTION("""COMPUTED_VALUE"""),3175198)</f>
        <v>3175198</v>
      </c>
      <c r="H9" s="215" t="str">
        <f ca="1">IFERROR(__xludf.DUMMYFUNCTION("""COMPUTED_VALUE"""),"Intermediate")</f>
        <v>Intermediate</v>
      </c>
      <c r="I9" s="217" t="str">
        <f ca="1">IFERROR(__xludf.DUMMYFUNCTION("""COMPUTED_VALUE"""),"Conseils d’experte : Manager la Génération Z")</f>
        <v>Conseils d’experte : Manager la Génération Z</v>
      </c>
      <c r="J9" s="217"/>
      <c r="K9" s="213"/>
      <c r="L9" s="215">
        <f ca="1">IFERROR(__xludf.DUMMYFUNCTION("""COMPUTED_VALUE"""),5025676)</f>
        <v>5025676</v>
      </c>
      <c r="M9" s="215" t="str">
        <f ca="1">IFERROR(__xludf.DUMMYFUNCTION("""COMPUTED_VALUE"""),"All levels")</f>
        <v>All levels</v>
      </c>
      <c r="N9" s="217" t="str">
        <f ca="1">IFERROR(__xludf.DUMMYFUNCTION("""COMPUTED_VALUE"""),"Cómo gestionar los puntos ciegos del liderazgo")</f>
        <v>Cómo gestionar los puntos ciegos del liderazgo</v>
      </c>
      <c r="O9" s="217" t="str">
        <f ca="1">IFERROR(__xludf.DUMMYFUNCTION("""COMPUTED_VALUE"""),"Trabajo a distancia: Preparándote a ti mismo y a tus equipos para el éxito")</f>
        <v>Trabajo a distancia: Preparándote a ti mismo y a tus equipos para el éxito</v>
      </c>
      <c r="P9" s="213"/>
      <c r="Q9" s="215">
        <f ca="1">IFERROR(__xludf.DUMMYFUNCTION("""COMPUTED_VALUE"""),2926059)</f>
        <v>2926059</v>
      </c>
      <c r="R9" s="215" t="str">
        <f ca="1">IFERROR(__xludf.DUMMYFUNCTION("""COMPUTED_VALUE"""),"Intermediate")</f>
        <v>Intermediate</v>
      </c>
      <c r="S9" s="217" t="str">
        <f ca="1">IFERROR(__xludf.DUMMYFUNCTION("""COMPUTED_VALUE"""),"Blinde Flecke in der Führung erkennen und überwinden")</f>
        <v>Blinde Flecke in der Führung erkennen und überwinden</v>
      </c>
      <c r="T9" s="217" t="str">
        <f ca="1">IFERROR(__xludf.DUMMYFUNCTION("""COMPUTED_VALUE"""),"Teams aufbauen und führen")</f>
        <v>Teams aufbauen und führen</v>
      </c>
      <c r="U9" s="213"/>
      <c r="V9" s="215">
        <f ca="1">IFERROR(__xludf.DUMMYFUNCTION("""COMPUTED_VALUE"""),2915224)</f>
        <v>2915224</v>
      </c>
      <c r="W9" s="215" t="str">
        <f ca="1">IFERROR(__xludf.DUMMYFUNCTION("""COMPUTED_VALUE"""),"Beginner, Intermediate")</f>
        <v>Beginner, Intermediate</v>
      </c>
      <c r="X9" s="217" t="str">
        <f ca="1">IFERROR(__xludf.DUMMYFUNCTION("""COMPUTED_VALUE"""),"こころの知能指数（EQ）の高め方")</f>
        <v>こころの知能指数（EQ）の高め方</v>
      </c>
      <c r="Y9" s="217"/>
      <c r="Z9" s="213"/>
      <c r="AA9" s="215">
        <f ca="1">IFERROR(__xludf.DUMMYFUNCTION("""COMPUTED_VALUE"""),753094)</f>
        <v>753094</v>
      </c>
      <c r="AB9" s="215" t="str">
        <f ca="1">IFERROR(__xludf.DUMMYFUNCTION("""COMPUTED_VALUE"""),"Intermediate")</f>
        <v>Intermediate</v>
      </c>
      <c r="AC9" s="217" t="str">
        <f ca="1">IFERROR(__xludf.DUMMYFUNCTION("""COMPUTED_VALUE"""),"Como Criar uma Cultura de Autorresponsabilidade")</f>
        <v>Como Criar uma Cultura de Autorresponsabilidade</v>
      </c>
      <c r="AD9" s="217"/>
      <c r="AE9" s="213"/>
      <c r="AF9" s="215">
        <f ca="1">IFERROR(__xludf.DUMMYFUNCTION("""COMPUTED_VALUE"""),2880005)</f>
        <v>2880005</v>
      </c>
      <c r="AG9" s="215" t="str">
        <f ca="1">IFERROR(__xludf.DUMMYFUNCTION("""COMPUTED_VALUE"""),"Beginner, Intermediate")</f>
        <v>Beginner, Intermediate</v>
      </c>
      <c r="AH9" s="217" t="str">
        <f ca="1">IFERROR(__xludf.DUMMYFUNCTION("""COMPUTED_VALUE"""),"变革型领导力")</f>
        <v>变革型领导力</v>
      </c>
      <c r="AI9" s="217"/>
      <c r="AJ9" s="213"/>
    </row>
    <row r="10" spans="1:36" ht="33.75" customHeight="1">
      <c r="A10" s="213"/>
      <c r="B10" s="214">
        <f ca="1">IFERROR(__xludf.DUMMYFUNCTION("""COMPUTED_VALUE"""),5015886)</f>
        <v>5015886</v>
      </c>
      <c r="C10" s="215" t="str">
        <f ca="1">IFERROR(__xludf.DUMMYFUNCTION("""COMPUTED_VALUE"""),"Intermediate")</f>
        <v>Intermediate</v>
      </c>
      <c r="D10" s="216" t="str">
        <f ca="1">IFERROR(__xludf.DUMMYFUNCTION("""COMPUTED_VALUE"""),"Good to Great: Why Some Companies Make the Leap and Others Don't (Blinkist Summary)")</f>
        <v>Good to Great: Why Some Companies Make the Leap and Others Don't (Blinkist Summary)</v>
      </c>
      <c r="E10" s="217" t="str">
        <f ca="1">IFERROR(__xludf.DUMMYFUNCTION("""COMPUTED_VALUE"""),"Manager to Leader")</f>
        <v>Manager to Leader</v>
      </c>
      <c r="F10" s="213"/>
      <c r="G10" s="214">
        <f ca="1">IFERROR(__xludf.DUMMYFUNCTION("""COMPUTED_VALUE"""),2822431)</f>
        <v>2822431</v>
      </c>
      <c r="H10" s="215" t="str">
        <f ca="1">IFERROR(__xludf.DUMMYFUNCTION("""COMPUTED_VALUE"""),"All levels")</f>
        <v>All levels</v>
      </c>
      <c r="I10" s="217" t="str">
        <f ca="1">IFERROR(__xludf.DUMMYFUNCTION("""COMPUTED_VALUE"""),"Conseils et astuces pour les dirigeants / dirigeantes")</f>
        <v>Conseils et astuces pour les dirigeants / dirigeantes</v>
      </c>
      <c r="J10" s="217"/>
      <c r="K10" s="213"/>
      <c r="L10" s="215">
        <f ca="1">IFERROR(__xludf.DUMMYFUNCTION("""COMPUTED_VALUE"""),5025664)</f>
        <v>5025664</v>
      </c>
      <c r="M10" s="215" t="str">
        <f ca="1">IFERROR(__xludf.DUMMYFUNCTION("""COMPUTED_VALUE"""),"Intermediate")</f>
        <v>Intermediate</v>
      </c>
      <c r="N10" s="217" t="str">
        <f ca="1">IFERROR(__xludf.DUMMYFUNCTION("""COMPUTED_VALUE"""),"Cómo liderar con eficacia")</f>
        <v>Cómo liderar con eficacia</v>
      </c>
      <c r="O10" s="217" t="str">
        <f ca="1">IFERROR(__xludf.DUMMYFUNCTION("""COMPUTED_VALUE"""),"Mujeres en el liderazgo")</f>
        <v>Mujeres en el liderazgo</v>
      </c>
      <c r="P10" s="213"/>
      <c r="Q10" s="215">
        <f ca="1">IFERROR(__xludf.DUMMYFUNCTION("""COMPUTED_VALUE"""),2832039)</f>
        <v>2832039</v>
      </c>
      <c r="R10" s="215" t="str">
        <f ca="1">IFERROR(__xludf.DUMMYFUNCTION("""COMPUTED_VALUE"""),"Intermediate")</f>
        <v>Intermediate</v>
      </c>
      <c r="S10" s="217" t="str">
        <f ca="1">IFERROR(__xludf.DUMMYFUNCTION("""COMPUTED_VALUE"""),"Coaching-Skills für Führungskräfte")</f>
        <v>Coaching-Skills für Führungskräfte</v>
      </c>
      <c r="T10" s="217"/>
      <c r="U10" s="213"/>
      <c r="V10" s="215">
        <f ca="1">IFERROR(__xludf.DUMMYFUNCTION("""COMPUTED_VALUE"""),3009413)</f>
        <v>3009413</v>
      </c>
      <c r="W10" s="215" t="str">
        <f ca="1">IFERROR(__xludf.DUMMYFUNCTION("""COMPUTED_VALUE"""),"Beginner")</f>
        <v>Beginner</v>
      </c>
      <c r="X10" s="217" t="str">
        <f ca="1">IFERROR(__xludf.DUMMYFUNCTION("""COMPUTED_VALUE"""),"サーバントリーダーシップとは")</f>
        <v>サーバントリーダーシップとは</v>
      </c>
      <c r="Y10" s="217"/>
      <c r="Z10" s="213"/>
      <c r="AA10" s="215">
        <f ca="1">IFERROR(__xludf.DUMMYFUNCTION("""COMPUTED_VALUE"""),2931453)</f>
        <v>2931453</v>
      </c>
      <c r="AB10" s="215" t="str">
        <f ca="1">IFERROR(__xludf.DUMMYFUNCTION("""COMPUTED_VALUE"""),"Beginner")</f>
        <v>Beginner</v>
      </c>
      <c r="AC10" s="217" t="str">
        <f ca="1">IFERROR(__xludf.DUMMYFUNCTION("""COMPUTED_VALUE"""),"Como Demitir Colaboradores")</f>
        <v>Como Demitir Colaboradores</v>
      </c>
      <c r="AD10" s="217"/>
      <c r="AE10" s="213"/>
      <c r="AF10" s="215">
        <f ca="1">IFERROR(__xludf.DUMMYFUNCTION("""COMPUTED_VALUE"""),2989032)</f>
        <v>2989032</v>
      </c>
      <c r="AG10" s="215" t="str">
        <f ca="1">IFERROR(__xludf.DUMMYFUNCTION("""COMPUTED_VALUE"""),"Intermediate")</f>
        <v>Intermediate</v>
      </c>
      <c r="AH10" s="217" t="str">
        <f ca="1">IFERROR(__xludf.DUMMYFUNCTION("""COMPUTED_VALUE"""),"合作型领导力")</f>
        <v>合作型领导力</v>
      </c>
      <c r="AI10" s="217"/>
      <c r="AJ10" s="213"/>
    </row>
    <row r="11" spans="1:36" ht="33.75" customHeight="1">
      <c r="A11" s="213"/>
      <c r="B11" s="214">
        <f ca="1">IFERROR(__xludf.DUMMYFUNCTION("""COMPUTED_VALUE"""),2817144)</f>
        <v>2817144</v>
      </c>
      <c r="C11" s="215" t="str">
        <f ca="1">IFERROR(__xludf.DUMMYFUNCTION("""COMPUTED_VALUE"""),"Intermediate")</f>
        <v>Intermediate</v>
      </c>
      <c r="D11" s="216" t="str">
        <f ca="1">IFERROR(__xludf.DUMMYFUNCTION("""COMPUTED_VALUE"""),"Lean Technology Strategy: Purposeful Organizations")</f>
        <v>Lean Technology Strategy: Purposeful Organizations</v>
      </c>
      <c r="E11" s="217" t="str">
        <f ca="1">IFERROR(__xludf.DUMMYFUNCTION("""COMPUTED_VALUE"""),"Master In-Demand Skills for Technology Leadership")</f>
        <v>Master In-Demand Skills for Technology Leadership</v>
      </c>
      <c r="F11" s="213"/>
      <c r="G11" s="214">
        <f ca="1">IFERROR(__xludf.DUMMYFUNCTION("""COMPUTED_VALUE"""),771787)</f>
        <v>771787</v>
      </c>
      <c r="H11" s="215" t="str">
        <f ca="1">IFERROR(__xludf.DUMMYFUNCTION("""COMPUTED_VALUE"""),"Advanced")</f>
        <v>Advanced</v>
      </c>
      <c r="I11" s="217" t="str">
        <f ca="1">IFERROR(__xludf.DUMMYFUNCTION("""COMPUTED_VALUE"""),"Créer une culture d’exécution de la stratégie")</f>
        <v>Créer une culture d’exécution de la stratégie</v>
      </c>
      <c r="J11" s="217"/>
      <c r="K11" s="213"/>
      <c r="L11" s="215">
        <f ca="1">IFERROR(__xludf.DUMMYFUNCTION("""COMPUTED_VALUE"""),454096)</f>
        <v>454096</v>
      </c>
      <c r="M11" s="215" t="str">
        <f ca="1">IFERROR(__xludf.DUMMYFUNCTION("""COMPUTED_VALUE"""),"All levels")</f>
        <v>All levels</v>
      </c>
      <c r="N11" s="217" t="str">
        <f ca="1">IFERROR(__xludf.DUMMYFUNCTION("""COMPUTED_VALUE"""),"Cómo liderar el cambio en tu empresa")</f>
        <v>Cómo liderar el cambio en tu empresa</v>
      </c>
      <c r="O11" s="217"/>
      <c r="P11" s="213"/>
      <c r="Q11" s="215">
        <f ca="1">IFERROR(__xludf.DUMMYFUNCTION("""COMPUTED_VALUE"""),702516)</f>
        <v>702516</v>
      </c>
      <c r="R11" s="215" t="str">
        <f ca="1">IFERROR(__xludf.DUMMYFUNCTION("""COMPUTED_VALUE"""),"All levels")</f>
        <v>All levels</v>
      </c>
      <c r="S11" s="217" t="str">
        <f ca="1">IFERROR(__xludf.DUMMYFUNCTION("""COMPUTED_VALUE"""),"Den eigenen Chef führen")</f>
        <v>Den eigenen Chef führen</v>
      </c>
      <c r="T11" s="217"/>
      <c r="U11" s="213"/>
      <c r="V11" s="215">
        <f ca="1">IFERROR(__xludf.DUMMYFUNCTION("""COMPUTED_VALUE"""),603630)</f>
        <v>603630</v>
      </c>
      <c r="W11" s="215" t="str">
        <f ca="1">IFERROR(__xludf.DUMMYFUNCTION("""COMPUTED_VALUE"""),"All levels")</f>
        <v>All levels</v>
      </c>
      <c r="X11" s="217" t="str">
        <f ca="1">IFERROR(__xludf.DUMMYFUNCTION("""COMPUTED_VALUE"""),"ジェフ・ウェイナー 思いやりのマネジメント")</f>
        <v>ジェフ・ウェイナー 思いやりのマネジメント</v>
      </c>
      <c r="Y11" s="217"/>
      <c r="Z11" s="213"/>
      <c r="AA11" s="215">
        <f ca="1">IFERROR(__xludf.DUMMYFUNCTION("""COMPUTED_VALUE"""),2928582)</f>
        <v>2928582</v>
      </c>
      <c r="AB11" s="215" t="str">
        <f ca="1">IFERROR(__xludf.DUMMYFUNCTION("""COMPUTED_VALUE"""),"Beginner")</f>
        <v>Beginner</v>
      </c>
      <c r="AC11" s="217" t="str">
        <f ca="1">IFERROR(__xludf.DUMMYFUNCTION("""COMPUTED_VALUE"""),"Como Engajar os Colaboradores")</f>
        <v>Como Engajar os Colaboradores</v>
      </c>
      <c r="AD11" s="217"/>
      <c r="AE11" s="213"/>
      <c r="AF11" s="215">
        <f ca="1">IFERROR(__xludf.DUMMYFUNCTION("""COMPUTED_VALUE"""),2427746)</f>
        <v>2427746</v>
      </c>
      <c r="AG11" s="215" t="str">
        <f ca="1">IFERROR(__xludf.DUMMYFUNCTION("""COMPUTED_VALUE"""),"Intermediate")</f>
        <v>Intermediate</v>
      </c>
      <c r="AH11" s="217" t="str">
        <f ca="1">IFERROR(__xludf.DUMMYFUNCTION("""COMPUTED_VALUE"""),"员工成长：打造良好环境")</f>
        <v>员工成长：打造良好环境</v>
      </c>
      <c r="AI11" s="217"/>
      <c r="AJ11" s="213"/>
    </row>
    <row r="12" spans="1:36" ht="33.75" customHeight="1">
      <c r="A12" s="213"/>
      <c r="B12" s="214">
        <f ca="1">IFERROR(__xludf.DUMMYFUNCTION("""COMPUTED_VALUE"""),2806194)</f>
        <v>2806194</v>
      </c>
      <c r="C12" s="215" t="str">
        <f ca="1">IFERROR(__xludf.DUMMYFUNCTION("""COMPUTED_VALUE"""),"Advanced")</f>
        <v>Advanced</v>
      </c>
      <c r="D12" s="216" t="str">
        <f ca="1">IFERROR(__xludf.DUMMYFUNCTION("""COMPUTED_VALUE"""),"Counterintuitive Leadership Strategies for a VUCA (Volatile, Uncertain, Complex, Ambiguous) Environment")</f>
        <v>Counterintuitive Leadership Strategies for a VUCA (Volatile, Uncertain, Complex, Ambiguous) Environment</v>
      </c>
      <c r="E12" s="217" t="str">
        <f ca="1">IFERROR(__xludf.DUMMYFUNCTION("""COMPUTED_VALUE"""),"Remote Working: Setting Yourself and Your Teams Up for Success")</f>
        <v>Remote Working: Setting Yourself and Your Teams Up for Success</v>
      </c>
      <c r="F12" s="213"/>
      <c r="G12" s="214">
        <f ca="1">IFERROR(__xludf.DUMMYFUNCTION("""COMPUTED_VALUE"""),714748)</f>
        <v>714748</v>
      </c>
      <c r="H12" s="215" t="str">
        <f ca="1">IFERROR(__xludf.DUMMYFUNCTION("""COMPUTED_VALUE"""),"All levels")</f>
        <v>All levels</v>
      </c>
      <c r="I12" s="217" t="str">
        <f ca="1">IFERROR(__xludf.DUMMYFUNCTION("""COMPUTED_VALUE"""),"De l’impuissance au pouvoir : La prise de contrôle")</f>
        <v>De l’impuissance au pouvoir : La prise de contrôle</v>
      </c>
      <c r="J12" s="217"/>
      <c r="K12" s="213"/>
      <c r="L12" s="215">
        <f ca="1">IFERROR(__xludf.DUMMYFUNCTION("""COMPUTED_VALUE"""),2899806)</f>
        <v>2899806</v>
      </c>
      <c r="M12" s="215" t="str">
        <f ca="1">IFERROR(__xludf.DUMMYFUNCTION("""COMPUTED_VALUE"""),"Advanced")</f>
        <v>Advanced</v>
      </c>
      <c r="N12" s="217" t="str">
        <f ca="1">IFERROR(__xludf.DUMMYFUNCTION("""COMPUTED_VALUE"""),"Cómo liderar equipos de alto potencial")</f>
        <v>Cómo liderar equipos de alto potencial</v>
      </c>
      <c r="O12" s="217"/>
      <c r="P12" s="213"/>
      <c r="Q12" s="215">
        <f ca="1">IFERROR(__xludf.DUMMYFUNCTION("""COMPUTED_VALUE"""),702513)</f>
        <v>702513</v>
      </c>
      <c r="R12" s="215" t="str">
        <f ca="1">IFERROR(__xludf.DUMMYFUNCTION("""COMPUTED_VALUE"""),"All levels")</f>
        <v>All levels</v>
      </c>
      <c r="S12" s="217" t="str">
        <f ca="1">IFERROR(__xludf.DUMMYFUNCTION("""COMPUTED_VALUE"""),"Den eigenen Führungsstil entwickeln")</f>
        <v>Den eigenen Führungsstil entwickeln</v>
      </c>
      <c r="T12" s="217"/>
      <c r="U12" s="213"/>
      <c r="V12" s="215">
        <f ca="1">IFERROR(__xludf.DUMMYFUNCTION("""COMPUTED_VALUE"""),2414723)</f>
        <v>2414723</v>
      </c>
      <c r="W12" s="215" t="str">
        <f ca="1">IFERROR(__xludf.DUMMYFUNCTION("""COMPUTED_VALUE"""),"All levels")</f>
        <v>All levels</v>
      </c>
      <c r="X12" s="217" t="str">
        <f ca="1">IFERROR(__xludf.DUMMYFUNCTION("""COMPUTED_VALUE"""),"ストーリーテリングで導くには")</f>
        <v>ストーリーテリングで導くには</v>
      </c>
      <c r="Y12" s="217"/>
      <c r="Z12" s="213"/>
      <c r="AA12" s="215">
        <f ca="1">IFERROR(__xludf.DUMMYFUNCTION("""COMPUTED_VALUE"""),2432276)</f>
        <v>2432276</v>
      </c>
      <c r="AB12" s="215" t="str">
        <f ca="1">IFERROR(__xludf.DUMMYFUNCTION("""COMPUTED_VALUE"""),"Intermediate")</f>
        <v>Intermediate</v>
      </c>
      <c r="AC12" s="217" t="str">
        <f ca="1">IFERROR(__xludf.DUMMYFUNCTION("""COMPUTED_VALUE"""),"Como Estimular o Pensamento Criativo da sua Equipe")</f>
        <v>Como Estimular o Pensamento Criativo da sua Equipe</v>
      </c>
      <c r="AD12" s="217"/>
      <c r="AE12" s="213"/>
      <c r="AF12" s="215">
        <f ca="1">IFERROR(__xludf.DUMMYFUNCTION("""COMPUTED_VALUE"""),2884007)</f>
        <v>2884007</v>
      </c>
      <c r="AG12" s="215" t="str">
        <f ca="1">IFERROR(__xludf.DUMMYFUNCTION("""COMPUTED_VALUE"""),"Intermediate")</f>
        <v>Intermediate</v>
      </c>
      <c r="AH12" s="217" t="str">
        <f ca="1">IFERROR(__xludf.DUMMYFUNCTION("""COMPUTED_VALUE"""),"团队意志力：坚持不懈达成目标")</f>
        <v>团队意志力：坚持不懈达成目标</v>
      </c>
      <c r="AI12" s="217"/>
      <c r="AJ12" s="213"/>
    </row>
    <row r="13" spans="1:36" ht="33.75" customHeight="1">
      <c r="A13" s="213"/>
      <c r="B13" s="214">
        <f ca="1">IFERROR(__xludf.DUMMYFUNCTION("""COMPUTED_VALUE"""),758617)</f>
        <v>758617</v>
      </c>
      <c r="C13" s="215" t="str">
        <f ca="1">IFERROR(__xludf.DUMMYFUNCTION("""COMPUTED_VALUE"""),"Advanced")</f>
        <v>Advanced</v>
      </c>
      <c r="D13" s="216" t="str">
        <f ca="1">IFERROR(__xludf.DUMMYFUNCTION("""COMPUTED_VALUE"""),"Leading Change")</f>
        <v>Leading Change</v>
      </c>
      <c r="E13" s="217"/>
      <c r="F13" s="213"/>
      <c r="G13" s="214">
        <f ca="1">IFERROR(__xludf.DUMMYFUNCTION("""COMPUTED_VALUE"""),575893)</f>
        <v>575893</v>
      </c>
      <c r="H13" s="215" t="str">
        <f ca="1">IFERROR(__xludf.DUMMYFUNCTION("""COMPUTED_VALUE"""),"Intermediate")</f>
        <v>Intermediate</v>
      </c>
      <c r="I13" s="217" t="str">
        <f ca="1">IFERROR(__xludf.DUMMYFUNCTION("""COMPUTED_VALUE"""),"Développer sa philosophie du leadership")</f>
        <v>Développer sa philosophie du leadership</v>
      </c>
      <c r="J13" s="217"/>
      <c r="K13" s="213"/>
      <c r="L13" s="215">
        <f ca="1">IFERROR(__xludf.DUMMYFUNCTION("""COMPUTED_VALUE"""),2924306)</f>
        <v>2924306</v>
      </c>
      <c r="M13" s="215" t="str">
        <f ca="1">IFERROR(__xludf.DUMMYFUNCTION("""COMPUTED_VALUE"""),"All levels")</f>
        <v>All levels</v>
      </c>
      <c r="N13" s="217" t="str">
        <f ca="1">IFERROR(__xludf.DUMMYFUNCTION("""COMPUTED_VALUE"""),"Cómo liderar equipos inclusivos")</f>
        <v>Cómo liderar equipos inclusivos</v>
      </c>
      <c r="O13" s="217"/>
      <c r="P13" s="213"/>
      <c r="Q13" s="215">
        <f ca="1">IFERROR(__xludf.DUMMYFUNCTION("""COMPUTED_VALUE"""),3103249)</f>
        <v>3103249</v>
      </c>
      <c r="R13" s="215" t="str">
        <f ca="1">IFERROR(__xludf.DUMMYFUNCTION("""COMPUTED_VALUE"""),"Intermediate")</f>
        <v>Intermediate</v>
      </c>
      <c r="S13" s="217" t="str">
        <f ca="1">IFERROR(__xludf.DUMMYFUNCTION("""COMPUTED_VALUE"""),"Der Führungs-Talk")</f>
        <v>Der Führungs-Talk</v>
      </c>
      <c r="T13" s="217"/>
      <c r="U13" s="213"/>
      <c r="V13" s="215">
        <f ca="1">IFERROR(__xludf.DUMMYFUNCTION("""COMPUTED_VALUE"""),805175)</f>
        <v>805175</v>
      </c>
      <c r="W13" s="215" t="str">
        <f ca="1">IFERROR(__xludf.DUMMYFUNCTION("""COMPUTED_VALUE"""),"All levels")</f>
        <v>All levels</v>
      </c>
      <c r="X13" s="217" t="str">
        <f ca="1">IFERROR(__xludf.DUMMYFUNCTION("""COMPUTED_VALUE"""),"チームを率いてまとめるには")</f>
        <v>チームを率いてまとめるには</v>
      </c>
      <c r="Y13" s="217"/>
      <c r="Z13" s="213"/>
      <c r="AA13" s="215">
        <f ca="1">IFERROR(__xludf.DUMMYFUNCTION("""COMPUTED_VALUE"""),2460035)</f>
        <v>2460035</v>
      </c>
      <c r="AB13" s="215" t="str">
        <f ca="1">IFERROR(__xludf.DUMMYFUNCTION("""COMPUTED_VALUE"""),"All levels")</f>
        <v>All levels</v>
      </c>
      <c r="AC13" s="217" t="str">
        <f ca="1">IFERROR(__xludf.DUMMYFUNCTION("""COMPUTED_VALUE"""),"Como Exercer a Liderança Compassiva: a Perspectiva de Jeff Weiner")</f>
        <v>Como Exercer a Liderança Compassiva: a Perspectiva de Jeff Weiner</v>
      </c>
      <c r="AD13" s="217"/>
      <c r="AE13" s="213"/>
      <c r="AF13" s="215">
        <f ca="1">IFERROR(__xludf.DUMMYFUNCTION("""COMPUTED_VALUE"""),2825717)</f>
        <v>2825717</v>
      </c>
      <c r="AG13" s="215" t="str">
        <f ca="1">IFERROR(__xludf.DUMMYFUNCTION("""COMPUTED_VALUE"""),"All levels")</f>
        <v>All levels</v>
      </c>
      <c r="AH13" s="217" t="str">
        <f ca="1">IFERROR(__xludf.DUMMYFUNCTION("""COMPUTED_VALUE"""),"培养成长型思维")</f>
        <v>培养成长型思维</v>
      </c>
      <c r="AI13" s="217"/>
      <c r="AJ13" s="213"/>
    </row>
    <row r="14" spans="1:36" ht="33.75" customHeight="1">
      <c r="A14" s="213"/>
      <c r="B14" s="214">
        <f ca="1">IFERROR(__xludf.DUMMYFUNCTION("""COMPUTED_VALUE"""),2822090)</f>
        <v>2822090</v>
      </c>
      <c r="C14" s="215" t="str">
        <f ca="1">IFERROR(__xludf.DUMMYFUNCTION("""COMPUTED_VALUE"""),"Advanced")</f>
        <v>Advanced</v>
      </c>
      <c r="D14" s="216" t="str">
        <f ca="1">IFERROR(__xludf.DUMMYFUNCTION("""COMPUTED_VALUE"""),"Vision in Action: Leaders Live Case Studies")</f>
        <v>Vision in Action: Leaders Live Case Studies</v>
      </c>
      <c r="E14" s="217"/>
      <c r="F14" s="213"/>
      <c r="G14" s="214">
        <f ca="1">IFERROR(__xludf.DUMMYFUNCTION("""COMPUTED_VALUE"""),2215100)</f>
        <v>2215100</v>
      </c>
      <c r="H14" s="215" t="str">
        <f ca="1">IFERROR(__xludf.DUMMYFUNCTION("""COMPUTED_VALUE"""),"Intermediate")</f>
        <v>Intermediate</v>
      </c>
      <c r="I14" s="217" t="str">
        <f ca="1">IFERROR(__xludf.DUMMYFUNCTION("""COMPUTED_VALUE"""),"Devenir un manager bienveillant / une manager bienveillante")</f>
        <v>Devenir un manager bienveillant / une manager bienveillante</v>
      </c>
      <c r="J14" s="217"/>
      <c r="K14" s="213"/>
      <c r="L14" s="215">
        <f ca="1">IFERROR(__xludf.DUMMYFUNCTION("""COMPUTED_VALUE"""),2926133)</f>
        <v>2926133</v>
      </c>
      <c r="M14" s="215" t="str">
        <f ca="1">IFERROR(__xludf.DUMMYFUNCTION("""COMPUTED_VALUE"""),"All levels")</f>
        <v>All levels</v>
      </c>
      <c r="N14" s="217" t="str">
        <f ca="1">IFERROR(__xludf.DUMMYFUNCTION("""COMPUTED_VALUE"""),"Cómo liderar reuniones individuales productivas")</f>
        <v>Cómo liderar reuniones individuales productivas</v>
      </c>
      <c r="O14" s="217"/>
      <c r="P14" s="213"/>
      <c r="Q14" s="215">
        <f ca="1">IFERROR(__xludf.DUMMYFUNCTION("""COMPUTED_VALUE"""),3204097)</f>
        <v>3204097</v>
      </c>
      <c r="R14" s="215" t="str">
        <f ca="1">IFERROR(__xludf.DUMMYFUNCTION("""COMPUTED_VALUE"""),"All levels")</f>
        <v>All levels</v>
      </c>
      <c r="S14" s="217" t="str">
        <f ca="1">IFERROR(__xludf.DUMMYFUNCTION("""COMPUTED_VALUE"""),"Die 5 Rollen einer Führungskraft")</f>
        <v>Die 5 Rollen einer Führungskraft</v>
      </c>
      <c r="T14" s="217"/>
      <c r="U14" s="213"/>
      <c r="V14" s="215">
        <f ca="1">IFERROR(__xludf.DUMMYFUNCTION("""COMPUTED_VALUE"""),726649)</f>
        <v>726649</v>
      </c>
      <c r="W14" s="215" t="str">
        <f ca="1">IFERROR(__xludf.DUMMYFUNCTION("""COMPUTED_VALUE"""),"Beginner")</f>
        <v>Beginner</v>
      </c>
      <c r="X14" s="217" t="str">
        <f ca="1">IFERROR(__xludf.DUMMYFUNCTION("""COMPUTED_VALUE"""),"マネージャーからリーダーに成長するには")</f>
        <v>マネージャーからリーダーに成長するには</v>
      </c>
      <c r="Y14" s="217"/>
      <c r="Z14" s="213"/>
      <c r="AA14" s="215">
        <f ca="1">IFERROR(__xludf.DUMMYFUNCTION("""COMPUTED_VALUE"""),2929560)</f>
        <v>2929560</v>
      </c>
      <c r="AB14" s="215" t="str">
        <f ca="1">IFERROR(__xludf.DUMMYFUNCTION("""COMPUTED_VALUE"""),"Intermediate")</f>
        <v>Intermediate</v>
      </c>
      <c r="AC14" s="217" t="str">
        <f ca="1">IFERROR(__xludf.DUMMYFUNCTION("""COMPUTED_VALUE"""),"Como Gerenciar uma Equipe Diversificada")</f>
        <v>Como Gerenciar uma Equipe Diversificada</v>
      </c>
      <c r="AD14" s="217"/>
      <c r="AE14" s="213"/>
      <c r="AF14" s="215">
        <f ca="1">IFERROR(__xludf.DUMMYFUNCTION("""COMPUTED_VALUE"""),2818044)</f>
        <v>2818044</v>
      </c>
      <c r="AG14" s="215" t="str">
        <f ca="1">IFERROR(__xludf.DUMMYFUNCTION("""COMPUTED_VALUE"""),"Intermediate")</f>
        <v>Intermediate</v>
      </c>
      <c r="AH14" s="217" t="str">
        <f ca="1">IFERROR(__xludf.DUMMYFUNCTION("""COMPUTED_VALUE"""),"培养领导气质")</f>
        <v>培养领导气质</v>
      </c>
      <c r="AI14" s="217"/>
      <c r="AJ14" s="213"/>
    </row>
    <row r="15" spans="1:36" ht="33.75" customHeight="1">
      <c r="A15" s="213"/>
      <c r="B15" s="214">
        <f ca="1">IFERROR(__xludf.DUMMYFUNCTION("""COMPUTED_VALUE"""),772318)</f>
        <v>772318</v>
      </c>
      <c r="C15" s="215" t="str">
        <f ca="1">IFERROR(__xludf.DUMMYFUNCTION("""COMPUTED_VALUE"""),"Advanced")</f>
        <v>Advanced</v>
      </c>
      <c r="D15" s="216" t="str">
        <f ca="1">IFERROR(__xludf.DUMMYFUNCTION("""COMPUTED_VALUE"""),"Leading the Organization Monthly")</f>
        <v>Leading the Organization Monthly</v>
      </c>
      <c r="E15" s="217"/>
      <c r="F15" s="213"/>
      <c r="G15" s="214">
        <f ca="1">IFERROR(__xludf.DUMMYFUNCTION("""COMPUTED_VALUE"""),3166463)</f>
        <v>3166463</v>
      </c>
      <c r="H15" s="215" t="str">
        <f ca="1">IFERROR(__xludf.DUMMYFUNCTION("""COMPUTED_VALUE"""),"All levels")</f>
        <v>All levels</v>
      </c>
      <c r="I15" s="217" t="str">
        <f ca="1">IFERROR(__xludf.DUMMYFUNCTION("""COMPUTED_VALUE"""),"Devenir une personne charismatique et influente")</f>
        <v>Devenir une personne charismatique et influente</v>
      </c>
      <c r="J15" s="217"/>
      <c r="K15" s="213"/>
      <c r="L15" s="215">
        <f ca="1">IFERROR(__xludf.DUMMYFUNCTION("""COMPUTED_VALUE"""),800902)</f>
        <v>800902</v>
      </c>
      <c r="M15" s="215" t="str">
        <f ca="1">IFERROR(__xludf.DUMMYFUNCTION("""COMPUTED_VALUE"""),"Intermediate")</f>
        <v>Intermediate</v>
      </c>
      <c r="N15" s="217" t="str">
        <f ca="1">IFERROR(__xludf.DUMMYFUNCTION("""COMPUTED_VALUE"""),"Cómo liderar sin autoridad formal")</f>
        <v>Cómo liderar sin autoridad formal</v>
      </c>
      <c r="O15" s="217"/>
      <c r="P15" s="213"/>
      <c r="Q15" s="215">
        <f ca="1">IFERROR(__xludf.DUMMYFUNCTION("""COMPUTED_VALUE"""),2805676)</f>
        <v>2805676</v>
      </c>
      <c r="R15" s="215" t="str">
        <f ca="1">IFERROR(__xludf.DUMMYFUNCTION("""COMPUTED_VALUE"""),"Beginner")</f>
        <v>Beginner</v>
      </c>
      <c r="S15" s="217" t="str">
        <f ca="1">IFERROR(__xludf.DUMMYFUNCTION("""COMPUTED_VALUE"""),"Die ersten 100 Tage als Führungskraft")</f>
        <v>Die ersten 100 Tage als Führungskraft</v>
      </c>
      <c r="T15" s="217"/>
      <c r="U15" s="213"/>
      <c r="V15" s="215">
        <f ca="1">IFERROR(__xludf.DUMMYFUNCTION("""COMPUTED_VALUE"""),647819)</f>
        <v>647819</v>
      </c>
      <c r="W15" s="215" t="str">
        <f ca="1">IFERROR(__xludf.DUMMYFUNCTION("""COMPUTED_VALUE"""),"Beginner")</f>
        <v>Beginner</v>
      </c>
      <c r="X15" s="217" t="str">
        <f ca="1">IFERROR(__xludf.DUMMYFUNCTION("""COMPUTED_VALUE"""),"リーダーシップの基礎")</f>
        <v>リーダーシップの基礎</v>
      </c>
      <c r="Y15" s="217"/>
      <c r="Z15" s="213"/>
      <c r="AA15" s="215">
        <f ca="1">IFERROR(__xludf.DUMMYFUNCTION("""COMPUTED_VALUE"""),2909978)</f>
        <v>2909978</v>
      </c>
      <c r="AB15" s="215" t="str">
        <f ca="1">IFERROR(__xludf.DUMMYFUNCTION("""COMPUTED_VALUE"""),"Intermediate")</f>
        <v>Intermediate</v>
      </c>
      <c r="AC15" s="217" t="str">
        <f ca="1">IFERROR(__xludf.DUMMYFUNCTION("""COMPUTED_VALUE"""),"Como Identificar os Pontos Cegos da Liderança")</f>
        <v>Como Identificar os Pontos Cegos da Liderança</v>
      </c>
      <c r="AD15" s="217"/>
      <c r="AE15" s="213"/>
      <c r="AF15" s="215">
        <f ca="1">IFERROR(__xludf.DUMMYFUNCTION("""COMPUTED_VALUE"""),2877313)</f>
        <v>2877313</v>
      </c>
      <c r="AG15" s="215" t="str">
        <f ca="1">IFERROR(__xludf.DUMMYFUNCTION("""COMPUTED_VALUE"""),"Intermediate")</f>
        <v>Intermediate</v>
      </c>
      <c r="AH15" s="217" t="str">
        <f ca="1">IFERROR(__xludf.DUMMYFUNCTION("""COMPUTED_VALUE"""),"女性的领导力策略")</f>
        <v>女性的领导力策略</v>
      </c>
      <c r="AI15" s="217"/>
      <c r="AJ15" s="213"/>
    </row>
    <row r="16" spans="1:36" ht="33.75" customHeight="1">
      <c r="A16" s="213"/>
      <c r="B16" s="214">
        <f ca="1">IFERROR(__xludf.DUMMYFUNCTION("""COMPUTED_VALUE"""),693107)</f>
        <v>693107</v>
      </c>
      <c r="C16" s="215" t="str">
        <f ca="1">IFERROR(__xludf.DUMMYFUNCTION("""COMPUTED_VALUE"""),"Advanced")</f>
        <v>Advanced</v>
      </c>
      <c r="D16" s="216" t="str">
        <f ca="1">IFERROR(__xludf.DUMMYFUNCTION("""COMPUTED_VALUE"""),"CMO Foundations: Working with Leadership and Board-of-Directors")</f>
        <v>CMO Foundations: Working with Leadership and Board-of-Directors</v>
      </c>
      <c r="E16" s="217"/>
      <c r="F16" s="213"/>
      <c r="G16" s="214">
        <f ca="1">IFERROR(__xludf.DUMMYFUNCTION("""COMPUTED_VALUE"""),773191)</f>
        <v>773191</v>
      </c>
      <c r="H16" s="215" t="str">
        <f ca="1">IFERROR(__xludf.DUMMYFUNCTION("""COMPUTED_VALUE"""),"All levels")</f>
        <v>All levels</v>
      </c>
      <c r="I16" s="217" t="str">
        <f ca="1">IFERROR(__xludf.DUMMYFUNCTION("""COMPUTED_VALUE"""),"Diriger avec des histoires")</f>
        <v>Diriger avec des histoires</v>
      </c>
      <c r="J16" s="217"/>
      <c r="K16" s="213"/>
      <c r="L16" s="215">
        <f ca="1">IFERROR(__xludf.DUMMYFUNCTION("""COMPUTED_VALUE"""),5025680)</f>
        <v>5025680</v>
      </c>
      <c r="M16" s="215" t="str">
        <f ca="1">IFERROR(__xludf.DUMMYFUNCTION("""COMPUTED_VALUE"""),"Intermediate")</f>
        <v>Intermediate</v>
      </c>
      <c r="N16" s="217" t="str">
        <f ca="1">IFERROR(__xludf.DUMMYFUNCTION("""COMPUTED_VALUE"""),"Cómo medir el rendimiento de tu equipo")</f>
        <v>Cómo medir el rendimiento de tu equipo</v>
      </c>
      <c r="O16" s="217"/>
      <c r="P16" s="213"/>
      <c r="Q16" s="215">
        <f ca="1">IFERROR(__xludf.DUMMYFUNCTION("""COMPUTED_VALUE"""),2930664)</f>
        <v>2930664</v>
      </c>
      <c r="R16" s="215" t="str">
        <f ca="1">IFERROR(__xludf.DUMMYFUNCTION("""COMPUTED_VALUE"""),"Intermediate")</f>
        <v>Intermediate</v>
      </c>
      <c r="S16" s="217" t="str">
        <f ca="1">IFERROR(__xludf.DUMMYFUNCTION("""COMPUTED_VALUE"""),"Ein Team im Kundenservice leiten")</f>
        <v>Ein Team im Kundenservice leiten</v>
      </c>
      <c r="T16" s="217"/>
      <c r="U16" s="213"/>
      <c r="V16" s="215">
        <f ca="1">IFERROR(__xludf.DUMMYFUNCTION("""COMPUTED_VALUE"""),804034)</f>
        <v>804034</v>
      </c>
      <c r="W16" s="215" t="str">
        <f ca="1">IFERROR(__xludf.DUMMYFUNCTION("""COMPUTED_VALUE"""),"All levels")</f>
        <v>All levels</v>
      </c>
      <c r="X16" s="217" t="str">
        <f ca="1">IFERROR(__xludf.DUMMYFUNCTION("""COMPUTED_VALUE"""),"リーダーのための創造性を高めるテクニック")</f>
        <v>リーダーのための創造性を高めるテクニック</v>
      </c>
      <c r="Y16" s="217"/>
      <c r="Z16" s="213"/>
      <c r="AA16" s="215">
        <f ca="1">IFERROR(__xludf.DUMMYFUNCTION("""COMPUTED_VALUE"""),733879)</f>
        <v>733879</v>
      </c>
      <c r="AB16" s="215" t="str">
        <f ca="1">IFERROR(__xludf.DUMMYFUNCTION("""COMPUTED_VALUE"""),"All levels")</f>
        <v>All levels</v>
      </c>
      <c r="AC16" s="217" t="str">
        <f ca="1">IFERROR(__xludf.DUMMYFUNCTION("""COMPUTED_VALUE"""),"Como Influenciar as Pessoas")</f>
        <v>Como Influenciar as Pessoas</v>
      </c>
      <c r="AD16" s="217"/>
      <c r="AE16" s="213"/>
      <c r="AF16" s="215">
        <f ca="1">IFERROR(__xludf.DUMMYFUNCTION("""COMPUTED_VALUE"""),2825755)</f>
        <v>2825755</v>
      </c>
      <c r="AG16" s="215" t="str">
        <f ca="1">IFERROR(__xludf.DUMMYFUNCTION("""COMPUTED_VALUE"""),"All levels")</f>
        <v>All levels</v>
      </c>
      <c r="AH16" s="217" t="str">
        <f ca="1">IFERROR(__xludf.DUMMYFUNCTION("""COMPUTED_VALUE"""),"女性领导气质")</f>
        <v>女性领导气质</v>
      </c>
      <c r="AI16" s="217"/>
      <c r="AJ16" s="213"/>
    </row>
    <row r="17" spans="1:36" ht="33.75" customHeight="1">
      <c r="A17" s="213"/>
      <c r="B17" s="214">
        <f ca="1">IFERROR(__xludf.DUMMYFUNCTION("""COMPUTED_VALUE"""),2241053)</f>
        <v>2241053</v>
      </c>
      <c r="C17" s="215" t="str">
        <f ca="1">IFERROR(__xludf.DUMMYFUNCTION("""COMPUTED_VALUE"""),"General")</f>
        <v>General</v>
      </c>
      <c r="D17" s="216" t="str">
        <f ca="1">IFERROR(__xludf.DUMMYFUNCTION("""COMPUTED_VALUE"""),"Leading Organizations: Ten Timeless Truths (getAbstract Summary)")</f>
        <v>Leading Organizations: Ten Timeless Truths (getAbstract Summary)</v>
      </c>
      <c r="E17" s="217"/>
      <c r="F17" s="213"/>
      <c r="G17" s="214">
        <f ca="1">IFERROR(__xludf.DUMMYFUNCTION("""COMPUTED_VALUE"""),652640)</f>
        <v>652640</v>
      </c>
      <c r="H17" s="215" t="str">
        <f ca="1">IFERROR(__xludf.DUMMYFUNCTION("""COMPUTED_VALUE"""),"All levels")</f>
        <v>All levels</v>
      </c>
      <c r="I17" s="217" t="str">
        <f ca="1">IFERROR(__xludf.DUMMYFUNCTION("""COMPUTED_VALUE"""),"Diriger et travailler en équipe")</f>
        <v>Diriger et travailler en équipe</v>
      </c>
      <c r="J17" s="217"/>
      <c r="K17" s="213"/>
      <c r="L17" s="215">
        <f ca="1">IFERROR(__xludf.DUMMYFUNCTION("""COMPUTED_VALUE"""),5025691)</f>
        <v>5025691</v>
      </c>
      <c r="M17" s="215" t="str">
        <f ca="1">IFERROR(__xludf.DUMMYFUNCTION("""COMPUTED_VALUE"""),"Beginner, Intermediate")</f>
        <v>Beginner, Intermediate</v>
      </c>
      <c r="N17" s="217" t="str">
        <f ca="1">IFERROR(__xludf.DUMMYFUNCTION("""COMPUTED_VALUE"""),"Cómo mejorar el rendimiento de tu personal")</f>
        <v>Cómo mejorar el rendimiento de tu personal</v>
      </c>
      <c r="O17" s="217"/>
      <c r="P17" s="213"/>
      <c r="Q17" s="215">
        <f ca="1">IFERROR(__xludf.DUMMYFUNCTION("""COMPUTED_VALUE"""),690407)</f>
        <v>690407</v>
      </c>
      <c r="R17" s="215" t="str">
        <f ca="1">IFERROR(__xludf.DUMMYFUNCTION("""COMPUTED_VALUE"""),"Intermediate")</f>
        <v>Intermediate</v>
      </c>
      <c r="S17" s="217" t="str">
        <f ca="1">IFERROR(__xludf.DUMMYFUNCTION("""COMPUTED_VALUE"""),"Entscheidungen auf Führungsebene treffen")</f>
        <v>Entscheidungen auf Führungsebene treffen</v>
      </c>
      <c r="T17" s="217"/>
      <c r="U17" s="213"/>
      <c r="V17" s="215">
        <f ca="1">IFERROR(__xludf.DUMMYFUNCTION("""COMPUTED_VALUE"""),5003765)</f>
        <v>5003765</v>
      </c>
      <c r="W17" s="215" t="str">
        <f ca="1">IFERROR(__xludf.DUMMYFUNCTION("""COMPUTED_VALUE"""),"Intermediate")</f>
        <v>Intermediate</v>
      </c>
      <c r="X17" s="217" t="str">
        <f ca="1">IFERROR(__xludf.DUMMYFUNCTION("""COMPUTED_VALUE"""),"リスクを恐れないリーダーになるには")</f>
        <v>リスクを恐れないリーダーになるには</v>
      </c>
      <c r="Y17" s="217"/>
      <c r="Z17" s="213"/>
      <c r="AA17" s="215">
        <f ca="1">IFERROR(__xludf.DUMMYFUNCTION("""COMPUTED_VALUE"""),801457)</f>
        <v>801457</v>
      </c>
      <c r="AB17" s="215" t="str">
        <f ca="1">IFERROR(__xludf.DUMMYFUNCTION("""COMPUTED_VALUE"""),"Intermediate")</f>
        <v>Intermediate</v>
      </c>
      <c r="AC17" s="217" t="str">
        <f ca="1">IFERROR(__xludf.DUMMYFUNCTION("""COMPUTED_VALUE"""),"Como Liderar de Forma Eficaz")</f>
        <v>Como Liderar de Forma Eficaz</v>
      </c>
      <c r="AD17" s="217"/>
      <c r="AE17" s="213"/>
      <c r="AF17" s="215">
        <f ca="1">IFERROR(__xludf.DUMMYFUNCTION("""COMPUTED_VALUE"""),2880007)</f>
        <v>2880007</v>
      </c>
      <c r="AG17" s="215" t="str">
        <f ca="1">IFERROR(__xludf.DUMMYFUNCTION("""COMPUTED_VALUE"""),"All levels")</f>
        <v>All levels</v>
      </c>
      <c r="AH17" s="217" t="str">
        <f ca="1">IFERROR(__xludf.DUMMYFUNCTION("""COMPUTED_VALUE"""),"如何平衡领导者的多重角色")</f>
        <v>如何平衡领导者的多重角色</v>
      </c>
      <c r="AI17" s="217"/>
      <c r="AJ17" s="213"/>
    </row>
    <row r="18" spans="1:36" ht="33.75" customHeight="1">
      <c r="A18" s="213"/>
      <c r="B18" s="214">
        <f ca="1">IFERROR(__xludf.DUMMYFUNCTION("""COMPUTED_VALUE"""),2425608)</f>
        <v>2425608</v>
      </c>
      <c r="C18" s="215" t="str">
        <f ca="1">IFERROR(__xludf.DUMMYFUNCTION("""COMPUTED_VALUE"""),"Beginner")</f>
        <v>Beginner</v>
      </c>
      <c r="D18" s="216" t="str">
        <f ca="1">IFERROR(__xludf.DUMMYFUNCTION("""COMPUTED_VALUE"""),"The 7 Secrets of Responsive Leadership (getAbstract Summary)")</f>
        <v>The 7 Secrets of Responsive Leadership (getAbstract Summary)</v>
      </c>
      <c r="E18" s="217"/>
      <c r="F18" s="213"/>
      <c r="G18" s="214">
        <f ca="1">IFERROR(__xludf.DUMMYFUNCTION("""COMPUTED_VALUE"""),447165)</f>
        <v>447165</v>
      </c>
      <c r="H18" s="215" t="str">
        <f ca="1">IFERROR(__xludf.DUMMYFUNCTION("""COMPUTED_VALUE"""),"Beginner")</f>
        <v>Beginner</v>
      </c>
      <c r="I18" s="217" t="str">
        <f ca="1">IFERROR(__xludf.DUMMYFUNCTION("""COMPUTED_VALUE"""),"Diriger grâce à l’intelligence émotionnelle")</f>
        <v>Diriger grâce à l’intelligence émotionnelle</v>
      </c>
      <c r="J18" s="217"/>
      <c r="K18" s="213"/>
      <c r="L18" s="215">
        <f ca="1">IFERROR(__xludf.DUMMYFUNCTION("""COMPUTED_VALUE"""),508725)</f>
        <v>508725</v>
      </c>
      <c r="M18" s="215" t="str">
        <f ca="1">IFERROR(__xludf.DUMMYFUNCTION("""COMPUTED_VALUE"""),"Beginner, Intermediate")</f>
        <v>Beginner, Intermediate</v>
      </c>
      <c r="N18" s="217" t="str">
        <f ca="1">IFERROR(__xludf.DUMMYFUNCTION("""COMPUTED_VALUE"""),"Del victimismo a la acción: Asume el control")</f>
        <v>Del victimismo a la acción: Asume el control</v>
      </c>
      <c r="O18" s="217"/>
      <c r="P18" s="213"/>
      <c r="Q18" s="215">
        <f ca="1">IFERROR(__xludf.DUMMYFUNCTION("""COMPUTED_VALUE"""),800684)</f>
        <v>800684</v>
      </c>
      <c r="R18" s="215" t="str">
        <f ca="1">IFERROR(__xludf.DUMMYFUNCTION("""COMPUTED_VALUE"""),"Intermediate")</f>
        <v>Intermediate</v>
      </c>
      <c r="S18" s="217" t="str">
        <f ca="1">IFERROR(__xludf.DUMMYFUNCTION("""COMPUTED_VALUE"""),"Erfahrene Führungskräfte führen")</f>
        <v>Erfahrene Führungskräfte führen</v>
      </c>
      <c r="T18" s="217"/>
      <c r="U18" s="213"/>
      <c r="V18" s="215">
        <f ca="1">IFERROR(__xludf.DUMMYFUNCTION("""COMPUTED_VALUE"""),2400570)</f>
        <v>2400570</v>
      </c>
      <c r="W18" s="215" t="str">
        <f ca="1">IFERROR(__xludf.DUMMYFUNCTION("""COMPUTED_VALUE"""),"Beginner, Intermediate")</f>
        <v>Beginner, Intermediate</v>
      </c>
      <c r="X18" s="217" t="str">
        <f ca="1">IFERROR(__xludf.DUMMYFUNCTION("""COMPUTED_VALUE"""),"協力的なリーダーになるには")</f>
        <v>協力的なリーダーになるには</v>
      </c>
      <c r="Y18" s="217"/>
      <c r="Z18" s="213"/>
      <c r="AA18" s="215">
        <f ca="1">IFERROR(__xludf.DUMMYFUNCTION("""COMPUTED_VALUE"""),2410066)</f>
        <v>2410066</v>
      </c>
      <c r="AB18" s="215" t="str">
        <f ca="1">IFERROR(__xludf.DUMMYFUNCTION("""COMPUTED_VALUE"""),"Advanced")</f>
        <v>Advanced</v>
      </c>
      <c r="AC18" s="217" t="str">
        <f ca="1">IFERROR(__xludf.DUMMYFUNCTION("""COMPUTED_VALUE"""),"Como Liderar e Incentivar Equipes Virtuais para Estimular a Motivação no Trabalho")</f>
        <v>Como Liderar e Incentivar Equipes Virtuais para Estimular a Motivação no Trabalho</v>
      </c>
      <c r="AD18" s="217"/>
      <c r="AE18" s="213"/>
      <c r="AF18" s="215">
        <f ca="1">IFERROR(__xludf.DUMMYFUNCTION("""COMPUTED_VALUE"""),2425822)</f>
        <v>2425822</v>
      </c>
      <c r="AG18" s="215" t="str">
        <f ca="1">IFERROR(__xludf.DUMMYFUNCTION("""COMPUTED_VALUE"""),"Beginner")</f>
        <v>Beginner</v>
      </c>
      <c r="AH18" s="217" t="str">
        <f ca="1">IFERROR(__xludf.DUMMYFUNCTION("""COMPUTED_VALUE"""),"学习领导力：社交媒体篇")</f>
        <v>学习领导力：社交媒体篇</v>
      </c>
      <c r="AI18" s="217"/>
      <c r="AJ18" s="213"/>
    </row>
    <row r="19" spans="1:36" ht="33.75" customHeight="1">
      <c r="A19" s="213"/>
      <c r="B19" s="214">
        <f ca="1">IFERROR(__xludf.DUMMYFUNCTION("""COMPUTED_VALUE"""),518758)</f>
        <v>518758</v>
      </c>
      <c r="C19" s="215" t="str">
        <f ca="1">IFERROR(__xludf.DUMMYFUNCTION("""COMPUTED_VALUE"""),"Beginner + Intermediate")</f>
        <v>Beginner + Intermediate</v>
      </c>
      <c r="D19" s="216" t="str">
        <f ca="1">IFERROR(__xludf.DUMMYFUNCTION("""COMPUTED_VALUE"""),"Transitioning from Manager to Leader")</f>
        <v>Transitioning from Manager to Leader</v>
      </c>
      <c r="E19" s="217"/>
      <c r="F19" s="213"/>
      <c r="G19" s="214">
        <f ca="1">IFERROR(__xludf.DUMMYFUNCTION("""COMPUTED_VALUE"""),778419)</f>
        <v>778419</v>
      </c>
      <c r="H19" s="215" t="str">
        <f ca="1">IFERROR(__xludf.DUMMYFUNCTION("""COMPUTED_VALUE"""),"Intermediate")</f>
        <v>Intermediate</v>
      </c>
      <c r="I19" s="217" t="str">
        <f ca="1">IFERROR(__xludf.DUMMYFUNCTION("""COMPUTED_VALUE"""),"Diriger sans autorité formelle")</f>
        <v>Diriger sans autorité formelle</v>
      </c>
      <c r="J19" s="217"/>
      <c r="K19" s="213"/>
      <c r="L19" s="215">
        <f ca="1">IFERROR(__xludf.DUMMYFUNCTION("""COMPUTED_VALUE"""),598071)</f>
        <v>598071</v>
      </c>
      <c r="M19" s="215" t="str">
        <f ca="1">IFERROR(__xludf.DUMMYFUNCTION("""COMPUTED_VALUE"""),"Beginner")</f>
        <v>Beginner</v>
      </c>
      <c r="N19" s="217" t="str">
        <f ca="1">IFERROR(__xludf.DUMMYFUNCTION("""COMPUTED_VALUE"""),"Desarrolla tu propia filosofía de liderazgo")</f>
        <v>Desarrolla tu propia filosofía de liderazgo</v>
      </c>
      <c r="O19" s="217"/>
      <c r="P19" s="213"/>
      <c r="Q19" s="215">
        <f ca="1">IFERROR(__xludf.DUMMYFUNCTION("""COMPUTED_VALUE"""),2951126)</f>
        <v>2951126</v>
      </c>
      <c r="R19" s="215" t="str">
        <f ca="1">IFERROR(__xludf.DUMMYFUNCTION("""COMPUTED_VALUE"""),"All levels")</f>
        <v>All levels</v>
      </c>
      <c r="S19" s="217" t="str">
        <f ca="1">IFERROR(__xludf.DUMMYFUNCTION("""COMPUTED_VALUE"""),"Erfolgsstrategien für Frauen in Führungspositionen")</f>
        <v>Erfolgsstrategien für Frauen in Führungspositionen</v>
      </c>
      <c r="T19" s="217"/>
      <c r="U19" s="213"/>
      <c r="V19" s="215">
        <f ca="1">IFERROR(__xludf.DUMMYFUNCTION("""COMPUTED_VALUE"""),2887006)</f>
        <v>2887006</v>
      </c>
      <c r="W19" s="215" t="str">
        <f ca="1">IFERROR(__xludf.DUMMYFUNCTION("""COMPUTED_VALUE"""),"Intermediate")</f>
        <v>Intermediate</v>
      </c>
      <c r="X19" s="217" t="str">
        <f ca="1">IFERROR(__xludf.DUMMYFUNCTION("""COMPUTED_VALUE"""),"女性のためのリーダーシップ戦略")</f>
        <v>女性のためのリーダーシップ戦略</v>
      </c>
      <c r="Y19" s="217"/>
      <c r="Z19" s="213"/>
      <c r="AA19" s="215">
        <f ca="1">IFERROR(__xludf.DUMMYFUNCTION("""COMPUTED_VALUE"""),753224)</f>
        <v>753224</v>
      </c>
      <c r="AB19" s="215" t="str">
        <f ca="1">IFERROR(__xludf.DUMMYFUNCTION("""COMPUTED_VALUE"""),"All levels")</f>
        <v>All levels</v>
      </c>
      <c r="AC19" s="217" t="str">
        <f ca="1">IFERROR(__xludf.DUMMYFUNCTION("""COMPUTED_VALUE"""),"Como Liderar e Trabalhar em Equipe")</f>
        <v>Como Liderar e Trabalhar em Equipe</v>
      </c>
      <c r="AD19" s="217"/>
      <c r="AE19" s="213"/>
      <c r="AF19" s="215">
        <f ca="1">IFERROR(__xludf.DUMMYFUNCTION("""COMPUTED_VALUE"""),773686)</f>
        <v>773686</v>
      </c>
      <c r="AG19" s="215" t="str">
        <f ca="1">IFERROR(__xludf.DUMMYFUNCTION("""COMPUTED_VALUE"""),"Intermediate")</f>
        <v>Intermediate</v>
      </c>
      <c r="AH19" s="217" t="str">
        <f ca="1">IFERROR(__xludf.DUMMYFUNCTION("""COMPUTED_VALUE"""),"将问责制植入到文化中")</f>
        <v>将问责制植入到文化中</v>
      </c>
      <c r="AI19" s="217"/>
      <c r="AJ19" s="213"/>
    </row>
    <row r="20" spans="1:36" ht="33.75" customHeight="1">
      <c r="A20" s="213"/>
      <c r="B20" s="214">
        <f ca="1">IFERROR(__xludf.DUMMYFUNCTION("""COMPUTED_VALUE"""),777382)</f>
        <v>777382</v>
      </c>
      <c r="C20" s="215" t="str">
        <f ca="1">IFERROR(__xludf.DUMMYFUNCTION("""COMPUTED_VALUE"""),"Beginner + Intermediate")</f>
        <v>Beginner + Intermediate</v>
      </c>
      <c r="D20" s="216" t="str">
        <f ca="1">IFERROR(__xludf.DUMMYFUNCTION("""COMPUTED_VALUE"""),"Transformational Leadership")</f>
        <v>Transformational Leadership</v>
      </c>
      <c r="E20" s="217"/>
      <c r="F20" s="213"/>
      <c r="G20" s="214">
        <f ca="1">IFERROR(__xludf.DUMMYFUNCTION("""COMPUTED_VALUE"""),5025546)</f>
        <v>5025546</v>
      </c>
      <c r="H20" s="215" t="str">
        <f ca="1">IFERROR(__xludf.DUMMYFUNCTION("""COMPUTED_VALUE"""),"Intermediate")</f>
        <v>Intermediate</v>
      </c>
      <c r="I20" s="217" t="str">
        <f ca="1">IFERROR(__xludf.DUMMYFUNCTION("""COMPUTED_VALUE"""),"Être à la pointe de l'innovation")</f>
        <v>Être à la pointe de l'innovation</v>
      </c>
      <c r="J20" s="217"/>
      <c r="K20" s="213"/>
      <c r="L20" s="215">
        <f ca="1">IFERROR(__xludf.DUMMYFUNCTION("""COMPUTED_VALUE"""),2381564)</f>
        <v>2381564</v>
      </c>
      <c r="M20" s="215" t="str">
        <f ca="1">IFERROR(__xludf.DUMMYFUNCTION("""COMPUTED_VALUE"""),"Beginner")</f>
        <v>Beginner</v>
      </c>
      <c r="N20" s="217" t="str">
        <f ca="1">IFERROR(__xludf.DUMMYFUNCTION("""COMPUTED_VALUE"""),"El camino hacia el liderazgo femenino")</f>
        <v>El camino hacia el liderazgo femenino</v>
      </c>
      <c r="O20" s="217"/>
      <c r="P20" s="213"/>
      <c r="Q20" s="215">
        <f ca="1">IFERROR(__xludf.DUMMYFUNCTION("""COMPUTED_VALUE"""),5025613)</f>
        <v>5025613</v>
      </c>
      <c r="R20" s="215" t="str">
        <f ca="1">IFERROR(__xludf.DUMMYFUNCTION("""COMPUTED_VALUE"""),"Beginner")</f>
        <v>Beginner</v>
      </c>
      <c r="S20" s="217" t="str">
        <f ca="1">IFERROR(__xludf.DUMMYFUNCTION("""COMPUTED_VALUE"""),"Expert:innen führen")</f>
        <v>Expert:innen führen</v>
      </c>
      <c r="T20" s="217"/>
      <c r="U20" s="213"/>
      <c r="V20" s="215">
        <f ca="1">IFERROR(__xludf.DUMMYFUNCTION("""COMPUTED_VALUE"""),3153208)</f>
        <v>3153208</v>
      </c>
      <c r="W20" s="215" t="str">
        <f ca="1">IFERROR(__xludf.DUMMYFUNCTION("""COMPUTED_VALUE"""),"Beginner")</f>
        <v>Beginner</v>
      </c>
      <c r="X20" s="217" t="str">
        <f ca="1">IFERROR(__xludf.DUMMYFUNCTION("""COMPUTED_VALUE"""),"実力がある人材のマネジメント")</f>
        <v>実力がある人材のマネジメント</v>
      </c>
      <c r="Y20" s="217"/>
      <c r="Z20" s="213"/>
      <c r="AA20" s="215">
        <f ca="1">IFERROR(__xludf.DUMMYFUNCTION("""COMPUTED_VALUE"""),2901334)</f>
        <v>2901334</v>
      </c>
      <c r="AB20" s="215" t="str">
        <f ca="1">IFERROR(__xludf.DUMMYFUNCTION("""COMPUTED_VALUE"""),"Beginner, Intermediate")</f>
        <v>Beginner, Intermediate</v>
      </c>
      <c r="AC20" s="217" t="str">
        <f ca="1">IFERROR(__xludf.DUMMYFUNCTION("""COMPUTED_VALUE"""),"Como Melhorar o Desempenho dos Colaboradores")</f>
        <v>Como Melhorar o Desempenho dos Colaboradores</v>
      </c>
      <c r="AD20" s="217"/>
      <c r="AE20" s="213"/>
      <c r="AF20" s="215">
        <f ca="1">IFERROR(__xludf.DUMMYFUNCTION("""COMPUTED_VALUE"""),2822703)</f>
        <v>2822703</v>
      </c>
      <c r="AG20" s="215" t="str">
        <f ca="1">IFERROR(__xludf.DUMMYFUNCTION("""COMPUTED_VALUE"""),"Beginner")</f>
        <v>Beginner</v>
      </c>
      <c r="AH20" s="217" t="str">
        <f ca="1">IFERROR(__xludf.DUMMYFUNCTION("""COMPUTED_VALUE"""),"建立自信")</f>
        <v>建立自信</v>
      </c>
      <c r="AI20" s="217"/>
      <c r="AJ20" s="213"/>
    </row>
    <row r="21" spans="1:36" ht="33.75" customHeight="1">
      <c r="A21" s="213"/>
      <c r="B21" s="214">
        <f ca="1">IFERROR(__xludf.DUMMYFUNCTION("""COMPUTED_VALUE"""),565363)</f>
        <v>565363</v>
      </c>
      <c r="C21" s="215" t="str">
        <f ca="1">IFERROR(__xludf.DUMMYFUNCTION("""COMPUTED_VALUE"""),"Intermediate")</f>
        <v>Intermediate</v>
      </c>
      <c r="D21" s="216" t="str">
        <f ca="1">IFERROR(__xludf.DUMMYFUNCTION("""COMPUTED_VALUE"""),"Managing Experienced Managers")</f>
        <v>Managing Experienced Managers</v>
      </c>
      <c r="E21" s="217"/>
      <c r="F21" s="213"/>
      <c r="G21" s="214">
        <f ca="1">IFERROR(__xludf.DUMMYFUNCTION("""COMPUTED_VALUE"""),778463)</f>
        <v>778463</v>
      </c>
      <c r="H21" s="215" t="str">
        <f ca="1">IFERROR(__xludf.DUMMYFUNCTION("""COMPUTED_VALUE"""),"Intermediate")</f>
        <v>Intermediate</v>
      </c>
      <c r="I21" s="217" t="str">
        <f ca="1">IFERROR(__xludf.DUMMYFUNCTION("""COMPUTED_VALUE"""),"Être un leader efficace")</f>
        <v>Être un leader efficace</v>
      </c>
      <c r="J21" s="217"/>
      <c r="K21" s="213"/>
      <c r="L21" s="215">
        <f ca="1">IFERROR(__xludf.DUMMYFUNCTION("""COMPUTED_VALUE"""),5025686)</f>
        <v>5025686</v>
      </c>
      <c r="M21" s="215" t="str">
        <f ca="1">IFERROR(__xludf.DUMMYFUNCTION("""COMPUTED_VALUE"""),"Intermediate")</f>
        <v>Intermediate</v>
      </c>
      <c r="N21" s="217" t="str">
        <f ca="1">IFERROR(__xludf.DUMMYFUNCTION("""COMPUTED_VALUE"""),"El futuro de la gestión del rendimiento")</f>
        <v>El futuro de la gestión del rendimiento</v>
      </c>
      <c r="O21" s="217"/>
      <c r="P21" s="213"/>
      <c r="Q21" s="215">
        <f ca="1">IFERROR(__xludf.DUMMYFUNCTION("""COMPUTED_VALUE"""),2385305)</f>
        <v>2385305</v>
      </c>
      <c r="R21" s="215" t="str">
        <f ca="1">IFERROR(__xludf.DUMMYFUNCTION("""COMPUTED_VALUE"""),"Beginner")</f>
        <v>Beginner</v>
      </c>
      <c r="S21" s="217" t="str">
        <f ca="1">IFERROR(__xludf.DUMMYFUNCTION("""COMPUTED_VALUE"""),"Fair Führen – Inclusive Leadership im Unternehmen fördern")</f>
        <v>Fair Führen – Inclusive Leadership im Unternehmen fördern</v>
      </c>
      <c r="T21" s="217"/>
      <c r="U21" s="213"/>
      <c r="V21" s="215">
        <f ca="1">IFERROR(__xludf.DUMMYFUNCTION("""COMPUTED_VALUE"""),3158188)</f>
        <v>3158188</v>
      </c>
      <c r="W21" s="215" t="str">
        <f ca="1">IFERROR(__xludf.DUMMYFUNCTION("""COMPUTED_VALUE"""),"Beginner")</f>
        <v>Beginner</v>
      </c>
      <c r="X21" s="217" t="str">
        <f ca="1">IFERROR(__xludf.DUMMYFUNCTION("""COMPUTED_VALUE"""),"将来有望な人材をマネジメントするには")</f>
        <v>将来有望な人材をマネジメントするには</v>
      </c>
      <c r="Y21" s="217"/>
      <c r="Z21" s="213"/>
      <c r="AA21" s="215">
        <f ca="1">IFERROR(__xludf.DUMMYFUNCTION("""COMPUTED_VALUE"""),753202)</f>
        <v>753202</v>
      </c>
      <c r="AB21" s="215" t="str">
        <f ca="1">IFERROR(__xludf.DUMMYFUNCTION("""COMPUTED_VALUE"""),"Beginner")</f>
        <v>Beginner</v>
      </c>
      <c r="AC21" s="217" t="str">
        <f ca="1">IFERROR(__xludf.DUMMYFUNCTION("""COMPUTED_VALUE"""),"Como Passar da Gerência à Liderança")</f>
        <v>Como Passar da Gerência à Liderança</v>
      </c>
      <c r="AD21" s="217"/>
      <c r="AE21" s="213"/>
      <c r="AF21" s="215">
        <f ca="1">IFERROR(__xludf.DUMMYFUNCTION("""COMPUTED_VALUE"""),762260)</f>
        <v>762260</v>
      </c>
      <c r="AG21" s="215" t="str">
        <f ca="1">IFERROR(__xludf.DUMMYFUNCTION("""COMPUTED_VALUE"""),"Intermediate")</f>
        <v>Intermediate</v>
      </c>
      <c r="AH21" s="217" t="str">
        <f ca="1">IFERROR(__xludf.DUMMYFUNCTION("""COMPUTED_VALUE"""),"引领变革")</f>
        <v>引领变革</v>
      </c>
      <c r="AI21" s="217"/>
      <c r="AJ21" s="213"/>
    </row>
    <row r="22" spans="1:36" ht="33.75" customHeight="1">
      <c r="A22" s="213"/>
      <c r="B22" s="214">
        <f ca="1">IFERROR(__xludf.DUMMYFUNCTION("""COMPUTED_VALUE"""),592486)</f>
        <v>592486</v>
      </c>
      <c r="C22" s="215" t="str">
        <f ca="1">IFERROR(__xludf.DUMMYFUNCTION("""COMPUTED_VALUE"""),"Intermediate")</f>
        <v>Intermediate</v>
      </c>
      <c r="D22" s="216" t="str">
        <f ca="1">IFERROR(__xludf.DUMMYFUNCTION("""COMPUTED_VALUE"""),"The Future of Performance Management")</f>
        <v>The Future of Performance Management</v>
      </c>
      <c r="E22" s="217"/>
      <c r="F22" s="213"/>
      <c r="G22" s="214">
        <f ca="1">IFERROR(__xludf.DUMMYFUNCTION("""COMPUTED_VALUE"""),610662)</f>
        <v>610662</v>
      </c>
      <c r="H22" s="215" t="str">
        <f ca="1">IFERROR(__xludf.DUMMYFUNCTION("""COMPUTED_VALUE"""),"Intermediate")</f>
        <v>Intermediate</v>
      </c>
      <c r="I22" s="217" t="str">
        <f ca="1">IFERROR(__xludf.DUMMYFUNCTION("""COMPUTED_VALUE"""),"Évoluer de Manager à Leader")</f>
        <v>Évoluer de Manager à Leader</v>
      </c>
      <c r="J22" s="217"/>
      <c r="K22" s="213"/>
      <c r="L22" s="215">
        <f ca="1">IFERROR(__xludf.DUMMYFUNCTION("""COMPUTED_VALUE"""),778413)</f>
        <v>778413</v>
      </c>
      <c r="M22" s="215" t="str">
        <f ca="1">IFERROR(__xludf.DUMMYFUNCTION("""COMPUTED_VALUE"""),"All levels")</f>
        <v>All levels</v>
      </c>
      <c r="N22" s="217" t="str">
        <f ca="1">IFERROR(__xludf.DUMMYFUNCTION("""COMPUTED_VALUE"""),"Fred Kofman sobre la responsabilidad")</f>
        <v>Fred Kofman sobre la responsabilidad</v>
      </c>
      <c r="O22" s="217"/>
      <c r="P22" s="213"/>
      <c r="Q22" s="215">
        <f ca="1">IFERROR(__xludf.DUMMYFUNCTION("""COMPUTED_VALUE"""),3130117)</f>
        <v>3130117</v>
      </c>
      <c r="R22" s="215" t="str">
        <f ca="1">IFERROR(__xludf.DUMMYFUNCTION("""COMPUTED_VALUE"""),"All levels")</f>
        <v>All levels</v>
      </c>
      <c r="S22" s="217" t="str">
        <f ca="1">IFERROR(__xludf.DUMMYFUNCTION("""COMPUTED_VALUE"""),"Fair führen (Blinkist Kernaussagen)")</f>
        <v>Fair führen (Blinkist Kernaussagen)</v>
      </c>
      <c r="T22" s="217"/>
      <c r="U22" s="213"/>
      <c r="V22" s="215">
        <f ca="1">IFERROR(__xludf.DUMMYFUNCTION("""COMPUTED_VALUE"""),3006484)</f>
        <v>3006484</v>
      </c>
      <c r="W22" s="215" t="str">
        <f ca="1">IFERROR(__xludf.DUMMYFUNCTION("""COMPUTED_VALUE"""),"All levels")</f>
        <v>All levels</v>
      </c>
      <c r="X22" s="217" t="str">
        <f ca="1">IFERROR(__xludf.DUMMYFUNCTION("""COMPUTED_VALUE"""),"持続可能な地球環境のためにリーダーとして取り組むには")</f>
        <v>持続可能な地球環境のためにリーダーとして取り組むには</v>
      </c>
      <c r="Y22" s="217"/>
      <c r="Z22" s="213"/>
      <c r="AA22" s="215">
        <f ca="1">IFERROR(__xludf.DUMMYFUNCTION("""COMPUTED_VALUE"""),2841359)</f>
        <v>2841359</v>
      </c>
      <c r="AB22" s="215" t="str">
        <f ca="1">IFERROR(__xludf.DUMMYFUNCTION("""COMPUTED_VALUE"""),"Beginner")</f>
        <v>Beginner</v>
      </c>
      <c r="AC22" s="217" t="str">
        <f ca="1">IFERROR(__xludf.DUMMYFUNCTION("""COMPUTED_VALUE"""),"Como se Tornar Mais Acessível aos seus Colaboradores")</f>
        <v>Como se Tornar Mais Acessível aos seus Colaboradores</v>
      </c>
      <c r="AD22" s="217"/>
      <c r="AE22" s="213"/>
      <c r="AF22" s="215">
        <f ca="1">IFERROR(__xludf.DUMMYFUNCTION("""COMPUTED_VALUE"""),762261)</f>
        <v>762261</v>
      </c>
      <c r="AG22" s="215" t="str">
        <f ca="1">IFERROR(__xludf.DUMMYFUNCTION("""COMPUTED_VALUE"""),"Intermediate")</f>
        <v>Intermediate</v>
      </c>
      <c r="AH22" s="217" t="str">
        <f ca="1">IFERROR(__xludf.DUMMYFUNCTION("""COMPUTED_VALUE"""),"形成你的领导理念")</f>
        <v>形成你的领导理念</v>
      </c>
      <c r="AI22" s="217"/>
      <c r="AJ22" s="213"/>
    </row>
    <row r="23" spans="1:36" ht="33.75" customHeight="1">
      <c r="A23" s="213"/>
      <c r="B23" s="214">
        <f ca="1">IFERROR(__xludf.DUMMYFUNCTION("""COMPUTED_VALUE"""),625916)</f>
        <v>625916</v>
      </c>
      <c r="C23" s="215" t="str">
        <f ca="1">IFERROR(__xludf.DUMMYFUNCTION("""COMPUTED_VALUE"""),"Intermediate")</f>
        <v>Intermediate</v>
      </c>
      <c r="D23" s="216" t="str">
        <f ca="1">IFERROR(__xludf.DUMMYFUNCTION("""COMPUTED_VALUE"""),"Developing Managers in Organizations")</f>
        <v>Developing Managers in Organizations</v>
      </c>
      <c r="E23" s="217"/>
      <c r="F23" s="213"/>
      <c r="G23" s="214">
        <f ca="1">IFERROR(__xludf.DUMMYFUNCTION("""COMPUTED_VALUE"""),778457)</f>
        <v>778457</v>
      </c>
      <c r="H23" s="215" t="str">
        <f ca="1">IFERROR(__xludf.DUMMYFUNCTION("""COMPUTED_VALUE"""),"Intermediate")</f>
        <v>Intermediate</v>
      </c>
      <c r="I23" s="217" t="str">
        <f ca="1">IFERROR(__xludf.DUMMYFUNCTION("""COMPUTED_VALUE"""),"Former les managers dans une organisation")</f>
        <v>Former les managers dans une organisation</v>
      </c>
      <c r="J23" s="217"/>
      <c r="K23" s="213"/>
      <c r="L23" s="215">
        <f ca="1">IFERROR(__xludf.DUMMYFUNCTION("""COMPUTED_VALUE"""),708556)</f>
        <v>708556</v>
      </c>
      <c r="M23" s="215" t="str">
        <f ca="1">IFERROR(__xludf.DUMMYFUNCTION("""COMPUTED_VALUE"""),"Intermediate")</f>
        <v>Intermediate</v>
      </c>
      <c r="N23" s="217" t="str">
        <f ca="1">IFERROR(__xludf.DUMMYFUNCTION("""COMPUTED_VALUE"""),"Fundamentos de la gestión de proyectos: Liderazgo")</f>
        <v>Fundamentos de la gestión de proyectos: Liderazgo</v>
      </c>
      <c r="O23" s="217"/>
      <c r="P23" s="213"/>
      <c r="Q23" s="215">
        <f ca="1">IFERROR(__xludf.DUMMYFUNCTION("""COMPUTED_VALUE"""),3157120)</f>
        <v>3157120</v>
      </c>
      <c r="R23" s="215" t="str">
        <f ca="1">IFERROR(__xludf.DUMMYFUNCTION("""COMPUTED_VALUE"""),"All levels")</f>
        <v>All levels</v>
      </c>
      <c r="S23" s="217" t="str">
        <f ca="1">IFERROR(__xludf.DUMMYFUNCTION("""COMPUTED_VALUE"""),"Führen mit emotionaler Intelligenz")</f>
        <v>Führen mit emotionaler Intelligenz</v>
      </c>
      <c r="T23" s="217"/>
      <c r="U23" s="213"/>
      <c r="V23" s="215">
        <f ca="1">IFERROR(__xludf.DUMMYFUNCTION("""COMPUTED_VALUE"""),2203497)</f>
        <v>2203497</v>
      </c>
      <c r="W23" s="215" t="str">
        <f ca="1">IFERROR(__xludf.DUMMYFUNCTION("""COMPUTED_VALUE"""),"Beginner")</f>
        <v>Beginner</v>
      </c>
      <c r="X23" s="217" t="str">
        <f ca="1">IFERROR(__xludf.DUMMYFUNCTION("""COMPUTED_VALUE"""),"新任マネージャーの心得")</f>
        <v>新任マネージャーの心得</v>
      </c>
      <c r="Y23" s="217"/>
      <c r="Z23" s="213"/>
      <c r="AA23" s="215">
        <f ca="1">IFERROR(__xludf.DUMMYFUNCTION("""COMPUTED_VALUE"""),2875199)</f>
        <v>2875199</v>
      </c>
      <c r="AB23" s="215" t="str">
        <f ca="1">IFERROR(__xludf.DUMMYFUNCTION("""COMPUTED_VALUE"""),"Intermediate")</f>
        <v>Intermediate</v>
      </c>
      <c r="AC23" s="217" t="str">
        <f ca="1">IFERROR(__xludf.DUMMYFUNCTION("""COMPUTED_VALUE"""),"Competências de Coaching para Líderes e Gerentes")</f>
        <v>Competências de Coaching para Líderes e Gerentes</v>
      </c>
      <c r="AD23" s="217"/>
      <c r="AE23" s="213"/>
      <c r="AF23" s="215">
        <f ca="1">IFERROR(__xludf.DUMMYFUNCTION("""COMPUTED_VALUE"""),730570)</f>
        <v>730570</v>
      </c>
      <c r="AG23" s="215" t="str">
        <f ca="1">IFERROR(__xludf.DUMMYFUNCTION("""COMPUTED_VALUE"""),"All levels")</f>
        <v>All levels</v>
      </c>
      <c r="AH23" s="217" t="str">
        <f ca="1">IFERROR(__xludf.DUMMYFUNCTION("""COMPUTED_VALUE"""),"影响他人")</f>
        <v>影响他人</v>
      </c>
      <c r="AI23" s="217"/>
      <c r="AJ23" s="213"/>
    </row>
    <row r="24" spans="1:36" ht="33.75" customHeight="1">
      <c r="A24" s="213"/>
      <c r="B24" s="214">
        <f ca="1">IFERROR(__xludf.DUMMYFUNCTION("""COMPUTED_VALUE"""),756286)</f>
        <v>756286</v>
      </c>
      <c r="C24" s="215" t="str">
        <f ca="1">IFERROR(__xludf.DUMMYFUNCTION("""COMPUTED_VALUE"""),"Intermediate")</f>
        <v>Intermediate</v>
      </c>
      <c r="D24" s="216" t="str">
        <f ca="1">IFERROR(__xludf.DUMMYFUNCTION("""COMPUTED_VALUE"""),"HR and Digital Transformation")</f>
        <v>HR and Digital Transformation</v>
      </c>
      <c r="E24" s="217"/>
      <c r="F24" s="213"/>
      <c r="G24" s="214">
        <f ca="1">IFERROR(__xludf.DUMMYFUNCTION("""COMPUTED_VALUE"""),792279)</f>
        <v>792279</v>
      </c>
      <c r="H24" s="215" t="str">
        <f ca="1">IFERROR(__xludf.DUMMYFUNCTION("""COMPUTED_VALUE"""),"All levels")</f>
        <v>All levels</v>
      </c>
      <c r="I24" s="217" t="str">
        <f ca="1">IFERROR(__xludf.DUMMYFUNCTION("""COMPUTED_VALUE"""),"Fred Kofman – La responsabilisation")</f>
        <v>Fred Kofman – La responsabilisation</v>
      </c>
      <c r="J24" s="217"/>
      <c r="K24" s="213"/>
      <c r="L24" s="215">
        <f ca="1">IFERROR(__xludf.DUMMYFUNCTION("""COMPUTED_VALUE"""),452713)</f>
        <v>452713</v>
      </c>
      <c r="M24" s="215" t="str">
        <f ca="1">IFERROR(__xludf.DUMMYFUNCTION("""COMPUTED_VALUE"""),"Beginner")</f>
        <v>Beginner</v>
      </c>
      <c r="N24" s="217" t="str">
        <f ca="1">IFERROR(__xludf.DUMMYFUNCTION("""COMPUTED_VALUE"""),"Fundamentos y consejos para gerentes principiantes")</f>
        <v>Fundamentos y consejos para gerentes principiantes</v>
      </c>
      <c r="O24" s="217"/>
      <c r="P24" s="213"/>
      <c r="Q24" s="215">
        <f ca="1">IFERROR(__xludf.DUMMYFUNCTION("""COMPUTED_VALUE"""),5025620)</f>
        <v>5025620</v>
      </c>
      <c r="R24" s="215" t="str">
        <f ca="1">IFERROR(__xludf.DUMMYFUNCTION("""COMPUTED_VALUE"""),"Beginner, Intermediate")</f>
        <v>Beginner, Intermediate</v>
      </c>
      <c r="S24" s="217" t="str">
        <f ca="1">IFERROR(__xludf.DUMMYFUNCTION("""COMPUTED_VALUE"""),"Führen mit Innovation")</f>
        <v>Führen mit Innovation</v>
      </c>
      <c r="T24" s="217"/>
      <c r="U24" s="213"/>
      <c r="V24" s="215">
        <f ca="1">IFERROR(__xludf.DUMMYFUNCTION("""COMPUTED_VALUE"""),2848299)</f>
        <v>2848299</v>
      </c>
      <c r="W24" s="215" t="str">
        <f ca="1">IFERROR(__xludf.DUMMYFUNCTION("""COMPUTED_VALUE"""),"Intermediate")</f>
        <v>Intermediate</v>
      </c>
      <c r="X24" s="217" t="str">
        <f ca="1">IFERROR(__xludf.DUMMYFUNCTION("""COMPUTED_VALUE"""),"新任マネージャーをスムーズに着任させるには")</f>
        <v>新任マネージャーをスムーズに着任させるには</v>
      </c>
      <c r="Y24" s="217"/>
      <c r="Z24" s="213"/>
      <c r="AA24" s="215">
        <f ca="1">IFERROR(__xludf.DUMMYFUNCTION("""COMPUTED_VALUE"""),748850)</f>
        <v>748850</v>
      </c>
      <c r="AB24" s="215" t="str">
        <f ca="1">IFERROR(__xludf.DUMMYFUNCTION("""COMPUTED_VALUE"""),"Intermediate")</f>
        <v>Intermediate</v>
      </c>
      <c r="AC24" s="217" t="str">
        <f ca="1">IFERROR(__xludf.DUMMYFUNCTION("""COMPUTED_VALUE"""),"Comunicação na Liderança 4.0: O Poder da Síntese")</f>
        <v>Comunicação na Liderança 4.0: O Poder da Síntese</v>
      </c>
      <c r="AD24" s="217"/>
      <c r="AE24" s="213"/>
      <c r="AF24" s="215">
        <f ca="1">IFERROR(__xludf.DUMMYFUNCTION("""COMPUTED_VALUE"""),2994033)</f>
        <v>2994033</v>
      </c>
      <c r="AG24" s="215" t="str">
        <f ca="1">IFERROR(__xludf.DUMMYFUNCTION("""COMPUTED_VALUE"""),"Intermediate")</f>
        <v>Intermediate</v>
      </c>
      <c r="AH24" s="217" t="str">
        <f ca="1">IFERROR(__xludf.DUMMYFUNCTION("""COMPUTED_VALUE"""),"成为思想领袖")</f>
        <v>成为思想领袖</v>
      </c>
      <c r="AI24" s="217"/>
      <c r="AJ24" s="213"/>
    </row>
    <row r="25" spans="1:36" ht="33.75" customHeight="1">
      <c r="A25" s="213"/>
      <c r="B25" s="214">
        <f ca="1">IFERROR(__xludf.DUMMYFUNCTION("""COMPUTED_VALUE"""),5022331)</f>
        <v>5022331</v>
      </c>
      <c r="C25" s="215" t="str">
        <f ca="1">IFERROR(__xludf.DUMMYFUNCTION("""COMPUTED_VALUE"""),"Intermediate")</f>
        <v>Intermediate</v>
      </c>
      <c r="D25" s="216" t="str">
        <f ca="1">IFERROR(__xludf.DUMMYFUNCTION("""COMPUTED_VALUE"""),"Collaborative Leadership")</f>
        <v>Collaborative Leadership</v>
      </c>
      <c r="E25" s="217"/>
      <c r="F25" s="213"/>
      <c r="G25" s="214">
        <f ca="1">IFERROR(__xludf.DUMMYFUNCTION("""COMPUTED_VALUE"""),796912)</f>
        <v>796912</v>
      </c>
      <c r="H25" s="215" t="str">
        <f ca="1">IFERROR(__xludf.DUMMYFUNCTION("""COMPUTED_VALUE"""),"Intermediate")</f>
        <v>Intermediate</v>
      </c>
      <c r="I25" s="217" t="str">
        <f ca="1">IFERROR(__xludf.DUMMYFUNCTION("""COMPUTED_VALUE"""),"Gérer ses relations avec son chef / sa cheffe, ses collègues et ses employés / employées")</f>
        <v>Gérer ses relations avec son chef / sa cheffe, ses collègues et ses employés / employées</v>
      </c>
      <c r="J25" s="217"/>
      <c r="K25" s="213"/>
      <c r="L25" s="215">
        <f ca="1">IFERROR(__xludf.DUMMYFUNCTION("""COMPUTED_VALUE"""),748215)</f>
        <v>748215</v>
      </c>
      <c r="M25" s="215" t="str">
        <f ca="1">IFERROR(__xludf.DUMMYFUNCTION("""COMPUTED_VALUE"""),"Intermediate")</f>
        <v>Intermediate</v>
      </c>
      <c r="N25" s="217" t="str">
        <f ca="1">IFERROR(__xludf.DUMMYFUNCTION("""COMPUTED_VALUE"""),"Inteligencia emocional en la gestión empresarial")</f>
        <v>Inteligencia emocional en la gestión empresarial</v>
      </c>
      <c r="O25" s="217"/>
      <c r="P25" s="213"/>
      <c r="Q25" s="215">
        <f ca="1">IFERROR(__xludf.DUMMYFUNCTION("""COMPUTED_VALUE"""),5025625)</f>
        <v>5025625</v>
      </c>
      <c r="R25" s="215" t="str">
        <f ca="1">IFERROR(__xludf.DUMMYFUNCTION("""COMPUTED_VALUE"""),"Intermediate")</f>
        <v>Intermediate</v>
      </c>
      <c r="S25" s="217" t="str">
        <f ca="1">IFERROR(__xludf.DUMMYFUNCTION("""COMPUTED_VALUE"""),"Führen ohne Weisungsbefugnis")</f>
        <v>Führen ohne Weisungsbefugnis</v>
      </c>
      <c r="T25" s="217"/>
      <c r="U25" s="213"/>
      <c r="V25" s="215">
        <f ca="1">IFERROR(__xludf.DUMMYFUNCTION("""COMPUTED_VALUE"""),3010344)</f>
        <v>3010344</v>
      </c>
      <c r="W25" s="215" t="str">
        <f ca="1">IFERROR(__xludf.DUMMYFUNCTION("""COMPUTED_VALUE"""),"Beginner")</f>
        <v>Beginner</v>
      </c>
      <c r="X25" s="217" t="str">
        <f ca="1">IFERROR(__xludf.DUMMYFUNCTION("""COMPUTED_VALUE"""),"権力と影響力とは")</f>
        <v>権力と影響力とは</v>
      </c>
      <c r="Y25" s="217"/>
      <c r="Z25" s="213"/>
      <c r="AA25" s="215">
        <f ca="1">IFERROR(__xludf.DUMMYFUNCTION("""COMPUTED_VALUE"""),2931595)</f>
        <v>2931595</v>
      </c>
      <c r="AB25" s="215" t="str">
        <f ca="1">IFERROR(__xludf.DUMMYFUNCTION("""COMPUTED_VALUE"""),"Beginner, Intermediate")</f>
        <v>Beginner, Intermediate</v>
      </c>
      <c r="AC25" s="217" t="str">
        <f ca="1">IFERROR(__xludf.DUMMYFUNCTION("""COMPUTED_VALUE"""),"Contratação de Colaboradores: Técnicas para Gerentes")</f>
        <v>Contratação de Colaboradores: Técnicas para Gerentes</v>
      </c>
      <c r="AD25" s="217"/>
      <c r="AE25" s="213"/>
      <c r="AF25" s="215">
        <f ca="1">IFERROR(__xludf.DUMMYFUNCTION("""COMPUTED_VALUE"""),2824040)</f>
        <v>2824040</v>
      </c>
      <c r="AG25" s="215" t="str">
        <f ca="1">IFERROR(__xludf.DUMMYFUNCTION("""COMPUTED_VALUE"""),"Beginner, Intermediate")</f>
        <v>Beginner, Intermediate</v>
      </c>
      <c r="AH25" s="217" t="str">
        <f ca="1">IFERROR(__xludf.DUMMYFUNCTION("""COMPUTED_VALUE"""),"提升员工绩效")</f>
        <v>提升员工绩效</v>
      </c>
      <c r="AI25" s="217"/>
      <c r="AJ25" s="213"/>
    </row>
    <row r="26" spans="1:36" ht="33.75" customHeight="1">
      <c r="A26" s="213"/>
      <c r="B26" s="214">
        <f ca="1">IFERROR(__xludf.DUMMYFUNCTION("""COMPUTED_VALUE"""),160362)</f>
        <v>160362</v>
      </c>
      <c r="C26" s="215" t="str">
        <f ca="1">IFERROR(__xludf.DUMMYFUNCTION("""COMPUTED_VALUE"""),"Intermediate")</f>
        <v>Intermediate</v>
      </c>
      <c r="D26" s="216" t="str">
        <f ca="1">IFERROR(__xludf.DUMMYFUNCTION("""COMPUTED_VALUE"""),"Developing Your Leadership Philosophy")</f>
        <v>Developing Your Leadership Philosophy</v>
      </c>
      <c r="E26" s="217"/>
      <c r="F26" s="213"/>
      <c r="G26" s="214">
        <f ca="1">IFERROR(__xludf.DUMMYFUNCTION("""COMPUTED_VALUE"""),561059)</f>
        <v>561059</v>
      </c>
      <c r="H26" s="215" t="str">
        <f ca="1">IFERROR(__xludf.DUMMYFUNCTION("""COMPUTED_VALUE"""),"All levels")</f>
        <v>All levels</v>
      </c>
      <c r="I26" s="217" t="str">
        <f ca="1">IFERROR(__xludf.DUMMYFUNCTION("""COMPUTED_VALUE"""),"Influencer les autres")</f>
        <v>Influencer les autres</v>
      </c>
      <c r="J26" s="217"/>
      <c r="K26" s="213"/>
      <c r="L26" s="215">
        <f ca="1">IFERROR(__xludf.DUMMYFUNCTION("""COMPUTED_VALUE"""),588024)</f>
        <v>588024</v>
      </c>
      <c r="M26" s="215" t="str">
        <f ca="1">IFERROR(__xludf.DUMMYFUNCTION("""COMPUTED_VALUE"""),"All levels")</f>
        <v>All levels</v>
      </c>
      <c r="N26" s="217" t="str">
        <f ca="1">IFERROR(__xludf.DUMMYFUNCTION("""COMPUTED_VALUE"""),"Jeff Weiner y la gestión con compasión")</f>
        <v>Jeff Weiner y la gestión con compasión</v>
      </c>
      <c r="O26" s="217"/>
      <c r="P26" s="213"/>
      <c r="Q26" s="215">
        <f ca="1">IFERROR(__xludf.DUMMYFUNCTION("""COMPUTED_VALUE"""),593047)</f>
        <v>593047</v>
      </c>
      <c r="R26" s="215" t="str">
        <f ca="1">IFERROR(__xludf.DUMMYFUNCTION("""COMPUTED_VALUE"""),"All levels")</f>
        <v>All levels</v>
      </c>
      <c r="S26" s="217" t="str">
        <f ca="1">IFERROR(__xludf.DUMMYFUNCTION("""COMPUTED_VALUE"""),"Führung im 21. Jahrhundert")</f>
        <v>Führung im 21. Jahrhundert</v>
      </c>
      <c r="T26" s="217"/>
      <c r="U26" s="213"/>
      <c r="V26" s="215">
        <f ca="1">IFERROR(__xludf.DUMMYFUNCTION("""COMPUTED_VALUE"""),2205133)</f>
        <v>2205133</v>
      </c>
      <c r="W26" s="215" t="str">
        <f ca="1">IFERROR(__xludf.DUMMYFUNCTION("""COMPUTED_VALUE"""),"Intermediate")</f>
        <v>Intermediate</v>
      </c>
      <c r="X26" s="217" t="str">
        <f ca="1">IFERROR(__xludf.DUMMYFUNCTION("""COMPUTED_VALUE"""),"経営幹部として意思決定を行うには")</f>
        <v>経営幹部として意思決定を行うには</v>
      </c>
      <c r="Y26" s="217"/>
      <c r="Z26" s="213"/>
      <c r="AA26" s="215">
        <f ca="1">IFERROR(__xludf.DUMMYFUNCTION("""COMPUTED_VALUE"""),752462)</f>
        <v>752462</v>
      </c>
      <c r="AB26" s="215" t="str">
        <f ca="1">IFERROR(__xludf.DUMMYFUNCTION("""COMPUTED_VALUE"""),"Intermediate")</f>
        <v>Intermediate</v>
      </c>
      <c r="AC26" s="217" t="str">
        <f ca="1">IFERROR(__xludf.DUMMYFUNCTION("""COMPUTED_VALUE"""),"Desenvolvendo sua Filosofia de Liderança")</f>
        <v>Desenvolvendo sua Filosofia de Liderança</v>
      </c>
      <c r="AD26" s="217"/>
      <c r="AE26" s="213"/>
      <c r="AF26" s="215">
        <f ca="1">IFERROR(__xludf.DUMMYFUNCTION("""COMPUTED_VALUE"""),5015334)</f>
        <v>5015334</v>
      </c>
      <c r="AG26" s="215" t="str">
        <f ca="1">IFERROR(__xludf.DUMMYFUNCTION("""COMPUTED_VALUE"""),"Intermediate")</f>
        <v>Intermediate</v>
      </c>
      <c r="AH26" s="217" t="str">
        <f ca="1">IFERROR(__xludf.DUMMYFUNCTION("""COMPUTED_VALUE"""),"有效的领导力")</f>
        <v>有效的领导力</v>
      </c>
      <c r="AI26" s="217"/>
      <c r="AJ26" s="213"/>
    </row>
    <row r="27" spans="1:36" ht="33.75" customHeight="1">
      <c r="A27" s="213"/>
      <c r="B27" s="214">
        <f ca="1">IFERROR(__xludf.DUMMYFUNCTION("""COMPUTED_VALUE"""),373992)</f>
        <v>373992</v>
      </c>
      <c r="C27" s="215" t="str">
        <f ca="1">IFERROR(__xludf.DUMMYFUNCTION("""COMPUTED_VALUE"""),"Intermediate")</f>
        <v>Intermediate</v>
      </c>
      <c r="D27" s="216" t="str">
        <f ca="1">IFERROR(__xludf.DUMMYFUNCTION("""COMPUTED_VALUE"""),"Executive Decision-Making")</f>
        <v>Executive Decision-Making</v>
      </c>
      <c r="E27" s="217"/>
      <c r="F27" s="213"/>
      <c r="G27" s="214">
        <f ca="1">IFERROR(__xludf.DUMMYFUNCTION("""COMPUTED_VALUE"""),796909)</f>
        <v>796909</v>
      </c>
      <c r="H27" s="215" t="str">
        <f ca="1">IFERROR(__xludf.DUMMYFUNCTION("""COMPUTED_VALUE"""),"Advanced")</f>
        <v>Advanced</v>
      </c>
      <c r="I27" s="217" t="str">
        <f ca="1">IFERROR(__xludf.DUMMYFUNCTION("""COMPUTED_VALUE"""),"Instaurer une culture de la performance")</f>
        <v>Instaurer une culture de la performance</v>
      </c>
      <c r="J27" s="217"/>
      <c r="K27" s="213"/>
      <c r="L27" s="215">
        <f ca="1">IFERROR(__xludf.DUMMYFUNCTION("""COMPUTED_VALUE"""),5025621)</f>
        <v>5025621</v>
      </c>
      <c r="M27" s="215" t="str">
        <f ca="1">IFERROR(__xludf.DUMMYFUNCTION("""COMPUTED_VALUE"""),"Beginner")</f>
        <v>Beginner</v>
      </c>
      <c r="N27" s="217" t="str">
        <f ca="1">IFERROR(__xludf.DUMMYFUNCTION("""COMPUTED_VALUE"""),"Liderazgo con innovación")</f>
        <v>Liderazgo con innovación</v>
      </c>
      <c r="O27" s="217"/>
      <c r="P27" s="213"/>
      <c r="Q27" s="215">
        <f ca="1">IFERROR(__xludf.DUMMYFUNCTION("""COMPUTED_VALUE"""),2833080)</f>
        <v>2833080</v>
      </c>
      <c r="R27" s="215" t="str">
        <f ca="1">IFERROR(__xludf.DUMMYFUNCTION("""COMPUTED_VALUE"""),"Intermediate")</f>
        <v>Intermediate</v>
      </c>
      <c r="S27" s="217" t="str">
        <f ca="1">IFERROR(__xludf.DUMMYFUNCTION("""COMPUTED_VALUE"""),"Führung im Team: Warum Teams die besseren Führungskräfte sind")</f>
        <v>Führung im Team: Warum Teams die besseren Führungskräfte sind</v>
      </c>
      <c r="T27" s="217"/>
      <c r="U27" s="213"/>
      <c r="V27" s="215">
        <f ca="1">IFERROR(__xludf.DUMMYFUNCTION("""COMPUTED_VALUE"""),2918417)</f>
        <v>2918417</v>
      </c>
      <c r="W27" s="215" t="str">
        <f ca="1">IFERROR(__xludf.DUMMYFUNCTION("""COMPUTED_VALUE"""),"Intermediate")</f>
        <v>Intermediate</v>
      </c>
      <c r="X27" s="217" t="str">
        <f ca="1">IFERROR(__xludf.DUMMYFUNCTION("""COMPUTED_VALUE"""),"自身のリーダーシップ哲学を持つには")</f>
        <v>自身のリーダーシップ哲学を持つには</v>
      </c>
      <c r="Y27" s="217"/>
      <c r="Z27" s="213"/>
      <c r="AA27" s="215">
        <f ca="1">IFERROR(__xludf.DUMMYFUNCTION("""COMPUTED_VALUE"""),2901329)</f>
        <v>2901329</v>
      </c>
      <c r="AB27" s="215" t="str">
        <f ca="1">IFERROR(__xludf.DUMMYFUNCTION("""COMPUTED_VALUE"""),"Intermediate")</f>
        <v>Intermediate</v>
      </c>
      <c r="AC27" s="217" t="str">
        <f ca="1">IFERROR(__xludf.DUMMYFUNCTION("""COMPUTED_VALUE"""),"Desenvolvimento da Presença Executiva")</f>
        <v>Desenvolvimento da Presença Executiva</v>
      </c>
      <c r="AD27" s="217"/>
      <c r="AE27" s="213"/>
      <c r="AF27" s="215">
        <f ca="1">IFERROR(__xludf.DUMMYFUNCTION("""COMPUTED_VALUE"""),3160015)</f>
        <v>3160015</v>
      </c>
      <c r="AG27" s="215" t="str">
        <f ca="1">IFERROR(__xludf.DUMMYFUNCTION("""COMPUTED_VALUE"""),"All levels")</f>
        <v>All levels</v>
      </c>
      <c r="AH27" s="217" t="str">
        <f ca="1">IFERROR(__xludf.DUMMYFUNCTION("""COMPUTED_VALUE"""),"杰夫·韦纳谈“慈悲领导力”")</f>
        <v>杰夫·韦纳谈“慈悲领导力”</v>
      </c>
      <c r="AI27" s="217"/>
      <c r="AJ27" s="213"/>
    </row>
    <row r="28" spans="1:36" ht="33.75" customHeight="1">
      <c r="A28" s="213"/>
      <c r="B28" s="214">
        <f ca="1">IFERROR(__xludf.DUMMYFUNCTION("""COMPUTED_VALUE"""),167027)</f>
        <v>167027</v>
      </c>
      <c r="C28" s="215" t="str">
        <f ca="1">IFERROR(__xludf.DUMMYFUNCTION("""COMPUTED_VALUE"""),"Intermediate")</f>
        <v>Intermediate</v>
      </c>
      <c r="D28" s="216" t="str">
        <f ca="1">IFERROR(__xludf.DUMMYFUNCTION("""COMPUTED_VALUE"""),"Executive Leadership")</f>
        <v>Executive Leadership</v>
      </c>
      <c r="E28" s="217"/>
      <c r="F28" s="213"/>
      <c r="G28" s="214">
        <f ca="1">IFERROR(__xludf.DUMMYFUNCTION("""COMPUTED_VALUE"""),604067)</f>
        <v>604067</v>
      </c>
      <c r="H28" s="215" t="str">
        <f ca="1">IFERROR(__xludf.DUMMYFUNCTION("""COMPUTED_VALUE"""),"All levels")</f>
        <v>All levels</v>
      </c>
      <c r="I28" s="217" t="str">
        <f ca="1">IFERROR(__xludf.DUMMYFUNCTION("""COMPUTED_VALUE"""),"Jeff Weiner – Le management compassionnel")</f>
        <v>Jeff Weiner – Le management compassionnel</v>
      </c>
      <c r="J28" s="217"/>
      <c r="K28" s="213"/>
      <c r="L28" s="215">
        <f ca="1">IFERROR(__xludf.DUMMYFUNCTION("""COMPUTED_VALUE"""),2841041)</f>
        <v>2841041</v>
      </c>
      <c r="M28" s="215" t="str">
        <f ca="1">IFERROR(__xludf.DUMMYFUNCTION("""COMPUTED_VALUE"""),"Advanced")</f>
        <v>Advanced</v>
      </c>
      <c r="N28" s="217" t="str">
        <f ca="1">IFERROR(__xludf.DUMMYFUNCTION("""COMPUTED_VALUE"""),"Liderazgo creativo")</f>
        <v>Liderazgo creativo</v>
      </c>
      <c r="O28" s="217"/>
      <c r="P28" s="213"/>
      <c r="Q28" s="215">
        <f ca="1">IFERROR(__xludf.DUMMYFUNCTION("""COMPUTED_VALUE"""),703241)</f>
        <v>703241</v>
      </c>
      <c r="R28" s="215" t="str">
        <f ca="1">IFERROR(__xludf.DUMMYFUNCTION("""COMPUTED_VALUE"""),"Intermediate")</f>
        <v>Intermediate</v>
      </c>
      <c r="S28" s="217" t="str">
        <f ca="1">IFERROR(__xludf.DUMMYFUNCTION("""COMPUTED_VALUE"""),"Führung im Vertrieb – Limbecks Leadership-Lektionen")</f>
        <v>Führung im Vertrieb – Limbecks Leadership-Lektionen</v>
      </c>
      <c r="T28" s="217"/>
      <c r="U28" s="213"/>
      <c r="V28" s="215"/>
      <c r="W28" s="215"/>
      <c r="X28" s="217"/>
      <c r="Y28" s="217"/>
      <c r="Z28" s="213"/>
      <c r="AA28" s="215">
        <f ca="1">IFERROR(__xludf.DUMMYFUNCTION("""COMPUTED_VALUE"""),3161001)</f>
        <v>3161001</v>
      </c>
      <c r="AB28" s="215" t="str">
        <f ca="1">IFERROR(__xludf.DUMMYFUNCTION("""COMPUTED_VALUE"""),"Beginner")</f>
        <v>Beginner</v>
      </c>
      <c r="AC28" s="217" t="str">
        <f ca="1">IFERROR(__xludf.DUMMYFUNCTION("""COMPUTED_VALUE"""),"Dicas e Estratégias para Exercer uma Liderança de Alto Impacto")</f>
        <v>Dicas e Estratégias para Exercer uma Liderança de Alto Impacto</v>
      </c>
      <c r="AD28" s="217"/>
      <c r="AE28" s="213"/>
      <c r="AF28" s="215">
        <f ca="1">IFERROR(__xludf.DUMMYFUNCTION("""COMPUTED_VALUE"""),5018429)</f>
        <v>5018429</v>
      </c>
      <c r="AG28" s="215" t="str">
        <f ca="1">IFERROR(__xludf.DUMMYFUNCTION("""COMPUTED_VALUE"""),"Intermediate")</f>
        <v>Intermediate</v>
      </c>
      <c r="AH28" s="217" t="str">
        <f ca="1">IFERROR(__xludf.DUMMYFUNCTION("""COMPUTED_VALUE"""),"正式职权之外的领导力")</f>
        <v>正式职权之外的领导力</v>
      </c>
      <c r="AI28" s="217"/>
      <c r="AJ28" s="213"/>
    </row>
    <row r="29" spans="1:36" ht="33.75" customHeight="1">
      <c r="A29" s="213"/>
      <c r="B29" s="214">
        <f ca="1">IFERROR(__xludf.DUMMYFUNCTION("""COMPUTED_VALUE"""),2806197)</f>
        <v>2806197</v>
      </c>
      <c r="C29" s="215" t="str">
        <f ca="1">IFERROR(__xludf.DUMMYFUNCTION("""COMPUTED_VALUE"""),"Intermediate")</f>
        <v>Intermediate</v>
      </c>
      <c r="D29" s="216" t="str">
        <f ca="1">IFERROR(__xludf.DUMMYFUNCTION("""COMPUTED_VALUE"""),"Human-Centered Leadership")</f>
        <v>Human-Centered Leadership</v>
      </c>
      <c r="E29" s="217"/>
      <c r="F29" s="213"/>
      <c r="G29" s="214">
        <f ca="1">IFERROR(__xludf.DUMMYFUNCTION("""COMPUTED_VALUE"""),2391135)</f>
        <v>2391135</v>
      </c>
      <c r="H29" s="215" t="str">
        <f ca="1">IFERROR(__xludf.DUMMYFUNCTION("""COMPUTED_VALUE"""),"Intermediate")</f>
        <v>Intermediate</v>
      </c>
      <c r="I29" s="217" t="str">
        <f ca="1">IFERROR(__xludf.DUMMYFUNCTION("""COMPUTED_VALUE"""),"La minute de formation : Le leadership moderne")</f>
        <v>La minute de formation : Le leadership moderne</v>
      </c>
      <c r="J29" s="217"/>
      <c r="K29" s="213"/>
      <c r="L29" s="215">
        <f ca="1">IFERROR(__xludf.DUMMYFUNCTION("""COMPUTED_VALUE"""),2841043)</f>
        <v>2841043</v>
      </c>
      <c r="M29" s="215" t="str">
        <f ca="1">IFERROR(__xludf.DUMMYFUNCTION("""COMPUTED_VALUE"""),"Advanced")</f>
        <v>Advanced</v>
      </c>
      <c r="N29" s="217" t="str">
        <f ca="1">IFERROR(__xludf.DUMMYFUNCTION("""COMPUTED_VALUE"""),"Liderazgo en tiempos de crisis")</f>
        <v>Liderazgo en tiempos de crisis</v>
      </c>
      <c r="O29" s="217"/>
      <c r="P29" s="213"/>
      <c r="Q29" s="215">
        <f ca="1">IFERROR(__xludf.DUMMYFUNCTION("""COMPUTED_VALUE"""),2380068)</f>
        <v>2380068</v>
      </c>
      <c r="R29" s="215" t="str">
        <f ca="1">IFERROR(__xludf.DUMMYFUNCTION("""COMPUTED_VALUE"""),"Intermediate")</f>
        <v>Intermediate</v>
      </c>
      <c r="S29" s="217" t="str">
        <f ca="1">IFERROR(__xludf.DUMMYFUNCTION("""COMPUTED_VALUE"""),"Führung in Zeiten von Unsicherheit")</f>
        <v>Führung in Zeiten von Unsicherheit</v>
      </c>
      <c r="T29" s="217"/>
      <c r="U29" s="213"/>
      <c r="V29" s="215"/>
      <c r="W29" s="215"/>
      <c r="X29" s="217"/>
      <c r="Y29" s="217"/>
      <c r="Z29" s="213"/>
      <c r="AA29" s="215">
        <f ca="1">IFERROR(__xludf.DUMMYFUNCTION("""COMPUTED_VALUE"""),2874152)</f>
        <v>2874152</v>
      </c>
      <c r="AB29" s="215" t="str">
        <f ca="1">IFERROR(__xludf.DUMMYFUNCTION("""COMPUTED_VALUE"""),"All levels")</f>
        <v>All levels</v>
      </c>
      <c r="AC29" s="217" t="str">
        <f ca="1">IFERROR(__xludf.DUMMYFUNCTION("""COMPUTED_VALUE"""),"Dicas Rápidas para Gerentes Seniores")</f>
        <v>Dicas Rápidas para Gerentes Seniores</v>
      </c>
      <c r="AD29" s="217"/>
      <c r="AE29" s="213"/>
      <c r="AF29" s="215">
        <f ca="1">IFERROR(__xludf.DUMMYFUNCTION("""COMPUTED_VALUE"""),3105031)</f>
        <v>3105031</v>
      </c>
      <c r="AG29" s="215" t="str">
        <f ca="1">IFERROR(__xludf.DUMMYFUNCTION("""COMPUTED_VALUE"""),"All levels")</f>
        <v>All levels</v>
      </c>
      <c r="AH29" s="217" t="str">
        <f ca="1">IFERROR(__xludf.DUMMYFUNCTION("""COMPUTED_VALUE"""),"激发团队创造力")</f>
        <v>激发团队创造力</v>
      </c>
      <c r="AI29" s="217"/>
      <c r="AJ29" s="213"/>
    </row>
    <row r="30" spans="1:36" ht="33.75" customHeight="1">
      <c r="A30" s="213"/>
      <c r="B30" s="214">
        <f ca="1">IFERROR(__xludf.DUMMYFUNCTION("""COMPUTED_VALUE"""),5010646)</f>
        <v>5010646</v>
      </c>
      <c r="C30" s="215" t="str">
        <f ca="1">IFERROR(__xludf.DUMMYFUNCTION("""COMPUTED_VALUE"""),"Intermediate")</f>
        <v>Intermediate</v>
      </c>
      <c r="D30" s="216" t="str">
        <f ca="1">IFERROR(__xludf.DUMMYFUNCTION("""COMPUTED_VALUE"""),"Building Resilience as a Leader")</f>
        <v>Building Resilience as a Leader</v>
      </c>
      <c r="E30" s="217"/>
      <c r="F30" s="213"/>
      <c r="G30" s="214">
        <f ca="1">IFERROR(__xludf.DUMMYFUNCTION("""COMPUTED_VALUE"""),723134)</f>
        <v>723134</v>
      </c>
      <c r="H30" s="215" t="str">
        <f ca="1">IFERROR(__xludf.DUMMYFUNCTION("""COMPUTED_VALUE"""),"Advanced")</f>
        <v>Advanced</v>
      </c>
      <c r="I30" s="217" t="str">
        <f ca="1">IFERROR(__xludf.DUMMYFUNCTION("""COMPUTED_VALUE"""),"Le langage corporel pour les leaders")</f>
        <v>Le langage corporel pour les leaders</v>
      </c>
      <c r="J30" s="217"/>
      <c r="K30" s="213"/>
      <c r="L30" s="215">
        <f ca="1">IFERROR(__xludf.DUMMYFUNCTION("""COMPUTED_VALUE"""),2221545)</f>
        <v>2221545</v>
      </c>
      <c r="M30" s="215" t="str">
        <f ca="1">IFERROR(__xludf.DUMMYFUNCTION("""COMPUTED_VALUE"""),"Intermediate")</f>
        <v>Intermediate</v>
      </c>
      <c r="N30" s="217" t="str">
        <f ca="1">IFERROR(__xludf.DUMMYFUNCTION("""COMPUTED_VALUE"""),"Liderazgo inclusivo")</f>
        <v>Liderazgo inclusivo</v>
      </c>
      <c r="O30" s="217"/>
      <c r="P30" s="213"/>
      <c r="Q30" s="215">
        <f ca="1">IFERROR(__xludf.DUMMYFUNCTION("""COMPUTED_VALUE"""),561400)</f>
        <v>561400</v>
      </c>
      <c r="R30" s="215" t="str">
        <f ca="1">IFERROR(__xludf.DUMMYFUNCTION("""COMPUTED_VALUE"""),"Intermediate")</f>
        <v>Intermediate</v>
      </c>
      <c r="S30" s="217" t="str">
        <f ca="1">IFERROR(__xludf.DUMMYFUNCTION("""COMPUTED_VALUE"""),"Führungsfallen vermeiden")</f>
        <v>Führungsfallen vermeiden</v>
      </c>
      <c r="T30" s="217"/>
      <c r="U30" s="213"/>
      <c r="V30" s="215"/>
      <c r="W30" s="215"/>
      <c r="X30" s="217"/>
      <c r="Y30" s="217"/>
      <c r="Z30" s="213"/>
      <c r="AA30" s="215">
        <f ca="1">IFERROR(__xludf.DUMMYFUNCTION("""COMPUTED_VALUE"""),2911567)</f>
        <v>2911567</v>
      </c>
      <c r="AB30" s="215" t="str">
        <f ca="1">IFERROR(__xludf.DUMMYFUNCTION("""COMPUTED_VALUE"""),"Beginner")</f>
        <v>Beginner</v>
      </c>
      <c r="AC30" s="217" t="str">
        <f ca="1">IFERROR(__xludf.DUMMYFUNCTION("""COMPUTED_VALUE"""),"Fundamentos da Avaliação de Desempenho")</f>
        <v>Fundamentos da Avaliação de Desempenho</v>
      </c>
      <c r="AD30" s="217"/>
      <c r="AE30" s="213"/>
      <c r="AF30" s="215">
        <f ca="1">IFERROR(__xludf.DUMMYFUNCTION("""COMPUTED_VALUE"""),2817183)</f>
        <v>2817183</v>
      </c>
      <c r="AG30" s="215" t="str">
        <f ca="1">IFERROR(__xludf.DUMMYFUNCTION("""COMPUTED_VALUE"""),"All levels")</f>
        <v>All levels</v>
      </c>
      <c r="AH30" s="217" t="str">
        <f ca="1">IFERROR(__xludf.DUMMYFUNCTION("""COMPUTED_VALUE"""),"用故事领导")</f>
        <v>用故事领导</v>
      </c>
      <c r="AI30" s="217"/>
      <c r="AJ30" s="213"/>
    </row>
    <row r="31" spans="1:36" ht="33.75" customHeight="1">
      <c r="A31" s="213"/>
      <c r="B31" s="214">
        <f ca="1">IFERROR(__xludf.DUMMYFUNCTION("""COMPUTED_VALUE"""),756285)</f>
        <v>756285</v>
      </c>
      <c r="C31" s="215" t="str">
        <f ca="1">IFERROR(__xludf.DUMMYFUNCTION("""COMPUTED_VALUE"""),"Intermediate")</f>
        <v>Intermediate</v>
      </c>
      <c r="D31" s="216" t="str">
        <f ca="1">IFERROR(__xludf.DUMMYFUNCTION("""COMPUTED_VALUE"""),"Leading with Purpose")</f>
        <v>Leading with Purpose</v>
      </c>
      <c r="E31" s="217"/>
      <c r="F31" s="213"/>
      <c r="G31" s="214">
        <f ca="1">IFERROR(__xludf.DUMMYFUNCTION("""COMPUTED_VALUE"""),2457227)</f>
        <v>2457227</v>
      </c>
      <c r="H31" s="215" t="str">
        <f ca="1">IFERROR(__xludf.DUMMYFUNCTION("""COMPUTED_VALUE"""),"All levels")</f>
        <v>All levels</v>
      </c>
      <c r="I31" s="217" t="str">
        <f ca="1">IFERROR(__xludf.DUMMYFUNCTION("""COMPUTED_VALUE"""),"Le leadership inclusif : Devenir un allié / une alliée")</f>
        <v>Le leadership inclusif : Devenir un allié / une alliée</v>
      </c>
      <c r="J31" s="217"/>
      <c r="K31" s="213"/>
      <c r="L31" s="215">
        <f ca="1">IFERROR(__xludf.DUMMYFUNCTION("""COMPUTED_VALUE"""),609788)</f>
        <v>609788</v>
      </c>
      <c r="M31" s="215" t="str">
        <f ca="1">IFERROR(__xludf.DUMMYFUNCTION("""COMPUTED_VALUE"""),"Beginner")</f>
        <v>Beginner</v>
      </c>
      <c r="N31" s="217" t="str">
        <f ca="1">IFERROR(__xludf.DUMMYFUNCTION("""COMPUTED_VALUE"""),"Liderazgo y la capacidad de asumir riesgos")</f>
        <v>Liderazgo y la capacidad de asumir riesgos</v>
      </c>
      <c r="O31" s="217"/>
      <c r="P31" s="213"/>
      <c r="Q31" s="215">
        <f ca="1">IFERROR(__xludf.DUMMYFUNCTION("""COMPUTED_VALUE"""),2813171)</f>
        <v>2813171</v>
      </c>
      <c r="R31" s="215" t="str">
        <f ca="1">IFERROR(__xludf.DUMMYFUNCTION("""COMPUTED_VALUE"""),"Advanced")</f>
        <v>Advanced</v>
      </c>
      <c r="S31" s="217" t="str">
        <f ca="1">IFERROR(__xludf.DUMMYFUNCTION("""COMPUTED_VALUE"""),"Führungsqualitäten für Topmanager:innen")</f>
        <v>Führungsqualitäten für Topmanager:innen</v>
      </c>
      <c r="T31" s="217"/>
      <c r="U31" s="213"/>
      <c r="V31" s="215"/>
      <c r="W31" s="215"/>
      <c r="X31" s="217"/>
      <c r="Y31" s="217"/>
      <c r="Z31" s="213"/>
      <c r="AA31" s="215">
        <f ca="1">IFERROR(__xludf.DUMMYFUNCTION("""COMPUTED_VALUE"""),2929551)</f>
        <v>2929551</v>
      </c>
      <c r="AB31" s="215" t="str">
        <f ca="1">IFERROR(__xludf.DUMMYFUNCTION("""COMPUTED_VALUE"""),"All levels")</f>
        <v>All levels</v>
      </c>
      <c r="AC31" s="217" t="str">
        <f ca="1">IFERROR(__xludf.DUMMYFUNCTION("""COMPUTED_VALUE"""),"Fundamentos de Gestão Ágil")</f>
        <v>Fundamentos de Gestão Ágil</v>
      </c>
      <c r="AD31" s="217"/>
      <c r="AE31" s="213"/>
      <c r="AF31" s="215">
        <f ca="1">IFERROR(__xludf.DUMMYFUNCTION("""COMPUTED_VALUE"""),2823543)</f>
        <v>2823543</v>
      </c>
      <c r="AG31" s="215" t="str">
        <f ca="1">IFERROR(__xludf.DUMMYFUNCTION("""COMPUTED_VALUE"""),"Beginner")</f>
        <v>Beginner</v>
      </c>
      <c r="AH31" s="217" t="str">
        <f ca="1">IFERROR(__xludf.DUMMYFUNCTION("""COMPUTED_VALUE"""),"管理高潜力人才")</f>
        <v>管理高潜力人才</v>
      </c>
      <c r="AI31" s="217"/>
      <c r="AJ31" s="213"/>
    </row>
    <row r="32" spans="1:36" ht="30">
      <c r="A32" s="213"/>
      <c r="B32" s="214">
        <f ca="1">IFERROR(__xludf.DUMMYFUNCTION("""COMPUTED_VALUE"""),2811020)</f>
        <v>2811020</v>
      </c>
      <c r="C32" s="215" t="str">
        <f ca="1">IFERROR(__xludf.DUMMYFUNCTION("""COMPUTED_VALUE"""),"Intermediate")</f>
        <v>Intermediate</v>
      </c>
      <c r="D32" s="216" t="str">
        <f ca="1">IFERROR(__xludf.DUMMYFUNCTION("""COMPUTED_VALUE"""),"Navigating Politics as a Senior Leader")</f>
        <v>Navigating Politics as a Senior Leader</v>
      </c>
      <c r="E32" s="217"/>
      <c r="F32" s="213"/>
      <c r="G32" s="214">
        <f ca="1">IFERROR(__xludf.DUMMYFUNCTION("""COMPUTED_VALUE"""),2823330)</f>
        <v>2823330</v>
      </c>
      <c r="H32" s="215" t="str">
        <f ca="1">IFERROR(__xludf.DUMMYFUNCTION("""COMPUTED_VALUE"""),"Intermediate")</f>
        <v>Intermediate</v>
      </c>
      <c r="I32" s="217" t="str">
        <f ca="1">IFERROR(__xludf.DUMMYFUNCTION("""COMPUTED_VALUE"""),"Le leadership transformationnel")</f>
        <v>Le leadership transformationnel</v>
      </c>
      <c r="J32" s="217"/>
      <c r="K32" s="213"/>
      <c r="L32" s="215">
        <f ca="1">IFERROR(__xludf.DUMMYFUNCTION("""COMPUTED_VALUE"""),2422924)</f>
        <v>2422924</v>
      </c>
      <c r="M32" s="215" t="str">
        <f ca="1">IFERROR(__xludf.DUMMYFUNCTION("""COMPUTED_VALUE"""),"Advanced")</f>
        <v>Advanced</v>
      </c>
      <c r="N32" s="217" t="str">
        <f ca="1">IFERROR(__xludf.DUMMYFUNCTION("""COMPUTED_VALUE"""),"Liderazgo y recursos humanos: Estrategia de ubicación para una fuerza de trabajo híbrida")</f>
        <v>Liderazgo y recursos humanos: Estrategia de ubicación para una fuerza de trabajo híbrida</v>
      </c>
      <c r="O32" s="217"/>
      <c r="P32" s="213"/>
      <c r="Q32" s="215">
        <f ca="1">IFERROR(__xludf.DUMMYFUNCTION("""COMPUTED_VALUE"""),2812518)</f>
        <v>2812518</v>
      </c>
      <c r="R32" s="215" t="str">
        <f ca="1">IFERROR(__xludf.DUMMYFUNCTION("""COMPUTED_VALUE"""),"All levels")</f>
        <v>All levels</v>
      </c>
      <c r="S32" s="217" t="str">
        <f ca="1">IFERROR(__xludf.DUMMYFUNCTION("""COMPUTED_VALUE"""),"Führungsstärke ausstrahlen")</f>
        <v>Führungsstärke ausstrahlen</v>
      </c>
      <c r="T32" s="217"/>
      <c r="U32" s="213"/>
      <c r="V32" s="215"/>
      <c r="W32" s="215"/>
      <c r="X32" s="217"/>
      <c r="Y32" s="217"/>
      <c r="Z32" s="213"/>
      <c r="AA32" s="215">
        <f ca="1">IFERROR(__xludf.DUMMYFUNCTION("""COMPUTED_VALUE"""),2910526)</f>
        <v>2910526</v>
      </c>
      <c r="AB32" s="215" t="str">
        <f ca="1">IFERROR(__xludf.DUMMYFUNCTION("""COMPUTED_VALUE"""),"Beginner")</f>
        <v>Beginner</v>
      </c>
      <c r="AC32" s="217" t="str">
        <f ca="1">IFERROR(__xludf.DUMMYFUNCTION("""COMPUTED_VALUE"""),"Fundamentos de Gestão de Operações")</f>
        <v>Fundamentos de Gestão de Operações</v>
      </c>
      <c r="AD32" s="217"/>
      <c r="AE32" s="213"/>
      <c r="AF32" s="215">
        <f ca="1">IFERROR(__xludf.DUMMYFUNCTION("""COMPUTED_VALUE"""),2823542)</f>
        <v>2823542</v>
      </c>
      <c r="AG32" s="215" t="str">
        <f ca="1">IFERROR(__xludf.DUMMYFUNCTION("""COMPUTED_VALUE"""),"Beginner")</f>
        <v>Beginner</v>
      </c>
      <c r="AH32" s="217" t="str">
        <f ca="1">IFERROR(__xludf.DUMMYFUNCTION("""COMPUTED_VALUE"""),"管理高绩效员工")</f>
        <v>管理高绩效员工</v>
      </c>
      <c r="AI32" s="217"/>
      <c r="AJ32" s="213"/>
    </row>
    <row r="33" spans="1:36" ht="33.75" customHeight="1">
      <c r="A33" s="213"/>
      <c r="B33" s="214">
        <f ca="1">IFERROR(__xludf.DUMMYFUNCTION("""COMPUTED_VALUE"""),2813183)</f>
        <v>2813183</v>
      </c>
      <c r="C33" s="215" t="str">
        <f ca="1">IFERROR(__xludf.DUMMYFUNCTION("""COMPUTED_VALUE"""),"Intermediate")</f>
        <v>Intermediate</v>
      </c>
      <c r="D33" s="216" t="str">
        <f ca="1">IFERROR(__xludf.DUMMYFUNCTION("""COMPUTED_VALUE"""),"Leading with Values")</f>
        <v>Leading with Values</v>
      </c>
      <c r="E33" s="217"/>
      <c r="F33" s="213"/>
      <c r="G33" s="214">
        <f ca="1">IFERROR(__xludf.DUMMYFUNCTION("""COMPUTED_VALUE"""),796905)</f>
        <v>796905</v>
      </c>
      <c r="H33" s="215" t="str">
        <f ca="1">IFERROR(__xludf.DUMMYFUNCTION("""COMPUTED_VALUE"""),"Intermediate")</f>
        <v>Intermediate</v>
      </c>
      <c r="I33" s="217" t="str">
        <f ca="1">IFERROR(__xludf.DUMMYFUNCTION("""COMPUTED_VALUE"""),"Les angles morts du leadership")</f>
        <v>Les angles morts du leadership</v>
      </c>
      <c r="J33" s="217"/>
      <c r="K33" s="213"/>
      <c r="L33" s="215">
        <f ca="1">IFERROR(__xludf.DUMMYFUNCTION("""COMPUTED_VALUE"""),608964)</f>
        <v>608964</v>
      </c>
      <c r="M33" s="215" t="str">
        <f ca="1">IFERROR(__xludf.DUMMYFUNCTION("""COMPUTED_VALUE"""),"All levels")</f>
        <v>All levels</v>
      </c>
      <c r="N33" s="217" t="str">
        <f ca="1">IFERROR(__xludf.DUMMYFUNCTION("""COMPUTED_VALUE"""),"Liderazgo y trabajo en equipo")</f>
        <v>Liderazgo y trabajo en equipo</v>
      </c>
      <c r="O33" s="217"/>
      <c r="P33" s="213"/>
      <c r="Q33" s="215">
        <f ca="1">IFERROR(__xludf.DUMMYFUNCTION("""COMPUTED_VALUE"""),2841286)</f>
        <v>2841286</v>
      </c>
      <c r="R33" s="215" t="str">
        <f ca="1">IFERROR(__xludf.DUMMYFUNCTION("""COMPUTED_VALUE"""),"All levels")</f>
        <v>All levels</v>
      </c>
      <c r="S33" s="217" t="str">
        <f ca="1">IFERROR(__xludf.DUMMYFUNCTION("""COMPUTED_VALUE"""),"Führungsstärke ausstrahlen: Tipps für Frauen")</f>
        <v>Führungsstärke ausstrahlen: Tipps für Frauen</v>
      </c>
      <c r="T33" s="217"/>
      <c r="U33" s="213"/>
      <c r="V33" s="215"/>
      <c r="W33" s="215"/>
      <c r="X33" s="217"/>
      <c r="Y33" s="217"/>
      <c r="Z33" s="213"/>
      <c r="AA33" s="215">
        <f ca="1">IFERROR(__xludf.DUMMYFUNCTION("""COMPUTED_VALUE"""),753218)</f>
        <v>753218</v>
      </c>
      <c r="AB33" s="215" t="str">
        <f ca="1">IFERROR(__xludf.DUMMYFUNCTION("""COMPUTED_VALUE"""),"Beginner")</f>
        <v>Beginner</v>
      </c>
      <c r="AC33" s="217" t="str">
        <f ca="1">IFERROR(__xludf.DUMMYFUNCTION("""COMPUTED_VALUE"""),"Fundamentos de Gestão de Projetos: Como Liderar Projetos")</f>
        <v>Fundamentos de Gestão de Projetos: Como Liderar Projetos</v>
      </c>
      <c r="AD33" s="217"/>
      <c r="AE33" s="213"/>
      <c r="AF33" s="215">
        <f ca="1">IFERROR(__xludf.DUMMYFUNCTION("""COMPUTED_VALUE"""),2818167)</f>
        <v>2818167</v>
      </c>
      <c r="AG33" s="215" t="str">
        <f ca="1">IFERROR(__xludf.DUMMYFUNCTION("""COMPUTED_VALUE"""),"All levels")</f>
        <v>All levels</v>
      </c>
      <c r="AH33" s="217" t="str">
        <f ca="1">IFERROR(__xludf.DUMMYFUNCTION("""COMPUTED_VALUE"""),"经理人的时间管理")</f>
        <v>经理人的时间管理</v>
      </c>
      <c r="AI33" s="217"/>
      <c r="AJ33" s="213"/>
    </row>
    <row r="34" spans="1:36" ht="33.75" customHeight="1">
      <c r="A34" s="213"/>
      <c r="B34" s="214">
        <f ca="1">IFERROR(__xludf.DUMMYFUNCTION("""COMPUTED_VALUE"""),2875304)</f>
        <v>2875304</v>
      </c>
      <c r="C34" s="215" t="str">
        <f ca="1">IFERROR(__xludf.DUMMYFUNCTION("""COMPUTED_VALUE"""),"Intermediate")</f>
        <v>Intermediate</v>
      </c>
      <c r="D34" s="216" t="str">
        <f ca="1">IFERROR(__xludf.DUMMYFUNCTION("""COMPUTED_VALUE"""),"Taking Charge of Your Leadership Conversations")</f>
        <v>Taking Charge of Your Leadership Conversations</v>
      </c>
      <c r="E34" s="217"/>
      <c r="F34" s="213"/>
      <c r="G34" s="214">
        <f ca="1">IFERROR(__xludf.DUMMYFUNCTION("""COMPUTED_VALUE"""),717884)</f>
        <v>717884</v>
      </c>
      <c r="H34" s="215" t="str">
        <f ca="1">IFERROR(__xludf.DUMMYFUNCTION("""COMPUTED_VALUE"""),"Intermediate")</f>
        <v>Intermediate</v>
      </c>
      <c r="I34" s="217" t="str">
        <f ca="1">IFERROR(__xludf.DUMMYFUNCTION("""COMPUTED_VALUE"""),"Les fondements de la gestion de projet : La conduite de projets")</f>
        <v>Les fondements de la gestion de projet : La conduite de projets</v>
      </c>
      <c r="J34" s="217"/>
      <c r="K34" s="213"/>
      <c r="L34" s="215">
        <f ca="1">IFERROR(__xludf.DUMMYFUNCTION("""COMPUTED_VALUE"""),449379)</f>
        <v>449379</v>
      </c>
      <c r="M34" s="215" t="str">
        <f ca="1">IFERROR(__xludf.DUMMYFUNCTION("""COMPUTED_VALUE"""),"Beginner")</f>
        <v>Beginner</v>
      </c>
      <c r="N34" s="217" t="str">
        <f ca="1">IFERROR(__xludf.DUMMYFUNCTION("""COMPUTED_VALUE"""),"Motivación e implicación en la empresa")</f>
        <v>Motivación e implicación en la empresa</v>
      </c>
      <c r="O34" s="217"/>
      <c r="P34" s="213"/>
      <c r="Q34" s="215">
        <f ca="1">IFERROR(__xludf.DUMMYFUNCTION("""COMPUTED_VALUE"""),2892047)</f>
        <v>2892047</v>
      </c>
      <c r="R34" s="215" t="str">
        <f ca="1">IFERROR(__xludf.DUMMYFUNCTION("""COMPUTED_VALUE"""),"Intermediate")</f>
        <v>Intermediate</v>
      </c>
      <c r="S34" s="217" t="str">
        <f ca="1">IFERROR(__xludf.DUMMYFUNCTION("""COMPUTED_VALUE"""),"Gesund führen")</f>
        <v>Gesund führen</v>
      </c>
      <c r="T34" s="217"/>
      <c r="U34" s="213"/>
      <c r="V34" s="215"/>
      <c r="W34" s="215"/>
      <c r="X34" s="217"/>
      <c r="Y34" s="217"/>
      <c r="Z34" s="213"/>
      <c r="AA34" s="215">
        <f ca="1">IFERROR(__xludf.DUMMYFUNCTION("""COMPUTED_VALUE"""),753074)</f>
        <v>753074</v>
      </c>
      <c r="AB34" s="215" t="str">
        <f ca="1">IFERROR(__xludf.DUMMYFUNCTION("""COMPUTED_VALUE"""),"Beginner")</f>
        <v>Beginner</v>
      </c>
      <c r="AC34" s="217" t="str">
        <f ca="1">IFERROR(__xludf.DUMMYFUNCTION("""COMPUTED_VALUE"""),"Fundamentos de Liderança")</f>
        <v>Fundamentos de Liderança</v>
      </c>
      <c r="AD34" s="217"/>
      <c r="AE34" s="213"/>
      <c r="AF34" s="215">
        <f ca="1">IFERROR(__xludf.DUMMYFUNCTION("""COMPUTED_VALUE"""),2822700)</f>
        <v>2822700</v>
      </c>
      <c r="AG34" s="215" t="str">
        <f ca="1">IFERROR(__xludf.DUMMYFUNCTION("""COMPUTED_VALUE"""),"Beginner, Intermediate")</f>
        <v>Beginner, Intermediate</v>
      </c>
      <c r="AH34" s="217" t="str">
        <f ca="1">IFERROR(__xludf.DUMMYFUNCTION("""COMPUTED_VALUE"""),"绩效管理：进行绩效评估")</f>
        <v>绩效管理：进行绩效评估</v>
      </c>
      <c r="AI34" s="217"/>
      <c r="AJ34" s="213"/>
    </row>
    <row r="35" spans="1:36" ht="33.75" customHeight="1">
      <c r="A35" s="213"/>
      <c r="B35" s="214">
        <f ca="1">IFERROR(__xludf.DUMMYFUNCTION("""COMPUTED_VALUE"""),2878066)</f>
        <v>2878066</v>
      </c>
      <c r="C35" s="215" t="str">
        <f ca="1">IFERROR(__xludf.DUMMYFUNCTION("""COMPUTED_VALUE"""),"Advanced")</f>
        <v>Advanced</v>
      </c>
      <c r="D35" s="216" t="str">
        <f ca="1">IFERROR(__xludf.DUMMYFUNCTION("""COMPUTED_VALUE"""),"Executive Influence")</f>
        <v>Executive Influence</v>
      </c>
      <c r="E35" s="217"/>
      <c r="F35" s="213"/>
      <c r="G35" s="214">
        <f ca="1">IFERROR(__xludf.DUMMYFUNCTION("""COMPUTED_VALUE"""),699915)</f>
        <v>699915</v>
      </c>
      <c r="H35" s="215" t="str">
        <f ca="1">IFERROR(__xludf.DUMMYFUNCTION("""COMPUTED_VALUE"""),"Advanced")</f>
        <v>Advanced</v>
      </c>
      <c r="I35" s="217" t="str">
        <f ca="1">IFERROR(__xludf.DUMMYFUNCTION("""COMPUTED_VALUE"""),"Les fondements de la prise de risque pour les dirigeants / dirigeantes")</f>
        <v>Les fondements de la prise de risque pour les dirigeants / dirigeantes</v>
      </c>
      <c r="J35" s="217"/>
      <c r="K35" s="213"/>
      <c r="L35" s="215">
        <f ca="1">IFERROR(__xludf.DUMMYFUNCTION("""COMPUTED_VALUE"""),798439)</f>
        <v>798439</v>
      </c>
      <c r="M35" s="215" t="str">
        <f ca="1">IFERROR(__xludf.DUMMYFUNCTION("""COMPUTED_VALUE"""),"Intermediate")</f>
        <v>Intermediate</v>
      </c>
      <c r="N35" s="217" t="str">
        <f ca="1">IFERROR(__xludf.DUMMYFUNCTION("""COMPUTED_VALUE"""),"Storytelling para el liderazgo")</f>
        <v>Storytelling para el liderazgo</v>
      </c>
      <c r="O35" s="217"/>
      <c r="P35" s="213"/>
      <c r="Q35" s="215">
        <f ca="1">IFERROR(__xludf.DUMMYFUNCTION("""COMPUTED_VALUE"""),2807641)</f>
        <v>2807641</v>
      </c>
      <c r="R35" s="215" t="str">
        <f ca="1">IFERROR(__xludf.DUMMYFUNCTION("""COMPUTED_VALUE"""),"Beginner")</f>
        <v>Beginner</v>
      </c>
      <c r="S35" s="217" t="str">
        <f ca="1">IFERROR(__xludf.DUMMYFUNCTION("""COMPUTED_VALUE"""),"Grundlagen von Führung")</f>
        <v>Grundlagen von Führung</v>
      </c>
      <c r="T35" s="217"/>
      <c r="U35" s="213"/>
      <c r="V35" s="215"/>
      <c r="W35" s="215"/>
      <c r="X35" s="217"/>
      <c r="Y35" s="217"/>
      <c r="Z35" s="213"/>
      <c r="AA35" s="215">
        <f ca="1">IFERROR(__xludf.DUMMYFUNCTION("""COMPUTED_VALUE"""),2908954)</f>
        <v>2908954</v>
      </c>
      <c r="AB35" s="215" t="str">
        <f ca="1">IFERROR(__xludf.DUMMYFUNCTION("""COMPUTED_VALUE"""),"Intermediate")</f>
        <v>Intermediate</v>
      </c>
      <c r="AC35" s="217" t="str">
        <f ca="1">IFERROR(__xludf.DUMMYFUNCTION("""COMPUTED_VALUE"""),"Gestão Ágil no Trabalho: Como Criar Equipes Ágeis")</f>
        <v>Gestão Ágil no Trabalho: Como Criar Equipes Ágeis</v>
      </c>
      <c r="AD35" s="217"/>
      <c r="AE35" s="213"/>
      <c r="AF35" s="215">
        <f ca="1">IFERROR(__xludf.DUMMYFUNCTION("""COMPUTED_VALUE"""),3154980)</f>
        <v>3154980</v>
      </c>
      <c r="AG35" s="215" t="str">
        <f ca="1">IFERROR(__xludf.DUMMYFUNCTION("""COMPUTED_VALUE"""),"Intermediate")</f>
        <v>Intermediate</v>
      </c>
      <c r="AH35" s="217" t="str">
        <f ca="1">IFERROR(__xludf.DUMMYFUNCTION("""COMPUTED_VALUE"""),"视频会议中的领导气质")</f>
        <v>视频会议中的领导气质</v>
      </c>
      <c r="AI35" s="217"/>
      <c r="AJ35" s="213"/>
    </row>
    <row r="36" spans="1:36" ht="33.75" customHeight="1">
      <c r="A36" s="213"/>
      <c r="B36" s="214">
        <f ca="1">IFERROR(__xludf.DUMMYFUNCTION("""COMPUTED_VALUE"""),685023)</f>
        <v>685023</v>
      </c>
      <c r="C36" s="215" t="str">
        <f ca="1">IFERROR(__xludf.DUMMYFUNCTION("""COMPUTED_VALUE"""),"Advanced")</f>
        <v>Advanced</v>
      </c>
      <c r="D36" s="216" t="str">
        <f ca="1">IFERROR(__xludf.DUMMYFUNCTION("""COMPUTED_VALUE"""),"Leading with Vision")</f>
        <v>Leading with Vision</v>
      </c>
      <c r="E36" s="217"/>
      <c r="F36" s="213"/>
      <c r="G36" s="214">
        <f ca="1">IFERROR(__xludf.DUMMYFUNCTION("""COMPUTED_VALUE"""),193412)</f>
        <v>193412</v>
      </c>
      <c r="H36" s="215" t="str">
        <f ca="1">IFERROR(__xludf.DUMMYFUNCTION("""COMPUTED_VALUE"""),"Beginner")</f>
        <v>Beginner</v>
      </c>
      <c r="I36" s="217" t="str">
        <f ca="1">IFERROR(__xludf.DUMMYFUNCTION("""COMPUTED_VALUE"""),"Les fondements du leadership")</f>
        <v>Les fondements du leadership</v>
      </c>
      <c r="J36" s="217"/>
      <c r="K36" s="213"/>
      <c r="L36" s="215">
        <f ca="1">IFERROR(__xludf.DUMMYFUNCTION("""COMPUTED_VALUE"""),608983)</f>
        <v>608983</v>
      </c>
      <c r="M36" s="215" t="str">
        <f ca="1">IFERROR(__xludf.DUMMYFUNCTION("""COMPUTED_VALUE"""),"Beginner")</f>
        <v>Beginner</v>
      </c>
      <c r="N36" s="217" t="str">
        <f ca="1">IFERROR(__xludf.DUMMYFUNCTION("""COMPUTED_VALUE"""),"Toma de decisiones ejecutivas")</f>
        <v>Toma de decisiones ejecutivas</v>
      </c>
      <c r="O36" s="217"/>
      <c r="P36" s="213"/>
      <c r="Q36" s="215">
        <f ca="1">IFERROR(__xludf.DUMMYFUNCTION("""COMPUTED_VALUE"""),3160235)</f>
        <v>3160235</v>
      </c>
      <c r="R36" s="215" t="str">
        <f ca="1">IFERROR(__xludf.DUMMYFUNCTION("""COMPUTED_VALUE"""),"Intermediate")</f>
        <v>Intermediate</v>
      </c>
      <c r="S36" s="217" t="str">
        <f ca="1">IFERROR(__xludf.DUMMYFUNCTION("""COMPUTED_VALUE"""),"Hybride Teams führen")</f>
        <v>Hybride Teams führen</v>
      </c>
      <c r="T36" s="217"/>
      <c r="U36" s="213"/>
      <c r="V36" s="215"/>
      <c r="W36" s="215"/>
      <c r="X36" s="217"/>
      <c r="Y36" s="217"/>
      <c r="Z36" s="213"/>
      <c r="AA36" s="215">
        <f ca="1">IFERROR(__xludf.DUMMYFUNCTION("""COMPUTED_VALUE"""),2911568)</f>
        <v>2911568</v>
      </c>
      <c r="AB36" s="215" t="str">
        <f ca="1">IFERROR(__xludf.DUMMYFUNCTION("""COMPUTED_VALUE"""),"Intermediate")</f>
        <v>Intermediate</v>
      </c>
      <c r="AC36" s="217" t="str">
        <f ca="1">IFERROR(__xludf.DUMMYFUNCTION("""COMPUTED_VALUE"""),"Gestão Ágil no Trabalho: Como Tornar as Reuniões Ágeis mais Produtivas")</f>
        <v>Gestão Ágil no Trabalho: Como Tornar as Reuniões Ágeis mais Produtivas</v>
      </c>
      <c r="AD36" s="217"/>
      <c r="AE36" s="213"/>
      <c r="AF36" s="215">
        <f ca="1">IFERROR(__xludf.DUMMYFUNCTION("""COMPUTED_VALUE"""),5010314)</f>
        <v>5010314</v>
      </c>
      <c r="AG36" s="215" t="str">
        <f ca="1">IFERROR(__xludf.DUMMYFUNCTION("""COMPUTED_VALUE"""),"Beginner")</f>
        <v>Beginner</v>
      </c>
      <c r="AH36" s="217" t="str">
        <f ca="1">IFERROR(__xludf.DUMMYFUNCTION("""COMPUTED_VALUE"""),"项目管理基础知识：领导项目")</f>
        <v>项目管理基础知识：领导项目</v>
      </c>
      <c r="AI36" s="217"/>
      <c r="AJ36" s="213"/>
    </row>
    <row r="37" spans="1:36" ht="33.75" customHeight="1">
      <c r="A37" s="213"/>
      <c r="B37" s="214">
        <f ca="1">IFERROR(__xludf.DUMMYFUNCTION("""COMPUTED_VALUE"""),2809356)</f>
        <v>2809356</v>
      </c>
      <c r="C37" s="215" t="str">
        <f ca="1">IFERROR(__xludf.DUMMYFUNCTION("""COMPUTED_VALUE"""),"Advanced")</f>
        <v>Advanced</v>
      </c>
      <c r="D37" s="216" t="str">
        <f ca="1">IFERROR(__xludf.DUMMYFUNCTION("""COMPUTED_VALUE"""),"Sanyin Siang on Strategic Mentoring")</f>
        <v>Sanyin Siang on Strategic Mentoring</v>
      </c>
      <c r="E37" s="217"/>
      <c r="F37" s="213"/>
      <c r="G37" s="214">
        <f ca="1">IFERROR(__xludf.DUMMYFUNCTION("""COMPUTED_VALUE"""),778436)</f>
        <v>778436</v>
      </c>
      <c r="H37" s="215" t="str">
        <f ca="1">IFERROR(__xludf.DUMMYFUNCTION("""COMPUTED_VALUE"""),"Beginner")</f>
        <v>Beginner</v>
      </c>
      <c r="I37" s="217" t="str">
        <f ca="1">IFERROR(__xludf.DUMMYFUNCTION("""COMPUTED_VALUE"""),"Les fondements du leadership exécutif")</f>
        <v>Les fondements du leadership exécutif</v>
      </c>
      <c r="J37" s="217"/>
      <c r="K37" s="213"/>
      <c r="L37" s="215">
        <f ca="1">IFERROR(__xludf.DUMMYFUNCTION("""COMPUTED_VALUE"""),608980)</f>
        <v>608980</v>
      </c>
      <c r="M37" s="215" t="str">
        <f ca="1">IFERROR(__xludf.DUMMYFUNCTION("""COMPUTED_VALUE"""),"All levels")</f>
        <v>All levels</v>
      </c>
      <c r="N37" s="217" t="str">
        <f ca="1">IFERROR(__xludf.DUMMYFUNCTION("""COMPUTED_VALUE"""),"Transición de responsable a líder")</f>
        <v>Transición de responsable a líder</v>
      </c>
      <c r="O37" s="217"/>
      <c r="P37" s="213"/>
      <c r="Q37" s="215">
        <f ca="1">IFERROR(__xludf.DUMMYFUNCTION("""COMPUTED_VALUE"""),648460)</f>
        <v>648460</v>
      </c>
      <c r="R37" s="215" t="str">
        <f ca="1">IFERROR(__xludf.DUMMYFUNCTION("""COMPUTED_VALUE"""),"Intermediate")</f>
        <v>Intermediate</v>
      </c>
      <c r="S37" s="217" t="str">
        <f ca="1">IFERROR(__xludf.DUMMYFUNCTION("""COMPUTED_VALUE"""),"Ihre Führungsphilosophie entwickeln")</f>
        <v>Ihre Führungsphilosophie entwickeln</v>
      </c>
      <c r="T37" s="217"/>
      <c r="U37" s="213"/>
      <c r="V37" s="215"/>
      <c r="W37" s="215"/>
      <c r="X37" s="217"/>
      <c r="Y37" s="217"/>
      <c r="Z37" s="213"/>
      <c r="AA37" s="215">
        <f ca="1">IFERROR(__xludf.DUMMYFUNCTION("""COMPUTED_VALUE"""),2432277)</f>
        <v>2432277</v>
      </c>
      <c r="AB37" s="215" t="str">
        <f ca="1">IFERROR(__xludf.DUMMYFUNCTION("""COMPUTED_VALUE"""),"Beginner, Intermediate")</f>
        <v>Beginner, Intermediate</v>
      </c>
      <c r="AC37" s="217" t="str">
        <f ca="1">IFERROR(__xludf.DUMMYFUNCTION("""COMPUTED_VALUE"""),"Gestão de Conflitos: Como Lidar com as Divergências na Empresa")</f>
        <v>Gestão de Conflitos: Como Lidar com as Divergências na Empresa</v>
      </c>
      <c r="AD37" s="217"/>
      <c r="AE37" s="213"/>
      <c r="AF37" s="215">
        <f ca="1">IFERROR(__xludf.DUMMYFUNCTION("""COMPUTED_VALUE"""),767948)</f>
        <v>767948</v>
      </c>
      <c r="AG37" s="215" t="str">
        <f ca="1">IFERROR(__xludf.DUMMYFUNCTION("""COMPUTED_VALUE"""),"Beginner")</f>
        <v>Beginner</v>
      </c>
      <c r="AH37" s="217" t="str">
        <f ca="1">IFERROR(__xludf.DUMMYFUNCTION("""COMPUTED_VALUE"""),"领导力基础知识")</f>
        <v>领导力基础知识</v>
      </c>
      <c r="AI37" s="217"/>
      <c r="AJ37" s="213"/>
    </row>
    <row r="38" spans="1:36" ht="33.75" customHeight="1">
      <c r="A38" s="213"/>
      <c r="B38" s="214">
        <f ca="1">IFERROR(__xludf.DUMMYFUNCTION("""COMPUTED_VALUE"""),2833088)</f>
        <v>2833088</v>
      </c>
      <c r="C38" s="215" t="str">
        <f ca="1">IFERROR(__xludf.DUMMYFUNCTION("""COMPUTED_VALUE"""),"Advanced")</f>
        <v>Advanced</v>
      </c>
      <c r="D38" s="216" t="str">
        <f ca="1">IFERROR(__xludf.DUMMYFUNCTION("""COMPUTED_VALUE"""),"Using Emotions to Leverage and Accelerate Change: A Guide for Leaders")</f>
        <v>Using Emotions to Leverage and Accelerate Change: A Guide for Leaders</v>
      </c>
      <c r="E38" s="217"/>
      <c r="F38" s="213"/>
      <c r="G38" s="214">
        <f ca="1">IFERROR(__xludf.DUMMYFUNCTION("""COMPUTED_VALUE"""),2425687)</f>
        <v>2425687</v>
      </c>
      <c r="H38" s="215" t="str">
        <f ca="1">IFERROR(__xludf.DUMMYFUNCTION("""COMPUTED_VALUE"""),"All levels")</f>
        <v>All levels</v>
      </c>
      <c r="I38" s="217" t="str">
        <f ca="1">IFERROR(__xludf.DUMMYFUNCTION("""COMPUTED_VALUE"""),"Les meilleures pratiques du leadership")</f>
        <v>Les meilleures pratiques du leadership</v>
      </c>
      <c r="J38" s="217"/>
      <c r="K38" s="213"/>
      <c r="L38" s="215"/>
      <c r="M38" s="215"/>
      <c r="N38" s="217"/>
      <c r="O38" s="217"/>
      <c r="P38" s="213"/>
      <c r="Q38" s="215">
        <f ca="1">IFERROR(__xludf.DUMMYFUNCTION("""COMPUTED_VALUE"""),593919)</f>
        <v>593919</v>
      </c>
      <c r="R38" s="215" t="str">
        <f ca="1">IFERROR(__xludf.DUMMYFUNCTION("""COMPUTED_VALUE"""),"All levels")</f>
        <v>All levels</v>
      </c>
      <c r="S38" s="217" t="str">
        <f ca="1">IFERROR(__xludf.DUMMYFUNCTION("""COMPUTED_VALUE"""),"Jeff Weiner über anteilnehmendes Management")</f>
        <v>Jeff Weiner über anteilnehmendes Management</v>
      </c>
      <c r="T38" s="217"/>
      <c r="U38" s="213"/>
      <c r="V38" s="215"/>
      <c r="W38" s="215"/>
      <c r="X38" s="217"/>
      <c r="Y38" s="217"/>
      <c r="Z38" s="213"/>
      <c r="AA38" s="215">
        <f ca="1">IFERROR(__xludf.DUMMYFUNCTION("""COMPUTED_VALUE"""),2911574)</f>
        <v>2911574</v>
      </c>
      <c r="AB38" s="215" t="str">
        <f ca="1">IFERROR(__xludf.DUMMYFUNCTION("""COMPUTED_VALUE"""),"Beginner")</f>
        <v>Beginner</v>
      </c>
      <c r="AC38" s="217" t="str">
        <f ca="1">IFERROR(__xludf.DUMMYFUNCTION("""COMPUTED_VALUE"""),"Gestão de Profissionais de Alto Desempenho")</f>
        <v>Gestão de Profissionais de Alto Desempenho</v>
      </c>
      <c r="AD38" s="217"/>
      <c r="AE38" s="213"/>
      <c r="AF38" s="215">
        <f ca="1">IFERROR(__xludf.DUMMYFUNCTION("""COMPUTED_VALUE"""),2819249)</f>
        <v>2819249</v>
      </c>
      <c r="AG38" s="215" t="str">
        <f ca="1">IFERROR(__xludf.DUMMYFUNCTION("""COMPUTED_VALUE"""),"Intermediate")</f>
        <v>Intermediate</v>
      </c>
      <c r="AH38" s="217" t="str">
        <f ca="1">IFERROR(__xludf.DUMMYFUNCTION("""COMPUTED_VALUE"""),"领导力盲点")</f>
        <v>领导力盲点</v>
      </c>
      <c r="AI38" s="217"/>
      <c r="AJ38" s="213"/>
    </row>
    <row r="39" spans="1:36" ht="33.75" customHeight="1">
      <c r="A39" s="213"/>
      <c r="B39" s="214">
        <f ca="1">IFERROR(__xludf.DUMMYFUNCTION("""COMPUTED_VALUE"""),696872)</f>
        <v>696872</v>
      </c>
      <c r="C39" s="215" t="str">
        <f ca="1">IFERROR(__xludf.DUMMYFUNCTION("""COMPUTED_VALUE"""),"General")</f>
        <v>General</v>
      </c>
      <c r="D39" s="216" t="str">
        <f ca="1">IFERROR(__xludf.DUMMYFUNCTION("""COMPUTED_VALUE"""),"Ken Blanchard on Servant Leadership")</f>
        <v>Ken Blanchard on Servant Leadership</v>
      </c>
      <c r="E39" s="217"/>
      <c r="F39" s="213"/>
      <c r="G39" s="214">
        <f ca="1">IFERROR(__xludf.DUMMYFUNCTION("""COMPUTED_VALUE"""),2830005)</f>
        <v>2830005</v>
      </c>
      <c r="H39" s="215" t="str">
        <f ca="1">IFERROR(__xludf.DUMMYFUNCTION("""COMPUTED_VALUE"""),"Intermediate")</f>
        <v>Intermediate</v>
      </c>
      <c r="I39" s="217" t="str">
        <f ca="1">IFERROR(__xludf.DUMMYFUNCTION("""COMPUTED_VALUE"""),"Maîtriser la facilitation pour les leaders et managers")</f>
        <v>Maîtriser la facilitation pour les leaders et managers</v>
      </c>
      <c r="J39" s="217"/>
      <c r="K39" s="213"/>
      <c r="L39" s="215"/>
      <c r="M39" s="215"/>
      <c r="N39" s="217"/>
      <c r="O39" s="217"/>
      <c r="P39" s="213"/>
      <c r="Q39" s="215">
        <f ca="1">IFERROR(__xludf.DUMMYFUNCTION("""COMPUTED_VALUE"""),2833029)</f>
        <v>2833029</v>
      </c>
      <c r="R39" s="215" t="str">
        <f ca="1">IFERROR(__xludf.DUMMYFUNCTION("""COMPUTED_VALUE"""),"Intermediate")</f>
        <v>Intermediate</v>
      </c>
      <c r="S39" s="217" t="str">
        <f ca="1">IFERROR(__xludf.DUMMYFUNCTION("""COMPUTED_VALUE"""),"Kollaborative Führung")</f>
        <v>Kollaborative Führung</v>
      </c>
      <c r="T39" s="217"/>
      <c r="U39" s="213"/>
      <c r="V39" s="215"/>
      <c r="W39" s="215"/>
      <c r="X39" s="217"/>
      <c r="Y39" s="217"/>
      <c r="Z39" s="213"/>
      <c r="AA39" s="215">
        <f ca="1">IFERROR(__xludf.DUMMYFUNCTION("""COMPUTED_VALUE"""),2909985)</f>
        <v>2909985</v>
      </c>
      <c r="AB39" s="215" t="str">
        <f ca="1">IFERROR(__xludf.DUMMYFUNCTION("""COMPUTED_VALUE"""),"Beginner")</f>
        <v>Beginner</v>
      </c>
      <c r="AC39" s="217" t="str">
        <f ca="1">IFERROR(__xludf.DUMMYFUNCTION("""COMPUTED_VALUE"""),"Gestão de Profissionais de Alto Potencial")</f>
        <v>Gestão de Profissionais de Alto Potencial</v>
      </c>
      <c r="AD39" s="217"/>
      <c r="AE39" s="213"/>
      <c r="AF39" s="215">
        <f ca="1">IFERROR(__xludf.DUMMYFUNCTION("""COMPUTED_VALUE"""),5010370)</f>
        <v>5010370</v>
      </c>
      <c r="AG39" s="215" t="str">
        <f ca="1">IFERROR(__xludf.DUMMYFUNCTION("""COMPUTED_VALUE"""),"All levels")</f>
        <v>All levels</v>
      </c>
      <c r="AH39" s="217" t="str">
        <f ca="1">IFERROR(__xludf.DUMMYFUNCTION("""COMPUTED_VALUE"""),"领导团队和团队合作")</f>
        <v>领导团队和团队合作</v>
      </c>
      <c r="AI39" s="217"/>
      <c r="AJ39" s="213"/>
    </row>
    <row r="40" spans="1:36" ht="33.75" customHeight="1">
      <c r="A40" s="213"/>
      <c r="B40" s="214">
        <f ca="1">IFERROR(__xludf.DUMMYFUNCTION("""COMPUTED_VALUE"""),651185)</f>
        <v>651185</v>
      </c>
      <c r="C40" s="215" t="str">
        <f ca="1">IFERROR(__xludf.DUMMYFUNCTION("""COMPUTED_VALUE"""),"Beginner")</f>
        <v>Beginner</v>
      </c>
      <c r="D40" s="216" t="str">
        <f ca="1">IFERROR(__xludf.DUMMYFUNCTION("""COMPUTED_VALUE"""),"Emerging Leader Foundations")</f>
        <v>Emerging Leader Foundations</v>
      </c>
      <c r="E40" s="217"/>
      <c r="F40" s="213"/>
      <c r="G40" s="214">
        <f ca="1">IFERROR(__xludf.DUMMYFUNCTION("""COMPUTED_VALUE"""),2873194)</f>
        <v>2873194</v>
      </c>
      <c r="H40" s="215" t="str">
        <f ca="1">IFERROR(__xludf.DUMMYFUNCTION("""COMPUTED_VALUE"""),"Intermediate")</f>
        <v>Intermediate</v>
      </c>
      <c r="I40" s="217" t="str">
        <f ca="1">IFERROR(__xludf.DUMMYFUNCTION("""COMPUTED_VALUE"""),"Manager à distance")</f>
        <v>Manager à distance</v>
      </c>
      <c r="J40" s="217"/>
      <c r="K40" s="213"/>
      <c r="L40" s="215"/>
      <c r="M40" s="215"/>
      <c r="N40" s="217"/>
      <c r="O40" s="217"/>
      <c r="P40" s="213"/>
      <c r="Q40" s="215">
        <f ca="1">IFERROR(__xludf.DUMMYFUNCTION("""COMPUTED_VALUE"""),593043)</f>
        <v>593043</v>
      </c>
      <c r="R40" s="215" t="str">
        <f ca="1">IFERROR(__xludf.DUMMYFUNCTION("""COMPUTED_VALUE"""),"All levels")</f>
        <v>All levels</v>
      </c>
      <c r="S40" s="217" t="str">
        <f ca="1">IFERROR(__xludf.DUMMYFUNCTION("""COMPUTED_VALUE"""),"Körpersprache für Führungskräfte")</f>
        <v>Körpersprache für Führungskräfte</v>
      </c>
      <c r="T40" s="217"/>
      <c r="U40" s="213"/>
      <c r="V40" s="215"/>
      <c r="W40" s="215"/>
      <c r="X40" s="217"/>
      <c r="Y40" s="217"/>
      <c r="Z40" s="213"/>
      <c r="AA40" s="215">
        <f ca="1">IFERROR(__xludf.DUMMYFUNCTION("""COMPUTED_VALUE"""),2382514)</f>
        <v>2382514</v>
      </c>
      <c r="AB40" s="215" t="str">
        <f ca="1">IFERROR(__xludf.DUMMYFUNCTION("""COMPUTED_VALUE"""),"Intermediate")</f>
        <v>Intermediate</v>
      </c>
      <c r="AC40" s="217" t="str">
        <f ca="1">IFERROR(__xludf.DUMMYFUNCTION("""COMPUTED_VALUE"""),"Janaína Manfredini responde sobre desafios da liderança em tempos incertos")</f>
        <v>Janaína Manfredini responde sobre desafios da liderança em tempos incertos</v>
      </c>
      <c r="AD40" s="217"/>
      <c r="AE40" s="213"/>
      <c r="AF40" s="215">
        <f ca="1">IFERROR(__xludf.DUMMYFUNCTION("""COMPUTED_VALUE"""),797750)</f>
        <v>797750</v>
      </c>
      <c r="AG40" s="215" t="str">
        <f ca="1">IFERROR(__xludf.DUMMYFUNCTION("""COMPUTED_VALUE"""),"Intermediate")</f>
        <v>Intermediate</v>
      </c>
      <c r="AH40" s="217" t="str">
        <f ca="1">IFERROR(__xludf.DUMMYFUNCTION("""COMPUTED_VALUE"""),"领导者的冒险精神")</f>
        <v>领导者的冒险精神</v>
      </c>
      <c r="AI40" s="217"/>
      <c r="AJ40" s="213"/>
    </row>
    <row r="41" spans="1:36" ht="33.75" customHeight="1">
      <c r="A41" s="213"/>
      <c r="B41" s="214">
        <f ca="1">IFERROR(__xludf.DUMMYFUNCTION("""COMPUTED_VALUE"""),802830)</f>
        <v>802830</v>
      </c>
      <c r="C41" s="215" t="str">
        <f ca="1">IFERROR(__xludf.DUMMYFUNCTION("""COMPUTED_VALUE"""),"Beginner")</f>
        <v>Beginner</v>
      </c>
      <c r="D41" s="216" t="str">
        <f ca="1">IFERROR(__xludf.DUMMYFUNCTION("""COMPUTED_VALUE"""),"Leadership Foundations: Leadership Styles and Models")</f>
        <v>Leadership Foundations: Leadership Styles and Models</v>
      </c>
      <c r="E41" s="217"/>
      <c r="F41" s="213"/>
      <c r="G41" s="214">
        <f ca="1">IFERROR(__xludf.DUMMYFUNCTION("""COMPUTED_VALUE"""),2898800)</f>
        <v>2898800</v>
      </c>
      <c r="H41" s="215" t="str">
        <f ca="1">IFERROR(__xludf.DUMMYFUNCTION("""COMPUTED_VALUE"""),"Intermediate")</f>
        <v>Intermediate</v>
      </c>
      <c r="I41" s="217" t="str">
        <f ca="1">IFERROR(__xludf.DUMMYFUNCTION("""COMPUTED_VALUE"""),"Motiver ses équipes quand on est soi même épuisé et stressé")</f>
        <v>Motiver ses équipes quand on est soi même épuisé et stressé</v>
      </c>
      <c r="J41" s="217"/>
      <c r="K41" s="213"/>
      <c r="L41" s="215"/>
      <c r="M41" s="215"/>
      <c r="N41" s="217"/>
      <c r="O41" s="217"/>
      <c r="P41" s="213"/>
      <c r="Q41" s="215">
        <f ca="1">IFERROR(__xludf.DUMMYFUNCTION("""COMPUTED_VALUE"""),2920399)</f>
        <v>2920399</v>
      </c>
      <c r="R41" s="215" t="str">
        <f ca="1">IFERROR(__xludf.DUMMYFUNCTION("""COMPUTED_VALUE"""),"All levels")</f>
        <v>All levels</v>
      </c>
      <c r="S41" s="217" t="str">
        <f ca="1">IFERROR(__xludf.DUMMYFUNCTION("""COMPUTED_VALUE"""),"Mehr Ausstrahlung mit dem Charisma-Code")</f>
        <v>Mehr Ausstrahlung mit dem Charisma-Code</v>
      </c>
      <c r="T41" s="217"/>
      <c r="U41" s="213"/>
      <c r="V41" s="215"/>
      <c r="W41" s="215"/>
      <c r="X41" s="217"/>
      <c r="Y41" s="217"/>
      <c r="Z41" s="213"/>
      <c r="AA41" s="215">
        <f ca="1">IFERROR(__xludf.DUMMYFUNCTION("""COMPUTED_VALUE"""),2841350)</f>
        <v>2841350</v>
      </c>
      <c r="AB41" s="215" t="str">
        <f ca="1">IFERROR(__xludf.DUMMYFUNCTION("""COMPUTED_VALUE"""),"Intermediate")</f>
        <v>Intermediate</v>
      </c>
      <c r="AC41" s="217" t="str">
        <f ca="1">IFERROR(__xludf.DUMMYFUNCTION("""COMPUTED_VALUE"""),"Liderança Colaborativa")</f>
        <v>Liderança Colaborativa</v>
      </c>
      <c r="AD41" s="217"/>
      <c r="AE41" s="213"/>
      <c r="AF41" s="215">
        <f ca="1">IFERROR(__xludf.DUMMYFUNCTION("""COMPUTED_VALUE"""),2823600)</f>
        <v>2823600</v>
      </c>
      <c r="AG41" s="215" t="str">
        <f ca="1">IFERROR(__xludf.DUMMYFUNCTION("""COMPUTED_VALUE"""),"All levels")</f>
        <v>All levels</v>
      </c>
      <c r="AH41" s="217" t="str">
        <f ca="1">IFERROR(__xludf.DUMMYFUNCTION("""COMPUTED_VALUE"""),"领导者的肢体语言")</f>
        <v>领导者的肢体语言</v>
      </c>
      <c r="AI41" s="217"/>
      <c r="AJ41" s="213"/>
    </row>
    <row r="42" spans="1:36" ht="33.75" customHeight="1">
      <c r="A42" s="213"/>
      <c r="B42" s="214">
        <f ca="1">IFERROR(__xludf.DUMMYFUNCTION("""COMPUTED_VALUE"""),721910)</f>
        <v>721910</v>
      </c>
      <c r="C42" s="215" t="str">
        <f ca="1">IFERROR(__xludf.DUMMYFUNCTION("""COMPUTED_VALUE"""),"Beginner")</f>
        <v>Beginner</v>
      </c>
      <c r="D42" s="216" t="str">
        <f ca="1">IFERROR(__xludf.DUMMYFUNCTION("""COMPUTED_VALUE"""),"Leadership: Practical Skills")</f>
        <v>Leadership: Practical Skills</v>
      </c>
      <c r="E42" s="217"/>
      <c r="F42" s="213"/>
      <c r="G42" s="214">
        <f ca="1">IFERROR(__xludf.DUMMYFUNCTION("""COMPUTED_VALUE"""),778455)</f>
        <v>778455</v>
      </c>
      <c r="H42" s="215" t="str">
        <f ca="1">IFERROR(__xludf.DUMMYFUNCTION("""COMPUTED_VALUE"""),"Intermediate")</f>
        <v>Intermediate</v>
      </c>
      <c r="I42" s="217" t="str">
        <f ca="1">IFERROR(__xludf.DUMMYFUNCTION("""COMPUTED_VALUE"""),"Penser comme un leader")</f>
        <v>Penser comme un leader</v>
      </c>
      <c r="J42" s="217"/>
      <c r="K42" s="213"/>
      <c r="L42" s="215"/>
      <c r="M42" s="215"/>
      <c r="N42" s="217"/>
      <c r="O42" s="217"/>
      <c r="P42" s="213"/>
      <c r="Q42" s="215">
        <f ca="1">IFERROR(__xludf.DUMMYFUNCTION("""COMPUTED_VALUE"""),2923226)</f>
        <v>2923226</v>
      </c>
      <c r="R42" s="215" t="str">
        <f ca="1">IFERROR(__xludf.DUMMYFUNCTION("""COMPUTED_VALUE"""),"Intermediate")</f>
        <v>Intermediate</v>
      </c>
      <c r="S42" s="217" t="str">
        <f ca="1">IFERROR(__xludf.DUMMYFUNCTION("""COMPUTED_VALUE"""),"Mehrere Generationen managen")</f>
        <v>Mehrere Generationen managen</v>
      </c>
      <c r="T42" s="217"/>
      <c r="U42" s="213"/>
      <c r="V42" s="215"/>
      <c r="W42" s="215"/>
      <c r="X42" s="217"/>
      <c r="Y42" s="217"/>
      <c r="Z42" s="213"/>
      <c r="AA42" s="215">
        <f ca="1">IFERROR(__xludf.DUMMYFUNCTION("""COMPUTED_VALUE"""),2902184)</f>
        <v>2902184</v>
      </c>
      <c r="AB42" s="215" t="str">
        <f ca="1">IFERROR(__xludf.DUMMYFUNCTION("""COMPUTED_VALUE"""),"Beginner, Intermediate")</f>
        <v>Beginner, Intermediate</v>
      </c>
      <c r="AC42" s="217" t="str">
        <f ca="1">IFERROR(__xludf.DUMMYFUNCTION("""COMPUTED_VALUE"""),"Liderança com Inovação")</f>
        <v>Liderança com Inovação</v>
      </c>
      <c r="AD42" s="217"/>
      <c r="AE42" s="213"/>
      <c r="AF42" s="215">
        <f ca="1">IFERROR(__xludf.DUMMYFUNCTION("""COMPUTED_VALUE"""),2881007)</f>
        <v>2881007</v>
      </c>
      <c r="AG42" s="215" t="str">
        <f ca="1">IFERROR(__xludf.DUMMYFUNCTION("""COMPUTED_VALUE"""),"Beginner, Intermediate")</f>
        <v>Beginner, Intermediate</v>
      </c>
      <c r="AH42" s="217" t="str">
        <f ca="1">IFERROR(__xludf.DUMMYFUNCTION("""COMPUTED_VALUE"""),"领导高效的一对一会议")</f>
        <v>领导高效的一对一会议</v>
      </c>
      <c r="AI42" s="217"/>
      <c r="AJ42" s="213"/>
    </row>
    <row r="43" spans="1:36" ht="33.75" customHeight="1">
      <c r="A43" s="213"/>
      <c r="B43" s="214">
        <f ca="1">IFERROR(__xludf.DUMMYFUNCTION("""COMPUTED_VALUE"""),2813255)</f>
        <v>2813255</v>
      </c>
      <c r="C43" s="215" t="str">
        <f ca="1">IFERROR(__xludf.DUMMYFUNCTION("""COMPUTED_VALUE"""),"Beginner")</f>
        <v>Beginner</v>
      </c>
      <c r="D43" s="216" t="str">
        <f ca="1">IFERROR(__xludf.DUMMYFUNCTION("""COMPUTED_VALUE"""),"Leadership Foundations")</f>
        <v>Leadership Foundations</v>
      </c>
      <c r="E43" s="217"/>
      <c r="F43" s="213"/>
      <c r="G43" s="214">
        <f ca="1">IFERROR(__xludf.DUMMYFUNCTION("""COMPUTED_VALUE"""),551303)</f>
        <v>551303</v>
      </c>
      <c r="H43" s="215" t="str">
        <f ca="1">IFERROR(__xludf.DUMMYFUNCTION("""COMPUTED_VALUE"""),"Intermediate")</f>
        <v>Intermediate</v>
      </c>
      <c r="I43" s="217" t="str">
        <f ca="1">IFERROR(__xludf.DUMMYFUNCTION("""COMPUTED_VALUE"""),"Placer la responsabilisation au cœur de la culture d'entreprise")</f>
        <v>Placer la responsabilisation au cœur de la culture d'entreprise</v>
      </c>
      <c r="J43" s="217"/>
      <c r="K43" s="213"/>
      <c r="L43" s="215"/>
      <c r="M43" s="215"/>
      <c r="N43" s="217"/>
      <c r="O43" s="217"/>
      <c r="P43" s="213"/>
      <c r="Q43" s="215">
        <f ca="1">IFERROR(__xludf.DUMMYFUNCTION("""COMPUTED_VALUE"""),3130123)</f>
        <v>3130123</v>
      </c>
      <c r="R43" s="215" t="str">
        <f ca="1">IFERROR(__xludf.DUMMYFUNCTION("""COMPUTED_VALUE"""),"All levels")</f>
        <v>All levels</v>
      </c>
      <c r="S43" s="217" t="str">
        <f ca="1">IFERROR(__xludf.DUMMYFUNCTION("""COMPUTED_VALUE"""),"Mentoring – im Tandem zum Erfolg (Blinkist Kernaussagen)")</f>
        <v>Mentoring – im Tandem zum Erfolg (Blinkist Kernaussagen)</v>
      </c>
      <c r="T43" s="217"/>
      <c r="U43" s="213"/>
      <c r="V43" s="215"/>
      <c r="W43" s="215"/>
      <c r="X43" s="217"/>
      <c r="Y43" s="217"/>
      <c r="Z43" s="213"/>
      <c r="AA43" s="215">
        <f ca="1">IFERROR(__xludf.DUMMYFUNCTION("""COMPUTED_VALUE"""),753076)</f>
        <v>753076</v>
      </c>
      <c r="AB43" s="215" t="str">
        <f ca="1">IFERROR(__xludf.DUMMYFUNCTION("""COMPUTED_VALUE"""),"Beginner")</f>
        <v>Beginner</v>
      </c>
      <c r="AC43" s="217" t="str">
        <f ca="1">IFERROR(__xludf.DUMMYFUNCTION("""COMPUTED_VALUE"""),"Liderança com Inteligência Emocional")</f>
        <v>Liderança com Inteligência Emocional</v>
      </c>
      <c r="AD43" s="217"/>
      <c r="AE43" s="213"/>
      <c r="AF43" s="215">
        <f ca="1">IFERROR(__xludf.DUMMYFUNCTION("""COMPUTED_VALUE"""),773669)</f>
        <v>773669</v>
      </c>
      <c r="AG43" s="215" t="str">
        <f ca="1">IFERROR(__xludf.DUMMYFUNCTION("""COMPUTED_VALUE"""),"Intermediate")</f>
        <v>Intermediate</v>
      </c>
      <c r="AH43" s="217" t="str">
        <f ca="1">IFERROR(__xludf.DUMMYFUNCTION("""COMPUTED_VALUE"""),"高层决策的制定")</f>
        <v>高层决策的制定</v>
      </c>
      <c r="AI43" s="217"/>
      <c r="AJ43" s="213"/>
    </row>
    <row r="44" spans="1:36" ht="33.75" customHeight="1">
      <c r="A44" s="213"/>
      <c r="B44" s="214">
        <f ca="1">IFERROR(__xludf.DUMMYFUNCTION("""COMPUTED_VALUE"""),2820052)</f>
        <v>2820052</v>
      </c>
      <c r="C44" s="215" t="str">
        <f ca="1">IFERROR(__xludf.DUMMYFUNCTION("""COMPUTED_VALUE"""),"Beginner")</f>
        <v>Beginner</v>
      </c>
      <c r="D44" s="216" t="str">
        <f ca="1">IFERROR(__xludf.DUMMYFUNCTION("""COMPUTED_VALUE"""),"Management Foundations")</f>
        <v>Management Foundations</v>
      </c>
      <c r="E44" s="217"/>
      <c r="F44" s="213"/>
      <c r="G44" s="214">
        <f ca="1">IFERROR(__xludf.DUMMYFUNCTION("""COMPUTED_VALUE"""),641776)</f>
        <v>641776</v>
      </c>
      <c r="H44" s="215" t="str">
        <f ca="1">IFERROR(__xludf.DUMMYFUNCTION("""COMPUTED_VALUE"""),"Intermediate")</f>
        <v>Intermediate</v>
      </c>
      <c r="I44" s="217" t="str">
        <f ca="1">IFERROR(__xludf.DUMMYFUNCTION("""COMPUTED_VALUE"""),"Prendre des décisions exécutives")</f>
        <v>Prendre des décisions exécutives</v>
      </c>
      <c r="J44" s="217"/>
      <c r="K44" s="213"/>
      <c r="L44" s="215"/>
      <c r="M44" s="215"/>
      <c r="N44" s="217"/>
      <c r="O44" s="217"/>
      <c r="P44" s="213"/>
      <c r="Q44" s="215">
        <f ca="1">IFERROR(__xludf.DUMMYFUNCTION("""COMPUTED_VALUE"""),2877212)</f>
        <v>2877212</v>
      </c>
      <c r="R44" s="215" t="str">
        <f ca="1">IFERROR(__xludf.DUMMYFUNCTION("""COMPUTED_VALUE"""),"All levels")</f>
        <v>All levels</v>
      </c>
      <c r="S44" s="217" t="str">
        <f ca="1">IFERROR(__xludf.DUMMYFUNCTION("""COMPUTED_VALUE"""),"Mit Depressionen am Arbeitsplatz umgehen")</f>
        <v>Mit Depressionen am Arbeitsplatz umgehen</v>
      </c>
      <c r="T44" s="217"/>
      <c r="U44" s="213"/>
      <c r="V44" s="215"/>
      <c r="W44" s="215"/>
      <c r="X44" s="217"/>
      <c r="Y44" s="217"/>
      <c r="Z44" s="213"/>
      <c r="AA44" s="215">
        <f ca="1">IFERROR(__xludf.DUMMYFUNCTION("""COMPUTED_VALUE"""),2388472)</f>
        <v>2388472</v>
      </c>
      <c r="AB44" s="215" t="str">
        <f ca="1">IFERROR(__xludf.DUMMYFUNCTION("""COMPUTED_VALUE"""),"Advanced")</f>
        <v>Advanced</v>
      </c>
      <c r="AC44" s="217" t="str">
        <f ca="1">IFERROR(__xludf.DUMMYFUNCTION("""COMPUTED_VALUE"""),"Liderança Criativa: Como Estimular o Pensamento Inovador em sua Equipe")</f>
        <v>Liderança Criativa: Como Estimular o Pensamento Inovador em sua Equipe</v>
      </c>
      <c r="AD44" s="217"/>
      <c r="AE44" s="213"/>
      <c r="AF44" s="215">
        <f ca="1">IFERROR(__xludf.DUMMYFUNCTION("""COMPUTED_VALUE"""),773691)</f>
        <v>773691</v>
      </c>
      <c r="AG44" s="215" t="str">
        <f ca="1">IFERROR(__xludf.DUMMYFUNCTION("""COMPUTED_VALUE"""),"Beginner")</f>
        <v>Beginner</v>
      </c>
      <c r="AH44" s="217" t="str">
        <f ca="1">IFERROR(__xludf.DUMMYFUNCTION("""COMPUTED_VALUE"""),"高情商领导")</f>
        <v>高情商领导</v>
      </c>
      <c r="AI44" s="217"/>
      <c r="AJ44" s="213"/>
    </row>
    <row r="45" spans="1:36" ht="33.75" customHeight="1">
      <c r="A45" s="213"/>
      <c r="B45" s="214">
        <f ca="1">IFERROR(__xludf.DUMMYFUNCTION("""COMPUTED_VALUE"""),2823296)</f>
        <v>2823296</v>
      </c>
      <c r="C45" s="215" t="str">
        <f ca="1">IFERROR(__xludf.DUMMYFUNCTION("""COMPUTED_VALUE"""),"Beginner")</f>
        <v>Beginner</v>
      </c>
      <c r="D45" s="216" t="str">
        <f ca="1">IFERROR(__xludf.DUMMYFUNCTION("""COMPUTED_VALUE"""),"Implementing Continuous Improvement: A Case Study")</f>
        <v>Implementing Continuous Improvement: A Case Study</v>
      </c>
      <c r="E45" s="217"/>
      <c r="F45" s="213"/>
      <c r="G45" s="214">
        <f ca="1">IFERROR(__xludf.DUMMYFUNCTION("""COMPUTED_VALUE"""),5025542)</f>
        <v>5025542</v>
      </c>
      <c r="H45" s="215" t="str">
        <f ca="1">IFERROR(__xludf.DUMMYFUNCTION("""COMPUTED_VALUE"""),"Intermediate")</f>
        <v>Intermediate</v>
      </c>
      <c r="I45" s="217" t="str">
        <f ca="1">IFERROR(__xludf.DUMMYFUNCTION("""COMPUTED_VALUE"""),"S'affirmer par le travail de la voix")</f>
        <v>S'affirmer par le travail de la voix</v>
      </c>
      <c r="J45" s="217"/>
      <c r="K45" s="213"/>
      <c r="L45" s="215"/>
      <c r="M45" s="215"/>
      <c r="N45" s="217"/>
      <c r="O45" s="217"/>
      <c r="P45" s="213"/>
      <c r="Q45" s="215">
        <f ca="1">IFERROR(__xludf.DUMMYFUNCTION("""COMPUTED_VALUE"""),702517)</f>
        <v>702517</v>
      </c>
      <c r="R45" s="215" t="str">
        <f ca="1">IFERROR(__xludf.DUMMYFUNCTION("""COMPUTED_VALUE"""),"Intermediate")</f>
        <v>Intermediate</v>
      </c>
      <c r="S45" s="217" t="str">
        <f ca="1">IFERROR(__xludf.DUMMYFUNCTION("""COMPUTED_VALUE"""),"Mit schwierigen Mitarbeiter:innen umgehen")</f>
        <v>Mit schwierigen Mitarbeiter:innen umgehen</v>
      </c>
      <c r="T45" s="217"/>
      <c r="U45" s="213"/>
      <c r="V45" s="215"/>
      <c r="W45" s="215"/>
      <c r="X45" s="217"/>
      <c r="Y45" s="217"/>
      <c r="Z45" s="213"/>
      <c r="AA45" s="215">
        <f ca="1">IFERROR(__xludf.DUMMYFUNCTION("""COMPUTED_VALUE"""),5031298)</f>
        <v>5031298</v>
      </c>
      <c r="AB45" s="215" t="str">
        <f ca="1">IFERROR(__xludf.DUMMYFUNCTION("""COMPUTED_VALUE"""),"Intermediate")</f>
        <v>Intermediate</v>
      </c>
      <c r="AC45" s="217" t="str">
        <f ca="1">IFERROR(__xludf.DUMMYFUNCTION("""COMPUTED_VALUE"""),"Liderança Executiva")</f>
        <v>Liderança Executiva</v>
      </c>
      <c r="AD45" s="217"/>
      <c r="AE45" s="213"/>
      <c r="AF45" s="215">
        <f ca="1">IFERROR(__xludf.DUMMYFUNCTION("""COMPUTED_VALUE"""),2813372)</f>
        <v>2813372</v>
      </c>
      <c r="AG45" s="215" t="str">
        <f ca="1">IFERROR(__xludf.DUMMYFUNCTION("""COMPUTED_VALUE"""),"Intermediate")</f>
        <v>Intermediate</v>
      </c>
      <c r="AH45" s="217" t="str">
        <f ca="1">IFERROR(__xludf.DUMMYFUNCTION("""COMPUTED_VALUE"""),"高管领导力")</f>
        <v>高管领导力</v>
      </c>
      <c r="AI45" s="217"/>
      <c r="AJ45" s="213"/>
    </row>
    <row r="46" spans="1:36" ht="33.75" customHeight="1">
      <c r="A46" s="213"/>
      <c r="B46" s="214">
        <f ca="1">IFERROR(__xludf.DUMMYFUNCTION("""COMPUTED_VALUE"""),2823297)</f>
        <v>2823297</v>
      </c>
      <c r="C46" s="215" t="str">
        <f ca="1">IFERROR(__xludf.DUMMYFUNCTION("""COMPUTED_VALUE"""),"Beginner")</f>
        <v>Beginner</v>
      </c>
      <c r="D46" s="216" t="str">
        <f ca="1">IFERROR(__xludf.DUMMYFUNCTION("""COMPUTED_VALUE"""),"Culture of Kaizen")</f>
        <v>Culture of Kaizen</v>
      </c>
      <c r="E46" s="217"/>
      <c r="F46" s="213"/>
      <c r="G46" s="214"/>
      <c r="H46" s="215"/>
      <c r="I46" s="217"/>
      <c r="J46" s="217"/>
      <c r="K46" s="213"/>
      <c r="L46" s="215"/>
      <c r="M46" s="215"/>
      <c r="N46" s="217"/>
      <c r="O46" s="217"/>
      <c r="P46" s="213"/>
      <c r="Q46" s="215">
        <f ca="1">IFERROR(__xludf.DUMMYFUNCTION("""COMPUTED_VALUE"""),2921745)</f>
        <v>2921745</v>
      </c>
      <c r="R46" s="215" t="str">
        <f ca="1">IFERROR(__xludf.DUMMYFUNCTION("""COMPUTED_VALUE"""),"Beginner")</f>
        <v>Beginner</v>
      </c>
      <c r="S46" s="217" t="str">
        <f ca="1">IFERROR(__xludf.DUMMYFUNCTION("""COMPUTED_VALUE"""),"Mitarbeiterzufriedenheit durch Feel-Good-Management")</f>
        <v>Mitarbeiterzufriedenheit durch Feel-Good-Management</v>
      </c>
      <c r="T46" s="217"/>
      <c r="U46" s="213"/>
      <c r="V46" s="215"/>
      <c r="W46" s="215"/>
      <c r="X46" s="217"/>
      <c r="Y46" s="217"/>
      <c r="Z46" s="213"/>
      <c r="AA46" s="215">
        <f ca="1">IFERROR(__xludf.DUMMYFUNCTION("""COMPUTED_VALUE"""),2877209)</f>
        <v>2877209</v>
      </c>
      <c r="AB46" s="215" t="str">
        <f ca="1">IFERROR(__xludf.DUMMYFUNCTION("""COMPUTED_VALUE"""),"Intermediate")</f>
        <v>Intermediate</v>
      </c>
      <c r="AC46" s="217" t="str">
        <f ca="1">IFERROR(__xludf.DUMMYFUNCTION("""COMPUTED_VALUE"""),"Liderança Feminina: Como Superar Desafios no Trabalho e Criar um Ambiente Colaborativo")</f>
        <v>Liderança Feminina: Como Superar Desafios no Trabalho e Criar um Ambiente Colaborativo</v>
      </c>
      <c r="AD46" s="217"/>
      <c r="AE46" s="213"/>
      <c r="AF46" s="215"/>
      <c r="AG46" s="215"/>
      <c r="AH46" s="217"/>
      <c r="AI46" s="217"/>
      <c r="AJ46" s="213"/>
    </row>
    <row r="47" spans="1:36" ht="33.75" customHeight="1">
      <c r="A47" s="213"/>
      <c r="B47" s="214">
        <f ca="1">IFERROR(__xludf.DUMMYFUNCTION("""COMPUTED_VALUE"""),2822456)</f>
        <v>2822456</v>
      </c>
      <c r="C47" s="215" t="str">
        <f ca="1">IFERROR(__xludf.DUMMYFUNCTION("""COMPUTED_VALUE"""),"Beginner")</f>
        <v>Beginner</v>
      </c>
      <c r="D47" s="216" t="str">
        <f ca="1">IFERROR(__xludf.DUMMYFUNCTION("""COMPUTED_VALUE"""),"Developing Assertive Leadership")</f>
        <v>Developing Assertive Leadership</v>
      </c>
      <c r="E47" s="217"/>
      <c r="F47" s="213"/>
      <c r="G47" s="214"/>
      <c r="H47" s="215"/>
      <c r="I47" s="217"/>
      <c r="J47" s="217"/>
      <c r="K47" s="213"/>
      <c r="L47" s="215"/>
      <c r="M47" s="215"/>
      <c r="N47" s="217"/>
      <c r="O47" s="217"/>
      <c r="P47" s="213"/>
      <c r="Q47" s="215">
        <f ca="1">IFERROR(__xludf.DUMMYFUNCTION("""COMPUTED_VALUE"""),423478)</f>
        <v>423478</v>
      </c>
      <c r="R47" s="215" t="str">
        <f ca="1">IFERROR(__xludf.DUMMYFUNCTION("""COMPUTED_VALUE"""),"Intermediate")</f>
        <v>Intermediate</v>
      </c>
      <c r="S47" s="217" t="str">
        <f ca="1">IFERROR(__xludf.DUMMYFUNCTION("""COMPUTED_VALUE"""),"Multikulturelle Teams führen")</f>
        <v>Multikulturelle Teams führen</v>
      </c>
      <c r="T47" s="217"/>
      <c r="U47" s="213"/>
      <c r="V47" s="215"/>
      <c r="W47" s="215"/>
      <c r="X47" s="217"/>
      <c r="Y47" s="217"/>
      <c r="Z47" s="213"/>
      <c r="AA47" s="215">
        <f ca="1">IFERROR(__xludf.DUMMYFUNCTION("""COMPUTED_VALUE"""),2434279)</f>
        <v>2434279</v>
      </c>
      <c r="AB47" s="215" t="str">
        <f ca="1">IFERROR(__xludf.DUMMYFUNCTION("""COMPUTED_VALUE"""),"Advanced")</f>
        <v>Advanced</v>
      </c>
      <c r="AC47" s="217" t="str">
        <f ca="1">IFERROR(__xludf.DUMMYFUNCTION("""COMPUTED_VALUE"""),"Liderança Global: Como Gerenciar a Complexidade e a Diversidade")</f>
        <v>Liderança Global: Como Gerenciar a Complexidade e a Diversidade</v>
      </c>
      <c r="AD47" s="217"/>
      <c r="AE47" s="213"/>
      <c r="AF47" s="215"/>
      <c r="AG47" s="215"/>
      <c r="AH47" s="217"/>
      <c r="AI47" s="217"/>
      <c r="AJ47" s="213"/>
    </row>
    <row r="48" spans="1:36" ht="33.75" customHeight="1">
      <c r="A48" s="213"/>
      <c r="B48" s="214">
        <f ca="1">IFERROR(__xludf.DUMMYFUNCTION("""COMPUTED_VALUE"""),2974166)</f>
        <v>2974166</v>
      </c>
      <c r="C48" s="215" t="str">
        <f ca="1">IFERROR(__xludf.DUMMYFUNCTION("""COMPUTED_VALUE"""),"Beginner")</f>
        <v>Beginner</v>
      </c>
      <c r="D48" s="216" t="str">
        <f ca="1">IFERROR(__xludf.DUMMYFUNCTION("""COMPUTED_VALUE"""),"Leadership Tips, Tactics and Advice")</f>
        <v>Leadership Tips, Tactics and Advice</v>
      </c>
      <c r="E48" s="217"/>
      <c r="F48" s="213"/>
      <c r="G48" s="214"/>
      <c r="H48" s="215"/>
      <c r="I48" s="217"/>
      <c r="J48" s="217"/>
      <c r="K48" s="213"/>
      <c r="L48" s="215"/>
      <c r="M48" s="215"/>
      <c r="N48" s="217"/>
      <c r="O48" s="217"/>
      <c r="P48" s="213"/>
      <c r="Q48" s="215">
        <f ca="1">IFERROR(__xludf.DUMMYFUNCTION("""COMPUTED_VALUE"""),800683)</f>
        <v>800683</v>
      </c>
      <c r="R48" s="215" t="str">
        <f ca="1">IFERROR(__xludf.DUMMYFUNCTION("""COMPUTED_VALUE"""),"Intermediate")</f>
        <v>Intermediate</v>
      </c>
      <c r="S48" s="217" t="str">
        <f ca="1">IFERROR(__xludf.DUMMYFUNCTION("""COMPUTED_VALUE"""),"Neue Führungskräfte führen")</f>
        <v>Neue Führungskräfte führen</v>
      </c>
      <c r="T48" s="217"/>
      <c r="U48" s="213"/>
      <c r="V48" s="215"/>
      <c r="W48" s="215"/>
      <c r="X48" s="217"/>
      <c r="Y48" s="217"/>
      <c r="Z48" s="213"/>
      <c r="AA48" s="215">
        <f ca="1">IFERROR(__xludf.DUMMYFUNCTION("""COMPUTED_VALUE"""),2903151)</f>
        <v>2903151</v>
      </c>
      <c r="AB48" s="215" t="str">
        <f ca="1">IFERROR(__xludf.DUMMYFUNCTION("""COMPUTED_VALUE"""),"Advanced")</f>
        <v>Advanced</v>
      </c>
      <c r="AC48" s="217" t="str">
        <f ca="1">IFERROR(__xludf.DUMMYFUNCTION("""COMPUTED_VALUE"""),"Liderança no Atendimento ao Cliente")</f>
        <v>Liderança no Atendimento ao Cliente</v>
      </c>
      <c r="AD48" s="217"/>
      <c r="AE48" s="213"/>
      <c r="AF48" s="215"/>
      <c r="AG48" s="215"/>
      <c r="AH48" s="217"/>
      <c r="AI48" s="217"/>
      <c r="AJ48" s="213"/>
    </row>
    <row r="49" spans="1:36" ht="33.75" customHeight="1">
      <c r="A49" s="213"/>
      <c r="B49" s="214">
        <f ca="1">IFERROR(__xludf.DUMMYFUNCTION("""COMPUTED_VALUE"""),2877031)</f>
        <v>2877031</v>
      </c>
      <c r="C49" s="215" t="str">
        <f ca="1">IFERROR(__xludf.DUMMYFUNCTION("""COMPUTED_VALUE"""),"Beginner")</f>
        <v>Beginner</v>
      </c>
      <c r="D49" s="216" t="str">
        <f ca="1">IFERROR(__xludf.DUMMYFUNCTION("""COMPUTED_VALUE"""),"Key Mental Shifts for Servant Leadership")</f>
        <v>Key Mental Shifts for Servant Leadership</v>
      </c>
      <c r="E49" s="217"/>
      <c r="F49" s="213"/>
      <c r="G49" s="214"/>
      <c r="H49" s="215"/>
      <c r="I49" s="217"/>
      <c r="J49" s="217"/>
      <c r="K49" s="213"/>
      <c r="L49" s="215"/>
      <c r="M49" s="215"/>
      <c r="N49" s="217"/>
      <c r="O49" s="217"/>
      <c r="P49" s="213"/>
      <c r="Q49" s="215">
        <f ca="1">IFERROR(__xludf.DUMMYFUNCTION("""COMPUTED_VALUE"""),559538)</f>
        <v>559538</v>
      </c>
      <c r="R49" s="215" t="str">
        <f ca="1">IFERROR(__xludf.DUMMYFUNCTION("""COMPUTED_VALUE"""),"Beginner")</f>
        <v>Beginner</v>
      </c>
      <c r="S49" s="217" t="str">
        <f ca="1">IFERROR(__xludf.DUMMYFUNCTION("""COMPUTED_VALUE"""),"Projektmanagement: Team, Führung, Zusammenarbeit")</f>
        <v>Projektmanagement: Team, Führung, Zusammenarbeit</v>
      </c>
      <c r="T49" s="217"/>
      <c r="U49" s="213"/>
      <c r="V49" s="215"/>
      <c r="W49" s="215"/>
      <c r="X49" s="217"/>
      <c r="Y49" s="217"/>
      <c r="Z49" s="213"/>
      <c r="AA49" s="215">
        <f ca="1">IFERROR(__xludf.DUMMYFUNCTION("""COMPUTED_VALUE"""),3151684)</f>
        <v>3151684</v>
      </c>
      <c r="AB49" s="215" t="str">
        <f ca="1">IFERROR(__xludf.DUMMYFUNCTION("""COMPUTED_VALUE"""),"Beginner, Intermediate")</f>
        <v>Beginner, Intermediate</v>
      </c>
      <c r="AC49" s="217" t="str">
        <f ca="1">IFERROR(__xludf.DUMMYFUNCTION("""COMPUTED_VALUE"""),"Liderança Remota: Como Gerenciar e Desenvolver Equipes Distribuídas")</f>
        <v>Liderança Remota: Como Gerenciar e Desenvolver Equipes Distribuídas</v>
      </c>
      <c r="AD49" s="217"/>
      <c r="AE49" s="213"/>
      <c r="AF49" s="215"/>
      <c r="AG49" s="215"/>
      <c r="AH49" s="217"/>
      <c r="AI49" s="217"/>
      <c r="AJ49" s="213"/>
    </row>
    <row r="50" spans="1:36" ht="33.75" customHeight="1">
      <c r="A50" s="213"/>
      <c r="B50" s="214">
        <f ca="1">IFERROR(__xludf.DUMMYFUNCTION("""COMPUTED_VALUE"""),2428601)</f>
        <v>2428601</v>
      </c>
      <c r="C50" s="215" t="str">
        <f ca="1">IFERROR(__xludf.DUMMYFUNCTION("""COMPUTED_VALUE"""),"Beginner")</f>
        <v>Beginner</v>
      </c>
      <c r="D50" s="216" t="str">
        <f ca="1">IFERROR(__xludf.DUMMYFUNCTION("""COMPUTED_VALUE"""),"Creating a Culture That Inspires Your Employees")</f>
        <v>Creating a Culture That Inspires Your Employees</v>
      </c>
      <c r="E50" s="217"/>
      <c r="F50" s="213"/>
      <c r="G50" s="214"/>
      <c r="H50" s="215"/>
      <c r="I50" s="217"/>
      <c r="J50" s="217"/>
      <c r="K50" s="213"/>
      <c r="L50" s="215"/>
      <c r="M50" s="215"/>
      <c r="N50" s="217"/>
      <c r="O50" s="217"/>
      <c r="P50" s="213"/>
      <c r="Q50" s="215">
        <f ca="1">IFERROR(__xludf.DUMMYFUNCTION("""COMPUTED_VALUE"""),784037)</f>
        <v>784037</v>
      </c>
      <c r="R50" s="215" t="str">
        <f ca="1">IFERROR(__xludf.DUMMYFUNCTION("""COMPUTED_VALUE"""),"All levels")</f>
        <v>All levels</v>
      </c>
      <c r="S50" s="217" t="str">
        <f ca="1">IFERROR(__xludf.DUMMYFUNCTION("""COMPUTED_VALUE"""),"Selbstmanagement-Tipps für Führungskräfte")</f>
        <v>Selbstmanagement-Tipps für Führungskräfte</v>
      </c>
      <c r="T50" s="217"/>
      <c r="U50" s="213"/>
      <c r="V50" s="215"/>
      <c r="W50" s="215"/>
      <c r="X50" s="217"/>
      <c r="Y50" s="217"/>
      <c r="Z50" s="213"/>
      <c r="AA50" s="215">
        <f ca="1">IFERROR(__xludf.DUMMYFUNCTION("""COMPUTED_VALUE"""),801460)</f>
        <v>801460</v>
      </c>
      <c r="AB50" s="215" t="str">
        <f ca="1">IFERROR(__xludf.DUMMYFUNCTION("""COMPUTED_VALUE"""),"Intermediate")</f>
        <v>Intermediate</v>
      </c>
      <c r="AC50" s="217" t="str">
        <f ca="1">IFERROR(__xludf.DUMMYFUNCTION("""COMPUTED_VALUE"""),"Liderança sem Autoridade Formal")</f>
        <v>Liderança sem Autoridade Formal</v>
      </c>
      <c r="AD50" s="217"/>
      <c r="AE50" s="213"/>
      <c r="AF50" s="215"/>
      <c r="AG50" s="215"/>
      <c r="AH50" s="217"/>
      <c r="AI50" s="217"/>
      <c r="AJ50" s="213"/>
    </row>
    <row r="51" spans="1:36" ht="33.75" customHeight="1">
      <c r="A51" s="213"/>
      <c r="B51" s="214">
        <f ca="1">IFERROR(__xludf.DUMMYFUNCTION("""COMPUTED_VALUE"""),5034158)</f>
        <v>5034158</v>
      </c>
      <c r="C51" s="215" t="str">
        <f ca="1">IFERROR(__xludf.DUMMYFUNCTION("""COMPUTED_VALUE"""),"Beginner + Intermediate")</f>
        <v>Beginner + Intermediate</v>
      </c>
      <c r="D51" s="216" t="str">
        <f ca="1">IFERROR(__xludf.DUMMYFUNCTION("""COMPUTED_VALUE"""),"Developing Credibility as a Leader")</f>
        <v>Developing Credibility as a Leader</v>
      </c>
      <c r="E51" s="217"/>
      <c r="F51" s="213"/>
      <c r="G51" s="214"/>
      <c r="H51" s="215"/>
      <c r="I51" s="217"/>
      <c r="J51" s="217"/>
      <c r="K51" s="213"/>
      <c r="L51" s="215"/>
      <c r="M51" s="215"/>
      <c r="N51" s="217"/>
      <c r="O51" s="217"/>
      <c r="P51" s="213"/>
      <c r="Q51" s="215">
        <f ca="1">IFERROR(__xludf.DUMMYFUNCTION("""COMPUTED_VALUE"""),761012)</f>
        <v>761012</v>
      </c>
      <c r="R51" s="215" t="str">
        <f ca="1">IFERROR(__xludf.DUMMYFUNCTION("""COMPUTED_VALUE"""),"Intermediate")</f>
        <v>Intermediate</v>
      </c>
      <c r="S51" s="217" t="str">
        <f ca="1">IFERROR(__xludf.DUMMYFUNCTION("""COMPUTED_VALUE"""),"Servant Leadership – Dienende Führung")</f>
        <v>Servant Leadership – Dienende Führung</v>
      </c>
      <c r="T51" s="217"/>
      <c r="U51" s="213"/>
      <c r="V51" s="215"/>
      <c r="W51" s="215"/>
      <c r="X51" s="217"/>
      <c r="Y51" s="217"/>
      <c r="Z51" s="213"/>
      <c r="AA51" s="215">
        <f ca="1">IFERROR(__xludf.DUMMYFUNCTION("""COMPUTED_VALUE"""),752461)</f>
        <v>752461</v>
      </c>
      <c r="AB51" s="215" t="str">
        <f ca="1">IFERROR(__xludf.DUMMYFUNCTION("""COMPUTED_VALUE"""),"Intermediate")</f>
        <v>Intermediate</v>
      </c>
      <c r="AC51" s="217" t="str">
        <f ca="1">IFERROR(__xludf.DUMMYFUNCTION("""COMPUTED_VALUE"""),"Liderando Mudanças")</f>
        <v>Liderando Mudanças</v>
      </c>
      <c r="AD51" s="217"/>
      <c r="AE51" s="213"/>
      <c r="AF51" s="215"/>
      <c r="AG51" s="215"/>
      <c r="AH51" s="217"/>
      <c r="AI51" s="217"/>
      <c r="AJ51" s="213"/>
    </row>
    <row r="52" spans="1:36" ht="33.75" customHeight="1">
      <c r="A52" s="213"/>
      <c r="B52" s="214">
        <f ca="1">IFERROR(__xludf.DUMMYFUNCTION("""COMPUTED_VALUE"""),797724)</f>
        <v>797724</v>
      </c>
      <c r="C52" s="215" t="str">
        <f ca="1">IFERROR(__xludf.DUMMYFUNCTION("""COMPUTED_VALUE"""),"Beginner + Intermediate")</f>
        <v>Beginner + Intermediate</v>
      </c>
      <c r="D52" s="216" t="str">
        <f ca="1">IFERROR(__xludf.DUMMYFUNCTION("""COMPUTED_VALUE"""),"Leading at a Distance")</f>
        <v>Leading at a Distance</v>
      </c>
      <c r="E52" s="217"/>
      <c r="F52" s="213"/>
      <c r="G52" s="214"/>
      <c r="H52" s="215"/>
      <c r="I52" s="217"/>
      <c r="J52" s="217"/>
      <c r="K52" s="213"/>
      <c r="L52" s="215"/>
      <c r="M52" s="215"/>
      <c r="N52" s="217"/>
      <c r="O52" s="217"/>
      <c r="P52" s="213"/>
      <c r="Q52" s="215">
        <f ca="1">IFERROR(__xludf.DUMMYFUNCTION("""COMPUTED_VALUE"""),2926060)</f>
        <v>2926060</v>
      </c>
      <c r="R52" s="215" t="str">
        <f ca="1">IFERROR(__xludf.DUMMYFUNCTION("""COMPUTED_VALUE"""),"All levels")</f>
        <v>All levels</v>
      </c>
      <c r="S52" s="217" t="str">
        <f ca="1">IFERROR(__xludf.DUMMYFUNCTION("""COMPUTED_VALUE"""),"Sich selbst führen")</f>
        <v>Sich selbst führen</v>
      </c>
      <c r="T52" s="217"/>
      <c r="U52" s="213"/>
      <c r="V52" s="215"/>
      <c r="W52" s="215"/>
      <c r="X52" s="217"/>
      <c r="Y52" s="217"/>
      <c r="Z52" s="213"/>
      <c r="AA52" s="215">
        <f ca="1">IFERROR(__xludf.DUMMYFUNCTION("""COMPUTED_VALUE"""),2896676)</f>
        <v>2896676</v>
      </c>
      <c r="AB52" s="215" t="str">
        <f ca="1">IFERROR(__xludf.DUMMYFUNCTION("""COMPUTED_VALUE"""),"Advanced")</f>
        <v>Advanced</v>
      </c>
      <c r="AC52" s="217" t="str">
        <f ca="1">IFERROR(__xludf.DUMMYFUNCTION("""COMPUTED_VALUE"""),"Mulheres na Liderança: Como Impulsionar a Equidade nas Organizações")</f>
        <v>Mulheres na Liderança: Como Impulsionar a Equidade nas Organizações</v>
      </c>
      <c r="AD52" s="217"/>
      <c r="AE52" s="213"/>
      <c r="AF52" s="215"/>
      <c r="AG52" s="215"/>
      <c r="AH52" s="217"/>
      <c r="AI52" s="217"/>
      <c r="AJ52" s="213"/>
    </row>
    <row r="53" spans="1:36" ht="33.75" customHeight="1">
      <c r="A53" s="213"/>
      <c r="B53" s="214">
        <f ca="1">IFERROR(__xludf.DUMMYFUNCTION("""COMPUTED_VALUE"""),628686)</f>
        <v>628686</v>
      </c>
      <c r="C53" s="215" t="str">
        <f ca="1">IFERROR(__xludf.DUMMYFUNCTION("""COMPUTED_VALUE"""),"Beginner + Intermediate")</f>
        <v>Beginner + Intermediate</v>
      </c>
      <c r="D53" s="216" t="str">
        <f ca="1">IFERROR(__xludf.DUMMYFUNCTION("""COMPUTED_VALUE"""),"Managing Technical Professionals")</f>
        <v>Managing Technical Professionals</v>
      </c>
      <c r="E53" s="217"/>
      <c r="F53" s="213"/>
      <c r="G53" s="214"/>
      <c r="H53" s="215"/>
      <c r="I53" s="217"/>
      <c r="J53" s="217"/>
      <c r="K53" s="213"/>
      <c r="L53" s="215"/>
      <c r="M53" s="215"/>
      <c r="N53" s="217"/>
      <c r="O53" s="217"/>
      <c r="P53" s="213"/>
      <c r="Q53" s="215">
        <f ca="1">IFERROR(__xludf.DUMMYFUNCTION("""COMPUTED_VALUE"""),2876316)</f>
        <v>2876316</v>
      </c>
      <c r="R53" s="215" t="str">
        <f ca="1">IFERROR(__xludf.DUMMYFUNCTION("""COMPUTED_VALUE"""),"Beginner")</f>
        <v>Beginner</v>
      </c>
      <c r="S53" s="217" t="str">
        <f ca="1">IFERROR(__xludf.DUMMYFUNCTION("""COMPUTED_VALUE"""),"Social Media für Führungskräfte")</f>
        <v>Social Media für Führungskräfte</v>
      </c>
      <c r="T53" s="217"/>
      <c r="U53" s="213"/>
      <c r="V53" s="215"/>
      <c r="W53" s="215"/>
      <c r="X53" s="217"/>
      <c r="Y53" s="217"/>
      <c r="Z53" s="213"/>
      <c r="AA53" s="215">
        <f ca="1">IFERROR(__xludf.DUMMYFUNCTION("""COMPUTED_VALUE"""),2908963)</f>
        <v>2908963</v>
      </c>
      <c r="AB53" s="215" t="str">
        <f ca="1">IFERROR(__xludf.DUMMYFUNCTION("""COMPUTED_VALUE"""),"Beginner, Intermediate")</f>
        <v>Beginner, Intermediate</v>
      </c>
      <c r="AC53" s="217" t="str">
        <f ca="1">IFERROR(__xludf.DUMMYFUNCTION("""COMPUTED_VALUE"""),"Mulheres na Liderança: Estratégias Eficazes para o Sucesso Profissional")</f>
        <v>Mulheres na Liderança: Estratégias Eficazes para o Sucesso Profissional</v>
      </c>
      <c r="AD53" s="217"/>
      <c r="AE53" s="213"/>
      <c r="AF53" s="215"/>
      <c r="AG53" s="215"/>
      <c r="AH53" s="217"/>
      <c r="AI53" s="217"/>
      <c r="AJ53" s="213"/>
    </row>
    <row r="54" spans="1:36" ht="33.75" customHeight="1">
      <c r="A54" s="213"/>
      <c r="B54" s="214">
        <f ca="1">IFERROR(__xludf.DUMMYFUNCTION("""COMPUTED_VALUE"""),756283)</f>
        <v>756283</v>
      </c>
      <c r="C54" s="215" t="str">
        <f ca="1">IFERROR(__xludf.DUMMYFUNCTION("""COMPUTED_VALUE"""),"Beginner + Intermediate")</f>
        <v>Beginner + Intermediate</v>
      </c>
      <c r="D54" s="216" t="str">
        <f ca="1">IFERROR(__xludf.DUMMYFUNCTION("""COMPUTED_VALUE"""),"Leading with Emotional Intelligence")</f>
        <v>Leading with Emotional Intelligence</v>
      </c>
      <c r="E54" s="217"/>
      <c r="F54" s="213"/>
      <c r="G54" s="214"/>
      <c r="H54" s="215"/>
      <c r="I54" s="217"/>
      <c r="J54" s="217"/>
      <c r="K54" s="213"/>
      <c r="L54" s="215"/>
      <c r="M54" s="215"/>
      <c r="N54" s="217"/>
      <c r="O54" s="217"/>
      <c r="P54" s="213"/>
      <c r="Q54" s="215">
        <f ca="1">IFERROR(__xludf.DUMMYFUNCTION("""COMPUTED_VALUE"""),5025616)</f>
        <v>5025616</v>
      </c>
      <c r="R54" s="215" t="str">
        <f ca="1">IFERROR(__xludf.DUMMYFUNCTION("""COMPUTED_VALUE"""),"Beginner")</f>
        <v>Beginner</v>
      </c>
      <c r="S54" s="217" t="str">
        <f ca="1">IFERROR(__xludf.DUMMYFUNCTION("""COMPUTED_VALUE"""),"Spitzentalente führen")</f>
        <v>Spitzentalente führen</v>
      </c>
      <c r="T54" s="217"/>
      <c r="U54" s="213"/>
      <c r="V54" s="215"/>
      <c r="W54" s="215"/>
      <c r="X54" s="217"/>
      <c r="Y54" s="217"/>
      <c r="Z54" s="213"/>
      <c r="AA54" s="215">
        <f ca="1">IFERROR(__xludf.DUMMYFUNCTION("""COMPUTED_VALUE"""),2911569)</f>
        <v>2911569</v>
      </c>
      <c r="AB54" s="215" t="str">
        <f ca="1">IFERROR(__xludf.DUMMYFUNCTION("""COMPUTED_VALUE"""),"Intermediate")</f>
        <v>Intermediate</v>
      </c>
      <c r="AC54" s="217" t="str">
        <f ca="1">IFERROR(__xludf.DUMMYFUNCTION("""COMPUTED_VALUE"""),"O Futuro da Gestão de Desempenho")</f>
        <v>O Futuro da Gestão de Desempenho</v>
      </c>
      <c r="AD54" s="217"/>
      <c r="AE54" s="213"/>
      <c r="AF54" s="215"/>
      <c r="AG54" s="215"/>
      <c r="AH54" s="217"/>
      <c r="AI54" s="217"/>
      <c r="AJ54" s="213"/>
    </row>
    <row r="55" spans="1:36" ht="33.75" customHeight="1">
      <c r="A55" s="213"/>
      <c r="B55" s="214">
        <f ca="1">IFERROR(__xludf.DUMMYFUNCTION("""COMPUTED_VALUE"""),5022323)</f>
        <v>5022323</v>
      </c>
      <c r="C55" s="215" t="str">
        <f ca="1">IFERROR(__xludf.DUMMYFUNCTION("""COMPUTED_VALUE"""),"Intermediate")</f>
        <v>Intermediate</v>
      </c>
      <c r="D55" s="216" t="str">
        <f ca="1">IFERROR(__xludf.DUMMYFUNCTION("""COMPUTED_VALUE"""),"Leading with Stories")</f>
        <v>Leading with Stories</v>
      </c>
      <c r="E55" s="217"/>
      <c r="F55" s="213"/>
      <c r="G55" s="214"/>
      <c r="H55" s="215"/>
      <c r="I55" s="217"/>
      <c r="J55" s="217"/>
      <c r="K55" s="213"/>
      <c r="L55" s="215"/>
      <c r="M55" s="215"/>
      <c r="N55" s="217"/>
      <c r="O55" s="217"/>
      <c r="P55" s="213"/>
      <c r="Q55" s="215">
        <f ca="1">IFERROR(__xludf.DUMMYFUNCTION("""COMPUTED_VALUE"""),676841)</f>
        <v>676841</v>
      </c>
      <c r="R55" s="215" t="str">
        <f ca="1">IFERROR(__xludf.DUMMYFUNCTION("""COMPUTED_VALUE"""),"All levels")</f>
        <v>All levels</v>
      </c>
      <c r="S55" s="217" t="str">
        <f ca="1">IFERROR(__xludf.DUMMYFUNCTION("""COMPUTED_VALUE"""),"Storytelling für Führungskräfte")</f>
        <v>Storytelling für Führungskräfte</v>
      </c>
      <c r="T55" s="217"/>
      <c r="U55" s="213"/>
      <c r="V55" s="215"/>
      <c r="W55" s="215"/>
      <c r="X55" s="217"/>
      <c r="Y55" s="217"/>
      <c r="Z55" s="213"/>
      <c r="AA55" s="215">
        <f ca="1">IFERROR(__xludf.DUMMYFUNCTION("""COMPUTED_VALUE"""),753066)</f>
        <v>753066</v>
      </c>
      <c r="AB55" s="215" t="str">
        <f ca="1">IFERROR(__xludf.DUMMYFUNCTION("""COMPUTED_VALUE"""),"Intermediate")</f>
        <v>Intermediate</v>
      </c>
      <c r="AC55" s="217" t="str">
        <f ca="1">IFERROR(__xludf.DUMMYFUNCTION("""COMPUTED_VALUE"""),"O Poder da Autenticidade na Liderança 4.0")</f>
        <v>O Poder da Autenticidade na Liderança 4.0</v>
      </c>
      <c r="AD55" s="217"/>
      <c r="AE55" s="213"/>
      <c r="AF55" s="215"/>
      <c r="AG55" s="215"/>
      <c r="AH55" s="217"/>
      <c r="AI55" s="217"/>
      <c r="AJ55" s="213"/>
    </row>
    <row r="56" spans="1:36" ht="33.75" customHeight="1">
      <c r="A56" s="213"/>
      <c r="B56" s="214">
        <f ca="1">IFERROR(__xludf.DUMMYFUNCTION("""COMPUTED_VALUE"""),713373)</f>
        <v>713373</v>
      </c>
      <c r="C56" s="215" t="str">
        <f ca="1">IFERROR(__xludf.DUMMYFUNCTION("""COMPUTED_VALUE"""),"Intermediate")</f>
        <v>Intermediate</v>
      </c>
      <c r="D56" s="216" t="str">
        <f ca="1">IFERROR(__xludf.DUMMYFUNCTION("""COMPUTED_VALUE"""),"Coaching Skills for Leaders and Managers")</f>
        <v>Coaching Skills for Leaders and Managers</v>
      </c>
      <c r="E56" s="217"/>
      <c r="F56" s="213"/>
      <c r="G56" s="214"/>
      <c r="H56" s="215"/>
      <c r="I56" s="217"/>
      <c r="J56" s="217"/>
      <c r="K56" s="213"/>
      <c r="L56" s="215"/>
      <c r="M56" s="215"/>
      <c r="N56" s="217"/>
      <c r="O56" s="217"/>
      <c r="P56" s="213"/>
      <c r="Q56" s="215">
        <f ca="1">IFERROR(__xludf.DUMMYFUNCTION("""COMPUTED_VALUE"""),561079)</f>
        <v>561079</v>
      </c>
      <c r="R56" s="215" t="str">
        <f ca="1">IFERROR(__xludf.DUMMYFUNCTION("""COMPUTED_VALUE"""),"All levels")</f>
        <v>All levels</v>
      </c>
      <c r="S56" s="217" t="str">
        <f ca="1">IFERROR(__xludf.DUMMYFUNCTION("""COMPUTED_VALUE"""),"Systemisch führen")</f>
        <v>Systemisch führen</v>
      </c>
      <c r="T56" s="217"/>
      <c r="U56" s="213"/>
      <c r="V56" s="215"/>
      <c r="W56" s="215"/>
      <c r="X56" s="217"/>
      <c r="Y56" s="217"/>
      <c r="Z56" s="213"/>
      <c r="AA56" s="215">
        <f ca="1">IFERROR(__xludf.DUMMYFUNCTION("""COMPUTED_VALUE"""),2901332)</f>
        <v>2901332</v>
      </c>
      <c r="AB56" s="215" t="str">
        <f ca="1">IFERROR(__xludf.DUMMYFUNCTION("""COMPUTED_VALUE"""),"All levels")</f>
        <v>All levels</v>
      </c>
      <c r="AC56" s="217" t="str">
        <f ca="1">IFERROR(__xludf.DUMMYFUNCTION("""COMPUTED_VALUE"""),"O Poder das Histórias no Contexto da Liderança")</f>
        <v>O Poder das Histórias no Contexto da Liderança</v>
      </c>
      <c r="AD56" s="217"/>
      <c r="AE56" s="213"/>
      <c r="AF56" s="215"/>
      <c r="AG56" s="215"/>
      <c r="AH56" s="217"/>
      <c r="AI56" s="217"/>
      <c r="AJ56" s="213"/>
    </row>
    <row r="57" spans="1:36" ht="33.75" customHeight="1">
      <c r="A57" s="213"/>
      <c r="B57" s="214">
        <f ca="1">IFERROR(__xludf.DUMMYFUNCTION("""COMPUTED_VALUE"""),672869)</f>
        <v>672869</v>
      </c>
      <c r="C57" s="215" t="str">
        <f ca="1">IFERROR(__xludf.DUMMYFUNCTION("""COMPUTED_VALUE"""),"Intermediate")</f>
        <v>Intermediate</v>
      </c>
      <c r="D57" s="216" t="str">
        <f ca="1">IFERROR(__xludf.DUMMYFUNCTION("""COMPUTED_VALUE"""),"Lead Like a Boss")</f>
        <v>Lead Like a Boss</v>
      </c>
      <c r="E57" s="217"/>
      <c r="F57" s="213"/>
      <c r="G57" s="214"/>
      <c r="H57" s="215"/>
      <c r="I57" s="217"/>
      <c r="J57" s="217"/>
      <c r="K57" s="213"/>
      <c r="L57" s="215"/>
      <c r="M57" s="215"/>
      <c r="N57" s="217"/>
      <c r="O57" s="217"/>
      <c r="P57" s="213"/>
      <c r="Q57" s="215">
        <f ca="1">IFERROR(__xludf.DUMMYFUNCTION("""COMPUTED_VALUE"""),561469)</f>
        <v>561469</v>
      </c>
      <c r="R57" s="215" t="str">
        <f ca="1">IFERROR(__xludf.DUMMYFUNCTION("""COMPUTED_VALUE"""),"All levels")</f>
        <v>All levels</v>
      </c>
      <c r="S57" s="217" t="str">
        <f ca="1">IFERROR(__xludf.DUMMYFUNCTION("""COMPUTED_VALUE"""),"Teams aufbauen, entwickeln und zum Erfolg führen")</f>
        <v>Teams aufbauen, entwickeln und zum Erfolg führen</v>
      </c>
      <c r="T57" s="217"/>
      <c r="U57" s="213"/>
      <c r="V57" s="215"/>
      <c r="W57" s="215"/>
      <c r="X57" s="217"/>
      <c r="Y57" s="217"/>
      <c r="Z57" s="213"/>
      <c r="AA57" s="215">
        <f ca="1">IFERROR(__xludf.DUMMYFUNCTION("""COMPUTED_VALUE"""),2841354)</f>
        <v>2841354</v>
      </c>
      <c r="AB57" s="215" t="str">
        <f ca="1">IFERROR(__xludf.DUMMYFUNCTION("""COMPUTED_VALUE"""),"All levels")</f>
        <v>All levels</v>
      </c>
      <c r="AC57" s="217" t="str">
        <f ca="1">IFERROR(__xludf.DUMMYFUNCTION("""COMPUTED_VALUE"""),"Presença Executiva para Mulheres em Cargos de Liderança")</f>
        <v>Presença Executiva para Mulheres em Cargos de Liderança</v>
      </c>
      <c r="AD57" s="217"/>
      <c r="AE57" s="213"/>
      <c r="AF57" s="215"/>
      <c r="AG57" s="215"/>
      <c r="AH57" s="217"/>
      <c r="AI57" s="217"/>
      <c r="AJ57" s="213"/>
    </row>
    <row r="58" spans="1:36" ht="33.75" customHeight="1">
      <c r="A58" s="213"/>
      <c r="B58" s="214">
        <f ca="1">IFERROR(__xludf.DUMMYFUNCTION("""COMPUTED_VALUE"""),175129)</f>
        <v>175129</v>
      </c>
      <c r="C58" s="215" t="str">
        <f ca="1">IFERROR(__xludf.DUMMYFUNCTION("""COMPUTED_VALUE"""),"Intermediate")</f>
        <v>Intermediate</v>
      </c>
      <c r="D58" s="216" t="str">
        <f ca="1">IFERROR(__xludf.DUMMYFUNCTION("""COMPUTED_VALUE"""),"Leading and Working in Teams")</f>
        <v>Leading and Working in Teams</v>
      </c>
      <c r="E58" s="217"/>
      <c r="F58" s="213"/>
      <c r="G58" s="214"/>
      <c r="H58" s="215"/>
      <c r="I58" s="217"/>
      <c r="J58" s="217"/>
      <c r="K58" s="213"/>
      <c r="L58" s="215"/>
      <c r="M58" s="215"/>
      <c r="N58" s="217"/>
      <c r="O58" s="217"/>
      <c r="P58" s="213"/>
      <c r="Q58" s="215">
        <f ca="1">IFERROR(__xludf.DUMMYFUNCTION("""COMPUTED_VALUE"""),5025611)</f>
        <v>5025611</v>
      </c>
      <c r="R58" s="215" t="str">
        <f ca="1">IFERROR(__xludf.DUMMYFUNCTION("""COMPUTED_VALUE"""),"Intermediate")</f>
        <v>Intermediate</v>
      </c>
      <c r="S58" s="217" t="str">
        <f ca="1">IFERROR(__xludf.DUMMYFUNCTION("""COMPUTED_VALUE"""),"Technische Fachkräfte führen")</f>
        <v>Technische Fachkräfte führen</v>
      </c>
      <c r="T58" s="217"/>
      <c r="U58" s="213"/>
      <c r="V58" s="215"/>
      <c r="W58" s="215"/>
      <c r="X58" s="217"/>
      <c r="Y58" s="217"/>
      <c r="Z58" s="213"/>
      <c r="AA58" s="215">
        <f ca="1">IFERROR(__xludf.DUMMYFUNCTION("""COMPUTED_VALUE"""),2928591)</f>
        <v>2928591</v>
      </c>
      <c r="AB58" s="215" t="str">
        <f ca="1">IFERROR(__xludf.DUMMYFUNCTION("""COMPUTED_VALUE"""),"Intermediate")</f>
        <v>Intermediate</v>
      </c>
      <c r="AC58" s="217" t="str">
        <f ca="1">IFERROR(__xludf.DUMMYFUNCTION("""COMPUTED_VALUE"""),"Recursos Humanos: Estratégias de Remuneração")</f>
        <v>Recursos Humanos: Estratégias de Remuneração</v>
      </c>
      <c r="AD58" s="217"/>
      <c r="AE58" s="213"/>
      <c r="AF58" s="215"/>
      <c r="AG58" s="215"/>
      <c r="AH58" s="217"/>
      <c r="AI58" s="217"/>
      <c r="AJ58" s="213"/>
    </row>
    <row r="59" spans="1:36" ht="33.75" customHeight="1">
      <c r="A59" s="213"/>
      <c r="B59" s="214">
        <f ca="1">IFERROR(__xludf.DUMMYFUNCTION("""COMPUTED_VALUE"""),647651)</f>
        <v>647651</v>
      </c>
      <c r="C59" s="215" t="str">
        <f ca="1">IFERROR(__xludf.DUMMYFUNCTION("""COMPUTED_VALUE"""),"Intermediate")</f>
        <v>Intermediate</v>
      </c>
      <c r="D59" s="216" t="str">
        <f ca="1">IFERROR(__xludf.DUMMYFUNCTION("""COMPUTED_VALUE"""),"Leading Effectively")</f>
        <v>Leading Effectively</v>
      </c>
      <c r="E59" s="217"/>
      <c r="F59" s="213"/>
      <c r="G59" s="214"/>
      <c r="H59" s="215"/>
      <c r="I59" s="217"/>
      <c r="J59" s="217"/>
      <c r="K59" s="213"/>
      <c r="L59" s="215"/>
      <c r="M59" s="215"/>
      <c r="N59" s="217"/>
      <c r="O59" s="217"/>
      <c r="P59" s="213"/>
      <c r="Q59" s="215">
        <f ca="1">IFERROR(__xludf.DUMMYFUNCTION("""COMPUTED_VALUE"""),584324)</f>
        <v>584324</v>
      </c>
      <c r="R59" s="215" t="str">
        <f ca="1">IFERROR(__xludf.DUMMYFUNCTION("""COMPUTED_VALUE"""),"Intermediate")</f>
        <v>Intermediate</v>
      </c>
      <c r="S59" s="217" t="str">
        <f ca="1">IFERROR(__xludf.DUMMYFUNCTION("""COMPUTED_VALUE"""),"Tipps für den Führungsalltag")</f>
        <v>Tipps für den Führungsalltag</v>
      </c>
      <c r="T59" s="217"/>
      <c r="U59" s="213"/>
      <c r="V59" s="215"/>
      <c r="W59" s="215"/>
      <c r="X59" s="217"/>
      <c r="Y59" s="217"/>
      <c r="Z59" s="213"/>
      <c r="AA59" s="215">
        <f ca="1">IFERROR(__xludf.DUMMYFUNCTION("""COMPUTED_VALUE"""),2394498)</f>
        <v>2394498</v>
      </c>
      <c r="AB59" s="215" t="str">
        <f ca="1">IFERROR(__xludf.DUMMYFUNCTION("""COMPUTED_VALUE"""),"Intermediate")</f>
        <v>Intermediate</v>
      </c>
      <c r="AC59" s="217" t="str">
        <f ca="1">IFERROR(__xludf.DUMMYFUNCTION("""COMPUTED_VALUE"""),"Resiliência na Liderança: Como Prosperar em Tempos Difíceis")</f>
        <v>Resiliência na Liderança: Como Prosperar em Tempos Difíceis</v>
      </c>
      <c r="AD59" s="217"/>
      <c r="AE59" s="213"/>
      <c r="AF59" s="215"/>
      <c r="AG59" s="215"/>
      <c r="AH59" s="217"/>
      <c r="AI59" s="217"/>
      <c r="AJ59" s="213"/>
    </row>
    <row r="60" spans="1:36" ht="33.75" customHeight="1">
      <c r="A60" s="213"/>
      <c r="B60" s="214">
        <f ca="1">IFERROR(__xludf.DUMMYFUNCTION("""COMPUTED_VALUE"""),447322)</f>
        <v>447322</v>
      </c>
      <c r="C60" s="215" t="str">
        <f ca="1">IFERROR(__xludf.DUMMYFUNCTION("""COMPUTED_VALUE"""),"Intermediate")</f>
        <v>Intermediate</v>
      </c>
      <c r="D60" s="216" t="str">
        <f ca="1">IFERROR(__xludf.DUMMYFUNCTION("""COMPUTED_VALUE"""),"Leading a Marketing Team")</f>
        <v>Leading a Marketing Team</v>
      </c>
      <c r="E60" s="217"/>
      <c r="F60" s="213"/>
      <c r="G60" s="214"/>
      <c r="H60" s="215"/>
      <c r="I60" s="217"/>
      <c r="J60" s="217"/>
      <c r="K60" s="213"/>
      <c r="L60" s="215"/>
      <c r="M60" s="215"/>
      <c r="N60" s="217"/>
      <c r="O60" s="217"/>
      <c r="P60" s="213"/>
      <c r="Q60" s="215">
        <f ca="1">IFERROR(__xludf.DUMMYFUNCTION("""COMPUTED_VALUE"""),5018536)</f>
        <v>5018536</v>
      </c>
      <c r="R60" s="215" t="str">
        <f ca="1">IFERROR(__xludf.DUMMYFUNCTION("""COMPUTED_VALUE"""),"Beginner")</f>
        <v>Beginner</v>
      </c>
      <c r="S60" s="217" t="str">
        <f ca="1">IFERROR(__xludf.DUMMYFUNCTION("""COMPUTED_VALUE"""),"Unconscious Bias – Unbewusste Denkmuster erkennen und ändern")</f>
        <v>Unconscious Bias – Unbewusste Denkmuster erkennen und ändern</v>
      </c>
      <c r="T60" s="217"/>
      <c r="U60" s="213"/>
      <c r="V60" s="215"/>
      <c r="W60" s="215"/>
      <c r="X60" s="217"/>
      <c r="Y60" s="217"/>
      <c r="Z60" s="213"/>
      <c r="AA60" s="215">
        <f ca="1">IFERROR(__xludf.DUMMYFUNCTION("""COMPUTED_VALUE"""),2436156)</f>
        <v>2436156</v>
      </c>
      <c r="AB60" s="215" t="str">
        <f ca="1">IFERROR(__xludf.DUMMYFUNCTION("""COMPUTED_VALUE"""),"All levels")</f>
        <v>All levels</v>
      </c>
      <c r="AC60" s="217" t="str">
        <f ca="1">IFERROR(__xludf.DUMMYFUNCTION("""COMPUTED_VALUE"""),"Sustentabilidade Ambiental: Um Guia para Líderes Empresariais")</f>
        <v>Sustentabilidade Ambiental: Um Guia para Líderes Empresariais</v>
      </c>
      <c r="AD60" s="217"/>
      <c r="AE60" s="213"/>
      <c r="AF60" s="215"/>
      <c r="AG60" s="215"/>
      <c r="AH60" s="217"/>
      <c r="AI60" s="217"/>
      <c r="AJ60" s="213"/>
    </row>
    <row r="61" spans="1:36" ht="33.75" customHeight="1">
      <c r="A61" s="213"/>
      <c r="B61" s="214">
        <f ca="1">IFERROR(__xludf.DUMMYFUNCTION("""COMPUTED_VALUE"""),808670)</f>
        <v>808670</v>
      </c>
      <c r="C61" s="215" t="str">
        <f ca="1">IFERROR(__xludf.DUMMYFUNCTION("""COMPUTED_VALUE"""),"Intermediate")</f>
        <v>Intermediate</v>
      </c>
      <c r="D61" s="216" t="str">
        <f ca="1">IFERROR(__xludf.DUMMYFUNCTION("""COMPUTED_VALUE"""),"Leading through Relationships")</f>
        <v>Leading through Relationships</v>
      </c>
      <c r="E61" s="217"/>
      <c r="F61" s="213"/>
      <c r="G61" s="214"/>
      <c r="H61" s="215"/>
      <c r="I61" s="217"/>
      <c r="J61" s="217"/>
      <c r="K61" s="213"/>
      <c r="L61" s="215"/>
      <c r="M61" s="215"/>
      <c r="N61" s="217"/>
      <c r="O61" s="217"/>
      <c r="P61" s="213"/>
      <c r="Q61" s="215">
        <f ca="1">IFERROR(__xludf.DUMMYFUNCTION("""COMPUTED_VALUE"""),593052)</f>
        <v>593052</v>
      </c>
      <c r="R61" s="215" t="str">
        <f ca="1">IFERROR(__xludf.DUMMYFUNCTION("""COMPUTED_VALUE"""),"Intermediate")</f>
        <v>Intermediate</v>
      </c>
      <c r="S61" s="217" t="str">
        <f ca="1">IFERROR(__xludf.DUMMYFUNCTION("""COMPUTED_VALUE"""),"Verantwortung als Teil der Unternehmenskultur")</f>
        <v>Verantwortung als Teil der Unternehmenskultur</v>
      </c>
      <c r="T61" s="217"/>
      <c r="U61" s="213"/>
      <c r="V61" s="215"/>
      <c r="W61" s="215"/>
      <c r="X61" s="217"/>
      <c r="Y61" s="217"/>
      <c r="Z61" s="213"/>
      <c r="AA61" s="215">
        <f ca="1">IFERROR(__xludf.DUMMYFUNCTION("""COMPUTED_VALUE"""),2910532)</f>
        <v>2910532</v>
      </c>
      <c r="AB61" s="215" t="str">
        <f ca="1">IFERROR(__xludf.DUMMYFUNCTION("""COMPUTED_VALUE"""),"Intermediate")</f>
        <v>Intermediate</v>
      </c>
      <c r="AC61" s="217" t="str">
        <f ca="1">IFERROR(__xludf.DUMMYFUNCTION("""COMPUTED_VALUE"""),"Técnicas de Coaching para Resultados")</f>
        <v>Técnicas de Coaching para Resultados</v>
      </c>
      <c r="AD61" s="217"/>
      <c r="AE61" s="213"/>
      <c r="AF61" s="215"/>
      <c r="AG61" s="215"/>
      <c r="AH61" s="217"/>
      <c r="AI61" s="217"/>
      <c r="AJ61" s="213"/>
    </row>
    <row r="62" spans="1:36" ht="33.75" customHeight="1">
      <c r="A62" s="213"/>
      <c r="B62" s="214">
        <f ca="1">IFERROR(__xludf.DUMMYFUNCTION("""COMPUTED_VALUE"""),2802024)</f>
        <v>2802024</v>
      </c>
      <c r="C62" s="215" t="str">
        <f ca="1">IFERROR(__xludf.DUMMYFUNCTION("""COMPUTED_VALUE"""),"Intermediate")</f>
        <v>Intermediate</v>
      </c>
      <c r="D62" s="216" t="str">
        <f ca="1">IFERROR(__xludf.DUMMYFUNCTION("""COMPUTED_VALUE"""),"Business Ethics for Managers and Leaders")</f>
        <v>Business Ethics for Managers and Leaders</v>
      </c>
      <c r="E62" s="217"/>
      <c r="F62" s="213"/>
      <c r="G62" s="214"/>
      <c r="H62" s="215"/>
      <c r="I62" s="217"/>
      <c r="J62" s="217"/>
      <c r="K62" s="213"/>
      <c r="L62" s="215"/>
      <c r="M62" s="215"/>
      <c r="N62" s="217"/>
      <c r="O62" s="217"/>
      <c r="P62" s="213"/>
      <c r="Q62" s="215">
        <f ca="1">IFERROR(__xludf.DUMMYFUNCTION("""COMPUTED_VALUE"""),3148342)</f>
        <v>3148342</v>
      </c>
      <c r="R62" s="215" t="str">
        <f ca="1">IFERROR(__xludf.DUMMYFUNCTION("""COMPUTED_VALUE"""),"Intermediate")</f>
        <v>Intermediate</v>
      </c>
      <c r="S62" s="217" t="str">
        <f ca="1">IFERROR(__xludf.DUMMYFUNCTION("""COMPUTED_VALUE"""),"Virtuelle Teams führen")</f>
        <v>Virtuelle Teams führen</v>
      </c>
      <c r="T62" s="217"/>
      <c r="U62" s="213"/>
      <c r="V62" s="215"/>
      <c r="W62" s="215"/>
      <c r="X62" s="217"/>
      <c r="Y62" s="217"/>
      <c r="Z62" s="213"/>
      <c r="AA62" s="215">
        <f ca="1">IFERROR(__xludf.DUMMYFUNCTION("""COMPUTED_VALUE"""),2903152)</f>
        <v>2903152</v>
      </c>
      <c r="AB62" s="215" t="str">
        <f ca="1">IFERROR(__xludf.DUMMYFUNCTION("""COMPUTED_VALUE"""),"All levels")</f>
        <v>All levels</v>
      </c>
      <c r="AC62" s="217" t="str">
        <f ca="1">IFERROR(__xludf.DUMMYFUNCTION("""COMPUTED_VALUE"""),"Técnicas de Gestão de Tempo para Gerentes")</f>
        <v>Técnicas de Gestão de Tempo para Gerentes</v>
      </c>
      <c r="AD62" s="217"/>
      <c r="AE62" s="213"/>
      <c r="AF62" s="215"/>
      <c r="AG62" s="215"/>
      <c r="AH62" s="217"/>
      <c r="AI62" s="217"/>
      <c r="AJ62" s="213"/>
    </row>
    <row r="63" spans="1:36" ht="33.75" customHeight="1">
      <c r="A63" s="213"/>
      <c r="B63" s="214">
        <f ca="1">IFERROR(__xludf.DUMMYFUNCTION("""COMPUTED_VALUE"""),2812534)</f>
        <v>2812534</v>
      </c>
      <c r="C63" s="215" t="str">
        <f ca="1">IFERROR(__xludf.DUMMYFUNCTION("""COMPUTED_VALUE"""),"Intermediate")</f>
        <v>Intermediate</v>
      </c>
      <c r="D63" s="216" t="str">
        <f ca="1">IFERROR(__xludf.DUMMYFUNCTION("""COMPUTED_VALUE"""),"Lessons in Enlightened Leadership")</f>
        <v>Lessons in Enlightened Leadership</v>
      </c>
      <c r="E63" s="217"/>
      <c r="F63" s="213"/>
      <c r="G63" s="214"/>
      <c r="H63" s="215"/>
      <c r="I63" s="217"/>
      <c r="J63" s="217"/>
      <c r="K63" s="213"/>
      <c r="L63" s="215"/>
      <c r="M63" s="215"/>
      <c r="N63" s="217"/>
      <c r="O63" s="217"/>
      <c r="P63" s="213"/>
      <c r="Q63" s="215">
        <f ca="1">IFERROR(__xludf.DUMMYFUNCTION("""COMPUTED_VALUE"""),593048)</f>
        <v>593048</v>
      </c>
      <c r="R63" s="215" t="str">
        <f ca="1">IFERROR(__xludf.DUMMYFUNCTION("""COMPUTED_VALUE"""),"Beginner")</f>
        <v>Beginner</v>
      </c>
      <c r="S63" s="217" t="str">
        <f ca="1">IFERROR(__xludf.DUMMYFUNCTION("""COMPUTED_VALUE"""),"Vom Manager zum Leader")</f>
        <v>Vom Manager zum Leader</v>
      </c>
      <c r="T63" s="217"/>
      <c r="U63" s="213"/>
      <c r="V63" s="215"/>
      <c r="W63" s="215"/>
      <c r="X63" s="217"/>
      <c r="Y63" s="217"/>
      <c r="Z63" s="213"/>
      <c r="AA63" s="215">
        <f ca="1">IFERROR(__xludf.DUMMYFUNCTION("""COMPUTED_VALUE"""),753083)</f>
        <v>753083</v>
      </c>
      <c r="AB63" s="215" t="str">
        <f ca="1">IFERROR(__xludf.DUMMYFUNCTION("""COMPUTED_VALUE"""),"Intermediate")</f>
        <v>Intermediate</v>
      </c>
      <c r="AC63" s="217" t="str">
        <f ca="1">IFERROR(__xludf.DUMMYFUNCTION("""COMPUTED_VALUE"""),"Tomada de Decisões Executivas")</f>
        <v>Tomada de Decisões Executivas</v>
      </c>
      <c r="AD63" s="217"/>
      <c r="AE63" s="213"/>
      <c r="AF63" s="215"/>
      <c r="AG63" s="215"/>
      <c r="AH63" s="217"/>
      <c r="AI63" s="217"/>
      <c r="AJ63" s="213"/>
    </row>
    <row r="64" spans="1:36" ht="33.75" customHeight="1">
      <c r="A64" s="213"/>
      <c r="B64" s="214">
        <f ca="1">IFERROR(__xludf.DUMMYFUNCTION("""COMPUTED_VALUE"""),2228264)</f>
        <v>2228264</v>
      </c>
      <c r="C64" s="215" t="str">
        <f ca="1">IFERROR(__xludf.DUMMYFUNCTION("""COMPUTED_VALUE"""),"Intermediate")</f>
        <v>Intermediate</v>
      </c>
      <c r="D64" s="216" t="str">
        <f ca="1">IFERROR(__xludf.DUMMYFUNCTION("""COMPUTED_VALUE"""),"Having Career Conversations with Your Team")</f>
        <v>Having Career Conversations with Your Team</v>
      </c>
      <c r="E64" s="217"/>
      <c r="F64" s="213"/>
      <c r="G64" s="214"/>
      <c r="H64" s="215"/>
      <c r="I64" s="217"/>
      <c r="J64" s="217"/>
      <c r="K64" s="213"/>
      <c r="L64" s="215"/>
      <c r="M64" s="215"/>
      <c r="N64" s="217"/>
      <c r="O64" s="217"/>
      <c r="P64" s="213"/>
      <c r="Q64" s="215">
        <f ca="1">IFERROR(__xludf.DUMMYFUNCTION("""COMPUTED_VALUE"""),565181)</f>
        <v>565181</v>
      </c>
      <c r="R64" s="215" t="str">
        <f ca="1">IFERROR(__xludf.DUMMYFUNCTION("""COMPUTED_VALUE"""),"Beginner, Intermediate")</f>
        <v>Beginner, Intermediate</v>
      </c>
      <c r="S64" s="217" t="str">
        <f ca="1">IFERROR(__xludf.DUMMYFUNCTION("""COMPUTED_VALUE"""),"Von Ohnmacht zu Macht: Kontrolle übernehmen")</f>
        <v>Von Ohnmacht zu Macht: Kontrolle übernehmen</v>
      </c>
      <c r="T64" s="217"/>
      <c r="U64" s="213"/>
      <c r="V64" s="215"/>
      <c r="W64" s="215"/>
      <c r="X64" s="217"/>
      <c r="Y64" s="217"/>
      <c r="Z64" s="213"/>
      <c r="AA64" s="215">
        <f ca="1">IFERROR(__xludf.DUMMYFUNCTION("""COMPUTED_VALUE"""),753208)</f>
        <v>753208</v>
      </c>
      <c r="AB64" s="215" t="str">
        <f ca="1">IFERROR(__xludf.DUMMYFUNCTION("""COMPUTED_VALUE"""),"Intermediate")</f>
        <v>Intermediate</v>
      </c>
      <c r="AC64" s="217" t="str">
        <f ca="1">IFERROR(__xludf.DUMMYFUNCTION("""COMPUTED_VALUE"""),"Tomada de Riscos para Líderes")</f>
        <v>Tomada de Riscos para Líderes</v>
      </c>
      <c r="AD64" s="217"/>
      <c r="AE64" s="213"/>
      <c r="AF64" s="215"/>
      <c r="AG64" s="215"/>
      <c r="AH64" s="217"/>
      <c r="AI64" s="217"/>
      <c r="AJ64" s="213"/>
    </row>
    <row r="65" spans="1:36" ht="33.75" customHeight="1">
      <c r="A65" s="213"/>
      <c r="B65" s="214">
        <f ca="1">IFERROR(__xludf.DUMMYFUNCTION("""COMPUTED_VALUE"""),2893004)</f>
        <v>2893004</v>
      </c>
      <c r="C65" s="215" t="str">
        <f ca="1">IFERROR(__xludf.DUMMYFUNCTION("""COMPUTED_VALUE"""),"Intermediate")</f>
        <v>Intermediate</v>
      </c>
      <c r="D65" s="216" t="str">
        <f ca="1">IFERROR(__xludf.DUMMYFUNCTION("""COMPUTED_VALUE"""),"Compassionate Leadership")</f>
        <v>Compassionate Leadership</v>
      </c>
      <c r="E65" s="217"/>
      <c r="F65" s="213"/>
      <c r="G65" s="214"/>
      <c r="H65" s="215"/>
      <c r="I65" s="217"/>
      <c r="J65" s="217"/>
      <c r="K65" s="213"/>
      <c r="L65" s="215"/>
      <c r="M65" s="215"/>
      <c r="N65" s="217"/>
      <c r="O65" s="217"/>
      <c r="P65" s="213"/>
      <c r="Q65" s="215">
        <f ca="1">IFERROR(__xludf.DUMMYFUNCTION("""COMPUTED_VALUE"""),641774)</f>
        <v>641774</v>
      </c>
      <c r="R65" s="215" t="str">
        <f ca="1">IFERROR(__xludf.DUMMYFUNCTION("""COMPUTED_VALUE"""),"Intermediate")</f>
        <v>Intermediate</v>
      </c>
      <c r="S65" s="217" t="str">
        <f ca="1">IFERROR(__xludf.DUMMYFUNCTION("""COMPUTED_VALUE"""),"Werteorientiertes Management")</f>
        <v>Werteorientiertes Management</v>
      </c>
      <c r="T65" s="217"/>
      <c r="U65" s="213"/>
      <c r="V65" s="215"/>
      <c r="W65" s="215"/>
      <c r="X65" s="217"/>
      <c r="Y65" s="217"/>
      <c r="Z65" s="213"/>
      <c r="AA65" s="215">
        <f ca="1">IFERROR(__xludf.DUMMYFUNCTION("""COMPUTED_VALUE"""),2910535)</f>
        <v>2910535</v>
      </c>
      <c r="AB65" s="215" t="str">
        <f ca="1">IFERROR(__xludf.DUMMYFUNCTION("""COMPUTED_VALUE"""),"All levels")</f>
        <v>All levels</v>
      </c>
      <c r="AC65" s="217" t="str">
        <f ca="1">IFERROR(__xludf.DUMMYFUNCTION("""COMPUTED_VALUE"""),"Truques Criativos para Líderes")</f>
        <v>Truques Criativos para Líderes</v>
      </c>
      <c r="AD65" s="217"/>
      <c r="AE65" s="213"/>
      <c r="AF65" s="215"/>
      <c r="AG65" s="215"/>
      <c r="AH65" s="217"/>
      <c r="AI65" s="217"/>
      <c r="AJ65" s="213"/>
    </row>
    <row r="66" spans="1:36" ht="33.75" customHeight="1">
      <c r="A66" s="213"/>
      <c r="B66" s="214">
        <f ca="1">IFERROR(__xludf.DUMMYFUNCTION("""COMPUTED_VALUE"""),2888004)</f>
        <v>2888004</v>
      </c>
      <c r="C66" s="215" t="str">
        <f ca="1">IFERROR(__xludf.DUMMYFUNCTION("""COMPUTED_VALUE"""),"Intermediate")</f>
        <v>Intermediate</v>
      </c>
      <c r="D66" s="216" t="str">
        <f ca="1">IFERROR(__xludf.DUMMYFUNCTION("""COMPUTED_VALUE"""),"Creative Thinking Strategies for Leaders")</f>
        <v>Creative Thinking Strategies for Leaders</v>
      </c>
      <c r="E66" s="217"/>
      <c r="F66" s="213"/>
      <c r="G66" s="214"/>
      <c r="H66" s="215"/>
      <c r="I66" s="217"/>
      <c r="J66" s="217"/>
      <c r="K66" s="213"/>
      <c r="L66" s="215"/>
      <c r="M66" s="215"/>
      <c r="N66" s="217"/>
      <c r="O66" s="217"/>
      <c r="P66" s="213"/>
      <c r="Q66" s="215"/>
      <c r="R66" s="215"/>
      <c r="S66" s="217"/>
      <c r="T66" s="217"/>
      <c r="U66" s="213"/>
      <c r="V66" s="215"/>
      <c r="W66" s="215"/>
      <c r="X66" s="217"/>
      <c r="Y66" s="217"/>
      <c r="Z66" s="213"/>
      <c r="AA66" s="215"/>
      <c r="AB66" s="215"/>
      <c r="AC66" s="217"/>
      <c r="AD66" s="217"/>
      <c r="AE66" s="213"/>
      <c r="AF66" s="215"/>
      <c r="AG66" s="215"/>
      <c r="AH66" s="217"/>
      <c r="AI66" s="217"/>
      <c r="AJ66" s="213"/>
    </row>
    <row r="67" spans="1:36" ht="33.75" customHeight="1">
      <c r="A67" s="213"/>
      <c r="B67" s="214">
        <f ca="1">IFERROR(__xludf.DUMMYFUNCTION("""COMPUTED_VALUE"""),2822677)</f>
        <v>2822677</v>
      </c>
      <c r="C67" s="215" t="str">
        <f ca="1">IFERROR(__xludf.DUMMYFUNCTION("""COMPUTED_VALUE"""),"Intermediate")</f>
        <v>Intermediate</v>
      </c>
      <c r="D67" s="216" t="str">
        <f ca="1">IFERROR(__xludf.DUMMYFUNCTION("""COMPUTED_VALUE"""),"Leading and Motivating People with Different Personalities")</f>
        <v>Leading and Motivating People with Different Personalities</v>
      </c>
      <c r="E67" s="217"/>
      <c r="F67" s="213"/>
      <c r="G67" s="214"/>
      <c r="H67" s="215"/>
      <c r="I67" s="217"/>
      <c r="J67" s="217"/>
      <c r="K67" s="213"/>
      <c r="L67" s="215"/>
      <c r="M67" s="215"/>
      <c r="N67" s="217"/>
      <c r="O67" s="217"/>
      <c r="P67" s="213"/>
      <c r="Q67" s="215"/>
      <c r="R67" s="215"/>
      <c r="S67" s="217"/>
      <c r="T67" s="217"/>
      <c r="U67" s="213"/>
      <c r="V67" s="215"/>
      <c r="W67" s="215"/>
      <c r="X67" s="217"/>
      <c r="Y67" s="217"/>
      <c r="Z67" s="213"/>
      <c r="AA67" s="215"/>
      <c r="AB67" s="215"/>
      <c r="AC67" s="217"/>
      <c r="AD67" s="217"/>
      <c r="AE67" s="213"/>
      <c r="AF67" s="215"/>
      <c r="AG67" s="215"/>
      <c r="AH67" s="217"/>
      <c r="AI67" s="217"/>
      <c r="AJ67" s="213"/>
    </row>
    <row r="68" spans="1:36" ht="33.75" customHeight="1">
      <c r="A68" s="213"/>
      <c r="B68" s="214">
        <f ca="1">IFERROR(__xludf.DUMMYFUNCTION("""COMPUTED_VALUE"""),2421749)</f>
        <v>2421749</v>
      </c>
      <c r="C68" s="215" t="str">
        <f ca="1">IFERROR(__xludf.DUMMYFUNCTION("""COMPUTED_VALUE"""),"Intermediate")</f>
        <v>Intermediate</v>
      </c>
      <c r="D68" s="216" t="str">
        <f ca="1">IFERROR(__xludf.DUMMYFUNCTION("""COMPUTED_VALUE"""),"Leading in the Moment")</f>
        <v>Leading in the Moment</v>
      </c>
      <c r="E68" s="217"/>
      <c r="F68" s="213"/>
      <c r="G68" s="214"/>
      <c r="H68" s="215"/>
      <c r="I68" s="217"/>
      <c r="J68" s="217"/>
      <c r="K68" s="213"/>
      <c r="L68" s="215"/>
      <c r="M68" s="215"/>
      <c r="N68" s="217"/>
      <c r="O68" s="217"/>
      <c r="P68" s="213"/>
      <c r="Q68" s="215"/>
      <c r="R68" s="215"/>
      <c r="S68" s="217"/>
      <c r="T68" s="217"/>
      <c r="U68" s="213"/>
      <c r="V68" s="215"/>
      <c r="W68" s="215"/>
      <c r="X68" s="217"/>
      <c r="Y68" s="217"/>
      <c r="Z68" s="213"/>
      <c r="AA68" s="215"/>
      <c r="AB68" s="215"/>
      <c r="AC68" s="217"/>
      <c r="AD68" s="217"/>
      <c r="AE68" s="213"/>
      <c r="AF68" s="215"/>
      <c r="AG68" s="215"/>
      <c r="AH68" s="217"/>
      <c r="AI68" s="217"/>
      <c r="AJ68" s="213"/>
    </row>
    <row r="69" spans="1:36" ht="33.75" customHeight="1">
      <c r="A69" s="213"/>
      <c r="B69" s="214">
        <f ca="1">IFERROR(__xludf.DUMMYFUNCTION("""COMPUTED_VALUE"""),2427563)</f>
        <v>2427563</v>
      </c>
      <c r="C69" s="215" t="str">
        <f ca="1">IFERROR(__xludf.DUMMYFUNCTION("""COMPUTED_VALUE"""),"Intermediate")</f>
        <v>Intermediate</v>
      </c>
      <c r="D69" s="216" t="str">
        <f ca="1">IFERROR(__xludf.DUMMYFUNCTION("""COMPUTED_VALUE"""),"Coaching Virtually")</f>
        <v>Coaching Virtually</v>
      </c>
      <c r="E69" s="217"/>
      <c r="F69" s="213"/>
      <c r="G69" s="214"/>
      <c r="H69" s="215"/>
      <c r="I69" s="217"/>
      <c r="J69" s="217"/>
      <c r="K69" s="213"/>
      <c r="L69" s="215"/>
      <c r="M69" s="215"/>
      <c r="N69" s="217"/>
      <c r="O69" s="217"/>
      <c r="P69" s="213"/>
      <c r="Q69" s="215"/>
      <c r="R69" s="215"/>
      <c r="S69" s="217"/>
      <c r="T69" s="217"/>
      <c r="U69" s="213"/>
      <c r="V69" s="215"/>
      <c r="W69" s="215"/>
      <c r="X69" s="217"/>
      <c r="Y69" s="217"/>
      <c r="Z69" s="213"/>
      <c r="AA69" s="215"/>
      <c r="AB69" s="215"/>
      <c r="AC69" s="217"/>
      <c r="AD69" s="217"/>
      <c r="AE69" s="213"/>
      <c r="AF69" s="215"/>
      <c r="AG69" s="215"/>
      <c r="AH69" s="217"/>
      <c r="AI69" s="217"/>
      <c r="AJ69" s="213"/>
    </row>
    <row r="70" spans="1:36" ht="33.75" customHeight="1">
      <c r="A70" s="213"/>
      <c r="B70" s="214">
        <f ca="1">IFERROR(__xludf.DUMMYFUNCTION("""COMPUTED_VALUE"""),2809355)</f>
        <v>2809355</v>
      </c>
      <c r="C70" s="215" t="str">
        <f ca="1">IFERROR(__xludf.DUMMYFUNCTION("""COMPUTED_VALUE"""),"General")</f>
        <v>General</v>
      </c>
      <c r="D70" s="216" t="str">
        <f ca="1">IFERROR(__xludf.DUMMYFUNCTION("""COMPUTED_VALUE"""),"Body Language for Leaders")</f>
        <v>Body Language for Leaders</v>
      </c>
      <c r="E70" s="217"/>
      <c r="F70" s="213"/>
      <c r="G70" s="214"/>
      <c r="H70" s="215"/>
      <c r="I70" s="217"/>
      <c r="J70" s="217"/>
      <c r="K70" s="213"/>
      <c r="L70" s="215"/>
      <c r="M70" s="215"/>
      <c r="N70" s="217"/>
      <c r="O70" s="217"/>
      <c r="P70" s="213"/>
      <c r="Q70" s="215"/>
      <c r="R70" s="215"/>
      <c r="S70" s="217"/>
      <c r="T70" s="217"/>
      <c r="U70" s="213"/>
      <c r="V70" s="215"/>
      <c r="W70" s="215"/>
      <c r="X70" s="217"/>
      <c r="Y70" s="217"/>
      <c r="Z70" s="213"/>
      <c r="AA70" s="215"/>
      <c r="AB70" s="215"/>
      <c r="AC70" s="217"/>
      <c r="AD70" s="217"/>
      <c r="AE70" s="213"/>
      <c r="AF70" s="215"/>
      <c r="AG70" s="215"/>
      <c r="AH70" s="217"/>
      <c r="AI70" s="217"/>
      <c r="AJ70" s="213"/>
    </row>
    <row r="71" spans="1:36" ht="33.75" customHeight="1">
      <c r="A71" s="213"/>
      <c r="B71" s="214">
        <f ca="1">IFERROR(__xludf.DUMMYFUNCTION("""COMPUTED_VALUE"""),564548)</f>
        <v>564548</v>
      </c>
      <c r="C71" s="215" t="str">
        <f ca="1">IFERROR(__xludf.DUMMYFUNCTION("""COMPUTED_VALUE"""),"General")</f>
        <v>General</v>
      </c>
      <c r="D71" s="216" t="str">
        <f ca="1">IFERROR(__xludf.DUMMYFUNCTION("""COMPUTED_VALUE"""),"Jeff Weiner on Managing Compassionately")</f>
        <v>Jeff Weiner on Managing Compassionately</v>
      </c>
      <c r="E71" s="217"/>
      <c r="F71" s="213"/>
      <c r="G71" s="214"/>
      <c r="H71" s="215"/>
      <c r="I71" s="217"/>
      <c r="J71" s="217"/>
      <c r="K71" s="213"/>
      <c r="L71" s="215"/>
      <c r="M71" s="215"/>
      <c r="N71" s="217"/>
      <c r="O71" s="217"/>
      <c r="P71" s="213"/>
      <c r="Q71" s="215"/>
      <c r="R71" s="215"/>
      <c r="S71" s="217"/>
      <c r="T71" s="217"/>
      <c r="U71" s="213"/>
      <c r="V71" s="215"/>
      <c r="W71" s="215"/>
      <c r="X71" s="217"/>
      <c r="Y71" s="217"/>
      <c r="Z71" s="213"/>
      <c r="AA71" s="215"/>
      <c r="AB71" s="215"/>
      <c r="AC71" s="217"/>
      <c r="AD71" s="217"/>
      <c r="AE71" s="213"/>
      <c r="AF71" s="215"/>
      <c r="AG71" s="215"/>
      <c r="AH71" s="217"/>
      <c r="AI71" s="217"/>
      <c r="AJ71" s="213"/>
    </row>
    <row r="72" spans="1:36" ht="33.75" customHeight="1">
      <c r="A72" s="213"/>
      <c r="B72" s="214">
        <f ca="1">IFERROR(__xludf.DUMMYFUNCTION("""COMPUTED_VALUE"""),2243043)</f>
        <v>2243043</v>
      </c>
      <c r="C72" s="215" t="str">
        <f ca="1">IFERROR(__xludf.DUMMYFUNCTION("""COMPUTED_VALUE"""),"General")</f>
        <v>General</v>
      </c>
      <c r="D72" s="216" t="str">
        <f ca="1">IFERROR(__xludf.DUMMYFUNCTION("""COMPUTED_VALUE"""),"The Secret: What Great Leaders Know and Do (getAbstract Summary)")</f>
        <v>The Secret: What Great Leaders Know and Do (getAbstract Summary)</v>
      </c>
      <c r="E72" s="217"/>
      <c r="F72" s="213"/>
      <c r="G72" s="214"/>
      <c r="H72" s="215"/>
      <c r="I72" s="217"/>
      <c r="J72" s="217"/>
      <c r="K72" s="213"/>
      <c r="L72" s="215"/>
      <c r="M72" s="215"/>
      <c r="N72" s="217"/>
      <c r="O72" s="217"/>
      <c r="P72" s="213"/>
      <c r="Q72" s="215"/>
      <c r="R72" s="215"/>
      <c r="S72" s="217"/>
      <c r="T72" s="217"/>
      <c r="U72" s="213"/>
      <c r="V72" s="215"/>
      <c r="W72" s="215"/>
      <c r="X72" s="217"/>
      <c r="Y72" s="217"/>
      <c r="Z72" s="213"/>
      <c r="AA72" s="215"/>
      <c r="AB72" s="215"/>
      <c r="AC72" s="217"/>
      <c r="AD72" s="217"/>
      <c r="AE72" s="213"/>
      <c r="AF72" s="215"/>
      <c r="AG72" s="215"/>
      <c r="AH72" s="217"/>
      <c r="AI72" s="217"/>
      <c r="AJ72" s="213"/>
    </row>
    <row r="73" spans="1:36" ht="33.75" customHeight="1">
      <c r="A73" s="213"/>
      <c r="B73" s="214">
        <f ca="1">IFERROR(__xludf.DUMMYFUNCTION("""COMPUTED_VALUE"""),2832011)</f>
        <v>2832011</v>
      </c>
      <c r="C73" s="215" t="str">
        <f ca="1">IFERROR(__xludf.DUMMYFUNCTION("""COMPUTED_VALUE"""),"General")</f>
        <v>General</v>
      </c>
      <c r="D73" s="216" t="str">
        <f ca="1">IFERROR(__xludf.DUMMYFUNCTION("""COMPUTED_VALUE"""),"Establishing Work from Home Policies")</f>
        <v>Establishing Work from Home Policies</v>
      </c>
      <c r="E73" s="217"/>
      <c r="F73" s="213"/>
      <c r="G73" s="214"/>
      <c r="H73" s="215"/>
      <c r="I73" s="217"/>
      <c r="J73" s="217"/>
      <c r="K73" s="213"/>
      <c r="L73" s="215"/>
      <c r="M73" s="215"/>
      <c r="N73" s="217"/>
      <c r="O73" s="217"/>
      <c r="P73" s="213"/>
      <c r="Q73" s="215"/>
      <c r="R73" s="215"/>
      <c r="S73" s="217"/>
      <c r="T73" s="217"/>
      <c r="U73" s="213"/>
      <c r="V73" s="215"/>
      <c r="W73" s="215"/>
      <c r="X73" s="217"/>
      <c r="Y73" s="217"/>
      <c r="Z73" s="213"/>
      <c r="AA73" s="215"/>
      <c r="AB73" s="215"/>
      <c r="AC73" s="217"/>
      <c r="AD73" s="217"/>
      <c r="AE73" s="213"/>
      <c r="AF73" s="215"/>
      <c r="AG73" s="215"/>
      <c r="AH73" s="217"/>
      <c r="AI73" s="217"/>
      <c r="AJ73" s="213"/>
    </row>
    <row r="74" spans="1:36" ht="33.75" customHeight="1">
      <c r="A74" s="213"/>
      <c r="B74" s="214">
        <f ca="1">IFERROR(__xludf.DUMMYFUNCTION("""COMPUTED_VALUE"""),2820012)</f>
        <v>2820012</v>
      </c>
      <c r="C74" s="215" t="str">
        <f ca="1">IFERROR(__xludf.DUMMYFUNCTION("""COMPUTED_VALUE"""),"General")</f>
        <v>General</v>
      </c>
      <c r="D74" s="216" t="str">
        <f ca="1">IFERROR(__xludf.DUMMYFUNCTION("""COMPUTED_VALUE"""),"Conducting Motivational 1-on-1 Reviews")</f>
        <v>Conducting Motivational 1-on-1 Reviews</v>
      </c>
      <c r="E74" s="217"/>
      <c r="F74" s="213"/>
      <c r="G74" s="214"/>
      <c r="H74" s="215"/>
      <c r="I74" s="217"/>
      <c r="J74" s="217"/>
      <c r="K74" s="213"/>
      <c r="L74" s="215"/>
      <c r="M74" s="215"/>
      <c r="N74" s="217"/>
      <c r="O74" s="217"/>
      <c r="P74" s="213"/>
      <c r="Q74" s="215"/>
      <c r="R74" s="215"/>
      <c r="S74" s="217"/>
      <c r="T74" s="217"/>
      <c r="U74" s="213"/>
      <c r="V74" s="215"/>
      <c r="W74" s="215"/>
      <c r="X74" s="217"/>
      <c r="Y74" s="217"/>
      <c r="Z74" s="213"/>
      <c r="AA74" s="215"/>
      <c r="AB74" s="215"/>
      <c r="AC74" s="217"/>
      <c r="AD74" s="217"/>
      <c r="AE74" s="213"/>
      <c r="AF74" s="215"/>
      <c r="AG74" s="215"/>
      <c r="AH74" s="217"/>
      <c r="AI74" s="217"/>
      <c r="AJ74" s="213"/>
    </row>
    <row r="75" spans="1:36" ht="33.75" customHeight="1">
      <c r="A75" s="213"/>
      <c r="B75" s="214">
        <f ca="1">IFERROR(__xludf.DUMMYFUNCTION("""COMPUTED_VALUE"""),2834033)</f>
        <v>2834033</v>
      </c>
      <c r="C75" s="215" t="str">
        <f ca="1">IFERROR(__xludf.DUMMYFUNCTION("""COMPUTED_VALUE"""),"General")</f>
        <v>General</v>
      </c>
      <c r="D75" s="216" t="str">
        <f ca="1">IFERROR(__xludf.DUMMYFUNCTION("""COMPUTED_VALUE"""),"Jeff Weiner on Leading like a CEO")</f>
        <v>Jeff Weiner on Leading like a CEO</v>
      </c>
      <c r="E75" s="217"/>
      <c r="F75" s="213"/>
      <c r="G75" s="214"/>
      <c r="H75" s="215"/>
      <c r="I75" s="217"/>
      <c r="J75" s="217"/>
      <c r="K75" s="213"/>
      <c r="L75" s="215"/>
      <c r="M75" s="215"/>
      <c r="N75" s="217"/>
      <c r="O75" s="217"/>
      <c r="P75" s="213"/>
      <c r="Q75" s="215"/>
      <c r="R75" s="215"/>
      <c r="S75" s="217"/>
      <c r="T75" s="217"/>
      <c r="U75" s="213"/>
      <c r="V75" s="215"/>
      <c r="W75" s="215"/>
      <c r="X75" s="217"/>
      <c r="Y75" s="217"/>
      <c r="Z75" s="213"/>
      <c r="AA75" s="215"/>
      <c r="AB75" s="215"/>
      <c r="AC75" s="217"/>
      <c r="AD75" s="217"/>
      <c r="AE75" s="213"/>
      <c r="AF75" s="215"/>
      <c r="AG75" s="215"/>
      <c r="AH75" s="217"/>
      <c r="AI75" s="217"/>
      <c r="AJ75" s="213"/>
    </row>
    <row r="76" spans="1:36" ht="33.75" customHeight="1">
      <c r="A76" s="213"/>
      <c r="B76" s="214">
        <f ca="1">IFERROR(__xludf.DUMMYFUNCTION("""COMPUTED_VALUE"""),2877028)</f>
        <v>2877028</v>
      </c>
      <c r="C76" s="215" t="str">
        <f ca="1">IFERROR(__xludf.DUMMYFUNCTION("""COMPUTED_VALUE"""),"General")</f>
        <v>General</v>
      </c>
      <c r="D76" s="216" t="str">
        <f ca="1">IFERROR(__xludf.DUMMYFUNCTION("""COMPUTED_VALUE"""),"Becoming a Manager Your Team Loves")</f>
        <v>Becoming a Manager Your Team Loves</v>
      </c>
      <c r="E76" s="217"/>
      <c r="F76" s="213"/>
      <c r="G76" s="214"/>
      <c r="H76" s="215"/>
      <c r="I76" s="217"/>
      <c r="J76" s="217"/>
      <c r="K76" s="213"/>
      <c r="L76" s="215"/>
      <c r="M76" s="215"/>
      <c r="N76" s="217"/>
      <c r="O76" s="217"/>
      <c r="P76" s="213"/>
      <c r="Q76" s="215"/>
      <c r="R76" s="215"/>
      <c r="S76" s="217"/>
      <c r="T76" s="217"/>
      <c r="U76" s="213"/>
      <c r="V76" s="215"/>
      <c r="W76" s="215"/>
      <c r="X76" s="217"/>
      <c r="Y76" s="217"/>
      <c r="Z76" s="213"/>
      <c r="AA76" s="215"/>
      <c r="AB76" s="215"/>
      <c r="AC76" s="217"/>
      <c r="AD76" s="217"/>
      <c r="AE76" s="213"/>
      <c r="AF76" s="215"/>
      <c r="AG76" s="215"/>
      <c r="AH76" s="217"/>
      <c r="AI76" s="217"/>
      <c r="AJ76" s="213"/>
    </row>
    <row r="77" spans="1:36" ht="33.75" customHeight="1">
      <c r="A77" s="213"/>
      <c r="B77" s="214">
        <f ca="1">IFERROR(__xludf.DUMMYFUNCTION("""COMPUTED_VALUE"""),2242044)</f>
        <v>2242044</v>
      </c>
      <c r="C77" s="215" t="str">
        <f ca="1">IFERROR(__xludf.DUMMYFUNCTION("""COMPUTED_VALUE"""),"General")</f>
        <v>General</v>
      </c>
      <c r="D77" s="216" t="str">
        <f ca="1">IFERROR(__xludf.DUMMYFUNCTION("""COMPUTED_VALUE"""),"The Leader’s Guide to Mindfulness (getAbstract Summary)")</f>
        <v>The Leader’s Guide to Mindfulness (getAbstract Summary)</v>
      </c>
      <c r="E77" s="217"/>
      <c r="F77" s="213"/>
      <c r="G77" s="214"/>
      <c r="H77" s="215"/>
      <c r="I77" s="217"/>
      <c r="J77" s="217"/>
      <c r="K77" s="213"/>
      <c r="L77" s="215"/>
      <c r="M77" s="215"/>
      <c r="N77" s="217"/>
      <c r="O77" s="217"/>
      <c r="P77" s="213"/>
      <c r="Q77" s="215"/>
      <c r="R77" s="215"/>
      <c r="S77" s="217"/>
      <c r="T77" s="217"/>
      <c r="U77" s="213"/>
      <c r="V77" s="215"/>
      <c r="W77" s="215"/>
      <c r="X77" s="217"/>
      <c r="Y77" s="217"/>
      <c r="Z77" s="213"/>
      <c r="AA77" s="215"/>
      <c r="AB77" s="215"/>
      <c r="AC77" s="217"/>
      <c r="AD77" s="217"/>
      <c r="AE77" s="213"/>
      <c r="AF77" s="215"/>
      <c r="AG77" s="215"/>
      <c r="AH77" s="217"/>
      <c r="AI77" s="217"/>
      <c r="AJ77" s="213"/>
    </row>
    <row r="78" spans="1:36" ht="33.75" customHeight="1">
      <c r="A78" s="213"/>
      <c r="B78" s="214">
        <f ca="1">IFERROR(__xludf.DUMMYFUNCTION("""COMPUTED_VALUE"""),2892082)</f>
        <v>2892082</v>
      </c>
      <c r="C78" s="215" t="str">
        <f ca="1">IFERROR(__xludf.DUMMYFUNCTION("""COMPUTED_VALUE"""),"General")</f>
        <v>General</v>
      </c>
      <c r="D78" s="216" t="str">
        <f ca="1">IFERROR(__xludf.DUMMYFUNCTION("""COMPUTED_VALUE"""),"Supporting Your Team as Offices Reopen")</f>
        <v>Supporting Your Team as Offices Reopen</v>
      </c>
      <c r="E78" s="217"/>
      <c r="F78" s="213"/>
      <c r="G78" s="214"/>
      <c r="H78" s="215"/>
      <c r="I78" s="217"/>
      <c r="J78" s="217"/>
      <c r="K78" s="213"/>
      <c r="L78" s="215"/>
      <c r="M78" s="215"/>
      <c r="N78" s="217"/>
      <c r="O78" s="217"/>
      <c r="P78" s="213"/>
      <c r="Q78" s="215"/>
      <c r="R78" s="215"/>
      <c r="S78" s="217"/>
      <c r="T78" s="217"/>
      <c r="U78" s="213"/>
      <c r="V78" s="215"/>
      <c r="W78" s="215"/>
      <c r="X78" s="217"/>
      <c r="Y78" s="217"/>
      <c r="Z78" s="213"/>
      <c r="AA78" s="215"/>
      <c r="AB78" s="215"/>
      <c r="AC78" s="217"/>
      <c r="AD78" s="217"/>
      <c r="AE78" s="213"/>
      <c r="AF78" s="215"/>
      <c r="AG78" s="215"/>
      <c r="AH78" s="217"/>
      <c r="AI78" s="217"/>
      <c r="AJ78" s="213"/>
    </row>
    <row r="79" spans="1:36" ht="33.75" customHeight="1">
      <c r="A79" s="213"/>
      <c r="B79" s="214">
        <f ca="1">IFERROR(__xludf.DUMMYFUNCTION("""COMPUTED_VALUE"""),2974329)</f>
        <v>2974329</v>
      </c>
      <c r="C79" s="215" t="str">
        <f ca="1">IFERROR(__xludf.DUMMYFUNCTION("""COMPUTED_VALUE"""),"Beginner")</f>
        <v>Beginner</v>
      </c>
      <c r="D79" s="216" t="str">
        <f ca="1">IFERROR(__xludf.DUMMYFUNCTION("""COMPUTED_VALUE"""),"Inspirational Leadership Skills: Practical Motivational Leadership")</f>
        <v>Inspirational Leadership Skills: Practical Motivational Leadership</v>
      </c>
      <c r="E79" s="217"/>
      <c r="F79" s="213"/>
      <c r="G79" s="214"/>
      <c r="H79" s="215"/>
      <c r="I79" s="217"/>
      <c r="J79" s="217"/>
      <c r="K79" s="213"/>
      <c r="L79" s="215"/>
      <c r="M79" s="215"/>
      <c r="N79" s="217"/>
      <c r="O79" s="217"/>
      <c r="P79" s="213"/>
      <c r="Q79" s="215"/>
      <c r="R79" s="215"/>
      <c r="S79" s="217"/>
      <c r="T79" s="217"/>
      <c r="U79" s="213"/>
      <c r="V79" s="215"/>
      <c r="W79" s="215"/>
      <c r="X79" s="217"/>
      <c r="Y79" s="217"/>
      <c r="Z79" s="213"/>
      <c r="AA79" s="215"/>
      <c r="AB79" s="215"/>
      <c r="AC79" s="217"/>
      <c r="AD79" s="217"/>
      <c r="AE79" s="213"/>
      <c r="AF79" s="215"/>
      <c r="AG79" s="215"/>
      <c r="AH79" s="217"/>
      <c r="AI79" s="217"/>
      <c r="AJ79" s="213"/>
    </row>
    <row r="80" spans="1:36" ht="33.75" customHeight="1">
      <c r="A80" s="213"/>
      <c r="B80" s="214">
        <f ca="1">IFERROR(__xludf.DUMMYFUNCTION("""COMPUTED_VALUE"""),585228)</f>
        <v>585228</v>
      </c>
      <c r="C80" s="215" t="str">
        <f ca="1">IFERROR(__xludf.DUMMYFUNCTION("""COMPUTED_VALUE"""),"Beginner")</f>
        <v>Beginner</v>
      </c>
      <c r="D80" s="216" t="str">
        <f ca="1">IFERROR(__xludf.DUMMYFUNCTION("""COMPUTED_VALUE"""),"Leading Yourself (2017)")</f>
        <v>Leading Yourself (2017)</v>
      </c>
      <c r="E80" s="217"/>
      <c r="F80" s="213"/>
      <c r="G80" s="214"/>
      <c r="H80" s="215"/>
      <c r="I80" s="217"/>
      <c r="J80" s="217"/>
      <c r="K80" s="213"/>
      <c r="L80" s="215"/>
      <c r="M80" s="215"/>
      <c r="N80" s="217"/>
      <c r="O80" s="217"/>
      <c r="P80" s="213"/>
      <c r="Q80" s="215"/>
      <c r="R80" s="215"/>
      <c r="S80" s="217"/>
      <c r="T80" s="217"/>
      <c r="U80" s="213"/>
      <c r="V80" s="215"/>
      <c r="W80" s="215"/>
      <c r="X80" s="217"/>
      <c r="Y80" s="217"/>
      <c r="Z80" s="213"/>
      <c r="AA80" s="215"/>
      <c r="AB80" s="215"/>
      <c r="AC80" s="217"/>
      <c r="AD80" s="217"/>
      <c r="AE80" s="213"/>
      <c r="AF80" s="215"/>
      <c r="AG80" s="215"/>
      <c r="AH80" s="217"/>
      <c r="AI80" s="217"/>
      <c r="AJ80" s="213"/>
    </row>
    <row r="81" spans="1:36" ht="33.75" customHeight="1">
      <c r="A81" s="213"/>
      <c r="B81" s="214">
        <f ca="1">IFERROR(__xludf.DUMMYFUNCTION("""COMPUTED_VALUE"""),2805907)</f>
        <v>2805907</v>
      </c>
      <c r="C81" s="215" t="str">
        <f ca="1">IFERROR(__xludf.DUMMYFUNCTION("""COMPUTED_VALUE"""),"Beginner")</f>
        <v>Beginner</v>
      </c>
      <c r="D81" s="216" t="str">
        <f ca="1">IFERROR(__xludf.DUMMYFUNCTION("""COMPUTED_VALUE"""),"Women Transforming Tech: Finding Sponsors")</f>
        <v>Women Transforming Tech: Finding Sponsors</v>
      </c>
      <c r="E81" s="217"/>
      <c r="F81" s="213"/>
      <c r="G81" s="214"/>
      <c r="H81" s="215"/>
      <c r="I81" s="217"/>
      <c r="J81" s="217"/>
      <c r="K81" s="213"/>
      <c r="L81" s="215"/>
      <c r="M81" s="215"/>
      <c r="N81" s="217"/>
      <c r="O81" s="217"/>
      <c r="P81" s="213"/>
      <c r="Q81" s="215"/>
      <c r="R81" s="215"/>
      <c r="S81" s="217"/>
      <c r="T81" s="217"/>
      <c r="U81" s="213"/>
      <c r="V81" s="215"/>
      <c r="W81" s="215"/>
      <c r="X81" s="217"/>
      <c r="Y81" s="217"/>
      <c r="Z81" s="213"/>
      <c r="AA81" s="215"/>
      <c r="AB81" s="215"/>
      <c r="AC81" s="217"/>
      <c r="AD81" s="217"/>
      <c r="AE81" s="213"/>
      <c r="AF81" s="215"/>
      <c r="AG81" s="215"/>
      <c r="AH81" s="217"/>
      <c r="AI81" s="217"/>
      <c r="AJ81" s="213"/>
    </row>
    <row r="82" spans="1:36" ht="33.75" customHeight="1">
      <c r="A82" s="213"/>
      <c r="B82" s="214">
        <f ca="1">IFERROR(__xludf.DUMMYFUNCTION("""COMPUTED_VALUE"""),2807859)</f>
        <v>2807859</v>
      </c>
      <c r="C82" s="215" t="str">
        <f ca="1">IFERROR(__xludf.DUMMYFUNCTION("""COMPUTED_VALUE"""),"Beginner")</f>
        <v>Beginner</v>
      </c>
      <c r="D82" s="216" t="str">
        <f ca="1">IFERROR(__xludf.DUMMYFUNCTION("""COMPUTED_VALUE"""),"Women Transforming Tech: Voices from the Field")</f>
        <v>Women Transforming Tech: Voices from the Field</v>
      </c>
      <c r="E82" s="217"/>
      <c r="F82" s="213"/>
      <c r="G82" s="214"/>
      <c r="H82" s="215"/>
      <c r="I82" s="217"/>
      <c r="J82" s="217"/>
      <c r="K82" s="213"/>
      <c r="L82" s="215"/>
      <c r="M82" s="215"/>
      <c r="N82" s="217"/>
      <c r="O82" s="217"/>
      <c r="P82" s="213"/>
      <c r="Q82" s="215"/>
      <c r="R82" s="215"/>
      <c r="S82" s="217"/>
      <c r="T82" s="217"/>
      <c r="U82" s="213"/>
      <c r="V82" s="215"/>
      <c r="W82" s="215"/>
      <c r="X82" s="217"/>
      <c r="Y82" s="217"/>
      <c r="Z82" s="213"/>
      <c r="AA82" s="215"/>
      <c r="AB82" s="215"/>
      <c r="AC82" s="217"/>
      <c r="AD82" s="217"/>
      <c r="AE82" s="213"/>
      <c r="AF82" s="215"/>
      <c r="AG82" s="215"/>
      <c r="AH82" s="217"/>
      <c r="AI82" s="217"/>
      <c r="AJ82" s="213"/>
    </row>
    <row r="83" spans="1:36" ht="33.75" customHeight="1">
      <c r="A83" s="213"/>
      <c r="B83" s="214">
        <f ca="1">IFERROR(__xludf.DUMMYFUNCTION("""COMPUTED_VALUE"""),2297061)</f>
        <v>2297061</v>
      </c>
      <c r="C83" s="215" t="str">
        <f ca="1">IFERROR(__xludf.DUMMYFUNCTION("""COMPUTED_VALUE"""),"Beginner")</f>
        <v>Beginner</v>
      </c>
      <c r="D83" s="216" t="str">
        <f ca="1">IFERROR(__xludf.DUMMYFUNCTION("""COMPUTED_VALUE"""),"Become a Courageous Female Leader")</f>
        <v>Become a Courageous Female Leader</v>
      </c>
      <c r="E83" s="217"/>
      <c r="F83" s="213"/>
      <c r="G83" s="214"/>
      <c r="H83" s="215"/>
      <c r="I83" s="217"/>
      <c r="J83" s="217"/>
      <c r="K83" s="213"/>
      <c r="L83" s="215"/>
      <c r="M83" s="215"/>
      <c r="N83" s="217"/>
      <c r="O83" s="217"/>
      <c r="P83" s="213"/>
      <c r="Q83" s="215"/>
      <c r="R83" s="215"/>
      <c r="S83" s="217"/>
      <c r="T83" s="217"/>
      <c r="U83" s="213"/>
      <c r="V83" s="215"/>
      <c r="W83" s="215"/>
      <c r="X83" s="217"/>
      <c r="Y83" s="217"/>
      <c r="Z83" s="213"/>
      <c r="AA83" s="215"/>
      <c r="AB83" s="215"/>
      <c r="AC83" s="217"/>
      <c r="AD83" s="217"/>
      <c r="AE83" s="213"/>
      <c r="AF83" s="215"/>
      <c r="AG83" s="215"/>
      <c r="AH83" s="217"/>
      <c r="AI83" s="217"/>
      <c r="AJ83" s="213"/>
    </row>
    <row r="84" spans="1:36" ht="33.75" customHeight="1">
      <c r="A84" s="213"/>
      <c r="B84" s="214">
        <f ca="1">IFERROR(__xludf.DUMMYFUNCTION("""COMPUTED_VALUE"""),2974167)</f>
        <v>2974167</v>
      </c>
      <c r="C84" s="215" t="str">
        <f ca="1">IFERROR(__xludf.DUMMYFUNCTION("""COMPUTED_VALUE"""),"Beginner")</f>
        <v>Beginner</v>
      </c>
      <c r="D84" s="216" t="str">
        <f ca="1">IFERROR(__xludf.DUMMYFUNCTION("""COMPUTED_VALUE"""),"Work on Purpose")</f>
        <v>Work on Purpose</v>
      </c>
      <c r="E84" s="217"/>
      <c r="F84" s="213"/>
      <c r="G84" s="214"/>
      <c r="H84" s="215"/>
      <c r="I84" s="217"/>
      <c r="J84" s="217"/>
      <c r="K84" s="213"/>
      <c r="L84" s="215"/>
      <c r="M84" s="215"/>
      <c r="N84" s="217"/>
      <c r="O84" s="217"/>
      <c r="P84" s="213"/>
      <c r="Q84" s="215"/>
      <c r="R84" s="215"/>
      <c r="S84" s="217"/>
      <c r="T84" s="217"/>
      <c r="U84" s="213"/>
      <c r="V84" s="215"/>
      <c r="W84" s="215"/>
      <c r="X84" s="217"/>
      <c r="Y84" s="217"/>
      <c r="Z84" s="213"/>
      <c r="AA84" s="215"/>
      <c r="AB84" s="215"/>
      <c r="AC84" s="217"/>
      <c r="AD84" s="217"/>
      <c r="AE84" s="213"/>
      <c r="AF84" s="215"/>
      <c r="AG84" s="215"/>
      <c r="AH84" s="217"/>
      <c r="AI84" s="217"/>
      <c r="AJ84" s="213"/>
    </row>
    <row r="85" spans="1:36" ht="33.75" customHeight="1">
      <c r="A85" s="213"/>
      <c r="B85" s="214">
        <f ca="1">IFERROR(__xludf.DUMMYFUNCTION("""COMPUTED_VALUE"""),2864190)</f>
        <v>2864190</v>
      </c>
      <c r="C85" s="215" t="str">
        <f ca="1">IFERROR(__xludf.DUMMYFUNCTION("""COMPUTED_VALUE"""),"Beginner")</f>
        <v>Beginner</v>
      </c>
      <c r="D85" s="216" t="str">
        <f ca="1">IFERROR(__xludf.DUMMYFUNCTION("""COMPUTED_VALUE"""),"Superhuman Innovation (Blinkist Summary)")</f>
        <v>Superhuman Innovation (Blinkist Summary)</v>
      </c>
      <c r="E85" s="217"/>
      <c r="F85" s="213"/>
      <c r="G85" s="214"/>
      <c r="H85" s="215"/>
      <c r="I85" s="217"/>
      <c r="J85" s="217"/>
      <c r="K85" s="213"/>
      <c r="L85" s="215"/>
      <c r="M85" s="215"/>
      <c r="N85" s="217"/>
      <c r="O85" s="217"/>
      <c r="P85" s="213"/>
      <c r="Q85" s="215"/>
      <c r="R85" s="215"/>
      <c r="S85" s="217"/>
      <c r="T85" s="217"/>
      <c r="U85" s="213"/>
      <c r="V85" s="215"/>
      <c r="W85" s="215"/>
      <c r="X85" s="217"/>
      <c r="Y85" s="217"/>
      <c r="Z85" s="213"/>
      <c r="AA85" s="215"/>
      <c r="AB85" s="215"/>
      <c r="AC85" s="217"/>
      <c r="AD85" s="217"/>
      <c r="AE85" s="213"/>
      <c r="AF85" s="215"/>
      <c r="AG85" s="215"/>
      <c r="AH85" s="217"/>
      <c r="AI85" s="217"/>
      <c r="AJ85" s="213"/>
    </row>
    <row r="86" spans="1:36" ht="33.75" customHeight="1">
      <c r="A86" s="213"/>
      <c r="B86" s="214">
        <f ca="1">IFERROR(__xludf.DUMMYFUNCTION("""COMPUTED_VALUE"""),2825698)</f>
        <v>2825698</v>
      </c>
      <c r="C86" s="215" t="str">
        <f ca="1">IFERROR(__xludf.DUMMYFUNCTION("""COMPUTED_VALUE"""),"Beginner")</f>
        <v>Beginner</v>
      </c>
      <c r="D86" s="216" t="str">
        <f ca="1">IFERROR(__xludf.DUMMYFUNCTION("""COMPUTED_VALUE"""),"Inclusive Mindset")</f>
        <v>Inclusive Mindset</v>
      </c>
      <c r="E86" s="217"/>
      <c r="F86" s="213"/>
      <c r="G86" s="214"/>
      <c r="H86" s="215"/>
      <c r="I86" s="217"/>
      <c r="J86" s="217"/>
      <c r="K86" s="213"/>
      <c r="L86" s="215"/>
      <c r="M86" s="215"/>
      <c r="N86" s="217"/>
      <c r="O86" s="217"/>
      <c r="P86" s="213"/>
      <c r="Q86" s="215"/>
      <c r="R86" s="215"/>
      <c r="S86" s="217"/>
      <c r="T86" s="217"/>
      <c r="U86" s="213"/>
      <c r="V86" s="215"/>
      <c r="W86" s="215"/>
      <c r="X86" s="217"/>
      <c r="Y86" s="217"/>
      <c r="Z86" s="213"/>
      <c r="AA86" s="215"/>
      <c r="AB86" s="215"/>
      <c r="AC86" s="217"/>
      <c r="AD86" s="217"/>
      <c r="AE86" s="213"/>
      <c r="AF86" s="215"/>
      <c r="AG86" s="215"/>
      <c r="AH86" s="217"/>
      <c r="AI86" s="217"/>
      <c r="AJ86" s="213"/>
    </row>
    <row r="87" spans="1:36" ht="33.75" customHeight="1">
      <c r="A87" s="213"/>
      <c r="B87" s="214">
        <f ca="1">IFERROR(__xludf.DUMMYFUNCTION("""COMPUTED_VALUE"""),2834000)</f>
        <v>2834000</v>
      </c>
      <c r="C87" s="215" t="str">
        <f ca="1">IFERROR(__xludf.DUMMYFUNCTION("""COMPUTED_VALUE"""),"Beginner")</f>
        <v>Beginner</v>
      </c>
      <c r="D87" s="216" t="str">
        <f ca="1">IFERROR(__xludf.DUMMYFUNCTION("""COMPUTED_VALUE"""),"Project Leadership")</f>
        <v>Project Leadership</v>
      </c>
      <c r="E87" s="217"/>
      <c r="F87" s="213"/>
      <c r="G87" s="214"/>
      <c r="H87" s="215"/>
      <c r="I87" s="217"/>
      <c r="J87" s="217"/>
      <c r="K87" s="213"/>
      <c r="L87" s="215"/>
      <c r="M87" s="215"/>
      <c r="N87" s="217"/>
      <c r="O87" s="217"/>
      <c r="P87" s="213"/>
      <c r="Q87" s="215"/>
      <c r="R87" s="215"/>
      <c r="S87" s="217"/>
      <c r="T87" s="217"/>
      <c r="U87" s="213"/>
      <c r="V87" s="215"/>
      <c r="W87" s="215"/>
      <c r="X87" s="217"/>
      <c r="Y87" s="217"/>
      <c r="Z87" s="213"/>
      <c r="AA87" s="215"/>
      <c r="AB87" s="215"/>
      <c r="AC87" s="217"/>
      <c r="AD87" s="217"/>
      <c r="AE87" s="213"/>
      <c r="AF87" s="215"/>
      <c r="AG87" s="215"/>
      <c r="AH87" s="217"/>
      <c r="AI87" s="217"/>
      <c r="AJ87" s="213"/>
    </row>
    <row r="88" spans="1:36" ht="33.75" customHeight="1">
      <c r="A88" s="213"/>
      <c r="B88" s="214">
        <f ca="1">IFERROR(__xludf.DUMMYFUNCTION("""COMPUTED_VALUE"""),2883010)</f>
        <v>2883010</v>
      </c>
      <c r="C88" s="215" t="str">
        <f ca="1">IFERROR(__xludf.DUMMYFUNCTION("""COMPUTED_VALUE"""),"Beginner")</f>
        <v>Beginner</v>
      </c>
      <c r="D88" s="217" t="str">
        <f ca="1">IFERROR(__xludf.DUMMYFUNCTION("""COMPUTED_VALUE"""),"Navigating Complexity in Your Organization")</f>
        <v>Navigating Complexity in Your Organization</v>
      </c>
      <c r="E88" s="217"/>
      <c r="F88" s="213"/>
      <c r="G88" s="214"/>
      <c r="H88" s="215"/>
      <c r="I88" s="217"/>
      <c r="J88" s="217"/>
      <c r="K88" s="213"/>
      <c r="L88" s="215"/>
      <c r="M88" s="215"/>
      <c r="N88" s="217"/>
      <c r="O88" s="217"/>
      <c r="P88" s="213"/>
      <c r="Q88" s="215"/>
      <c r="R88" s="215"/>
      <c r="S88" s="217"/>
      <c r="T88" s="217"/>
      <c r="U88" s="213"/>
      <c r="V88" s="215"/>
      <c r="W88" s="215"/>
      <c r="X88" s="217"/>
      <c r="Y88" s="217"/>
      <c r="Z88" s="213"/>
      <c r="AA88" s="215"/>
      <c r="AB88" s="215"/>
      <c r="AC88" s="217"/>
      <c r="AD88" s="217"/>
      <c r="AE88" s="213"/>
      <c r="AF88" s="215"/>
      <c r="AG88" s="215"/>
      <c r="AH88" s="217"/>
      <c r="AI88" s="217"/>
      <c r="AJ88" s="213"/>
    </row>
    <row r="89" spans="1:36" ht="16">
      <c r="A89" s="213"/>
      <c r="B89" s="214">
        <f ca="1">IFERROR(__xludf.DUMMYFUNCTION("""COMPUTED_VALUE"""),2884171)</f>
        <v>2884171</v>
      </c>
      <c r="C89" s="215" t="str">
        <f ca="1">IFERROR(__xludf.DUMMYFUNCTION("""COMPUTED_VALUE"""),"Beginner")</f>
        <v>Beginner</v>
      </c>
      <c r="D89" s="216" t="str">
        <f ca="1">IFERROR(__xludf.DUMMYFUNCTION("""COMPUTED_VALUE"""),"How to Inspire and Develop Your Direct Reports")</f>
        <v>How to Inspire and Develop Your Direct Reports</v>
      </c>
      <c r="E89" s="217"/>
      <c r="F89" s="213"/>
      <c r="G89" s="214"/>
      <c r="H89" s="215"/>
      <c r="I89" s="217"/>
      <c r="J89" s="217"/>
      <c r="K89" s="213"/>
      <c r="L89" s="215"/>
      <c r="M89" s="215"/>
      <c r="N89" s="217"/>
      <c r="O89" s="217"/>
      <c r="P89" s="213"/>
      <c r="Q89" s="215"/>
      <c r="R89" s="215"/>
      <c r="S89" s="217"/>
      <c r="T89" s="217"/>
      <c r="U89" s="213"/>
      <c r="V89" s="215"/>
      <c r="W89" s="215"/>
      <c r="X89" s="217"/>
      <c r="Y89" s="217"/>
      <c r="Z89" s="213"/>
      <c r="AA89" s="215"/>
      <c r="AB89" s="215"/>
      <c r="AC89" s="217"/>
      <c r="AD89" s="217"/>
      <c r="AE89" s="213"/>
      <c r="AF89" s="215"/>
      <c r="AG89" s="215"/>
      <c r="AH89" s="217"/>
      <c r="AI89" s="217"/>
      <c r="AJ89" s="213"/>
    </row>
    <row r="90" spans="1:36" ht="16">
      <c r="A90" s="213"/>
      <c r="B90" s="214">
        <f ca="1">IFERROR(__xludf.DUMMYFUNCTION("""COMPUTED_VALUE"""),3006176)</f>
        <v>3006176</v>
      </c>
      <c r="C90" s="215" t="str">
        <f ca="1">IFERROR(__xludf.DUMMYFUNCTION("""COMPUTED_VALUE"""),"Beginner")</f>
        <v>Beginner</v>
      </c>
      <c r="D90" s="216" t="str">
        <f ca="1">IFERROR(__xludf.DUMMYFUNCTION("""COMPUTED_VALUE"""),"Leading through Chaos")</f>
        <v>Leading through Chaos</v>
      </c>
      <c r="E90" s="217"/>
      <c r="F90" s="213"/>
      <c r="G90" s="214"/>
      <c r="H90" s="215"/>
      <c r="I90" s="217"/>
      <c r="J90" s="217"/>
      <c r="K90" s="213"/>
      <c r="L90" s="215"/>
      <c r="M90" s="215"/>
      <c r="N90" s="217"/>
      <c r="O90" s="217"/>
      <c r="P90" s="213"/>
      <c r="Q90" s="215"/>
      <c r="R90" s="215"/>
      <c r="S90" s="217"/>
      <c r="T90" s="217"/>
      <c r="U90" s="213"/>
      <c r="V90" s="215"/>
      <c r="W90" s="215"/>
      <c r="X90" s="217"/>
      <c r="Y90" s="217"/>
      <c r="Z90" s="213"/>
      <c r="AA90" s="215"/>
      <c r="AB90" s="215"/>
      <c r="AC90" s="217"/>
      <c r="AD90" s="217"/>
      <c r="AE90" s="213"/>
      <c r="AF90" s="215"/>
      <c r="AG90" s="215"/>
      <c r="AH90" s="217"/>
      <c r="AI90" s="217"/>
      <c r="AJ90" s="213"/>
    </row>
    <row r="91" spans="1:36" ht="30">
      <c r="A91" s="213"/>
      <c r="B91" s="214">
        <f ca="1">IFERROR(__xludf.DUMMYFUNCTION("""COMPUTED_VALUE"""),3010103)</f>
        <v>3010103</v>
      </c>
      <c r="C91" s="215" t="str">
        <f ca="1">IFERROR(__xludf.DUMMYFUNCTION("""COMPUTED_VALUE"""),"Beginner")</f>
        <v>Beginner</v>
      </c>
      <c r="D91" s="216" t="str">
        <f ca="1">IFERROR(__xludf.DUMMYFUNCTION("""COMPUTED_VALUE"""),"Overcoming Obstacles to Leading with Confidence")</f>
        <v>Overcoming Obstacles to Leading with Confidence</v>
      </c>
      <c r="E91" s="217"/>
      <c r="F91" s="213"/>
      <c r="G91" s="214"/>
      <c r="H91" s="215"/>
      <c r="I91" s="217"/>
      <c r="J91" s="217"/>
      <c r="K91" s="213"/>
      <c r="L91" s="215"/>
      <c r="M91" s="215"/>
      <c r="N91" s="217"/>
      <c r="O91" s="217"/>
      <c r="P91" s="213"/>
      <c r="Q91" s="215"/>
      <c r="R91" s="215"/>
      <c r="S91" s="217"/>
      <c r="T91" s="217"/>
      <c r="U91" s="213"/>
      <c r="V91" s="215"/>
      <c r="W91" s="215"/>
      <c r="X91" s="217"/>
      <c r="Y91" s="217"/>
      <c r="Z91" s="213"/>
      <c r="AA91" s="215"/>
      <c r="AB91" s="215"/>
      <c r="AC91" s="217"/>
      <c r="AD91" s="217"/>
      <c r="AE91" s="213"/>
      <c r="AF91" s="215"/>
      <c r="AG91" s="215"/>
      <c r="AH91" s="217"/>
      <c r="AI91" s="217"/>
      <c r="AJ91" s="213"/>
    </row>
    <row r="92" spans="1:36" ht="30">
      <c r="A92" s="213"/>
      <c r="B92" s="214">
        <f ca="1">IFERROR(__xludf.DUMMYFUNCTION("""COMPUTED_VALUE"""),3007731)</f>
        <v>3007731</v>
      </c>
      <c r="C92" s="215" t="str">
        <f ca="1">IFERROR(__xludf.DUMMYFUNCTION("""COMPUTED_VALUE"""),"Beginner")</f>
        <v>Beginner</v>
      </c>
      <c r="D92" s="216" t="str">
        <f ca="1">IFERROR(__xludf.DUMMYFUNCTION("""COMPUTED_VALUE"""),"Effective Sponsorship Across Difference (for Sponsors)")</f>
        <v>Effective Sponsorship Across Difference (for Sponsors)</v>
      </c>
      <c r="E92" s="217"/>
      <c r="F92" s="213"/>
      <c r="G92" s="214"/>
      <c r="H92" s="215"/>
      <c r="I92" s="217"/>
      <c r="J92" s="217"/>
      <c r="K92" s="213"/>
      <c r="L92" s="215"/>
      <c r="M92" s="215"/>
      <c r="N92" s="217"/>
      <c r="O92" s="217"/>
      <c r="P92" s="213"/>
      <c r="Q92" s="215"/>
      <c r="R92" s="215"/>
      <c r="S92" s="217"/>
      <c r="T92" s="217"/>
      <c r="U92" s="213"/>
      <c r="V92" s="215"/>
      <c r="W92" s="215"/>
      <c r="X92" s="217"/>
      <c r="Y92" s="217"/>
      <c r="Z92" s="213"/>
      <c r="AA92" s="215"/>
      <c r="AB92" s="215"/>
      <c r="AC92" s="217"/>
      <c r="AD92" s="217"/>
      <c r="AE92" s="213"/>
      <c r="AF92" s="215"/>
      <c r="AG92" s="215"/>
      <c r="AH92" s="217"/>
      <c r="AI92" s="217"/>
      <c r="AJ92" s="213"/>
    </row>
    <row r="93" spans="1:36" ht="16">
      <c r="A93" s="213"/>
      <c r="B93" s="214">
        <f ca="1">IFERROR(__xludf.DUMMYFUNCTION("""COMPUTED_VALUE"""),2865087)</f>
        <v>2865087</v>
      </c>
      <c r="C93" s="215" t="str">
        <f ca="1">IFERROR(__xludf.DUMMYFUNCTION("""COMPUTED_VALUE"""),"Intermediate")</f>
        <v>Intermediate</v>
      </c>
      <c r="D93" s="216" t="str">
        <f ca="1">IFERROR(__xludf.DUMMYFUNCTION("""COMPUTED_VALUE"""),"Leading with a Growth Mindset")</f>
        <v>Leading with a Growth Mindset</v>
      </c>
      <c r="E93" s="217"/>
      <c r="F93" s="213"/>
      <c r="G93" s="214"/>
      <c r="H93" s="215"/>
      <c r="I93" s="217"/>
      <c r="J93" s="217"/>
      <c r="K93" s="213"/>
      <c r="L93" s="215"/>
      <c r="M93" s="215"/>
      <c r="N93" s="217"/>
      <c r="O93" s="217"/>
      <c r="P93" s="213"/>
      <c r="Q93" s="215"/>
      <c r="R93" s="215"/>
      <c r="S93" s="217"/>
      <c r="T93" s="217"/>
      <c r="U93" s="213"/>
      <c r="V93" s="215"/>
      <c r="W93" s="215"/>
      <c r="X93" s="217"/>
      <c r="Y93" s="217"/>
      <c r="Z93" s="213"/>
      <c r="AA93" s="215"/>
      <c r="AB93" s="215"/>
      <c r="AC93" s="217"/>
      <c r="AD93" s="217"/>
      <c r="AE93" s="213"/>
      <c r="AF93" s="215"/>
      <c r="AG93" s="215"/>
      <c r="AH93" s="217"/>
      <c r="AI93" s="217"/>
      <c r="AJ93" s="213"/>
    </row>
    <row r="94" spans="1:36" ht="16">
      <c r="A94" s="213"/>
      <c r="B94" s="214">
        <f ca="1">IFERROR(__xludf.DUMMYFUNCTION("""COMPUTED_VALUE"""),2822683)</f>
        <v>2822683</v>
      </c>
      <c r="C94" s="215" t="str">
        <f ca="1">IFERROR(__xludf.DUMMYFUNCTION("""COMPUTED_VALUE"""),"Intermediate")</f>
        <v>Intermediate</v>
      </c>
      <c r="D94" s="216" t="str">
        <f ca="1">IFERROR(__xludf.DUMMYFUNCTION("""COMPUTED_VALUE"""),"Demonstrating Accountability as a Leader")</f>
        <v>Demonstrating Accountability as a Leader</v>
      </c>
      <c r="E94" s="217"/>
      <c r="F94" s="213"/>
      <c r="G94" s="214"/>
      <c r="H94" s="215"/>
      <c r="I94" s="217"/>
      <c r="J94" s="217"/>
      <c r="K94" s="213"/>
      <c r="L94" s="215"/>
      <c r="M94" s="215"/>
      <c r="N94" s="217"/>
      <c r="O94" s="217"/>
      <c r="P94" s="213"/>
      <c r="Q94" s="215"/>
      <c r="R94" s="215"/>
      <c r="S94" s="217"/>
      <c r="T94" s="217"/>
      <c r="U94" s="213"/>
      <c r="V94" s="215"/>
      <c r="W94" s="215"/>
      <c r="X94" s="217"/>
      <c r="Y94" s="217"/>
      <c r="Z94" s="213"/>
      <c r="AA94" s="215"/>
      <c r="AB94" s="215"/>
      <c r="AC94" s="217"/>
      <c r="AD94" s="217"/>
      <c r="AE94" s="213"/>
      <c r="AF94" s="215"/>
      <c r="AG94" s="215"/>
      <c r="AH94" s="217"/>
      <c r="AI94" s="217"/>
      <c r="AJ94" s="213"/>
    </row>
    <row r="95" spans="1:36" ht="16">
      <c r="A95" s="213"/>
      <c r="B95" s="214">
        <f ca="1">IFERROR(__xludf.DUMMYFUNCTION("""COMPUTED_VALUE"""),2824379)</f>
        <v>2824379</v>
      </c>
      <c r="C95" s="215" t="str">
        <f ca="1">IFERROR(__xludf.DUMMYFUNCTION("""COMPUTED_VALUE"""),"Intermediate")</f>
        <v>Intermediate</v>
      </c>
      <c r="D95" s="216" t="str">
        <f ca="1">IFERROR(__xludf.DUMMYFUNCTION("""COMPUTED_VALUE"""),"Fostering Belonging as a Leader")</f>
        <v>Fostering Belonging as a Leader</v>
      </c>
      <c r="E95" s="217"/>
      <c r="F95" s="213"/>
      <c r="G95" s="214"/>
      <c r="H95" s="215"/>
      <c r="I95" s="217"/>
      <c r="J95" s="217"/>
      <c r="K95" s="213"/>
      <c r="L95" s="215"/>
      <c r="M95" s="215"/>
      <c r="N95" s="217"/>
      <c r="O95" s="217"/>
      <c r="P95" s="213"/>
      <c r="Q95" s="215"/>
      <c r="R95" s="215"/>
      <c r="S95" s="217"/>
      <c r="T95" s="217"/>
      <c r="U95" s="213"/>
      <c r="V95" s="215"/>
      <c r="W95" s="215"/>
      <c r="X95" s="217"/>
      <c r="Y95" s="217"/>
      <c r="Z95" s="213"/>
      <c r="AA95" s="215"/>
      <c r="AB95" s="215"/>
      <c r="AC95" s="217"/>
      <c r="AD95" s="217"/>
      <c r="AE95" s="213"/>
      <c r="AF95" s="215"/>
      <c r="AG95" s="215"/>
      <c r="AH95" s="217"/>
      <c r="AI95" s="217"/>
      <c r="AJ95" s="213"/>
    </row>
    <row r="96" spans="1:36" ht="16">
      <c r="A96" s="213"/>
      <c r="B96" s="214">
        <f ca="1">IFERROR(__xludf.DUMMYFUNCTION("""COMPUTED_VALUE"""),2836021)</f>
        <v>2836021</v>
      </c>
      <c r="C96" s="215" t="str">
        <f ca="1">IFERROR(__xludf.DUMMYFUNCTION("""COMPUTED_VALUE"""),"Intermediate")</f>
        <v>Intermediate</v>
      </c>
      <c r="D96" s="217" t="str">
        <f ca="1">IFERROR(__xludf.DUMMYFUNCTION("""COMPUTED_VALUE"""),"Leadership Skills for The Future")</f>
        <v>Leadership Skills for The Future</v>
      </c>
      <c r="E96" s="217"/>
      <c r="F96" s="213"/>
      <c r="G96" s="214"/>
      <c r="H96" s="215"/>
      <c r="I96" s="217"/>
      <c r="J96" s="217"/>
      <c r="K96" s="213"/>
      <c r="L96" s="215"/>
      <c r="M96" s="215"/>
      <c r="N96" s="217"/>
      <c r="O96" s="217"/>
      <c r="P96" s="213"/>
      <c r="Q96" s="215"/>
      <c r="R96" s="215"/>
      <c r="S96" s="217"/>
      <c r="T96" s="217"/>
      <c r="U96" s="213"/>
      <c r="V96" s="215"/>
      <c r="W96" s="215"/>
      <c r="X96" s="217"/>
      <c r="Y96" s="217"/>
      <c r="Z96" s="213"/>
      <c r="AA96" s="215"/>
      <c r="AB96" s="215"/>
      <c r="AC96" s="217"/>
      <c r="AD96" s="217"/>
      <c r="AE96" s="213"/>
      <c r="AF96" s="215"/>
      <c r="AG96" s="215"/>
      <c r="AH96" s="217"/>
      <c r="AI96" s="217"/>
      <c r="AJ96" s="213"/>
    </row>
    <row r="97" spans="1:36" ht="16">
      <c r="A97" s="213"/>
      <c r="B97" s="214">
        <f ca="1">IFERROR(__xludf.DUMMYFUNCTION("""COMPUTED_VALUE"""),2822422)</f>
        <v>2822422</v>
      </c>
      <c r="C97" s="215" t="str">
        <f ca="1">IFERROR(__xludf.DUMMYFUNCTION("""COMPUTED_VALUE"""),"Intermediate")</f>
        <v>Intermediate</v>
      </c>
      <c r="D97" s="217" t="str">
        <f ca="1">IFERROR(__xludf.DUMMYFUNCTION("""COMPUTED_VALUE"""),"How to Successfully Lead a PMO")</f>
        <v>How to Successfully Lead a PMO</v>
      </c>
      <c r="E97" s="217"/>
      <c r="F97" s="213"/>
      <c r="G97" s="214"/>
      <c r="H97" s="215"/>
      <c r="I97" s="217"/>
      <c r="J97" s="217"/>
      <c r="K97" s="213"/>
      <c r="L97" s="215"/>
      <c r="M97" s="215"/>
      <c r="N97" s="217"/>
      <c r="O97" s="217"/>
      <c r="P97" s="213"/>
      <c r="Q97" s="215"/>
      <c r="R97" s="215"/>
      <c r="S97" s="217"/>
      <c r="T97" s="217"/>
      <c r="U97" s="213"/>
      <c r="V97" s="215"/>
      <c r="W97" s="215"/>
      <c r="X97" s="217"/>
      <c r="Y97" s="217"/>
      <c r="Z97" s="213"/>
      <c r="AA97" s="215"/>
      <c r="AB97" s="215"/>
      <c r="AC97" s="217"/>
      <c r="AD97" s="217"/>
      <c r="AE97" s="213"/>
      <c r="AF97" s="215"/>
      <c r="AG97" s="215"/>
      <c r="AH97" s="217"/>
      <c r="AI97" s="217"/>
      <c r="AJ97" s="213"/>
    </row>
    <row r="98" spans="1:36" ht="16">
      <c r="A98" s="213"/>
      <c r="B98" s="214">
        <f ca="1">IFERROR(__xludf.DUMMYFUNCTION("""COMPUTED_VALUE"""),483102)</f>
        <v>483102</v>
      </c>
      <c r="C98" s="215" t="str">
        <f ca="1">IFERROR(__xludf.DUMMYFUNCTION("""COMPUTED_VALUE"""),"Intermediate")</f>
        <v>Intermediate</v>
      </c>
      <c r="D98" s="217" t="str">
        <f ca="1">IFERROR(__xludf.DUMMYFUNCTION("""COMPUTED_VALUE"""),"Leading Projects")</f>
        <v>Leading Projects</v>
      </c>
      <c r="E98" s="217"/>
      <c r="F98" s="213"/>
      <c r="G98" s="214"/>
      <c r="H98" s="215"/>
      <c r="I98" s="217"/>
      <c r="J98" s="217"/>
      <c r="K98" s="213"/>
      <c r="L98" s="215"/>
      <c r="M98" s="215"/>
      <c r="N98" s="217"/>
      <c r="O98" s="217"/>
      <c r="P98" s="213"/>
      <c r="Q98" s="215"/>
      <c r="R98" s="215"/>
      <c r="S98" s="217"/>
      <c r="T98" s="217"/>
      <c r="U98" s="213"/>
      <c r="V98" s="215"/>
      <c r="W98" s="215"/>
      <c r="X98" s="217"/>
      <c r="Y98" s="217"/>
      <c r="Z98" s="213"/>
      <c r="AA98" s="215"/>
      <c r="AB98" s="215"/>
      <c r="AC98" s="217"/>
      <c r="AD98" s="217"/>
      <c r="AE98" s="213"/>
      <c r="AF98" s="215"/>
      <c r="AG98" s="215"/>
      <c r="AH98" s="217"/>
      <c r="AI98" s="217"/>
      <c r="AJ98" s="213"/>
    </row>
    <row r="99" spans="1:36" ht="16">
      <c r="A99" s="213"/>
      <c r="B99" s="214">
        <f ca="1">IFERROR(__xludf.DUMMYFUNCTION("""COMPUTED_VALUE"""),2814066)</f>
        <v>2814066</v>
      </c>
      <c r="C99" s="215" t="str">
        <f ca="1">IFERROR(__xludf.DUMMYFUNCTION("""COMPUTED_VALUE"""),"Intermediate")</f>
        <v>Intermediate</v>
      </c>
      <c r="D99" s="217" t="str">
        <f ca="1">IFERROR(__xludf.DUMMYFUNCTION("""COMPUTED_VALUE"""),"Leading with Kindness and Strength")</f>
        <v>Leading with Kindness and Strength</v>
      </c>
      <c r="E99" s="217"/>
      <c r="F99" s="213"/>
      <c r="G99" s="214"/>
      <c r="H99" s="215"/>
      <c r="I99" s="218"/>
      <c r="J99" s="219"/>
      <c r="K99" s="213"/>
      <c r="L99" s="215"/>
      <c r="M99" s="215"/>
      <c r="N99" s="220"/>
      <c r="O99" s="220"/>
      <c r="P99" s="213"/>
      <c r="Q99" s="215"/>
      <c r="R99" s="215"/>
      <c r="S99" s="220"/>
      <c r="T99" s="220"/>
      <c r="U99" s="213"/>
      <c r="V99" s="215"/>
      <c r="W99" s="215"/>
      <c r="X99" s="220"/>
      <c r="Y99" s="220"/>
      <c r="Z99" s="213"/>
      <c r="AA99" s="215"/>
      <c r="AB99" s="215"/>
      <c r="AC99" s="221"/>
      <c r="AD99" s="221"/>
      <c r="AE99" s="213"/>
      <c r="AF99" s="215"/>
      <c r="AG99" s="215"/>
      <c r="AH99" s="220"/>
      <c r="AI99" s="220"/>
      <c r="AJ99" s="213"/>
    </row>
    <row r="100" spans="1:36" ht="15" customHeight="1">
      <c r="B100">
        <f ca="1">IFERROR(__xludf.DUMMYFUNCTION("""COMPUTED_VALUE"""),553472)</f>
        <v>553472</v>
      </c>
      <c r="C100" t="str">
        <f ca="1">IFERROR(__xludf.DUMMYFUNCTION("""COMPUTED_VALUE"""),"Intermediate")</f>
        <v>Intermediate</v>
      </c>
      <c r="D100" t="str">
        <f ca="1">IFERROR(__xludf.DUMMYFUNCTION("""COMPUTED_VALUE"""),"Negotiating Your Leadership Success")</f>
        <v>Negotiating Your Leadership Success</v>
      </c>
    </row>
    <row r="101" spans="1:36" ht="15" customHeight="1">
      <c r="B101">
        <f ca="1">IFERROR(__xludf.DUMMYFUNCTION("""COMPUTED_VALUE"""),387349)</f>
        <v>387349</v>
      </c>
      <c r="C101" t="str">
        <f ca="1">IFERROR(__xludf.DUMMYFUNCTION("""COMPUTED_VALUE"""),"General")</f>
        <v>General</v>
      </c>
      <c r="D101" t="str">
        <f ca="1">IFERROR(__xludf.DUMMYFUNCTION("""COMPUTED_VALUE"""),"Powerless to Powerful: Taking Control")</f>
        <v>Powerless to Powerful: Taking Control</v>
      </c>
    </row>
    <row r="102" spans="1:36" ht="15" customHeight="1">
      <c r="B102">
        <f ca="1">IFERROR(__xludf.DUMMYFUNCTION("""COMPUTED_VALUE"""),2825124)</f>
        <v>2825124</v>
      </c>
      <c r="C102" t="str">
        <f ca="1">IFERROR(__xludf.DUMMYFUNCTION("""COMPUTED_VALUE"""),"Intermediate")</f>
        <v>Intermediate</v>
      </c>
      <c r="D102" t="str">
        <f ca="1">IFERROR(__xludf.DUMMYFUNCTION("""COMPUTED_VALUE"""),"Building and Managing a High-Performing Sales Team")</f>
        <v>Building and Managing a High-Performing Sales Team</v>
      </c>
    </row>
    <row r="103" spans="1:36" ht="15" customHeight="1">
      <c r="B103">
        <f ca="1">IFERROR(__xludf.DUMMYFUNCTION("""COMPUTED_VALUE"""),2825499)</f>
        <v>2825499</v>
      </c>
      <c r="C103" t="str">
        <f ca="1">IFERROR(__xludf.DUMMYFUNCTION("""COMPUTED_VALUE"""),"Intermediate")</f>
        <v>Intermediate</v>
      </c>
      <c r="D103" t="str">
        <f ca="1">IFERROR(__xludf.DUMMYFUNCTION("""COMPUTED_VALUE"""),"Predictive Analytics Essential Training for Executives")</f>
        <v>Predictive Analytics Essential Training for Executives</v>
      </c>
    </row>
    <row r="104" spans="1:36" ht="15" customHeight="1">
      <c r="B104">
        <f ca="1">IFERROR(__xludf.DUMMYFUNCTION("""COMPUTED_VALUE"""),2822642)</f>
        <v>2822642</v>
      </c>
      <c r="C104" t="str">
        <f ca="1">IFERROR(__xludf.DUMMYFUNCTION("""COMPUTED_VALUE"""),"Intermediate")</f>
        <v>Intermediate</v>
      </c>
      <c r="D104" t="str">
        <f ca="1">IFERROR(__xludf.DUMMYFUNCTION("""COMPUTED_VALUE"""),"Leadership Mindsets")</f>
        <v>Leadership Mindsets</v>
      </c>
    </row>
    <row r="105" spans="1:36" ht="15" customHeight="1">
      <c r="B105">
        <f ca="1">IFERROR(__xludf.DUMMYFUNCTION("""COMPUTED_VALUE"""),2824374)</f>
        <v>2824374</v>
      </c>
      <c r="C105" t="str">
        <f ca="1">IFERROR(__xludf.DUMMYFUNCTION("""COMPUTED_VALUE"""),"Intermediate")</f>
        <v>Intermediate</v>
      </c>
      <c r="D105" t="str">
        <f ca="1">IFERROR(__xludf.DUMMYFUNCTION("""COMPUTED_VALUE"""),"How Leaders Can Motivate Others by Creating Meaning")</f>
        <v>How Leaders Can Motivate Others by Creating Meaning</v>
      </c>
    </row>
    <row r="106" spans="1:36" ht="15" customHeight="1">
      <c r="B106">
        <f ca="1">IFERROR(__xludf.DUMMYFUNCTION("""COMPUTED_VALUE"""),2836015)</f>
        <v>2836015</v>
      </c>
      <c r="C106" t="str">
        <f ca="1">IFERROR(__xludf.DUMMYFUNCTION("""COMPUTED_VALUE"""),"Intermediate")</f>
        <v>Intermediate</v>
      </c>
      <c r="D106" t="str">
        <f ca="1">IFERROR(__xludf.DUMMYFUNCTION("""COMPUTED_VALUE"""),"How to Innovate and Stay Relevant in Times of Change and Uncertainty")</f>
        <v>How to Innovate and Stay Relevant in Times of Change and Uncertainty</v>
      </c>
    </row>
    <row r="107" spans="1:36" ht="15" customHeight="1">
      <c r="B107">
        <f ca="1">IFERROR(__xludf.DUMMYFUNCTION("""COMPUTED_VALUE"""),2838146)</f>
        <v>2838146</v>
      </c>
      <c r="C107" t="str">
        <f ca="1">IFERROR(__xludf.DUMMYFUNCTION("""COMPUTED_VALUE"""),"Intermediate")</f>
        <v>Intermediate</v>
      </c>
      <c r="D107" t="str">
        <f ca="1">IFERROR(__xludf.DUMMYFUNCTION("""COMPUTED_VALUE"""),"Leading in Uncertain Times")</f>
        <v>Leading in Uncertain Times</v>
      </c>
    </row>
    <row r="108" spans="1:36" ht="15" customHeight="1">
      <c r="B108">
        <f ca="1">IFERROR(__xludf.DUMMYFUNCTION("""COMPUTED_VALUE"""),2837260)</f>
        <v>2837260</v>
      </c>
      <c r="C108" t="str">
        <f ca="1">IFERROR(__xludf.DUMMYFUNCTION("""COMPUTED_VALUE"""),"Intermediate")</f>
        <v>Intermediate</v>
      </c>
      <c r="D108" t="str">
        <f ca="1">IFERROR(__xludf.DUMMYFUNCTION("""COMPUTED_VALUE"""),"The Definitive Drucker (getAbstract Summary)")</f>
        <v>The Definitive Drucker (getAbstract Summary)</v>
      </c>
    </row>
    <row r="109" spans="1:36" ht="15" customHeight="1">
      <c r="B109">
        <f ca="1">IFERROR(__xludf.DUMMYFUNCTION("""COMPUTED_VALUE"""),2823579)</f>
        <v>2823579</v>
      </c>
      <c r="C109" t="str">
        <f ca="1">IFERROR(__xludf.DUMMYFUNCTION("""COMPUTED_VALUE"""),"Advanced")</f>
        <v>Advanced</v>
      </c>
      <c r="D109" t="str">
        <f ca="1">IFERROR(__xludf.DUMMYFUNCTION("""COMPUTED_VALUE"""),"Adaptive Leadership for VUCA Challenges")</f>
        <v>Adaptive Leadership for VUCA Challenges</v>
      </c>
    </row>
    <row r="110" spans="1:36" ht="15" customHeight="1">
      <c r="B110">
        <f ca="1">IFERROR(__xludf.DUMMYFUNCTION("""COMPUTED_VALUE"""),2831004)</f>
        <v>2831004</v>
      </c>
      <c r="C110" t="str">
        <f ca="1">IFERROR(__xludf.DUMMYFUNCTION("""COMPUTED_VALUE"""),"Advanced")</f>
        <v>Advanced</v>
      </c>
      <c r="D110" t="str">
        <f ca="1">IFERROR(__xludf.DUMMYFUNCTION("""COMPUTED_VALUE"""),"Mastering Organizational Chaos")</f>
        <v>Mastering Organizational Chaos</v>
      </c>
    </row>
    <row r="111" spans="1:36" ht="15" customHeight="1">
      <c r="B111">
        <f ca="1">IFERROR(__xludf.DUMMYFUNCTION("""COMPUTED_VALUE"""),512773)</f>
        <v>512773</v>
      </c>
      <c r="C111" t="str">
        <f ca="1">IFERROR(__xludf.DUMMYFUNCTION("""COMPUTED_VALUE"""),"General")</f>
        <v>General</v>
      </c>
      <c r="D111" t="str">
        <f ca="1">IFERROR(__xludf.DUMMYFUNCTION("""COMPUTED_VALUE"""),"Bill George on Self-Awareness, Authenticity, and Leadership")</f>
        <v>Bill George on Self-Awareness, Authenticity, and Leadership</v>
      </c>
    </row>
    <row r="112" spans="1:36" ht="15" customHeight="1">
      <c r="B112">
        <f ca="1">IFERROR(__xludf.DUMMYFUNCTION("""COMPUTED_VALUE"""),458640)</f>
        <v>458640</v>
      </c>
      <c r="C112" t="str">
        <f ca="1">IFERROR(__xludf.DUMMYFUNCTION("""COMPUTED_VALUE"""),"General")</f>
        <v>General</v>
      </c>
      <c r="D112" t="str">
        <f ca="1">IFERROR(__xludf.DUMMYFUNCTION("""COMPUTED_VALUE"""),"Fred Kofman on Accountability")</f>
        <v>Fred Kofman on Accountability</v>
      </c>
    </row>
    <row r="113" spans="2:4" ht="15" customHeight="1">
      <c r="B113">
        <f ca="1">IFERROR(__xludf.DUMMYFUNCTION("""COMPUTED_VALUE"""),2832037)</f>
        <v>2832037</v>
      </c>
      <c r="C113" t="str">
        <f ca="1">IFERROR(__xludf.DUMMYFUNCTION("""COMPUTED_VALUE"""),"General")</f>
        <v>General</v>
      </c>
      <c r="D113" t="str">
        <f ca="1">IFERROR(__xludf.DUMMYFUNCTION("""COMPUTED_VALUE"""),"Leading in Crisis")</f>
        <v>Leading in Crisis</v>
      </c>
    </row>
    <row r="114" spans="2:4" ht="15" customHeight="1">
      <c r="B114">
        <f ca="1">IFERROR(__xludf.DUMMYFUNCTION("""COMPUTED_VALUE"""),2839075)</f>
        <v>2839075</v>
      </c>
      <c r="C114" t="str">
        <f ca="1">IFERROR(__xludf.DUMMYFUNCTION("""COMPUTED_VALUE"""),"General")</f>
        <v>General</v>
      </c>
      <c r="D114" t="str">
        <f ca="1">IFERROR(__xludf.DUMMYFUNCTION("""COMPUTED_VALUE"""),"The Fearless Organization (Blinkist Summary)")</f>
        <v>The Fearless Organization (Blinkist Summary)</v>
      </c>
    </row>
    <row r="115" spans="2:4" ht="15" customHeight="1">
      <c r="B115">
        <f ca="1">IFERROR(__xludf.DUMMYFUNCTION("""COMPUTED_VALUE"""),2849031)</f>
        <v>2849031</v>
      </c>
      <c r="C115" t="str">
        <f ca="1">IFERROR(__xludf.DUMMYFUNCTION("""COMPUTED_VALUE"""),"General")</f>
        <v>General</v>
      </c>
      <c r="D115" t="str">
        <f ca="1">IFERROR(__xludf.DUMMYFUNCTION("""COMPUTED_VALUE"""),"What's Next: Reinventing Work in the New Normal")</f>
        <v>What's Next: Reinventing Work in the New Normal</v>
      </c>
    </row>
    <row r="116" spans="2:4" ht="15" customHeight="1">
      <c r="B116">
        <f ca="1">IFERROR(__xludf.DUMMYFUNCTION("""COMPUTED_VALUE"""),2837192)</f>
        <v>2837192</v>
      </c>
      <c r="C116" t="str">
        <f ca="1">IFERROR(__xludf.DUMMYFUNCTION("""COMPUTED_VALUE"""),"General")</f>
        <v>General</v>
      </c>
      <c r="D116" t="str">
        <f ca="1">IFERROR(__xludf.DUMMYFUNCTION("""COMPUTED_VALUE"""),"Advice for Leaders During a Crisis")</f>
        <v>Advice for Leaders During a Crisis</v>
      </c>
    </row>
    <row r="117" spans="2:4" ht="15" customHeight="1">
      <c r="B117">
        <f ca="1">IFERROR(__xludf.DUMMYFUNCTION("""COMPUTED_VALUE"""),2800408)</f>
        <v>2800408</v>
      </c>
      <c r="C117" t="str">
        <f ca="1">IFERROR(__xludf.DUMMYFUNCTION("""COMPUTED_VALUE"""),"General")</f>
        <v>General</v>
      </c>
      <c r="D117" t="str">
        <f ca="1">IFERROR(__xludf.DUMMYFUNCTION("""COMPUTED_VALUE"""),"Leadership in Tech")</f>
        <v>Leadership in Tech</v>
      </c>
    </row>
    <row r="118" spans="2:4" ht="15" customHeight="1">
      <c r="B118">
        <f ca="1">IFERROR(__xludf.DUMMYFUNCTION("""COMPUTED_VALUE"""),2841066)</f>
        <v>2841066</v>
      </c>
      <c r="C118" t="str">
        <f ca="1">IFERROR(__xludf.DUMMYFUNCTION("""COMPUTED_VALUE"""),"General")</f>
        <v>General</v>
      </c>
      <c r="D118" t="str">
        <f ca="1">IFERROR(__xludf.DUMMYFUNCTION("""COMPUTED_VALUE"""),"Communicating Internally during Times of Uncertainty")</f>
        <v>Communicating Internally during Times of Uncertainty</v>
      </c>
    </row>
    <row r="119" spans="2:4" ht="15" customHeight="1">
      <c r="B119">
        <f ca="1">IFERROR(__xludf.DUMMYFUNCTION("""COMPUTED_VALUE"""),2894042)</f>
        <v>2894042</v>
      </c>
      <c r="C119" t="str">
        <f ca="1">IFERROR(__xludf.DUMMYFUNCTION("""COMPUTED_VALUE"""),"General")</f>
        <v>General</v>
      </c>
      <c r="D119" t="str">
        <f ca="1">IFERROR(__xludf.DUMMYFUNCTION("""COMPUTED_VALUE"""),"Redesigning How We Work in 2021")</f>
        <v>Redesigning How We Work in 2021</v>
      </c>
    </row>
    <row r="120" spans="2:4" ht="15" customHeight="1">
      <c r="B120">
        <f ca="1">IFERROR(__xludf.DUMMYFUNCTION("""COMPUTED_VALUE"""),2883251)</f>
        <v>2883251</v>
      </c>
      <c r="C120" t="str">
        <f ca="1">IFERROR(__xludf.DUMMYFUNCTION("""COMPUTED_VALUE"""),"General")</f>
        <v>General</v>
      </c>
      <c r="D120" t="str">
        <f ca="1">IFERROR(__xludf.DUMMYFUNCTION("""COMPUTED_VALUE"""),"Leading with a Heavy Heart")</f>
        <v>Leading with a Heavy Heart</v>
      </c>
    </row>
  </sheetData>
  <mergeCells count="14">
    <mergeCell ref="B1:E1"/>
    <mergeCell ref="L1:O1"/>
    <mergeCell ref="V1:Y1"/>
    <mergeCell ref="AF1:AI1"/>
    <mergeCell ref="B2:E2"/>
    <mergeCell ref="L2:O2"/>
    <mergeCell ref="V2:Y2"/>
    <mergeCell ref="AF2:AI2"/>
    <mergeCell ref="G1:J1"/>
    <mergeCell ref="G2:J2"/>
    <mergeCell ref="Q1:T1"/>
    <mergeCell ref="Q2:T2"/>
    <mergeCell ref="AA1:AD1"/>
    <mergeCell ref="AA2:AD2"/>
  </mergeCells>
  <hyperlinks>
    <hyperlink ref="D4" r:id="rId1" display="https://www.linkedin.com/learning/privacy-for-executives?trk=ondemandfile" xr:uid="{00000000-0004-0000-1800-000000000000}"/>
    <hyperlink ref="E4" r:id="rId2" display="https://www.linkedin.com/learning/paths/build-a-company-learning-and-development-program?trk=ondemandfile" xr:uid="{00000000-0004-0000-1800-000001000000}"/>
    <hyperlink ref="I4" r:id="rId3" display="https://www.linkedin.com/learning/10-minutes-un-livre-comment-trouver-le-leader-en-vous?trk=contentmappingfile" xr:uid="{00000000-0004-0000-1800-000002000000}"/>
    <hyperlink ref="N4" r:id="rId4" display="https://www.linkedin.com/learning/agile-en-accion-construye-tu-equipo-agil?trk=ondemandfile" xr:uid="{00000000-0004-0000-1800-000003000000}"/>
    <hyperlink ref="O4" r:id="rId5" display="https://www.linkedin.com/learning/paths/mejora-tus-dotes-de-liderazgo-y-gestion-de-equipos-de-trabajo?trk=ondemandfile" xr:uid="{00000000-0004-0000-1800-000004000000}"/>
    <hyperlink ref="S4" r:id="rId6" display="https://www.linkedin.com/learning/agiler-fuhren-eine-einfuhrung?trk=ondemandfile" xr:uid="{00000000-0004-0000-1800-000005000000}"/>
    <hyperlink ref="T4" r:id="rId7" display="https://www.linkedin.com/learning/paths/fuehren-im-zeitalter-der-digitalen-transformation?trk=ondemandfile" xr:uid="{00000000-0004-0000-1800-000006000000}"/>
    <hyperlink ref="X4" r:id="rId8" display="https://www.linkedin.com/learning/conducting-one-on-one-meetings?trk=contentmappingfile" xr:uid="{00000000-0004-0000-1800-000007000000}"/>
    <hyperlink ref="AC4" r:id="rId9" display="https://www.linkedin.com/learning/a-linguagem-corporal-da-lideranca?trk=contentmappingfile" xr:uid="{00000000-0004-0000-1800-000008000000}"/>
    <hyperlink ref="AD4" r:id="rId10" display="https://www.linkedin.com/learning/paths/torne-se-um-lider?trk=ondemandfile" xr:uid="{00000000-0004-0000-1800-000009000000}"/>
    <hyperlink ref="AH4" r:id="rId11" display="https://www.linkedin.com/learning/leading-virtual-meetings-9615175?trk=contentmappingfile" xr:uid="{00000000-0004-0000-1800-00000A000000}"/>
    <hyperlink ref="AI4" r:id="rId12" display="https://www.linkedin.com/learning/paths/3db8a531-c16b-3623-9891-2cd47ac19f68?trk=ondemandfile" xr:uid="{00000000-0004-0000-1800-00000B000000}"/>
    <hyperlink ref="D5" r:id="rId13" display="https://www.linkedin.com/learning/ryan-holmes-on-social-leadership?trk=ondemandfile" xr:uid="{00000000-0004-0000-1800-00000C000000}"/>
    <hyperlink ref="E5" r:id="rId14" display="https://www.linkedin.com/learning/paths/become-an-inclusive-leader?trk=ondemandfile" xr:uid="{00000000-0004-0000-1800-00000D000000}"/>
    <hyperlink ref="I5" r:id="rId15" display="https://www.linkedin.com/learning/accroitre-la-securite-psychologique-de-votre-equipe?trk=contentmappingfile" xr:uid="{00000000-0004-0000-1800-00000E000000}"/>
    <hyperlink ref="N5" r:id="rId16" display="https://www.linkedin.com/learning/00-bill-george-sobre-self-awareness-autenticidad-y-liderazgo?trk=ondemandfile" xr:uid="{00000000-0004-0000-1800-00000F000000}"/>
    <hyperlink ref="O5" r:id="rId17" display="https://www.linkedin.com/learning/paths/domina-las-habilidades-de-vida-a-nivel-de-liderazgo?trk=ondemandfile" xr:uid="{00000000-0004-0000-1800-000010000000}"/>
    <hyperlink ref="S5" r:id="rId18" display="https://www.linkedin.com/learning/als-fuhrungskraft-das-agile-lernen-im-team-unterstutzen?trk=ondemandfile" xr:uid="{00000000-0004-0000-1800-000011000000}"/>
    <hyperlink ref="T5" r:id="rId19" display="https://www.linkedin.com/learning/paths/fuehrungskompetenz-weiterentwickeln?trk=ondemandfile" xr:uid="{00000000-0004-0000-1800-000012000000}"/>
    <hyperlink ref="X5" r:id="rId20" display="https://www.linkedin.com/learning/setting-team-and-employee-goals-14797875?trk=contentmappingfile" xr:uid="{00000000-0004-0000-1800-000013000000}"/>
    <hyperlink ref="AC5" r:id="rId21" display="https://www.linkedin.com/learning/como-apoiar-sua-equipe-na-gestao-da-ansiedade?trk=contentmappingfile" xr:uid="{00000000-0004-0000-1800-000014000000}"/>
    <hyperlink ref="AD5" r:id="rId22" display="https://www.linkedin.com/learning/paths/transforme-se-num-lider-disruptivo?trk=ondemandfile" xr:uid="{00000000-0004-0000-1800-000015000000}"/>
    <hyperlink ref="AH5" r:id="rId23" display="https://www.linkedin.com/learning/transition-from-manager-to-leader-3?trk=ondemandfile" xr:uid="{00000000-0004-0000-1800-000016000000}"/>
    <hyperlink ref="AI5" r:id="rId24" display="https://www.linkedin.com/learning/paths/34149b5d-1fd7-337a-8fd6-c725fdd05bf9?trk=ondemandfile" xr:uid="{00000000-0004-0000-1800-000017000000}"/>
    <hyperlink ref="D6" r:id="rId25" display="https://www.linkedin.com/learning/leadership-stories-5-minute-lessons-in-leading-people?trk=ondemandfile" xr:uid="{00000000-0004-0000-1800-000018000000}"/>
    <hyperlink ref="E6" r:id="rId26" display="https://www.linkedin.com/learning/paths/become-a-leader?trk=ondemandfile" xr:uid="{00000000-0004-0000-1800-000019000000}"/>
    <hyperlink ref="N6" r:id="rId27" display="https://www.linkedin.com/learning/como-dar-y-recibir-feedback-o-retroalimentacion?trk=contentmappingfile" xr:uid="{00000000-0004-0000-1800-00001A000000}"/>
    <hyperlink ref="O6" r:id="rId28" display="https://www.linkedin.com/learning/paths/amplia-tus-competencias-como-lider-para-la-transformacion-digital?trk=ondemandfile" xr:uid="{00000000-0004-0000-1800-00001B000000}"/>
    <hyperlink ref="S6" r:id="rId29" display="https://www.linkedin.com/learning/risk-taking-lead?trk=ondemandfile" xr:uid="{00000000-0004-0000-1800-00001C000000}"/>
    <hyperlink ref="T6" r:id="rId30" display="https://www.linkedin.com/learning/paths/fuhrungskraft-werden?trk=ondemandfile" xr:uid="{00000000-0004-0000-1800-00001D000000}"/>
    <hyperlink ref="X6" r:id="rId31" display="https://www.linkedin.com/learning/inclusive-leadership-3?trk=ondemandfile" xr:uid="{00000000-0004-0000-1800-00001E000000}"/>
    <hyperlink ref="AD6" r:id="rId32" display="https://www.linkedin.com/learning/paths/como-implementar-a-gestao-de-mudancas?trk=ondemandfile" xr:uid="{00000000-0004-0000-1800-00001F000000}"/>
    <hyperlink ref="AH6" r:id="rId33" display="https://www.linkedin.com/learning/creating-a-high-performance-culture-4?trk=ondemandfile" xr:uid="{00000000-0004-0000-1800-000020000000}"/>
    <hyperlink ref="D7" r:id="rId34" display="https://www.linkedin.com/learning/leading-with-innovation?trk=ondemandfile" xr:uid="{00000000-0004-0000-1800-000021000000}"/>
    <hyperlink ref="E7" r:id="rId35" display="https://www.linkedin.com/learning/paths/become-a-thought-leader?trk=ondemandfile" xr:uid="{00000000-0004-0000-1800-000022000000}"/>
    <hyperlink ref="N7" r:id="rId36" display="https://www.linkedin.com/learning/como-gestionar-a-personas-con-alto-potencial?trk=contentmappingfile" xr:uid="{00000000-0004-0000-1800-000023000000}"/>
    <hyperlink ref="O7" r:id="rId37" display="https://www.linkedin.com/learning/paths/conviertete-en-lider?trk=ondemandfile" xr:uid="{00000000-0004-0000-1800-000024000000}"/>
    <hyperlink ref="S7" r:id="rId38" display="https://www.linkedin.com/learning/als-ingenieur-in-oder-it-expert-in-mitarbeiter-fuhren?trk=ondemandfile" xr:uid="{00000000-0004-0000-1800-000025000000}"/>
    <hyperlink ref="T7" r:id="rId39" display="https://www.linkedin.com/learning/paths/fuehrungsqualitten-entwickeln?trk=ondemandfile" xr:uid="{00000000-0004-0000-1800-000026000000}"/>
    <hyperlink ref="X7" r:id="rId40" display="https://www.linkedin.com/learning/leading-inclusive-teams-14683165?trk=contentmappingfile" xr:uid="{00000000-0004-0000-1800-000027000000}"/>
    <hyperlink ref="AH7" r:id="rId41" display="https://www.linkedin.com/learning/leading-with-innovation-4?trk=ondemandfile" xr:uid="{00000000-0004-0000-1800-000028000000}"/>
    <hyperlink ref="D8" r:id="rId42" display="https://www.linkedin.com/learning/inclusive-leadership?trk=ondemandfile" xr:uid="{00000000-0004-0000-1800-000029000000}"/>
    <hyperlink ref="E8" r:id="rId43" display="https://www.linkedin.com/learning/paths/diversity-inclusion-and-belonging-for-leaders-and-managers?trk=ondemandfile" xr:uid="{00000000-0004-0000-1800-00002A000000}"/>
    <hyperlink ref="I8" r:id="rId44" display="https://www.linkedin.com/learning/conseils-d-expert-creer-une-culture-de-coaching-entre-pairs?trk=contentmappingfile" xr:uid="{00000000-0004-0000-1800-00002B000000}"/>
    <hyperlink ref="N8" r:id="rId45" display="https://www.linkedin.com/learning/como-gestionar-al-personal-de-alto-rendimiento?trk=contentmappingfile" xr:uid="{00000000-0004-0000-1800-00002C000000}"/>
    <hyperlink ref="O8" r:id="rId46" display="https://www.linkedin.com/learning/paths/profundiza-tu-capacidad-estrategica?trk=ondemandfile" xr:uid="{00000000-0004-0000-1800-00002D000000}"/>
    <hyperlink ref="S8" r:id="rId47" display="https://www.linkedin.com/learning/bereit-zur-fuhrung?trk=ondemandfile" xr:uid="{00000000-0004-0000-1800-00002E000000}"/>
    <hyperlink ref="T8" r:id="rId48" display="https://www.linkedin.com/learning/paths/leader-in-werden?trk=ondemandfile" xr:uid="{00000000-0004-0000-1800-00002F000000}"/>
    <hyperlink ref="X8" r:id="rId49" display="https://www.linkedin.com/learning/developing-executive-presence-14758456?trk=contentmappingfile" xr:uid="{00000000-0004-0000-1800-000030000000}"/>
    <hyperlink ref="AH8" r:id="rId50" display="https://www.linkedin.com/learning/inclusive-leadership-2?trk=ondemandfile" xr:uid="{00000000-0004-0000-1800-000031000000}"/>
    <hyperlink ref="D9" r:id="rId51" display="https://www.linkedin.com/learning/doing-good-to-build-a-profitable-business?trk=ondemandfile" xr:uid="{00000000-0004-0000-1800-000032000000}"/>
    <hyperlink ref="E9" r:id="rId52" display="https://www.linkedin.com/learning/paths/leading-others-effectively?trk=ondemandfile" xr:uid="{00000000-0004-0000-1800-000033000000}"/>
    <hyperlink ref="I9" r:id="rId53" display="https://www.linkedin.com/learning/conseils-d-experte-manager-la-generation-z?trk=contentmappingfile" xr:uid="{00000000-0004-0000-1800-000034000000}"/>
    <hyperlink ref="N9" r:id="rId54" display="https://www.linkedin.com/learning/como-gestionar-los-puntos-ciegos-del-liderazgo?trk=ondemandfile" xr:uid="{00000000-0004-0000-1800-000035000000}"/>
    <hyperlink ref="O9" r:id="rId55" display="https://www.linkedin.com/learning/paths/trabajo-a-distancia-preparandote-a-ti-mismo-y-a-tus-equipos-para-el-exito?trk=ondemandfile" xr:uid="{00000000-0004-0000-1800-000036000000}"/>
    <hyperlink ref="S9" r:id="rId56" display="https://www.linkedin.com/learning/blinde-flecke-in-der-fuhrung-erkennen-und-uberwinden?trk=ondemandfile" xr:uid="{00000000-0004-0000-1800-000037000000}"/>
    <hyperlink ref="T9" r:id="rId57" display="https://www.linkedin.com/learning/paths/teams-aufbauen-und-fuehren?trk=ondemandfile" xr:uid="{00000000-0004-0000-1800-000038000000}"/>
    <hyperlink ref="X9" r:id="rId58" display="https://www.linkedin.com/learning/leading-with-emotional-intelligence?trk=ondemandfile" xr:uid="{00000000-0004-0000-1800-000039000000}"/>
    <hyperlink ref="AH9" r:id="rId59" display="https://www.linkedin.com/learning/transformational-leadership-3?trk=contentmappingfile" xr:uid="{00000000-0004-0000-1800-00003A000000}"/>
    <hyperlink ref="D10" r:id="rId60" display="https://www.linkedin.com/learning/good-to-great?trk=ondemandfile" xr:uid="{00000000-0004-0000-1800-00003B000000}"/>
    <hyperlink ref="E10" r:id="rId61" display="https://www.linkedin.com/learning/paths/linkedin-manager-to-leader?trk=ondemandfile" xr:uid="{00000000-0004-0000-1800-00003C000000}"/>
    <hyperlink ref="I10" r:id="rId62" display="https://www.linkedin.com/learning/conseils-et-astuces-pour-les-dirigeants-dirigeantes?trk=contentmappingfile" xr:uid="{00000000-0004-0000-1800-00003D000000}"/>
    <hyperlink ref="N10" r:id="rId63" display="https://www.linkedin.com/learning/como-liderar-con-eficacia?trk=ondemandfile" xr:uid="{00000000-0004-0000-1800-00003E000000}"/>
    <hyperlink ref="O10" r:id="rId64" display="https://www.linkedin.com/learning/paths/mujeres-en-el-liderazgo?trk=ondemandfile" xr:uid="{00000000-0004-0000-1800-00003F000000}"/>
    <hyperlink ref="S10" r:id="rId65" display="https://www.linkedin.com/learning/coaching-skills-fur-fuhrungskrafte?trk=ondemandfile" xr:uid="{00000000-0004-0000-1800-000040000000}"/>
    <hyperlink ref="X10" r:id="rId66" display="https://www.linkedin.com/learning/what-is-servant-leadership?trk=contentmappingfile" xr:uid="{00000000-0004-0000-1800-000041000000}"/>
    <hyperlink ref="AC10" r:id="rId67" display="https://www.linkedin.com/learning/como-demitir-colaboradores?trk=contentmappingfile" xr:uid="{00000000-0004-0000-1800-000042000000}"/>
    <hyperlink ref="AH10" r:id="rId68" display="https://www.linkedin.com/learning/collaborative-leadership-3?trk=ondemandfile" xr:uid="{00000000-0004-0000-1800-000043000000}"/>
    <hyperlink ref="D11" r:id="rId69" display="https://www.linkedin.com/learning/lean-technology-strategy-purposeful-organizations?trk=ondemandfile" xr:uid="{00000000-0004-0000-1800-000044000000}"/>
    <hyperlink ref="E11" r:id="rId70" display="https://www.linkedin.com/learning/paths/master-in-demand-skills-for-technology-leadership?trk=ondemandfile" xr:uid="{00000000-0004-0000-1800-000045000000}"/>
    <hyperlink ref="N11" r:id="rId71" display="https://www.linkedin.com/learning/como-liderar-el-cambio-en-tu-empresa?trk=ondemandfile" xr:uid="{00000000-0004-0000-1800-000046000000}"/>
    <hyperlink ref="S11" r:id="rId72" display="https://www.linkedin.com/learning/de-3036?trk=ondemandfile" xr:uid="{00000000-0004-0000-1800-000047000000}"/>
    <hyperlink ref="X11" r:id="rId73" display="https://www.linkedin.com/learning/jeff-weiner-on-managing-compassionately-2?trk=contentmappingfile" xr:uid="{00000000-0004-0000-1800-000048000000}"/>
    <hyperlink ref="AH11" r:id="rId74" display="https://www.linkedin.com/learning/creating-the-conditions-for-others-to-thrive-9615462?trk=contentmappingfile" xr:uid="{00000000-0004-0000-1800-000049000000}"/>
    <hyperlink ref="D12" r:id="rId75" display="https://www.linkedin.com/learning/counterintuitive-leadership-strategies-for-a-vuca-environment?trk=ondemandfile" xr:uid="{00000000-0004-0000-1800-00004A000000}"/>
    <hyperlink ref="E12" r:id="rId76" display="https://www.linkedin.com/learning/paths/remote-working-setting-yourself-and-your-teams-up-for-success?trk=ondemandfile" xr:uid="{00000000-0004-0000-1800-00004B000000}"/>
    <hyperlink ref="I12" r:id="rId77" display="https://www.linkedin.com/learning/de-l-impuissance-au-pouvoir-la-prise-de-controle?trk=contentmappingfile" xr:uid="{00000000-0004-0000-1800-00004C000000}"/>
    <hyperlink ref="N12" r:id="rId78" display="https://www.linkedin.com/learning/como-liderar-equipos-de-alto-potencial?trk=contentmappingfile" xr:uid="{00000000-0004-0000-1800-00004D000000}"/>
    <hyperlink ref="S12" r:id="rId79" display="https://www.linkedin.com/learning/den-eigenen-fuhrungsstil-entwickeln?trk=ondemandfile" xr:uid="{00000000-0004-0000-1800-00004E000000}"/>
    <hyperlink ref="X12" r:id="rId80" display="https://www.linkedin.com/learning/leading-with-stories-14851159?trk=contentmappingfile" xr:uid="{00000000-0004-0000-1800-00004F000000}"/>
    <hyperlink ref="AC12" r:id="rId81" display="https://www.linkedin.com/learning/como-estimular-o-pensamento-criativo-da-sua-equipe?trk=contentmappingfile" xr:uid="{00000000-0004-0000-1800-000050000000}"/>
    <hyperlink ref="AH12" r:id="rId82" display="https://www.linkedin.com/learning/grit-how-teams-persevere-to-accomplish-great-goals-2?trk=contentmappingfile" xr:uid="{00000000-0004-0000-1800-000051000000}"/>
    <hyperlink ref="D13" r:id="rId83" display="https://www.linkedin.com/learning/leading-change-2018?trk=ondemandfile" xr:uid="{00000000-0004-0000-1800-000052000000}"/>
    <hyperlink ref="N13" r:id="rId84" display="https://www.linkedin.com/learning/como-liderar-equipos-inclusivos?trk=ondemandfile" xr:uid="{00000000-0004-0000-1800-000053000000}"/>
    <hyperlink ref="S13" r:id="rId85" display="https://www.linkedin.com/learning/der-fuhrungs-talk?trk=contentmappingfile" xr:uid="{00000000-0004-0000-1800-000054000000}"/>
    <hyperlink ref="X13" r:id="rId86" display="https://www.linkedin.com/learning/leading-and-working-in-teams-2?trk=ondemandfile" xr:uid="{00000000-0004-0000-1800-000055000000}"/>
    <hyperlink ref="AC13" r:id="rId87" display="https://www.linkedin.com/learning/como-exercer-a-lideranca-compassiva-a-perspectiva-de-jeff-weiner?trk=contentmappingfile" xr:uid="{00000000-0004-0000-1800-000056000000}"/>
    <hyperlink ref="AH13" r:id="rId88" display="https://www.linkedin.com/learning/cultivating-a-growth-mindset-3?trk=ondemandfile" xr:uid="{00000000-0004-0000-1800-000057000000}"/>
    <hyperlink ref="D14" r:id="rId89" display="https://www.linkedin.com/learning/vision-in-action-leaders-live-case-studies?trk=ondemandfile" xr:uid="{00000000-0004-0000-1800-000058000000}"/>
    <hyperlink ref="I14" r:id="rId90" display="https://www.linkedin.com/learning/devenir-un-manager-bienveillant-une-manager-bienveillante?trk=contentmappingfile" xr:uid="{00000000-0004-0000-1800-000059000000}"/>
    <hyperlink ref="N14" r:id="rId91" display="https://www.linkedin.com/learning/como-liderar-reuniones-individuales-productivas?trk=ondemandfile" xr:uid="{00000000-0004-0000-1800-00005A000000}"/>
    <hyperlink ref="S14" r:id="rId92" display="https://www.linkedin.com/learning/die-5-rollen-einer-fuhrungskraft?trk=contentmappingfile" xr:uid="{00000000-0004-0000-1800-00005B000000}"/>
    <hyperlink ref="X14" r:id="rId93" display="https://www.linkedin.com/learning/transition-from-manager-to-leader-2?trk=ondemandfile" xr:uid="{00000000-0004-0000-1800-00005C000000}"/>
    <hyperlink ref="AH14" r:id="rId94" display="https://www.linkedin.com/learning/developing-executive-presence-2?trk=ondemandfile" xr:uid="{00000000-0004-0000-1800-00005D000000}"/>
    <hyperlink ref="D15" r:id="rId95" display="https://www.linkedin.com/learning/leading-the-organization-monthly?trk=ondemandfile" xr:uid="{00000000-0004-0000-1800-00005E000000}"/>
    <hyperlink ref="I15" r:id="rId96" display="https://www.linkedin.com/learning/devenir-une-personne-charismatique-et-influente?trk=contentmappingfile" xr:uid="{00000000-0004-0000-1800-00005F000000}"/>
    <hyperlink ref="N15" r:id="rId97" display="https://www.linkedin.com/learning/leading-without-formal-authority-3?trk=ondemandfile" xr:uid="{00000000-0004-0000-1800-000060000000}"/>
    <hyperlink ref="S15" r:id="rId98" display="https://www.linkedin.com/learning/die-ersten-100-tage-als-fuhrungskraft-2?trk=ondemandfile" xr:uid="{00000000-0004-0000-1800-000061000000}"/>
    <hyperlink ref="X15" r:id="rId99" display="https://www.linkedin.com/learning/leadership-foundation?trk=ondemandfile" xr:uid="{00000000-0004-0000-1800-000062000000}"/>
    <hyperlink ref="AH15" r:id="rId100" display="https://www.linkedin.com/learning/leadership-strategies-for-women-2?trk=ondemandfile" xr:uid="{00000000-0004-0000-1800-000063000000}"/>
    <hyperlink ref="D16" r:id="rId101" display="https://www.linkedin.com/learning/cmo-foundations-working-with-leadership-and-board-of-directors?trk=ondemandfile" xr:uid="{00000000-0004-0000-1800-000064000000}"/>
    <hyperlink ref="N16" r:id="rId102" display="https://www.linkedin.com/learning/como-medir-el-rendimiento-de-tu-equipo?trk=contentmappingfile" xr:uid="{00000000-0004-0000-1800-000065000000}"/>
    <hyperlink ref="S16" r:id="rId103" display="https://www.linkedin.com/learning/ein-team-im-kundenservice-leiten?trk=ondemandfile" xr:uid="{00000000-0004-0000-1800-000066000000}"/>
    <hyperlink ref="X16" r:id="rId104" display="https://www.linkedin.com/learning/creative-tricks-for-leaders?trk=ondemandfile" xr:uid="{00000000-0004-0000-1800-000067000000}"/>
    <hyperlink ref="AH16" r:id="rId105" display="https://www.linkedin.com/learning/executive-presence-for-women-3?trk=ondemandfile" xr:uid="{00000000-0004-0000-1800-000068000000}"/>
    <hyperlink ref="D17" r:id="rId106" display="https://www.linkedin.com/learning/leading-organizations-ten-timeless-truths-getabstract-summary?trk=ondemandfile" xr:uid="{00000000-0004-0000-1800-000069000000}"/>
    <hyperlink ref="N17" r:id="rId107" display="https://www.linkedin.com/learning/como-mejorar-el-rendimiento-de-tu-personal?trk=contentmappingfile" xr:uid="{00000000-0004-0000-1800-00006A000000}"/>
    <hyperlink ref="S17" r:id="rId108" display="https://www.linkedin.com/learning/entscheidungen-auf-fuhrungsebene-treffen?trk=ondemandfile" xr:uid="{00000000-0004-0000-1800-00006B000000}"/>
    <hyperlink ref="X17" r:id="rId109" display="https://www.linkedin.com/learning/risk-taking-for-leaders-3?trk=ondemandfile" xr:uid="{00000000-0004-0000-1800-00006C000000}"/>
    <hyperlink ref="AH17" r:id="rId110" display="https://www.linkedin.com/learning/balancing-multiple-roles-as-a-leader-3?trk=contentmappingfile" xr:uid="{00000000-0004-0000-1800-00006D000000}"/>
    <hyperlink ref="D18" r:id="rId111" display="https://www.linkedin.com/learning/the-7-secrets-of-responsive-leadership-getabstract-summary?trk=ondemandfile" xr:uid="{00000000-0004-0000-1800-00006E000000}"/>
    <hyperlink ref="I18" r:id="rId112" display="https://www.linkedin.com/learning/diriger-grace-a-l-intelligence-emotionnelle?trk=contentmappingfile" xr:uid="{00000000-0004-0000-1800-00006F000000}"/>
    <hyperlink ref="N18" r:id="rId113" display="https://www.linkedin.com/learning/del-victimismo-a-la-acci-n-asume-el-control?trk=ondemandfile" xr:uid="{00000000-0004-0000-1800-000070000000}"/>
    <hyperlink ref="S18" r:id="rId114" display="https://www.linkedin.com/learning/erfahrene-fuhrungskrafte-fuhren?trk=ondemandfile" xr:uid="{00000000-0004-0000-1800-000071000000}"/>
    <hyperlink ref="X18" r:id="rId115" display="https://www.linkedin.com/learning/collaborative-leadership-9064543?trk=ondemandfile" xr:uid="{00000000-0004-0000-1800-000072000000}"/>
    <hyperlink ref="AC18" r:id="rId116" display="https://www.linkedin.com/learning/como-liderar-e-incentivar-equipes-virtuais-para-estimular-a-motivacao-no-trabalho?trk=contentmappingfile" xr:uid="{00000000-0004-0000-1800-000073000000}"/>
    <hyperlink ref="AH18" r:id="rId117" display="https://www.linkedin.com/learning/social-media-for-leadership-14544067?trk=contentmappingfile" xr:uid="{00000000-0004-0000-1800-000074000000}"/>
    <hyperlink ref="D19" r:id="rId118" display="https://www.linkedin.com/learning/transition-from-manager-to-leader?trk=ondemandfile" xr:uid="{00000000-0004-0000-1800-000075000000}"/>
    <hyperlink ref="N19" r:id="rId119" display="https://www.linkedin.com/learning/00-developing-your-leadership-philosophy?trk=ondemandfile" xr:uid="{00000000-0004-0000-1800-000076000000}"/>
    <hyperlink ref="S19" r:id="rId120" display="https://www.linkedin.com/learning/erfolgsstrategien-fur-frauen-in-fuhrungspositionen?trk=ondemandfile" xr:uid="{00000000-0004-0000-1800-000077000000}"/>
    <hyperlink ref="X19" r:id="rId121" display="https://www.linkedin.com/learning/leadership-strategies-for-women-14677199?trk=contentmappingfile" xr:uid="{00000000-0004-0000-1800-000078000000}"/>
    <hyperlink ref="AH19" r:id="rId122" display="https://www.linkedin.com/learning/building-accountability-into-your-culture-3?trk=ondemandfile" xr:uid="{00000000-0004-0000-1800-000079000000}"/>
    <hyperlink ref="D20" r:id="rId123" display="https://www.linkedin.com/learning/transformational-leadership?trk=ondemandfile" xr:uid="{00000000-0004-0000-1800-00007A000000}"/>
    <hyperlink ref="N20" r:id="rId124" display="https://www.linkedin.com/learning/el-camino-hacia-el-liderazgo-femenino?trk=contentmappingfile" xr:uid="{00000000-0004-0000-1800-00007B000000}"/>
    <hyperlink ref="S20" r:id="rId125" display="https://www.linkedin.com/learning/expert-innen-fuhren?trk=ondemandfile" xr:uid="{00000000-0004-0000-1800-00007C000000}"/>
    <hyperlink ref="X20" r:id="rId126" display="https://www.linkedin.com/learning/managing-high-performers-15918448?trk=contentmappingfile" xr:uid="{00000000-0004-0000-1800-00007D000000}"/>
    <hyperlink ref="AH20" r:id="rId127" display="https://www.linkedin.com/learning/building-self-confidence?trk=ondemandfile" xr:uid="{00000000-0004-0000-1800-00007E000000}"/>
    <hyperlink ref="D21" r:id="rId128" display="https://www.linkedin.com/learning/managing-experienced-managers?trk=ondemandfile" xr:uid="{00000000-0004-0000-1800-00007F000000}"/>
    <hyperlink ref="N21" r:id="rId129" display="https://www.linkedin.com/learning/el-futuro-de-la-gestion-del-rendimiento?trk=ondemandfile" xr:uid="{00000000-0004-0000-1800-000080000000}"/>
    <hyperlink ref="S21" r:id="rId130" display="https://www.linkedin.com/learning/fair-fuhren-inclusive-leadership-im-unternehmen-fordern?trk=contentmappingfile" xr:uid="{00000000-0004-0000-1800-000081000000}"/>
    <hyperlink ref="X21" r:id="rId131" display="https://www.linkedin.com/learning/managing-high-potentials-15917491?trk=contentmappingfile" xr:uid="{00000000-0004-0000-1800-000082000000}"/>
    <hyperlink ref="AC21" r:id="rId132" display="https://www.linkedin.com/learning/como-passar-da-gerencia-a-lideranca?trk=contentmappingfile" xr:uid="{00000000-0004-0000-1800-000083000000}"/>
    <hyperlink ref="AH21" r:id="rId133" display="https://www.linkedin.com/learning/leading-change-2?trk=ondemandfile" xr:uid="{00000000-0004-0000-1800-000084000000}"/>
    <hyperlink ref="D22" r:id="rId134" display="https://www.linkedin.com/learning/the-future-of-performance-management?trk=ondemandfile" xr:uid="{00000000-0004-0000-1800-000085000000}"/>
    <hyperlink ref="N22" r:id="rId135" display="https://www.linkedin.com/learning/00-fred-kofman-on-accountability?trk=ondemandfile" xr:uid="{00000000-0004-0000-1800-000086000000}"/>
    <hyperlink ref="S22" r:id="rId136" display="https://www.linkedin.com/learning/fair-fuhren-blinkist-kernaussagen?trk=ondemandfile" xr:uid="{00000000-0004-0000-1800-000087000000}"/>
    <hyperlink ref="X22" r:id="rId137" display="https://www.linkedin.com/learning/navigating-environmental-sustainability-a-guide-for-leaders-14877682?trk=contentmappingfile" xr:uid="{00000000-0004-0000-1800-000088000000}"/>
    <hyperlink ref="AH22" r:id="rId138" display="https://www.linkedin.com/learning/developing-your-leadership-philosophy-3?trk=ondemandfile" xr:uid="{00000000-0004-0000-1800-000089000000}"/>
    <hyperlink ref="D23" r:id="rId139" display="https://www.linkedin.com/learning/developing-managers-in-organizations?trk=ondemandfile" xr:uid="{00000000-0004-0000-1800-00008A000000}"/>
    <hyperlink ref="N23" r:id="rId140" display="https://www.linkedin.com/learning/00-fundamentos-de-la-gestion-de-proyectos-liderazgo?trk=ondemandfile" xr:uid="{00000000-0004-0000-1800-00008B000000}"/>
    <hyperlink ref="S23" r:id="rId141" display="https://www.linkedin.com/learning/fuhren-mit-emotionaler-intelligenz-16505108?trk=contentmappingfile" xr:uid="{00000000-0004-0000-1800-00008C000000}"/>
    <hyperlink ref="X23" r:id="rId142" display="https://www.linkedin.com/learning/new-manager-foundations-4?trk=contentmappingfile" xr:uid="{00000000-0004-0000-1800-00008D000000}"/>
    <hyperlink ref="AH23" r:id="rId143" display="https://www.linkedin.com/learning/influencing-others-4?trk=ondemandfile" xr:uid="{00000000-0004-0000-1800-00008E000000}"/>
    <hyperlink ref="D24" r:id="rId144" display="https://www.linkedin.com/learning/hr-and-digital-transformation?trk=ondemandfile" xr:uid="{00000000-0004-0000-1800-00008F000000}"/>
    <hyperlink ref="N24" r:id="rId145" display="https://www.linkedin.com/learning/fundamentos-y-consejos-para-gerentes-principiantes?trk=contentmappingfile" xr:uid="{00000000-0004-0000-1800-000090000000}"/>
    <hyperlink ref="S24" r:id="rId146" display="https://www.linkedin.com/learning/fuhren-mit-innovation?trk=ondemandfile" xr:uid="{00000000-0004-0000-1800-000091000000}"/>
    <hyperlink ref="X24" r:id="rId147" display="https://www.linkedin.com/learning/managing-new-managers-8329868?trk=ondemandfile" xr:uid="{00000000-0004-0000-1800-000092000000}"/>
    <hyperlink ref="AH24" r:id="rId148" display="https://www.linkedin.com/learning/becoming-a-thought-leader?trk=ondemandfile" xr:uid="{00000000-0004-0000-1800-000093000000}"/>
    <hyperlink ref="D25" r:id="rId149" display="https://www.linkedin.com/learning/collaborative-leadership?trk=ondemandfile" xr:uid="{00000000-0004-0000-1800-000094000000}"/>
    <hyperlink ref="I25" r:id="rId150" display="https://www.linkedin.com/learning/gerer-ses-relations-avec-son-chef-sa-cheffe-ses-collegues-et-ses-employes-employees?trk=contentmappingfile" xr:uid="{00000000-0004-0000-1800-000095000000}"/>
    <hyperlink ref="N25" r:id="rId151" display="https://www.linkedin.com/learning/00-inteligencia-emocional-y-finanzas?trk=ondemandfile" xr:uid="{00000000-0004-0000-1800-000096000000}"/>
    <hyperlink ref="S25" r:id="rId152" display="https://www.linkedin.com/learning/fuhren-ohne-positionsmacht?trk=ondemandfile" xr:uid="{00000000-0004-0000-1800-000097000000}"/>
    <hyperlink ref="X25" r:id="rId153" display="https://www.linkedin.com/learning/what-is-power-and-influence?trk=contentmappingfile" xr:uid="{00000000-0004-0000-1800-000098000000}"/>
    <hyperlink ref="AC25" r:id="rId154" display="https://www.linkedin.com/learning/contratacao-de-colaboradores-tecnicas-para-gerentes?trk=contentmappingfile" xr:uid="{00000000-0004-0000-1800-000099000000}"/>
    <hyperlink ref="AH25" r:id="rId155" display="https://www.linkedin.com/learning/84777a9a-010b-3e75-8b28-27d3706e8c9a?trk=ondemandfile" xr:uid="{00000000-0004-0000-1800-00009A000000}"/>
    <hyperlink ref="D26" r:id="rId156" display="https://www.linkedin.com/learning/developing-your-leadership-philosophy?trk=ondemandfile" xr:uid="{00000000-0004-0000-1800-00009B000000}"/>
    <hyperlink ref="N26" r:id="rId157" display="https://www.linkedin.com/learning/00-jeff-weiner-on-compassionate-management?trk=ondemandfile" xr:uid="{00000000-0004-0000-1800-00009C000000}"/>
    <hyperlink ref="S26" r:id="rId158" display="https://www.linkedin.com/learning/00-fuhrung-21-jahrhundert?trk=ondemandfile" xr:uid="{00000000-0004-0000-1800-00009D000000}"/>
    <hyperlink ref="X26" r:id="rId159" display="https://www.linkedin.com/learning/executive-decision-making-4?trk=ondemandfile" xr:uid="{00000000-0004-0000-1800-00009E000000}"/>
    <hyperlink ref="AH26" r:id="rId160" display="https://www.linkedin.com/learning/leading-effectively-3?trk=ondemandfile" xr:uid="{00000000-0004-0000-1800-00009F000000}"/>
    <hyperlink ref="D27" r:id="rId161" display="https://www.linkedin.com/learning/executive-decision-making?trk=ondemandfile" xr:uid="{00000000-0004-0000-1800-0000A0000000}"/>
    <hyperlink ref="N27" r:id="rId162" display="https://www.linkedin.com/learning/leading-with-innovation-3?trk=ondemandfile" xr:uid="{00000000-0004-0000-1800-0000A1000000}"/>
    <hyperlink ref="S27" r:id="rId163" display="https://www.linkedin.com/learning/fuhrung-im-team-warum-teams-die-besseren-fuhrungskrafte-sind?trk=contentmappingfile" xr:uid="{00000000-0004-0000-1800-0000A2000000}"/>
    <hyperlink ref="X27" r:id="rId164" display="https://www.linkedin.com/learning/developing-your-leadership-philosophy-4?trk=ondemandfile" xr:uid="{00000000-0004-0000-1800-0000A3000000}"/>
    <hyperlink ref="AH27" r:id="rId165" display="https://www.linkedin.com/learning/jeff-weiner-on-managing-compassionately-13800446?trk=contentmappingfile" xr:uid="{00000000-0004-0000-1800-0000A4000000}"/>
    <hyperlink ref="D28" r:id="rId166" display="https://www.linkedin.com/learning/executive-leadership?trk=ondemandfile" xr:uid="{00000000-0004-0000-1800-0000A5000000}"/>
    <hyperlink ref="I28" r:id="rId167" display="https://www.linkedin.com/learning/jeff-weiner-le-management-compassionnel?trk=contentmappingfile" xr:uid="{00000000-0004-0000-1800-0000A6000000}"/>
    <hyperlink ref="N28" r:id="rId168" display="https://www.linkedin.com/learning/liderazgo-creativo?trk=ondemandfile" xr:uid="{00000000-0004-0000-1800-0000A7000000}"/>
    <hyperlink ref="S28" r:id="rId169" display="https://www.linkedin.com/learning/fuhrung-im-vertrieb-limbecks-leadership-lektionen?trk=ondemandfile" xr:uid="{00000000-0004-0000-1800-0000A8000000}"/>
    <hyperlink ref="AC28" r:id="rId170" display="https://www.linkedin.com/learning/dicas-e-estrategias-para-exercer-uma-lideranca-de-alto-impacto?trk=contentmappingfile" xr:uid="{00000000-0004-0000-1800-0000A9000000}"/>
    <hyperlink ref="AH28" r:id="rId171" display="https://www.linkedin.com/learning/leading-without-formal-authority-4?trk=ondemandfile" xr:uid="{00000000-0004-0000-1800-0000AA000000}"/>
    <hyperlink ref="D29" r:id="rId172" display="https://www.linkedin.com/learning/human-centered-leadership?trk=ondemandfile" xr:uid="{00000000-0004-0000-1800-0000AB000000}"/>
    <hyperlink ref="N29" r:id="rId173" display="https://www.linkedin.com/learning/liderazgo-en-tiempos-de-crisis?trk=ondemandfile" xr:uid="{00000000-0004-0000-1800-0000AC000000}"/>
    <hyperlink ref="S29" r:id="rId174" display="https://www.linkedin.com/learning/fuhrung-in-zeiten-von-unsicherheit?trk=ondemandfile" xr:uid="{00000000-0004-0000-1800-0000AD000000}"/>
    <hyperlink ref="AH29" r:id="rId175" display="https://www.linkedin.com/learning/unlock-your-team-s-creativity-2?trk=ondemandfile" xr:uid="{00000000-0004-0000-1800-0000AE000000}"/>
    <hyperlink ref="D30" r:id="rId176" display="https://www.linkedin.com/learning/building-resilience-as-a-leader?trk=ondemandfile" xr:uid="{00000000-0004-0000-1800-0000AF000000}"/>
    <hyperlink ref="N30" r:id="rId177" display="https://www.linkedin.com/learning/liderazgo-inclusivo?trk=ondemandfile" xr:uid="{00000000-0004-0000-1800-0000B0000000}"/>
    <hyperlink ref="S30" r:id="rId178" display="https://www.linkedin.com/learning/00-fuhrungsfallen?trk=ondemandfile" xr:uid="{00000000-0004-0000-1800-0000B1000000}"/>
    <hyperlink ref="AH30" r:id="rId179" display="https://www.linkedin.com/learning/leading-with-stories-3?trk=ondemandfile" xr:uid="{00000000-0004-0000-1800-0000B2000000}"/>
    <hyperlink ref="D31" r:id="rId180" display="https://www.linkedin.com/learning/leading-with-purpose?trk=ondemandfile" xr:uid="{00000000-0004-0000-1800-0000B3000000}"/>
    <hyperlink ref="I31" r:id="rId181" display="https://www.linkedin.com/learning/le-leadership-inclusif-devenir-un-allie-une-alliee?trk=contentmappingfile" xr:uid="{00000000-0004-0000-1800-0000B4000000}"/>
    <hyperlink ref="N31" r:id="rId182" display="https://www.linkedin.com/learning/00-risk-taking-for-leaders?trk=ondemandfile" xr:uid="{00000000-0004-0000-1800-0000B5000000}"/>
    <hyperlink ref="S31" r:id="rId183" display="https://www.linkedin.com/learning/fuhrungsqualitaten-fur-topmanager?trk=ondemandfile" xr:uid="{00000000-0004-0000-1800-0000B6000000}"/>
    <hyperlink ref="AH31" r:id="rId184" display="https://www.linkedin.com/learning/managing-high-potentials-3?trk=ondemandfile" xr:uid="{00000000-0004-0000-1800-0000B7000000}"/>
    <hyperlink ref="D32" r:id="rId185" display="https://www.linkedin.com/learning/navigating-executive-politics?trk=ondemandfile" xr:uid="{00000000-0004-0000-1800-0000B8000000}"/>
    <hyperlink ref="N32" r:id="rId186" display="https://www.linkedin.com/learning/liderazgo-y-recursos-humanos-estrategia-de-ubicacion-para-una-fuerza-de-trabajo-hibrida?trk=contentmappingfile" xr:uid="{00000000-0004-0000-1800-0000B9000000}"/>
    <hyperlink ref="S32" r:id="rId187" display="https://www.linkedin.com/learning/fuhrungsstarke-ausstrahlen?trk=ondemandfile" xr:uid="{00000000-0004-0000-1800-0000BA000000}"/>
    <hyperlink ref="AH32" r:id="rId188" display="https://www.linkedin.com/learning/managing-high-performers-3?trk=ondemandfile" xr:uid="{00000000-0004-0000-1800-0000BB000000}"/>
    <hyperlink ref="D33" r:id="rId189" display="https://www.linkedin.com/learning/leading-with-values?trk=ondemandfile" xr:uid="{00000000-0004-0000-1800-0000BC000000}"/>
    <hyperlink ref="N33" r:id="rId190" display="https://www.linkedin.com/learning/00-liderazgo-y-trabajo-en-equipo?trk=ondemandfile" xr:uid="{00000000-0004-0000-1800-0000BD000000}"/>
    <hyperlink ref="S33" r:id="rId191" display="https://www.linkedin.com/learning/fuhrungsstarke-ausstrahlen-tipps-fur-frauen?trk=ondemandfile" xr:uid="{00000000-0004-0000-1800-0000BE000000}"/>
    <hyperlink ref="AH33" r:id="rId192" display="https://www.linkedin.com/learning/0205c79a-985b-337b-8a72-81f0f9bde52b?trk=ondemandfile" xr:uid="{00000000-0004-0000-1800-0000BF000000}"/>
    <hyperlink ref="D34" r:id="rId193" display="https://www.linkedin.com/learning/taking-charge-of-your-leadership-conversations?trk=ondemandfile" xr:uid="{00000000-0004-0000-1800-0000C0000000}"/>
    <hyperlink ref="N34" r:id="rId194" display="https://www.linkedin.com/learning/motivaci-n-e-implicaci-n-en-la-empresa?trk=ondemandfile" xr:uid="{00000000-0004-0000-1800-0000C1000000}"/>
    <hyperlink ref="S34" r:id="rId195" display="https://www.linkedin.com/learning/gesund-fuhren?trk=contentmappingfile" xr:uid="{00000000-0004-0000-1800-0000C2000000}"/>
    <hyperlink ref="AH34" r:id="rId196" display="https://www.linkedin.com/learning/performance-management-conducting-performance-reviews-2?trk=ondemandfile" xr:uid="{00000000-0004-0000-1800-0000C3000000}"/>
    <hyperlink ref="D35" r:id="rId197" display="https://www.linkedin.com/learning/executive-influence?trk=ondemandfile" xr:uid="{00000000-0004-0000-1800-0000C4000000}"/>
    <hyperlink ref="I35" r:id="rId198" display="https://www.linkedin.com/learning/les-fondements-de-la-prise-de-risque-pour-les-dirigeants-dirigeantes?trk=contentmappingfile" xr:uid="{00000000-0004-0000-1800-0000C5000000}"/>
    <hyperlink ref="N35" r:id="rId199" display="https://www.linkedin.com/learning/storytelling-para-el-liderazgo?trk=contentmappingfile" xr:uid="{00000000-0004-0000-1800-0000C6000000}"/>
    <hyperlink ref="S35" r:id="rId200" display="https://www.linkedin.com/learning/grundlagen-von-fuhrung-2?trk=ondemandfile" xr:uid="{00000000-0004-0000-1800-0000C7000000}"/>
    <hyperlink ref="AH35" r:id="rId201" display="https://www.linkedin.com/learning/executive-presence-on-video-conference-calls-17489051?trk=contentmappingfile" xr:uid="{00000000-0004-0000-1800-0000C8000000}"/>
    <hyperlink ref="D36" r:id="rId202" display="https://www.linkedin.com/learning/leading-with-vision?trk=ondemandfile" xr:uid="{00000000-0004-0000-1800-0000C9000000}"/>
    <hyperlink ref="N36" r:id="rId203" display="https://www.linkedin.com/learning/00-executive-decision-making?trk=ondemandfile" xr:uid="{00000000-0004-0000-1800-0000CA000000}"/>
    <hyperlink ref="S36" r:id="rId204" display="https://www.linkedin.com/learning/hybride-teams-fuhren?trk=contentmappingfile" xr:uid="{00000000-0004-0000-1800-0000CB000000}"/>
    <hyperlink ref="AH36" r:id="rId205" display="https://www.linkedin.com/learning/project-management-foundations-leading-projects-2?trk=ondemandfile" xr:uid="{00000000-0004-0000-1800-0000CC000000}"/>
    <hyperlink ref="D37" r:id="rId206" display="https://www.linkedin.com/learning/sanyin-siang-on-strategic-mentoring?trk=ondemandfile" xr:uid="{00000000-0004-0000-1800-0000CD000000}"/>
    <hyperlink ref="N37" r:id="rId207" display="https://www.linkedin.com/learning/transicion-de-responsable-a-lider?trk=contentmappingfile" xr:uid="{00000000-0004-0000-1800-0000CE000000}"/>
    <hyperlink ref="S37" r:id="rId208" display="https://www.linkedin.com/learning/ihre-fuhrungsphilosophie-entwickeln?trk=ondemandfile" xr:uid="{00000000-0004-0000-1800-0000CF000000}"/>
    <hyperlink ref="AC37" r:id="rId209" display="https://www.linkedin.com/learning/gestao-de-conflitos-como-lidar-com-as-divergencias-na-empresa?trk=contentmappingfile" xr:uid="{00000000-0004-0000-1800-0000D0000000}"/>
    <hyperlink ref="AH37" r:id="rId210" display="https://www.linkedin.com/learning/leadership-foundations-2?trk=ondemandfile" xr:uid="{00000000-0004-0000-1800-0000D1000000}"/>
    <hyperlink ref="D38" r:id="rId211" display="https://www.linkedin.com/learning/using-emotions-to-leverage-and-accelerate-change-a-guide-for-leaders?trk=ondemandfile" xr:uid="{00000000-0004-0000-1800-0000D2000000}"/>
    <hyperlink ref="I38" r:id="rId212" display="https://www.linkedin.com/learning/les-meilleures-pratiques-du-leadership?trk=contentmappingfile" xr:uid="{00000000-0004-0000-1800-0000D3000000}"/>
    <hyperlink ref="S38" r:id="rId213" display="https://www.linkedin.com/learning/00-anteilmanag?trk=ondemandfile" xr:uid="{00000000-0004-0000-1800-0000D4000000}"/>
    <hyperlink ref="AH38" r:id="rId214" display="https://www.linkedin.com/learning/leadership-blind-spots-4?trk=ondemandfile" xr:uid="{00000000-0004-0000-1800-0000D5000000}"/>
    <hyperlink ref="D39" r:id="rId215" display="https://www.linkedin.com/learning/ken-blanchard-on-servant-leadership?trk=ondemandfile" xr:uid="{00000000-0004-0000-1800-0000D6000000}"/>
    <hyperlink ref="S39" r:id="rId216" display="https://www.linkedin.com/learning/kollaborative-fuhrung?trk=ondemandfile" xr:uid="{00000000-0004-0000-1800-0000D7000000}"/>
    <hyperlink ref="AH39" r:id="rId217" display="https://www.linkedin.com/learning/leading-and-working-in-teams-3?trk=ondemandfile" xr:uid="{00000000-0004-0000-1800-0000D8000000}"/>
    <hyperlink ref="D40" r:id="rId218" display="https://www.linkedin.com/learning/emerging-leader-foundations?trk=ondemandfile" xr:uid="{00000000-0004-0000-1800-0000D9000000}"/>
    <hyperlink ref="S40" r:id="rId219" display="https://www.linkedin.com/learning/00-korpersprache?trk=ondemandfile" xr:uid="{00000000-0004-0000-1800-0000DA000000}"/>
    <hyperlink ref="AH40" r:id="rId220" display="https://www.linkedin.com/learning/risk-taking-for-leaders-2?trk=ondemandfile" xr:uid="{00000000-0004-0000-1800-0000DB000000}"/>
    <hyperlink ref="D41" r:id="rId221" display="https://www.linkedin.com/learning/leadership-foundations-leadership-styles-and-models?trk=ondemandfile" xr:uid="{00000000-0004-0000-1800-0000DC000000}"/>
    <hyperlink ref="I41" r:id="rId222" display="https://www.linkedin.com/learning/motiver-ses-equipes-quand-on-est-soi-meme-epuise-et-stresse?trk=contentmappingfile" xr:uid="{00000000-0004-0000-1800-0000DD000000}"/>
    <hyperlink ref="S41" r:id="rId223" display="https://www.linkedin.com/learning/mehr-ausstrahlung-mit-dem-charisma-code?trk=ondemandfile" xr:uid="{00000000-0004-0000-1800-0000DE000000}"/>
    <hyperlink ref="AH41" r:id="rId224" display="https://www.linkedin.com/learning/body-language-for-leaders?trk=ondemandfile" xr:uid="{00000000-0004-0000-1800-0000DF000000}"/>
    <hyperlink ref="D42" r:id="rId225" display="https://www.linkedin.com/learning/leadership-practical-skills?trk=ondemandfile" xr:uid="{00000000-0004-0000-1800-0000E0000000}"/>
    <hyperlink ref="S42" r:id="rId226" display="https://www.linkedin.com/learning/mehrere-generationen-managen?trk=ondemandfile" xr:uid="{00000000-0004-0000-1800-0000E1000000}"/>
    <hyperlink ref="AH42" r:id="rId227" display="https://www.linkedin.com/learning/leading-productive-one-on-one-meetings?trk=ondemandfile" xr:uid="{00000000-0004-0000-1800-0000E2000000}"/>
    <hyperlink ref="D43" r:id="rId228" display="https://www.linkedin.com/learning/leadership-foundations-4?trk=ondemandfile" xr:uid="{00000000-0004-0000-1800-0000E3000000}"/>
    <hyperlink ref="S43" r:id="rId229" display="https://www.linkedin.com/learning/mentoring-im-tandem-zum-erfolg-blinkist-kernaussagen?trk=ondemandfile" xr:uid="{00000000-0004-0000-1800-0000E4000000}"/>
    <hyperlink ref="AH43" r:id="rId230" display="https://www.linkedin.com/learning/executive-decision-making-3?trk=ondemandfile" xr:uid="{00000000-0004-0000-1800-0000E5000000}"/>
    <hyperlink ref="D44" r:id="rId231" display="https://www.linkedin.com/learning/management-foundations-2019?trk=ondemandfile" xr:uid="{00000000-0004-0000-1800-0000E6000000}"/>
    <hyperlink ref="S44" r:id="rId232" display="https://www.linkedin.com/learning/mit-depressionen-am-arbeitsplatz-umgehen?trk=ondemandfile" xr:uid="{00000000-0004-0000-1800-0000E7000000}"/>
    <hyperlink ref="AH44" r:id="rId233" display="https://www.linkedin.com/learning/leading-with-emotional-intelligence-2?trk=ondemandfile" xr:uid="{00000000-0004-0000-1800-0000E8000000}"/>
    <hyperlink ref="D45" r:id="rId234" display="https://www.linkedin.com/learning/implementing-continuous-impro-vement-a-case-study?trk=ondemandfile" xr:uid="{00000000-0004-0000-1800-0000E9000000}"/>
    <hyperlink ref="I45" r:id="rId235" display="https://www.linkedin.com/learning/s-affirmer-par-le-travail-de-la-voix?trk=contentmappingfile" xr:uid="{00000000-0004-0000-1800-0000EA000000}"/>
    <hyperlink ref="S45" r:id="rId236" display="https://www.linkedin.com/learning/mit-schwierigen-mitarbeiter-innen-umgehen?trk=ondemandfile" xr:uid="{00000000-0004-0000-1800-0000EB000000}"/>
    <hyperlink ref="AH45" r:id="rId237" display="https://www.linkedin.com/learning/executive-leadership-4?trk=ondemandfile" xr:uid="{00000000-0004-0000-1800-0000EC000000}"/>
    <hyperlink ref="D46" r:id="rId238" display="https://www.linkedin.com/learning/culture-of-kaizen?trk=ondemandfile" xr:uid="{00000000-0004-0000-1800-0000ED000000}"/>
    <hyperlink ref="S46" r:id="rId239" display="https://www.linkedin.com/learning/feel-good-management?trk=ondemandfile" xr:uid="{00000000-0004-0000-1800-0000EE000000}"/>
    <hyperlink ref="D47" r:id="rId240" display="https://www.linkedin.com/learning/developing-assertive-leadership?trk=ondemandfile" xr:uid="{00000000-0004-0000-1800-0000EF000000}"/>
    <hyperlink ref="S47" r:id="rId241" display="https://www.linkedin.com/learning/multikulturelle-teams-f-hren?trk=ondemandfile" xr:uid="{00000000-0004-0000-1800-0000F0000000}"/>
    <hyperlink ref="AC47" r:id="rId242" display="https://www.linkedin.com/learning/lideranca-global-como-gerenciar-a-complexidade-e-a-diversidade?trk=contentmappingfile" xr:uid="{00000000-0004-0000-1800-0000F1000000}"/>
    <hyperlink ref="D48" r:id="rId243" display="https://www.linkedin.com/learning/leadership-fundamentals?trk=ondemandfile" xr:uid="{00000000-0004-0000-1800-0000F2000000}"/>
    <hyperlink ref="S48" r:id="rId244" display="https://www.linkedin.com/learning/neue-fuhrungskrafte-fuhren?trk=ondemandfile" xr:uid="{00000000-0004-0000-1800-0000F3000000}"/>
    <hyperlink ref="D49" r:id="rId245" display="https://www.linkedin.com/learning/key-mental-shifts-for-servant-leadership?trk=ondemandfile" xr:uid="{00000000-0004-0000-1800-0000F4000000}"/>
    <hyperlink ref="S49" r:id="rId246" display="https://www.linkedin.com/learning/00-projektmanagement-teamfuhrung?trk=ondemandfile" xr:uid="{00000000-0004-0000-1800-0000F5000000}"/>
    <hyperlink ref="D50" r:id="rId247" display="https://www.linkedin.com/learning/creating-a-culture-that-inspires-your-employees?trk=ondemandfile" xr:uid="{00000000-0004-0000-1800-0000F6000000}"/>
    <hyperlink ref="S50" r:id="rId248" display="https://www.linkedin.com/learning/selbstmanagement-tipps-fur-fuhrungskrafte?trk=ondemandfile" xr:uid="{00000000-0004-0000-1800-0000F7000000}"/>
    <hyperlink ref="D51" r:id="rId249" display="https://www.linkedin.com/learning/developing-credibility-as-a-leader?trk=ondemandfile" xr:uid="{00000000-0004-0000-1800-0000F8000000}"/>
    <hyperlink ref="S51" r:id="rId250" display="https://www.linkedin.com/learning/servant-leadership-dienende-fuhrung?trk=ondemandfile" xr:uid="{00000000-0004-0000-1800-0000F9000000}"/>
    <hyperlink ref="D52" r:id="rId251" display="https://www.linkedin.com/learning/leading-at-a-distance?trk=ondemandfile" xr:uid="{00000000-0004-0000-1800-0000FA000000}"/>
    <hyperlink ref="S52" r:id="rId252" display="https://www.linkedin.com/learning/sich-selbst-fuhren?trk=ondemandfile" xr:uid="{00000000-0004-0000-1800-0000FB000000}"/>
    <hyperlink ref="AC52" r:id="rId253" display="https://www.linkedin.com/learning/mulheres-na-lideranca-como-impulsionar-a-equidade-nas-organizacoes?trk=contentmappingfile" xr:uid="{00000000-0004-0000-1800-0000FC000000}"/>
    <hyperlink ref="D53" r:id="rId254" display="https://www.linkedin.com/learning/managing-technical-professionals?trk=ondemandfile" xr:uid="{00000000-0004-0000-1800-0000FD000000}"/>
    <hyperlink ref="S53" r:id="rId255" display="https://www.linkedin.com/learning/social-media-fur-fuhrungskrafte?trk=contentmappingfile" xr:uid="{00000000-0004-0000-1800-0000FE000000}"/>
    <hyperlink ref="D54" r:id="rId256" display="https://www.linkedin.com/learning/leading-with-emotional-intelligence-2018?trk=ondemandfile" xr:uid="{00000000-0004-0000-1800-0000FF000000}"/>
    <hyperlink ref="S54" r:id="rId257" display="https://www.linkedin.com/learning/potenzialtrager-fuhren?trk=ondemandfile" xr:uid="{00000000-0004-0000-1800-000000010000}"/>
    <hyperlink ref="D55" r:id="rId258" display="https://www.linkedin.com/learning/leading-with-stories-2?trk=ondemandfile" xr:uid="{00000000-0004-0000-1800-000001010000}"/>
    <hyperlink ref="S55" r:id="rId259" display="https://www.linkedin.com/learning/storytelling-fur-fuhrungskrafte?trk=ondemandfile" xr:uid="{00000000-0004-0000-1800-000002010000}"/>
    <hyperlink ref="D56" r:id="rId260" display="https://www.linkedin.com/learning/coaching-skills-for-leaders-and-managers?trk=ondemandfile" xr:uid="{00000000-0004-0000-1800-000003010000}"/>
    <hyperlink ref="S56" r:id="rId261" display="https://www.linkedin.com/learning/systemisch-fuhren?trk=ondemandfile" xr:uid="{00000000-0004-0000-1800-000004010000}"/>
    <hyperlink ref="D57" r:id="rId262" display="https://www.linkedin.com/learning/lead-like-a-boss?trk=ondemandfile" xr:uid="{00000000-0004-0000-1800-000005010000}"/>
    <hyperlink ref="S57" r:id="rId263" display="https://www.linkedin.com/learning/00-teams-bilden?trk=ondemandfile" xr:uid="{00000000-0004-0000-1800-000006010000}"/>
    <hyperlink ref="D58" r:id="rId264" display="https://www.linkedin.com/learning/leading-and-working-in-teams?trk=ondemandfile" xr:uid="{00000000-0004-0000-1800-000007010000}"/>
    <hyperlink ref="S58" r:id="rId265" display="https://www.linkedin.com/learning/technische-fachkrafte-fuhren?trk=ondemandfile" xr:uid="{00000000-0004-0000-1800-000008010000}"/>
    <hyperlink ref="D59" r:id="rId266" display="https://www.linkedin.com/learning/leading-effectively?trk=ondemandfile" xr:uid="{00000000-0004-0000-1800-000009010000}"/>
    <hyperlink ref="S59" r:id="rId267" display="https://www.linkedin.com/learning/00-fuhrungstipps?trk=ondemandfile" xr:uid="{00000000-0004-0000-1800-00000A010000}"/>
    <hyperlink ref="D60" r:id="rId268" display="https://www.linkedin.com/learning/leading-a-marketing-team?trk=ondemandfile" xr:uid="{00000000-0004-0000-1800-00000B010000}"/>
    <hyperlink ref="S60" r:id="rId269" display="https://www.linkedin.com/learning/unconscious-bias-unbewusste-denkmuster-erkennen-und-andern?trk=ondemandfile" xr:uid="{00000000-0004-0000-1800-00000C010000}"/>
    <hyperlink ref="AC60" r:id="rId270" display="https://www.linkedin.com/learning/sustentabilidade-ambiental-um-guia-para-lideres-empresariais?trk=contentmappingfile" xr:uid="{00000000-0004-0000-1800-00000D010000}"/>
    <hyperlink ref="D61" r:id="rId271" display="https://www.linkedin.com/learning/leading-through-relationships?trk=ondemandfile" xr:uid="{00000000-0004-0000-1800-00000E010000}"/>
    <hyperlink ref="S61" r:id="rId272" display="https://www.linkedin.com/learning/00-fragenfuehren?trk=ondemandfile" xr:uid="{00000000-0004-0000-1800-00000F010000}"/>
    <hyperlink ref="D62" r:id="rId273" display="https://www.linkedin.com/learning/business-ethics-for-managers-and-leaders?trk=ondemandfile" xr:uid="{00000000-0004-0000-1800-000010010000}"/>
    <hyperlink ref="S62" r:id="rId274" display="https://www.linkedin.com/learning/virtuelle-teams-fuhren-16362149?trk=contentmappingfile" xr:uid="{00000000-0004-0000-1800-000011010000}"/>
    <hyperlink ref="D63" r:id="rId275" display="https://www.linkedin.com/learning/lessons-in-enlightened-leadership?trk=ondemandfile" xr:uid="{00000000-0004-0000-1800-000012010000}"/>
    <hyperlink ref="S63" r:id="rId276" display="https://www.linkedin.com/learning/00-beurteilung?trk=ondemandfile" xr:uid="{00000000-0004-0000-1800-000013010000}"/>
    <hyperlink ref="D64" r:id="rId277" display="https://www.linkedin.com/learning/having-career-conversations-with-your-team?trk=ondemandfile" xr:uid="{00000000-0004-0000-1800-000014010000}"/>
    <hyperlink ref="S64" r:id="rId278" display="https://www.linkedin.com/learning/00-ohnmaechtig?trk=ondemandfile" xr:uid="{00000000-0004-0000-1800-000015010000}"/>
    <hyperlink ref="D65" r:id="rId279" display="https://www.linkedin.com/learning/compassionate-leadership?trk=ondemandfile" xr:uid="{00000000-0004-0000-1800-000016010000}"/>
    <hyperlink ref="S65" r:id="rId280" display="https://www.linkedin.com/learning/werteorientiertes-management?trk=ondemandfile" xr:uid="{00000000-0004-0000-1800-000017010000}"/>
    <hyperlink ref="D66" r:id="rId281" display="https://www.linkedin.com/learning/creative-thinking-strategies-for-leaders?trk=ondemandfile" xr:uid="{00000000-0004-0000-1800-000018010000}"/>
    <hyperlink ref="D67" r:id="rId282" display="https://www.linkedin.com/learning/leading-and-motivating-different-personalities?trk=ondemandfile" xr:uid="{00000000-0004-0000-1800-000019010000}"/>
    <hyperlink ref="D68" r:id="rId283" display="https://www.linkedin.com/learning/leading-in-the-moment?trk=ondemandfile" xr:uid="{00000000-0004-0000-1800-00001A010000}"/>
    <hyperlink ref="D69" r:id="rId284" display="https://www.linkedin.com/learning/coaching-virtually?trk=ondemandfile" xr:uid="{00000000-0004-0000-1800-00001B010000}"/>
    <hyperlink ref="D70" r:id="rId285" display="https://www.linkedin.com/learning/body-language-for-leaders-2?trk=ondemandfile" xr:uid="{00000000-0004-0000-1800-00001C010000}"/>
    <hyperlink ref="D71" r:id="rId286" display="https://www.linkedin.com/learning/jeff-weiner-on-compassionate-leadership-from-stanford?trk=ondemandfile" xr:uid="{00000000-0004-0000-1800-00001D010000}"/>
    <hyperlink ref="D72" r:id="rId287" display="https://www.linkedin.com/learning/the-secret-what-great-leaders-know-and-do-getabstract-summary?trk=ondemandfile" xr:uid="{00000000-0004-0000-1800-00001E010000}"/>
    <hyperlink ref="D73" r:id="rId288" display="https://www.linkedin.com/learning/become-a-digital-nomad?trk=ondemandfile" xr:uid="{00000000-0004-0000-1800-00001F010000}"/>
    <hyperlink ref="D74" r:id="rId289" display="https://www.linkedin.com/learning/conducting-motivational-1-on-1-reviews?trk=ondemandfile" xr:uid="{00000000-0004-0000-1800-000020010000}"/>
    <hyperlink ref="D75" r:id="rId290" display="https://www.linkedin.com/learning/jeff-weiner-on-how-to-lead-like-a-ceo?trk=ondemandfile" xr:uid="{00000000-0004-0000-1800-000021010000}"/>
    <hyperlink ref="D76" r:id="rId291" display="https://www.linkedin.com/learning/becoming-a-manager-your-team-loves?trk=ondemandfile" xr:uid="{00000000-0004-0000-1800-000022010000}"/>
    <hyperlink ref="D77" r:id="rId292" display="https://www.linkedin.com/learning/the-leader-s-guide-to-mindfulness-getabstract-summary?trk=ondemandfile" xr:uid="{00000000-0004-0000-1800-000023010000}"/>
    <hyperlink ref="D78" r:id="rId293" display="https://www.linkedin.com/learning/supporting-your-team-as-offices-reopen?trk=ondemandfile" xr:uid="{00000000-0004-0000-1800-000024010000}"/>
    <hyperlink ref="D79" r:id="rId294" display="https://www.linkedin.com/learning/inspirational-leadership-skills-practical-motivational-leadership?trk=ondemandfile" xr:uid="{00000000-0004-0000-1800-000025010000}"/>
    <hyperlink ref="D80" r:id="rId295" display="https://www.linkedin.com/learning/leading-yourself-2017?trk=ondemandfile" xr:uid="{00000000-0004-0000-1800-000026010000}"/>
    <hyperlink ref="D81" r:id="rId296" display="https://www.linkedin.com/learning/women-transforming-tech-finding-a-mentor?trk=ondemandfile" xr:uid="{00000000-0004-0000-1800-000027010000}"/>
    <hyperlink ref="D82" r:id="rId297" display="https://www.linkedin.com/learning/women-transforming-tech-round-table-discussion?trk=ondemandfile" xr:uid="{00000000-0004-0000-1800-000028010000}"/>
    <hyperlink ref="D83" r:id="rId298" display="https://www.linkedin.com/learning/become-a-courageous-female-leader?trk=ondemandfile" xr:uid="{00000000-0004-0000-1800-000029010000}"/>
    <hyperlink ref="D84" r:id="rId299" display="https://www.linkedin.com/learning/work-on-purpose?trk=ondemandfile" xr:uid="{00000000-0004-0000-1800-00002A010000}"/>
    <hyperlink ref="D85" r:id="rId300" display="https://www.linkedin.com/learning/superhuman-innovation-blinkist-summary?trk=ondemandfile" xr:uid="{00000000-0004-0000-1800-00002B010000}"/>
    <hyperlink ref="D86" r:id="rId301" display="https://www.linkedin.com/learning/inclusive-communication?trk=ondemandfile" xr:uid="{00000000-0004-0000-1800-00002C010000}"/>
    <hyperlink ref="D87" r:id="rId302" display="https://www.linkedin.com/learning/project-leadership?trk=ondemandfile" xr:uid="{00000000-0004-0000-1800-00002D010000}"/>
    <hyperlink ref="D88" r:id="rId303" display="https://www.linkedin.com/learning/navigating-complexity-in-your-organization?trk=ondemandfile" xr:uid="{00000000-0004-0000-1800-00002E010000}"/>
    <hyperlink ref="D89" r:id="rId304" display="https://www.linkedin.com/learning/how-to-inspire-and-develop-your-direct-reports?trk=ondemandfile" xr:uid="{00000000-0004-0000-1800-00002F010000}"/>
    <hyperlink ref="D90" r:id="rId305" display="https://www.linkedin.com/learning/leading-through-chaos?trk=ondemandfile" xr:uid="{00000000-0004-0000-1800-000030010000}"/>
    <hyperlink ref="D91" r:id="rId306" display="https://www.linkedin.com/learning/overcoming-obstacles-to-leading-with-confidence?trk=ondemandfile" xr:uid="{00000000-0004-0000-1800-000031010000}"/>
    <hyperlink ref="D92" r:id="rId307" display="https://www.linkedin.com/learning/effective-sponsorship-across-difference-for-sponsors?trk=contentmappingfile" xr:uid="{00000000-0004-0000-1800-000032010000}"/>
    <hyperlink ref="D93" r:id="rId308" display="https://www.linkedin.com/learning/exercising-a-growth-mindset-as-a-leader-nine-common-workplace-challenges?trk=ondemandfile" xr:uid="{00000000-0004-0000-1800-000033010000}"/>
    <hyperlink ref="D94" r:id="rId309" display="https://www.linkedin.com/learning/demonstrating-accountability-as-a-leader?trk=ondemandfile" xr:uid="{00000000-0004-0000-1800-000034010000}"/>
    <hyperlink ref="D95" r:id="rId310" display="https://www.linkedin.com/learning/fostering-belonging-as-a-leader?trk=ondemandfile" xr:uid="{00000000-0004-0000-1800-000035010000}"/>
    <hyperlink ref="D96" r:id="rId311" display="https://www.linkedin.com/learning/leadership-skills-for-the-future?trk=ondemandfile" xr:uid="{00000000-0004-0000-1800-000036010000}"/>
    <hyperlink ref="D97" r:id="rId312" display="https://www.linkedin.com/learning/how-to-successfully-lead-a-pmo?trk=ondemandfile" xr:uid="{00000000-0004-0000-1800-000037010000}"/>
    <hyperlink ref="D98" r:id="rId313" display="https://www.linkedin.com/learning/leading-projects?trk=ondemandfile" xr:uid="{00000000-0004-0000-1800-000038010000}"/>
    <hyperlink ref="D99" r:id="rId314" display="https://www.linkedin.com/learning/leading-with-kindness-and-strength?trk=ondemandfile" xr:uid="{00000000-0004-0000-1800-000039010000}"/>
    <hyperlink ref="D100" r:id="rId315" display="https://www.linkedin.com/learning/how-to-negotiate-your-leadership-success?trk=ondemandfile" xr:uid="{00000000-0004-0000-1800-00003A010000}"/>
    <hyperlink ref="D101" r:id="rId316" display="https://www.linkedin.com/learning/powerless-to-powerful-taking-control?trk=ondemandfile" xr:uid="{00000000-0004-0000-1800-00003B010000}"/>
    <hyperlink ref="D102" r:id="rId317" display="https://www.linkedin.com/learning/building-and-managing-a-high-performing-sales-team?trk=ondemandfile" xr:uid="{00000000-0004-0000-1800-00003C010000}"/>
    <hyperlink ref="D103" r:id="rId318" display="https://www.linkedin.com/learning/predictive-analytics-essential-training-for-executives?trk=ondemandfile" xr:uid="{00000000-0004-0000-1800-00003D010000}"/>
    <hyperlink ref="D104" r:id="rId319" display="https://www.linkedin.com/learning/leadership-mindsets?trk=ondemandfile" xr:uid="{00000000-0004-0000-1800-00003E010000}"/>
    <hyperlink ref="D105" r:id="rId320" display="https://www.linkedin.com/learning/how-leaders-can-motivate-by-creating-meaning?trk=ondemandfile" xr:uid="{00000000-0004-0000-1800-00003F010000}"/>
    <hyperlink ref="D106" r:id="rId321" display="https://www.linkedin.com/learning/how-to-innovate-and-stay-relevant-in-times-of-change-and-uncertainty?trk=ondemandfile" xr:uid="{00000000-0004-0000-1800-000040010000}"/>
    <hyperlink ref="D107" r:id="rId322" display="https://www.linkedin.com/learning/leading-in-uncertain-times?trk=ondemandfile" xr:uid="{00000000-0004-0000-1800-000041010000}"/>
    <hyperlink ref="D108" r:id="rId323" display="https://www.linkedin.com/learning/the-definitive-drucker-getabstract-summary?trk=ondemandfile" xr:uid="{00000000-0004-0000-1800-000042010000}"/>
    <hyperlink ref="D109" r:id="rId324" display="https://www.linkedin.com/learning/adaptive-leadership-for-vuca-challenges?trk=ondemandfile" xr:uid="{00000000-0004-0000-1800-000043010000}"/>
    <hyperlink ref="D110" r:id="rId325" display="https://www.linkedin.com/learning/mastering-organizational-chaos?trk=ondemandfile" xr:uid="{00000000-0004-0000-1800-000044010000}"/>
    <hyperlink ref="D111" r:id="rId326" display="https://www.linkedin.com/learning/bill-george-on-self-awareness-authenticity-and-leadership?trk=ondemandfile" xr:uid="{00000000-0004-0000-1800-000045010000}"/>
    <hyperlink ref="D112" r:id="rId327" display="https://www.linkedin.com/learning/fred-kofman-on-accountability?trk=ondemandfile" xr:uid="{00000000-0004-0000-1800-000046010000}"/>
    <hyperlink ref="D113" r:id="rId328" display="https://www.linkedin.com/learning/leading-in-crisis?trk=ondemandfile" xr:uid="{00000000-0004-0000-1800-000047010000}"/>
    <hyperlink ref="D114" r:id="rId329" display="https://www.linkedin.com/learning/the-fearless-organization-blinkist-summary?trk=ondemandfile" xr:uid="{00000000-0004-0000-1800-000048010000}"/>
    <hyperlink ref="D115" r:id="rId330" display="https://www.linkedin.com/learning/what-s-next-reinventing-work-in-the-new-normal?trk=ondemandfile" xr:uid="{00000000-0004-0000-1800-000049010000}"/>
    <hyperlink ref="D116" r:id="rId331" display="https://www.linkedin.com/learning/advice-for-leaders-during-a-crisis?trk=ondemandfile" xr:uid="{00000000-0004-0000-1800-00004A010000}"/>
    <hyperlink ref="D117" r:id="rId332" display="https://www.linkedin.com/learning/leadership-in-tech?trk=ondemandfile" xr:uid="{00000000-0004-0000-1800-00004B010000}"/>
    <hyperlink ref="D118" r:id="rId333" display="https://www.linkedin.com/learning/communicating-internally-during-times-of-uncertainty?trk=ondemandfile" xr:uid="{00000000-0004-0000-1800-00004C010000}"/>
    <hyperlink ref="D119" r:id="rId334" display="https://www.linkedin.com/learning/redesigning-how-we-work-in-2021?trk=ondemandfile" xr:uid="{00000000-0004-0000-1800-00004D010000}"/>
    <hyperlink ref="D120" r:id="rId335" display="https://www.linkedin.com/learning/leading-with-a-heavy-heart?trk=ondemandfile" xr:uid="{00000000-0004-0000-1800-00004E01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Click and enter a value from range 'Competency Titles'!A1:A27" xr:uid="{00000000-0002-0000-1800-000000000000}">
          <x14:formula1>
            <xm:f>#REF!</xm:f>
          </x14:formula1>
          <xm:sqref>B1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BF9000"/>
    <outlinePr summaryBelow="0" summaryRight="0"/>
  </sheetPr>
  <dimension ref="A1:AJ99"/>
  <sheetViews>
    <sheetView showGridLines="0" workbookViewId="0">
      <pane ySplit="3" topLeftCell="A4" activePane="bottomLeft" state="frozen"/>
      <selection pane="bottomLeft" sqref="A1:XFD1048576"/>
    </sheetView>
  </sheetViews>
  <sheetFormatPr baseColWidth="10" defaultColWidth="11.1640625" defaultRowHeight="15" customHeight="1"/>
  <cols>
    <col min="1" max="1" width="1.1640625" customWidth="1"/>
    <col min="2" max="2" width="11.1640625" customWidth="1"/>
    <col min="3" max="3" width="18.5" customWidth="1"/>
    <col min="4" max="5" width="44.5" customWidth="1"/>
    <col min="6" max="6" width="1.1640625" customWidth="1"/>
    <col min="7" max="7" width="11.1640625" customWidth="1"/>
    <col min="8" max="8" width="19.33203125" customWidth="1"/>
    <col min="9" max="10" width="44.5" customWidth="1"/>
    <col min="11" max="11" width="1.1640625" customWidth="1"/>
    <col min="12" max="12" width="11.1640625" customWidth="1"/>
    <col min="13" max="13" width="20.83203125" customWidth="1"/>
    <col min="14" max="15" width="44.5" customWidth="1"/>
    <col min="16" max="16" width="1.1640625" customWidth="1"/>
    <col min="17" max="17" width="11.1640625" customWidth="1"/>
    <col min="18" max="18" width="19.6640625" customWidth="1"/>
    <col min="19" max="20" width="44.5" customWidth="1"/>
    <col min="21" max="21" width="1.1640625" customWidth="1"/>
    <col min="23" max="23" width="18.6640625" customWidth="1"/>
    <col min="24" max="25" width="44.5" customWidth="1"/>
    <col min="26" max="26" width="1.1640625" customWidth="1"/>
    <col min="27" max="27" width="11.1640625" customWidth="1"/>
    <col min="28" max="28" width="26.6640625" customWidth="1"/>
    <col min="29" max="30" width="44.5" customWidth="1"/>
    <col min="31" max="31" width="1.1640625" customWidth="1"/>
    <col min="32" max="32" width="11.1640625" customWidth="1"/>
    <col min="33" max="33" width="21" customWidth="1"/>
    <col min="34" max="35" width="44.5" customWidth="1"/>
    <col min="36" max="36" width="1.1640625" customWidth="1"/>
  </cols>
  <sheetData>
    <row r="1" spans="1:36" ht="34.5" customHeight="1">
      <c r="A1" s="208"/>
      <c r="B1" s="230" t="s">
        <v>15</v>
      </c>
      <c r="C1" s="222"/>
      <c r="D1" s="222"/>
      <c r="E1" s="222"/>
      <c r="F1" s="208"/>
      <c r="G1" s="230" t="str">
        <f ca="1">IFERROR(__xludf.DUMMYFUNCTION("IFERROR(UNIQUE(FILTER(French!B:B,French!A:A=B1)))"),"Manager avec efficacité")</f>
        <v>Manager avec efficacité</v>
      </c>
      <c r="H1" s="222"/>
      <c r="I1" s="222"/>
      <c r="J1" s="222"/>
      <c r="K1" s="208"/>
      <c r="L1" s="230" t="str">
        <f ca="1">IFERROR(__xludf.DUMMYFUNCTION("IFERROR((UNIQUE(FILTER(Spanish!B:B,Spanish!A:A=B1))))"),"Gestionar de manera eficaz")</f>
        <v>Gestionar de manera eficaz</v>
      </c>
      <c r="M1" s="222"/>
      <c r="N1" s="222"/>
      <c r="O1" s="222"/>
      <c r="P1" s="208"/>
      <c r="Q1" s="230" t="str">
        <f ca="1">IFERROR(__xludf.DUMMYFUNCTION("IFERROR(UNIQUE(FILTER(German!B:B,German!A:A=B1)))"),"Andere wirksam managen")</f>
        <v>Andere wirksam managen</v>
      </c>
      <c r="R1" s="222"/>
      <c r="S1" s="222"/>
      <c r="T1" s="222"/>
      <c r="U1" s="208"/>
      <c r="V1" s="230" t="str">
        <f ca="1">IFERROR(__xludf.DUMMYFUNCTION("IFERROR(UNIQUE(FILTER(Japanese!B:B,Japanese!A:A=B1)))"),"効果的な部下のマネジメント")</f>
        <v>効果的な部下のマネジメント</v>
      </c>
      <c r="W1" s="222"/>
      <c r="X1" s="222"/>
      <c r="Y1" s="222"/>
      <c r="Z1" s="208"/>
      <c r="AA1" s="230" t="str">
        <f ca="1">IFERROR(__xludf.DUMMYFUNCTION("IFERROR(UNIQUE(FILTER(Portuguese!B:B,Portuguese!A:A=B1)))"),"Gestão eficaz de pessoas")</f>
        <v>Gestão eficaz de pessoas</v>
      </c>
      <c r="AB1" s="222"/>
      <c r="AC1" s="222"/>
      <c r="AD1" s="222"/>
      <c r="AE1" s="208"/>
      <c r="AF1" s="230" t="str">
        <f ca="1">IFERROR(__xludf.DUMMYFUNCTION("IFERROR(UNIQUE(FILTER(Mandarin!B:B,Mandarin!A:A=B1)))"),"有效管理他人")</f>
        <v>有效管理他人</v>
      </c>
      <c r="AG1" s="222"/>
      <c r="AH1" s="222"/>
      <c r="AI1" s="222"/>
      <c r="AJ1" s="208"/>
    </row>
    <row r="2" spans="1:36" ht="28" customHeight="1">
      <c r="A2" s="209"/>
      <c r="B2" s="234" t="s">
        <v>4713</v>
      </c>
      <c r="C2" s="222"/>
      <c r="D2" s="222"/>
      <c r="E2" s="222"/>
      <c r="F2" s="209"/>
      <c r="G2" s="231" t="s">
        <v>4714</v>
      </c>
      <c r="H2" s="222"/>
      <c r="I2" s="222"/>
      <c r="J2" s="222"/>
      <c r="K2" s="209"/>
      <c r="L2" s="235" t="s">
        <v>4715</v>
      </c>
      <c r="M2" s="222"/>
      <c r="N2" s="222"/>
      <c r="O2" s="222"/>
      <c r="P2" s="209"/>
      <c r="Q2" s="232" t="s">
        <v>4716</v>
      </c>
      <c r="R2" s="222"/>
      <c r="S2" s="222"/>
      <c r="T2" s="222"/>
      <c r="U2" s="209"/>
      <c r="V2" s="236" t="s">
        <v>4717</v>
      </c>
      <c r="W2" s="222"/>
      <c r="X2" s="222"/>
      <c r="Y2" s="222"/>
      <c r="Z2" s="209"/>
      <c r="AA2" s="233" t="s">
        <v>4718</v>
      </c>
      <c r="AB2" s="222"/>
      <c r="AC2" s="222"/>
      <c r="AD2" s="222"/>
      <c r="AE2" s="209"/>
      <c r="AF2" s="237" t="s">
        <v>4719</v>
      </c>
      <c r="AG2" s="222"/>
      <c r="AH2" s="222"/>
      <c r="AI2" s="222"/>
      <c r="AJ2" s="209"/>
    </row>
    <row r="3" spans="1:36" ht="26" customHeight="1">
      <c r="A3" s="210"/>
      <c r="B3" s="211" t="str">
        <f ca="1">IFERROR(__xludf.DUMMYFUNCTION("FILTER(English!B:B,English!A:A=B1)"),"Course IDs")</f>
        <v>Course IDs</v>
      </c>
      <c r="C3" s="211" t="str">
        <f ca="1">IFERROR(__xludf.DUMMYFUNCTION("FILTER(English!C:C,English!A:A=B1)"),"Levels")</f>
        <v>Levels</v>
      </c>
      <c r="D3" s="211" t="str">
        <f ca="1">IFERROR(__xludf.DUMMYFUNCTION("FILTER(English!D:D,English!A:A=B1)"),"Courses")</f>
        <v>Courses</v>
      </c>
      <c r="E3" s="212" t="str">
        <f ca="1">IFERROR(__xludf.DUMMYFUNCTION("FILTER(English!E:E,English!A:A=B1)"),"Learning Paths")</f>
        <v>Learning Paths</v>
      </c>
      <c r="F3" s="210"/>
      <c r="G3" s="211" t="str">
        <f ca="1">IFERROR(__xludf.DUMMYFUNCTION("FILTER(French!C:C,French!B:B=G1)"),"Course IDs")</f>
        <v>Course IDs</v>
      </c>
      <c r="H3" s="211" t="str">
        <f ca="1">IFERROR(__xludf.DUMMYFUNCTION("FILTER(French!D:D,French!B:B=G1)"),"Levels")</f>
        <v>Levels</v>
      </c>
      <c r="I3" s="211" t="str">
        <f ca="1">IFERROR(__xludf.DUMMYFUNCTION("FILTER(French!E:E,French!B:B=G1)"),"Courses")</f>
        <v>Courses</v>
      </c>
      <c r="J3" s="212" t="str">
        <f ca="1">IFERROR(__xludf.DUMMYFUNCTION("FILTER(French!G:G,French!B:B=G1)"),"Learning Paths")</f>
        <v>Learning Paths</v>
      </c>
      <c r="K3" s="210"/>
      <c r="L3" s="211" t="str">
        <f ca="1">IFERROR(__xludf.DUMMYFUNCTION("FILTER(Spanish!C:C,Spanish!B:B=L1)"),"Course IDs")</f>
        <v>Course IDs</v>
      </c>
      <c r="M3" s="211" t="str">
        <f ca="1">IFERROR(__xludf.DUMMYFUNCTION("FILTER(Spanish!D:D,Spanish!B:B=L1)"),"Levels")</f>
        <v>Levels</v>
      </c>
      <c r="N3" s="211" t="str">
        <f ca="1">IFERROR(__xludf.DUMMYFUNCTION("FILTER(Spanish!E:E,Spanish!B:B=L1)"),"Courses")</f>
        <v>Courses</v>
      </c>
      <c r="O3" s="212" t="str">
        <f ca="1">IFERROR(__xludf.DUMMYFUNCTION("FILTER(Spanish!G:G,Spanish!B:B=L1)"),"Learning Paths")</f>
        <v>Learning Paths</v>
      </c>
      <c r="P3" s="210"/>
      <c r="Q3" s="211" t="str">
        <f ca="1">IFERROR(__xludf.DUMMYFUNCTION("FILTER(German!C:C,German!B:B=Q1)"),"Course IDs")</f>
        <v>Course IDs</v>
      </c>
      <c r="R3" s="211" t="str">
        <f ca="1">IFERROR(__xludf.DUMMYFUNCTION("FILTER(German!D:D,German!B:B=Q1)"),"Levels")</f>
        <v>Levels</v>
      </c>
      <c r="S3" s="211" t="str">
        <f ca="1">IFERROR(__xludf.DUMMYFUNCTION("FILTER(German!E:E,German!B:B=Q1)"),"Courses")</f>
        <v>Courses</v>
      </c>
      <c r="T3" s="212" t="str">
        <f ca="1">IFERROR(__xludf.DUMMYFUNCTION("FILTER(German!G:G,German!B:B=Q1)"),"Learning Paths")</f>
        <v>Learning Paths</v>
      </c>
      <c r="U3" s="210"/>
      <c r="V3" s="211" t="str">
        <f ca="1">IFERROR(__xludf.DUMMYFUNCTION("FILTER(Japanese!C:C,Japanese!B:B=V1)"),"Course IDs")</f>
        <v>Course IDs</v>
      </c>
      <c r="W3" s="211" t="str">
        <f ca="1">IFERROR(__xludf.DUMMYFUNCTION("FILTER(Japanese!D:D,Japanese!B:B=V1)"),"Levels")</f>
        <v>Levels</v>
      </c>
      <c r="X3" s="211" t="str">
        <f ca="1">IFERROR(__xludf.DUMMYFUNCTION("FILTER(Japanese!E:E,Japanese!B:B=V1)"),"Courses")</f>
        <v>Courses</v>
      </c>
      <c r="Y3" s="212" t="str">
        <f ca="1">IFERROR(__xludf.DUMMYFUNCTION("FILTER(Japanese!G:G,Japanese!B:B=V1)"),"Learning Paths")</f>
        <v>Learning Paths</v>
      </c>
      <c r="Z3" s="210"/>
      <c r="AA3" s="211" t="str">
        <f ca="1">IFERROR(__xludf.DUMMYFUNCTION("FILTER(Portuguese!C:C,Portuguese!B:B=AA1)"),"Course IDs")</f>
        <v>Course IDs</v>
      </c>
      <c r="AB3" s="211" t="str">
        <f ca="1">IFERROR(__xludf.DUMMYFUNCTION("FILTER(Portuguese!D:D,Portuguese!B:B=AA1)"),"Levels")</f>
        <v>Levels</v>
      </c>
      <c r="AC3" s="211" t="str">
        <f ca="1">IFERROR(__xludf.DUMMYFUNCTION("FILTER(Portuguese!E:E,Portuguese!B:B=AA1)"),"Courses")</f>
        <v>Courses</v>
      </c>
      <c r="AD3" s="212" t="str">
        <f ca="1">IFERROR(__xludf.DUMMYFUNCTION("FILTER(Portuguese!G:G,Portuguese!B:B=AA1)"),"Learning Paths")</f>
        <v>Learning Paths</v>
      </c>
      <c r="AE3" s="210"/>
      <c r="AF3" s="211" t="str">
        <f ca="1">IFERROR(__xludf.DUMMYFUNCTION("FILTER(Mandarin!C:C,Mandarin!B:B=AF1)"),"Course IDs")</f>
        <v>Course IDs</v>
      </c>
      <c r="AG3" s="211" t="str">
        <f ca="1">IFERROR(__xludf.DUMMYFUNCTION("FILTER(Mandarin!D:D,Mandarin!B:B=AF1)"),"Levels")</f>
        <v>Levels</v>
      </c>
      <c r="AH3" s="211" t="str">
        <f ca="1">IFERROR(__xludf.DUMMYFUNCTION("FILTER(Mandarin!E:E,Mandarin!B:B=AF1)"),"Courses")</f>
        <v>Courses</v>
      </c>
      <c r="AI3" s="212" t="str">
        <f ca="1">IFERROR(__xludf.DUMMYFUNCTION("FILTER(Mandarin!G:G,Mandarin!B:B=AF1)"),"Learning Paths")</f>
        <v>Learning Paths</v>
      </c>
      <c r="AJ3" s="210"/>
    </row>
    <row r="4" spans="1:36" ht="33.75" customHeight="1">
      <c r="A4" s="213"/>
      <c r="B4" s="214">
        <f ca="1">IFERROR(__xludf.DUMMYFUNCTION("""COMPUTED_VALUE"""),772318)</f>
        <v>772318</v>
      </c>
      <c r="C4" s="215" t="str">
        <f ca="1">IFERROR(__xludf.DUMMYFUNCTION("""COMPUTED_VALUE"""),"Advanced")</f>
        <v>Advanced</v>
      </c>
      <c r="D4" s="216" t="str">
        <f ca="1">IFERROR(__xludf.DUMMYFUNCTION("""COMPUTED_VALUE"""),"Leading the Organization Monthly")</f>
        <v>Leading the Organization Monthly</v>
      </c>
      <c r="E4" s="217" t="str">
        <f ca="1">IFERROR(__xludf.DUMMYFUNCTION("""COMPUTED_VALUE"""),"Advance Your Skills as a Manager")</f>
        <v>Advance Your Skills as a Manager</v>
      </c>
      <c r="F4" s="213"/>
      <c r="G4" s="214">
        <f ca="1">IFERROR(__xludf.DUMMYFUNCTION("""COMPUTED_VALUE"""),3200215)</f>
        <v>3200215</v>
      </c>
      <c r="H4" s="215" t="str">
        <f ca="1">IFERROR(__xludf.DUMMYFUNCTION("""COMPUTED_VALUE"""),"All levels")</f>
        <v>All levels</v>
      </c>
      <c r="I4" s="217" t="str">
        <f ca="1">IFERROR(__xludf.DUMMYFUNCTION("""COMPUTED_VALUE"""),"10 minutes, un livre : Comment trouver le leader en vous")</f>
        <v>10 minutes, un livre : Comment trouver le leader en vous</v>
      </c>
      <c r="J4" s="217" t="str">
        <f ca="1">IFERROR(__xludf.DUMMYFUNCTION("""COMPUTED_VALUE"""),"Devenir un manager")</f>
        <v>Devenir un manager</v>
      </c>
      <c r="K4" s="213"/>
      <c r="L4" s="215">
        <f ca="1">IFERROR(__xludf.DUMMYFUNCTION("""COMPUTED_VALUE"""),561447)</f>
        <v>561447</v>
      </c>
      <c r="M4" s="215" t="str">
        <f ca="1">IFERROR(__xludf.DUMMYFUNCTION("""COMPUTED_VALUE"""),"Intermediate")</f>
        <v>Intermediate</v>
      </c>
      <c r="N4" s="217" t="str">
        <f ca="1">IFERROR(__xludf.DUMMYFUNCTION("""COMPUTED_VALUE"""),"Cómo administrar por objetivos")</f>
        <v>Cómo administrar por objetivos</v>
      </c>
      <c r="O4" s="217" t="str">
        <f ca="1">IFERROR(__xludf.DUMMYFUNCTION("""COMPUTED_VALUE"""),"Mejora tus dotes de liderazgo y gestión de equipos de trabajo")</f>
        <v>Mejora tus dotes de liderazgo y gestión de equipos de trabajo</v>
      </c>
      <c r="P4" s="213"/>
      <c r="Q4" s="215">
        <f ca="1">IFERROR(__xludf.DUMMYFUNCTION("""COMPUTED_VALUE"""),2922386)</f>
        <v>2922386</v>
      </c>
      <c r="R4" s="215" t="str">
        <f ca="1">IFERROR(__xludf.DUMMYFUNCTION("""COMPUTED_VALUE"""),"Beginner")</f>
        <v>Beginner</v>
      </c>
      <c r="S4" s="217" t="str">
        <f ca="1">IFERROR(__xludf.DUMMYFUNCTION("""COMPUTED_VALUE"""),"Als Ingenieur:in oder IT-Expert:in Mitarbeiter führen")</f>
        <v>Als Ingenieur:in oder IT-Expert:in Mitarbeiter führen</v>
      </c>
      <c r="T4" s="217" t="str">
        <f ca="1">IFERROR(__xludf.DUMMYFUNCTION("""COMPUTED_VALUE"""),"Teams aufbauen und führen")</f>
        <v>Teams aufbauen und führen</v>
      </c>
      <c r="U4" s="213"/>
      <c r="V4" s="215">
        <f ca="1">IFERROR(__xludf.DUMMYFUNCTION("""COMPUTED_VALUE"""),2414722)</f>
        <v>2414722</v>
      </c>
      <c r="W4" s="215" t="str">
        <f ca="1">IFERROR(__xludf.DUMMYFUNCTION("""COMPUTED_VALUE"""),"Intermediate")</f>
        <v>Intermediate</v>
      </c>
      <c r="X4" s="217" t="str">
        <f ca="1">IFERROR(__xludf.DUMMYFUNCTION("""COMPUTED_VALUE"""),"キーアカウントマネジメントとは")</f>
        <v>キーアカウントマネジメントとは</v>
      </c>
      <c r="Y4" s="217" t="str">
        <f ca="1">IFERROR(__xludf.DUMMYFUNCTION("""COMPUTED_VALUE"""),"N/A")</f>
        <v>N/A</v>
      </c>
      <c r="Z4" s="213"/>
      <c r="AA4" s="215">
        <f ca="1">IFERROR(__xludf.DUMMYFUNCTION("""COMPUTED_VALUE"""),2931603)</f>
        <v>2931603</v>
      </c>
      <c r="AB4" s="215" t="str">
        <f ca="1">IFERROR(__xludf.DUMMYFUNCTION("""COMPUTED_VALUE"""),"All levels")</f>
        <v>All levels</v>
      </c>
      <c r="AC4" s="217" t="str">
        <f ca="1">IFERROR(__xludf.DUMMYFUNCTION("""COMPUTED_VALUE"""),"A Comunicação entre Equipes Multiculturais")</f>
        <v>A Comunicação entre Equipes Multiculturais</v>
      </c>
      <c r="AD4" s="217" t="str">
        <f ca="1">IFERROR(__xludf.DUMMYFUNCTION("""COMPUTED_VALUE"""),"Torne-se um Gestor de Projetos")</f>
        <v>Torne-se um Gestor de Projetos</v>
      </c>
      <c r="AE4" s="213"/>
      <c r="AF4" s="215">
        <f ca="1">IFERROR(__xludf.DUMMYFUNCTION("""COMPUTED_VALUE"""),762263)</f>
        <v>762263</v>
      </c>
      <c r="AG4" s="215" t="str">
        <f ca="1">IFERROR(__xludf.DUMMYFUNCTION("""COMPUTED_VALUE"""),"Beginner")</f>
        <v>Beginner</v>
      </c>
      <c r="AH4" s="217" t="str">
        <f ca="1">IFERROR(__xludf.DUMMYFUNCTION("""COMPUTED_VALUE"""),"为员工提供反馈")</f>
        <v>为员工提供反馈</v>
      </c>
      <c r="AI4" s="217" t="str">
        <f ca="1">IFERROR(__xludf.DUMMYFUNCTION("""COMPUTED_VALUE"""),"成为项目经理")</f>
        <v>成为项目经理</v>
      </c>
      <c r="AJ4" s="213"/>
    </row>
    <row r="5" spans="1:36" ht="30">
      <c r="A5" s="213"/>
      <c r="B5" s="214">
        <f ca="1">IFERROR(__xludf.DUMMYFUNCTION("""COMPUTED_VALUE"""),580628)</f>
        <v>580628</v>
      </c>
      <c r="C5" s="215" t="str">
        <f ca="1">IFERROR(__xludf.DUMMYFUNCTION("""COMPUTED_VALUE"""),"Beginner")</f>
        <v>Beginner</v>
      </c>
      <c r="D5" s="216" t="str">
        <f ca="1">IFERROR(__xludf.DUMMYFUNCTION("""COMPUTED_VALUE"""),"The New Rules of Work")</f>
        <v>The New Rules of Work</v>
      </c>
      <c r="E5" s="217" t="str">
        <f ca="1">IFERROR(__xludf.DUMMYFUNCTION("""COMPUTED_VALUE"""),"Become a Manager")</f>
        <v>Become a Manager</v>
      </c>
      <c r="F5" s="213"/>
      <c r="G5" s="214">
        <f ca="1">IFERROR(__xludf.DUMMYFUNCTION("""COMPUTED_VALUE"""),3200214)</f>
        <v>3200214</v>
      </c>
      <c r="H5" s="215" t="str">
        <f ca="1">IFERROR(__xludf.DUMMYFUNCTION("""COMPUTED_VALUE"""),"All levels")</f>
        <v>All levels</v>
      </c>
      <c r="I5" s="217" t="str">
        <f ca="1">IFERROR(__xludf.DUMMYFUNCTION("""COMPUTED_VALUE"""),"10 minutes, un livre : Constituer son équipe pour atteindre le succès")</f>
        <v>10 minutes, un livre : Constituer son équipe pour atteindre le succès</v>
      </c>
      <c r="J5" s="217" t="str">
        <f ca="1">IFERROR(__xludf.DUMMYFUNCTION("""COMPUTED_VALUE"""),"Créer et gérer une équipe")</f>
        <v>Créer et gérer une équipe</v>
      </c>
      <c r="K5" s="213"/>
      <c r="L5" s="215">
        <f ca="1">IFERROR(__xludf.DUMMYFUNCTION("""COMPUTED_VALUE"""),5025679)</f>
        <v>5025679</v>
      </c>
      <c r="M5" s="215" t="str">
        <f ca="1">IFERROR(__xludf.DUMMYFUNCTION("""COMPUTED_VALUE"""),"Advanced")</f>
        <v>Advanced</v>
      </c>
      <c r="N5" s="217" t="str">
        <f ca="1">IFERROR(__xludf.DUMMYFUNCTION("""COMPUTED_VALUE"""),"Cómo crear una cultura de alto rendimiento")</f>
        <v>Cómo crear una cultura de alto rendimiento</v>
      </c>
      <c r="O5" s="217" t="str">
        <f ca="1">IFERROR(__xludf.DUMMYFUNCTION("""COMPUTED_VALUE"""),"Fomenta la colaboración en tu equipo")</f>
        <v>Fomenta la colaboración en tu equipo</v>
      </c>
      <c r="P5" s="213"/>
      <c r="Q5" s="215">
        <f ca="1">IFERROR(__xludf.DUMMYFUNCTION("""COMPUTED_VALUE"""),593910)</f>
        <v>593910</v>
      </c>
      <c r="R5" s="215" t="str">
        <f ca="1">IFERROR(__xludf.DUMMYFUNCTION("""COMPUTED_VALUE"""),"All levels")</f>
        <v>All levels</v>
      </c>
      <c r="S5" s="217" t="str">
        <f ca="1">IFERROR(__xludf.DUMMYFUNCTION("""COMPUTED_VALUE"""),"Arbeitsmethodik für Führungskräfte")</f>
        <v>Arbeitsmethodik für Führungskräfte</v>
      </c>
      <c r="T5" s="217" t="str">
        <f ca="1">IFERROR(__xludf.DUMMYFUNCTION("""COMPUTED_VALUE"""),"Führungskraft werden")</f>
        <v>Führungskraft werden</v>
      </c>
      <c r="U5" s="213"/>
      <c r="V5" s="215">
        <f ca="1">IFERROR(__xludf.DUMMYFUNCTION("""COMPUTED_VALUE"""),2885003)</f>
        <v>2885003</v>
      </c>
      <c r="W5" s="215" t="str">
        <f ca="1">IFERROR(__xludf.DUMMYFUNCTION("""COMPUTED_VALUE"""),"Intermediate")</f>
        <v>Intermediate</v>
      </c>
      <c r="X5" s="217" t="str">
        <f ca="1">IFERROR(__xludf.DUMMYFUNCTION("""COMPUTED_VALUE"""),"さまざまな世代の社員をマネジメントするには")</f>
        <v>さまざまな世代の社員をマネジメントするには</v>
      </c>
      <c r="Y5" s="217"/>
      <c r="Z5" s="213"/>
      <c r="AA5" s="215">
        <f ca="1">IFERROR(__xludf.DUMMYFUNCTION("""COMPUTED_VALUE"""),3201142)</f>
        <v>3201142</v>
      </c>
      <c r="AB5" s="215" t="str">
        <f ca="1">IFERROR(__xludf.DUMMYFUNCTION("""COMPUTED_VALUE"""),"All levels")</f>
        <v>All levels</v>
      </c>
      <c r="AC5" s="217" t="str">
        <f ca="1">IFERROR(__xludf.DUMMYFUNCTION("""COMPUTED_VALUE"""),"Como Apoiar sua Equipe na Gestão da Ansiedade")</f>
        <v>Como Apoiar sua Equipe na Gestão da Ansiedade</v>
      </c>
      <c r="AD5" s="217"/>
      <c r="AE5" s="213"/>
      <c r="AF5" s="215">
        <f ca="1">IFERROR(__xludf.DUMMYFUNCTION("""COMPUTED_VALUE"""),797746)</f>
        <v>797746</v>
      </c>
      <c r="AG5" s="215" t="str">
        <f ca="1">IFERROR(__xludf.DUMMYFUNCTION("""COMPUTED_VALUE"""),"Intermediate")</f>
        <v>Intermediate</v>
      </c>
      <c r="AH5" s="217" t="str">
        <f ca="1">IFERROR(__xludf.DUMMYFUNCTION("""COMPUTED_VALUE"""),"从个人贡献者转变为管理者")</f>
        <v>从个人贡献者转变为管理者</v>
      </c>
      <c r="AI5" s="217" t="str">
        <f ca="1">IFERROR(__xludf.DUMMYFUNCTION("""COMPUTED_VALUE"""),"成为领导者")</f>
        <v>成为领导者</v>
      </c>
      <c r="AJ5" s="213"/>
    </row>
    <row r="6" spans="1:36" ht="30">
      <c r="A6" s="213"/>
      <c r="B6" s="214">
        <f ca="1">IFERROR(__xludf.DUMMYFUNCTION("""COMPUTED_VALUE"""),664805)</f>
        <v>664805</v>
      </c>
      <c r="C6" s="215" t="str">
        <f ca="1">IFERROR(__xludf.DUMMYFUNCTION("""COMPUTED_VALUE"""),"Intermediate")</f>
        <v>Intermediate</v>
      </c>
      <c r="D6" s="216" t="str">
        <f ca="1">IFERROR(__xludf.DUMMYFUNCTION("""COMPUTED_VALUE"""),"Managing Globally")</f>
        <v>Managing Globally</v>
      </c>
      <c r="E6" s="217" t="str">
        <f ca="1">IFERROR(__xludf.DUMMYFUNCTION("""COMPUTED_VALUE"""),"Become a Senior Manager")</f>
        <v>Become a Senior Manager</v>
      </c>
      <c r="F6" s="213"/>
      <c r="G6" s="214">
        <f ca="1">IFERROR(__xludf.DUMMYFUNCTION("""COMPUTED_VALUE"""),3200212)</f>
        <v>3200212</v>
      </c>
      <c r="H6" s="215" t="str">
        <f ca="1">IFERROR(__xludf.DUMMYFUNCTION("""COMPUTED_VALUE"""),"All levels")</f>
        <v>All levels</v>
      </c>
      <c r="I6" s="217" t="str">
        <f ca="1">IFERROR(__xludf.DUMMYFUNCTION("""COMPUTED_VALUE"""),"10 minutes, un livre : Soignez la réunionite")</f>
        <v>10 minutes, un livre : Soignez la réunionite</v>
      </c>
      <c r="J6" s="217" t="str">
        <f ca="1">IFERROR(__xludf.DUMMYFUNCTION("""COMPUTED_VALUE"""),"Devenir un cadre supérieur")</f>
        <v>Devenir un cadre supérieur</v>
      </c>
      <c r="K6" s="213"/>
      <c r="L6" s="215">
        <f ca="1">IFERROR(__xludf.DUMMYFUNCTION("""COMPUTED_VALUE"""),778411)</f>
        <v>778411</v>
      </c>
      <c r="M6" s="215" t="str">
        <f ca="1">IFERROR(__xludf.DUMMYFUNCTION("""COMPUTED_VALUE"""),"All levels")</f>
        <v>All levels</v>
      </c>
      <c r="N6" s="217" t="str">
        <f ca="1">IFERROR(__xludf.DUMMYFUNCTION("""COMPUTED_VALUE"""),"Cómo dar y recibir feedback o retroalimentación")</f>
        <v>Cómo dar y recibir feedback o retroalimentación</v>
      </c>
      <c r="O6" s="217" t="str">
        <f ca="1">IFERROR(__xludf.DUMMYFUNCTION("""COMPUTED_VALUE"""),"Crea una atmósfera de trabajo productiva")</f>
        <v>Crea una atmósfera de trabajo productiva</v>
      </c>
      <c r="P6" s="213"/>
      <c r="Q6" s="215">
        <f ca="1">IFERROR(__xludf.DUMMYFUNCTION("""COMPUTED_VALUE"""),702515)</f>
        <v>702515</v>
      </c>
      <c r="R6" s="215" t="str">
        <f ca="1">IFERROR(__xludf.DUMMYFUNCTION("""COMPUTED_VALUE"""),"Beginner")</f>
        <v>Beginner</v>
      </c>
      <c r="S6" s="217" t="str">
        <f ca="1">IFERROR(__xludf.DUMMYFUNCTION("""COMPUTED_VALUE"""),"Beurteilungsgespräche führen")</f>
        <v>Beurteilungsgespräche führen</v>
      </c>
      <c r="T6" s="217" t="str">
        <f ca="1">IFERROR(__xludf.DUMMYFUNCTION("""COMPUTED_VALUE"""),"Führungskompetenz weiterentwickeln")</f>
        <v>Führungskompetenz weiterentwickeln</v>
      </c>
      <c r="U6" s="213"/>
      <c r="V6" s="215">
        <f ca="1">IFERROR(__xludf.DUMMYFUNCTION("""COMPUTED_VALUE"""),2810523)</f>
        <v>2810523</v>
      </c>
      <c r="W6" s="215" t="str">
        <f ca="1">IFERROR(__xludf.DUMMYFUNCTION("""COMPUTED_VALUE"""),"Beginner")</f>
        <v>Beginner</v>
      </c>
      <c r="X6" s="217" t="str">
        <f ca="1">IFERROR(__xludf.DUMMYFUNCTION("""COMPUTED_VALUE"""),"チームに仕事を任せるには")</f>
        <v>チームに仕事を任せるには</v>
      </c>
      <c r="Y6" s="217"/>
      <c r="Z6" s="213"/>
      <c r="AA6" s="215">
        <f ca="1">IFERROR(__xludf.DUMMYFUNCTION("""COMPUTED_VALUE"""),801464)</f>
        <v>801464</v>
      </c>
      <c r="AB6" s="215" t="str">
        <f ca="1">IFERROR(__xludf.DUMMYFUNCTION("""COMPUTED_VALUE"""),"Intermediate")</f>
        <v>Intermediate</v>
      </c>
      <c r="AC6" s="217" t="str">
        <f ca="1">IFERROR(__xludf.DUMMYFUNCTION("""COMPUTED_VALUE"""),"Como Avaliar o Desempenho da Equipe")</f>
        <v>Como Avaliar o Desempenho da Equipe</v>
      </c>
      <c r="AD6" s="217"/>
      <c r="AE6" s="213"/>
      <c r="AF6" s="215">
        <f ca="1">IFERROR(__xludf.DUMMYFUNCTION("""COMPUTED_VALUE"""),762264)</f>
        <v>762264</v>
      </c>
      <c r="AG6" s="215" t="str">
        <f ca="1">IFERROR(__xludf.DUMMYFUNCTION("""COMPUTED_VALUE"""),"Intermediate")</f>
        <v>Intermediate</v>
      </c>
      <c r="AH6" s="217" t="str">
        <f ca="1">IFERROR(__xludf.DUMMYFUNCTION("""COMPUTED_VALUE"""),"以结果为导向的管理")</f>
        <v>以结果为导向的管理</v>
      </c>
      <c r="AI6" s="217" t="str">
        <f ca="1">IFERROR(__xludf.DUMMYFUNCTION("""COMPUTED_VALUE"""),"掌握职场中的人际关系软技能")</f>
        <v>掌握职场中的人际关系软技能</v>
      </c>
      <c r="AJ6" s="213"/>
    </row>
    <row r="7" spans="1:36" ht="33.75" customHeight="1">
      <c r="A7" s="213"/>
      <c r="B7" s="214">
        <f ca="1">IFERROR(__xludf.DUMMYFUNCTION("""COMPUTED_VALUE"""),574670)</f>
        <v>574670</v>
      </c>
      <c r="C7" s="215" t="str">
        <f ca="1">IFERROR(__xludf.DUMMYFUNCTION("""COMPUTED_VALUE"""),"Advanced")</f>
        <v>Advanced</v>
      </c>
      <c r="D7" s="216" t="str">
        <f ca="1">IFERROR(__xludf.DUMMYFUNCTION("""COMPUTED_VALUE"""),"Creating a High Performance Culture")</f>
        <v>Creating a High Performance Culture</v>
      </c>
      <c r="E7" s="217" t="str">
        <f ca="1">IFERROR(__xludf.DUMMYFUNCTION("""COMPUTED_VALUE"""),"Develop, Motivate, and Retain Employees")</f>
        <v>Develop, Motivate, and Retain Employees</v>
      </c>
      <c r="F7" s="213"/>
      <c r="G7" s="214">
        <f ca="1">IFERROR(__xludf.DUMMYFUNCTION("""COMPUTED_VALUE"""),3169224)</f>
        <v>3169224</v>
      </c>
      <c r="H7" s="215" t="str">
        <f ca="1">IFERROR(__xludf.DUMMYFUNCTION("""COMPUTED_VALUE"""),"Beginner, Intermediate")</f>
        <v>Beginner, Intermediate</v>
      </c>
      <c r="I7" s="217" t="str">
        <f ca="1">IFERROR(__xludf.DUMMYFUNCTION("""COMPUTED_VALUE"""),"Accroître la sécurité psychologique de votre équipe")</f>
        <v>Accroître la sécurité psychologique de votre équipe</v>
      </c>
      <c r="J7" s="217" t="str">
        <f ca="1">IFERROR(__xludf.DUMMYFUNCTION("""COMPUTED_VALUE"""),"Être un manager efficace et productif")</f>
        <v>Être un manager efficace et productif</v>
      </c>
      <c r="K7" s="213"/>
      <c r="L7" s="215">
        <f ca="1">IFERROR(__xludf.DUMMYFUNCTION("""COMPUTED_VALUE"""),793663)</f>
        <v>793663</v>
      </c>
      <c r="M7" s="215" t="str">
        <f ca="1">IFERROR(__xludf.DUMMYFUNCTION("""COMPUTED_VALUE"""),"Intermediate")</f>
        <v>Intermediate</v>
      </c>
      <c r="N7" s="217" t="str">
        <f ca="1">IFERROR(__xludf.DUMMYFUNCTION("""COMPUTED_VALUE"""),"Cómo desarrollar la presencia ejecutiva")</f>
        <v>Cómo desarrollar la presencia ejecutiva</v>
      </c>
      <c r="O7" s="217"/>
      <c r="P7" s="213"/>
      <c r="Q7" s="215">
        <f ca="1">IFERROR(__xludf.DUMMYFUNCTION("""COMPUTED_VALUE"""),2805676)</f>
        <v>2805676</v>
      </c>
      <c r="R7" s="215" t="str">
        <f ca="1">IFERROR(__xludf.DUMMYFUNCTION("""COMPUTED_VALUE"""),"Beginner")</f>
        <v>Beginner</v>
      </c>
      <c r="S7" s="217" t="str">
        <f ca="1">IFERROR(__xludf.DUMMYFUNCTION("""COMPUTED_VALUE"""),"Die ersten 100 Tage als Führungskraft")</f>
        <v>Die ersten 100 Tage als Führungskraft</v>
      </c>
      <c r="T7" s="217"/>
      <c r="U7" s="213"/>
      <c r="V7" s="215">
        <f ca="1">IFERROR(__xludf.DUMMYFUNCTION("""COMPUTED_VALUE"""),2915391)</f>
        <v>2915391</v>
      </c>
      <c r="W7" s="215" t="str">
        <f ca="1">IFERROR(__xludf.DUMMYFUNCTION("""COMPUTED_VALUE"""),"Intermediate")</f>
        <v>Intermediate</v>
      </c>
      <c r="X7" s="217" t="str">
        <f ca="1">IFERROR(__xludf.DUMMYFUNCTION("""COMPUTED_VALUE"""),"チームの業績を上げるには")</f>
        <v>チームの業績を上げるには</v>
      </c>
      <c r="Y7" s="217"/>
      <c r="Z7" s="213"/>
      <c r="AA7" s="215">
        <f ca="1">IFERROR(__xludf.DUMMYFUNCTION("""COMPUTED_VALUE"""),753229)</f>
        <v>753229</v>
      </c>
      <c r="AB7" s="215" t="str">
        <f ca="1">IFERROR(__xludf.DUMMYFUNCTION("""COMPUTED_VALUE"""),"Intermediate")</f>
        <v>Intermediate</v>
      </c>
      <c r="AC7" s="217" t="str">
        <f ca="1">IFERROR(__xludf.DUMMYFUNCTION("""COMPUTED_VALUE"""),"Como Criar Equipes de Alto Desempenho")</f>
        <v>Como Criar Equipes de Alto Desempenho</v>
      </c>
      <c r="AD7" s="217" t="str">
        <f ca="1">IFERROR(__xludf.DUMMYFUNCTION("""COMPUTED_VALUE"""),"Torne-se um Líder")</f>
        <v>Torne-se um Líder</v>
      </c>
      <c r="AE7" s="213"/>
      <c r="AF7" s="215">
        <f ca="1">IFERROR(__xludf.DUMMYFUNCTION("""COMPUTED_VALUE"""),2881005)</f>
        <v>2881005</v>
      </c>
      <c r="AG7" s="215" t="str">
        <f ca="1">IFERROR(__xludf.DUMMYFUNCTION("""COMPUTED_VALUE"""),"All levels")</f>
        <v>All levels</v>
      </c>
      <c r="AH7" s="217" t="str">
        <f ca="1">IFERROR(__xludf.DUMMYFUNCTION("""COMPUTED_VALUE"""),"供应链基础知识")</f>
        <v>供应链基础知识</v>
      </c>
      <c r="AI7" s="217" t="str">
        <f ca="1">IFERROR(__xludf.DUMMYFUNCTION("""COMPUTED_VALUE"""),"发掘并留住人才")</f>
        <v>发掘并留住人才</v>
      </c>
      <c r="AJ7" s="213"/>
    </row>
    <row r="8" spans="1:36" ht="33.75" customHeight="1">
      <c r="A8" s="213"/>
      <c r="B8" s="214">
        <f ca="1">IFERROR(__xludf.DUMMYFUNCTION("""COMPUTED_VALUE"""),536419)</f>
        <v>536419</v>
      </c>
      <c r="C8" s="215" t="str">
        <f ca="1">IFERROR(__xludf.DUMMYFUNCTION("""COMPUTED_VALUE"""),"Beginner")</f>
        <v>Beginner</v>
      </c>
      <c r="D8" s="216" t="str">
        <f ca="1">IFERROR(__xludf.DUMMYFUNCTION("""COMPUTED_VALUE"""),"Talent Management")</f>
        <v>Talent Management</v>
      </c>
      <c r="E8" s="217" t="str">
        <f ca="1">IFERROR(__xludf.DUMMYFUNCTION("""COMPUTED_VALUE"""),"Grow Your Impact as a Mentor")</f>
        <v>Grow Your Impact as a Mentor</v>
      </c>
      <c r="F8" s="213"/>
      <c r="G8" s="214">
        <f ca="1">IFERROR(__xludf.DUMMYFUNCTION("""COMPUTED_VALUE"""),5025557)</f>
        <v>5025557</v>
      </c>
      <c r="H8" s="215" t="str">
        <f ca="1">IFERROR(__xludf.DUMMYFUNCTION("""COMPUTED_VALUE"""),"Intermediate")</f>
        <v>Intermediate</v>
      </c>
      <c r="I8" s="217" t="str">
        <f ca="1">IFERROR(__xludf.DUMMYFUNCTION("""COMPUTED_VALUE"""),"Améliorer les performances des employés / employées")</f>
        <v>Améliorer les performances des employés / employées</v>
      </c>
      <c r="J8" s="217" t="str">
        <f ca="1">IFERROR(__xludf.DUMMYFUNCTION("""COMPUTED_VALUE"""),"Gérer la performance")</f>
        <v>Gérer la performance</v>
      </c>
      <c r="K8" s="213"/>
      <c r="L8" s="215">
        <f ca="1">IFERROR(__xludf.DUMMYFUNCTION("""COMPUTED_VALUE"""),2218979)</f>
        <v>2218979</v>
      </c>
      <c r="M8" s="215" t="str">
        <f ca="1">IFERROR(__xludf.DUMMYFUNCTION("""COMPUTED_VALUE"""),"Beginner")</f>
        <v>Beginner</v>
      </c>
      <c r="N8" s="217" t="str">
        <f ca="1">IFERROR(__xludf.DUMMYFUNCTION("""COMPUTED_VALUE"""),"Cómo gestionar a personas con alto potencial")</f>
        <v>Cómo gestionar a personas con alto potencial</v>
      </c>
      <c r="O8" s="217"/>
      <c r="P8" s="213"/>
      <c r="Q8" s="215">
        <f ca="1">IFERROR(__xludf.DUMMYFUNCTION("""COMPUTED_VALUE"""),5025562)</f>
        <v>5025562</v>
      </c>
      <c r="R8" s="215" t="str">
        <f ca="1">IFERROR(__xludf.DUMMYFUNCTION("""COMPUTED_VALUE"""),"Intermediate")</f>
        <v>Intermediate</v>
      </c>
      <c r="S8" s="217" t="str">
        <f ca="1">IFERROR(__xludf.DUMMYFUNCTION("""COMPUTED_VALUE"""),"Die Leistung der Mitarbeiter:innen steigern")</f>
        <v>Die Leistung der Mitarbeiter:innen steigern</v>
      </c>
      <c r="T8" s="217"/>
      <c r="U8" s="213"/>
      <c r="V8" s="215">
        <f ca="1">IFERROR(__xludf.DUMMYFUNCTION("""COMPUTED_VALUE"""),805175)</f>
        <v>805175</v>
      </c>
      <c r="W8" s="215" t="str">
        <f ca="1">IFERROR(__xludf.DUMMYFUNCTION("""COMPUTED_VALUE"""),"All levels")</f>
        <v>All levels</v>
      </c>
      <c r="X8" s="217" t="str">
        <f ca="1">IFERROR(__xludf.DUMMYFUNCTION("""COMPUTED_VALUE"""),"チームを率いてまとめるには")</f>
        <v>チームを率いてまとめるには</v>
      </c>
      <c r="Y8" s="217"/>
      <c r="Z8" s="213"/>
      <c r="AA8" s="215">
        <f ca="1">IFERROR(__xludf.DUMMYFUNCTION("""COMPUTED_VALUE"""),2928594)</f>
        <v>2928594</v>
      </c>
      <c r="AB8" s="215" t="str">
        <f ca="1">IFERROR(__xludf.DUMMYFUNCTION("""COMPUTED_VALUE"""),"Advanced")</f>
        <v>Advanced</v>
      </c>
      <c r="AC8" s="217" t="str">
        <f ca="1">IFERROR(__xludf.DUMMYFUNCTION("""COMPUTED_VALUE"""),"Como Criar Organizações Criativas")</f>
        <v>Como Criar Organizações Criativas</v>
      </c>
      <c r="AD8" s="217" t="str">
        <f ca="1">IFERROR(__xludf.DUMMYFUNCTION("""COMPUTED_VALUE"""),"Transforme-se num Líder Disruptivo")</f>
        <v>Transforme-se num Líder Disruptivo</v>
      </c>
      <c r="AE8" s="213"/>
      <c r="AF8" s="215">
        <f ca="1">IFERROR(__xludf.DUMMYFUNCTION("""COMPUTED_VALUE"""),2255864)</f>
        <v>2255864</v>
      </c>
      <c r="AG8" s="215" t="str">
        <f ca="1">IFERROR(__xludf.DUMMYFUNCTION("""COMPUTED_VALUE"""),"Intermediate")</f>
        <v>Intermediate</v>
      </c>
      <c r="AH8" s="217" t="str">
        <f ca="1">IFERROR(__xludf.DUMMYFUNCTION("""COMPUTED_VALUE"""),"创建高绩效文化")</f>
        <v>创建高绩效文化</v>
      </c>
      <c r="AI8" s="217" t="str">
        <f ca="1">IFERROR(__xludf.DUMMYFUNCTION("""COMPUTED_VALUE"""),"成为管理者")</f>
        <v>成为管理者</v>
      </c>
      <c r="AJ8" s="213"/>
    </row>
    <row r="9" spans="1:36" ht="33.75" customHeight="1">
      <c r="A9" s="213"/>
      <c r="B9" s="214">
        <f ca="1">IFERROR(__xludf.DUMMYFUNCTION("""COMPUTED_VALUE"""),2825161)</f>
        <v>2825161</v>
      </c>
      <c r="C9" s="215" t="str">
        <f ca="1">IFERROR(__xludf.DUMMYFUNCTION("""COMPUTED_VALUE"""),"Beginner + Intermediate")</f>
        <v>Beginner + Intermediate</v>
      </c>
      <c r="D9" s="216" t="str">
        <f ca="1">IFERROR(__xludf.DUMMYFUNCTION("""COMPUTED_VALUE"""),"Goal Setting: Objectives and Key Results (OKRs)")</f>
        <v>Goal Setting: Objectives and Key Results (OKRs)</v>
      </c>
      <c r="E9" s="217" t="str">
        <f ca="1">IFERROR(__xludf.DUMMYFUNCTION("""COMPUTED_VALUE"""),"Improve Your Coaching Skills as a Manager")</f>
        <v>Improve Your Coaching Skills as a Manager</v>
      </c>
      <c r="F9" s="213"/>
      <c r="G9" s="214">
        <f ca="1">IFERROR(__xludf.DUMMYFUNCTION("""COMPUTED_VALUE"""),553296)</f>
        <v>553296</v>
      </c>
      <c r="H9" s="215" t="str">
        <f ca="1">IFERROR(__xludf.DUMMYFUNCTION("""COMPUTED_VALUE"""),"Intermediate")</f>
        <v>Intermediate</v>
      </c>
      <c r="I9" s="217" t="str">
        <f ca="1">IFERROR(__xludf.DUMMYFUNCTION("""COMPUTED_VALUE"""),"Astuces sur le management : Série")</f>
        <v>Astuces sur le management : Série</v>
      </c>
      <c r="J9" s="217" t="str">
        <f ca="1">IFERROR(__xludf.DUMMYFUNCTION("""COMPUTED_VALUE"""),"Atteindre ses objectifs en tant que manager")</f>
        <v>Atteindre ses objectifs en tant que manager</v>
      </c>
      <c r="K9" s="213"/>
      <c r="L9" s="215">
        <f ca="1">IFERROR(__xludf.DUMMYFUNCTION("""COMPUTED_VALUE"""),2221544)</f>
        <v>2221544</v>
      </c>
      <c r="M9" s="215" t="str">
        <f ca="1">IFERROR(__xludf.DUMMYFUNCTION("""COMPUTED_VALUE"""),"Beginner")</f>
        <v>Beginner</v>
      </c>
      <c r="N9" s="217" t="str">
        <f ca="1">IFERROR(__xludf.DUMMYFUNCTION("""COMPUTED_VALUE"""),"Cómo gestionar al personal de alto rendimiento")</f>
        <v>Cómo gestionar al personal de alto rendimiento</v>
      </c>
      <c r="O9" s="217"/>
      <c r="P9" s="213"/>
      <c r="Q9" s="215">
        <f ca="1">IFERROR(__xludf.DUMMYFUNCTION("""COMPUTED_VALUE"""),703235)</f>
        <v>703235</v>
      </c>
      <c r="R9" s="215" t="str">
        <f ca="1">IFERROR(__xludf.DUMMYFUNCTION("""COMPUTED_VALUE"""),"Intermediate")</f>
        <v>Intermediate</v>
      </c>
      <c r="S9" s="217" t="str">
        <f ca="1">IFERROR(__xludf.DUMMYFUNCTION("""COMPUTED_VALUE"""),"Die Unternehmensleistung messen")</f>
        <v>Die Unternehmensleistung messen</v>
      </c>
      <c r="T9" s="217"/>
      <c r="U9" s="213"/>
      <c r="V9" s="215">
        <f ca="1">IFERROR(__xludf.DUMMYFUNCTION("""COMPUTED_VALUE"""),2917521)</f>
        <v>2917521</v>
      </c>
      <c r="W9" s="215" t="str">
        <f ca="1">IFERROR(__xludf.DUMMYFUNCTION("""COMPUTED_VALUE"""),"Intermediate")</f>
        <v>Intermediate</v>
      </c>
      <c r="X9" s="217" t="str">
        <f ca="1">IFERROR(__xludf.DUMMYFUNCTION("""COMPUTED_VALUE"""),"バーチャルチームのマネジメント")</f>
        <v>バーチャルチームのマネジメント</v>
      </c>
      <c r="Y9" s="217"/>
      <c r="Z9" s="213"/>
      <c r="AA9" s="215">
        <f ca="1">IFERROR(__xludf.DUMMYFUNCTION("""COMPUTED_VALUE"""),800463)</f>
        <v>800463</v>
      </c>
      <c r="AB9" s="215" t="str">
        <f ca="1">IFERROR(__xludf.DUMMYFUNCTION("""COMPUTED_VALUE"""),"Beginner")</f>
        <v>Beginner</v>
      </c>
      <c r="AC9" s="217" t="str">
        <f ca="1">IFERROR(__xludf.DUMMYFUNCTION("""COMPUTED_VALUE"""),"Como Criar sua Equipe")</f>
        <v>Como Criar sua Equipe</v>
      </c>
      <c r="AD9" s="217" t="str">
        <f ca="1">IFERROR(__xludf.DUMMYFUNCTION("""COMPUTED_VALUE"""),"Trabalho Remoto: Colaboração, Foco e Produtividade")</f>
        <v>Trabalho Remoto: Colaboração, Foco e Produtividade</v>
      </c>
      <c r="AE9" s="213"/>
      <c r="AF9" s="215">
        <f ca="1">IFERROR(__xludf.DUMMYFUNCTION("""COMPUTED_VALUE"""),2424876)</f>
        <v>2424876</v>
      </c>
      <c r="AG9" s="215" t="str">
        <f ca="1">IFERROR(__xludf.DUMMYFUNCTION("""COMPUTED_VALUE"""),"Beginner")</f>
        <v>Beginner</v>
      </c>
      <c r="AH9" s="217" t="str">
        <f ca="1">IFERROR(__xludf.DUMMYFUNCTION("""COMPUTED_VALUE"""),"变革时期的项目管理")</f>
        <v>变革时期的项目管理</v>
      </c>
      <c r="AI9" s="217"/>
      <c r="AJ9" s="213"/>
    </row>
    <row r="10" spans="1:36" ht="33.75" customHeight="1">
      <c r="A10" s="213"/>
      <c r="B10" s="214">
        <f ca="1">IFERROR(__xludf.DUMMYFUNCTION("""COMPUTED_VALUE"""),672234)</f>
        <v>672234</v>
      </c>
      <c r="C10" s="215" t="str">
        <f ca="1">IFERROR(__xludf.DUMMYFUNCTION("""COMPUTED_VALUE"""),"Intermediate")</f>
        <v>Intermediate</v>
      </c>
      <c r="D10" s="216" t="str">
        <f ca="1">IFERROR(__xludf.DUMMYFUNCTION("""COMPUTED_VALUE"""),"Creating the Conditions for Others to Thrive")</f>
        <v>Creating the Conditions for Others to Thrive</v>
      </c>
      <c r="E10" s="217" t="str">
        <f ca="1">IFERROR(__xludf.DUMMYFUNCTION("""COMPUTED_VALUE"""),"Managing and Leading Developers")</f>
        <v>Managing and Leading Developers</v>
      </c>
      <c r="F10" s="213"/>
      <c r="G10" s="214">
        <f ca="1">IFERROR(__xludf.DUMMYFUNCTION("""COMPUTED_VALUE"""),3006768)</f>
        <v>3006768</v>
      </c>
      <c r="H10" s="215" t="str">
        <f ca="1">IFERROR(__xludf.DUMMYFUNCTION("""COMPUTED_VALUE"""),"Intermediate")</f>
        <v>Intermediate</v>
      </c>
      <c r="I10" s="217" t="str">
        <f ca="1">IFERROR(__xludf.DUMMYFUNCTION("""COMPUTED_VALUE"""),"Choisir d'être un bon manager")</f>
        <v>Choisir d'être un bon manager</v>
      </c>
      <c r="J10" s="217" t="str">
        <f ca="1">IFERROR(__xludf.DUMMYFUNCTION("""COMPUTED_VALUE"""),"Devenir manager d'unité d'affaires")</f>
        <v>Devenir manager d'unité d'affaires</v>
      </c>
      <c r="K10" s="213"/>
      <c r="L10" s="215">
        <f ca="1">IFERROR(__xludf.DUMMYFUNCTION("""COMPUTED_VALUE"""),420457)</f>
        <v>420457</v>
      </c>
      <c r="M10" s="215" t="str">
        <f ca="1">IFERROR(__xludf.DUMMYFUNCTION("""COMPUTED_VALUE"""),"Beginner")</f>
        <v>Beginner</v>
      </c>
      <c r="N10" s="217" t="str">
        <f ca="1">IFERROR(__xludf.DUMMYFUNCTION("""COMPUTED_VALUE"""),"Cómo gestionar equipos de trabajo")</f>
        <v>Cómo gestionar equipos de trabajo</v>
      </c>
      <c r="O10" s="217"/>
      <c r="P10" s="213"/>
      <c r="Q10" s="215">
        <f ca="1">IFERROR(__xludf.DUMMYFUNCTION("""COMPUTED_VALUE"""),5020332)</f>
        <v>5020332</v>
      </c>
      <c r="R10" s="215" t="str">
        <f ca="1">IFERROR(__xludf.DUMMYFUNCTION("""COMPUTED_VALUE"""),"Intermediate")</f>
        <v>Intermediate</v>
      </c>
      <c r="S10" s="217" t="str">
        <f ca="1">IFERROR(__xludf.DUMMYFUNCTION("""COMPUTED_VALUE"""),"Eine Hochleistungskultur schaffen")</f>
        <v>Eine Hochleistungskultur schaffen</v>
      </c>
      <c r="T10" s="217"/>
      <c r="U10" s="213"/>
      <c r="V10" s="215">
        <f ca="1">IFERROR(__xludf.DUMMYFUNCTION("""COMPUTED_VALUE"""),3155690)</f>
        <v>3155690</v>
      </c>
      <c r="W10" s="215" t="str">
        <f ca="1">IFERROR(__xludf.DUMMYFUNCTION("""COMPUTED_VALUE"""),"Beginner, Intermediate")</f>
        <v>Beginner, Intermediate</v>
      </c>
      <c r="X10" s="217" t="str">
        <f ca="1">IFERROR(__xludf.DUMMYFUNCTION("""COMPUTED_VALUE"""),"パフォーマンス・マネジメント：パフォーマンスレビューの実施")</f>
        <v>パフォーマンス・マネジメント：パフォーマンスレビューの実施</v>
      </c>
      <c r="Y10" s="217"/>
      <c r="Z10" s="213"/>
      <c r="AA10" s="215">
        <f ca="1">IFERROR(__xludf.DUMMYFUNCTION("""COMPUTED_VALUE"""),2908959)</f>
        <v>2908959</v>
      </c>
      <c r="AB10" s="215" t="str">
        <f ca="1">IFERROR(__xludf.DUMMYFUNCTION("""COMPUTED_VALUE"""),"Advanced")</f>
        <v>Advanced</v>
      </c>
      <c r="AC10" s="217" t="str">
        <f ca="1">IFERROR(__xludf.DUMMYFUNCTION("""COMPUTED_VALUE"""),"Como Criar uma Cultura de Alto Desempenho")</f>
        <v>Como Criar uma Cultura de Alto Desempenho</v>
      </c>
      <c r="AD10" s="217"/>
      <c r="AE10" s="213"/>
      <c r="AF10" s="215">
        <f ca="1">IFERROR(__xludf.DUMMYFUNCTION("""COMPUTED_VALUE"""),797752)</f>
        <v>797752</v>
      </c>
      <c r="AG10" s="215" t="str">
        <f ca="1">IFERROR(__xludf.DUMMYFUNCTION("""COMPUTED_VALUE"""),"All levels")</f>
        <v>All levels</v>
      </c>
      <c r="AH10" s="217" t="str">
        <f ca="1">IFERROR(__xludf.DUMMYFUNCTION("""COMPUTED_VALUE"""),"向上管理")</f>
        <v>向上管理</v>
      </c>
      <c r="AI10" s="217"/>
      <c r="AJ10" s="213"/>
    </row>
    <row r="11" spans="1:36" ht="33.75" customHeight="1">
      <c r="A11" s="213"/>
      <c r="B11" s="214">
        <f ca="1">IFERROR(__xludf.DUMMYFUNCTION("""COMPUTED_VALUE"""),700792)</f>
        <v>700792</v>
      </c>
      <c r="C11" s="215" t="str">
        <f ca="1">IFERROR(__xludf.DUMMYFUNCTION("""COMPUTED_VALUE"""),"Intermediate")</f>
        <v>Intermediate</v>
      </c>
      <c r="D11" s="216" t="str">
        <f ca="1">IFERROR(__xludf.DUMMYFUNCTION("""COMPUTED_VALUE"""),"Employee Experience")</f>
        <v>Employee Experience</v>
      </c>
      <c r="E11" s="217" t="str">
        <f ca="1">IFERROR(__xludf.DUMMYFUNCTION("""COMPUTED_VALUE"""),"Managing Others Effectively ")</f>
        <v xml:space="preserve">Managing Others Effectively </v>
      </c>
      <c r="F11" s="213"/>
      <c r="G11" s="214">
        <f ca="1">IFERROR(__xludf.DUMMYFUNCTION("""COMPUTED_VALUE"""),568503)</f>
        <v>568503</v>
      </c>
      <c r="H11" s="215" t="str">
        <f ca="1">IFERROR(__xludf.DUMMYFUNCTION("""COMPUTED_VALUE"""),"Beginner")</f>
        <v>Beginner</v>
      </c>
      <c r="I11" s="217" t="str">
        <f ca="1">IFERROR(__xludf.DUMMYFUNCTION("""COMPUTED_VALUE"""),"Coacher et aider ses employés / employées à se développer")</f>
        <v>Coacher et aider ses employés / employées à se développer</v>
      </c>
      <c r="J11" s="217"/>
      <c r="K11" s="213"/>
      <c r="L11" s="215">
        <f ca="1">IFERROR(__xludf.DUMMYFUNCTION("""COMPUTED_VALUE"""),5025676)</f>
        <v>5025676</v>
      </c>
      <c r="M11" s="215" t="str">
        <f ca="1">IFERROR(__xludf.DUMMYFUNCTION("""COMPUTED_VALUE"""),"All levels")</f>
        <v>All levels</v>
      </c>
      <c r="N11" s="217" t="str">
        <f ca="1">IFERROR(__xludf.DUMMYFUNCTION("""COMPUTED_VALUE"""),"Cómo gestionar los puntos ciegos del liderazgo")</f>
        <v>Cómo gestionar los puntos ciegos del liderazgo</v>
      </c>
      <c r="O11" s="217"/>
      <c r="P11" s="213"/>
      <c r="Q11" s="215">
        <f ca="1">IFERROR(__xludf.DUMMYFUNCTION("""COMPUTED_VALUE"""),563968)</f>
        <v>563968</v>
      </c>
      <c r="R11" s="215" t="str">
        <f ca="1">IFERROR(__xludf.DUMMYFUNCTION("""COMPUTED_VALUE"""),"Intermediate")</f>
        <v>Intermediate</v>
      </c>
      <c r="S11" s="217" t="str">
        <f ca="1">IFERROR(__xludf.DUMMYFUNCTION("""COMPUTED_VALUE"""),"Ergebnisorientiertes Management")</f>
        <v>Ergebnisorientiertes Management</v>
      </c>
      <c r="T11" s="217"/>
      <c r="U11" s="213"/>
      <c r="V11" s="215">
        <f ca="1">IFERROR(__xludf.DUMMYFUNCTION("""COMPUTED_VALUE"""),2430001)</f>
        <v>2430001</v>
      </c>
      <c r="W11" s="215" t="str">
        <f ca="1">IFERROR(__xludf.DUMMYFUNCTION("""COMPUTED_VALUE"""),"Beginner")</f>
        <v>Beginner</v>
      </c>
      <c r="X11" s="217" t="str">
        <f ca="1">IFERROR(__xludf.DUMMYFUNCTION("""COMPUTED_VALUE"""),"マネージャーとして新入社員研修を成功させるには")</f>
        <v>マネージャーとして新入社員研修を成功させるには</v>
      </c>
      <c r="Y11" s="217"/>
      <c r="Z11" s="213"/>
      <c r="AA11" s="215">
        <f ca="1">IFERROR(__xludf.DUMMYFUNCTION("""COMPUTED_VALUE"""),801458)</f>
        <v>801458</v>
      </c>
      <c r="AB11" s="215" t="str">
        <f ca="1">IFERROR(__xludf.DUMMYFUNCTION("""COMPUTED_VALUE"""),"Beginner")</f>
        <v>Beginner</v>
      </c>
      <c r="AC11" s="217" t="str">
        <f ca="1">IFERROR(__xludf.DUMMYFUNCTION("""COMPUTED_VALUE"""),"Como Definir Metas para Equipes e Colaboradores")</f>
        <v>Como Definir Metas para Equipes e Colaboradores</v>
      </c>
      <c r="AD11" s="217"/>
      <c r="AE11" s="213"/>
      <c r="AF11" s="215">
        <f ca="1">IFERROR(__xludf.DUMMYFUNCTION("""COMPUTED_VALUE"""),2825059)</f>
        <v>2825059</v>
      </c>
      <c r="AG11" s="215" t="str">
        <f ca="1">IFERROR(__xludf.DUMMYFUNCTION("""COMPUTED_VALUE"""),"Intermediate")</f>
        <v>Intermediate</v>
      </c>
      <c r="AH11" s="217" t="str">
        <f ca="1">IFERROR(__xludf.DUMMYFUNCTION("""COMPUTED_VALUE"""),"向上管理、向下管理与平行管理")</f>
        <v>向上管理、向下管理与平行管理</v>
      </c>
      <c r="AI11" s="217"/>
      <c r="AJ11" s="213"/>
    </row>
    <row r="12" spans="1:36" ht="33.75" customHeight="1">
      <c r="A12" s="213"/>
      <c r="B12" s="214">
        <f ca="1">IFERROR(__xludf.DUMMYFUNCTION("""COMPUTED_VALUE"""),585227)</f>
        <v>585227</v>
      </c>
      <c r="C12" s="215" t="str">
        <f ca="1">IFERROR(__xludf.DUMMYFUNCTION("""COMPUTED_VALUE"""),"Intermediate")</f>
        <v>Intermediate</v>
      </c>
      <c r="D12" s="216" t="str">
        <f ca="1">IFERROR(__xludf.DUMMYFUNCTION("""COMPUTED_VALUE"""),"Measuring Team Performance")</f>
        <v>Measuring Team Performance</v>
      </c>
      <c r="E12" s="217" t="str">
        <f ca="1">IFERROR(__xludf.DUMMYFUNCTION("""COMPUTED_VALUE"""),"Managing Performance")</f>
        <v>Managing Performance</v>
      </c>
      <c r="F12" s="213"/>
      <c r="G12" s="214">
        <f ca="1">IFERROR(__xludf.DUMMYFUNCTION("""COMPUTED_VALUE"""),2822432)</f>
        <v>2822432</v>
      </c>
      <c r="H12" s="215" t="str">
        <f ca="1">IFERROR(__xludf.DUMMYFUNCTION("""COMPUTED_VALUE"""),"Intermediate")</f>
        <v>Intermediate</v>
      </c>
      <c r="I12" s="217" t="str">
        <f ca="1">IFERROR(__xludf.DUMMYFUNCTION("""COMPUTED_VALUE"""),"Compétences en coaching pour les leaders et les managers")</f>
        <v>Compétences en coaching pour les leaders et les managers</v>
      </c>
      <c r="J12" s="217"/>
      <c r="K12" s="213"/>
      <c r="L12" s="215">
        <f ca="1">IFERROR(__xludf.DUMMYFUNCTION("""COMPUTED_VALUE"""),2880103)</f>
        <v>2880103</v>
      </c>
      <c r="M12" s="215" t="str">
        <f ca="1">IFERROR(__xludf.DUMMYFUNCTION("""COMPUTED_VALUE"""),"Intermediate")</f>
        <v>Intermediate</v>
      </c>
      <c r="N12" s="217" t="str">
        <f ca="1">IFERROR(__xludf.DUMMYFUNCTION("""COMPUTED_VALUE"""),"Cómo gestionar un equipo multigeneracional")</f>
        <v>Cómo gestionar un equipo multigeneracional</v>
      </c>
      <c r="O12" s="217"/>
      <c r="P12" s="213"/>
      <c r="Q12" s="215">
        <f ca="1">IFERROR(__xludf.DUMMYFUNCTION("""COMPUTED_VALUE"""),5025613)</f>
        <v>5025613</v>
      </c>
      <c r="R12" s="215" t="str">
        <f ca="1">IFERROR(__xludf.DUMMYFUNCTION("""COMPUTED_VALUE"""),"Beginner")</f>
        <v>Beginner</v>
      </c>
      <c r="S12" s="217" t="str">
        <f ca="1">IFERROR(__xludf.DUMMYFUNCTION("""COMPUTED_VALUE"""),"Expert:innen führen")</f>
        <v>Expert:innen führen</v>
      </c>
      <c r="T12" s="217"/>
      <c r="U12" s="213"/>
      <c r="V12" s="215">
        <f ca="1">IFERROR(__xludf.DUMMYFUNCTION("""COMPUTED_VALUE"""),5013958)</f>
        <v>5013958</v>
      </c>
      <c r="W12" s="215" t="str">
        <f ca="1">IFERROR(__xludf.DUMMYFUNCTION("""COMPUTED_VALUE"""),"Beginner")</f>
        <v>Beginner</v>
      </c>
      <c r="X12" s="217" t="str">
        <f ca="1">IFERROR(__xludf.DUMMYFUNCTION("""COMPUTED_VALUE"""),"マネジメントの基礎")</f>
        <v>マネジメントの基礎</v>
      </c>
      <c r="Y12" s="217"/>
      <c r="Z12" s="213"/>
      <c r="AA12" s="215">
        <f ca="1">IFERROR(__xludf.DUMMYFUNCTION("""COMPUTED_VALUE"""),2931453)</f>
        <v>2931453</v>
      </c>
      <c r="AB12" s="215" t="str">
        <f ca="1">IFERROR(__xludf.DUMMYFUNCTION("""COMPUTED_VALUE"""),"Beginner")</f>
        <v>Beginner</v>
      </c>
      <c r="AC12" s="217" t="str">
        <f ca="1">IFERROR(__xludf.DUMMYFUNCTION("""COMPUTED_VALUE"""),"Como Demitir Colaboradores")</f>
        <v>Como Demitir Colaboradores</v>
      </c>
      <c r="AD12" s="217"/>
      <c r="AE12" s="213"/>
      <c r="AF12" s="215">
        <f ca="1">IFERROR(__xludf.DUMMYFUNCTION("""COMPUTED_VALUE"""),767947)</f>
        <v>767947</v>
      </c>
      <c r="AG12" s="215" t="str">
        <f ca="1">IFERROR(__xludf.DUMMYFUNCTION("""COMPUTED_VALUE"""),"Beginner")</f>
        <v>Beginner</v>
      </c>
      <c r="AH12" s="217" t="str">
        <f ca="1">IFERROR(__xludf.DUMMYFUNCTION("""COMPUTED_VALUE"""),"向团队委派任务")</f>
        <v>向团队委派任务</v>
      </c>
      <c r="AI12" s="217"/>
      <c r="AJ12" s="213"/>
    </row>
    <row r="13" spans="1:36" ht="33.75" customHeight="1">
      <c r="A13" s="213"/>
      <c r="B13" s="214">
        <f ca="1">IFERROR(__xludf.DUMMYFUNCTION("""COMPUTED_VALUE"""),565364)</f>
        <v>565364</v>
      </c>
      <c r="C13" s="215" t="str">
        <f ca="1">IFERROR(__xludf.DUMMYFUNCTION("""COMPUTED_VALUE"""),"Intermediate")</f>
        <v>Intermediate</v>
      </c>
      <c r="D13" s="216" t="str">
        <f ca="1">IFERROR(__xludf.DUMMYFUNCTION("""COMPUTED_VALUE"""),"Managing New Managers")</f>
        <v>Managing New Managers</v>
      </c>
      <c r="E13" s="217" t="str">
        <f ca="1">IFERROR(__xludf.DUMMYFUNCTION("""COMPUTED_VALUE"""),"Master In-Demand Professional Soft Skills")</f>
        <v>Master In-Demand Professional Soft Skills</v>
      </c>
      <c r="F13" s="213"/>
      <c r="G13" s="214">
        <f ca="1">IFERROR(__xludf.DUMMYFUNCTION("""COMPUTED_VALUE"""),3175198)</f>
        <v>3175198</v>
      </c>
      <c r="H13" s="215" t="str">
        <f ca="1">IFERROR(__xludf.DUMMYFUNCTION("""COMPUTED_VALUE"""),"Intermediate")</f>
        <v>Intermediate</v>
      </c>
      <c r="I13" s="217" t="str">
        <f ca="1">IFERROR(__xludf.DUMMYFUNCTION("""COMPUTED_VALUE"""),"Conseils d’experte : Manager la Génération Z")</f>
        <v>Conseils d’experte : Manager la Génération Z</v>
      </c>
      <c r="J13" s="217"/>
      <c r="K13" s="213"/>
      <c r="L13" s="215">
        <f ca="1">IFERROR(__xludf.DUMMYFUNCTION("""COMPUTED_VALUE"""),2924306)</f>
        <v>2924306</v>
      </c>
      <c r="M13" s="215" t="str">
        <f ca="1">IFERROR(__xludf.DUMMYFUNCTION("""COMPUTED_VALUE"""),"All levels")</f>
        <v>All levels</v>
      </c>
      <c r="N13" s="217" t="str">
        <f ca="1">IFERROR(__xludf.DUMMYFUNCTION("""COMPUTED_VALUE"""),"Cómo liderar equipos inclusivos")</f>
        <v>Cómo liderar equipos inclusivos</v>
      </c>
      <c r="O13" s="217"/>
      <c r="P13" s="213"/>
      <c r="Q13" s="215">
        <f ca="1">IFERROR(__xludf.DUMMYFUNCTION("""COMPUTED_VALUE"""),672276)</f>
        <v>672276</v>
      </c>
      <c r="R13" s="215" t="str">
        <f ca="1">IFERROR(__xludf.DUMMYFUNCTION("""COMPUTED_VALUE"""),"Intermediate")</f>
        <v>Intermediate</v>
      </c>
      <c r="S13" s="217" t="str">
        <f ca="1">IFERROR(__xludf.DUMMYFUNCTION("""COMPUTED_VALUE"""),"Hochleistungsteams aufbauen")</f>
        <v>Hochleistungsteams aufbauen</v>
      </c>
      <c r="T13" s="217"/>
      <c r="U13" s="213"/>
      <c r="V13" s="215">
        <f ca="1">IFERROR(__xludf.DUMMYFUNCTION("""COMPUTED_VALUE"""),795002)</f>
        <v>795002</v>
      </c>
      <c r="W13" s="215" t="str">
        <f ca="1">IFERROR(__xludf.DUMMYFUNCTION("""COMPUTED_VALUE"""),"All levels")</f>
        <v>All levels</v>
      </c>
      <c r="X13" s="217" t="str">
        <f ca="1">IFERROR(__xludf.DUMMYFUNCTION("""COMPUTED_VALUE"""),"一般社員から管理職に成長するには")</f>
        <v>一般社員から管理職に成長するには</v>
      </c>
      <c r="Y13" s="217"/>
      <c r="Z13" s="213"/>
      <c r="AA13" s="215">
        <f ca="1">IFERROR(__xludf.DUMMYFUNCTION("""COMPUTED_VALUE"""),2841349)</f>
        <v>2841349</v>
      </c>
      <c r="AB13" s="215" t="str">
        <f ca="1">IFERROR(__xludf.DUMMYFUNCTION("""COMPUTED_VALUE"""),"Intermediate")</f>
        <v>Intermediate</v>
      </c>
      <c r="AC13" s="217" t="str">
        <f ca="1">IFERROR(__xludf.DUMMYFUNCTION("""COMPUTED_VALUE"""),"Como Desenvolver a Liderança de Pensamento")</f>
        <v>Como Desenvolver a Liderança de Pensamento</v>
      </c>
      <c r="AD13" s="217"/>
      <c r="AE13" s="213"/>
      <c r="AF13" s="215">
        <f ca="1">IFERROR(__xludf.DUMMYFUNCTION("""COMPUTED_VALUE"""),2818044)</f>
        <v>2818044</v>
      </c>
      <c r="AG13" s="215" t="str">
        <f ca="1">IFERROR(__xludf.DUMMYFUNCTION("""COMPUTED_VALUE"""),"Intermediate")</f>
        <v>Intermediate</v>
      </c>
      <c r="AH13" s="217" t="str">
        <f ca="1">IFERROR(__xludf.DUMMYFUNCTION("""COMPUTED_VALUE"""),"培养领导气质")</f>
        <v>培养领导气质</v>
      </c>
      <c r="AI13" s="217"/>
      <c r="AJ13" s="213"/>
    </row>
    <row r="14" spans="1:36" ht="33.75" customHeight="1">
      <c r="A14" s="213"/>
      <c r="B14" s="214">
        <f ca="1">IFERROR(__xludf.DUMMYFUNCTION("""COMPUTED_VALUE"""),3107154)</f>
        <v>3107154</v>
      </c>
      <c r="C14" s="215" t="str">
        <f ca="1">IFERROR(__xludf.DUMMYFUNCTION("""COMPUTED_VALUE"""),"Intermediate")</f>
        <v>Intermediate</v>
      </c>
      <c r="D14" s="216" t="str">
        <f ca="1">IFERROR(__xludf.DUMMYFUNCTION("""COMPUTED_VALUE"""),"Coaching New Managers")</f>
        <v>Coaching New Managers</v>
      </c>
      <c r="E14" s="217"/>
      <c r="F14" s="213"/>
      <c r="G14" s="214">
        <f ca="1">IFERROR(__xludf.DUMMYFUNCTION("""COMPUTED_VALUE"""),622393)</f>
        <v>622393</v>
      </c>
      <c r="H14" s="215" t="str">
        <f ca="1">IFERROR(__xludf.DUMMYFUNCTION("""COMPUTED_VALUE"""),"Intermediate")</f>
        <v>Intermediate</v>
      </c>
      <c r="I14" s="217" t="str">
        <f ca="1">IFERROR(__xludf.DUMMYFUNCTION("""COMPUTED_VALUE"""),"Constituer des équipes ultraperformantes")</f>
        <v>Constituer des équipes ultraperformantes</v>
      </c>
      <c r="J14" s="217"/>
      <c r="K14" s="213"/>
      <c r="L14" s="215">
        <f ca="1">IFERROR(__xludf.DUMMYFUNCTION("""COMPUTED_VALUE"""),2926133)</f>
        <v>2926133</v>
      </c>
      <c r="M14" s="215" t="str">
        <f ca="1">IFERROR(__xludf.DUMMYFUNCTION("""COMPUTED_VALUE"""),"All levels")</f>
        <v>All levels</v>
      </c>
      <c r="N14" s="217" t="str">
        <f ca="1">IFERROR(__xludf.DUMMYFUNCTION("""COMPUTED_VALUE"""),"Cómo liderar reuniones individuales productivas")</f>
        <v>Cómo liderar reuniones individuales productivas</v>
      </c>
      <c r="O14" s="217"/>
      <c r="P14" s="213"/>
      <c r="Q14" s="215">
        <f ca="1">IFERROR(__xludf.DUMMYFUNCTION("""COMPUTED_VALUE"""),5025617)</f>
        <v>5025617</v>
      </c>
      <c r="R14" s="215" t="str">
        <f ca="1">IFERROR(__xludf.DUMMYFUNCTION("""COMPUTED_VALUE"""),"Intermediate")</f>
        <v>Intermediate</v>
      </c>
      <c r="S14" s="217" t="str">
        <f ca="1">IFERROR(__xludf.DUMMYFUNCTION("""COMPUTED_VALUE"""),"Leistungsträger führen")</f>
        <v>Leistungsträger führen</v>
      </c>
      <c r="T14" s="217"/>
      <c r="U14" s="213"/>
      <c r="V14" s="215">
        <f ca="1">IFERROR(__xludf.DUMMYFUNCTION("""COMPUTED_VALUE"""),2916468)</f>
        <v>2916468</v>
      </c>
      <c r="W14" s="215" t="str">
        <f ca="1">IFERROR(__xludf.DUMMYFUNCTION("""COMPUTED_VALUE"""),"Beginner")</f>
        <v>Beginner</v>
      </c>
      <c r="X14" s="217" t="str">
        <f ca="1">IFERROR(__xludf.DUMMYFUNCTION("""COMPUTED_VALUE"""),"効果的なフィードバックの与え方と受け取り方")</f>
        <v>効果的なフィードバックの与え方と受け取り方</v>
      </c>
      <c r="Y14" s="217"/>
      <c r="Z14" s="213"/>
      <c r="AA14" s="215">
        <f ca="1">IFERROR(__xludf.DUMMYFUNCTION("""COMPUTED_VALUE"""),3117418)</f>
        <v>3117418</v>
      </c>
      <c r="AB14" s="215" t="str">
        <f ca="1">IFERROR(__xludf.DUMMYFUNCTION("""COMPUTED_VALUE"""),"All levels")</f>
        <v>All levels</v>
      </c>
      <c r="AC14" s="217" t="str">
        <f ca="1">IFERROR(__xludf.DUMMYFUNCTION("""COMPUTED_VALUE"""),"Como Desenvolver Novas Habilidades para o Futuro do Trabalho")</f>
        <v>Como Desenvolver Novas Habilidades para o Futuro do Trabalho</v>
      </c>
      <c r="AD14" s="217"/>
      <c r="AE14" s="213"/>
      <c r="AF14" s="215">
        <f ca="1">IFERROR(__xludf.DUMMYFUNCTION("""COMPUTED_VALUE"""),2887001)</f>
        <v>2887001</v>
      </c>
      <c r="AG14" s="215" t="str">
        <f ca="1">IFERROR(__xludf.DUMMYFUNCTION("""COMPUTED_VALUE"""),"Beginner, Intermediate")</f>
        <v>Beginner, Intermediate</v>
      </c>
      <c r="AH14" s="217" t="str">
        <f ca="1">IFERROR(__xludf.DUMMYFUNCTION("""COMPUTED_VALUE"""),"安抚员工悲伤情绪：经理指南")</f>
        <v>安抚员工悲伤情绪：经理指南</v>
      </c>
      <c r="AI14" s="217"/>
      <c r="AJ14" s="213"/>
    </row>
    <row r="15" spans="1:36" ht="33.75" customHeight="1">
      <c r="A15" s="213"/>
      <c r="B15" s="214">
        <f ca="1">IFERROR(__xludf.DUMMYFUNCTION("""COMPUTED_VALUE"""),604211)</f>
        <v>604211</v>
      </c>
      <c r="C15" s="215" t="str">
        <f ca="1">IFERROR(__xludf.DUMMYFUNCTION("""COMPUTED_VALUE"""),"Beginner")</f>
        <v>Beginner</v>
      </c>
      <c r="D15" s="216" t="str">
        <f ca="1">IFERROR(__xludf.DUMMYFUNCTION("""COMPUTED_VALUE"""),"Managing High Performers")</f>
        <v>Managing High Performers</v>
      </c>
      <c r="E15" s="217"/>
      <c r="F15" s="213"/>
      <c r="G15" s="214">
        <f ca="1">IFERROR(__xludf.DUMMYFUNCTION("""COMPUTED_VALUE"""),2823373)</f>
        <v>2823373</v>
      </c>
      <c r="H15" s="215" t="str">
        <f ca="1">IFERROR(__xludf.DUMMYFUNCTION("""COMPUTED_VALUE"""),"Intermediate")</f>
        <v>Intermediate</v>
      </c>
      <c r="I15" s="217" t="str">
        <f ca="1">IFERROR(__xludf.DUMMYFUNCTION("""COMPUTED_VALUE"""),"Créer une culture de l'apprentissage")</f>
        <v>Créer une culture de l'apprentissage</v>
      </c>
      <c r="J15" s="217"/>
      <c r="K15" s="213"/>
      <c r="L15" s="215">
        <f ca="1">IFERROR(__xludf.DUMMYFUNCTION("""COMPUTED_VALUE"""),5025691)</f>
        <v>5025691</v>
      </c>
      <c r="M15" s="215" t="str">
        <f ca="1">IFERROR(__xludf.DUMMYFUNCTION("""COMPUTED_VALUE"""),"Beginner, Intermediate")</f>
        <v>Beginner, Intermediate</v>
      </c>
      <c r="N15" s="217" t="str">
        <f ca="1">IFERROR(__xludf.DUMMYFUNCTION("""COMPUTED_VALUE"""),"Cómo mejorar el rendimiento de tu personal")</f>
        <v>Cómo mejorar el rendimiento de tu personal</v>
      </c>
      <c r="O15" s="217"/>
      <c r="P15" s="213"/>
      <c r="Q15" s="215">
        <f ca="1">IFERROR(__xludf.DUMMYFUNCTION("""COMPUTED_VALUE"""),2923226)</f>
        <v>2923226</v>
      </c>
      <c r="R15" s="215" t="str">
        <f ca="1">IFERROR(__xludf.DUMMYFUNCTION("""COMPUTED_VALUE"""),"Intermediate")</f>
        <v>Intermediate</v>
      </c>
      <c r="S15" s="217" t="str">
        <f ca="1">IFERROR(__xludf.DUMMYFUNCTION("""COMPUTED_VALUE"""),"Mehrere Generationen managen")</f>
        <v>Mehrere Generationen managen</v>
      </c>
      <c r="T15" s="217"/>
      <c r="U15" s="213"/>
      <c r="V15" s="215">
        <f ca="1">IFERROR(__xludf.DUMMYFUNCTION("""COMPUTED_VALUE"""),2848299)</f>
        <v>2848299</v>
      </c>
      <c r="W15" s="215" t="str">
        <f ca="1">IFERROR(__xludf.DUMMYFUNCTION("""COMPUTED_VALUE"""),"Intermediate")</f>
        <v>Intermediate</v>
      </c>
      <c r="X15" s="217" t="str">
        <f ca="1">IFERROR(__xludf.DUMMYFUNCTION("""COMPUTED_VALUE"""),"新任マネージャーをスムーズに着任させるには")</f>
        <v>新任マネージャーをスムーズに着任させるには</v>
      </c>
      <c r="Y15" s="217"/>
      <c r="Z15" s="213"/>
      <c r="AA15" s="215">
        <f ca="1">IFERROR(__xludf.DUMMYFUNCTION("""COMPUTED_VALUE"""),3202148)</f>
        <v>3202148</v>
      </c>
      <c r="AB15" s="215" t="str">
        <f ca="1">IFERROR(__xludf.DUMMYFUNCTION("""COMPUTED_VALUE"""),"All levels")</f>
        <v>All levels</v>
      </c>
      <c r="AC15" s="217" t="str">
        <f ca="1">IFERROR(__xludf.DUMMYFUNCTION("""COMPUTED_VALUE"""),"Como Enfrentar a Ansiedade no Trabalho")</f>
        <v>Como Enfrentar a Ansiedade no Trabalho</v>
      </c>
      <c r="AD15" s="217"/>
      <c r="AE15" s="213"/>
      <c r="AF15" s="215">
        <f ca="1">IFERROR(__xludf.DUMMYFUNCTION("""COMPUTED_VALUE"""),2825763)</f>
        <v>2825763</v>
      </c>
      <c r="AG15" s="215" t="str">
        <f ca="1">IFERROR(__xludf.DUMMYFUNCTION("""COMPUTED_VALUE"""),"Intermediate")</f>
        <v>Intermediate</v>
      </c>
      <c r="AH15" s="217" t="str">
        <f ca="1">IFERROR(__xludf.DUMMYFUNCTION("""COMPUTED_VALUE"""),"开展高难度对话")</f>
        <v>开展高难度对话</v>
      </c>
      <c r="AI15" s="217"/>
      <c r="AJ15" s="213"/>
    </row>
    <row r="16" spans="1:36" ht="33.75" customHeight="1">
      <c r="A16" s="213"/>
      <c r="B16" s="214">
        <f ca="1">IFERROR(__xludf.DUMMYFUNCTION("""COMPUTED_VALUE"""),604213)</f>
        <v>604213</v>
      </c>
      <c r="C16" s="215" t="str">
        <f ca="1">IFERROR(__xludf.DUMMYFUNCTION("""COMPUTED_VALUE"""),"Beginner")</f>
        <v>Beginner</v>
      </c>
      <c r="D16" s="216" t="str">
        <f ca="1">IFERROR(__xludf.DUMMYFUNCTION("""COMPUTED_VALUE"""),"Managing High Potentials")</f>
        <v>Managing High Potentials</v>
      </c>
      <c r="E16" s="217"/>
      <c r="F16" s="213"/>
      <c r="G16" s="214">
        <f ca="1">IFERROR(__xludf.DUMMYFUNCTION("""COMPUTED_VALUE"""),781084)</f>
        <v>781084</v>
      </c>
      <c r="H16" s="215" t="str">
        <f ca="1">IFERROR(__xludf.DUMMYFUNCTION("""COMPUTED_VALUE"""),"Intermediate")</f>
        <v>Intermediate</v>
      </c>
      <c r="I16" s="217" t="str">
        <f ca="1">IFERROR(__xludf.DUMMYFUNCTION("""COMPUTED_VALUE"""),"Définir les objectifs d’une unité d’affaires")</f>
        <v>Définir les objectifs d’une unité d’affaires</v>
      </c>
      <c r="J16" s="217"/>
      <c r="K16" s="213"/>
      <c r="L16" s="215">
        <f ca="1">IFERROR(__xludf.DUMMYFUNCTION("""COMPUTED_VALUE"""),587153)</f>
        <v>587153</v>
      </c>
      <c r="M16" s="215" t="str">
        <f ca="1">IFERROR(__xludf.DUMMYFUNCTION("""COMPUTED_VALUE"""),"Intermediate")</f>
        <v>Intermediate</v>
      </c>
      <c r="N16" s="217" t="str">
        <f ca="1">IFERROR(__xludf.DUMMYFUNCTION("""COMPUTED_VALUE"""),"Cómo orientar y desarrollar a tu personal")</f>
        <v>Cómo orientar y desarrollar a tu personal</v>
      </c>
      <c r="O16" s="217"/>
      <c r="P16" s="213"/>
      <c r="Q16" s="215">
        <f ca="1">IFERROR(__xludf.DUMMYFUNCTION("""COMPUTED_VALUE"""),702517)</f>
        <v>702517</v>
      </c>
      <c r="R16" s="215" t="str">
        <f ca="1">IFERROR(__xludf.DUMMYFUNCTION("""COMPUTED_VALUE"""),"Intermediate")</f>
        <v>Intermediate</v>
      </c>
      <c r="S16" s="217" t="str">
        <f ca="1">IFERROR(__xludf.DUMMYFUNCTION("""COMPUTED_VALUE"""),"Mit schwierigen Mitarbeiter:innen umgehen")</f>
        <v>Mit schwierigen Mitarbeiter:innen umgehen</v>
      </c>
      <c r="T16" s="217"/>
      <c r="U16" s="213"/>
      <c r="V16" s="215">
        <f ca="1">IFERROR(__xludf.DUMMYFUNCTION("""COMPUTED_VALUE"""),2915392)</f>
        <v>2915392</v>
      </c>
      <c r="W16" s="215" t="str">
        <f ca="1">IFERROR(__xludf.DUMMYFUNCTION("""COMPUTED_VALUE"""),"Intermediate")</f>
        <v>Intermediate</v>
      </c>
      <c r="X16" s="217" t="str">
        <f ca="1">IFERROR(__xludf.DUMMYFUNCTION("""COMPUTED_VALUE"""),"業績評価を行うには")</f>
        <v>業績評価を行うには</v>
      </c>
      <c r="Y16" s="217"/>
      <c r="Z16" s="213"/>
      <c r="AA16" s="215">
        <f ca="1">IFERROR(__xludf.DUMMYFUNCTION("""COMPUTED_VALUE"""),2928582)</f>
        <v>2928582</v>
      </c>
      <c r="AB16" s="215" t="str">
        <f ca="1">IFERROR(__xludf.DUMMYFUNCTION("""COMPUTED_VALUE"""),"Beginner")</f>
        <v>Beginner</v>
      </c>
      <c r="AC16" s="217" t="str">
        <f ca="1">IFERROR(__xludf.DUMMYFUNCTION("""COMPUTED_VALUE"""),"Como Engajar os Colaboradores")</f>
        <v>Como Engajar os Colaboradores</v>
      </c>
      <c r="AD16" s="217"/>
      <c r="AE16" s="213"/>
      <c r="AF16" s="215">
        <f ca="1">IFERROR(__xludf.DUMMYFUNCTION("""COMPUTED_VALUE"""),5039201)</f>
        <v>5039201</v>
      </c>
      <c r="AG16" s="215" t="str">
        <f ca="1">IFERROR(__xludf.DUMMYFUNCTION("""COMPUTED_VALUE"""),"Beginner")</f>
        <v>Beginner</v>
      </c>
      <c r="AH16" s="217" t="str">
        <f ca="1">IFERROR(__xludf.DUMMYFUNCTION("""COMPUTED_VALUE"""),"打造你的团队")</f>
        <v>打造你的团队</v>
      </c>
      <c r="AI16" s="217"/>
      <c r="AJ16" s="213"/>
    </row>
    <row r="17" spans="1:36" ht="33.75" customHeight="1">
      <c r="A17" s="213"/>
      <c r="B17" s="214">
        <f ca="1">IFERROR(__xludf.DUMMYFUNCTION("""COMPUTED_VALUE"""),456353)</f>
        <v>456353</v>
      </c>
      <c r="C17" s="215" t="str">
        <f ca="1">IFERROR(__xludf.DUMMYFUNCTION("""COMPUTED_VALUE"""),"Beginner")</f>
        <v>Beginner</v>
      </c>
      <c r="D17" s="216" t="str">
        <f ca="1">IFERROR(__xludf.DUMMYFUNCTION("""COMPUTED_VALUE"""),"Setting Team and Employee Goals Using SMART Methodology")</f>
        <v>Setting Team and Employee Goals Using SMART Methodology</v>
      </c>
      <c r="E17" s="217"/>
      <c r="F17" s="213"/>
      <c r="G17" s="214">
        <f ca="1">IFERROR(__xludf.DUMMYFUNCTION("""COMPUTED_VALUE"""),193343)</f>
        <v>193343</v>
      </c>
      <c r="H17" s="215" t="str">
        <f ca="1">IFERROR(__xludf.DUMMYFUNCTION("""COMPUTED_VALUE"""),"Beginner")</f>
        <v>Beginner</v>
      </c>
      <c r="I17" s="217" t="str">
        <f ca="1">IFERROR(__xludf.DUMMYFUNCTION("""COMPUTED_VALUE"""),"Déléguer des tâches aux membres de son équipe")</f>
        <v>Déléguer des tâches aux membres de son équipe</v>
      </c>
      <c r="J17" s="217"/>
      <c r="K17" s="213"/>
      <c r="L17" s="215">
        <f ca="1">IFERROR(__xludf.DUMMYFUNCTION("""COMPUTED_VALUE"""),5025686)</f>
        <v>5025686</v>
      </c>
      <c r="M17" s="215" t="str">
        <f ca="1">IFERROR(__xludf.DUMMYFUNCTION("""COMPUTED_VALUE"""),"Intermediate")</f>
        <v>Intermediate</v>
      </c>
      <c r="N17" s="217" t="str">
        <f ca="1">IFERROR(__xludf.DUMMYFUNCTION("""COMPUTED_VALUE"""),"El futuro de la gestión del rendimiento")</f>
        <v>El futuro de la gestión del rendimiento</v>
      </c>
      <c r="O17" s="217"/>
      <c r="P17" s="213"/>
      <c r="Q17" s="215">
        <f ca="1">IFERROR(__xludf.DUMMYFUNCTION("""COMPUTED_VALUE"""),593045)</f>
        <v>593045</v>
      </c>
      <c r="R17" s="215" t="str">
        <f ca="1">IFERROR(__xludf.DUMMYFUNCTION("""COMPUTED_VALUE"""),"All levels")</f>
        <v>All levels</v>
      </c>
      <c r="S17" s="217" t="str">
        <f ca="1">IFERROR(__xludf.DUMMYFUNCTION("""COMPUTED_VALUE"""),"Mitarbeiter:innen Feedback geben")</f>
        <v>Mitarbeiter:innen Feedback geben</v>
      </c>
      <c r="T17" s="217"/>
      <c r="U17" s="213"/>
      <c r="V17" s="215">
        <f ca="1">IFERROR(__xludf.DUMMYFUNCTION("""COMPUTED_VALUE"""),693758)</f>
        <v>693758</v>
      </c>
      <c r="W17" s="215" t="str">
        <f ca="1">IFERROR(__xludf.DUMMYFUNCTION("""COMPUTED_VALUE"""),"Beginner")</f>
        <v>Beginner</v>
      </c>
      <c r="X17" s="217" t="str">
        <f ca="1">IFERROR(__xludf.DUMMYFUNCTION("""COMPUTED_VALUE"""),"適切なフィードバックの伝え方")</f>
        <v>適切なフィードバックの伝え方</v>
      </c>
      <c r="Y17" s="217"/>
      <c r="Z17" s="213"/>
      <c r="AA17" s="215">
        <f ca="1">IFERROR(__xludf.DUMMYFUNCTION("""COMPUTED_VALUE"""),2437180)</f>
        <v>2437180</v>
      </c>
      <c r="AB17" s="215" t="str">
        <f ca="1">IFERROR(__xludf.DUMMYFUNCTION("""COMPUTED_VALUE"""),"Intermediate")</f>
        <v>Intermediate</v>
      </c>
      <c r="AC17" s="217" t="str">
        <f ca="1">IFERROR(__xludf.DUMMYFUNCTION("""COMPUTED_VALUE"""),"Como Gerenciar sua Equipe em Tempos Difíceis")</f>
        <v>Como Gerenciar sua Equipe em Tempos Difíceis</v>
      </c>
      <c r="AD17" s="217"/>
      <c r="AE17" s="213"/>
      <c r="AF17" s="215">
        <f ca="1">IFERROR(__xludf.DUMMYFUNCTION("""COMPUTED_VALUE"""),5015633)</f>
        <v>5015633</v>
      </c>
      <c r="AG17" s="215" t="str">
        <f ca="1">IFERROR(__xludf.DUMMYFUNCTION("""COMPUTED_VALUE"""),"Intermediate")</f>
        <v>Intermediate</v>
      </c>
      <c r="AH17" s="217" t="str">
        <f ca="1">IFERROR(__xludf.DUMMYFUNCTION("""COMPUTED_VALUE"""),"打造高绩效团队")</f>
        <v>打造高绩效团队</v>
      </c>
      <c r="AI17" s="217"/>
      <c r="AJ17" s="213"/>
    </row>
    <row r="18" spans="1:36" ht="33.75" customHeight="1">
      <c r="A18" s="213"/>
      <c r="B18" s="214">
        <f ca="1">IFERROR(__xludf.DUMMYFUNCTION("""COMPUTED_VALUE"""),2822314)</f>
        <v>2822314</v>
      </c>
      <c r="C18" s="215" t="str">
        <f ca="1">IFERROR(__xludf.DUMMYFUNCTION("""COMPUTED_VALUE"""),"Beginner")</f>
        <v>Beginner</v>
      </c>
      <c r="D18" s="216" t="str">
        <f ca="1">IFERROR(__xludf.DUMMYFUNCTION("""COMPUTED_VALUE"""),"How to Give and Receive Useful Feedback Every Month")</f>
        <v>How to Give and Receive Useful Feedback Every Month</v>
      </c>
      <c r="E18" s="217"/>
      <c r="F18" s="213"/>
      <c r="G18" s="214">
        <f ca="1">IFERROR(__xludf.DUMMYFUNCTION("""COMPUTED_VALUE"""),499817)</f>
        <v>499817</v>
      </c>
      <c r="H18" s="215" t="str">
        <f ca="1">IFERROR(__xludf.DUMMYFUNCTION("""COMPUTED_VALUE"""),"Beginner")</f>
        <v>Beginner</v>
      </c>
      <c r="I18" s="217" t="str">
        <f ca="1">IFERROR(__xludf.DUMMYFUNCTION("""COMPUTED_VALUE"""),"Développer la motivation et l'engagement des employés / employées")</f>
        <v>Développer la motivation et l'engagement des employés / employées</v>
      </c>
      <c r="J18" s="217"/>
      <c r="K18" s="213"/>
      <c r="L18" s="215">
        <f ca="1">IFERROR(__xludf.DUMMYFUNCTION("""COMPUTED_VALUE"""),5025665)</f>
        <v>5025665</v>
      </c>
      <c r="M18" s="215" t="str">
        <f ca="1">IFERROR(__xludf.DUMMYFUNCTION("""COMPUTED_VALUE"""),"All levels")</f>
        <v>All levels</v>
      </c>
      <c r="N18" s="217" t="str">
        <f ca="1">IFERROR(__xludf.DUMMYFUNCTION("""COMPUTED_VALUE"""),"Fundamentos de gestión de equipos IT y programación")</f>
        <v>Fundamentos de gestión de equipos IT y programación</v>
      </c>
      <c r="O18" s="217"/>
      <c r="P18" s="213"/>
      <c r="Q18" s="215">
        <f ca="1">IFERROR(__xludf.DUMMYFUNCTION("""COMPUTED_VALUE"""),494021)</f>
        <v>494021</v>
      </c>
      <c r="R18" s="215" t="str">
        <f ca="1">IFERROR(__xludf.DUMMYFUNCTION("""COMPUTED_VALUE"""),"All levels")</f>
        <v>All levels</v>
      </c>
      <c r="S18" s="217" t="str">
        <f ca="1">IFERROR(__xludf.DUMMYFUNCTION("""COMPUTED_VALUE"""),"Mitarbeiter:innen motivieren")</f>
        <v>Mitarbeiter:innen motivieren</v>
      </c>
      <c r="T18" s="217"/>
      <c r="U18" s="213"/>
      <c r="V18" s="215">
        <f ca="1">IFERROR(__xludf.DUMMYFUNCTION("""COMPUTED_VALUE"""),2917518)</f>
        <v>2917518</v>
      </c>
      <c r="W18" s="215" t="str">
        <f ca="1">IFERROR(__xludf.DUMMYFUNCTION("""COMPUTED_VALUE"""),"Beginner, Intermediate")</f>
        <v>Beginner, Intermediate</v>
      </c>
      <c r="X18" s="217" t="str">
        <f ca="1">IFERROR(__xludf.DUMMYFUNCTION("""COMPUTED_VALUE"""),"部下の業績を高めるには")</f>
        <v>部下の業績を高めるには</v>
      </c>
      <c r="Y18" s="217"/>
      <c r="Z18" s="213"/>
      <c r="AA18" s="215">
        <f ca="1">IFERROR(__xludf.DUMMYFUNCTION("""COMPUTED_VALUE"""),2929560)</f>
        <v>2929560</v>
      </c>
      <c r="AB18" s="215" t="str">
        <f ca="1">IFERROR(__xludf.DUMMYFUNCTION("""COMPUTED_VALUE"""),"Intermediate")</f>
        <v>Intermediate</v>
      </c>
      <c r="AC18" s="217" t="str">
        <f ca="1">IFERROR(__xludf.DUMMYFUNCTION("""COMPUTED_VALUE"""),"Como Gerenciar uma Equipe Diversificada")</f>
        <v>Como Gerenciar uma Equipe Diversificada</v>
      </c>
      <c r="AD18" s="217"/>
      <c r="AE18" s="213"/>
      <c r="AF18" s="215">
        <f ca="1">IFERROR(__xludf.DUMMYFUNCTION("""COMPUTED_VALUE"""),2880003)</f>
        <v>2880003</v>
      </c>
      <c r="AG18" s="215" t="str">
        <f ca="1">IFERROR(__xludf.DUMMYFUNCTION("""COMPUTED_VALUE"""),"All levels")</f>
        <v>All levels</v>
      </c>
      <c r="AH18" s="217" t="str">
        <f ca="1">IFERROR(__xludf.DUMMYFUNCTION("""COMPUTED_VALUE"""),"拥抱意外变化")</f>
        <v>拥抱意外变化</v>
      </c>
      <c r="AI18" s="217"/>
      <c r="AJ18" s="213"/>
    </row>
    <row r="19" spans="1:36" ht="33.75" customHeight="1">
      <c r="A19" s="213"/>
      <c r="B19" s="214">
        <f ca="1">IFERROR(__xludf.DUMMYFUNCTION("""COMPUTED_VALUE"""),2824174)</f>
        <v>2824174</v>
      </c>
      <c r="C19" s="215" t="str">
        <f ca="1">IFERROR(__xludf.DUMMYFUNCTION("""COMPUTED_VALUE"""),"Beginner")</f>
        <v>Beginner</v>
      </c>
      <c r="D19" s="216" t="str">
        <f ca="1">IFERROR(__xludf.DUMMYFUNCTION("""COMPUTED_VALUE"""),"Simple Manager Tools that Cure the Under-Management Epidemic")</f>
        <v>Simple Manager Tools that Cure the Under-Management Epidemic</v>
      </c>
      <c r="E19" s="217"/>
      <c r="F19" s="213"/>
      <c r="G19" s="214">
        <f ca="1">IFERROR(__xludf.DUMMYFUNCTION("""COMPUTED_VALUE"""),707934)</f>
        <v>707934</v>
      </c>
      <c r="H19" s="215" t="str">
        <f ca="1">IFERROR(__xludf.DUMMYFUNCTION("""COMPUTED_VALUE"""),"All levels")</f>
        <v>All levels</v>
      </c>
      <c r="I19" s="217" t="str">
        <f ca="1">IFERROR(__xludf.DUMMYFUNCTION("""COMPUTED_VALUE"""),"Développer son leadership de manager")</f>
        <v>Développer son leadership de manager</v>
      </c>
      <c r="J19" s="217"/>
      <c r="K19" s="213"/>
      <c r="L19" s="215">
        <f ca="1">IFERROR(__xludf.DUMMYFUNCTION("""COMPUTED_VALUE"""),587139)</f>
        <v>587139</v>
      </c>
      <c r="M19" s="215" t="str">
        <f ca="1">IFERROR(__xludf.DUMMYFUNCTION("""COMPUTED_VALUE"""),"Beginner")</f>
        <v>Beginner</v>
      </c>
      <c r="N19" s="217" t="str">
        <f ca="1">IFERROR(__xludf.DUMMYFUNCTION("""COMPUTED_VALUE"""),"Fundamentos de la evaluación del rendimiento")</f>
        <v>Fundamentos de la evaluación del rendimiento</v>
      </c>
      <c r="O19" s="217"/>
      <c r="P19" s="213"/>
      <c r="Q19" s="215">
        <f ca="1">IFERROR(__xludf.DUMMYFUNCTION("""COMPUTED_VALUE"""),5033508)</f>
        <v>5033508</v>
      </c>
      <c r="R19" s="215" t="str">
        <f ca="1">IFERROR(__xludf.DUMMYFUNCTION("""COMPUTED_VALUE"""),"All levels")</f>
        <v>All levels</v>
      </c>
      <c r="S19" s="217" t="str">
        <f ca="1">IFERROR(__xludf.DUMMYFUNCTION("""COMPUTED_VALUE"""),"Modernes Leistungsmanagement")</f>
        <v>Modernes Leistungsmanagement</v>
      </c>
      <c r="T19" s="217"/>
      <c r="U19" s="213"/>
      <c r="V19" s="215">
        <f ca="1">IFERROR(__xludf.DUMMYFUNCTION("""COMPUTED_VALUE"""),2849242)</f>
        <v>2849242</v>
      </c>
      <c r="W19" s="215" t="str">
        <f ca="1">IFERROR(__xludf.DUMMYFUNCTION("""COMPUTED_VALUE"""),"Intermediate")</f>
        <v>Intermediate</v>
      </c>
      <c r="X19" s="217" t="str">
        <f ca="1">IFERROR(__xludf.DUMMYFUNCTION("""COMPUTED_VALUE"""),"部下の業績課題に対処するには")</f>
        <v>部下の業績課題に対処するには</v>
      </c>
      <c r="Y19" s="217"/>
      <c r="Z19" s="213"/>
      <c r="AA19" s="215">
        <f ca="1">IFERROR(__xludf.DUMMYFUNCTION("""COMPUTED_VALUE"""),5036508)</f>
        <v>5036508</v>
      </c>
      <c r="AB19" s="215" t="str">
        <f ca="1">IFERROR(__xludf.DUMMYFUNCTION("""COMPUTED_VALUE"""),"Beginner")</f>
        <v>Beginner</v>
      </c>
      <c r="AC19" s="217" t="str">
        <f ca="1">IFERROR(__xludf.DUMMYFUNCTION("""COMPUTED_VALUE"""),"Como Integrar Novos Colaboradores e Colaboradoras à Empresa")</f>
        <v>Como Integrar Novos Colaboradores e Colaboradoras à Empresa</v>
      </c>
      <c r="AD19" s="217"/>
      <c r="AE19" s="213"/>
      <c r="AF19" s="215">
        <f ca="1">IFERROR(__xludf.DUMMYFUNCTION("""COMPUTED_VALUE"""),2824040)</f>
        <v>2824040</v>
      </c>
      <c r="AG19" s="215" t="str">
        <f ca="1">IFERROR(__xludf.DUMMYFUNCTION("""COMPUTED_VALUE"""),"Beginner, Intermediate")</f>
        <v>Beginner, Intermediate</v>
      </c>
      <c r="AH19" s="217" t="str">
        <f ca="1">IFERROR(__xludf.DUMMYFUNCTION("""COMPUTED_VALUE"""),"提升员工绩效")</f>
        <v>提升员工绩效</v>
      </c>
      <c r="AI19" s="217"/>
      <c r="AJ19" s="213"/>
    </row>
    <row r="20" spans="1:36" ht="33.75" customHeight="1">
      <c r="A20" s="213"/>
      <c r="B20" s="214">
        <f ca="1">IFERROR(__xludf.DUMMYFUNCTION("""COMPUTED_VALUE"""),2824202)</f>
        <v>2824202</v>
      </c>
      <c r="C20" s="215" t="str">
        <f ca="1">IFERROR(__xludf.DUMMYFUNCTION("""COMPUTED_VALUE"""),"Beginner")</f>
        <v>Beginner</v>
      </c>
      <c r="D20" s="216" t="str">
        <f ca="1">IFERROR(__xludf.DUMMYFUNCTION("""COMPUTED_VALUE"""),"The Benefits of Standardization and Standard Work")</f>
        <v>The Benefits of Standardization and Standard Work</v>
      </c>
      <c r="E20" s="217"/>
      <c r="F20" s="213"/>
      <c r="G20" s="214">
        <f ca="1">IFERROR(__xludf.DUMMYFUNCTION("""COMPUTED_VALUE"""),2215100)</f>
        <v>2215100</v>
      </c>
      <c r="H20" s="215" t="str">
        <f ca="1">IFERROR(__xludf.DUMMYFUNCTION("""COMPUTED_VALUE"""),"Intermediate")</f>
        <v>Intermediate</v>
      </c>
      <c r="I20" s="217" t="str">
        <f ca="1">IFERROR(__xludf.DUMMYFUNCTION("""COMPUTED_VALUE"""),"Devenir un manager bienveillant / une manager bienveillante")</f>
        <v>Devenir un manager bienveillant / une manager bienveillante</v>
      </c>
      <c r="J20" s="217"/>
      <c r="K20" s="213"/>
      <c r="L20" s="215">
        <f ca="1">IFERROR(__xludf.DUMMYFUNCTION("""COMPUTED_VALUE"""),404770)</f>
        <v>404770</v>
      </c>
      <c r="M20" s="215" t="str">
        <f ca="1">IFERROR(__xludf.DUMMYFUNCTION("""COMPUTED_VALUE"""),"Beginner")</f>
        <v>Beginner</v>
      </c>
      <c r="N20" s="217" t="str">
        <f ca="1">IFERROR(__xludf.DUMMYFUNCTION("""COMPUTED_VALUE"""),"Fundamentos de la gestión empresarial")</f>
        <v>Fundamentos de la gestión empresarial</v>
      </c>
      <c r="O20" s="217"/>
      <c r="P20" s="213"/>
      <c r="Q20" s="215">
        <f ca="1">IFERROR(__xludf.DUMMYFUNCTION("""COMPUTED_VALUE"""),559538)</f>
        <v>559538</v>
      </c>
      <c r="R20" s="215" t="str">
        <f ca="1">IFERROR(__xludf.DUMMYFUNCTION("""COMPUTED_VALUE"""),"Beginner")</f>
        <v>Beginner</v>
      </c>
      <c r="S20" s="217" t="str">
        <f ca="1">IFERROR(__xludf.DUMMYFUNCTION("""COMPUTED_VALUE"""),"Projektmanagement: Team, Führung, Zusammenarbeit")</f>
        <v>Projektmanagement: Team, Führung, Zusammenarbeit</v>
      </c>
      <c r="T20" s="217"/>
      <c r="U20" s="213"/>
      <c r="V20" s="215">
        <f ca="1">IFERROR(__xludf.DUMMYFUNCTION("""COMPUTED_VALUE"""),673841)</f>
        <v>673841</v>
      </c>
      <c r="W20" s="215" t="str">
        <f ca="1">IFERROR(__xludf.DUMMYFUNCTION("""COMPUTED_VALUE"""),"Beginner")</f>
        <v>Beginner</v>
      </c>
      <c r="X20" s="217" t="str">
        <f ca="1">IFERROR(__xludf.DUMMYFUNCTION("""COMPUTED_VALUE"""),"部下をコーチングで育てるには")</f>
        <v>部下をコーチングで育てるには</v>
      </c>
      <c r="Y20" s="217"/>
      <c r="Z20" s="213"/>
      <c r="AA20" s="215">
        <f ca="1">IFERROR(__xludf.DUMMYFUNCTION("""COMPUTED_VALUE"""),753224)</f>
        <v>753224</v>
      </c>
      <c r="AB20" s="215" t="str">
        <f ca="1">IFERROR(__xludf.DUMMYFUNCTION("""COMPUTED_VALUE"""),"All levels")</f>
        <v>All levels</v>
      </c>
      <c r="AC20" s="217" t="str">
        <f ca="1">IFERROR(__xludf.DUMMYFUNCTION("""COMPUTED_VALUE"""),"Como Liderar e Trabalhar em Equipe")</f>
        <v>Como Liderar e Trabalhar em Equipe</v>
      </c>
      <c r="AD20" s="217"/>
      <c r="AE20" s="213"/>
      <c r="AF20" s="215">
        <f ca="1">IFERROR(__xludf.DUMMYFUNCTION("""COMPUTED_VALUE"""),2825753)</f>
        <v>2825753</v>
      </c>
      <c r="AG20" s="215" t="str">
        <f ca="1">IFERROR(__xludf.DUMMYFUNCTION("""COMPUTED_VALUE"""),"Intermediate")</f>
        <v>Intermediate</v>
      </c>
      <c r="AH20" s="217" t="str">
        <f ca="1">IFERROR(__xludf.DUMMYFUNCTION("""COMPUTED_VALUE"""),"敏捷式工作：打造敏捷团队")</f>
        <v>敏捷式工作：打造敏捷团队</v>
      </c>
      <c r="AI20" s="217"/>
      <c r="AJ20" s="213"/>
    </row>
    <row r="21" spans="1:36" ht="33.75" customHeight="1">
      <c r="A21" s="213"/>
      <c r="B21" s="214">
        <f ca="1">IFERROR(__xludf.DUMMYFUNCTION("""COMPUTED_VALUE"""),2823296)</f>
        <v>2823296</v>
      </c>
      <c r="C21" s="215" t="str">
        <f ca="1">IFERROR(__xludf.DUMMYFUNCTION("""COMPUTED_VALUE"""),"Beginner")</f>
        <v>Beginner</v>
      </c>
      <c r="D21" s="216" t="str">
        <f ca="1">IFERROR(__xludf.DUMMYFUNCTION("""COMPUTED_VALUE"""),"Implementing Continuous Improvement: A Case Study")</f>
        <v>Implementing Continuous Improvement: A Case Study</v>
      </c>
      <c r="E21" s="217"/>
      <c r="F21" s="213"/>
      <c r="G21" s="214">
        <f ca="1">IFERROR(__xludf.DUMMYFUNCTION("""COMPUTED_VALUE"""),2922388)</f>
        <v>2922388</v>
      </c>
      <c r="H21" s="215" t="str">
        <f ca="1">IFERROR(__xludf.DUMMYFUNCTION("""COMPUTED_VALUE"""),"Advanced")</f>
        <v>Advanced</v>
      </c>
      <c r="I21" s="217" t="str">
        <f ca="1">IFERROR(__xludf.DUMMYFUNCTION("""COMPUTED_VALUE"""),"Diriger comme un patron / une patronne")</f>
        <v>Diriger comme un patron / une patronne</v>
      </c>
      <c r="J21" s="217"/>
      <c r="K21" s="213"/>
      <c r="L21" s="215">
        <f ca="1">IFERROR(__xludf.DUMMYFUNCTION("""COMPUTED_VALUE"""),452713)</f>
        <v>452713</v>
      </c>
      <c r="M21" s="215" t="str">
        <f ca="1">IFERROR(__xludf.DUMMYFUNCTION("""COMPUTED_VALUE"""),"Beginner")</f>
        <v>Beginner</v>
      </c>
      <c r="N21" s="217" t="str">
        <f ca="1">IFERROR(__xludf.DUMMYFUNCTION("""COMPUTED_VALUE"""),"Fundamentos y consejos para gerentes principiantes")</f>
        <v>Fundamentos y consejos para gerentes principiantes</v>
      </c>
      <c r="O21" s="217"/>
      <c r="P21" s="213"/>
      <c r="Q21" s="215">
        <f ca="1">IFERROR(__xludf.DUMMYFUNCTION("""COMPUTED_VALUE"""),784037)</f>
        <v>784037</v>
      </c>
      <c r="R21" s="215" t="str">
        <f ca="1">IFERROR(__xludf.DUMMYFUNCTION("""COMPUTED_VALUE"""),"All levels")</f>
        <v>All levels</v>
      </c>
      <c r="S21" s="217" t="str">
        <f ca="1">IFERROR(__xludf.DUMMYFUNCTION("""COMPUTED_VALUE"""),"Selbstmanagement-Tipps für Führungskräfte")</f>
        <v>Selbstmanagement-Tipps für Führungskräfte</v>
      </c>
      <c r="T21" s="217"/>
      <c r="U21" s="213"/>
      <c r="V21" s="215"/>
      <c r="W21" s="215"/>
      <c r="X21" s="217"/>
      <c r="Y21" s="217"/>
      <c r="Z21" s="213"/>
      <c r="AA21" s="215">
        <f ca="1">IFERROR(__xludf.DUMMYFUNCTION("""COMPUTED_VALUE"""),2901334)</f>
        <v>2901334</v>
      </c>
      <c r="AB21" s="215" t="str">
        <f ca="1">IFERROR(__xludf.DUMMYFUNCTION("""COMPUTED_VALUE"""),"Beginner, Intermediate")</f>
        <v>Beginner, Intermediate</v>
      </c>
      <c r="AC21" s="217" t="str">
        <f ca="1">IFERROR(__xludf.DUMMYFUNCTION("""COMPUTED_VALUE"""),"Como Melhorar o Desempenho dos Colaboradores")</f>
        <v>Como Melhorar o Desempenho dos Colaboradores</v>
      </c>
      <c r="AD21" s="217"/>
      <c r="AE21" s="213"/>
      <c r="AF21" s="215">
        <f ca="1">IFERROR(__xludf.DUMMYFUNCTION("""COMPUTED_VALUE"""),2815031)</f>
        <v>2815031</v>
      </c>
      <c r="AG21" s="215" t="str">
        <f ca="1">IFERROR(__xludf.DUMMYFUNCTION("""COMPUTED_VALUE"""),"Beginner")</f>
        <v>Beginner</v>
      </c>
      <c r="AH21" s="217" t="str">
        <f ca="1">IFERROR(__xludf.DUMMYFUNCTION("""COMPUTED_VALUE"""),"新员工入职培训")</f>
        <v>新员工入职培训</v>
      </c>
      <c r="AI21" s="217"/>
      <c r="AJ21" s="213"/>
    </row>
    <row r="22" spans="1:36" ht="33.75" customHeight="1">
      <c r="A22" s="213"/>
      <c r="B22" s="214">
        <f ca="1">IFERROR(__xludf.DUMMYFUNCTION("""COMPUTED_VALUE"""),2823297)</f>
        <v>2823297</v>
      </c>
      <c r="C22" s="215" t="str">
        <f ca="1">IFERROR(__xludf.DUMMYFUNCTION("""COMPUTED_VALUE"""),"Beginner")</f>
        <v>Beginner</v>
      </c>
      <c r="D22" s="216" t="str">
        <f ca="1">IFERROR(__xludf.DUMMYFUNCTION("""COMPUTED_VALUE"""),"Culture of Kaizen")</f>
        <v>Culture of Kaizen</v>
      </c>
      <c r="E22" s="217"/>
      <c r="F22" s="213"/>
      <c r="G22" s="214">
        <f ca="1">IFERROR(__xludf.DUMMYFUNCTION("""COMPUTED_VALUE"""),652640)</f>
        <v>652640</v>
      </c>
      <c r="H22" s="215" t="str">
        <f ca="1">IFERROR(__xludf.DUMMYFUNCTION("""COMPUTED_VALUE"""),"All levels")</f>
        <v>All levels</v>
      </c>
      <c r="I22" s="217" t="str">
        <f ca="1">IFERROR(__xludf.DUMMYFUNCTION("""COMPUTED_VALUE"""),"Diriger et travailler en équipe")</f>
        <v>Diriger et travailler en équipe</v>
      </c>
      <c r="J22" s="217"/>
      <c r="K22" s="213"/>
      <c r="L22" s="215">
        <f ca="1">IFERROR(__xludf.DUMMYFUNCTION("""COMPUTED_VALUE"""),714717)</f>
        <v>714717</v>
      </c>
      <c r="M22" s="215" t="str">
        <f ca="1">IFERROR(__xludf.DUMMYFUNCTION("""COMPUTED_VALUE"""),"Advanced")</f>
        <v>Advanced</v>
      </c>
      <c r="N22" s="217" t="str">
        <f ca="1">IFERROR(__xludf.DUMMYFUNCTION("""COMPUTED_VALUE"""),"Gestión de equipos mediante OKR's o misiones, objetivos y resultados clave")</f>
        <v>Gestión de equipos mediante OKR's o misiones, objetivos y resultados clave</v>
      </c>
      <c r="O22" s="217"/>
      <c r="P22" s="213"/>
      <c r="Q22" s="215">
        <f ca="1">IFERROR(__xludf.DUMMYFUNCTION("""COMPUTED_VALUE"""),5025616)</f>
        <v>5025616</v>
      </c>
      <c r="R22" s="215" t="str">
        <f ca="1">IFERROR(__xludf.DUMMYFUNCTION("""COMPUTED_VALUE"""),"Beginner")</f>
        <v>Beginner</v>
      </c>
      <c r="S22" s="217" t="str">
        <f ca="1">IFERROR(__xludf.DUMMYFUNCTION("""COMPUTED_VALUE"""),"Spitzentalente führen")</f>
        <v>Spitzentalente führen</v>
      </c>
      <c r="T22" s="217"/>
      <c r="U22" s="213"/>
      <c r="V22" s="215"/>
      <c r="W22" s="215"/>
      <c r="X22" s="217"/>
      <c r="Y22" s="217"/>
      <c r="Z22" s="213"/>
      <c r="AA22" s="215">
        <f ca="1">IFERROR(__xludf.DUMMYFUNCTION("""COMPUTED_VALUE"""),753203)</f>
        <v>753203</v>
      </c>
      <c r="AB22" s="215" t="str">
        <f ca="1">IFERROR(__xludf.DUMMYFUNCTION("""COMPUTED_VALUE"""),"Intermediate")</f>
        <v>Intermediate</v>
      </c>
      <c r="AC22" s="217" t="str">
        <f ca="1">IFERROR(__xludf.DUMMYFUNCTION("""COMPUTED_VALUE"""),"Como Passar da Colaboração à Gerência")</f>
        <v>Como Passar da Colaboração à Gerência</v>
      </c>
      <c r="AD22" s="217"/>
      <c r="AE22" s="213"/>
      <c r="AF22" s="215">
        <f ca="1">IFERROR(__xludf.DUMMYFUNCTION("""COMPUTED_VALUE"""),767945)</f>
        <v>767945</v>
      </c>
      <c r="AG22" s="215" t="str">
        <f ca="1">IFERROR(__xludf.DUMMYFUNCTION("""COMPUTED_VALUE"""),"Beginner")</f>
        <v>Beginner</v>
      </c>
      <c r="AH22" s="217" t="str">
        <f ca="1">IFERROR(__xludf.DUMMYFUNCTION("""COMPUTED_VALUE"""),"新管理者基础知识")</f>
        <v>新管理者基础知识</v>
      </c>
      <c r="AI22" s="217"/>
      <c r="AJ22" s="213"/>
    </row>
    <row r="23" spans="1:36" ht="33.75" customHeight="1">
      <c r="A23" s="213"/>
      <c r="B23" s="214">
        <f ca="1">IFERROR(__xludf.DUMMYFUNCTION("""COMPUTED_VALUE"""),2880017)</f>
        <v>2880017</v>
      </c>
      <c r="C23" s="215" t="str">
        <f ca="1">IFERROR(__xludf.DUMMYFUNCTION("""COMPUTED_VALUE"""),"Beginner")</f>
        <v>Beginner</v>
      </c>
      <c r="D23" s="216" t="str">
        <f ca="1">IFERROR(__xludf.DUMMYFUNCTION("""COMPUTED_VALUE"""),"Managers as Multipliers of Well-Being")</f>
        <v>Managers as Multipliers of Well-Being</v>
      </c>
      <c r="E23" s="217"/>
      <c r="F23" s="213"/>
      <c r="G23" s="214">
        <f ca="1">IFERROR(__xludf.DUMMYFUNCTION("""COMPUTED_VALUE"""),602729)</f>
        <v>602729</v>
      </c>
      <c r="H23" s="215" t="str">
        <f ca="1">IFERROR(__xludf.DUMMYFUNCTION("""COMPUTED_VALUE"""),"Intermediate")</f>
        <v>Intermediate</v>
      </c>
      <c r="I23" s="217" t="str">
        <f ca="1">IFERROR(__xludf.DUMMYFUNCTION("""COMPUTED_VALUE"""),"Diriger pour obtenir des résultats")</f>
        <v>Diriger pour obtenir des résultats</v>
      </c>
      <c r="J23" s="217"/>
      <c r="K23" s="213"/>
      <c r="L23" s="215">
        <f ca="1">IFERROR(__xludf.DUMMYFUNCTION("""COMPUTED_VALUE"""),587141)</f>
        <v>587141</v>
      </c>
      <c r="M23" s="215" t="str">
        <f ca="1">IFERROR(__xludf.DUMMYFUNCTION("""COMPUTED_VALUE"""),"All levels")</f>
        <v>All levels</v>
      </c>
      <c r="N23" s="217" t="str">
        <f ca="1">IFERROR(__xludf.DUMMYFUNCTION("""COMPUTED_VALUE"""),"Gestión de problemas de rendimiento")</f>
        <v>Gestión de problemas de rendimiento</v>
      </c>
      <c r="O23" s="217"/>
      <c r="P23" s="213"/>
      <c r="Q23" s="215">
        <f ca="1">IFERROR(__xludf.DUMMYFUNCTION("""COMPUTED_VALUE"""),2232562)</f>
        <v>2232562</v>
      </c>
      <c r="R23" s="215" t="str">
        <f ca="1">IFERROR(__xludf.DUMMYFUNCTION("""COMPUTED_VALUE"""),"Intermediate")</f>
        <v>Intermediate</v>
      </c>
      <c r="S23" s="217" t="str">
        <f ca="1">IFERROR(__xludf.DUMMYFUNCTION("""COMPUTED_VALUE"""),"Teamleistungen mit Kennzahlen messen")</f>
        <v>Teamleistungen mit Kennzahlen messen</v>
      </c>
      <c r="T23" s="217"/>
      <c r="U23" s="213"/>
      <c r="V23" s="215"/>
      <c r="W23" s="215"/>
      <c r="X23" s="217"/>
      <c r="Y23" s="217"/>
      <c r="Z23" s="213"/>
      <c r="AA23" s="215">
        <f ca="1">IFERROR(__xludf.DUMMYFUNCTION("""COMPUTED_VALUE"""),2928593)</f>
        <v>2928593</v>
      </c>
      <c r="AB23" s="215" t="str">
        <f ca="1">IFERROR(__xludf.DUMMYFUNCTION("""COMPUTED_VALUE"""),"All levels")</f>
        <v>All levels</v>
      </c>
      <c r="AC23" s="217" t="str">
        <f ca="1">IFERROR(__xludf.DUMMYFUNCTION("""COMPUTED_VALUE"""),"Como Prevenir o Assédio no Trabalho e Criar um Ambiente Seguro")</f>
        <v>Como Prevenir o Assédio no Trabalho e Criar um Ambiente Seguro</v>
      </c>
      <c r="AD23" s="217"/>
      <c r="AE23" s="213"/>
      <c r="AF23" s="215">
        <f ca="1">IFERROR(__xludf.DUMMYFUNCTION("""COMPUTED_VALUE"""),2216884)</f>
        <v>2216884</v>
      </c>
      <c r="AG23" s="215" t="str">
        <f ca="1">IFERROR(__xludf.DUMMYFUNCTION("""COMPUTED_VALUE"""),"All levels")</f>
        <v>All levels</v>
      </c>
      <c r="AH23" s="217" t="str">
        <f ca="1">IFERROR(__xludf.DUMMYFUNCTION("""COMPUTED_VALUE"""),"时间管理基础知识")</f>
        <v>时间管理基础知识</v>
      </c>
      <c r="AI23" s="217"/>
      <c r="AJ23" s="213"/>
    </row>
    <row r="24" spans="1:36" ht="33.75" customHeight="1">
      <c r="A24" s="213"/>
      <c r="B24" s="214">
        <f ca="1">IFERROR(__xludf.DUMMYFUNCTION("""COMPUTED_VALUE"""),3155788)</f>
        <v>3155788</v>
      </c>
      <c r="C24" s="215" t="str">
        <f ca="1">IFERROR(__xludf.DUMMYFUNCTION("""COMPUTED_VALUE"""),"Beginner")</f>
        <v>Beginner</v>
      </c>
      <c r="D24" s="216" t="str">
        <f ca="1">IFERROR(__xludf.DUMMYFUNCTION("""COMPUTED_VALUE"""),"Motivate Remote Teams")</f>
        <v>Motivate Remote Teams</v>
      </c>
      <c r="E24" s="217"/>
      <c r="F24" s="213"/>
      <c r="G24" s="214">
        <f ca="1">IFERROR(__xludf.DUMMYFUNCTION("""COMPUTED_VALUE"""),3107704)</f>
        <v>3107704</v>
      </c>
      <c r="H24" s="215" t="str">
        <f ca="1">IFERROR(__xludf.DUMMYFUNCTION("""COMPUTED_VALUE"""),"Beginner")</f>
        <v>Beginner</v>
      </c>
      <c r="I24" s="217" t="str">
        <f ca="1">IFERROR(__xludf.DUMMYFUNCTION("""COMPUTED_VALUE"""),"Encourager son équipe à apprendre")</f>
        <v>Encourager son équipe à apprendre</v>
      </c>
      <c r="J24" s="217"/>
      <c r="K24" s="213"/>
      <c r="L24" s="215">
        <f ca="1">IFERROR(__xludf.DUMMYFUNCTION("""COMPUTED_VALUE"""),5025624)</f>
        <v>5025624</v>
      </c>
      <c r="M24" s="215" t="str">
        <f ca="1">IFERROR(__xludf.DUMMYFUNCTION("""COMPUTED_VALUE"""),"All levels")</f>
        <v>All levels</v>
      </c>
      <c r="N24" s="217" t="str">
        <f ca="1">IFERROR(__xludf.DUMMYFUNCTION("""COMPUTED_VALUE"""),"Gestión del tiempo para líderes")</f>
        <v>Gestión del tiempo para líderes</v>
      </c>
      <c r="O24" s="217"/>
      <c r="P24" s="213"/>
      <c r="Q24" s="215">
        <f ca="1">IFERROR(__xludf.DUMMYFUNCTION("""COMPUTED_VALUE"""),561469)</f>
        <v>561469</v>
      </c>
      <c r="R24" s="215" t="str">
        <f ca="1">IFERROR(__xludf.DUMMYFUNCTION("""COMPUTED_VALUE"""),"All levels")</f>
        <v>All levels</v>
      </c>
      <c r="S24" s="217" t="str">
        <f ca="1">IFERROR(__xludf.DUMMYFUNCTION("""COMPUTED_VALUE"""),"Teams aufbauen, entwickeln und zum Erfolg führen")</f>
        <v>Teams aufbauen, entwickeln und zum Erfolg führen</v>
      </c>
      <c r="T24" s="217"/>
      <c r="U24" s="213"/>
      <c r="V24" s="215"/>
      <c r="W24" s="215"/>
      <c r="X24" s="217"/>
      <c r="Y24" s="217"/>
      <c r="Z24" s="213"/>
      <c r="AA24" s="215">
        <f ca="1">IFERROR(__xludf.DUMMYFUNCTION("""COMPUTED_VALUE"""),3157408)</f>
        <v>3157408</v>
      </c>
      <c r="AB24" s="215" t="str">
        <f ca="1">IFERROR(__xludf.DUMMYFUNCTION("""COMPUTED_VALUE"""),"All levels")</f>
        <v>All levels</v>
      </c>
      <c r="AC24" s="217" t="str">
        <f ca="1">IFERROR(__xludf.DUMMYFUNCTION("""COMPUTED_VALUE"""),"Como Promover a Empatia no Mundo das Tecnologias de Informação")</f>
        <v>Como Promover a Empatia no Mundo das Tecnologias de Informação</v>
      </c>
      <c r="AD24" s="217"/>
      <c r="AE24" s="213"/>
      <c r="AF24" s="215">
        <f ca="1">IFERROR(__xludf.DUMMYFUNCTION("""COMPUTED_VALUE"""),3105031)</f>
        <v>3105031</v>
      </c>
      <c r="AG24" s="215" t="str">
        <f ca="1">IFERROR(__xludf.DUMMYFUNCTION("""COMPUTED_VALUE"""),"All levels")</f>
        <v>All levels</v>
      </c>
      <c r="AH24" s="217" t="str">
        <f ca="1">IFERROR(__xludf.DUMMYFUNCTION("""COMPUTED_VALUE"""),"激发团队创造力")</f>
        <v>激发团队创造力</v>
      </c>
      <c r="AI24" s="217"/>
      <c r="AJ24" s="213"/>
    </row>
    <row r="25" spans="1:36" ht="33.75" customHeight="1">
      <c r="A25" s="213"/>
      <c r="B25" s="214">
        <f ca="1">IFERROR(__xludf.DUMMYFUNCTION("""COMPUTED_VALUE"""),2424735)</f>
        <v>2424735</v>
      </c>
      <c r="C25" s="215" t="str">
        <f ca="1">IFERROR(__xludf.DUMMYFUNCTION("""COMPUTED_VALUE"""),"Beginner")</f>
        <v>Beginner</v>
      </c>
      <c r="D25" s="216" t="str">
        <f ca="1">IFERROR(__xludf.DUMMYFUNCTION("""COMPUTED_VALUE"""),"Identify and Unleash Potential in Your Employees")</f>
        <v>Identify and Unleash Potential in Your Employees</v>
      </c>
      <c r="E25" s="217"/>
      <c r="F25" s="213"/>
      <c r="G25" s="214">
        <f ca="1">IFERROR(__xludf.DUMMYFUNCTION("""COMPUTED_VALUE"""),738774)</f>
        <v>738774</v>
      </c>
      <c r="H25" s="215" t="str">
        <f ca="1">IFERROR(__xludf.DUMMYFUNCTION("""COMPUTED_VALUE"""),"Intermediate")</f>
        <v>Intermediate</v>
      </c>
      <c r="I25" s="217" t="str">
        <f ca="1">IFERROR(__xludf.DUMMYFUNCTION("""COMPUTED_VALUE"""),"Établir des objectifs pour son équipe et ses employés / employées")</f>
        <v>Établir des objectifs pour son équipe et ses employés / employées</v>
      </c>
      <c r="J25" s="217"/>
      <c r="K25" s="213"/>
      <c r="L25" s="215">
        <f ca="1">IFERROR(__xludf.DUMMYFUNCTION("""COMPUTED_VALUE"""),608964)</f>
        <v>608964</v>
      </c>
      <c r="M25" s="215" t="str">
        <f ca="1">IFERROR(__xludf.DUMMYFUNCTION("""COMPUTED_VALUE"""),"All levels")</f>
        <v>All levels</v>
      </c>
      <c r="N25" s="217" t="str">
        <f ca="1">IFERROR(__xludf.DUMMYFUNCTION("""COMPUTED_VALUE"""),"Liderazgo y trabajo en equipo")</f>
        <v>Liderazgo y trabajo en equipo</v>
      </c>
      <c r="O25" s="217"/>
      <c r="P25" s="213"/>
      <c r="Q25" s="215">
        <f ca="1">IFERROR(__xludf.DUMMYFUNCTION("""COMPUTED_VALUE"""),5025611)</f>
        <v>5025611</v>
      </c>
      <c r="R25" s="215" t="str">
        <f ca="1">IFERROR(__xludf.DUMMYFUNCTION("""COMPUTED_VALUE"""),"Intermediate")</f>
        <v>Intermediate</v>
      </c>
      <c r="S25" s="217" t="str">
        <f ca="1">IFERROR(__xludf.DUMMYFUNCTION("""COMPUTED_VALUE"""),"Technische Fachkräfte führen")</f>
        <v>Technische Fachkräfte führen</v>
      </c>
      <c r="T25" s="217"/>
      <c r="U25" s="213"/>
      <c r="V25" s="215"/>
      <c r="W25" s="215"/>
      <c r="X25" s="217"/>
      <c r="Y25" s="217"/>
      <c r="Z25" s="213"/>
      <c r="AA25" s="215">
        <f ca="1">IFERROR(__xludf.DUMMYFUNCTION("""COMPUTED_VALUE"""),2841359)</f>
        <v>2841359</v>
      </c>
      <c r="AB25" s="215" t="str">
        <f ca="1">IFERROR(__xludf.DUMMYFUNCTION("""COMPUTED_VALUE"""),"Beginner")</f>
        <v>Beginner</v>
      </c>
      <c r="AC25" s="217" t="str">
        <f ca="1">IFERROR(__xludf.DUMMYFUNCTION("""COMPUTED_VALUE"""),"Como se Tornar Mais Acessível aos seus Colaboradores")</f>
        <v>Como se Tornar Mais Acessível aos seus Colaboradores</v>
      </c>
      <c r="AD25" s="217"/>
      <c r="AE25" s="213"/>
      <c r="AF25" s="215">
        <f ca="1">IFERROR(__xludf.DUMMYFUNCTION("""COMPUTED_VALUE"""),2884179)</f>
        <v>2884179</v>
      </c>
      <c r="AG25" s="215" t="str">
        <f ca="1">IFERROR(__xludf.DUMMYFUNCTION("""COMPUTED_VALUE"""),"All levels")</f>
        <v>All levels</v>
      </c>
      <c r="AH25" s="217" t="str">
        <f ca="1">IFERROR(__xludf.DUMMYFUNCTION("""COMPUTED_VALUE"""),"答疑解惑：项目经理的职业规划")</f>
        <v>答疑解惑：项目经理的职业规划</v>
      </c>
      <c r="AI25" s="217"/>
      <c r="AJ25" s="213"/>
    </row>
    <row r="26" spans="1:36" ht="33.75" customHeight="1">
      <c r="A26" s="213"/>
      <c r="B26" s="214">
        <f ca="1">IFERROR(__xludf.DUMMYFUNCTION("""COMPUTED_VALUE"""),696328)</f>
        <v>696328</v>
      </c>
      <c r="C26" s="215" t="str">
        <f ca="1">IFERROR(__xludf.DUMMYFUNCTION("""COMPUTED_VALUE"""),"Beginner + Intermediate")</f>
        <v>Beginner + Intermediate</v>
      </c>
      <c r="D26" s="216" t="str">
        <f ca="1">IFERROR(__xludf.DUMMYFUNCTION("""COMPUTED_VALUE"""),"New Manager Foundations")</f>
        <v>New Manager Foundations</v>
      </c>
      <c r="E26" s="217"/>
      <c r="F26" s="213"/>
      <c r="G26" s="214">
        <f ca="1">IFERROR(__xludf.DUMMYFUNCTION("""COMPUTED_VALUE"""),609791)</f>
        <v>609791</v>
      </c>
      <c r="H26" s="215" t="str">
        <f ca="1">IFERROR(__xludf.DUMMYFUNCTION("""COMPUTED_VALUE"""),"Beginner, Intermediate")</f>
        <v>Beginner, Intermediate</v>
      </c>
      <c r="I26" s="217" t="str">
        <f ca="1">IFERROR(__xludf.DUMMYFUNCTION("""COMPUTED_VALUE"""),"Évoluer de collaborateur / collaboratrice à manager")</f>
        <v>Évoluer de collaborateur / collaboratrice à manager</v>
      </c>
      <c r="J26" s="217"/>
      <c r="K26" s="213"/>
      <c r="L26" s="215">
        <f ca="1">IFERROR(__xludf.DUMMYFUNCTION("""COMPUTED_VALUE"""),2925058)</f>
        <v>2925058</v>
      </c>
      <c r="M26" s="215" t="str">
        <f ca="1">IFERROR(__xludf.DUMMYFUNCTION("""COMPUTED_VALUE"""),"Beginner, Intermediate")</f>
        <v>Beginner, Intermediate</v>
      </c>
      <c r="N26" s="217" t="str">
        <f ca="1">IFERROR(__xludf.DUMMYFUNCTION("""COMPUTED_VALUE"""),"Microsoft Dynamics 365 Talent esencial")</f>
        <v>Microsoft Dynamics 365 Talent esencial</v>
      </c>
      <c r="O26" s="217"/>
      <c r="P26" s="213"/>
      <c r="Q26" s="215">
        <f ca="1">IFERROR(__xludf.DUMMYFUNCTION("""COMPUTED_VALUE"""),3148342)</f>
        <v>3148342</v>
      </c>
      <c r="R26" s="215" t="str">
        <f ca="1">IFERROR(__xludf.DUMMYFUNCTION("""COMPUTED_VALUE"""),"Intermediate")</f>
        <v>Intermediate</v>
      </c>
      <c r="S26" s="217" t="str">
        <f ca="1">IFERROR(__xludf.DUMMYFUNCTION("""COMPUTED_VALUE"""),"Virtuelle Teams führen")</f>
        <v>Virtuelle Teams führen</v>
      </c>
      <c r="T26" s="217"/>
      <c r="U26" s="213"/>
      <c r="V26" s="215"/>
      <c r="W26" s="215"/>
      <c r="X26" s="217"/>
      <c r="Y26" s="217"/>
      <c r="Z26" s="213"/>
      <c r="AA26" s="215">
        <f ca="1">IFERROR(__xludf.DUMMYFUNCTION("""COMPUTED_VALUE"""),2875199)</f>
        <v>2875199</v>
      </c>
      <c r="AB26" s="215" t="str">
        <f ca="1">IFERROR(__xludf.DUMMYFUNCTION("""COMPUTED_VALUE"""),"Intermediate")</f>
        <v>Intermediate</v>
      </c>
      <c r="AC26" s="217" t="str">
        <f ca="1">IFERROR(__xludf.DUMMYFUNCTION("""COMPUTED_VALUE"""),"Competências de Coaching para Líderes e Gerentes")</f>
        <v>Competências de Coaching para Líderes e Gerentes</v>
      </c>
      <c r="AD26" s="217"/>
      <c r="AE26" s="213"/>
      <c r="AF26" s="215">
        <f ca="1">IFERROR(__xludf.DUMMYFUNCTION("""COMPUTED_VALUE"""),3131244)</f>
        <v>3131244</v>
      </c>
      <c r="AG26" s="215" t="str">
        <f ca="1">IFERROR(__xludf.DUMMYFUNCTION("""COMPUTED_VALUE"""),"Beginner")</f>
        <v>Beginner</v>
      </c>
      <c r="AH26" s="217" t="str">
        <f ca="1">IFERROR(__xludf.DUMMYFUNCTION("""COMPUTED_VALUE"""),"简明项目管理")</f>
        <v>简明项目管理</v>
      </c>
      <c r="AI26" s="217"/>
      <c r="AJ26" s="213"/>
    </row>
    <row r="27" spans="1:36" ht="33.75" customHeight="1">
      <c r="A27" s="213"/>
      <c r="B27" s="214">
        <f ca="1">IFERROR(__xludf.DUMMYFUNCTION("""COMPUTED_VALUE"""),5015865)</f>
        <v>5015865</v>
      </c>
      <c r="C27" s="215" t="str">
        <f ca="1">IFERROR(__xludf.DUMMYFUNCTION("""COMPUTED_VALUE"""),"Beginner + Intermediate")</f>
        <v>Beginner + Intermediate</v>
      </c>
      <c r="D27" s="216" t="str">
        <f ca="1">IFERROR(__xludf.DUMMYFUNCTION("""COMPUTED_VALUE"""),"Performance Management: Setting Goals and Managing Performance")</f>
        <v>Performance Management: Setting Goals and Managing Performance</v>
      </c>
      <c r="E27" s="217"/>
      <c r="F27" s="213"/>
      <c r="G27" s="214">
        <f ca="1">IFERROR(__xludf.DUMMYFUNCTION("""COMPUTED_VALUE"""),561007)</f>
        <v>561007</v>
      </c>
      <c r="H27" s="215" t="str">
        <f ca="1">IFERROR(__xludf.DUMMYFUNCTION("""COMPUTED_VALUE"""),"Beginner")</f>
        <v>Beginner</v>
      </c>
      <c r="I27" s="217" t="str">
        <f ca="1">IFERROR(__xludf.DUMMYFUNCTION("""COMPUTED_VALUE"""),"Gérer des équipes")</f>
        <v>Gérer des équipes</v>
      </c>
      <c r="J27" s="217"/>
      <c r="K27" s="213"/>
      <c r="L27" s="215">
        <f ca="1">IFERROR(__xludf.DUMMYFUNCTION("""COMPUTED_VALUE"""),449379)</f>
        <v>449379</v>
      </c>
      <c r="M27" s="215" t="str">
        <f ca="1">IFERROR(__xludf.DUMMYFUNCTION("""COMPUTED_VALUE"""),"Beginner")</f>
        <v>Beginner</v>
      </c>
      <c r="N27" s="217" t="str">
        <f ca="1">IFERROR(__xludf.DUMMYFUNCTION("""COMPUTED_VALUE"""),"Motivación e implicación en la empresa")</f>
        <v>Motivación e implicación en la empresa</v>
      </c>
      <c r="O27" s="217"/>
      <c r="P27" s="213"/>
      <c r="Q27" s="215">
        <f ca="1">IFERROR(__xludf.DUMMYFUNCTION("""COMPUTED_VALUE"""),5033458)</f>
        <v>5033458</v>
      </c>
      <c r="R27" s="215" t="str">
        <f ca="1">IFERROR(__xludf.DUMMYFUNCTION("""COMPUTED_VALUE"""),"All levels")</f>
        <v>All levels</v>
      </c>
      <c r="S27" s="217" t="str">
        <f ca="1">IFERROR(__xludf.DUMMYFUNCTION("""COMPUTED_VALUE"""),"Ziele für Mitarbeiter:innen und Teams setzen")</f>
        <v>Ziele für Mitarbeiter:innen und Teams setzen</v>
      </c>
      <c r="T27" s="217"/>
      <c r="U27" s="213"/>
      <c r="V27" s="215"/>
      <c r="W27" s="215"/>
      <c r="X27" s="217"/>
      <c r="Y27" s="217"/>
      <c r="Z27" s="213"/>
      <c r="AA27" s="215">
        <f ca="1">IFERROR(__xludf.DUMMYFUNCTION("""COMPUTED_VALUE"""),2931595)</f>
        <v>2931595</v>
      </c>
      <c r="AB27" s="215" t="str">
        <f ca="1">IFERROR(__xludf.DUMMYFUNCTION("""COMPUTED_VALUE"""),"Beginner, Intermediate")</f>
        <v>Beginner, Intermediate</v>
      </c>
      <c r="AC27" s="217" t="str">
        <f ca="1">IFERROR(__xludf.DUMMYFUNCTION("""COMPUTED_VALUE"""),"Contratação de Colaboradores: Técnicas para Gerentes")</f>
        <v>Contratação de Colaboradores: Técnicas para Gerentes</v>
      </c>
      <c r="AD27" s="217"/>
      <c r="AE27" s="213"/>
      <c r="AF27" s="215">
        <f ca="1">IFERROR(__xludf.DUMMYFUNCTION("""COMPUTED_VALUE"""),2822711)</f>
        <v>2822711</v>
      </c>
      <c r="AG27" s="215" t="str">
        <f ca="1">IFERROR(__xludf.DUMMYFUNCTION("""COMPUTED_VALUE"""),"Intermediate")</f>
        <v>Intermediate</v>
      </c>
      <c r="AH27" s="217" t="str">
        <f ca="1">IFERROR(__xludf.DUMMYFUNCTION("""COMPUTED_VALUE"""),"管理企业多元化")</f>
        <v>管理企业多元化</v>
      </c>
      <c r="AI27" s="217"/>
      <c r="AJ27" s="213"/>
    </row>
    <row r="28" spans="1:36" ht="33.75" customHeight="1">
      <c r="A28" s="213"/>
      <c r="B28" s="214">
        <f ca="1">IFERROR(__xludf.DUMMYFUNCTION("""COMPUTED_VALUE"""),2825332)</f>
        <v>2825332</v>
      </c>
      <c r="C28" s="215" t="str">
        <f ca="1">IFERROR(__xludf.DUMMYFUNCTION("""COMPUTED_VALUE"""),"Beginner + Intermediate")</f>
        <v>Beginner + Intermediate</v>
      </c>
      <c r="D28" s="216" t="str">
        <f ca="1">IFERROR(__xludf.DUMMYFUNCTION("""COMPUTED_VALUE"""),"Leading Virtual Meetings")</f>
        <v>Leading Virtual Meetings</v>
      </c>
      <c r="E28" s="217"/>
      <c r="F28" s="213"/>
      <c r="G28" s="214">
        <f ca="1">IFERROR(__xludf.DUMMYFUNCTION("""COMPUTED_VALUE"""),752388)</f>
        <v>752388</v>
      </c>
      <c r="H28" s="215" t="str">
        <f ca="1">IFERROR(__xludf.DUMMYFUNCTION("""COMPUTED_VALUE"""),"Beginner")</f>
        <v>Beginner</v>
      </c>
      <c r="I28" s="217" t="str">
        <f ca="1">IFERROR(__xludf.DUMMYFUNCTION("""COMPUTED_VALUE"""),"Gérer les employés très performants / employées très performantes")</f>
        <v>Gérer les employés très performants / employées très performantes</v>
      </c>
      <c r="J28" s="217"/>
      <c r="K28" s="213"/>
      <c r="L28" s="215">
        <f ca="1">IFERROR(__xludf.DUMMYFUNCTION("""COMPUTED_VALUE"""),688053)</f>
        <v>688053</v>
      </c>
      <c r="M28" s="215" t="str">
        <f ca="1">IFERROR(__xludf.DUMMYFUNCTION("""COMPUTED_VALUE"""),"Beginner")</f>
        <v>Beginner</v>
      </c>
      <c r="N28" s="217" t="str">
        <f ca="1">IFERROR(__xludf.DUMMYFUNCTION("""COMPUTED_VALUE"""),"Primeros pasos en el liderazgo de equipos")</f>
        <v>Primeros pasos en el liderazgo de equipos</v>
      </c>
      <c r="O28" s="217"/>
      <c r="P28" s="213"/>
      <c r="Q28" s="215">
        <f ca="1">IFERROR(__xludf.DUMMYFUNCTION("""COMPUTED_VALUE"""),593896)</f>
        <v>593896</v>
      </c>
      <c r="R28" s="215" t="str">
        <f ca="1">IFERROR(__xludf.DUMMYFUNCTION("""COMPUTED_VALUE"""),"Intermediate")</f>
        <v>Intermediate</v>
      </c>
      <c r="S28" s="217" t="str">
        <f ca="1">IFERROR(__xludf.DUMMYFUNCTION("""COMPUTED_VALUE"""),"Zielvereinbarungsgespräche führen")</f>
        <v>Zielvereinbarungsgespräche führen</v>
      </c>
      <c r="T28" s="217"/>
      <c r="U28" s="213"/>
      <c r="V28" s="215"/>
      <c r="W28" s="215"/>
      <c r="X28" s="217"/>
      <c r="Y28" s="217"/>
      <c r="Z28" s="213"/>
      <c r="AA28" s="215">
        <f ca="1">IFERROR(__xludf.DUMMYFUNCTION("""COMPUTED_VALUE"""),753073)</f>
        <v>753073</v>
      </c>
      <c r="AB28" s="215" t="str">
        <f ca="1">IFERROR(__xludf.DUMMYFUNCTION("""COMPUTED_VALUE"""),"Beginner")</f>
        <v>Beginner</v>
      </c>
      <c r="AC28" s="217" t="str">
        <f ca="1">IFERROR(__xludf.DUMMYFUNCTION("""COMPUTED_VALUE"""),"Delegação de Tarefas à Equipe")</f>
        <v>Delegação de Tarefas à Equipe</v>
      </c>
      <c r="AD28" s="217"/>
      <c r="AE28" s="213"/>
      <c r="AF28" s="215">
        <f ca="1">IFERROR(__xludf.DUMMYFUNCTION("""COMPUTED_VALUE"""),767866)</f>
        <v>767866</v>
      </c>
      <c r="AG28" s="215" t="str">
        <f ca="1">IFERROR(__xludf.DUMMYFUNCTION("""COMPUTED_VALUE"""),"Beginner")</f>
        <v>Beginner</v>
      </c>
      <c r="AH28" s="217" t="str">
        <f ca="1">IFERROR(__xludf.DUMMYFUNCTION("""COMPUTED_VALUE"""),"管理会议")</f>
        <v>管理会议</v>
      </c>
      <c r="AI28" s="217"/>
      <c r="AJ28" s="213"/>
    </row>
    <row r="29" spans="1:36" ht="33.75" customHeight="1">
      <c r="A29" s="213"/>
      <c r="B29" s="214">
        <f ca="1">IFERROR(__xludf.DUMMYFUNCTION("""COMPUTED_VALUE"""),802842)</f>
        <v>802842</v>
      </c>
      <c r="C29" s="215" t="str">
        <f ca="1">IFERROR(__xludf.DUMMYFUNCTION("""COMPUTED_VALUE"""),"Beginner + Intermediate")</f>
        <v>Beginner + Intermediate</v>
      </c>
      <c r="D29" s="216" t="str">
        <f ca="1">IFERROR(__xludf.DUMMYFUNCTION("""COMPUTED_VALUE"""),"Coaching and Developing Employees")</f>
        <v>Coaching and Developing Employees</v>
      </c>
      <c r="E29" s="217"/>
      <c r="F29" s="213"/>
      <c r="G29" s="214">
        <f ca="1">IFERROR(__xludf.DUMMYFUNCTION("""COMPUTED_VALUE"""),778440)</f>
        <v>778440</v>
      </c>
      <c r="H29" s="215" t="str">
        <f ca="1">IFERROR(__xludf.DUMMYFUNCTION("""COMPUTED_VALUE"""),"Intermediate")</f>
        <v>Intermediate</v>
      </c>
      <c r="I29" s="217" t="str">
        <f ca="1">IFERROR(__xludf.DUMMYFUNCTION("""COMPUTED_VALUE"""),"Gérer les experts / expertes")</f>
        <v>Gérer les experts / expertes</v>
      </c>
      <c r="J29" s="217"/>
      <c r="K29" s="213"/>
      <c r="L29" s="215"/>
      <c r="M29" s="215"/>
      <c r="N29" s="217"/>
      <c r="O29" s="217"/>
      <c r="P29" s="213"/>
      <c r="Q29" s="215"/>
      <c r="R29" s="215"/>
      <c r="S29" s="217"/>
      <c r="T29" s="217"/>
      <c r="U29" s="213"/>
      <c r="V29" s="215"/>
      <c r="W29" s="215"/>
      <c r="X29" s="217"/>
      <c r="Y29" s="217"/>
      <c r="Z29" s="213"/>
      <c r="AA29" s="215">
        <f ca="1">IFERROR(__xludf.DUMMYFUNCTION("""COMPUTED_VALUE"""),2911567)</f>
        <v>2911567</v>
      </c>
      <c r="AB29" s="215" t="str">
        <f ca="1">IFERROR(__xludf.DUMMYFUNCTION("""COMPUTED_VALUE"""),"Beginner")</f>
        <v>Beginner</v>
      </c>
      <c r="AC29" s="217" t="str">
        <f ca="1">IFERROR(__xludf.DUMMYFUNCTION("""COMPUTED_VALUE"""),"Fundamentos da Avaliação de Desempenho")</f>
        <v>Fundamentos da Avaliação de Desempenho</v>
      </c>
      <c r="AD29" s="217"/>
      <c r="AE29" s="213"/>
      <c r="AF29" s="215">
        <f ca="1">IFERROR(__xludf.DUMMYFUNCTION("""COMPUTED_VALUE"""),2243990)</f>
        <v>2243990</v>
      </c>
      <c r="AG29" s="215" t="str">
        <f ca="1">IFERROR(__xludf.DUMMYFUNCTION("""COMPUTED_VALUE"""),"Beginner")</f>
        <v>Beginner</v>
      </c>
      <c r="AH29" s="217" t="str">
        <f ca="1">IFERROR(__xludf.DUMMYFUNCTION("""COMPUTED_VALUE"""),"管理员工绩效问题")</f>
        <v>管理员工绩效问题</v>
      </c>
      <c r="AI29" s="217"/>
      <c r="AJ29" s="213"/>
    </row>
    <row r="30" spans="1:36" ht="33.75" customHeight="1">
      <c r="A30" s="213"/>
      <c r="B30" s="214">
        <f ca="1">IFERROR(__xludf.DUMMYFUNCTION("""COMPUTED_VALUE"""),661750)</f>
        <v>661750</v>
      </c>
      <c r="C30" s="215" t="str">
        <f ca="1">IFERROR(__xludf.DUMMYFUNCTION("""COMPUTED_VALUE"""),"Beginner + Intermediate")</f>
        <v>Beginner + Intermediate</v>
      </c>
      <c r="D30" s="216" t="str">
        <f ca="1">IFERROR(__xludf.DUMMYFUNCTION("""COMPUTED_VALUE"""),"Improving Employee Performance")</f>
        <v>Improving Employee Performance</v>
      </c>
      <c r="E30" s="217"/>
      <c r="F30" s="213"/>
      <c r="G30" s="214">
        <f ca="1">IFERROR(__xludf.DUMMYFUNCTION("""COMPUTED_VALUE"""),778442)</f>
        <v>778442</v>
      </c>
      <c r="H30" s="215" t="str">
        <f ca="1">IFERROR(__xludf.DUMMYFUNCTION("""COMPUTED_VALUE"""),"Intermediate")</f>
        <v>Intermediate</v>
      </c>
      <c r="I30" s="217" t="str">
        <f ca="1">IFERROR(__xludf.DUMMYFUNCTION("""COMPUTED_VALUE"""),"Gérer les hauts potentiels")</f>
        <v>Gérer les hauts potentiels</v>
      </c>
      <c r="J30" s="217"/>
      <c r="K30" s="213"/>
      <c r="L30" s="215"/>
      <c r="M30" s="215"/>
      <c r="N30" s="217"/>
      <c r="O30" s="217"/>
      <c r="P30" s="213"/>
      <c r="Q30" s="215"/>
      <c r="R30" s="215"/>
      <c r="S30" s="217"/>
      <c r="T30" s="217"/>
      <c r="U30" s="213"/>
      <c r="V30" s="215"/>
      <c r="W30" s="215"/>
      <c r="X30" s="217"/>
      <c r="Y30" s="217"/>
      <c r="Z30" s="213"/>
      <c r="AA30" s="215">
        <f ca="1">IFERROR(__xludf.DUMMYFUNCTION("""COMPUTED_VALUE"""),733920)</f>
        <v>733920</v>
      </c>
      <c r="AB30" s="215" t="str">
        <f ca="1">IFERROR(__xludf.DUMMYFUNCTION("""COMPUTED_VALUE"""),"Beginner")</f>
        <v>Beginner</v>
      </c>
      <c r="AC30" s="217" t="str">
        <f ca="1">IFERROR(__xludf.DUMMYFUNCTION("""COMPUTED_VALUE"""),"Fundamentos de Gestão")</f>
        <v>Fundamentos de Gestão</v>
      </c>
      <c r="AD30" s="217"/>
      <c r="AE30" s="213"/>
      <c r="AF30" s="215">
        <f ca="1">IFERROR(__xludf.DUMMYFUNCTION("""COMPUTED_VALUE"""),3162242)</f>
        <v>3162242</v>
      </c>
      <c r="AG30" s="215" t="str">
        <f ca="1">IFERROR(__xludf.DUMMYFUNCTION("""COMPUTED_VALUE"""),"Intermediate")</f>
        <v>Intermediate</v>
      </c>
      <c r="AH30" s="217" t="str">
        <f ca="1">IFERROR(__xludf.DUMMYFUNCTION("""COMPUTED_VALUE"""),"管理团队冲突")</f>
        <v>管理团队冲突</v>
      </c>
      <c r="AI30" s="217"/>
      <c r="AJ30" s="213"/>
    </row>
    <row r="31" spans="1:36" ht="33.75" customHeight="1">
      <c r="A31" s="213"/>
      <c r="B31" s="214">
        <f ca="1">IFERROR(__xludf.DUMMYFUNCTION("""COMPUTED_VALUE"""),721911)</f>
        <v>721911</v>
      </c>
      <c r="C31" s="215" t="str">
        <f ca="1">IFERROR(__xludf.DUMMYFUNCTION("""COMPUTED_VALUE"""),"Beginner + Intermediate")</f>
        <v>Beginner + Intermediate</v>
      </c>
      <c r="D31" s="216" t="str">
        <f ca="1">IFERROR(__xludf.DUMMYFUNCTION("""COMPUTED_VALUE"""),"Management: Top Tips")</f>
        <v>Management: Top Tips</v>
      </c>
      <c r="E31" s="217"/>
      <c r="F31" s="213"/>
      <c r="G31" s="214">
        <f ca="1">IFERROR(__xludf.DUMMYFUNCTION("""COMPUTED_VALUE"""),778439)</f>
        <v>778439</v>
      </c>
      <c r="H31" s="215" t="str">
        <f ca="1">IFERROR(__xludf.DUMMYFUNCTION("""COMPUTED_VALUE"""),"Intermediate")</f>
        <v>Intermediate</v>
      </c>
      <c r="I31" s="217" t="str">
        <f ca="1">IFERROR(__xludf.DUMMYFUNCTION("""COMPUTED_VALUE"""),"Gérer les managers expérimentés / expérimentées")</f>
        <v>Gérer les managers expérimentés / expérimentées</v>
      </c>
      <c r="J31" s="217"/>
      <c r="K31" s="213"/>
      <c r="L31" s="215"/>
      <c r="M31" s="215"/>
      <c r="N31" s="217"/>
      <c r="O31" s="217"/>
      <c r="P31" s="213"/>
      <c r="Q31" s="215"/>
      <c r="R31" s="215"/>
      <c r="S31" s="217"/>
      <c r="T31" s="217"/>
      <c r="U31" s="213"/>
      <c r="V31" s="215"/>
      <c r="W31" s="215"/>
      <c r="X31" s="217"/>
      <c r="Y31" s="217"/>
      <c r="Z31" s="213"/>
      <c r="AA31" s="215">
        <f ca="1">IFERROR(__xludf.DUMMYFUNCTION("""COMPUTED_VALUE"""),2929551)</f>
        <v>2929551</v>
      </c>
      <c r="AB31" s="215" t="str">
        <f ca="1">IFERROR(__xludf.DUMMYFUNCTION("""COMPUTED_VALUE"""),"All levels")</f>
        <v>All levels</v>
      </c>
      <c r="AC31" s="217" t="str">
        <f ca="1">IFERROR(__xludf.DUMMYFUNCTION("""COMPUTED_VALUE"""),"Fundamentos de Gestão Ágil")</f>
        <v>Fundamentos de Gestão Ágil</v>
      </c>
      <c r="AD31" s="217"/>
      <c r="AE31" s="213"/>
      <c r="AF31" s="215">
        <f ca="1">IFERROR(__xludf.DUMMYFUNCTION("""COMPUTED_VALUE"""),730573)</f>
        <v>730573</v>
      </c>
      <c r="AG31" s="215" t="str">
        <f ca="1">IFERROR(__xludf.DUMMYFUNCTION("""COMPUTED_VALUE"""),"Beginner")</f>
        <v>Beginner</v>
      </c>
      <c r="AH31" s="217" t="str">
        <f ca="1">IFERROR(__xludf.DUMMYFUNCTION("""COMPUTED_VALUE"""),"管理基础知识")</f>
        <v>管理基础知识</v>
      </c>
      <c r="AI31" s="217"/>
      <c r="AJ31" s="213"/>
    </row>
    <row r="32" spans="1:36" ht="30">
      <c r="A32" s="213"/>
      <c r="B32" s="214">
        <f ca="1">IFERROR(__xludf.DUMMYFUNCTION("""COMPUTED_VALUE"""),746304)</f>
        <v>746304</v>
      </c>
      <c r="C32" s="215" t="str">
        <f ca="1">IFERROR(__xludf.DUMMYFUNCTION("""COMPUTED_VALUE"""),"Beginner + Intermediate")</f>
        <v>Beginner + Intermediate</v>
      </c>
      <c r="D32" s="216" t="str">
        <f ca="1">IFERROR(__xludf.DUMMYFUNCTION("""COMPUTED_VALUE"""),"Managing Teams")</f>
        <v>Managing Teams</v>
      </c>
      <c r="E32" s="217"/>
      <c r="F32" s="213"/>
      <c r="G32" s="214">
        <f ca="1">IFERROR(__xludf.DUMMYFUNCTION("""COMPUTED_VALUE"""),778443)</f>
        <v>778443</v>
      </c>
      <c r="H32" s="215" t="str">
        <f ca="1">IFERROR(__xludf.DUMMYFUNCTION("""COMPUTED_VALUE"""),"Intermediate")</f>
        <v>Intermediate</v>
      </c>
      <c r="I32" s="217" t="str">
        <f ca="1">IFERROR(__xludf.DUMMYFUNCTION("""COMPUTED_VALUE"""),"Gérer les techniciens / techniciennes")</f>
        <v>Gérer les techniciens / techniciennes</v>
      </c>
      <c r="J32" s="217"/>
      <c r="K32" s="213"/>
      <c r="L32" s="215"/>
      <c r="M32" s="215"/>
      <c r="N32" s="217"/>
      <c r="O32" s="217"/>
      <c r="P32" s="213"/>
      <c r="Q32" s="215"/>
      <c r="R32" s="215"/>
      <c r="S32" s="217"/>
      <c r="T32" s="217"/>
      <c r="U32" s="213"/>
      <c r="V32" s="215"/>
      <c r="W32" s="215"/>
      <c r="X32" s="217"/>
      <c r="Y32" s="217"/>
      <c r="Z32" s="213"/>
      <c r="AA32" s="215">
        <f ca="1">IFERROR(__xludf.DUMMYFUNCTION("""COMPUTED_VALUE"""),2910526)</f>
        <v>2910526</v>
      </c>
      <c r="AB32" s="215" t="str">
        <f ca="1">IFERROR(__xludf.DUMMYFUNCTION("""COMPUTED_VALUE"""),"Beginner")</f>
        <v>Beginner</v>
      </c>
      <c r="AC32" s="217" t="str">
        <f ca="1">IFERROR(__xludf.DUMMYFUNCTION("""COMPUTED_VALUE"""),"Fundamentos de Gestão de Operações")</f>
        <v>Fundamentos de Gestão de Operações</v>
      </c>
      <c r="AD32" s="217"/>
      <c r="AE32" s="213"/>
      <c r="AF32" s="215">
        <f ca="1">IFERROR(__xludf.DUMMYFUNCTION("""COMPUTED_VALUE"""),2824442)</f>
        <v>2824442</v>
      </c>
      <c r="AG32" s="215" t="str">
        <f ca="1">IFERROR(__xludf.DUMMYFUNCTION("""COMPUTED_VALUE"""),"Intermediate")</f>
        <v>Intermediate</v>
      </c>
      <c r="AH32" s="217" t="str">
        <f ca="1">IFERROR(__xludf.DUMMYFUNCTION("""COMPUTED_VALUE"""),"管理多元化团队")</f>
        <v>管理多元化团队</v>
      </c>
      <c r="AI32" s="217"/>
      <c r="AJ32" s="213"/>
    </row>
    <row r="33" spans="1:36" ht="33.75" customHeight="1">
      <c r="A33" s="213"/>
      <c r="B33" s="214">
        <f ca="1">IFERROR(__xludf.DUMMYFUNCTION("""COMPUTED_VALUE"""),664803)</f>
        <v>664803</v>
      </c>
      <c r="C33" s="215" t="str">
        <f ca="1">IFERROR(__xludf.DUMMYFUNCTION("""COMPUTED_VALUE"""),"Beginner + Intermediate")</f>
        <v>Beginner + Intermediate</v>
      </c>
      <c r="D33" s="216" t="str">
        <f ca="1">IFERROR(__xludf.DUMMYFUNCTION("""COMPUTED_VALUE"""),"Managing Temporary and Contract Employees")</f>
        <v>Managing Temporary and Contract Employees</v>
      </c>
      <c r="E33" s="217"/>
      <c r="F33" s="213"/>
      <c r="G33" s="214">
        <f ca="1">IFERROR(__xludf.DUMMYFUNCTION("""COMPUTED_VALUE"""),796912)</f>
        <v>796912</v>
      </c>
      <c r="H33" s="215" t="str">
        <f ca="1">IFERROR(__xludf.DUMMYFUNCTION("""COMPUTED_VALUE"""),"Intermediate")</f>
        <v>Intermediate</v>
      </c>
      <c r="I33" s="217" t="str">
        <f ca="1">IFERROR(__xludf.DUMMYFUNCTION("""COMPUTED_VALUE"""),"Gérer ses relations avec son chef / sa cheffe, ses collègues et ses employés / employées")</f>
        <v>Gérer ses relations avec son chef / sa cheffe, ses collègues et ses employés / employées</v>
      </c>
      <c r="J33" s="217"/>
      <c r="K33" s="213"/>
      <c r="L33" s="215"/>
      <c r="M33" s="215"/>
      <c r="N33" s="217"/>
      <c r="O33" s="217"/>
      <c r="P33" s="213"/>
      <c r="Q33" s="215"/>
      <c r="R33" s="215"/>
      <c r="S33" s="217"/>
      <c r="T33" s="217"/>
      <c r="U33" s="213"/>
      <c r="V33" s="215"/>
      <c r="W33" s="215"/>
      <c r="X33" s="217"/>
      <c r="Y33" s="217"/>
      <c r="Z33" s="213"/>
      <c r="AA33" s="215">
        <f ca="1">IFERROR(__xludf.DUMMYFUNCTION("""COMPUTED_VALUE"""),2432277)</f>
        <v>2432277</v>
      </c>
      <c r="AB33" s="215" t="str">
        <f ca="1">IFERROR(__xludf.DUMMYFUNCTION("""COMPUTED_VALUE"""),"Beginner, Intermediate")</f>
        <v>Beginner, Intermediate</v>
      </c>
      <c r="AC33" s="217" t="str">
        <f ca="1">IFERROR(__xludf.DUMMYFUNCTION("""COMPUTED_VALUE"""),"Gestão de Conflitos: Como Lidar com as Divergências na Empresa")</f>
        <v>Gestão de Conflitos: Como Lidar com as Divergências na Empresa</v>
      </c>
      <c r="AD33" s="217"/>
      <c r="AE33" s="213"/>
      <c r="AF33" s="215">
        <f ca="1">IFERROR(__xludf.DUMMYFUNCTION("""COMPUTED_VALUE"""),5015337)</f>
        <v>5015337</v>
      </c>
      <c r="AG33" s="215" t="str">
        <f ca="1">IFERROR(__xludf.DUMMYFUNCTION("""COMPUTED_VALUE"""),"Intermediate")</f>
        <v>Intermediate</v>
      </c>
      <c r="AH33" s="217" t="str">
        <f ca="1">IFERROR(__xludf.DUMMYFUNCTION("""COMPUTED_VALUE"""),"管理新任管理者")</f>
        <v>管理新任管理者</v>
      </c>
      <c r="AI33" s="217"/>
      <c r="AJ33" s="213"/>
    </row>
    <row r="34" spans="1:36" ht="33.75" customHeight="1">
      <c r="A34" s="213"/>
      <c r="B34" s="214">
        <f ca="1">IFERROR(__xludf.DUMMYFUNCTION("""COMPUTED_VALUE"""),688508)</f>
        <v>688508</v>
      </c>
      <c r="C34" s="215" t="str">
        <f ca="1">IFERROR(__xludf.DUMMYFUNCTION("""COMPUTED_VALUE"""),"Beginner + Intermediate")</f>
        <v>Beginner + Intermediate</v>
      </c>
      <c r="D34" s="216" t="str">
        <f ca="1">IFERROR(__xludf.DUMMYFUNCTION("""COMPUTED_VALUE"""),"Motivating and Engaging Employees")</f>
        <v>Motivating and Engaging Employees</v>
      </c>
      <c r="E34" s="217"/>
      <c r="F34" s="213"/>
      <c r="G34" s="214">
        <f ca="1">IFERROR(__xludf.DUMMYFUNCTION("""COMPUTED_VALUE"""),796909)</f>
        <v>796909</v>
      </c>
      <c r="H34" s="215" t="str">
        <f ca="1">IFERROR(__xludf.DUMMYFUNCTION("""COMPUTED_VALUE"""),"Advanced")</f>
        <v>Advanced</v>
      </c>
      <c r="I34" s="217" t="str">
        <f ca="1">IFERROR(__xludf.DUMMYFUNCTION("""COMPUTED_VALUE"""),"Instaurer une culture de la performance")</f>
        <v>Instaurer une culture de la performance</v>
      </c>
      <c r="J34" s="217"/>
      <c r="K34" s="213"/>
      <c r="L34" s="215"/>
      <c r="M34" s="215"/>
      <c r="N34" s="217"/>
      <c r="O34" s="217"/>
      <c r="P34" s="213"/>
      <c r="Q34" s="215"/>
      <c r="R34" s="215"/>
      <c r="S34" s="217"/>
      <c r="T34" s="217"/>
      <c r="U34" s="213"/>
      <c r="V34" s="215"/>
      <c r="W34" s="215"/>
      <c r="X34" s="217"/>
      <c r="Y34" s="217"/>
      <c r="Z34" s="213"/>
      <c r="AA34" s="215">
        <f ca="1">IFERROR(__xludf.DUMMYFUNCTION("""COMPUTED_VALUE"""),801461)</f>
        <v>801461</v>
      </c>
      <c r="AB34" s="215" t="str">
        <f ca="1">IFERROR(__xludf.DUMMYFUNCTION("""COMPUTED_VALUE"""),"Intermediate")</f>
        <v>Intermediate</v>
      </c>
      <c r="AC34" s="217" t="str">
        <f ca="1">IFERROR(__xludf.DUMMYFUNCTION("""COMPUTED_VALUE"""),"Gestão de Novos Cargos de Gerência")</f>
        <v>Gestão de Novos Cargos de Gerência</v>
      </c>
      <c r="AD34" s="217"/>
      <c r="AE34" s="213"/>
      <c r="AF34" s="215">
        <f ca="1">IFERROR(__xludf.DUMMYFUNCTION("""COMPUTED_VALUE"""),767946)</f>
        <v>767946</v>
      </c>
      <c r="AG34" s="215" t="str">
        <f ca="1">IFERROR(__xludf.DUMMYFUNCTION("""COMPUTED_VALUE"""),"Intermediate")</f>
        <v>Intermediate</v>
      </c>
      <c r="AH34" s="217" t="str">
        <f ca="1">IFERROR(__xludf.DUMMYFUNCTION("""COMPUTED_VALUE"""),"管理虚拟团队")</f>
        <v>管理虚拟团队</v>
      </c>
      <c r="AI34" s="217"/>
      <c r="AJ34" s="213"/>
    </row>
    <row r="35" spans="1:36" ht="33.75" customHeight="1">
      <c r="A35" s="213"/>
      <c r="B35" s="214">
        <f ca="1">IFERROR(__xludf.DUMMYFUNCTION("""COMPUTED_VALUE"""),2835013)</f>
        <v>2835013</v>
      </c>
      <c r="C35" s="215" t="str">
        <f ca="1">IFERROR(__xludf.DUMMYFUNCTION("""COMPUTED_VALUE"""),"Beginner + Intermediate")</f>
        <v>Beginner + Intermediate</v>
      </c>
      <c r="D35" s="216" t="str">
        <f ca="1">IFERROR(__xludf.DUMMYFUNCTION("""COMPUTED_VALUE"""),"Building Change Capability for Managers")</f>
        <v>Building Change Capability for Managers</v>
      </c>
      <c r="E35" s="217"/>
      <c r="F35" s="213"/>
      <c r="G35" s="214">
        <f ca="1">IFERROR(__xludf.DUMMYFUNCTION("""COMPUTED_VALUE"""),2996324)</f>
        <v>2996324</v>
      </c>
      <c r="H35" s="215" t="str">
        <f ca="1">IFERROR(__xludf.DUMMYFUNCTION("""COMPUTED_VALUE"""),"Intermediate")</f>
        <v>Intermediate</v>
      </c>
      <c r="I35" s="217" t="str">
        <f ca="1">IFERROR(__xludf.DUMMYFUNCTION("""COMPUTED_VALUE"""),"ITIL® en pratique : Appliquer les concepts d'ITIL® 4 Foundation")</f>
        <v>ITIL® en pratique : Appliquer les concepts d'ITIL® 4 Foundation</v>
      </c>
      <c r="J35" s="217"/>
      <c r="K35" s="213"/>
      <c r="L35" s="215"/>
      <c r="M35" s="215"/>
      <c r="N35" s="217"/>
      <c r="O35" s="217"/>
      <c r="P35" s="213"/>
      <c r="Q35" s="215"/>
      <c r="R35" s="215"/>
      <c r="S35" s="217"/>
      <c r="T35" s="217"/>
      <c r="U35" s="213"/>
      <c r="V35" s="215"/>
      <c r="W35" s="215"/>
      <c r="X35" s="217"/>
      <c r="Y35" s="217"/>
      <c r="Z35" s="213"/>
      <c r="AA35" s="215">
        <f ca="1">IFERROR(__xludf.DUMMYFUNCTION("""COMPUTED_VALUE"""),2210175)</f>
        <v>2210175</v>
      </c>
      <c r="AB35" s="215" t="str">
        <f ca="1">IFERROR(__xludf.DUMMYFUNCTION("""COMPUTED_VALUE"""),"Intermediate")</f>
        <v>Intermediate</v>
      </c>
      <c r="AC35" s="217" t="str">
        <f ca="1">IFERROR(__xludf.DUMMYFUNCTION("""COMPUTED_VALUE"""),"Gestão de Problemas de Desempenho dos Colaboradores")</f>
        <v>Gestão de Problemas de Desempenho dos Colaboradores</v>
      </c>
      <c r="AD35" s="217"/>
      <c r="AE35" s="213"/>
      <c r="AF35" s="215">
        <f ca="1">IFERROR(__xludf.DUMMYFUNCTION("""COMPUTED_VALUE"""),5015338)</f>
        <v>5015338</v>
      </c>
      <c r="AG35" s="215" t="str">
        <f ca="1">IFERROR(__xludf.DUMMYFUNCTION("""COMPUTED_VALUE"""),"Intermediate")</f>
        <v>Intermediate</v>
      </c>
      <c r="AH35" s="217" t="str">
        <f ca="1">IFERROR(__xludf.DUMMYFUNCTION("""COMPUTED_VALUE"""),"管理资深管理者")</f>
        <v>管理资深管理者</v>
      </c>
      <c r="AI35" s="217"/>
      <c r="AJ35" s="213"/>
    </row>
    <row r="36" spans="1:36" ht="33.75" customHeight="1">
      <c r="A36" s="213"/>
      <c r="B36" s="214">
        <f ca="1">IFERROR(__xludf.DUMMYFUNCTION("""COMPUTED_VALUE"""),3107153)</f>
        <v>3107153</v>
      </c>
      <c r="C36" s="215" t="str">
        <f ca="1">IFERROR(__xludf.DUMMYFUNCTION("""COMPUTED_VALUE"""),"Beginner + Intermediate")</f>
        <v>Beginner + Intermediate</v>
      </c>
      <c r="D36" s="216" t="str">
        <f ca="1">IFERROR(__xludf.DUMMYFUNCTION("""COMPUTED_VALUE"""),"Managing Introverts")</f>
        <v>Managing Introverts</v>
      </c>
      <c r="E36" s="217"/>
      <c r="F36" s="213"/>
      <c r="G36" s="214">
        <f ca="1">IFERROR(__xludf.DUMMYFUNCTION("""COMPUTED_VALUE"""),604067)</f>
        <v>604067</v>
      </c>
      <c r="H36" s="215" t="str">
        <f ca="1">IFERROR(__xludf.DUMMYFUNCTION("""COMPUTED_VALUE"""),"All levels")</f>
        <v>All levels</v>
      </c>
      <c r="I36" s="217" t="str">
        <f ca="1">IFERROR(__xludf.DUMMYFUNCTION("""COMPUTED_VALUE"""),"Jeff Weiner – Le management compassionnel")</f>
        <v>Jeff Weiner – Le management compassionnel</v>
      </c>
      <c r="J36" s="217"/>
      <c r="K36" s="213"/>
      <c r="L36" s="215"/>
      <c r="M36" s="215"/>
      <c r="N36" s="217"/>
      <c r="O36" s="217"/>
      <c r="P36" s="213"/>
      <c r="Q36" s="215"/>
      <c r="R36" s="215"/>
      <c r="S36" s="217"/>
      <c r="T36" s="217"/>
      <c r="U36" s="213"/>
      <c r="V36" s="215"/>
      <c r="W36" s="215"/>
      <c r="X36" s="217"/>
      <c r="Y36" s="217"/>
      <c r="Z36" s="213"/>
      <c r="AA36" s="215">
        <f ca="1">IFERROR(__xludf.DUMMYFUNCTION("""COMPUTED_VALUE"""),2929563)</f>
        <v>2929563</v>
      </c>
      <c r="AB36" s="215" t="str">
        <f ca="1">IFERROR(__xludf.DUMMYFUNCTION("""COMPUTED_VALUE"""),"All levels")</f>
        <v>All levels</v>
      </c>
      <c r="AC36" s="217" t="str">
        <f ca="1">IFERROR(__xludf.DUMMYFUNCTION("""COMPUTED_VALUE"""),"Gestão de Projetos Internacionais")</f>
        <v>Gestão de Projetos Internacionais</v>
      </c>
      <c r="AD36" s="217"/>
      <c r="AE36" s="213"/>
      <c r="AF36" s="215">
        <f ca="1">IFERROR(__xludf.DUMMYFUNCTION("""COMPUTED_VALUE"""),2818167)</f>
        <v>2818167</v>
      </c>
      <c r="AG36" s="215" t="str">
        <f ca="1">IFERROR(__xludf.DUMMYFUNCTION("""COMPUTED_VALUE"""),"All levels")</f>
        <v>All levels</v>
      </c>
      <c r="AH36" s="217" t="str">
        <f ca="1">IFERROR(__xludf.DUMMYFUNCTION("""COMPUTED_VALUE"""),"经理人的时间管理")</f>
        <v>经理人的时间管理</v>
      </c>
      <c r="AI36" s="217"/>
      <c r="AJ36" s="213"/>
    </row>
    <row r="37" spans="1:36" ht="33.75" customHeight="1">
      <c r="A37" s="213"/>
      <c r="B37" s="214">
        <f ca="1">IFERROR(__xludf.DUMMYFUNCTION("""COMPUTED_VALUE"""),3107152)</f>
        <v>3107152</v>
      </c>
      <c r="C37" s="215" t="str">
        <f ca="1">IFERROR(__xludf.DUMMYFUNCTION("""COMPUTED_VALUE"""),"Beginner + Intermediate")</f>
        <v>Beginner + Intermediate</v>
      </c>
      <c r="D37" s="216" t="str">
        <f ca="1">IFERROR(__xludf.DUMMYFUNCTION("""COMPUTED_VALUE"""),"Coaching New Hires")</f>
        <v>Coaching New Hires</v>
      </c>
      <c r="E37" s="217"/>
      <c r="F37" s="213"/>
      <c r="G37" s="214">
        <f ca="1">IFERROR(__xludf.DUMMYFUNCTION("""COMPUTED_VALUE"""),796908)</f>
        <v>796908</v>
      </c>
      <c r="H37" s="215" t="str">
        <f ca="1">IFERROR(__xludf.DUMMYFUNCTION("""COMPUTED_VALUE"""),"All levels")</f>
        <v>All levels</v>
      </c>
      <c r="I37" s="217" t="str">
        <f ca="1">IFERROR(__xludf.DUMMYFUNCTION("""COMPUTED_VALUE"""),"La gestion du temps pour les managers")</f>
        <v>La gestion du temps pour les managers</v>
      </c>
      <c r="J37" s="217"/>
      <c r="K37" s="213"/>
      <c r="L37" s="215"/>
      <c r="M37" s="215"/>
      <c r="N37" s="217"/>
      <c r="O37" s="217"/>
      <c r="P37" s="213"/>
      <c r="Q37" s="215"/>
      <c r="R37" s="215"/>
      <c r="S37" s="217"/>
      <c r="T37" s="217"/>
      <c r="U37" s="213"/>
      <c r="V37" s="215"/>
      <c r="W37" s="215"/>
      <c r="X37" s="217"/>
      <c r="Y37" s="217"/>
      <c r="Z37" s="213"/>
      <c r="AA37" s="215">
        <f ca="1">IFERROR(__xludf.DUMMYFUNCTION("""COMPUTED_VALUE"""),2910528)</f>
        <v>2910528</v>
      </c>
      <c r="AB37" s="215" t="str">
        <f ca="1">IFERROR(__xludf.DUMMYFUNCTION("""COMPUTED_VALUE"""),"Intermediate")</f>
        <v>Intermediate</v>
      </c>
      <c r="AC37" s="217" t="str">
        <f ca="1">IFERROR(__xludf.DUMMYFUNCTION("""COMPUTED_VALUE"""),"Gestão Intercultural nas Organizações")</f>
        <v>Gestão Intercultural nas Organizações</v>
      </c>
      <c r="AD37" s="217"/>
      <c r="AE37" s="213"/>
      <c r="AF37" s="215">
        <f ca="1">IFERROR(__xludf.DUMMYFUNCTION("""COMPUTED_VALUE"""),2822700)</f>
        <v>2822700</v>
      </c>
      <c r="AG37" s="215" t="str">
        <f ca="1">IFERROR(__xludf.DUMMYFUNCTION("""COMPUTED_VALUE"""),"Beginner, Intermediate")</f>
        <v>Beginner, Intermediate</v>
      </c>
      <c r="AH37" s="217" t="str">
        <f ca="1">IFERROR(__xludf.DUMMYFUNCTION("""COMPUTED_VALUE"""),"绩效管理：进行绩效评估")</f>
        <v>绩效管理：进行绩效评估</v>
      </c>
      <c r="AI37" s="217"/>
      <c r="AJ37" s="213"/>
    </row>
    <row r="38" spans="1:36" ht="33.75" customHeight="1">
      <c r="A38" s="213"/>
      <c r="B38" s="214">
        <f ca="1">IFERROR(__xludf.DUMMYFUNCTION("""COMPUTED_VALUE"""),2896916)</f>
        <v>2896916</v>
      </c>
      <c r="C38" s="215" t="str">
        <f ca="1">IFERROR(__xludf.DUMMYFUNCTION("""COMPUTED_VALUE"""),"Beginner + Intermediate")</f>
        <v>Beginner + Intermediate</v>
      </c>
      <c r="D38" s="216" t="str">
        <f ca="1">IFERROR(__xludf.DUMMYFUNCTION("""COMPUTED_VALUE"""),"Be the Manager People Won't Leave")</f>
        <v>Be the Manager People Won't Leave</v>
      </c>
      <c r="E38" s="217"/>
      <c r="F38" s="213"/>
      <c r="G38" s="214">
        <f ca="1">IFERROR(__xludf.DUMMYFUNCTION("""COMPUTED_VALUE"""),2882001)</f>
        <v>2882001</v>
      </c>
      <c r="H38" s="215" t="str">
        <f ca="1">IFERROR(__xludf.DUMMYFUNCTION("""COMPUTED_VALUE"""),"Intermediate")</f>
        <v>Intermediate</v>
      </c>
      <c r="I38" s="217" t="str">
        <f ca="1">IFERROR(__xludf.DUMMYFUNCTION("""COMPUTED_VALUE"""),"La minute de formation : Favoriser l'engagement des employés")</f>
        <v>La minute de formation : Favoriser l'engagement des employés</v>
      </c>
      <c r="J38" s="217"/>
      <c r="K38" s="213"/>
      <c r="L38" s="215"/>
      <c r="M38" s="215"/>
      <c r="N38" s="217"/>
      <c r="O38" s="217"/>
      <c r="P38" s="213"/>
      <c r="Q38" s="215"/>
      <c r="R38" s="215"/>
      <c r="S38" s="217"/>
      <c r="T38" s="217"/>
      <c r="U38" s="213"/>
      <c r="V38" s="215"/>
      <c r="W38" s="215"/>
      <c r="X38" s="217"/>
      <c r="Y38" s="217"/>
      <c r="Z38" s="213"/>
      <c r="AA38" s="215">
        <f ca="1">IFERROR(__xludf.DUMMYFUNCTION("""COMPUTED_VALUE"""),752465)</f>
        <v>752465</v>
      </c>
      <c r="AB38" s="215" t="str">
        <f ca="1">IFERROR(__xludf.DUMMYFUNCTION("""COMPUTED_VALUE"""),"Intermediate")</f>
        <v>Intermediate</v>
      </c>
      <c r="AC38" s="217" t="str">
        <f ca="1">IFERROR(__xludf.DUMMYFUNCTION("""COMPUTED_VALUE"""),"Gestão por Resultados")</f>
        <v>Gestão por Resultados</v>
      </c>
      <c r="AD38" s="217"/>
      <c r="AE38" s="213"/>
      <c r="AF38" s="215">
        <f ca="1">IFERROR(__xludf.DUMMYFUNCTION("""COMPUTED_VALUE"""),2427745)</f>
        <v>2427745</v>
      </c>
      <c r="AG38" s="215" t="str">
        <f ca="1">IFERROR(__xludf.DUMMYFUNCTION("""COMPUTED_VALUE"""),"Beginner, Intermediate")</f>
        <v>Beginner, Intermediate</v>
      </c>
      <c r="AH38" s="217" t="str">
        <f ca="1">IFERROR(__xludf.DUMMYFUNCTION("""COMPUTED_VALUE"""),"职场合同工和临时工：员工篇")</f>
        <v>职场合同工和临时工：员工篇</v>
      </c>
      <c r="AI38" s="217"/>
      <c r="AJ38" s="213"/>
    </row>
    <row r="39" spans="1:36" ht="33.75" customHeight="1">
      <c r="A39" s="213"/>
      <c r="B39" s="214">
        <f ca="1">IFERROR(__xludf.DUMMYFUNCTION("""COMPUTED_VALUE"""),2423650)</f>
        <v>2423650</v>
      </c>
      <c r="C39" s="215" t="str">
        <f ca="1">IFERROR(__xludf.DUMMYFUNCTION("""COMPUTED_VALUE"""),"Beginner + Intermediate")</f>
        <v>Beginner + Intermediate</v>
      </c>
      <c r="D39" s="216" t="str">
        <f ca="1">IFERROR(__xludf.DUMMYFUNCTION("""COMPUTED_VALUE"""),"Managing Up, Down, and Across the Organization")</f>
        <v>Managing Up, Down, and Across the Organization</v>
      </c>
      <c r="E39" s="217"/>
      <c r="F39" s="213"/>
      <c r="G39" s="214">
        <f ca="1">IFERROR(__xludf.DUMMYFUNCTION("""COMPUTED_VALUE"""),2457227)</f>
        <v>2457227</v>
      </c>
      <c r="H39" s="215" t="str">
        <f ca="1">IFERROR(__xludf.DUMMYFUNCTION("""COMPUTED_VALUE"""),"All levels")</f>
        <v>All levels</v>
      </c>
      <c r="I39" s="217" t="str">
        <f ca="1">IFERROR(__xludf.DUMMYFUNCTION("""COMPUTED_VALUE"""),"Le leadership inclusif : Devenir un allié / une alliée")</f>
        <v>Le leadership inclusif : Devenir un allié / une alliée</v>
      </c>
      <c r="J39" s="217"/>
      <c r="K39" s="213"/>
      <c r="L39" s="215"/>
      <c r="M39" s="215"/>
      <c r="N39" s="217"/>
      <c r="O39" s="217"/>
      <c r="P39" s="213"/>
      <c r="Q39" s="215"/>
      <c r="R39" s="215"/>
      <c r="S39" s="217"/>
      <c r="T39" s="217"/>
      <c r="U39" s="213"/>
      <c r="V39" s="215"/>
      <c r="W39" s="215"/>
      <c r="X39" s="217"/>
      <c r="Y39" s="217"/>
      <c r="Z39" s="213"/>
      <c r="AA39" s="215">
        <f ca="1">IFERROR(__xludf.DUMMYFUNCTION("""COMPUTED_VALUE"""),2382514)</f>
        <v>2382514</v>
      </c>
      <c r="AB39" s="215" t="str">
        <f ca="1">IFERROR(__xludf.DUMMYFUNCTION("""COMPUTED_VALUE"""),"Intermediate")</f>
        <v>Intermediate</v>
      </c>
      <c r="AC39" s="217" t="str">
        <f ca="1">IFERROR(__xludf.DUMMYFUNCTION("""COMPUTED_VALUE"""),"Janaína Manfredini responde sobre desafios da liderança em tempos incertos")</f>
        <v>Janaína Manfredini responde sobre desafios da liderança em tempos incertos</v>
      </c>
      <c r="AD39" s="217"/>
      <c r="AE39" s="213"/>
      <c r="AF39" s="215">
        <f ca="1">IFERROR(__xludf.DUMMYFUNCTION("""COMPUTED_VALUE"""),2824437)</f>
        <v>2824437</v>
      </c>
      <c r="AG39" s="215" t="str">
        <f ca="1">IFERROR(__xludf.DUMMYFUNCTION("""COMPUTED_VALUE"""),"All levels")</f>
        <v>All levels</v>
      </c>
      <c r="AH39" s="217" t="str">
        <f ca="1">IFERROR(__xludf.DUMMYFUNCTION("""COMPUTED_VALUE"""),"让无力者有力：谈控制力")</f>
        <v>让无力者有力：谈控制力</v>
      </c>
      <c r="AI39" s="217"/>
      <c r="AJ39" s="213"/>
    </row>
    <row r="40" spans="1:36" ht="33.75" customHeight="1">
      <c r="A40" s="213"/>
      <c r="B40" s="214">
        <f ca="1">IFERROR(__xludf.DUMMYFUNCTION("""COMPUTED_VALUE"""),693069)</f>
        <v>693069</v>
      </c>
      <c r="C40" s="215" t="str">
        <f ca="1">IFERROR(__xludf.DUMMYFUNCTION("""COMPUTED_VALUE"""),"General")</f>
        <v>General</v>
      </c>
      <c r="D40" s="216" t="str">
        <f ca="1">IFERROR(__xludf.DUMMYFUNCTION("""COMPUTED_VALUE"""),"Delegating Tasks")</f>
        <v>Delegating Tasks</v>
      </c>
      <c r="E40" s="217"/>
      <c r="F40" s="213"/>
      <c r="G40" s="214">
        <f ca="1">IFERROR(__xludf.DUMMYFUNCTION("""COMPUTED_VALUE"""),561058)</f>
        <v>561058</v>
      </c>
      <c r="H40" s="215" t="str">
        <f ca="1">IFERROR(__xludf.DUMMYFUNCTION("""COMPUTED_VALUE"""),"Beginner, Intermediate")</f>
        <v>Beginner, Intermediate</v>
      </c>
      <c r="I40" s="217" t="str">
        <f ca="1">IFERROR(__xludf.DUMMYFUNCTION("""COMPUTED_VALUE"""),"Les fondements du bilan de performance")</f>
        <v>Les fondements du bilan de performance</v>
      </c>
      <c r="J40" s="217"/>
      <c r="K40" s="213"/>
      <c r="L40" s="215"/>
      <c r="M40" s="215"/>
      <c r="N40" s="217"/>
      <c r="O40" s="217"/>
      <c r="P40" s="213"/>
      <c r="Q40" s="215"/>
      <c r="R40" s="215"/>
      <c r="S40" s="217"/>
      <c r="T40" s="217"/>
      <c r="U40" s="213"/>
      <c r="V40" s="215"/>
      <c r="W40" s="215"/>
      <c r="X40" s="217"/>
      <c r="Y40" s="217"/>
      <c r="Z40" s="213"/>
      <c r="AA40" s="215">
        <f ca="1">IFERROR(__xludf.DUMMYFUNCTION("""COMPUTED_VALUE"""),2841350)</f>
        <v>2841350</v>
      </c>
      <c r="AB40" s="215" t="str">
        <f ca="1">IFERROR(__xludf.DUMMYFUNCTION("""COMPUTED_VALUE"""),"Intermediate")</f>
        <v>Intermediate</v>
      </c>
      <c r="AC40" s="217" t="str">
        <f ca="1">IFERROR(__xludf.DUMMYFUNCTION("""COMPUTED_VALUE"""),"Liderança Colaborativa")</f>
        <v>Liderança Colaborativa</v>
      </c>
      <c r="AD40" s="217"/>
      <c r="AE40" s="213"/>
      <c r="AF40" s="215">
        <f ca="1">IFERROR(__xludf.DUMMYFUNCTION("""COMPUTED_VALUE"""),5020684)</f>
        <v>5020684</v>
      </c>
      <c r="AG40" s="215" t="str">
        <f ca="1">IFERROR(__xludf.DUMMYFUNCTION("""COMPUTED_VALUE"""),"Beginner")</f>
        <v>Beginner</v>
      </c>
      <c r="AH40" s="217" t="str">
        <f ca="1">IFERROR(__xludf.DUMMYFUNCTION("""COMPUTED_VALUE"""),"设定团队与员工目标")</f>
        <v>设定团队与员工目标</v>
      </c>
      <c r="AI40" s="217"/>
      <c r="AJ40" s="213"/>
    </row>
    <row r="41" spans="1:36" ht="33.75" customHeight="1">
      <c r="A41" s="213"/>
      <c r="B41" s="214">
        <f ca="1">IFERROR(__xludf.DUMMYFUNCTION("""COMPUTED_VALUE"""),564551)</f>
        <v>564551</v>
      </c>
      <c r="C41" s="215" t="str">
        <f ca="1">IFERROR(__xludf.DUMMYFUNCTION("""COMPUTED_VALUE"""),"General")</f>
        <v>General</v>
      </c>
      <c r="D41" s="216" t="str">
        <f ca="1">IFERROR(__xludf.DUMMYFUNCTION("""COMPUTED_VALUE"""),"Time Management for Managers")</f>
        <v>Time Management for Managers</v>
      </c>
      <c r="E41" s="217"/>
      <c r="F41" s="213"/>
      <c r="G41" s="214">
        <f ca="1">IFERROR(__xludf.DUMMYFUNCTION("""COMPUTED_VALUE"""),398060)</f>
        <v>398060</v>
      </c>
      <c r="H41" s="215" t="str">
        <f ca="1">IFERROR(__xludf.DUMMYFUNCTION("""COMPUTED_VALUE"""),"Beginner")</f>
        <v>Beginner</v>
      </c>
      <c r="I41" s="217" t="str">
        <f ca="1">IFERROR(__xludf.DUMMYFUNCTION("""COMPUTED_VALUE"""),"Les fondements du management")</f>
        <v>Les fondements du management</v>
      </c>
      <c r="J41" s="217"/>
      <c r="K41" s="213"/>
      <c r="L41" s="215"/>
      <c r="M41" s="215"/>
      <c r="N41" s="217"/>
      <c r="O41" s="217"/>
      <c r="P41" s="213"/>
      <c r="Q41" s="215"/>
      <c r="R41" s="215"/>
      <c r="S41" s="217"/>
      <c r="T41" s="217"/>
      <c r="U41" s="213"/>
      <c r="V41" s="215"/>
      <c r="W41" s="215"/>
      <c r="X41" s="217"/>
      <c r="Y41" s="217"/>
      <c r="Z41" s="213"/>
      <c r="AA41" s="215">
        <f ca="1">IFERROR(__xludf.DUMMYFUNCTION("""COMPUTED_VALUE"""),2902184)</f>
        <v>2902184</v>
      </c>
      <c r="AB41" s="215" t="str">
        <f ca="1">IFERROR(__xludf.DUMMYFUNCTION("""COMPUTED_VALUE"""),"Beginner, Intermediate")</f>
        <v>Beginner, Intermediate</v>
      </c>
      <c r="AC41" s="217" t="str">
        <f ca="1">IFERROR(__xludf.DUMMYFUNCTION("""COMPUTED_VALUE"""),"Liderança com Inovação")</f>
        <v>Liderança com Inovação</v>
      </c>
      <c r="AD41" s="217"/>
      <c r="AE41" s="213"/>
      <c r="AF41" s="215">
        <f ca="1">IFERROR(__xludf.DUMMYFUNCTION("""COMPUTED_VALUE"""),2825309)</f>
        <v>2825309</v>
      </c>
      <c r="AG41" s="215" t="str">
        <f ca="1">IFERROR(__xludf.DUMMYFUNCTION("""COMPUTED_VALUE"""),"Intermediate")</f>
        <v>Intermediate</v>
      </c>
      <c r="AH41" s="217" t="str">
        <f ca="1">IFERROR(__xludf.DUMMYFUNCTION("""COMPUTED_VALUE"""),"评估团队绩效")</f>
        <v>评估团队绩效</v>
      </c>
      <c r="AI41" s="217"/>
      <c r="AJ41" s="213"/>
    </row>
    <row r="42" spans="1:36" ht="33.75" customHeight="1">
      <c r="A42" s="213"/>
      <c r="B42" s="214">
        <f ca="1">IFERROR(__xludf.DUMMYFUNCTION("""COMPUTED_VALUE"""),5038200)</f>
        <v>5038200</v>
      </c>
      <c r="C42" s="215" t="str">
        <f ca="1">IFERROR(__xludf.DUMMYFUNCTION("""COMPUTED_VALUE"""),"General")</f>
        <v>General</v>
      </c>
      <c r="D42" s="216" t="str">
        <f ca="1">IFERROR(__xludf.DUMMYFUNCTION("""COMPUTED_VALUE"""),"Managing Generation Z")</f>
        <v>Managing Generation Z</v>
      </c>
      <c r="E42" s="217"/>
      <c r="F42" s="213"/>
      <c r="G42" s="214">
        <f ca="1">IFERROR(__xludf.DUMMYFUNCTION("""COMPUTED_VALUE"""),476693)</f>
        <v>476693</v>
      </c>
      <c r="H42" s="215" t="str">
        <f ca="1">IFERROR(__xludf.DUMMYFUNCTION("""COMPUTED_VALUE"""),"Beginner")</f>
        <v>Beginner</v>
      </c>
      <c r="I42" s="217" t="str">
        <f ca="1">IFERROR(__xludf.DUMMYFUNCTION("""COMPUTED_VALUE"""),"Les fondements du nouveau et de la nouvelle manager")</f>
        <v>Les fondements du nouveau et de la nouvelle manager</v>
      </c>
      <c r="J42" s="217"/>
      <c r="K42" s="213"/>
      <c r="L42" s="215"/>
      <c r="M42" s="215"/>
      <c r="N42" s="217"/>
      <c r="O42" s="217"/>
      <c r="P42" s="213"/>
      <c r="Q42" s="215"/>
      <c r="R42" s="215"/>
      <c r="S42" s="217"/>
      <c r="T42" s="217"/>
      <c r="U42" s="213"/>
      <c r="V42" s="215"/>
      <c r="W42" s="215"/>
      <c r="X42" s="217"/>
      <c r="Y42" s="217"/>
      <c r="Z42" s="213"/>
      <c r="AA42" s="215">
        <f ca="1">IFERROR(__xludf.DUMMYFUNCTION("""COMPUTED_VALUE"""),5031298)</f>
        <v>5031298</v>
      </c>
      <c r="AB42" s="215" t="str">
        <f ca="1">IFERROR(__xludf.DUMMYFUNCTION("""COMPUTED_VALUE"""),"Intermediate")</f>
        <v>Intermediate</v>
      </c>
      <c r="AC42" s="217" t="str">
        <f ca="1">IFERROR(__xludf.DUMMYFUNCTION("""COMPUTED_VALUE"""),"Liderança Executiva")</f>
        <v>Liderança Executiva</v>
      </c>
      <c r="AD42" s="217"/>
      <c r="AE42" s="213"/>
      <c r="AF42" s="215">
        <f ca="1">IFERROR(__xludf.DUMMYFUNCTION("""COMPUTED_VALUE"""),773640)</f>
        <v>773640</v>
      </c>
      <c r="AG42" s="215" t="str">
        <f ca="1">IFERROR(__xludf.DUMMYFUNCTION("""COMPUTED_VALUE"""),"Beginner")</f>
        <v>Beginner</v>
      </c>
      <c r="AH42" s="217" t="str">
        <f ca="1">IFERROR(__xludf.DUMMYFUNCTION("""COMPUTED_VALUE"""),"辅导和培养员工")</f>
        <v>辅导和培养员工</v>
      </c>
      <c r="AI42" s="217"/>
      <c r="AJ42" s="213"/>
    </row>
    <row r="43" spans="1:36" ht="33.75" customHeight="1">
      <c r="A43" s="213"/>
      <c r="B43" s="214">
        <f ca="1">IFERROR(__xludf.DUMMYFUNCTION("""COMPUTED_VALUE"""),645011)</f>
        <v>645011</v>
      </c>
      <c r="C43" s="215" t="str">
        <f ca="1">IFERROR(__xludf.DUMMYFUNCTION("""COMPUTED_VALUE"""),"Intermediate")</f>
        <v>Intermediate</v>
      </c>
      <c r="D43" s="216" t="str">
        <f ca="1">IFERROR(__xludf.DUMMYFUNCTION("""COMPUTED_VALUE"""),"Coaching Employees through Difficult Situations")</f>
        <v>Coaching Employees through Difficult Situations</v>
      </c>
      <c r="E43" s="217"/>
      <c r="F43" s="213"/>
      <c r="G43" s="214">
        <f ca="1">IFERROR(__xludf.DUMMYFUNCTION("""COMPUTED_VALUE"""),2425687)</f>
        <v>2425687</v>
      </c>
      <c r="H43" s="215" t="str">
        <f ca="1">IFERROR(__xludf.DUMMYFUNCTION("""COMPUTED_VALUE"""),"All levels")</f>
        <v>All levels</v>
      </c>
      <c r="I43" s="217" t="str">
        <f ca="1">IFERROR(__xludf.DUMMYFUNCTION("""COMPUTED_VALUE"""),"Les meilleures pratiques du leadership")</f>
        <v>Les meilleures pratiques du leadership</v>
      </c>
      <c r="J43" s="217"/>
      <c r="K43" s="213"/>
      <c r="L43" s="215"/>
      <c r="M43" s="215"/>
      <c r="N43" s="217"/>
      <c r="O43" s="217"/>
      <c r="P43" s="213"/>
      <c r="Q43" s="215"/>
      <c r="R43" s="215"/>
      <c r="S43" s="217"/>
      <c r="T43" s="217"/>
      <c r="U43" s="213"/>
      <c r="V43" s="215"/>
      <c r="W43" s="215"/>
      <c r="X43" s="217"/>
      <c r="Y43" s="217"/>
      <c r="Z43" s="213"/>
      <c r="AA43" s="215">
        <f ca="1">IFERROR(__xludf.DUMMYFUNCTION("""COMPUTED_VALUE"""),2903151)</f>
        <v>2903151</v>
      </c>
      <c r="AB43" s="215" t="str">
        <f ca="1">IFERROR(__xludf.DUMMYFUNCTION("""COMPUTED_VALUE"""),"Advanced")</f>
        <v>Advanced</v>
      </c>
      <c r="AC43" s="217" t="str">
        <f ca="1">IFERROR(__xludf.DUMMYFUNCTION("""COMPUTED_VALUE"""),"Liderança no Atendimento ao Cliente")</f>
        <v>Liderança no Atendimento ao Cliente</v>
      </c>
      <c r="AD43" s="217"/>
      <c r="AE43" s="213"/>
      <c r="AF43" s="215">
        <f ca="1">IFERROR(__xludf.DUMMYFUNCTION("""COMPUTED_VALUE"""),5010370)</f>
        <v>5010370</v>
      </c>
      <c r="AG43" s="215" t="str">
        <f ca="1">IFERROR(__xludf.DUMMYFUNCTION("""COMPUTED_VALUE"""),"All levels")</f>
        <v>All levels</v>
      </c>
      <c r="AH43" s="217" t="str">
        <f ca="1">IFERROR(__xludf.DUMMYFUNCTION("""COMPUTED_VALUE"""),"领导团队和团队合作")</f>
        <v>领导团队和团队合作</v>
      </c>
      <c r="AI43" s="217"/>
      <c r="AJ43" s="213"/>
    </row>
    <row r="44" spans="1:36" ht="33.75" customHeight="1">
      <c r="A44" s="213"/>
      <c r="B44" s="214">
        <f ca="1">IFERROR(__xludf.DUMMYFUNCTION("""COMPUTED_VALUE"""),197201)</f>
        <v>197201</v>
      </c>
      <c r="C44" s="215" t="str">
        <f ca="1">IFERROR(__xludf.DUMMYFUNCTION("""COMPUTED_VALUE"""),"Intermediate")</f>
        <v>Intermediate</v>
      </c>
      <c r="D44" s="216" t="str">
        <f ca="1">IFERROR(__xludf.DUMMYFUNCTION("""COMPUTED_VALUE"""),"Developing Executive Presence")</f>
        <v>Developing Executive Presence</v>
      </c>
      <c r="E44" s="217"/>
      <c r="F44" s="213"/>
      <c r="G44" s="214">
        <f ca="1">IFERROR(__xludf.DUMMYFUNCTION("""COMPUTED_VALUE"""),2830005)</f>
        <v>2830005</v>
      </c>
      <c r="H44" s="215" t="str">
        <f ca="1">IFERROR(__xludf.DUMMYFUNCTION("""COMPUTED_VALUE"""),"Intermediate")</f>
        <v>Intermediate</v>
      </c>
      <c r="I44" s="217" t="str">
        <f ca="1">IFERROR(__xludf.DUMMYFUNCTION("""COMPUTED_VALUE"""),"Maîtriser la facilitation pour les leaders et managers")</f>
        <v>Maîtriser la facilitation pour les leaders et managers</v>
      </c>
      <c r="J44" s="217"/>
      <c r="K44" s="213"/>
      <c r="L44" s="215"/>
      <c r="M44" s="215"/>
      <c r="N44" s="217"/>
      <c r="O44" s="217"/>
      <c r="P44" s="213"/>
      <c r="Q44" s="215"/>
      <c r="R44" s="215"/>
      <c r="S44" s="217"/>
      <c r="T44" s="217"/>
      <c r="U44" s="213"/>
      <c r="V44" s="215"/>
      <c r="W44" s="215"/>
      <c r="X44" s="217"/>
      <c r="Y44" s="217"/>
      <c r="Z44" s="213"/>
      <c r="AA44" s="215">
        <f ca="1">IFERROR(__xludf.DUMMYFUNCTION("""COMPUTED_VALUE"""),3151684)</f>
        <v>3151684</v>
      </c>
      <c r="AB44" s="215" t="str">
        <f ca="1">IFERROR(__xludf.DUMMYFUNCTION("""COMPUTED_VALUE"""),"Beginner, Intermediate")</f>
        <v>Beginner, Intermediate</v>
      </c>
      <c r="AC44" s="217" t="str">
        <f ca="1">IFERROR(__xludf.DUMMYFUNCTION("""COMPUTED_VALUE"""),"Liderança Remota: Como Gerenciar e Desenvolver Equipes Distribuídas")</f>
        <v>Liderança Remota: Como Gerenciar e Desenvolver Equipes Distribuídas</v>
      </c>
      <c r="AD44" s="217"/>
      <c r="AE44" s="213"/>
      <c r="AF44" s="215">
        <f ca="1">IFERROR(__xludf.DUMMYFUNCTION("""COMPUTED_VALUE"""),2813372)</f>
        <v>2813372</v>
      </c>
      <c r="AG44" s="215" t="str">
        <f ca="1">IFERROR(__xludf.DUMMYFUNCTION("""COMPUTED_VALUE"""),"Intermediate")</f>
        <v>Intermediate</v>
      </c>
      <c r="AH44" s="217" t="str">
        <f ca="1">IFERROR(__xludf.DUMMYFUNCTION("""COMPUTED_VALUE"""),"高管领导力")</f>
        <v>高管领导力</v>
      </c>
      <c r="AI44" s="217"/>
      <c r="AJ44" s="213"/>
    </row>
    <row r="45" spans="1:36" ht="33.75" customHeight="1">
      <c r="A45" s="213"/>
      <c r="B45" s="214">
        <f ca="1">IFERROR(__xludf.DUMMYFUNCTION("""COMPUTED_VALUE"""),737756)</f>
        <v>737756</v>
      </c>
      <c r="C45" s="215" t="str">
        <f ca="1">IFERROR(__xludf.DUMMYFUNCTION("""COMPUTED_VALUE"""),"Intermediate")</f>
        <v>Intermediate</v>
      </c>
      <c r="D45" s="216" t="str">
        <f ca="1">IFERROR(__xludf.DUMMYFUNCTION("""COMPUTED_VALUE"""),"Developing Your Team Members")</f>
        <v>Developing Your Team Members</v>
      </c>
      <c r="E45" s="217"/>
      <c r="F45" s="213"/>
      <c r="G45" s="214">
        <f ca="1">IFERROR(__xludf.DUMMYFUNCTION("""COMPUTED_VALUE"""),2873194)</f>
        <v>2873194</v>
      </c>
      <c r="H45" s="215" t="str">
        <f ca="1">IFERROR(__xludf.DUMMYFUNCTION("""COMPUTED_VALUE"""),"Intermediate")</f>
        <v>Intermediate</v>
      </c>
      <c r="I45" s="217" t="str">
        <f ca="1">IFERROR(__xludf.DUMMYFUNCTION("""COMPUTED_VALUE"""),"Manager à distance")</f>
        <v>Manager à distance</v>
      </c>
      <c r="J45" s="217"/>
      <c r="K45" s="213"/>
      <c r="L45" s="215"/>
      <c r="M45" s="215"/>
      <c r="N45" s="217"/>
      <c r="O45" s="217"/>
      <c r="P45" s="213"/>
      <c r="Q45" s="215"/>
      <c r="R45" s="215"/>
      <c r="S45" s="217"/>
      <c r="T45" s="217"/>
      <c r="U45" s="213"/>
      <c r="V45" s="215"/>
      <c r="W45" s="215"/>
      <c r="X45" s="217"/>
      <c r="Y45" s="217"/>
      <c r="Z45" s="213"/>
      <c r="AA45" s="215">
        <f ca="1">IFERROR(__xludf.DUMMYFUNCTION("""COMPUTED_VALUE"""),2911569)</f>
        <v>2911569</v>
      </c>
      <c r="AB45" s="215" t="str">
        <f ca="1">IFERROR(__xludf.DUMMYFUNCTION("""COMPUTED_VALUE"""),"Intermediate")</f>
        <v>Intermediate</v>
      </c>
      <c r="AC45" s="217" t="str">
        <f ca="1">IFERROR(__xludf.DUMMYFUNCTION("""COMPUTED_VALUE"""),"O Futuro da Gestão de Desempenho")</f>
        <v>O Futuro da Gestão de Desempenho</v>
      </c>
      <c r="AD45" s="217"/>
      <c r="AE45" s="213"/>
      <c r="AF45" s="215"/>
      <c r="AG45" s="215"/>
      <c r="AH45" s="217"/>
      <c r="AI45" s="217"/>
      <c r="AJ45" s="213"/>
    </row>
    <row r="46" spans="1:36" ht="33.75" customHeight="1">
      <c r="A46" s="213"/>
      <c r="B46" s="214">
        <f ca="1">IFERROR(__xludf.DUMMYFUNCTION("""COMPUTED_VALUE"""),656781)</f>
        <v>656781</v>
      </c>
      <c r="C46" s="215" t="str">
        <f ca="1">IFERROR(__xludf.DUMMYFUNCTION("""COMPUTED_VALUE"""),"Intermediate")</f>
        <v>Intermediate</v>
      </c>
      <c r="D46" s="216" t="str">
        <f ca="1">IFERROR(__xludf.DUMMYFUNCTION("""COMPUTED_VALUE"""),"Facilitation Skills for Managers and Leaders")</f>
        <v>Facilitation Skills for Managers and Leaders</v>
      </c>
      <c r="E46" s="217"/>
      <c r="F46" s="213"/>
      <c r="G46" s="214">
        <f ca="1">IFERROR(__xludf.DUMMYFUNCTION("""COMPUTED_VALUE"""),796910)</f>
        <v>796910</v>
      </c>
      <c r="H46" s="215" t="str">
        <f ca="1">IFERROR(__xludf.DUMMYFUNCTION("""COMPUTED_VALUE"""),"Intermediate")</f>
        <v>Intermediate</v>
      </c>
      <c r="I46" s="217" t="str">
        <f ca="1">IFERROR(__xludf.DUMMYFUNCTION("""COMPUTED_VALUE"""),"Mesurer les performances d’équipe")</f>
        <v>Mesurer les performances d’équipe</v>
      </c>
      <c r="J46" s="217"/>
      <c r="K46" s="213"/>
      <c r="L46" s="215"/>
      <c r="M46" s="215"/>
      <c r="N46" s="217"/>
      <c r="O46" s="217"/>
      <c r="P46" s="213"/>
      <c r="Q46" s="215"/>
      <c r="R46" s="215"/>
      <c r="S46" s="217"/>
      <c r="T46" s="217"/>
      <c r="U46" s="213"/>
      <c r="V46" s="215"/>
      <c r="W46" s="215"/>
      <c r="X46" s="217"/>
      <c r="Y46" s="217"/>
      <c r="Z46" s="213"/>
      <c r="AA46" s="215">
        <f ca="1">IFERROR(__xludf.DUMMYFUNCTION("""COMPUTED_VALUE"""),753066)</f>
        <v>753066</v>
      </c>
      <c r="AB46" s="215" t="str">
        <f ca="1">IFERROR(__xludf.DUMMYFUNCTION("""COMPUTED_VALUE"""),"Intermediate")</f>
        <v>Intermediate</v>
      </c>
      <c r="AC46" s="217" t="str">
        <f ca="1">IFERROR(__xludf.DUMMYFUNCTION("""COMPUTED_VALUE"""),"O Poder da Autenticidade na Liderança 4.0")</f>
        <v>O Poder da Autenticidade na Liderança 4.0</v>
      </c>
      <c r="AD46" s="217"/>
      <c r="AE46" s="213"/>
      <c r="AF46" s="215"/>
      <c r="AG46" s="215"/>
      <c r="AH46" s="217"/>
      <c r="AI46" s="217"/>
      <c r="AJ46" s="213"/>
    </row>
    <row r="47" spans="1:36" ht="33.75" customHeight="1">
      <c r="A47" s="213"/>
      <c r="B47" s="214">
        <f ca="1">IFERROR(__xludf.DUMMYFUNCTION("""COMPUTED_VALUE"""),175129)</f>
        <v>175129</v>
      </c>
      <c r="C47" s="215" t="str">
        <f ca="1">IFERROR(__xludf.DUMMYFUNCTION("""COMPUTED_VALUE"""),"Intermediate")</f>
        <v>Intermediate</v>
      </c>
      <c r="D47" s="216" t="str">
        <f ca="1">IFERROR(__xludf.DUMMYFUNCTION("""COMPUTED_VALUE"""),"Leading and Working in Teams")</f>
        <v>Leading and Working in Teams</v>
      </c>
      <c r="E47" s="217"/>
      <c r="F47" s="213"/>
      <c r="G47" s="214">
        <f ca="1">IFERROR(__xludf.DUMMYFUNCTION("""COMPUTED_VALUE"""),2898800)</f>
        <v>2898800</v>
      </c>
      <c r="H47" s="215" t="str">
        <f ca="1">IFERROR(__xludf.DUMMYFUNCTION("""COMPUTED_VALUE"""),"Intermediate")</f>
        <v>Intermediate</v>
      </c>
      <c r="I47" s="217" t="str">
        <f ca="1">IFERROR(__xludf.DUMMYFUNCTION("""COMPUTED_VALUE"""),"Motiver ses équipes quand on est soi même épuisé et stressé")</f>
        <v>Motiver ses équipes quand on est soi même épuisé et stressé</v>
      </c>
      <c r="J47" s="217"/>
      <c r="K47" s="213"/>
      <c r="L47" s="215"/>
      <c r="M47" s="215"/>
      <c r="N47" s="217"/>
      <c r="O47" s="217"/>
      <c r="P47" s="213"/>
      <c r="Q47" s="215"/>
      <c r="R47" s="215"/>
      <c r="S47" s="217"/>
      <c r="T47" s="217"/>
      <c r="U47" s="213"/>
      <c r="V47" s="215"/>
      <c r="W47" s="215"/>
      <c r="X47" s="217"/>
      <c r="Y47" s="217"/>
      <c r="Z47" s="213"/>
      <c r="AA47" s="215">
        <f ca="1">IFERROR(__xludf.DUMMYFUNCTION("""COMPUTED_VALUE"""),753081)</f>
        <v>753081</v>
      </c>
      <c r="AB47" s="215" t="str">
        <f ca="1">IFERROR(__xludf.DUMMYFUNCTION("""COMPUTED_VALUE"""),"Beginner")</f>
        <v>Beginner</v>
      </c>
      <c r="AC47" s="217" t="str">
        <f ca="1">IFERROR(__xludf.DUMMYFUNCTION("""COMPUTED_VALUE"""),"O Poder do Coaching no Desenvolvimento dos Colaboradores")</f>
        <v>O Poder do Coaching no Desenvolvimento dos Colaboradores</v>
      </c>
      <c r="AD47" s="217"/>
      <c r="AE47" s="213"/>
      <c r="AF47" s="215"/>
      <c r="AG47" s="215"/>
      <c r="AH47" s="217"/>
      <c r="AI47" s="217"/>
      <c r="AJ47" s="213"/>
    </row>
    <row r="48" spans="1:36" ht="33.75" customHeight="1">
      <c r="A48" s="213"/>
      <c r="B48" s="214">
        <f ca="1">IFERROR(__xludf.DUMMYFUNCTION("""COMPUTED_VALUE"""),746305)</f>
        <v>746305</v>
      </c>
      <c r="C48" s="215" t="str">
        <f ca="1">IFERROR(__xludf.DUMMYFUNCTION("""COMPUTED_VALUE"""),"Intermediate")</f>
        <v>Intermediate</v>
      </c>
      <c r="D48" s="216" t="str">
        <f ca="1">IFERROR(__xludf.DUMMYFUNCTION("""COMPUTED_VALUE"""),"Managing Employee Performance Problems")</f>
        <v>Managing Employee Performance Problems</v>
      </c>
      <c r="E48" s="217"/>
      <c r="F48" s="213"/>
      <c r="G48" s="214"/>
      <c r="H48" s="215"/>
      <c r="I48" s="217"/>
      <c r="J48" s="217"/>
      <c r="K48" s="213"/>
      <c r="L48" s="215"/>
      <c r="M48" s="215"/>
      <c r="N48" s="217"/>
      <c r="O48" s="217"/>
      <c r="P48" s="213"/>
      <c r="Q48" s="215"/>
      <c r="R48" s="215"/>
      <c r="S48" s="217"/>
      <c r="T48" s="217"/>
      <c r="U48" s="213"/>
      <c r="V48" s="215"/>
      <c r="W48" s="215"/>
      <c r="X48" s="217"/>
      <c r="Y48" s="217"/>
      <c r="Z48" s="213"/>
      <c r="AA48" s="215">
        <f ca="1">IFERROR(__xludf.DUMMYFUNCTION("""COMPUTED_VALUE"""),2841354)</f>
        <v>2841354</v>
      </c>
      <c r="AB48" s="215" t="str">
        <f ca="1">IFERROR(__xludf.DUMMYFUNCTION("""COMPUTED_VALUE"""),"All levels")</f>
        <v>All levels</v>
      </c>
      <c r="AC48" s="217" t="str">
        <f ca="1">IFERROR(__xludf.DUMMYFUNCTION("""COMPUTED_VALUE"""),"Presença Executiva para Mulheres em Cargos de Liderança")</f>
        <v>Presença Executiva para Mulheres em Cargos de Liderança</v>
      </c>
      <c r="AD48" s="217"/>
      <c r="AE48" s="213"/>
      <c r="AF48" s="215"/>
      <c r="AG48" s="215"/>
      <c r="AH48" s="217"/>
      <c r="AI48" s="217"/>
      <c r="AJ48" s="213"/>
    </row>
    <row r="49" spans="1:36" ht="33.75" customHeight="1">
      <c r="A49" s="213"/>
      <c r="B49" s="214">
        <f ca="1">IFERROR(__xludf.DUMMYFUNCTION("""COMPUTED_VALUE"""),2802024)</f>
        <v>2802024</v>
      </c>
      <c r="C49" s="215" t="str">
        <f ca="1">IFERROR(__xludf.DUMMYFUNCTION("""COMPUTED_VALUE"""),"Intermediate")</f>
        <v>Intermediate</v>
      </c>
      <c r="D49" s="216" t="str">
        <f ca="1">IFERROR(__xludf.DUMMYFUNCTION("""COMPUTED_VALUE"""),"Business Ethics for Managers and Leaders")</f>
        <v>Business Ethics for Managers and Leaders</v>
      </c>
      <c r="E49" s="217"/>
      <c r="F49" s="213"/>
      <c r="G49" s="214"/>
      <c r="H49" s="215"/>
      <c r="I49" s="217"/>
      <c r="J49" s="217"/>
      <c r="K49" s="213"/>
      <c r="L49" s="215"/>
      <c r="M49" s="215"/>
      <c r="N49" s="217"/>
      <c r="O49" s="217"/>
      <c r="P49" s="213"/>
      <c r="Q49" s="215"/>
      <c r="R49" s="215"/>
      <c r="S49" s="217"/>
      <c r="T49" s="217"/>
      <c r="U49" s="213"/>
      <c r="V49" s="215"/>
      <c r="W49" s="215"/>
      <c r="X49" s="217"/>
      <c r="Y49" s="217"/>
      <c r="Z49" s="213"/>
      <c r="AA49" s="215">
        <f ca="1">IFERROR(__xludf.DUMMYFUNCTION("""COMPUTED_VALUE"""),2432281)</f>
        <v>2432281</v>
      </c>
      <c r="AB49" s="215" t="str">
        <f ca="1">IFERROR(__xludf.DUMMYFUNCTION("""COMPUTED_VALUE"""),"Beginner, Intermediate")</f>
        <v>Beginner, Intermediate</v>
      </c>
      <c r="AC49" s="217" t="str">
        <f ca="1">IFERROR(__xludf.DUMMYFUNCTION("""COMPUTED_VALUE"""),"Princípios Básicos para Gerentes Iniciantes")</f>
        <v>Princípios Básicos para Gerentes Iniciantes</v>
      </c>
      <c r="AD49" s="217"/>
      <c r="AE49" s="213"/>
      <c r="AF49" s="215"/>
      <c r="AG49" s="215"/>
      <c r="AH49" s="217"/>
      <c r="AI49" s="217"/>
      <c r="AJ49" s="213"/>
    </row>
    <row r="50" spans="1:36" ht="33.75" customHeight="1">
      <c r="A50" s="213"/>
      <c r="B50" s="214">
        <f ca="1">IFERROR(__xludf.DUMMYFUNCTION("""COMPUTED_VALUE"""),2822159)</f>
        <v>2822159</v>
      </c>
      <c r="C50" s="215" t="str">
        <f ca="1">IFERROR(__xludf.DUMMYFUNCTION("""COMPUTED_VALUE"""),"Intermediate")</f>
        <v>Intermediate</v>
      </c>
      <c r="D50" s="216" t="str">
        <f ca="1">IFERROR(__xludf.DUMMYFUNCTION("""COMPUTED_VALUE"""),"Managing for Better Ideas")</f>
        <v>Managing for Better Ideas</v>
      </c>
      <c r="E50" s="217"/>
      <c r="F50" s="213"/>
      <c r="G50" s="214"/>
      <c r="H50" s="215"/>
      <c r="I50" s="217"/>
      <c r="J50" s="217"/>
      <c r="K50" s="213"/>
      <c r="L50" s="215"/>
      <c r="M50" s="215"/>
      <c r="N50" s="217"/>
      <c r="O50" s="217"/>
      <c r="P50" s="213"/>
      <c r="Q50" s="215"/>
      <c r="R50" s="215"/>
      <c r="S50" s="217"/>
      <c r="T50" s="217"/>
      <c r="U50" s="213"/>
      <c r="V50" s="215"/>
      <c r="W50" s="215"/>
      <c r="X50" s="217"/>
      <c r="Y50" s="217"/>
      <c r="Z50" s="213"/>
      <c r="AA50" s="215">
        <f ca="1">IFERROR(__xludf.DUMMYFUNCTION("""COMPUTED_VALUE"""),753071)</f>
        <v>753071</v>
      </c>
      <c r="AB50" s="215" t="str">
        <f ca="1">IFERROR(__xludf.DUMMYFUNCTION("""COMPUTED_VALUE"""),"Beginner")</f>
        <v>Beginner</v>
      </c>
      <c r="AC50" s="217" t="str">
        <f ca="1">IFERROR(__xludf.DUMMYFUNCTION("""COMPUTED_VALUE"""),"Princípios Básicos para Novos Cargos de Gestão")</f>
        <v>Princípios Básicos para Novos Cargos de Gestão</v>
      </c>
      <c r="AD50" s="217"/>
      <c r="AE50" s="213"/>
      <c r="AF50" s="215"/>
      <c r="AG50" s="215"/>
      <c r="AH50" s="217"/>
      <c r="AI50" s="217"/>
      <c r="AJ50" s="213"/>
    </row>
    <row r="51" spans="1:36" ht="33.75" customHeight="1">
      <c r="A51" s="213"/>
      <c r="B51" s="214">
        <f ca="1">IFERROR(__xludf.DUMMYFUNCTION("""COMPUTED_VALUE"""),2228264)</f>
        <v>2228264</v>
      </c>
      <c r="C51" s="215" t="str">
        <f ca="1">IFERROR(__xludf.DUMMYFUNCTION("""COMPUTED_VALUE"""),"Intermediate")</f>
        <v>Intermediate</v>
      </c>
      <c r="D51" s="216" t="str">
        <f ca="1">IFERROR(__xludf.DUMMYFUNCTION("""COMPUTED_VALUE"""),"Having Career Conversations with Your Team")</f>
        <v>Having Career Conversations with Your Team</v>
      </c>
      <c r="E51" s="217"/>
      <c r="F51" s="213"/>
      <c r="G51" s="214"/>
      <c r="H51" s="215"/>
      <c r="I51" s="217"/>
      <c r="J51" s="217"/>
      <c r="K51" s="213"/>
      <c r="L51" s="215"/>
      <c r="M51" s="215"/>
      <c r="N51" s="217"/>
      <c r="O51" s="217"/>
      <c r="P51" s="213"/>
      <c r="Q51" s="215"/>
      <c r="R51" s="215"/>
      <c r="S51" s="217"/>
      <c r="T51" s="217"/>
      <c r="U51" s="213"/>
      <c r="V51" s="215"/>
      <c r="W51" s="215"/>
      <c r="X51" s="217"/>
      <c r="Y51" s="217"/>
      <c r="Z51" s="213"/>
      <c r="AA51" s="215">
        <f ca="1">IFERROR(__xludf.DUMMYFUNCTION("""COMPUTED_VALUE"""),2928591)</f>
        <v>2928591</v>
      </c>
      <c r="AB51" s="215" t="str">
        <f ca="1">IFERROR(__xludf.DUMMYFUNCTION("""COMPUTED_VALUE"""),"Intermediate")</f>
        <v>Intermediate</v>
      </c>
      <c r="AC51" s="217" t="str">
        <f ca="1">IFERROR(__xludf.DUMMYFUNCTION("""COMPUTED_VALUE"""),"Recursos Humanos: Estratégias de Remuneração")</f>
        <v>Recursos Humanos: Estratégias de Remuneração</v>
      </c>
      <c r="AD51" s="217"/>
      <c r="AE51" s="213"/>
      <c r="AF51" s="215"/>
      <c r="AG51" s="215"/>
      <c r="AH51" s="217"/>
      <c r="AI51" s="217"/>
      <c r="AJ51" s="213"/>
    </row>
    <row r="52" spans="1:36" ht="33.75" customHeight="1">
      <c r="A52" s="213"/>
      <c r="B52" s="214">
        <f ca="1">IFERROR(__xludf.DUMMYFUNCTION("""COMPUTED_VALUE"""),2820016)</f>
        <v>2820016</v>
      </c>
      <c r="C52" s="215" t="str">
        <f ca="1">IFERROR(__xludf.DUMMYFUNCTION("""COMPUTED_VALUE"""),"Intermediate")</f>
        <v>Intermediate</v>
      </c>
      <c r="D52" s="216" t="str">
        <f ca="1">IFERROR(__xludf.DUMMYFUNCTION("""COMPUTED_VALUE"""),"Succeeding as a First-Time Tech Manager")</f>
        <v>Succeeding as a First-Time Tech Manager</v>
      </c>
      <c r="E52" s="217"/>
      <c r="F52" s="213"/>
      <c r="G52" s="214"/>
      <c r="H52" s="215"/>
      <c r="I52" s="217"/>
      <c r="J52" s="217"/>
      <c r="K52" s="213"/>
      <c r="L52" s="215"/>
      <c r="M52" s="215"/>
      <c r="N52" s="217"/>
      <c r="O52" s="217"/>
      <c r="P52" s="213"/>
      <c r="Q52" s="215"/>
      <c r="R52" s="215"/>
      <c r="S52" s="217"/>
      <c r="T52" s="217"/>
      <c r="U52" s="213"/>
      <c r="V52" s="215"/>
      <c r="W52" s="215"/>
      <c r="X52" s="217"/>
      <c r="Y52" s="217"/>
      <c r="Z52" s="213"/>
      <c r="AA52" s="215">
        <f ca="1">IFERROR(__xludf.DUMMYFUNCTION("""COMPUTED_VALUE"""),2394498)</f>
        <v>2394498</v>
      </c>
      <c r="AB52" s="215" t="str">
        <f ca="1">IFERROR(__xludf.DUMMYFUNCTION("""COMPUTED_VALUE"""),"Intermediate")</f>
        <v>Intermediate</v>
      </c>
      <c r="AC52" s="217" t="str">
        <f ca="1">IFERROR(__xludf.DUMMYFUNCTION("""COMPUTED_VALUE"""),"Resiliência na Liderança: Como Prosperar em Tempos Difíceis")</f>
        <v>Resiliência na Liderança: Como Prosperar em Tempos Difíceis</v>
      </c>
      <c r="AD52" s="217"/>
      <c r="AE52" s="213"/>
      <c r="AF52" s="215"/>
      <c r="AG52" s="215"/>
      <c r="AH52" s="217"/>
      <c r="AI52" s="217"/>
      <c r="AJ52" s="213"/>
    </row>
    <row r="53" spans="1:36" ht="33.75" customHeight="1">
      <c r="A53" s="213"/>
      <c r="B53" s="214">
        <f ca="1">IFERROR(__xludf.DUMMYFUNCTION("""COMPUTED_VALUE"""),2885092)</f>
        <v>2885092</v>
      </c>
      <c r="C53" s="215" t="str">
        <f ca="1">IFERROR(__xludf.DUMMYFUNCTION("""COMPUTED_VALUE"""),"Intermediate")</f>
        <v>Intermediate</v>
      </c>
      <c r="D53" s="216" t="str">
        <f ca="1">IFERROR(__xludf.DUMMYFUNCTION("""COMPUTED_VALUE"""),"Managing Skills for Remote Leaders")</f>
        <v>Managing Skills for Remote Leaders</v>
      </c>
      <c r="E53" s="217"/>
      <c r="F53" s="213"/>
      <c r="G53" s="214"/>
      <c r="H53" s="215"/>
      <c r="I53" s="217"/>
      <c r="J53" s="217"/>
      <c r="K53" s="213"/>
      <c r="L53" s="215"/>
      <c r="M53" s="215"/>
      <c r="N53" s="217"/>
      <c r="O53" s="217"/>
      <c r="P53" s="213"/>
      <c r="Q53" s="215"/>
      <c r="R53" s="215"/>
      <c r="S53" s="217"/>
      <c r="T53" s="217"/>
      <c r="U53" s="213"/>
      <c r="V53" s="215"/>
      <c r="W53" s="215"/>
      <c r="X53" s="217"/>
      <c r="Y53" s="217"/>
      <c r="Z53" s="213"/>
      <c r="AA53" s="215">
        <f ca="1">IFERROR(__xludf.DUMMYFUNCTION("""COMPUTED_VALUE"""),753068)</f>
        <v>753068</v>
      </c>
      <c r="AB53" s="215" t="str">
        <f ca="1">IFERROR(__xludf.DUMMYFUNCTION("""COMPUTED_VALUE"""),"Beginner")</f>
        <v>Beginner</v>
      </c>
      <c r="AC53" s="217" t="str">
        <f ca="1">IFERROR(__xludf.DUMMYFUNCTION("""COMPUTED_VALUE"""),"Reuniões")</f>
        <v>Reuniões</v>
      </c>
      <c r="AD53" s="217"/>
      <c r="AE53" s="213"/>
      <c r="AF53" s="215"/>
      <c r="AG53" s="215"/>
      <c r="AH53" s="217"/>
      <c r="AI53" s="217"/>
      <c r="AJ53" s="213"/>
    </row>
    <row r="54" spans="1:36" ht="33.75" customHeight="1">
      <c r="A54" s="213"/>
      <c r="B54" s="214">
        <f ca="1">IFERROR(__xludf.DUMMYFUNCTION("""COMPUTED_VALUE"""),2882043)</f>
        <v>2882043</v>
      </c>
      <c r="C54" s="215" t="str">
        <f ca="1">IFERROR(__xludf.DUMMYFUNCTION("""COMPUTED_VALUE"""),"Intermediate")</f>
        <v>Intermediate</v>
      </c>
      <c r="D54" s="216" t="str">
        <f ca="1">IFERROR(__xludf.DUMMYFUNCTION("""COMPUTED_VALUE"""),"Leadership through Feedback")</f>
        <v>Leadership through Feedback</v>
      </c>
      <c r="E54" s="217"/>
      <c r="F54" s="213"/>
      <c r="G54" s="214"/>
      <c r="H54" s="215"/>
      <c r="I54" s="217"/>
      <c r="J54" s="217"/>
      <c r="K54" s="213"/>
      <c r="L54" s="215"/>
      <c r="M54" s="215"/>
      <c r="N54" s="217"/>
      <c r="O54" s="217"/>
      <c r="P54" s="213"/>
      <c r="Q54" s="215"/>
      <c r="R54" s="215"/>
      <c r="S54" s="217"/>
      <c r="T54" s="217"/>
      <c r="U54" s="213"/>
      <c r="V54" s="215"/>
      <c r="W54" s="215"/>
      <c r="X54" s="217"/>
      <c r="Y54" s="217"/>
      <c r="Z54" s="213"/>
      <c r="AA54" s="215">
        <f ca="1">IFERROR(__xludf.DUMMYFUNCTION("""COMPUTED_VALUE"""),2903152)</f>
        <v>2903152</v>
      </c>
      <c r="AB54" s="215" t="str">
        <f ca="1">IFERROR(__xludf.DUMMYFUNCTION("""COMPUTED_VALUE"""),"All levels")</f>
        <v>All levels</v>
      </c>
      <c r="AC54" s="217" t="str">
        <f ca="1">IFERROR(__xludf.DUMMYFUNCTION("""COMPUTED_VALUE"""),"Técnicas de Gestão de Tempo para Gerentes")</f>
        <v>Técnicas de Gestão de Tempo para Gerentes</v>
      </c>
      <c r="AD54" s="217"/>
      <c r="AE54" s="213"/>
      <c r="AF54" s="215"/>
      <c r="AG54" s="215"/>
      <c r="AH54" s="217"/>
      <c r="AI54" s="217"/>
      <c r="AJ54" s="213"/>
    </row>
    <row r="55" spans="1:36" ht="33.75" customHeight="1">
      <c r="A55" s="213"/>
      <c r="B55" s="214">
        <f ca="1">IFERROR(__xludf.DUMMYFUNCTION("""COMPUTED_VALUE"""),126132)</f>
        <v>126132</v>
      </c>
      <c r="C55" s="215" t="str">
        <f ca="1">IFERROR(__xludf.DUMMYFUNCTION("""COMPUTED_VALUE"""),"Intermediate")</f>
        <v>Intermediate</v>
      </c>
      <c r="D55" s="216" t="str">
        <f ca="1">IFERROR(__xludf.DUMMYFUNCTION("""COMPUTED_VALUE"""),"Management Tips")</f>
        <v>Management Tips</v>
      </c>
      <c r="E55" s="217"/>
      <c r="F55" s="213"/>
      <c r="G55" s="214"/>
      <c r="H55" s="215"/>
      <c r="I55" s="217"/>
      <c r="J55" s="217"/>
      <c r="K55" s="213"/>
      <c r="L55" s="215"/>
      <c r="M55" s="215"/>
      <c r="N55" s="217"/>
      <c r="O55" s="217"/>
      <c r="P55" s="213"/>
      <c r="Q55" s="215"/>
      <c r="R55" s="215"/>
      <c r="S55" s="217"/>
      <c r="T55" s="217"/>
      <c r="U55" s="213"/>
      <c r="V55" s="215"/>
      <c r="W55" s="215"/>
      <c r="X55" s="217"/>
      <c r="Y55" s="217"/>
      <c r="Z55" s="213"/>
      <c r="AA55" s="215"/>
      <c r="AB55" s="215"/>
      <c r="AC55" s="217"/>
      <c r="AD55" s="217"/>
      <c r="AE55" s="213"/>
      <c r="AF55" s="215"/>
      <c r="AG55" s="215"/>
      <c r="AH55" s="217"/>
      <c r="AI55" s="217"/>
      <c r="AJ55" s="213"/>
    </row>
    <row r="56" spans="1:36" ht="33.75" customHeight="1">
      <c r="A56" s="213"/>
      <c r="B56" s="214">
        <f ca="1">IFERROR(__xludf.DUMMYFUNCTION("""COMPUTED_VALUE"""),2889112)</f>
        <v>2889112</v>
      </c>
      <c r="C56" s="215" t="str">
        <f ca="1">IFERROR(__xludf.DUMMYFUNCTION("""COMPUTED_VALUE"""),"Intermediate")</f>
        <v>Intermediate</v>
      </c>
      <c r="D56" s="216" t="str">
        <f ca="1">IFERROR(__xludf.DUMMYFUNCTION("""COMPUTED_VALUE"""),"How to Be an Effective Remote Manager")</f>
        <v>How to Be an Effective Remote Manager</v>
      </c>
      <c r="E56" s="217"/>
      <c r="F56" s="213"/>
      <c r="G56" s="214"/>
      <c r="H56" s="215"/>
      <c r="I56" s="217"/>
      <c r="J56" s="217"/>
      <c r="K56" s="213"/>
      <c r="L56" s="215"/>
      <c r="M56" s="215"/>
      <c r="N56" s="217"/>
      <c r="O56" s="217"/>
      <c r="P56" s="213"/>
      <c r="Q56" s="215"/>
      <c r="R56" s="215"/>
      <c r="S56" s="217"/>
      <c r="T56" s="217"/>
      <c r="U56" s="213"/>
      <c r="V56" s="215"/>
      <c r="W56" s="215"/>
      <c r="X56" s="217"/>
      <c r="Y56" s="217"/>
      <c r="Z56" s="213"/>
      <c r="AA56" s="215"/>
      <c r="AB56" s="215"/>
      <c r="AC56" s="217"/>
      <c r="AD56" s="217"/>
      <c r="AE56" s="213"/>
      <c r="AF56" s="215"/>
      <c r="AG56" s="215"/>
      <c r="AH56" s="217"/>
      <c r="AI56" s="217"/>
      <c r="AJ56" s="213"/>
    </row>
    <row r="57" spans="1:36" ht="33.75" customHeight="1">
      <c r="A57" s="213"/>
      <c r="B57" s="214">
        <f ca="1">IFERROR(__xludf.DUMMYFUNCTION("""COMPUTED_VALUE"""),2888109)</f>
        <v>2888109</v>
      </c>
      <c r="C57" s="215" t="str">
        <f ca="1">IFERROR(__xludf.DUMMYFUNCTION("""COMPUTED_VALUE"""),"Intermediate")</f>
        <v>Intermediate</v>
      </c>
      <c r="D57" s="216" t="str">
        <f ca="1">IFERROR(__xludf.DUMMYFUNCTION("""COMPUTED_VALUE"""),"How to Build Virtual Accountability")</f>
        <v>How to Build Virtual Accountability</v>
      </c>
      <c r="E57" s="217"/>
      <c r="F57" s="213"/>
      <c r="G57" s="214"/>
      <c r="H57" s="215"/>
      <c r="I57" s="217"/>
      <c r="J57" s="217"/>
      <c r="K57" s="213"/>
      <c r="L57" s="215"/>
      <c r="M57" s="215"/>
      <c r="N57" s="217"/>
      <c r="O57" s="217"/>
      <c r="P57" s="213"/>
      <c r="Q57" s="215"/>
      <c r="R57" s="215"/>
      <c r="S57" s="217"/>
      <c r="T57" s="217"/>
      <c r="U57" s="213"/>
      <c r="V57" s="215"/>
      <c r="W57" s="215"/>
      <c r="X57" s="217"/>
      <c r="Y57" s="217"/>
      <c r="Z57" s="213"/>
      <c r="AA57" s="215"/>
      <c r="AB57" s="215"/>
      <c r="AC57" s="217"/>
      <c r="AD57" s="217"/>
      <c r="AE57" s="213"/>
      <c r="AF57" s="215"/>
      <c r="AG57" s="215"/>
      <c r="AH57" s="217"/>
      <c r="AI57" s="217"/>
      <c r="AJ57" s="213"/>
    </row>
    <row r="58" spans="1:36" ht="33.75" customHeight="1">
      <c r="A58" s="213"/>
      <c r="B58" s="214">
        <f ca="1">IFERROR(__xludf.DUMMYFUNCTION("""COMPUTED_VALUE"""),2423648)</f>
        <v>2423648</v>
      </c>
      <c r="C58" s="215" t="str">
        <f ca="1">IFERROR(__xludf.DUMMYFUNCTION("""COMPUTED_VALUE"""),"Intermediate")</f>
        <v>Intermediate</v>
      </c>
      <c r="D58" s="216" t="str">
        <f ca="1">IFERROR(__xludf.DUMMYFUNCTION("""COMPUTED_VALUE"""),"Delegating from a Distance")</f>
        <v>Delegating from a Distance</v>
      </c>
      <c r="E58" s="217"/>
      <c r="F58" s="213"/>
      <c r="G58" s="214"/>
      <c r="H58" s="215"/>
      <c r="I58" s="217"/>
      <c r="J58" s="217"/>
      <c r="K58" s="213"/>
      <c r="L58" s="215"/>
      <c r="M58" s="215"/>
      <c r="N58" s="217"/>
      <c r="O58" s="217"/>
      <c r="P58" s="213"/>
      <c r="Q58" s="215"/>
      <c r="R58" s="215"/>
      <c r="S58" s="217"/>
      <c r="T58" s="217"/>
      <c r="U58" s="213"/>
      <c r="V58" s="215"/>
      <c r="W58" s="215"/>
      <c r="X58" s="217"/>
      <c r="Y58" s="217"/>
      <c r="Z58" s="213"/>
      <c r="AA58" s="215"/>
      <c r="AB58" s="215"/>
      <c r="AC58" s="217"/>
      <c r="AD58" s="217"/>
      <c r="AE58" s="213"/>
      <c r="AF58" s="215"/>
      <c r="AG58" s="215"/>
      <c r="AH58" s="217"/>
      <c r="AI58" s="217"/>
      <c r="AJ58" s="213"/>
    </row>
    <row r="59" spans="1:36" ht="33.75" customHeight="1">
      <c r="A59" s="213"/>
      <c r="B59" s="214">
        <f ca="1">IFERROR(__xludf.DUMMYFUNCTION("""COMPUTED_VALUE"""),2880061)</f>
        <v>2880061</v>
      </c>
      <c r="C59" s="215" t="str">
        <f ca="1">IFERROR(__xludf.DUMMYFUNCTION("""COMPUTED_VALUE"""),"Intermediate")</f>
        <v>Intermediate</v>
      </c>
      <c r="D59" s="216" t="str">
        <f ca="1">IFERROR(__xludf.DUMMYFUNCTION("""COMPUTED_VALUE"""),"Become a Better Coach for Your Team")</f>
        <v>Become a Better Coach for Your Team</v>
      </c>
      <c r="E59" s="217"/>
      <c r="F59" s="213"/>
      <c r="G59" s="214"/>
      <c r="H59" s="215"/>
      <c r="I59" s="217"/>
      <c r="J59" s="217"/>
      <c r="K59" s="213"/>
      <c r="L59" s="215"/>
      <c r="M59" s="215"/>
      <c r="N59" s="217"/>
      <c r="O59" s="217"/>
      <c r="P59" s="213"/>
      <c r="Q59" s="215"/>
      <c r="R59" s="215"/>
      <c r="S59" s="217"/>
      <c r="T59" s="217"/>
      <c r="U59" s="213"/>
      <c r="V59" s="215"/>
      <c r="W59" s="215"/>
      <c r="X59" s="217"/>
      <c r="Y59" s="217"/>
      <c r="Z59" s="213"/>
      <c r="AA59" s="215"/>
      <c r="AB59" s="215"/>
      <c r="AC59" s="217"/>
      <c r="AD59" s="217"/>
      <c r="AE59" s="213"/>
      <c r="AF59" s="215"/>
      <c r="AG59" s="215"/>
      <c r="AH59" s="217"/>
      <c r="AI59" s="217"/>
      <c r="AJ59" s="213"/>
    </row>
    <row r="60" spans="1:36" ht="33.75" customHeight="1">
      <c r="A60" s="213"/>
      <c r="B60" s="214">
        <f ca="1">IFERROR(__xludf.DUMMYFUNCTION("""COMPUTED_VALUE"""),647657)</f>
        <v>647657</v>
      </c>
      <c r="C60" s="215" t="str">
        <f ca="1">IFERROR(__xludf.DUMMYFUNCTION("""COMPUTED_VALUE"""),"General")</f>
        <v>General</v>
      </c>
      <c r="D60" s="216" t="str">
        <f ca="1">IFERROR(__xludf.DUMMYFUNCTION("""COMPUTED_VALUE"""),"Boosting Your Team's Productivity")</f>
        <v>Boosting Your Team's Productivity</v>
      </c>
      <c r="E60" s="217"/>
      <c r="F60" s="213"/>
      <c r="G60" s="214"/>
      <c r="H60" s="215"/>
      <c r="I60" s="217"/>
      <c r="J60" s="217"/>
      <c r="K60" s="213"/>
      <c r="L60" s="215"/>
      <c r="M60" s="215"/>
      <c r="N60" s="217"/>
      <c r="O60" s="217"/>
      <c r="P60" s="213"/>
      <c r="Q60" s="215"/>
      <c r="R60" s="215"/>
      <c r="S60" s="217"/>
      <c r="T60" s="217"/>
      <c r="U60" s="213"/>
      <c r="V60" s="215"/>
      <c r="W60" s="215"/>
      <c r="X60" s="217"/>
      <c r="Y60" s="217"/>
      <c r="Z60" s="213"/>
      <c r="AA60" s="215"/>
      <c r="AB60" s="215"/>
      <c r="AC60" s="217"/>
      <c r="AD60" s="217"/>
      <c r="AE60" s="213"/>
      <c r="AF60" s="215"/>
      <c r="AG60" s="215"/>
      <c r="AH60" s="217"/>
      <c r="AI60" s="217"/>
      <c r="AJ60" s="213"/>
    </row>
    <row r="61" spans="1:36" ht="33.75" customHeight="1">
      <c r="A61" s="213"/>
      <c r="B61" s="214">
        <f ca="1">IFERROR(__xludf.DUMMYFUNCTION("""COMPUTED_VALUE"""),746303)</f>
        <v>746303</v>
      </c>
      <c r="C61" s="215" t="str">
        <f ca="1">IFERROR(__xludf.DUMMYFUNCTION("""COMPUTED_VALUE"""),"General")</f>
        <v>General</v>
      </c>
      <c r="D61" s="216" t="str">
        <f ca="1">IFERROR(__xludf.DUMMYFUNCTION("""COMPUTED_VALUE"""),"Having Difficult Conversations")</f>
        <v>Having Difficult Conversations</v>
      </c>
      <c r="E61" s="217"/>
      <c r="F61" s="213"/>
      <c r="G61" s="214"/>
      <c r="H61" s="215"/>
      <c r="I61" s="217"/>
      <c r="J61" s="217"/>
      <c r="K61" s="213"/>
      <c r="L61" s="215"/>
      <c r="M61" s="215"/>
      <c r="N61" s="217"/>
      <c r="O61" s="217"/>
      <c r="P61" s="213"/>
      <c r="Q61" s="215"/>
      <c r="R61" s="215"/>
      <c r="S61" s="217"/>
      <c r="T61" s="217"/>
      <c r="U61" s="213"/>
      <c r="V61" s="215"/>
      <c r="W61" s="215"/>
      <c r="X61" s="217"/>
      <c r="Y61" s="217"/>
      <c r="Z61" s="213"/>
      <c r="AA61" s="215"/>
      <c r="AB61" s="215"/>
      <c r="AC61" s="217"/>
      <c r="AD61" s="217"/>
      <c r="AE61" s="213"/>
      <c r="AF61" s="215"/>
      <c r="AG61" s="215"/>
      <c r="AH61" s="217"/>
      <c r="AI61" s="217"/>
      <c r="AJ61" s="213"/>
    </row>
    <row r="62" spans="1:36" ht="33.75" customHeight="1">
      <c r="A62" s="213"/>
      <c r="B62" s="214">
        <f ca="1">IFERROR(__xludf.DUMMYFUNCTION("""COMPUTED_VALUE"""),2825706)</f>
        <v>2825706</v>
      </c>
      <c r="C62" s="215" t="str">
        <f ca="1">IFERROR(__xludf.DUMMYFUNCTION("""COMPUTED_VALUE"""),"Beginner")</f>
        <v>Beginner</v>
      </c>
      <c r="D62" s="216" t="str">
        <f ca="1">IFERROR(__xludf.DUMMYFUNCTION("""COMPUTED_VALUE"""),"Configure and Manage Office 365 Workload Integrations (Office 365/Microsoft 365)")</f>
        <v>Configure and Manage Office 365 Workload Integrations (Office 365/Microsoft 365)</v>
      </c>
      <c r="E62" s="217"/>
      <c r="F62" s="213"/>
      <c r="G62" s="214"/>
      <c r="H62" s="215"/>
      <c r="I62" s="217"/>
      <c r="J62" s="217"/>
      <c r="K62" s="213"/>
      <c r="L62" s="215"/>
      <c r="M62" s="215"/>
      <c r="N62" s="217"/>
      <c r="O62" s="217"/>
      <c r="P62" s="213"/>
      <c r="Q62" s="215"/>
      <c r="R62" s="215"/>
      <c r="S62" s="217"/>
      <c r="T62" s="217"/>
      <c r="U62" s="213"/>
      <c r="V62" s="215"/>
      <c r="W62" s="215"/>
      <c r="X62" s="217"/>
      <c r="Y62" s="217"/>
      <c r="Z62" s="213"/>
      <c r="AA62" s="215"/>
      <c r="AB62" s="215"/>
      <c r="AC62" s="217"/>
      <c r="AD62" s="217"/>
      <c r="AE62" s="213"/>
      <c r="AF62" s="215"/>
      <c r="AG62" s="215"/>
      <c r="AH62" s="217"/>
      <c r="AI62" s="217"/>
      <c r="AJ62" s="213"/>
    </row>
    <row r="63" spans="1:36" ht="33.75" customHeight="1">
      <c r="A63" s="213"/>
      <c r="B63" s="214">
        <f ca="1">IFERROR(__xludf.DUMMYFUNCTION("""COMPUTED_VALUE"""),2824268)</f>
        <v>2824268</v>
      </c>
      <c r="C63" s="215" t="str">
        <f ca="1">IFERROR(__xludf.DUMMYFUNCTION("""COMPUTED_VALUE"""),"Beginner")</f>
        <v>Beginner</v>
      </c>
      <c r="D63" s="216" t="str">
        <f ca="1">IFERROR(__xludf.DUMMYFUNCTION("""COMPUTED_VALUE"""),"HR Guidelines Everyone Should Know")</f>
        <v>HR Guidelines Everyone Should Know</v>
      </c>
      <c r="E63" s="217"/>
      <c r="F63" s="213"/>
      <c r="G63" s="214"/>
      <c r="H63" s="215"/>
      <c r="I63" s="217"/>
      <c r="J63" s="217"/>
      <c r="K63" s="213"/>
      <c r="L63" s="215"/>
      <c r="M63" s="215"/>
      <c r="N63" s="217"/>
      <c r="O63" s="217"/>
      <c r="P63" s="213"/>
      <c r="Q63" s="215"/>
      <c r="R63" s="215"/>
      <c r="S63" s="217"/>
      <c r="T63" s="217"/>
      <c r="U63" s="213"/>
      <c r="V63" s="215"/>
      <c r="W63" s="215"/>
      <c r="X63" s="217"/>
      <c r="Y63" s="217"/>
      <c r="Z63" s="213"/>
      <c r="AA63" s="215"/>
      <c r="AB63" s="215"/>
      <c r="AC63" s="217"/>
      <c r="AD63" s="217"/>
      <c r="AE63" s="213"/>
      <c r="AF63" s="215"/>
      <c r="AG63" s="215"/>
      <c r="AH63" s="217"/>
      <c r="AI63" s="217"/>
      <c r="AJ63" s="213"/>
    </row>
    <row r="64" spans="1:36" ht="33.75" customHeight="1">
      <c r="A64" s="213"/>
      <c r="B64" s="214">
        <f ca="1">IFERROR(__xludf.DUMMYFUNCTION("""COMPUTED_VALUE"""),2834000)</f>
        <v>2834000</v>
      </c>
      <c r="C64" s="215" t="str">
        <f ca="1">IFERROR(__xludf.DUMMYFUNCTION("""COMPUTED_VALUE"""),"Beginner")</f>
        <v>Beginner</v>
      </c>
      <c r="D64" s="216" t="str">
        <f ca="1">IFERROR(__xludf.DUMMYFUNCTION("""COMPUTED_VALUE"""),"Project Leadership")</f>
        <v>Project Leadership</v>
      </c>
      <c r="E64" s="217"/>
      <c r="F64" s="213"/>
      <c r="G64" s="214"/>
      <c r="H64" s="215"/>
      <c r="I64" s="217"/>
      <c r="J64" s="217"/>
      <c r="K64" s="213"/>
      <c r="L64" s="215"/>
      <c r="M64" s="215"/>
      <c r="N64" s="217"/>
      <c r="O64" s="217"/>
      <c r="P64" s="213"/>
      <c r="Q64" s="215"/>
      <c r="R64" s="215"/>
      <c r="S64" s="217"/>
      <c r="T64" s="217"/>
      <c r="U64" s="213"/>
      <c r="V64" s="215"/>
      <c r="W64" s="215"/>
      <c r="X64" s="217"/>
      <c r="Y64" s="217"/>
      <c r="Z64" s="213"/>
      <c r="AA64" s="215"/>
      <c r="AB64" s="215"/>
      <c r="AC64" s="217"/>
      <c r="AD64" s="217"/>
      <c r="AE64" s="213"/>
      <c r="AF64" s="215"/>
      <c r="AG64" s="215"/>
      <c r="AH64" s="217"/>
      <c r="AI64" s="217"/>
      <c r="AJ64" s="213"/>
    </row>
    <row r="65" spans="1:36" ht="33.75" customHeight="1">
      <c r="A65" s="213"/>
      <c r="B65" s="214">
        <f ca="1">IFERROR(__xludf.DUMMYFUNCTION("""COMPUTED_VALUE"""),2839044)</f>
        <v>2839044</v>
      </c>
      <c r="C65" s="215" t="str">
        <f ca="1">IFERROR(__xludf.DUMMYFUNCTION("""COMPUTED_VALUE"""),"Beginner")</f>
        <v>Beginner</v>
      </c>
      <c r="D65" s="216" t="str">
        <f ca="1">IFERROR(__xludf.DUMMYFUNCTION("""COMPUTED_VALUE"""),"How to Effectively Deliver Criticism")</f>
        <v>How to Effectively Deliver Criticism</v>
      </c>
      <c r="E65" s="217"/>
      <c r="F65" s="213"/>
      <c r="G65" s="214"/>
      <c r="H65" s="215"/>
      <c r="I65" s="217"/>
      <c r="J65" s="217"/>
      <c r="K65" s="213"/>
      <c r="L65" s="215"/>
      <c r="M65" s="215"/>
      <c r="N65" s="217"/>
      <c r="O65" s="217"/>
      <c r="P65" s="213"/>
      <c r="Q65" s="215"/>
      <c r="R65" s="215"/>
      <c r="S65" s="217"/>
      <c r="T65" s="217"/>
      <c r="U65" s="213"/>
      <c r="V65" s="215"/>
      <c r="W65" s="215"/>
      <c r="X65" s="217"/>
      <c r="Y65" s="217"/>
      <c r="Z65" s="213"/>
      <c r="AA65" s="215"/>
      <c r="AB65" s="215"/>
      <c r="AC65" s="217"/>
      <c r="AD65" s="217"/>
      <c r="AE65" s="213"/>
      <c r="AF65" s="215"/>
      <c r="AG65" s="215"/>
      <c r="AH65" s="217"/>
      <c r="AI65" s="217"/>
      <c r="AJ65" s="213"/>
    </row>
    <row r="66" spans="1:36" ht="33.75" customHeight="1">
      <c r="A66" s="213"/>
      <c r="B66" s="214">
        <f ca="1">IFERROR(__xludf.DUMMYFUNCTION("""COMPUTED_VALUE"""),2874216)</f>
        <v>2874216</v>
      </c>
      <c r="C66" s="215" t="str">
        <f ca="1">IFERROR(__xludf.DUMMYFUNCTION("""COMPUTED_VALUE"""),"Beginner")</f>
        <v>Beginner</v>
      </c>
      <c r="D66" s="216" t="str">
        <f ca="1">IFERROR(__xludf.DUMMYFUNCTION("""COMPUTED_VALUE"""),"Mindful Leadership")</f>
        <v>Mindful Leadership</v>
      </c>
      <c r="E66" s="217"/>
      <c r="F66" s="213"/>
      <c r="G66" s="214"/>
      <c r="H66" s="215"/>
      <c r="I66" s="217"/>
      <c r="J66" s="217"/>
      <c r="K66" s="213"/>
      <c r="L66" s="215"/>
      <c r="M66" s="215"/>
      <c r="N66" s="217"/>
      <c r="O66" s="217"/>
      <c r="P66" s="213"/>
      <c r="Q66" s="215"/>
      <c r="R66" s="215"/>
      <c r="S66" s="217"/>
      <c r="T66" s="217"/>
      <c r="U66" s="213"/>
      <c r="V66" s="215"/>
      <c r="W66" s="215"/>
      <c r="X66" s="217"/>
      <c r="Y66" s="217"/>
      <c r="Z66" s="213"/>
      <c r="AA66" s="215"/>
      <c r="AB66" s="215"/>
      <c r="AC66" s="217"/>
      <c r="AD66" s="217"/>
      <c r="AE66" s="213"/>
      <c r="AF66" s="215"/>
      <c r="AG66" s="215"/>
      <c r="AH66" s="217"/>
      <c r="AI66" s="217"/>
      <c r="AJ66" s="213"/>
    </row>
    <row r="67" spans="1:36" ht="33.75" customHeight="1">
      <c r="A67" s="213"/>
      <c r="B67" s="214">
        <f ca="1">IFERROR(__xludf.DUMMYFUNCTION("""COMPUTED_VALUE"""),2426609)</f>
        <v>2426609</v>
      </c>
      <c r="C67" s="215" t="str">
        <f ca="1">IFERROR(__xludf.DUMMYFUNCTION("""COMPUTED_VALUE"""),"Beginner")</f>
        <v>Beginner</v>
      </c>
      <c r="D67" s="216" t="str">
        <f ca="1">IFERROR(__xludf.DUMMYFUNCTION("""COMPUTED_VALUE"""),"The Art of Leadership (getAbstract Summary)")</f>
        <v>The Art of Leadership (getAbstract Summary)</v>
      </c>
      <c r="E67" s="217"/>
      <c r="F67" s="213"/>
      <c r="G67" s="214"/>
      <c r="H67" s="215"/>
      <c r="I67" s="217"/>
      <c r="J67" s="217"/>
      <c r="K67" s="213"/>
      <c r="L67" s="215"/>
      <c r="M67" s="215"/>
      <c r="N67" s="217"/>
      <c r="O67" s="217"/>
      <c r="P67" s="213"/>
      <c r="Q67" s="215"/>
      <c r="R67" s="215"/>
      <c r="S67" s="217"/>
      <c r="T67" s="217"/>
      <c r="U67" s="213"/>
      <c r="V67" s="215"/>
      <c r="W67" s="215"/>
      <c r="X67" s="217"/>
      <c r="Y67" s="217"/>
      <c r="Z67" s="213"/>
      <c r="AA67" s="215"/>
      <c r="AB67" s="215"/>
      <c r="AC67" s="217"/>
      <c r="AD67" s="217"/>
      <c r="AE67" s="213"/>
      <c r="AF67" s="215"/>
      <c r="AG67" s="215"/>
      <c r="AH67" s="217"/>
      <c r="AI67" s="217"/>
      <c r="AJ67" s="213"/>
    </row>
    <row r="68" spans="1:36" ht="33.75" customHeight="1">
      <c r="A68" s="213"/>
      <c r="B68" s="214">
        <f ca="1">IFERROR(__xludf.DUMMYFUNCTION("""COMPUTED_VALUE"""),2888118)</f>
        <v>2888118</v>
      </c>
      <c r="C68" s="215" t="str">
        <f ca="1">IFERROR(__xludf.DUMMYFUNCTION("""COMPUTED_VALUE"""),"Beginner")</f>
        <v>Beginner</v>
      </c>
      <c r="D68" s="216" t="str">
        <f ca="1">IFERROR(__xludf.DUMMYFUNCTION("""COMPUTED_VALUE"""),"How to Stop Wasting Time in Meetings")</f>
        <v>How to Stop Wasting Time in Meetings</v>
      </c>
      <c r="E68" s="217"/>
      <c r="F68" s="213"/>
      <c r="G68" s="214"/>
      <c r="H68" s="215"/>
      <c r="I68" s="217"/>
      <c r="J68" s="217"/>
      <c r="K68" s="213"/>
      <c r="L68" s="215"/>
      <c r="M68" s="215"/>
      <c r="N68" s="217"/>
      <c r="O68" s="217"/>
      <c r="P68" s="213"/>
      <c r="Q68" s="215"/>
      <c r="R68" s="215"/>
      <c r="S68" s="217"/>
      <c r="T68" s="217"/>
      <c r="U68" s="213"/>
      <c r="V68" s="215"/>
      <c r="W68" s="215"/>
      <c r="X68" s="217"/>
      <c r="Y68" s="217"/>
      <c r="Z68" s="213"/>
      <c r="AA68" s="215"/>
      <c r="AB68" s="215"/>
      <c r="AC68" s="217"/>
      <c r="AD68" s="217"/>
      <c r="AE68" s="213"/>
      <c r="AF68" s="215"/>
      <c r="AG68" s="215"/>
      <c r="AH68" s="217"/>
      <c r="AI68" s="217"/>
      <c r="AJ68" s="213"/>
    </row>
    <row r="69" spans="1:36" ht="33.75" customHeight="1">
      <c r="A69" s="213"/>
      <c r="B69" s="214">
        <f ca="1">IFERROR(__xludf.DUMMYFUNCTION("""COMPUTED_VALUE"""),2822414)</f>
        <v>2822414</v>
      </c>
      <c r="C69" s="215" t="str">
        <f ca="1">IFERROR(__xludf.DUMMYFUNCTION("""COMPUTED_VALUE"""),"Beginner + Intermediate")</f>
        <v>Beginner + Intermediate</v>
      </c>
      <c r="D69" s="216" t="str">
        <f ca="1">IFERROR(__xludf.DUMMYFUNCTION("""COMPUTED_VALUE"""),"Just Ask: Todd Dewett on Management and Leadership")</f>
        <v>Just Ask: Todd Dewett on Management and Leadership</v>
      </c>
      <c r="E69" s="217"/>
      <c r="F69" s="213"/>
      <c r="G69" s="214"/>
      <c r="H69" s="215"/>
      <c r="I69" s="217"/>
      <c r="J69" s="217"/>
      <c r="K69" s="213"/>
      <c r="L69" s="215"/>
      <c r="M69" s="215"/>
      <c r="N69" s="217"/>
      <c r="O69" s="217"/>
      <c r="P69" s="213"/>
      <c r="Q69" s="215"/>
      <c r="R69" s="215"/>
      <c r="S69" s="217"/>
      <c r="T69" s="217"/>
      <c r="U69" s="213"/>
      <c r="V69" s="215"/>
      <c r="W69" s="215"/>
      <c r="X69" s="217"/>
      <c r="Y69" s="217"/>
      <c r="Z69" s="213"/>
      <c r="AA69" s="215"/>
      <c r="AB69" s="215"/>
      <c r="AC69" s="217"/>
      <c r="AD69" s="217"/>
      <c r="AE69" s="213"/>
      <c r="AF69" s="215"/>
      <c r="AG69" s="215"/>
      <c r="AH69" s="217"/>
      <c r="AI69" s="217"/>
      <c r="AJ69" s="213"/>
    </row>
    <row r="70" spans="1:36" ht="33.75" customHeight="1">
      <c r="A70" s="213"/>
      <c r="B70" s="214">
        <f ca="1">IFERROR(__xludf.DUMMYFUNCTION("""COMPUTED_VALUE"""),2825489)</f>
        <v>2825489</v>
      </c>
      <c r="C70" s="215" t="str">
        <f ca="1">IFERROR(__xludf.DUMMYFUNCTION("""COMPUTED_VALUE"""),"Beginner + Intermediate")</f>
        <v>Beginner + Intermediate</v>
      </c>
      <c r="D70" s="216" t="str">
        <f ca="1">IFERROR(__xludf.DUMMYFUNCTION("""COMPUTED_VALUE"""),"Recognizing and Rewarding Your Workers")</f>
        <v>Recognizing and Rewarding Your Workers</v>
      </c>
      <c r="E70" s="217"/>
      <c r="F70" s="213"/>
      <c r="G70" s="214"/>
      <c r="H70" s="215"/>
      <c r="I70" s="217"/>
      <c r="J70" s="217"/>
      <c r="K70" s="213"/>
      <c r="L70" s="215"/>
      <c r="M70" s="215"/>
      <c r="N70" s="217"/>
      <c r="O70" s="217"/>
      <c r="P70" s="213"/>
      <c r="Q70" s="215"/>
      <c r="R70" s="215"/>
      <c r="S70" s="217"/>
      <c r="T70" s="217"/>
      <c r="U70" s="213"/>
      <c r="V70" s="215"/>
      <c r="W70" s="215"/>
      <c r="X70" s="217"/>
      <c r="Y70" s="217"/>
      <c r="Z70" s="213"/>
      <c r="AA70" s="215"/>
      <c r="AB70" s="215"/>
      <c r="AC70" s="217"/>
      <c r="AD70" s="217"/>
      <c r="AE70" s="213"/>
      <c r="AF70" s="215"/>
      <c r="AG70" s="215"/>
      <c r="AH70" s="217"/>
      <c r="AI70" s="217"/>
      <c r="AJ70" s="213"/>
    </row>
    <row r="71" spans="1:36" ht="33.75" customHeight="1">
      <c r="A71" s="213"/>
      <c r="B71" s="214">
        <f ca="1">IFERROR(__xludf.DUMMYFUNCTION("""COMPUTED_VALUE"""),808667)</f>
        <v>808667</v>
      </c>
      <c r="C71" s="215" t="str">
        <f ca="1">IFERROR(__xludf.DUMMYFUNCTION("""COMPUTED_VALUE"""),"Intermediate")</f>
        <v>Intermediate</v>
      </c>
      <c r="D71" s="216" t="str">
        <f ca="1">IFERROR(__xludf.DUMMYFUNCTION("""COMPUTED_VALUE"""),"Building a Coaching Culture: Improving Performance Through Timely Feedback")</f>
        <v>Building a Coaching Culture: Improving Performance Through Timely Feedback</v>
      </c>
      <c r="E71" s="217"/>
      <c r="F71" s="213"/>
      <c r="G71" s="214"/>
      <c r="H71" s="215"/>
      <c r="I71" s="217"/>
      <c r="J71" s="217"/>
      <c r="K71" s="213"/>
      <c r="L71" s="215"/>
      <c r="M71" s="215"/>
      <c r="N71" s="217"/>
      <c r="O71" s="217"/>
      <c r="P71" s="213"/>
      <c r="Q71" s="215"/>
      <c r="R71" s="215"/>
      <c r="S71" s="217"/>
      <c r="T71" s="217"/>
      <c r="U71" s="213"/>
      <c r="V71" s="215"/>
      <c r="W71" s="215"/>
      <c r="X71" s="217"/>
      <c r="Y71" s="217"/>
      <c r="Z71" s="213"/>
      <c r="AA71" s="215"/>
      <c r="AB71" s="215"/>
      <c r="AC71" s="217"/>
      <c r="AD71" s="217"/>
      <c r="AE71" s="213"/>
      <c r="AF71" s="215"/>
      <c r="AG71" s="215"/>
      <c r="AH71" s="217"/>
      <c r="AI71" s="217"/>
      <c r="AJ71" s="213"/>
    </row>
    <row r="72" spans="1:36" ht="33.75" customHeight="1">
      <c r="A72" s="213"/>
      <c r="B72" s="214">
        <f ca="1">IFERROR(__xludf.DUMMYFUNCTION("""COMPUTED_VALUE"""),2824374)</f>
        <v>2824374</v>
      </c>
      <c r="C72" s="215" t="str">
        <f ca="1">IFERROR(__xludf.DUMMYFUNCTION("""COMPUTED_VALUE"""),"Intermediate")</f>
        <v>Intermediate</v>
      </c>
      <c r="D72" s="216" t="str">
        <f ca="1">IFERROR(__xludf.DUMMYFUNCTION("""COMPUTED_VALUE"""),"How Leaders Can Motivate Others by Creating Meaning")</f>
        <v>How Leaders Can Motivate Others by Creating Meaning</v>
      </c>
      <c r="E72" s="217"/>
      <c r="F72" s="213"/>
      <c r="G72" s="214"/>
      <c r="H72" s="215"/>
      <c r="I72" s="217"/>
      <c r="J72" s="217"/>
      <c r="K72" s="213"/>
      <c r="L72" s="215"/>
      <c r="M72" s="215"/>
      <c r="N72" s="217"/>
      <c r="O72" s="217"/>
      <c r="P72" s="213"/>
      <c r="Q72" s="215"/>
      <c r="R72" s="215"/>
      <c r="S72" s="217"/>
      <c r="T72" s="217"/>
      <c r="U72" s="213"/>
      <c r="V72" s="215"/>
      <c r="W72" s="215"/>
      <c r="X72" s="217"/>
      <c r="Y72" s="217"/>
      <c r="Z72" s="213"/>
      <c r="AA72" s="215"/>
      <c r="AB72" s="215"/>
      <c r="AC72" s="217"/>
      <c r="AD72" s="217"/>
      <c r="AE72" s="213"/>
      <c r="AF72" s="215"/>
      <c r="AG72" s="215"/>
      <c r="AH72" s="217"/>
      <c r="AI72" s="217"/>
      <c r="AJ72" s="213"/>
    </row>
    <row r="73" spans="1:36" ht="33.75" customHeight="1">
      <c r="A73" s="213"/>
      <c r="B73" s="214">
        <f ca="1">IFERROR(__xludf.DUMMYFUNCTION("""COMPUTED_VALUE"""),2837260)</f>
        <v>2837260</v>
      </c>
      <c r="C73" s="215" t="str">
        <f ca="1">IFERROR(__xludf.DUMMYFUNCTION("""COMPUTED_VALUE"""),"Intermediate")</f>
        <v>Intermediate</v>
      </c>
      <c r="D73" s="216" t="str">
        <f ca="1">IFERROR(__xludf.DUMMYFUNCTION("""COMPUTED_VALUE"""),"The Definitive Drucker (getAbstract Summary)")</f>
        <v>The Definitive Drucker (getAbstract Summary)</v>
      </c>
      <c r="E73" s="217"/>
      <c r="F73" s="213"/>
      <c r="G73" s="214"/>
      <c r="H73" s="215"/>
      <c r="I73" s="217"/>
      <c r="J73" s="217"/>
      <c r="K73" s="213"/>
      <c r="L73" s="215"/>
      <c r="M73" s="215"/>
      <c r="N73" s="217"/>
      <c r="O73" s="217"/>
      <c r="P73" s="213"/>
      <c r="Q73" s="215"/>
      <c r="R73" s="215"/>
      <c r="S73" s="217"/>
      <c r="T73" s="217"/>
      <c r="U73" s="213"/>
      <c r="V73" s="215"/>
      <c r="W73" s="215"/>
      <c r="X73" s="217"/>
      <c r="Y73" s="217"/>
      <c r="Z73" s="213"/>
      <c r="AA73" s="215"/>
      <c r="AB73" s="215"/>
      <c r="AC73" s="217"/>
      <c r="AD73" s="217"/>
      <c r="AE73" s="213"/>
      <c r="AF73" s="215"/>
      <c r="AG73" s="215"/>
      <c r="AH73" s="217"/>
      <c r="AI73" s="217"/>
      <c r="AJ73" s="213"/>
    </row>
    <row r="74" spans="1:36" ht="33.75" customHeight="1">
      <c r="A74" s="213"/>
      <c r="B74" s="214">
        <f ca="1">IFERROR(__xludf.DUMMYFUNCTION("""COMPUTED_VALUE"""),2972406)</f>
        <v>2972406</v>
      </c>
      <c r="C74" s="215" t="str">
        <f ca="1">IFERROR(__xludf.DUMMYFUNCTION("""COMPUTED_VALUE"""),"Intermediate")</f>
        <v>Intermediate</v>
      </c>
      <c r="D74" s="216" t="str">
        <f ca="1">IFERROR(__xludf.DUMMYFUNCTION("""COMPUTED_VALUE"""),"Creating Winning Teams")</f>
        <v>Creating Winning Teams</v>
      </c>
      <c r="E74" s="217"/>
      <c r="F74" s="213"/>
      <c r="G74" s="214"/>
      <c r="H74" s="215"/>
      <c r="I74" s="217"/>
      <c r="J74" s="217"/>
      <c r="K74" s="213"/>
      <c r="L74" s="215"/>
      <c r="M74" s="215"/>
      <c r="N74" s="217"/>
      <c r="O74" s="217"/>
      <c r="P74" s="213"/>
      <c r="Q74" s="215"/>
      <c r="R74" s="215"/>
      <c r="S74" s="217"/>
      <c r="T74" s="217"/>
      <c r="U74" s="213"/>
      <c r="V74" s="215"/>
      <c r="W74" s="215"/>
      <c r="X74" s="217"/>
      <c r="Y74" s="217"/>
      <c r="Z74" s="213"/>
      <c r="AA74" s="215"/>
      <c r="AB74" s="215"/>
      <c r="AC74" s="217"/>
      <c r="AD74" s="217"/>
      <c r="AE74" s="213"/>
      <c r="AF74" s="215"/>
      <c r="AG74" s="215"/>
      <c r="AH74" s="217"/>
      <c r="AI74" s="217"/>
      <c r="AJ74" s="213"/>
    </row>
    <row r="75" spans="1:36" ht="33.75" customHeight="1">
      <c r="A75" s="213"/>
      <c r="B75" s="214">
        <f ca="1">IFERROR(__xludf.DUMMYFUNCTION("""COMPUTED_VALUE"""),2974330)</f>
        <v>2974330</v>
      </c>
      <c r="C75" s="215" t="str">
        <f ca="1">IFERROR(__xludf.DUMMYFUNCTION("""COMPUTED_VALUE"""),"Intermediate")</f>
        <v>Intermediate</v>
      </c>
      <c r="D75" s="216" t="str">
        <f ca="1">IFERROR(__xludf.DUMMYFUNCTION("""COMPUTED_VALUE"""),"Creating an Adaptable Team")</f>
        <v>Creating an Adaptable Team</v>
      </c>
      <c r="E75" s="217"/>
      <c r="F75" s="213"/>
      <c r="G75" s="214"/>
      <c r="H75" s="215"/>
      <c r="I75" s="217"/>
      <c r="J75" s="217"/>
      <c r="K75" s="213"/>
      <c r="L75" s="215"/>
      <c r="M75" s="215"/>
      <c r="N75" s="217"/>
      <c r="O75" s="217"/>
      <c r="P75" s="213"/>
      <c r="Q75" s="215"/>
      <c r="R75" s="215"/>
      <c r="S75" s="217"/>
      <c r="T75" s="217"/>
      <c r="U75" s="213"/>
      <c r="V75" s="215"/>
      <c r="W75" s="215"/>
      <c r="X75" s="217"/>
      <c r="Y75" s="217"/>
      <c r="Z75" s="213"/>
      <c r="AA75" s="215"/>
      <c r="AB75" s="215"/>
      <c r="AC75" s="217"/>
      <c r="AD75" s="217"/>
      <c r="AE75" s="213"/>
      <c r="AF75" s="215"/>
      <c r="AG75" s="215"/>
      <c r="AH75" s="217"/>
      <c r="AI75" s="217"/>
      <c r="AJ75" s="213"/>
    </row>
    <row r="76" spans="1:36" ht="33.75" customHeight="1">
      <c r="A76" s="213"/>
      <c r="B76" s="214">
        <f ca="1">IFERROR(__xludf.DUMMYFUNCTION("""COMPUTED_VALUE"""),2819209)</f>
        <v>2819209</v>
      </c>
      <c r="C76" s="215" t="str">
        <f ca="1">IFERROR(__xludf.DUMMYFUNCTION("""COMPUTED_VALUE"""),"Intermediate")</f>
        <v>Intermediate</v>
      </c>
      <c r="D76" s="216" t="str">
        <f ca="1">IFERROR(__xludf.DUMMYFUNCTION("""COMPUTED_VALUE"""),"The Superbosses Playbook")</f>
        <v>The Superbosses Playbook</v>
      </c>
      <c r="E76" s="217"/>
      <c r="F76" s="213"/>
      <c r="G76" s="214"/>
      <c r="H76" s="215"/>
      <c r="I76" s="217"/>
      <c r="J76" s="217"/>
      <c r="K76" s="213"/>
      <c r="L76" s="215"/>
      <c r="M76" s="215"/>
      <c r="N76" s="217"/>
      <c r="O76" s="217"/>
      <c r="P76" s="213"/>
      <c r="Q76" s="215"/>
      <c r="R76" s="215"/>
      <c r="S76" s="217"/>
      <c r="T76" s="217"/>
      <c r="U76" s="213"/>
      <c r="V76" s="215"/>
      <c r="W76" s="215"/>
      <c r="X76" s="217"/>
      <c r="Y76" s="217"/>
      <c r="Z76" s="213"/>
      <c r="AA76" s="215"/>
      <c r="AB76" s="215"/>
      <c r="AC76" s="217"/>
      <c r="AD76" s="217"/>
      <c r="AE76" s="213"/>
      <c r="AF76" s="215"/>
      <c r="AG76" s="215"/>
      <c r="AH76" s="217"/>
      <c r="AI76" s="217"/>
      <c r="AJ76" s="213"/>
    </row>
    <row r="77" spans="1:36" ht="33.75" customHeight="1">
      <c r="A77" s="213"/>
      <c r="B77" s="214">
        <f ca="1">IFERROR(__xludf.DUMMYFUNCTION("""COMPUTED_VALUE"""),2825695)</f>
        <v>2825695</v>
      </c>
      <c r="C77" s="215" t="str">
        <f ca="1">IFERROR(__xludf.DUMMYFUNCTION("""COMPUTED_VALUE"""),"Intermediate")</f>
        <v>Intermediate</v>
      </c>
      <c r="D77" s="216" t="str">
        <f ca="1">IFERROR(__xludf.DUMMYFUNCTION("""COMPUTED_VALUE"""),"Creating a Communications Strategy")</f>
        <v>Creating a Communications Strategy</v>
      </c>
      <c r="E77" s="217"/>
      <c r="F77" s="213"/>
      <c r="G77" s="214"/>
      <c r="H77" s="215"/>
      <c r="I77" s="217"/>
      <c r="J77" s="217"/>
      <c r="K77" s="213"/>
      <c r="L77" s="215"/>
      <c r="M77" s="215"/>
      <c r="N77" s="217"/>
      <c r="O77" s="217"/>
      <c r="P77" s="213"/>
      <c r="Q77" s="215"/>
      <c r="R77" s="215"/>
      <c r="S77" s="217"/>
      <c r="T77" s="217"/>
      <c r="U77" s="213"/>
      <c r="V77" s="215"/>
      <c r="W77" s="215"/>
      <c r="X77" s="217"/>
      <c r="Y77" s="217"/>
      <c r="Z77" s="213"/>
      <c r="AA77" s="215"/>
      <c r="AB77" s="215"/>
      <c r="AC77" s="217"/>
      <c r="AD77" s="217"/>
      <c r="AE77" s="213"/>
      <c r="AF77" s="215"/>
      <c r="AG77" s="215"/>
      <c r="AH77" s="217"/>
      <c r="AI77" s="217"/>
      <c r="AJ77" s="213"/>
    </row>
    <row r="78" spans="1:36" ht="33.75" customHeight="1">
      <c r="A78" s="213"/>
      <c r="B78" s="214">
        <f ca="1">IFERROR(__xludf.DUMMYFUNCTION("""COMPUTED_VALUE"""),2823247)</f>
        <v>2823247</v>
      </c>
      <c r="C78" s="215" t="str">
        <f ca="1">IFERROR(__xludf.DUMMYFUNCTION("""COMPUTED_VALUE"""),"Advanced")</f>
        <v>Advanced</v>
      </c>
      <c r="D78" s="216" t="str">
        <f ca="1">IFERROR(__xludf.DUMMYFUNCTION("""COMPUTED_VALUE"""),"Foundations of Performance Management")</f>
        <v>Foundations of Performance Management</v>
      </c>
      <c r="E78" s="217"/>
      <c r="F78" s="213"/>
      <c r="G78" s="214"/>
      <c r="H78" s="215"/>
      <c r="I78" s="217"/>
      <c r="J78" s="217"/>
      <c r="K78" s="213"/>
      <c r="L78" s="215"/>
      <c r="M78" s="215"/>
      <c r="N78" s="217"/>
      <c r="O78" s="217"/>
      <c r="P78" s="213"/>
      <c r="Q78" s="215"/>
      <c r="R78" s="215"/>
      <c r="S78" s="217"/>
      <c r="T78" s="217"/>
      <c r="U78" s="213"/>
      <c r="V78" s="215"/>
      <c r="W78" s="215"/>
      <c r="X78" s="217"/>
      <c r="Y78" s="217"/>
      <c r="Z78" s="213"/>
      <c r="AA78" s="215"/>
      <c r="AB78" s="215"/>
      <c r="AC78" s="217"/>
      <c r="AD78" s="217"/>
      <c r="AE78" s="213"/>
      <c r="AF78" s="215"/>
      <c r="AG78" s="215"/>
      <c r="AH78" s="217"/>
      <c r="AI78" s="217"/>
      <c r="AJ78" s="213"/>
    </row>
    <row r="79" spans="1:36" ht="33.75" customHeight="1">
      <c r="A79" s="213"/>
      <c r="B79" s="214">
        <f ca="1">IFERROR(__xludf.DUMMYFUNCTION("""COMPUTED_VALUE"""),2837192)</f>
        <v>2837192</v>
      </c>
      <c r="C79" s="215" t="str">
        <f ca="1">IFERROR(__xludf.DUMMYFUNCTION("""COMPUTED_VALUE"""),"General")</f>
        <v>General</v>
      </c>
      <c r="D79" s="216" t="str">
        <f ca="1">IFERROR(__xludf.DUMMYFUNCTION("""COMPUTED_VALUE"""),"Advice for Leaders During a Crisis")</f>
        <v>Advice for Leaders During a Crisis</v>
      </c>
      <c r="E79" s="217"/>
      <c r="F79" s="213"/>
      <c r="G79" s="214"/>
      <c r="H79" s="215"/>
      <c r="I79" s="217"/>
      <c r="J79" s="217"/>
      <c r="K79" s="213"/>
      <c r="L79" s="215"/>
      <c r="M79" s="215"/>
      <c r="N79" s="217"/>
      <c r="O79" s="217"/>
      <c r="P79" s="213"/>
      <c r="Q79" s="215"/>
      <c r="R79" s="215"/>
      <c r="S79" s="217"/>
      <c r="T79" s="217"/>
      <c r="U79" s="213"/>
      <c r="V79" s="215"/>
      <c r="W79" s="215"/>
      <c r="X79" s="217"/>
      <c r="Y79" s="217"/>
      <c r="Z79" s="213"/>
      <c r="AA79" s="215"/>
      <c r="AB79" s="215"/>
      <c r="AC79" s="217"/>
      <c r="AD79" s="217"/>
      <c r="AE79" s="213"/>
      <c r="AF79" s="215"/>
      <c r="AG79" s="215"/>
      <c r="AH79" s="217"/>
      <c r="AI79" s="217"/>
      <c r="AJ79" s="213"/>
    </row>
    <row r="80" spans="1:36" ht="33.75" customHeight="1">
      <c r="A80" s="213"/>
      <c r="B80" s="214">
        <f ca="1">IFERROR(__xludf.DUMMYFUNCTION("""COMPUTED_VALUE"""),2837265)</f>
        <v>2837265</v>
      </c>
      <c r="C80" s="215" t="str">
        <f ca="1">IFERROR(__xludf.DUMMYFUNCTION("""COMPUTED_VALUE"""),"General")</f>
        <v>General</v>
      </c>
      <c r="D80" s="216" t="str">
        <f ca="1">IFERROR(__xludf.DUMMYFUNCTION("""COMPUTED_VALUE"""),"Sales Management. Simplified. (Blinkist Summary)")</f>
        <v>Sales Management. Simplified. (Blinkist Summary)</v>
      </c>
      <c r="E80" s="217"/>
      <c r="F80" s="213"/>
      <c r="G80" s="214"/>
      <c r="H80" s="215"/>
      <c r="I80" s="217"/>
      <c r="J80" s="217"/>
      <c r="K80" s="213"/>
      <c r="L80" s="215"/>
      <c r="M80" s="215"/>
      <c r="N80" s="217"/>
      <c r="O80" s="217"/>
      <c r="P80" s="213"/>
      <c r="Q80" s="215"/>
      <c r="R80" s="215"/>
      <c r="S80" s="217"/>
      <c r="T80" s="217"/>
      <c r="U80" s="213"/>
      <c r="V80" s="215"/>
      <c r="W80" s="215"/>
      <c r="X80" s="217"/>
      <c r="Y80" s="217"/>
      <c r="Z80" s="213"/>
      <c r="AA80" s="215"/>
      <c r="AB80" s="215"/>
      <c r="AC80" s="217"/>
      <c r="AD80" s="217"/>
      <c r="AE80" s="213"/>
      <c r="AF80" s="215"/>
      <c r="AG80" s="215"/>
      <c r="AH80" s="217"/>
      <c r="AI80" s="217"/>
      <c r="AJ80" s="213"/>
    </row>
    <row r="81" spans="1:36" ht="33.75" customHeight="1">
      <c r="A81" s="213"/>
      <c r="B81" s="214">
        <f ca="1">IFERROR(__xludf.DUMMYFUNCTION("""COMPUTED_VALUE"""),2884198)</f>
        <v>2884198</v>
      </c>
      <c r="C81" s="215" t="str">
        <f ca="1">IFERROR(__xludf.DUMMYFUNCTION("""COMPUTED_VALUE"""),"General")</f>
        <v>General</v>
      </c>
      <c r="D81" s="216" t="str">
        <f ca="1">IFERROR(__xludf.DUMMYFUNCTION("""COMPUTED_VALUE"""),"Backgrounder: Leadership Conversations with Different Personalities")</f>
        <v>Backgrounder: Leadership Conversations with Different Personalities</v>
      </c>
      <c r="E81" s="217"/>
      <c r="F81" s="213"/>
      <c r="G81" s="214"/>
      <c r="H81" s="215"/>
      <c r="I81" s="217"/>
      <c r="J81" s="217"/>
      <c r="K81" s="213"/>
      <c r="L81" s="215"/>
      <c r="M81" s="215"/>
      <c r="N81" s="217"/>
      <c r="O81" s="217"/>
      <c r="P81" s="213"/>
      <c r="Q81" s="215"/>
      <c r="R81" s="215"/>
      <c r="S81" s="217"/>
      <c r="T81" s="217"/>
      <c r="U81" s="213"/>
      <c r="V81" s="215"/>
      <c r="W81" s="215"/>
      <c r="X81" s="217"/>
      <c r="Y81" s="217"/>
      <c r="Z81" s="213"/>
      <c r="AA81" s="215"/>
      <c r="AB81" s="215"/>
      <c r="AC81" s="217"/>
      <c r="AD81" s="217"/>
      <c r="AE81" s="213"/>
      <c r="AF81" s="215"/>
      <c r="AG81" s="215"/>
      <c r="AH81" s="217"/>
      <c r="AI81" s="217"/>
      <c r="AJ81" s="213"/>
    </row>
    <row r="82" spans="1:36" ht="33.75" customHeight="1">
      <c r="A82" s="213"/>
      <c r="B82" s="214"/>
      <c r="C82" s="215"/>
      <c r="D82" s="216"/>
      <c r="E82" s="217"/>
      <c r="F82" s="213"/>
      <c r="G82" s="214"/>
      <c r="H82" s="215"/>
      <c r="I82" s="217"/>
      <c r="J82" s="217"/>
      <c r="K82" s="213"/>
      <c r="L82" s="215"/>
      <c r="M82" s="215"/>
      <c r="N82" s="217"/>
      <c r="O82" s="217"/>
      <c r="P82" s="213"/>
      <c r="Q82" s="215"/>
      <c r="R82" s="215"/>
      <c r="S82" s="217"/>
      <c r="T82" s="217"/>
      <c r="U82" s="213"/>
      <c r="V82" s="215"/>
      <c r="W82" s="215"/>
      <c r="X82" s="217"/>
      <c r="Y82" s="217"/>
      <c r="Z82" s="213"/>
      <c r="AA82" s="215"/>
      <c r="AB82" s="215"/>
      <c r="AC82" s="217"/>
      <c r="AD82" s="217"/>
      <c r="AE82" s="213"/>
      <c r="AF82" s="215"/>
      <c r="AG82" s="215"/>
      <c r="AH82" s="217"/>
      <c r="AI82" s="217"/>
      <c r="AJ82" s="213"/>
    </row>
    <row r="83" spans="1:36" ht="33.75" customHeight="1">
      <c r="A83" s="213"/>
      <c r="B83" s="214"/>
      <c r="C83" s="215"/>
      <c r="D83" s="216"/>
      <c r="E83" s="217"/>
      <c r="F83" s="213"/>
      <c r="G83" s="214"/>
      <c r="H83" s="215"/>
      <c r="I83" s="217"/>
      <c r="J83" s="217"/>
      <c r="K83" s="213"/>
      <c r="L83" s="215"/>
      <c r="M83" s="215"/>
      <c r="N83" s="217"/>
      <c r="O83" s="217"/>
      <c r="P83" s="213"/>
      <c r="Q83" s="215"/>
      <c r="R83" s="215"/>
      <c r="S83" s="217"/>
      <c r="T83" s="217"/>
      <c r="U83" s="213"/>
      <c r="V83" s="215"/>
      <c r="W83" s="215"/>
      <c r="X83" s="217"/>
      <c r="Y83" s="217"/>
      <c r="Z83" s="213"/>
      <c r="AA83" s="215"/>
      <c r="AB83" s="215"/>
      <c r="AC83" s="217"/>
      <c r="AD83" s="217"/>
      <c r="AE83" s="213"/>
      <c r="AF83" s="215"/>
      <c r="AG83" s="215"/>
      <c r="AH83" s="217"/>
      <c r="AI83" s="217"/>
      <c r="AJ83" s="213"/>
    </row>
    <row r="84" spans="1:36" ht="33.75" customHeight="1">
      <c r="A84" s="213"/>
      <c r="B84" s="214"/>
      <c r="C84" s="215"/>
      <c r="D84" s="216"/>
      <c r="E84" s="217"/>
      <c r="F84" s="213"/>
      <c r="G84" s="214"/>
      <c r="H84" s="215"/>
      <c r="I84" s="217"/>
      <c r="J84" s="217"/>
      <c r="K84" s="213"/>
      <c r="L84" s="215"/>
      <c r="M84" s="215"/>
      <c r="N84" s="217"/>
      <c r="O84" s="217"/>
      <c r="P84" s="213"/>
      <c r="Q84" s="215"/>
      <c r="R84" s="215"/>
      <c r="S84" s="217"/>
      <c r="T84" s="217"/>
      <c r="U84" s="213"/>
      <c r="V84" s="215"/>
      <c r="W84" s="215"/>
      <c r="X84" s="217"/>
      <c r="Y84" s="217"/>
      <c r="Z84" s="213"/>
      <c r="AA84" s="215"/>
      <c r="AB84" s="215"/>
      <c r="AC84" s="217"/>
      <c r="AD84" s="217"/>
      <c r="AE84" s="213"/>
      <c r="AF84" s="215"/>
      <c r="AG84" s="215"/>
      <c r="AH84" s="217"/>
      <c r="AI84" s="217"/>
      <c r="AJ84" s="213"/>
    </row>
    <row r="85" spans="1:36" ht="33.75" customHeight="1">
      <c r="A85" s="213"/>
      <c r="B85" s="214"/>
      <c r="C85" s="215"/>
      <c r="D85" s="216"/>
      <c r="E85" s="217"/>
      <c r="F85" s="213"/>
      <c r="G85" s="214"/>
      <c r="H85" s="215"/>
      <c r="I85" s="217"/>
      <c r="J85" s="217"/>
      <c r="K85" s="213"/>
      <c r="L85" s="215"/>
      <c r="M85" s="215"/>
      <c r="N85" s="217"/>
      <c r="O85" s="217"/>
      <c r="P85" s="213"/>
      <c r="Q85" s="215"/>
      <c r="R85" s="215"/>
      <c r="S85" s="217"/>
      <c r="T85" s="217"/>
      <c r="U85" s="213"/>
      <c r="V85" s="215"/>
      <c r="W85" s="215"/>
      <c r="X85" s="217"/>
      <c r="Y85" s="217"/>
      <c r="Z85" s="213"/>
      <c r="AA85" s="215"/>
      <c r="AB85" s="215"/>
      <c r="AC85" s="217"/>
      <c r="AD85" s="217"/>
      <c r="AE85" s="213"/>
      <c r="AF85" s="215"/>
      <c r="AG85" s="215"/>
      <c r="AH85" s="217"/>
      <c r="AI85" s="217"/>
      <c r="AJ85" s="213"/>
    </row>
    <row r="86" spans="1:36" ht="33.75" customHeight="1">
      <c r="A86" s="213"/>
      <c r="B86" s="214"/>
      <c r="C86" s="215"/>
      <c r="D86" s="216"/>
      <c r="E86" s="217"/>
      <c r="F86" s="213"/>
      <c r="G86" s="214"/>
      <c r="H86" s="215"/>
      <c r="I86" s="217"/>
      <c r="J86" s="217"/>
      <c r="K86" s="213"/>
      <c r="L86" s="215"/>
      <c r="M86" s="215"/>
      <c r="N86" s="217"/>
      <c r="O86" s="217"/>
      <c r="P86" s="213"/>
      <c r="Q86" s="215"/>
      <c r="R86" s="215"/>
      <c r="S86" s="217"/>
      <c r="T86" s="217"/>
      <c r="U86" s="213"/>
      <c r="V86" s="215"/>
      <c r="W86" s="215"/>
      <c r="X86" s="217"/>
      <c r="Y86" s="217"/>
      <c r="Z86" s="213"/>
      <c r="AA86" s="215"/>
      <c r="AB86" s="215"/>
      <c r="AC86" s="217"/>
      <c r="AD86" s="217"/>
      <c r="AE86" s="213"/>
      <c r="AF86" s="215"/>
      <c r="AG86" s="215"/>
      <c r="AH86" s="217"/>
      <c r="AI86" s="217"/>
      <c r="AJ86" s="213"/>
    </row>
    <row r="87" spans="1:36" ht="33.75" customHeight="1">
      <c r="A87" s="213"/>
      <c r="B87" s="214"/>
      <c r="C87" s="215"/>
      <c r="D87" s="216"/>
      <c r="E87" s="217"/>
      <c r="F87" s="213"/>
      <c r="G87" s="214"/>
      <c r="H87" s="215"/>
      <c r="I87" s="217"/>
      <c r="J87" s="217"/>
      <c r="K87" s="213"/>
      <c r="L87" s="215"/>
      <c r="M87" s="215"/>
      <c r="N87" s="217"/>
      <c r="O87" s="217"/>
      <c r="P87" s="213"/>
      <c r="Q87" s="215"/>
      <c r="R87" s="215"/>
      <c r="S87" s="217"/>
      <c r="T87" s="217"/>
      <c r="U87" s="213"/>
      <c r="V87" s="215"/>
      <c r="W87" s="215"/>
      <c r="X87" s="217"/>
      <c r="Y87" s="217"/>
      <c r="Z87" s="213"/>
      <c r="AA87" s="215"/>
      <c r="AB87" s="215"/>
      <c r="AC87" s="217"/>
      <c r="AD87" s="217"/>
      <c r="AE87" s="213"/>
      <c r="AF87" s="215"/>
      <c r="AG87" s="215"/>
      <c r="AH87" s="217"/>
      <c r="AI87" s="217"/>
      <c r="AJ87" s="213"/>
    </row>
    <row r="88" spans="1:36" ht="33.75" customHeight="1">
      <c r="A88" s="213"/>
      <c r="B88" s="214"/>
      <c r="C88" s="215"/>
      <c r="D88" s="217"/>
      <c r="E88" s="217"/>
      <c r="F88" s="213"/>
      <c r="G88" s="214"/>
      <c r="H88" s="215"/>
      <c r="I88" s="217"/>
      <c r="J88" s="217"/>
      <c r="K88" s="213"/>
      <c r="L88" s="215"/>
      <c r="M88" s="215"/>
      <c r="N88" s="217"/>
      <c r="O88" s="217"/>
      <c r="P88" s="213"/>
      <c r="Q88" s="215"/>
      <c r="R88" s="215"/>
      <c r="S88" s="217"/>
      <c r="T88" s="217"/>
      <c r="U88" s="213"/>
      <c r="V88" s="215"/>
      <c r="W88" s="215"/>
      <c r="X88" s="217"/>
      <c r="Y88" s="217"/>
      <c r="Z88" s="213"/>
      <c r="AA88" s="215"/>
      <c r="AB88" s="215"/>
      <c r="AC88" s="217"/>
      <c r="AD88" s="217"/>
      <c r="AE88" s="213"/>
      <c r="AF88" s="215"/>
      <c r="AG88" s="215"/>
      <c r="AH88" s="217"/>
      <c r="AI88" s="217"/>
      <c r="AJ88" s="213"/>
    </row>
    <row r="89" spans="1:36" ht="16">
      <c r="A89" s="213"/>
      <c r="B89" s="214"/>
      <c r="C89" s="215"/>
      <c r="D89" s="216"/>
      <c r="E89" s="217"/>
      <c r="F89" s="213"/>
      <c r="G89" s="214"/>
      <c r="H89" s="215"/>
      <c r="I89" s="217"/>
      <c r="J89" s="217"/>
      <c r="K89" s="213"/>
      <c r="L89" s="215"/>
      <c r="M89" s="215"/>
      <c r="N89" s="217"/>
      <c r="O89" s="217"/>
      <c r="P89" s="213"/>
      <c r="Q89" s="215"/>
      <c r="R89" s="215"/>
      <c r="S89" s="217"/>
      <c r="T89" s="217"/>
      <c r="U89" s="213"/>
      <c r="V89" s="215"/>
      <c r="W89" s="215"/>
      <c r="X89" s="217"/>
      <c r="Y89" s="217"/>
      <c r="Z89" s="213"/>
      <c r="AA89" s="215"/>
      <c r="AB89" s="215"/>
      <c r="AC89" s="217"/>
      <c r="AD89" s="217"/>
      <c r="AE89" s="213"/>
      <c r="AF89" s="215"/>
      <c r="AG89" s="215"/>
      <c r="AH89" s="217"/>
      <c r="AI89" s="217"/>
      <c r="AJ89" s="213"/>
    </row>
    <row r="90" spans="1:36" ht="16">
      <c r="A90" s="213"/>
      <c r="B90" s="214"/>
      <c r="C90" s="215"/>
      <c r="D90" s="216"/>
      <c r="E90" s="217"/>
      <c r="F90" s="213"/>
      <c r="G90" s="214"/>
      <c r="H90" s="215"/>
      <c r="I90" s="217"/>
      <c r="J90" s="217"/>
      <c r="K90" s="213"/>
      <c r="L90" s="215"/>
      <c r="M90" s="215"/>
      <c r="N90" s="217"/>
      <c r="O90" s="217"/>
      <c r="P90" s="213"/>
      <c r="Q90" s="215"/>
      <c r="R90" s="215"/>
      <c r="S90" s="217"/>
      <c r="T90" s="217"/>
      <c r="U90" s="213"/>
      <c r="V90" s="215"/>
      <c r="W90" s="215"/>
      <c r="X90" s="217"/>
      <c r="Y90" s="217"/>
      <c r="Z90" s="213"/>
      <c r="AA90" s="215"/>
      <c r="AB90" s="215"/>
      <c r="AC90" s="217"/>
      <c r="AD90" s="217"/>
      <c r="AE90" s="213"/>
      <c r="AF90" s="215"/>
      <c r="AG90" s="215"/>
      <c r="AH90" s="217"/>
      <c r="AI90" s="217"/>
      <c r="AJ90" s="213"/>
    </row>
    <row r="91" spans="1:36" ht="16">
      <c r="A91" s="213"/>
      <c r="B91" s="214"/>
      <c r="C91" s="215"/>
      <c r="D91" s="216"/>
      <c r="E91" s="217"/>
      <c r="F91" s="213"/>
      <c r="G91" s="214"/>
      <c r="H91" s="215"/>
      <c r="I91" s="217"/>
      <c r="J91" s="217"/>
      <c r="K91" s="213"/>
      <c r="L91" s="215"/>
      <c r="M91" s="215"/>
      <c r="N91" s="217"/>
      <c r="O91" s="217"/>
      <c r="P91" s="213"/>
      <c r="Q91" s="215"/>
      <c r="R91" s="215"/>
      <c r="S91" s="217"/>
      <c r="T91" s="217"/>
      <c r="U91" s="213"/>
      <c r="V91" s="215"/>
      <c r="W91" s="215"/>
      <c r="X91" s="217"/>
      <c r="Y91" s="217"/>
      <c r="Z91" s="213"/>
      <c r="AA91" s="215"/>
      <c r="AB91" s="215"/>
      <c r="AC91" s="217"/>
      <c r="AD91" s="217"/>
      <c r="AE91" s="213"/>
      <c r="AF91" s="215"/>
      <c r="AG91" s="215"/>
      <c r="AH91" s="217"/>
      <c r="AI91" s="217"/>
      <c r="AJ91" s="213"/>
    </row>
    <row r="92" spans="1:36" ht="16">
      <c r="A92" s="213"/>
      <c r="B92" s="214"/>
      <c r="C92" s="215"/>
      <c r="D92" s="216"/>
      <c r="E92" s="217"/>
      <c r="F92" s="213"/>
      <c r="G92" s="214"/>
      <c r="H92" s="215"/>
      <c r="I92" s="217"/>
      <c r="J92" s="217"/>
      <c r="K92" s="213"/>
      <c r="L92" s="215"/>
      <c r="M92" s="215"/>
      <c r="N92" s="217"/>
      <c r="O92" s="217"/>
      <c r="P92" s="213"/>
      <c r="Q92" s="215"/>
      <c r="R92" s="215"/>
      <c r="S92" s="217"/>
      <c r="T92" s="217"/>
      <c r="U92" s="213"/>
      <c r="V92" s="215"/>
      <c r="W92" s="215"/>
      <c r="X92" s="217"/>
      <c r="Y92" s="217"/>
      <c r="Z92" s="213"/>
      <c r="AA92" s="215"/>
      <c r="AB92" s="215"/>
      <c r="AC92" s="217"/>
      <c r="AD92" s="217"/>
      <c r="AE92" s="213"/>
      <c r="AF92" s="215"/>
      <c r="AG92" s="215"/>
      <c r="AH92" s="217"/>
      <c r="AI92" s="217"/>
      <c r="AJ92" s="213"/>
    </row>
    <row r="93" spans="1:36" ht="16">
      <c r="A93" s="213"/>
      <c r="B93" s="214"/>
      <c r="C93" s="215"/>
      <c r="D93" s="216"/>
      <c r="E93" s="217"/>
      <c r="F93" s="213"/>
      <c r="G93" s="214"/>
      <c r="H93" s="215"/>
      <c r="I93" s="217"/>
      <c r="J93" s="217"/>
      <c r="K93" s="213"/>
      <c r="L93" s="215"/>
      <c r="M93" s="215"/>
      <c r="N93" s="217"/>
      <c r="O93" s="217"/>
      <c r="P93" s="213"/>
      <c r="Q93" s="215"/>
      <c r="R93" s="215"/>
      <c r="S93" s="217"/>
      <c r="T93" s="217"/>
      <c r="U93" s="213"/>
      <c r="V93" s="215"/>
      <c r="W93" s="215"/>
      <c r="X93" s="217"/>
      <c r="Y93" s="217"/>
      <c r="Z93" s="213"/>
      <c r="AA93" s="215"/>
      <c r="AB93" s="215"/>
      <c r="AC93" s="217"/>
      <c r="AD93" s="217"/>
      <c r="AE93" s="213"/>
      <c r="AF93" s="215"/>
      <c r="AG93" s="215"/>
      <c r="AH93" s="217"/>
      <c r="AI93" s="217"/>
      <c r="AJ93" s="213"/>
    </row>
    <row r="94" spans="1:36" ht="16">
      <c r="A94" s="213"/>
      <c r="B94" s="214"/>
      <c r="C94" s="215"/>
      <c r="D94" s="216"/>
      <c r="E94" s="217"/>
      <c r="F94" s="213"/>
      <c r="G94" s="214"/>
      <c r="H94" s="215"/>
      <c r="I94" s="217"/>
      <c r="J94" s="217"/>
      <c r="K94" s="213"/>
      <c r="L94" s="215"/>
      <c r="M94" s="215"/>
      <c r="N94" s="217"/>
      <c r="O94" s="217"/>
      <c r="P94" s="213"/>
      <c r="Q94" s="215"/>
      <c r="R94" s="215"/>
      <c r="S94" s="217"/>
      <c r="T94" s="217"/>
      <c r="U94" s="213"/>
      <c r="V94" s="215"/>
      <c r="W94" s="215"/>
      <c r="X94" s="217"/>
      <c r="Y94" s="217"/>
      <c r="Z94" s="213"/>
      <c r="AA94" s="215"/>
      <c r="AB94" s="215"/>
      <c r="AC94" s="217"/>
      <c r="AD94" s="217"/>
      <c r="AE94" s="213"/>
      <c r="AF94" s="215"/>
      <c r="AG94" s="215"/>
      <c r="AH94" s="217"/>
      <c r="AI94" s="217"/>
      <c r="AJ94" s="213"/>
    </row>
    <row r="95" spans="1:36" ht="16">
      <c r="A95" s="213"/>
      <c r="B95" s="214"/>
      <c r="C95" s="215"/>
      <c r="D95" s="216"/>
      <c r="E95" s="217"/>
      <c r="F95" s="213"/>
      <c r="G95" s="214"/>
      <c r="H95" s="215"/>
      <c r="I95" s="217"/>
      <c r="J95" s="217"/>
      <c r="K95" s="213"/>
      <c r="L95" s="215"/>
      <c r="M95" s="215"/>
      <c r="N95" s="217"/>
      <c r="O95" s="217"/>
      <c r="P95" s="213"/>
      <c r="Q95" s="215"/>
      <c r="R95" s="215"/>
      <c r="S95" s="217"/>
      <c r="T95" s="217"/>
      <c r="U95" s="213"/>
      <c r="V95" s="215"/>
      <c r="W95" s="215"/>
      <c r="X95" s="217"/>
      <c r="Y95" s="217"/>
      <c r="Z95" s="213"/>
      <c r="AA95" s="215"/>
      <c r="AB95" s="215"/>
      <c r="AC95" s="217"/>
      <c r="AD95" s="217"/>
      <c r="AE95" s="213"/>
      <c r="AF95" s="215"/>
      <c r="AG95" s="215"/>
      <c r="AH95" s="217"/>
      <c r="AI95" s="217"/>
      <c r="AJ95" s="213"/>
    </row>
    <row r="96" spans="1:36" ht="16">
      <c r="A96" s="213"/>
      <c r="B96" s="214"/>
      <c r="C96" s="215"/>
      <c r="D96" s="217"/>
      <c r="E96" s="217"/>
      <c r="F96" s="213"/>
      <c r="G96" s="214"/>
      <c r="H96" s="215"/>
      <c r="I96" s="217"/>
      <c r="J96" s="217"/>
      <c r="K96" s="213"/>
      <c r="L96" s="215"/>
      <c r="M96" s="215"/>
      <c r="N96" s="217"/>
      <c r="O96" s="217"/>
      <c r="P96" s="213"/>
      <c r="Q96" s="215"/>
      <c r="R96" s="215"/>
      <c r="S96" s="217"/>
      <c r="T96" s="217"/>
      <c r="U96" s="213"/>
      <c r="V96" s="215"/>
      <c r="W96" s="215"/>
      <c r="X96" s="217"/>
      <c r="Y96" s="217"/>
      <c r="Z96" s="213"/>
      <c r="AA96" s="215"/>
      <c r="AB96" s="215"/>
      <c r="AC96" s="217"/>
      <c r="AD96" s="217"/>
      <c r="AE96" s="213"/>
      <c r="AF96" s="215"/>
      <c r="AG96" s="215"/>
      <c r="AH96" s="217"/>
      <c r="AI96" s="217"/>
      <c r="AJ96" s="213"/>
    </row>
    <row r="97" spans="1:36" ht="16">
      <c r="A97" s="213"/>
      <c r="B97" s="214"/>
      <c r="C97" s="215"/>
      <c r="D97" s="217"/>
      <c r="E97" s="217"/>
      <c r="F97" s="213"/>
      <c r="G97" s="214"/>
      <c r="H97" s="215"/>
      <c r="I97" s="217"/>
      <c r="J97" s="217"/>
      <c r="K97" s="213"/>
      <c r="L97" s="215"/>
      <c r="M97" s="215"/>
      <c r="N97" s="217"/>
      <c r="O97" s="217"/>
      <c r="P97" s="213"/>
      <c r="Q97" s="215"/>
      <c r="R97" s="215"/>
      <c r="S97" s="217"/>
      <c r="T97" s="217"/>
      <c r="U97" s="213"/>
      <c r="V97" s="215"/>
      <c r="W97" s="215"/>
      <c r="X97" s="217"/>
      <c r="Y97" s="217"/>
      <c r="Z97" s="213"/>
      <c r="AA97" s="215"/>
      <c r="AB97" s="215"/>
      <c r="AC97" s="217"/>
      <c r="AD97" s="217"/>
      <c r="AE97" s="213"/>
      <c r="AF97" s="215"/>
      <c r="AG97" s="215"/>
      <c r="AH97" s="217"/>
      <c r="AI97" s="217"/>
      <c r="AJ97" s="213"/>
    </row>
    <row r="98" spans="1:36" ht="16">
      <c r="A98" s="213"/>
      <c r="B98" s="214"/>
      <c r="C98" s="215"/>
      <c r="D98" s="217"/>
      <c r="E98" s="217"/>
      <c r="F98" s="213"/>
      <c r="G98" s="214"/>
      <c r="H98" s="215"/>
      <c r="I98" s="217"/>
      <c r="J98" s="217"/>
      <c r="K98" s="213"/>
      <c r="L98" s="215"/>
      <c r="M98" s="215"/>
      <c r="N98" s="217"/>
      <c r="O98" s="217"/>
      <c r="P98" s="213"/>
      <c r="Q98" s="215"/>
      <c r="R98" s="215"/>
      <c r="S98" s="217"/>
      <c r="T98" s="217"/>
      <c r="U98" s="213"/>
      <c r="V98" s="215"/>
      <c r="W98" s="215"/>
      <c r="X98" s="217"/>
      <c r="Y98" s="217"/>
      <c r="Z98" s="213"/>
      <c r="AA98" s="215"/>
      <c r="AB98" s="215"/>
      <c r="AC98" s="217"/>
      <c r="AD98" s="217"/>
      <c r="AE98" s="213"/>
      <c r="AF98" s="215"/>
      <c r="AG98" s="215"/>
      <c r="AH98" s="217"/>
      <c r="AI98" s="217"/>
      <c r="AJ98" s="213"/>
    </row>
    <row r="99" spans="1:36" ht="16">
      <c r="A99" s="213"/>
      <c r="B99" s="214"/>
      <c r="C99" s="215"/>
      <c r="D99" s="217"/>
      <c r="E99" s="217"/>
      <c r="F99" s="213"/>
      <c r="G99" s="214"/>
      <c r="H99" s="215"/>
      <c r="I99" s="218"/>
      <c r="J99" s="219"/>
      <c r="K99" s="213"/>
      <c r="L99" s="215"/>
      <c r="M99" s="215"/>
      <c r="N99" s="220"/>
      <c r="O99" s="220"/>
      <c r="P99" s="213"/>
      <c r="Q99" s="215"/>
      <c r="R99" s="215"/>
      <c r="S99" s="220"/>
      <c r="T99" s="220"/>
      <c r="U99" s="213"/>
      <c r="V99" s="215"/>
      <c r="W99" s="215"/>
      <c r="X99" s="220"/>
      <c r="Y99" s="220"/>
      <c r="Z99" s="213"/>
      <c r="AA99" s="215"/>
      <c r="AB99" s="215"/>
      <c r="AC99" s="221"/>
      <c r="AD99" s="221"/>
      <c r="AE99" s="213"/>
      <c r="AF99" s="215"/>
      <c r="AG99" s="215"/>
      <c r="AH99" s="220"/>
      <c r="AI99" s="220"/>
      <c r="AJ99" s="213"/>
    </row>
  </sheetData>
  <mergeCells count="14">
    <mergeCell ref="B1:E1"/>
    <mergeCell ref="L1:O1"/>
    <mergeCell ref="V1:Y1"/>
    <mergeCell ref="AF1:AI1"/>
    <mergeCell ref="B2:E2"/>
    <mergeCell ref="L2:O2"/>
    <mergeCell ref="V2:Y2"/>
    <mergeCell ref="AF2:AI2"/>
    <mergeCell ref="G1:J1"/>
    <mergeCell ref="G2:J2"/>
    <mergeCell ref="Q1:T1"/>
    <mergeCell ref="Q2:T2"/>
    <mergeCell ref="AA1:AD1"/>
    <mergeCell ref="AA2:AD2"/>
  </mergeCells>
  <hyperlinks>
    <hyperlink ref="D4" r:id="rId1" display="https://www.linkedin.com/learning/leading-the-organization-monthly?trk=ondemandfile" xr:uid="{00000000-0004-0000-1900-000000000000}"/>
    <hyperlink ref="E4" r:id="rId2" display="https://www.linkedin.com/learning/paths/advance-your-skills-as-a-manager?trk=ondemandfile" xr:uid="{00000000-0004-0000-1900-000001000000}"/>
    <hyperlink ref="I4" r:id="rId3" display="https://www.linkedin.com/learning/10-minutes-un-livre-comment-trouver-le-leader-en-vous?trk=contentmappingfile" xr:uid="{00000000-0004-0000-1900-000002000000}"/>
    <hyperlink ref="N4" r:id="rId4" display="https://www.linkedin.com/learning/como-administrar-por-objetivos?trk=ondemandfile" xr:uid="{00000000-0004-0000-1900-000003000000}"/>
    <hyperlink ref="O4" r:id="rId5" display="https://www.linkedin.com/learning/paths/mejora-tus-dotes-de-liderazgo-y-gestion-de-equipos-de-trabajo?trk=ondemandfile" xr:uid="{00000000-0004-0000-1900-000004000000}"/>
    <hyperlink ref="S4" r:id="rId6" display="https://www.linkedin.com/learning/als-ingenieur-in-oder-it-expert-in-mitarbeiter-fuhren?trk=ondemandfile" xr:uid="{00000000-0004-0000-1900-000005000000}"/>
    <hyperlink ref="T4" r:id="rId7" display="https://www.linkedin.com/learning/paths/teams-aufbauen-und-fuehren?trk=ondemandfile" xr:uid="{00000000-0004-0000-1900-000006000000}"/>
    <hyperlink ref="X4" r:id="rId8" display="https://www.linkedin.com/learning/key-account-management-17123908?trk=contentmappingfile" xr:uid="{00000000-0004-0000-1900-000007000000}"/>
    <hyperlink ref="AD4" r:id="rId9" display="https://www.linkedin.com/learning/paths/torne-se-um-gestor-de-projetos?trk=ondemandfile" xr:uid="{00000000-0004-0000-1900-000008000000}"/>
    <hyperlink ref="AH4" r:id="rId10" display="https://www.linkedin.com/learning/delivering-employee-feedback-3?trk=ondemandfile" xr:uid="{00000000-0004-0000-1900-000009000000}"/>
    <hyperlink ref="AI4" r:id="rId11" display="https://www.linkedin.com/learning/paths/15e85c29-5b7c-3b12-a882-4bfdeb3c83c7?trk=ondemandfile" xr:uid="{00000000-0004-0000-1900-00000A000000}"/>
    <hyperlink ref="D5" r:id="rId12" display="https://www.linkedin.com/learning/the-new-rules-of-work?trk=ondemandfile" xr:uid="{00000000-0004-0000-1900-00000B000000}"/>
    <hyperlink ref="E5" r:id="rId13" display="https://www.linkedin.com/learning/paths/become-a-manager?trk=ondemandfile" xr:uid="{00000000-0004-0000-1900-00000C000000}"/>
    <hyperlink ref="I5" r:id="rId14" display="https://www.linkedin.com/learning/10-minutes-un-livre-constituer-son-equipe-pour-atteindre-le-succes?trk=contentmappingfile" xr:uid="{00000000-0004-0000-1900-00000D000000}"/>
    <hyperlink ref="N5" r:id="rId15" display="https://www.linkedin.com/learning/como-crear-una-cultura-de-alto-rendimiento?trk=ondemandfile" xr:uid="{00000000-0004-0000-1900-00000E000000}"/>
    <hyperlink ref="O5" r:id="rId16" display="https://www.linkedin.com/learning/paths/fomenta-la-colaboracion-en-tu-equipo?trk=ondemandfile" xr:uid="{00000000-0004-0000-1900-00000F000000}"/>
    <hyperlink ref="S5" r:id="rId17" display="https://www.linkedin.com/learning/00-arbmethodmanag?trk=ondemandfile" xr:uid="{00000000-0004-0000-1900-000010000000}"/>
    <hyperlink ref="T5" r:id="rId18" display="https://www.linkedin.com/learning/paths/fuhrungskraft-werden?trk=ondemandfile" xr:uid="{00000000-0004-0000-1900-000011000000}"/>
    <hyperlink ref="X5" r:id="rId19" display="https://www.linkedin.com/learning/managing-multiple-generations-8332500?trk=ondemandfile" xr:uid="{00000000-0004-0000-1900-000012000000}"/>
    <hyperlink ref="AC5" r:id="rId20" display="https://www.linkedin.com/learning/como-apoiar-sua-equipe-na-gestao-da-ansiedade?trk=contentmappingfile" xr:uid="{00000000-0004-0000-1900-000013000000}"/>
    <hyperlink ref="AH5" r:id="rId21" display="https://www.linkedin.com/learning/transitioning-from-individual-contributor-to-manager-3?trk=ondemandfile" xr:uid="{00000000-0004-0000-1900-000014000000}"/>
    <hyperlink ref="AI5" r:id="rId22" display="https://www.linkedin.com/learning/paths/3db8a531-c16b-3623-9891-2cd47ac19f68?trk=ondemandfile" xr:uid="{00000000-0004-0000-1900-000015000000}"/>
    <hyperlink ref="D6" r:id="rId23" display="https://www.linkedin.com/learning/managing-globally?trk=ondemandfile" xr:uid="{00000000-0004-0000-1900-000016000000}"/>
    <hyperlink ref="E6" r:id="rId24" display="https://www.linkedin.com/learning/paths/become-a-senior-manager?trk=ondemandfile" xr:uid="{00000000-0004-0000-1900-000017000000}"/>
    <hyperlink ref="I6" r:id="rId25" display="https://www.linkedin.com/learning/10-minutes-un-livre-soignez-la-reunionite?trk=contentmappingfile" xr:uid="{00000000-0004-0000-1900-000018000000}"/>
    <hyperlink ref="N6" r:id="rId26" display="https://www.linkedin.com/learning/como-dar-y-recibir-feedback-o-retroalimentacion?trk=contentmappingfile" xr:uid="{00000000-0004-0000-1900-000019000000}"/>
    <hyperlink ref="O6" r:id="rId27" display="https://www.linkedin.com/learning/paths/crea-una-atmosfera-de-trabajo-productiva?trk=ondemandfile" xr:uid="{00000000-0004-0000-1900-00001A000000}"/>
    <hyperlink ref="S6" r:id="rId28" display="https://www.linkedin.com/learning/beurteilungsgesprache-fuhren?trk=ondemandfile" xr:uid="{00000000-0004-0000-1900-00001B000000}"/>
    <hyperlink ref="T6" r:id="rId29" display="https://www.linkedin.com/learning/paths/fuehrungskompetenz-weiterentwickeln?trk=ondemandfile" xr:uid="{00000000-0004-0000-1900-00001C000000}"/>
    <hyperlink ref="X6" r:id="rId30" display="https://www.linkedin.com/learning/delegating-tasks-to-your-team-3?trk=ondemandfile" xr:uid="{00000000-0004-0000-1900-00001D000000}"/>
    <hyperlink ref="AH6" r:id="rId31" display="https://www.linkedin.com/learning/managing-for-results-2?trk=ondemandfile" xr:uid="{00000000-0004-0000-1900-00001E000000}"/>
    <hyperlink ref="AI6" r:id="rId32" display="https://www.linkedin.com/learning/paths/87c473ed-01ce-32f8-90ac-61be15e449c9?trk=ondemandfile" xr:uid="{00000000-0004-0000-1900-00001F000000}"/>
    <hyperlink ref="D7" r:id="rId33" display="https://www.linkedin.com/learning/creating-a-high-performance-culture?trk=ondemandfile" xr:uid="{00000000-0004-0000-1900-000020000000}"/>
    <hyperlink ref="E7" r:id="rId34" display="https://www.linkedin.com/learning/paths/develop-motivate-and-retain-employees?trk=ondemandfile" xr:uid="{00000000-0004-0000-1900-000021000000}"/>
    <hyperlink ref="I7" r:id="rId35" display="https://www.linkedin.com/learning/accroitre-la-securite-psychologique-de-votre-equipe?trk=contentmappingfile" xr:uid="{00000000-0004-0000-1900-000022000000}"/>
    <hyperlink ref="N7" r:id="rId36" display="https://www.linkedin.com/learning/como-desarrollar-la-presencia-ejecutiva?trk=ondemandfile" xr:uid="{00000000-0004-0000-1900-000023000000}"/>
    <hyperlink ref="S7" r:id="rId37" display="https://www.linkedin.com/learning/die-ersten-100-tage-als-fuhrungskraft-2?trk=ondemandfile" xr:uid="{00000000-0004-0000-1900-000024000000}"/>
    <hyperlink ref="X7" r:id="rId38" display="https://www.linkedin.com/learning/managing-for-results-3?trk=ondemandfile" xr:uid="{00000000-0004-0000-1900-000025000000}"/>
    <hyperlink ref="AD7" r:id="rId39" display="https://www.linkedin.com/learning/paths/torne-se-um-lider?trk=ondemandfile" xr:uid="{00000000-0004-0000-1900-000026000000}"/>
    <hyperlink ref="AH7" r:id="rId40" display="https://www.linkedin.com/learning/supply-chain-foundations-2?trk=contentmappingfile" xr:uid="{00000000-0004-0000-1900-000027000000}"/>
    <hyperlink ref="AI7" r:id="rId41" display="https://www.linkedin.com/learning/paths/90c69069-2437-32f7-a15c-be75af1531ab?trk=ondemandfile" xr:uid="{00000000-0004-0000-1900-000028000000}"/>
    <hyperlink ref="D8" r:id="rId42" display="https://www.linkedin.com/learning/talent-management?trk=ondemandfile" xr:uid="{00000000-0004-0000-1900-000029000000}"/>
    <hyperlink ref="E8" r:id="rId43" display="https://www.linkedin.com/learning/paths/grow-your-impact-as-a-mentor?trk=ondemandfile" xr:uid="{00000000-0004-0000-1900-00002A000000}"/>
    <hyperlink ref="I8" r:id="rId44" display="https://www.linkedin.com/learning/ameliorer-les-performances-des-employes-employees?trk=contentmappingfile" xr:uid="{00000000-0004-0000-1900-00002B000000}"/>
    <hyperlink ref="N8" r:id="rId45" display="https://www.linkedin.com/learning/como-gestionar-a-personas-con-alto-potencial?trk=contentmappingfile" xr:uid="{00000000-0004-0000-1900-00002C000000}"/>
    <hyperlink ref="S8" r:id="rId46" display="https://www.linkedin.com/learning/die-leistung-der-mitarbeiter-innen-steigern?trk=ondemandfile" xr:uid="{00000000-0004-0000-1900-00002D000000}"/>
    <hyperlink ref="X8" r:id="rId47" display="https://www.linkedin.com/learning/leading-and-working-in-teams-2?trk=ondemandfile" xr:uid="{00000000-0004-0000-1900-00002E000000}"/>
    <hyperlink ref="AD8" r:id="rId48" display="https://www.linkedin.com/learning/paths/transforme-se-num-lider-disruptivo?trk=ondemandfile" xr:uid="{00000000-0004-0000-1900-00002F000000}"/>
    <hyperlink ref="AH8" r:id="rId49" display="https://www.linkedin.com/learning/creating-a-high-performance-culture-4?trk=ondemandfile" xr:uid="{00000000-0004-0000-1900-000030000000}"/>
    <hyperlink ref="AI8" r:id="rId50" display="https://www.linkedin.com/learning/paths/a0eb3d8c-a473-3d5e-b3a6-750ac02b3b49?trk=ondemandfile" xr:uid="{00000000-0004-0000-1900-000031000000}"/>
    <hyperlink ref="D9" r:id="rId51" display="https://www.linkedin.com/learning/goal-setting-objectives-and-key-results-okrs?trk=ondemandfile" xr:uid="{00000000-0004-0000-1900-000032000000}"/>
    <hyperlink ref="E9" r:id="rId52" display="https://www.linkedin.com/learning/paths/improve-your-coaching-skills-as-a-manager?trk=ondemandfile" xr:uid="{00000000-0004-0000-1900-000033000000}"/>
    <hyperlink ref="N9" r:id="rId53" display="https://www.linkedin.com/learning/como-gestionar-al-personal-de-alto-rendimiento?trk=contentmappingfile" xr:uid="{00000000-0004-0000-1900-000034000000}"/>
    <hyperlink ref="S9" r:id="rId54" display="https://www.linkedin.com/learning/die-unternehmensleistung-messen?trk=ondemandfile" xr:uid="{00000000-0004-0000-1900-000035000000}"/>
    <hyperlink ref="X9" r:id="rId55" display="https://www.linkedin.com/learning/managing-virtual-teams?trk=ondemandfile" xr:uid="{00000000-0004-0000-1900-000036000000}"/>
    <hyperlink ref="AD9" r:id="rId56" display="https://www.linkedin.com/learning/paths/trabalho-remoto-colaboracao-foco-e-produtividade?trk=ondemandfile" xr:uid="{00000000-0004-0000-1900-000037000000}"/>
    <hyperlink ref="AH9" r:id="rId57" display="https://www.linkedin.com/learning/change-management-for-projects-15870814?trk=contentmappingfile" xr:uid="{00000000-0004-0000-1900-000038000000}"/>
    <hyperlink ref="D10" r:id="rId58" display="https://www.linkedin.com/learning/creating-the-conditions-for-others-to-thrive?trk=ondemandfile" xr:uid="{00000000-0004-0000-1900-000039000000}"/>
    <hyperlink ref="E10" r:id="rId59" display="https://www.linkedin.com/learning/paths/managing-and-leading-developers?trk=ondemandfile" xr:uid="{00000000-0004-0000-1900-00003A000000}"/>
    <hyperlink ref="I10" r:id="rId60" display="https://www.linkedin.com/learning/choisir-d-etre-un-bon-manager?trk=contentmappingfile" xr:uid="{00000000-0004-0000-1900-00003B000000}"/>
    <hyperlink ref="N10" r:id="rId61" display="https://www.linkedin.com/learning/c-mo-gestionar-equipos-de-trabajo?trk=ondemandfile" xr:uid="{00000000-0004-0000-1900-00003C000000}"/>
    <hyperlink ref="S10" r:id="rId62" display="https://www.linkedin.com/learning/eine-hochleistungskultur-schaffen?trk=ondemandfile" xr:uid="{00000000-0004-0000-1900-00003D000000}"/>
    <hyperlink ref="X10" r:id="rId63" display="https://www.linkedin.com/learning/performance-management-conducting-performance-reviews-14623662?trk=contentmappingfile" xr:uid="{00000000-0004-0000-1900-00003E000000}"/>
    <hyperlink ref="AH10" r:id="rId64" display="https://www.linkedin.com/learning/98373539-7768-37d9-bfa1-0425382fc5b8?trk=ondemandfile" xr:uid="{00000000-0004-0000-1900-00003F000000}"/>
    <hyperlink ref="D11" r:id="rId65" display="https://www.linkedin.com/learning/employee-experience?trk=ondemandfile" xr:uid="{00000000-0004-0000-1900-000040000000}"/>
    <hyperlink ref="E11" r:id="rId66" display="https://www.linkedin.com/learning/paths/managing-others-effectively-3?trk=ondemandfile" xr:uid="{00000000-0004-0000-1900-000041000000}"/>
    <hyperlink ref="I11" r:id="rId67" display="https://www.linkedin.com/learning/coacher-et-aider-ses-employes-employees-a-se-developper?trk=contentmappingfile" xr:uid="{00000000-0004-0000-1900-000042000000}"/>
    <hyperlink ref="N11" r:id="rId68" display="https://www.linkedin.com/learning/como-gestionar-los-puntos-ciegos-del-liderazgo?trk=ondemandfile" xr:uid="{00000000-0004-0000-1900-000043000000}"/>
    <hyperlink ref="S11" r:id="rId69" display="https://www.linkedin.com/learning/00-ergebnis-manag?trk=ondemandfile" xr:uid="{00000000-0004-0000-1900-000044000000}"/>
    <hyperlink ref="X11" r:id="rId70" display="https://www.linkedin.com/learning/onboarding-new-hires-as-a-manager-14635568?trk=contentmappingfile" xr:uid="{00000000-0004-0000-1900-000045000000}"/>
    <hyperlink ref="AH11" r:id="rId71" display="https://www.linkedin.com/learning/managing-up-down-and-across-the-organization-3?trk=ondemandfile" xr:uid="{00000000-0004-0000-1900-000046000000}"/>
    <hyperlink ref="D12" r:id="rId72" display="https://www.linkedin.com/learning/measuring-team-performance?trk=ondemandfile" xr:uid="{00000000-0004-0000-1900-000047000000}"/>
    <hyperlink ref="E12" r:id="rId73" display="https://www.linkedin.com/learning/paths/managing-performance?trk=ondemandfile" xr:uid="{00000000-0004-0000-1900-000048000000}"/>
    <hyperlink ref="N12" r:id="rId74" display="https://www.linkedin.com/learning/como-gestionar-un-equipo-multigeneracional?trk=contentmappingfile" xr:uid="{00000000-0004-0000-1900-000049000000}"/>
    <hyperlink ref="S12" r:id="rId75" display="https://www.linkedin.com/learning/expert-innen-fuhren?trk=ondemandfile" xr:uid="{00000000-0004-0000-1900-00004A000000}"/>
    <hyperlink ref="X12" r:id="rId76" display="https://www.linkedin.com/learning/management-foundations-4?trk=ondemandfile" xr:uid="{00000000-0004-0000-1900-00004B000000}"/>
    <hyperlink ref="AC12" r:id="rId77" display="https://www.linkedin.com/learning/como-demitir-colaboradores?trk=contentmappingfile" xr:uid="{00000000-0004-0000-1900-00004C000000}"/>
    <hyperlink ref="AH12" r:id="rId78" display="https://www.linkedin.com/learning/delegating-tasks-to-your-team-2?trk=ondemandfile" xr:uid="{00000000-0004-0000-1900-00004D000000}"/>
    <hyperlink ref="D13" r:id="rId79" display="https://www.linkedin.com/learning/managing-new-managers?trk=ondemandfile" xr:uid="{00000000-0004-0000-1900-00004E000000}"/>
    <hyperlink ref="E13" r:id="rId80" display="https://www.linkedin.com/learning/paths/master-in-demand-professional-soft-skills?trk=ondemandfile" xr:uid="{00000000-0004-0000-1900-00004F000000}"/>
    <hyperlink ref="I13" r:id="rId81" display="https://www.linkedin.com/learning/conseils-d-experte-manager-la-generation-z?trk=contentmappingfile" xr:uid="{00000000-0004-0000-1900-000050000000}"/>
    <hyperlink ref="N13" r:id="rId82" display="https://www.linkedin.com/learning/como-liderar-equipos-inclusivos?trk=ondemandfile" xr:uid="{00000000-0004-0000-1900-000051000000}"/>
    <hyperlink ref="S13" r:id="rId83" display="https://www.linkedin.com/learning/hochleistungsteams-aufbauen?trk=ondemandfile" xr:uid="{00000000-0004-0000-1900-000052000000}"/>
    <hyperlink ref="X13" r:id="rId84" display="https://www.linkedin.com/learning/transitioning-from-individual-contributor-to-manager-2?trk=ondemandfile" xr:uid="{00000000-0004-0000-1900-000053000000}"/>
    <hyperlink ref="AC13" r:id="rId85" display="https://www.linkedin.com/learning/como-desenvolver-a-lideranca-de-pensamento?trk=contentmappingfile" xr:uid="{00000000-0004-0000-1900-000054000000}"/>
    <hyperlink ref="AH13" r:id="rId86" display="https://www.linkedin.com/learning/developing-executive-presence-2?trk=ondemandfile" xr:uid="{00000000-0004-0000-1900-000055000000}"/>
    <hyperlink ref="D14" r:id="rId87" display="https://www.linkedin.com/learning/coaching-new-managers?trk=ondemandfile" xr:uid="{00000000-0004-0000-1900-000056000000}"/>
    <hyperlink ref="N14" r:id="rId88" display="https://www.linkedin.com/learning/como-liderar-reuniones-individuales-productivas?trk=ondemandfile" xr:uid="{00000000-0004-0000-1900-000057000000}"/>
    <hyperlink ref="S14" r:id="rId89" display="https://www.linkedin.com/learning/leistungstrager-fuhren?trk=ondemandfile" xr:uid="{00000000-0004-0000-1900-000058000000}"/>
    <hyperlink ref="X14" r:id="rId90" display="https://www.linkedin.com/learning/giving-and-receiving-feedback-3?trk=ondemandfile" xr:uid="{00000000-0004-0000-1900-000059000000}"/>
    <hyperlink ref="AC14" r:id="rId91" display="https://www.linkedin.com/learning/como-desenvolver-novas-habilidades-para-o-futuro-do-trabalho?trk=contentmappingfile" xr:uid="{00000000-0004-0000-1900-00005A000000}"/>
    <hyperlink ref="AH14" r:id="rId92" display="https://www.linkedin.com/learning/supporting-a-grieving-employee-a-manager-s-guide-3?trk=contentmappingfile" xr:uid="{00000000-0004-0000-1900-00005B000000}"/>
    <hyperlink ref="D15" r:id="rId93" display="https://www.linkedin.com/learning/managing-high-performers?trk=ondemandfile" xr:uid="{00000000-0004-0000-1900-00005C000000}"/>
    <hyperlink ref="N15" r:id="rId94" display="https://www.linkedin.com/learning/como-mejorar-el-rendimiento-de-tu-personal?trk=contentmappingfile" xr:uid="{00000000-0004-0000-1900-00005D000000}"/>
    <hyperlink ref="S15" r:id="rId95" display="https://www.linkedin.com/learning/mehrere-generationen-managen?trk=ondemandfile" xr:uid="{00000000-0004-0000-1900-00005E000000}"/>
    <hyperlink ref="X15" r:id="rId96" display="https://www.linkedin.com/learning/managing-new-managers-8329868?trk=ondemandfile" xr:uid="{00000000-0004-0000-1900-00005F000000}"/>
    <hyperlink ref="AC15" r:id="rId97" display="https://www.linkedin.com/learning/como-enfrentar-a-ansiedade-no-trabalho?trk=contentmappingfile" xr:uid="{00000000-0004-0000-1900-000060000000}"/>
    <hyperlink ref="AH15" r:id="rId98" display="https://www.linkedin.com/learning/having-difficult-conversations?trk=ondemandfile" xr:uid="{00000000-0004-0000-1900-000061000000}"/>
    <hyperlink ref="D16" r:id="rId99" display="https://www.linkedin.com/learning/managing-high-potentials?trk=ondemandfile" xr:uid="{00000000-0004-0000-1900-000062000000}"/>
    <hyperlink ref="N16" r:id="rId100" display="https://www.linkedin.com/learning/como-orientar-y-desarrollar-a-tu-personal?trk=contentmappingfile" xr:uid="{00000000-0004-0000-1900-000063000000}"/>
    <hyperlink ref="S16" r:id="rId101" display="https://www.linkedin.com/learning/mit-schwierigen-mitarbeiter-innen-umgehen?trk=ondemandfile" xr:uid="{00000000-0004-0000-1900-000064000000}"/>
    <hyperlink ref="X16" r:id="rId102" display="https://www.linkedin.com/learning/measuring-business-performance-4?trk=ondemandfile" xr:uid="{00000000-0004-0000-1900-000065000000}"/>
    <hyperlink ref="AH16" r:id="rId103" display="https://www.linkedin.com/learning/building-your-team-4?trk=ondemandfile" xr:uid="{00000000-0004-0000-1900-000066000000}"/>
    <hyperlink ref="D17" r:id="rId104" display="https://www.linkedin.com/learning/how-to-set-team-and-employee-goals?trk=ondemandfile" xr:uid="{00000000-0004-0000-1900-000067000000}"/>
    <hyperlink ref="N17" r:id="rId105" display="https://www.linkedin.com/learning/el-futuro-de-la-gestion-del-rendimiento?trk=ondemandfile" xr:uid="{00000000-0004-0000-1900-000068000000}"/>
    <hyperlink ref="S17" r:id="rId106" display="https://www.linkedin.com/learning/00-feedback?trk=ondemandfile" xr:uid="{00000000-0004-0000-1900-000069000000}"/>
    <hyperlink ref="X17" r:id="rId107" display="https://www.linkedin.com/learning/delivering-employee-feedback-2?trk=ondemandfile" xr:uid="{00000000-0004-0000-1900-00006A000000}"/>
    <hyperlink ref="AC17" r:id="rId108" display="https://www.linkedin.com/learning/como-gerenciar-sua-equipe-em-tempos-dificeis?trk=contentmappingfile" xr:uid="{00000000-0004-0000-1900-00006B000000}"/>
    <hyperlink ref="AH17" r:id="rId109" display="https://www.linkedin.com/learning/building-high-performance-teams-4?trk=ondemandfile" xr:uid="{00000000-0004-0000-1900-00006C000000}"/>
    <hyperlink ref="D18" r:id="rId110" display="https://www.linkedin.com/learning/how-to-give-and-receive-useful-feedback-every-month?trk=ondemandfile" xr:uid="{00000000-0004-0000-1900-00006D000000}"/>
    <hyperlink ref="I18" r:id="rId111" display="https://www.linkedin.com/learning/developper-la-motivation-et-l-engagement-des-employes-employees?trk=contentmappingfile" xr:uid="{00000000-0004-0000-1900-00006E000000}"/>
    <hyperlink ref="N18" r:id="rId112" display="https://www.linkedin.com/learning/fundamentos-de-gestion-de-equipos-it-y-programacion?trk=ondemandfile" xr:uid="{00000000-0004-0000-1900-00006F000000}"/>
    <hyperlink ref="S18" r:id="rId113" display="https://www.linkedin.com/learning/mitarbeiter-innen-motivieren?trk=ondemandfile" xr:uid="{00000000-0004-0000-1900-000070000000}"/>
    <hyperlink ref="X18" r:id="rId114" display="https://www.linkedin.com/learning/improving-employee-performance-4?trk=ondemandfile" xr:uid="{00000000-0004-0000-1900-000071000000}"/>
    <hyperlink ref="AH18" r:id="rId115" display="https://www.linkedin.com/learning/embracing-unexpected-change-2?trk=contentmappingfile" xr:uid="{00000000-0004-0000-1900-000072000000}"/>
    <hyperlink ref="D19" r:id="rId116" display="https://www.linkedin.com/learning/simple-manager-tools-that-cure-the-under-management-epi-demic?trk=ondemandfile" xr:uid="{00000000-0004-0000-1900-000073000000}"/>
    <hyperlink ref="N19" r:id="rId117" display="https://www.linkedin.com/learning/00-performance-review-fundamentals?trk=ondemandfile" xr:uid="{00000000-0004-0000-1900-000074000000}"/>
    <hyperlink ref="S19" r:id="rId118" display="https://www.linkedin.com/learning/modernes-leistungsmanagement?trk=ondemandfile" xr:uid="{00000000-0004-0000-1900-000075000000}"/>
    <hyperlink ref="X19" r:id="rId119" display="https://www.linkedin.com/learning/managing-employee-performance-problems-14175702?trk=ondemandfile" xr:uid="{00000000-0004-0000-1900-000076000000}"/>
    <hyperlink ref="AC19" r:id="rId120" display="https://www.linkedin.com/learning/como-integrar-novos-colaboradores-e-colaboradoras-a-empresa?trk=contentmappingfile" xr:uid="{00000000-0004-0000-1900-000077000000}"/>
    <hyperlink ref="AH19" r:id="rId121" display="https://www.linkedin.com/learning/84777a9a-010b-3e75-8b28-27d3706e8c9a?trk=ondemandfile" xr:uid="{00000000-0004-0000-1900-000078000000}"/>
    <hyperlink ref="D20" r:id="rId122" display="https://www.linkedin.com/learning/the-benefits-of-standardization-and-standard-work?trk=ondemandfile" xr:uid="{00000000-0004-0000-1900-000079000000}"/>
    <hyperlink ref="I20" r:id="rId123" display="https://www.linkedin.com/learning/devenir-un-manager-bienveillant-une-manager-bienveillante?trk=contentmappingfile" xr:uid="{00000000-0004-0000-1900-00007A000000}"/>
    <hyperlink ref="N20" r:id="rId124" display="https://www.linkedin.com/learning/fundamentos-de-la-gesti-n-empresarial?trk=ondemandfile" xr:uid="{00000000-0004-0000-1900-00007B000000}"/>
    <hyperlink ref="S20" r:id="rId125" display="https://www.linkedin.com/learning/00-projektmanagement-teamfuhrung?trk=ondemandfile" xr:uid="{00000000-0004-0000-1900-00007C000000}"/>
    <hyperlink ref="X20" r:id="rId126" display="https://www.linkedin.com/learning/coaching-and-developing-employee?trk=ondemandfile" xr:uid="{00000000-0004-0000-1900-00007D000000}"/>
    <hyperlink ref="AH20" r:id="rId127" display="https://www.linkedin.com/learning/agile-at-work-building-your-agile-team-3?trk=ondemandfile" xr:uid="{00000000-0004-0000-1900-00007E000000}"/>
    <hyperlink ref="D21" r:id="rId128" display="https://www.linkedin.com/learning/implementing-continuous-impro-vement-a-case-study?trk=ondemandfile" xr:uid="{00000000-0004-0000-1900-00007F000000}"/>
    <hyperlink ref="I21" r:id="rId129" display="https://www.linkedin.com/learning/diriger-comme-un-patron-une-patronne?trk=contentmappingfile" xr:uid="{00000000-0004-0000-1900-000080000000}"/>
    <hyperlink ref="N21" r:id="rId130" display="https://www.linkedin.com/learning/fundamentos-y-consejos-para-gerentes-principiantes?trk=contentmappingfile" xr:uid="{00000000-0004-0000-1900-000081000000}"/>
    <hyperlink ref="S21" r:id="rId131" display="https://www.linkedin.com/learning/selbstmanagement-tipps-fur-fuhrungskrafte?trk=ondemandfile" xr:uid="{00000000-0004-0000-1900-000082000000}"/>
    <hyperlink ref="AH21" r:id="rId132" display="https://www.linkedin.com/learning/onboarding-new-hires-2?trk=contentmappingfile" xr:uid="{00000000-0004-0000-1900-000083000000}"/>
    <hyperlink ref="D22" r:id="rId133" display="https://www.linkedin.com/learning/culture-of-kaizen?trk=ondemandfile" xr:uid="{00000000-0004-0000-1900-000084000000}"/>
    <hyperlink ref="N22" r:id="rId134" display="https://www.linkedin.com/learning/gestion-de-equipos-mediante-okr-s-o-misiones-objetivos-y-resultados-clave?trk=contentmappingfile" xr:uid="{00000000-0004-0000-1900-000085000000}"/>
    <hyperlink ref="S22" r:id="rId135" display="https://www.linkedin.com/learning/potenzialtrager-fuhren?trk=ondemandfile" xr:uid="{00000000-0004-0000-1900-000086000000}"/>
    <hyperlink ref="AC22" r:id="rId136" display="https://www.linkedin.com/learning/como-passar-da-colaboracao-a-gerencia?trk=contentmappingfile" xr:uid="{00000000-0004-0000-1900-000087000000}"/>
    <hyperlink ref="AH22" r:id="rId137" display="https://www.linkedin.com/learning/new-manager-foundations-3?trk=ondemandfile" xr:uid="{00000000-0004-0000-1900-000088000000}"/>
    <hyperlink ref="D23" r:id="rId138" display="https://www.linkedin.com/learning/managers-as-multipliers-of-well-being?trk=ondemandfile" xr:uid="{00000000-0004-0000-1900-000089000000}"/>
    <hyperlink ref="N23" r:id="rId139" display="https://www.linkedin.com/learning/00-managing-employee-performance-problems?trk=ondemandfile" xr:uid="{00000000-0004-0000-1900-00008A000000}"/>
    <hyperlink ref="S23" r:id="rId140" display="https://www.linkedin.com/learning/die-teamleistung-messen?trk=ondemandfile" xr:uid="{00000000-0004-0000-1900-00008B000000}"/>
    <hyperlink ref="AC23" r:id="rId141" display="https://www.linkedin.com/learning/como-prevenir-o-assedio-no-trabalho-e-criar-um-ambiente-seguro?trk=contentmappingfile" xr:uid="{00000000-0004-0000-1900-00008C000000}"/>
    <hyperlink ref="AH23" r:id="rId142" display="https://www.linkedin.com/learning/time-management-fundamentals-3?trk=ondemandfile" xr:uid="{00000000-0004-0000-1900-00008D000000}"/>
    <hyperlink ref="D24" r:id="rId143" display="https://www.linkedin.com/learning/motivate-remote-teams?trk=ondemandfile" xr:uid="{00000000-0004-0000-1900-00008E000000}"/>
    <hyperlink ref="N24" r:id="rId144" display="https://www.linkedin.com/learning/gestion-del-tiempo-para-lideres?trk=contentmappingfile" xr:uid="{00000000-0004-0000-1900-00008F000000}"/>
    <hyperlink ref="S24" r:id="rId145" display="https://www.linkedin.com/learning/00-teams-bilden?trk=ondemandfile" xr:uid="{00000000-0004-0000-1900-000090000000}"/>
    <hyperlink ref="AC24" r:id="rId146" display="https://www.linkedin.com/learning/como-promover-a-empatia-no-mundo-das-tecnologias-de-informacao?trk=contentmappingfile" xr:uid="{00000000-0004-0000-1900-000091000000}"/>
    <hyperlink ref="AH24" r:id="rId147" display="https://www.linkedin.com/learning/unlock-your-team-s-creativity-2?trk=ondemandfile" xr:uid="{00000000-0004-0000-1900-000092000000}"/>
    <hyperlink ref="D25" r:id="rId148" display="https://www.linkedin.com/learning/identify-and-unleash-potential-in-your-employees?trk=ondemandfile" xr:uid="{00000000-0004-0000-1900-000093000000}"/>
    <hyperlink ref="I25" r:id="rId149" display="https://www.linkedin.com/learning/etablir-des-objectifs-pour-son-equipe-et-ses-employes-employees?trk=contentmappingfile" xr:uid="{00000000-0004-0000-1900-000094000000}"/>
    <hyperlink ref="N25" r:id="rId150" display="https://www.linkedin.com/learning/00-liderazgo-y-trabajo-en-equipo?trk=ondemandfile" xr:uid="{00000000-0004-0000-1900-000095000000}"/>
    <hyperlink ref="S25" r:id="rId151" display="https://www.linkedin.com/learning/technische-fachkrafte-fuhren?trk=ondemandfile" xr:uid="{00000000-0004-0000-1900-000096000000}"/>
    <hyperlink ref="AH25" r:id="rId152" display="https://www.linkedin.com/learning/just-ask-developing-a-career-in-project-management?trk=contentmappingfile" xr:uid="{00000000-0004-0000-1900-000097000000}"/>
    <hyperlink ref="D26" r:id="rId153" display="https://www.linkedin.com/learning/new-manager-foundations-2?trk=ondemandfile" xr:uid="{00000000-0004-0000-1900-000098000000}"/>
    <hyperlink ref="I26" r:id="rId154" display="https://www.linkedin.com/learning/evoluer-de-collaborateur-collaboratrice-a-manager?trk=contentmappingfile" xr:uid="{00000000-0004-0000-1900-000099000000}"/>
    <hyperlink ref="N26" r:id="rId155" display="https://www.linkedin.com/learning/microsoft-dynamics-365-for-talent-esencial?trk=ondemandfile" xr:uid="{00000000-0004-0000-1900-00009A000000}"/>
    <hyperlink ref="S26" r:id="rId156" display="https://www.linkedin.com/learning/virtuelle-teams-fuhren-16362149?trk=contentmappingfile" xr:uid="{00000000-0004-0000-1900-00009B000000}"/>
    <hyperlink ref="AH26" r:id="rId157" display="https://www.linkedin.com/learning/project-management-simplified?trk=contentmappingfile" xr:uid="{00000000-0004-0000-1900-00009C000000}"/>
    <hyperlink ref="D27" r:id="rId158" display="https://www.linkedin.com/learning/performance-management-setting-goals-and-managing-performance?trk=ondemandfile" xr:uid="{00000000-0004-0000-1900-00009D000000}"/>
    <hyperlink ref="N27" r:id="rId159" display="https://www.linkedin.com/learning/motivaci-n-e-implicaci-n-en-la-empresa?trk=ondemandfile" xr:uid="{00000000-0004-0000-1900-00009E000000}"/>
    <hyperlink ref="S27" r:id="rId160" display="https://www.linkedin.com/learning/ziele-fur-mitarbeiter-innen-und-teams-setzen?trk=ondemandfile" xr:uid="{00000000-0004-0000-1900-00009F000000}"/>
    <hyperlink ref="AC27" r:id="rId161" display="https://www.linkedin.com/learning/contratacao-de-colaboradores-tecnicas-para-gerentes?trk=contentmappingfile" xr:uid="{00000000-0004-0000-1900-0000A0000000}"/>
    <hyperlink ref="AH27" r:id="rId162" display="https://www.linkedin.com/learning/managing-diversity?trk=ondemandfile" xr:uid="{00000000-0004-0000-1900-0000A1000000}"/>
    <hyperlink ref="D28" r:id="rId163" display="https://www.linkedin.com/learning/leading-virtual-meetings?trk=ondemandfile" xr:uid="{00000000-0004-0000-1900-0000A2000000}"/>
    <hyperlink ref="I28" r:id="rId164" display="https://www.linkedin.com/learning/gerer-les-employes-tres-performants-employees-tres-performantes?trk=contentmappingfile" xr:uid="{00000000-0004-0000-1900-0000A3000000}"/>
    <hyperlink ref="N28" r:id="rId165" display="https://www.linkedin.com/learning/primeros-pasos-en-el-liderazgo-de-equipos?trk=contentmappingfile" xr:uid="{00000000-0004-0000-1900-0000A4000000}"/>
    <hyperlink ref="S28" r:id="rId166" display="https://www.linkedin.com/learning/00-zielvereinbarung?trk=ondemandfile" xr:uid="{00000000-0004-0000-1900-0000A5000000}"/>
    <hyperlink ref="AH28" r:id="rId167" display="https://www.linkedin.com/learning/managing-meetings-3?trk=ondemandfile" xr:uid="{00000000-0004-0000-1900-0000A6000000}"/>
    <hyperlink ref="D29" r:id="rId168" display="https://www.linkedin.com/learning/coaching-and-developing-employees-2019?trk=ondemandfile" xr:uid="{00000000-0004-0000-1900-0000A7000000}"/>
    <hyperlink ref="I29" r:id="rId169" display="https://www.linkedin.com/learning/gerer-les-experts-expertes?trk=contentmappingfile" xr:uid="{00000000-0004-0000-1900-0000A8000000}"/>
    <hyperlink ref="AH29" r:id="rId170" display="https://www.linkedin.com/learning/managing-employee-performance-problems-5?trk=ondemandfile" xr:uid="{00000000-0004-0000-1900-0000A9000000}"/>
    <hyperlink ref="D30" r:id="rId171" display="https://www.linkedin.com/learning/improving-employee-performance?trk=ondemandfile" xr:uid="{00000000-0004-0000-1900-0000AA000000}"/>
    <hyperlink ref="AH30" r:id="rId172" display="https://www.linkedin.com/learning/managing-team-conflict-15962506?trk=contentmappingfile" xr:uid="{00000000-0004-0000-1900-0000AB000000}"/>
    <hyperlink ref="D31" r:id="rId173" display="https://www.linkedin.com/learning/management-top-tips?trk=ondemandfile" xr:uid="{00000000-0004-0000-1900-0000AC000000}"/>
    <hyperlink ref="I31" r:id="rId174" display="https://www.linkedin.com/learning/gerer-les-managers-experimentes-experimentees?trk=contentmappingfile" xr:uid="{00000000-0004-0000-1900-0000AD000000}"/>
    <hyperlink ref="AH31" r:id="rId175" display="https://www.linkedin.com/learning/management-foundations-2?trk=ondemandfile" xr:uid="{00000000-0004-0000-1900-0000AE000000}"/>
    <hyperlink ref="D32" r:id="rId176" display="https://www.linkedin.com/learning/managing-teams-2018?trk=ondemandfile" xr:uid="{00000000-0004-0000-1900-0000AF000000}"/>
    <hyperlink ref="I32" r:id="rId177" display="https://www.linkedin.com/learning/gerer-les-techniciens-techniciennes?trk=contentmappingfile" xr:uid="{00000000-0004-0000-1900-0000B0000000}"/>
    <hyperlink ref="AH32" r:id="rId178" display="https://www.linkedin.com/learning/managing-a-diverse-team-2?trk=ondemandfile" xr:uid="{00000000-0004-0000-1900-0000B1000000}"/>
    <hyperlink ref="D33" r:id="rId179" display="https://www.linkedin.com/learning/managing-temporary-and-contract-employees?trk=ondemandfile" xr:uid="{00000000-0004-0000-1900-0000B2000000}"/>
    <hyperlink ref="I33" r:id="rId180" display="https://www.linkedin.com/learning/gerer-ses-relations-avec-son-chef-sa-cheffe-ses-collegues-et-ses-employes-employees?trk=contentmappingfile" xr:uid="{00000000-0004-0000-1900-0000B3000000}"/>
    <hyperlink ref="AC33" r:id="rId181" display="https://www.linkedin.com/learning/gestao-de-conflitos-como-lidar-com-as-divergencias-na-empresa?trk=contentmappingfile" xr:uid="{00000000-0004-0000-1900-0000B4000000}"/>
    <hyperlink ref="AH33" r:id="rId182" display="https://www.linkedin.com/learning/managing-new-managers-4?trk=ondemandfile" xr:uid="{00000000-0004-0000-1900-0000B5000000}"/>
    <hyperlink ref="D34" r:id="rId183" display="https://www.linkedin.com/learning/motivating-and-engaging-employees-2?trk=ondemandfile" xr:uid="{00000000-0004-0000-1900-0000B6000000}"/>
    <hyperlink ref="AC34" r:id="rId184" display="https://www.linkedin.com/learning/gestao-de-novos-cargos-de-gerencia?trk=contentmappingfile" xr:uid="{00000000-0004-0000-1900-0000B7000000}"/>
    <hyperlink ref="AH34" r:id="rId185" display="https://www.linkedin.com/learning/managing-virtual-teams-3?trk=ondemandfile" xr:uid="{00000000-0004-0000-1900-0000B8000000}"/>
    <hyperlink ref="D35" r:id="rId186" display="https://www.linkedin.com/learning/building-change-capability-for-managers?trk=ondemandfile" xr:uid="{00000000-0004-0000-1900-0000B9000000}"/>
    <hyperlink ref="AH35" r:id="rId187" display="https://www.linkedin.com/learning/b83c5b95-31a5-31a0-9bbe-8eb3a913b66f?trk=ondemandfile" xr:uid="{00000000-0004-0000-1900-0000BA000000}"/>
    <hyperlink ref="D36" r:id="rId188" display="https://www.linkedin.com/learning/managing-introverts?trk=ondemandfile" xr:uid="{00000000-0004-0000-1900-0000BB000000}"/>
    <hyperlink ref="I36" r:id="rId189" display="https://www.linkedin.com/learning/jeff-weiner-le-management-compassionnel?trk=contentmappingfile" xr:uid="{00000000-0004-0000-1900-0000BC000000}"/>
    <hyperlink ref="AH36" r:id="rId190" display="https://www.linkedin.com/learning/0205c79a-985b-337b-8a72-81f0f9bde52b?trk=ondemandfile" xr:uid="{00000000-0004-0000-1900-0000BD000000}"/>
    <hyperlink ref="D37" r:id="rId191" display="https://www.linkedin.com/learning/coaching-new-hires?trk=ondemandfile" xr:uid="{00000000-0004-0000-1900-0000BE000000}"/>
    <hyperlink ref="AH37" r:id="rId192" display="https://www.linkedin.com/learning/performance-management-conducting-performance-reviews-2?trk=ondemandfile" xr:uid="{00000000-0004-0000-1900-0000BF000000}"/>
    <hyperlink ref="D38" r:id="rId193" display="https://www.linkedin.com/learning/be-the-manager-people-won-t-leave?trk=ondemandfile" xr:uid="{00000000-0004-0000-1900-0000C0000000}"/>
    <hyperlink ref="AH38" r:id="rId194" display="https://www.linkedin.com/learning/working-as-a-contract-or-temporary-employee-15915284?trk=contentmappingfile" xr:uid="{00000000-0004-0000-1900-0000C1000000}"/>
    <hyperlink ref="D39" r:id="rId195" display="https://www.linkedin.com/learning/managing-up-down-and-across-the-organization-14407231?trk=contentmappingfile" xr:uid="{00000000-0004-0000-1900-0000C2000000}"/>
    <hyperlink ref="I39" r:id="rId196" display="https://www.linkedin.com/learning/le-leadership-inclusif-devenir-un-allie-une-alliee?trk=contentmappingfile" xr:uid="{00000000-0004-0000-1900-0000C3000000}"/>
    <hyperlink ref="AH39" r:id="rId197" display="https://www.linkedin.com/learning/powerless-to-powerful-taking-control-2?trk=ondemandfile" xr:uid="{00000000-0004-0000-1900-0000C4000000}"/>
    <hyperlink ref="D40" r:id="rId198" display="https://www.linkedin.com/learning/delegating-tasks?trk=ondemandfile" xr:uid="{00000000-0004-0000-1900-0000C5000000}"/>
    <hyperlink ref="AH40" r:id="rId199" display="https://www.linkedin.com/learning/setting-team-and-employee-goals-3?trk=ondemandfile" xr:uid="{00000000-0004-0000-1900-0000C6000000}"/>
    <hyperlink ref="D41" r:id="rId200" display="https://www.linkedin.com/learning/time-management-for-managers?trk=ondemandfile" xr:uid="{00000000-0004-0000-1900-0000C7000000}"/>
    <hyperlink ref="AH41" r:id="rId201" display="https://www.linkedin.com/learning/measuring-team-performance-5?trk=ondemandfile" xr:uid="{00000000-0004-0000-1900-0000C8000000}"/>
    <hyperlink ref="D42" r:id="rId202" display="https://www.linkedin.com/learning/managing-generation-z?trk=ondemandfile" xr:uid="{00000000-0004-0000-1900-0000C9000000}"/>
    <hyperlink ref="I42" r:id="rId203" display="https://www.linkedin.com/learning/les-fondements-du-nouveau-et-de-la-nouvelle-manager?trk=contentmappingfile" xr:uid="{00000000-0004-0000-1900-0000CA000000}"/>
    <hyperlink ref="AH42" r:id="rId204" display="https://www.linkedin.com/learning/coaching-and-developing-employees-3?trk=ondemandfile" xr:uid="{00000000-0004-0000-1900-0000CB000000}"/>
    <hyperlink ref="D43" r:id="rId205" display="https://www.linkedin.com/learning/coaching-employees-through-difficult-situations?trk=ondemandfile" xr:uid="{00000000-0004-0000-1900-0000CC000000}"/>
    <hyperlink ref="I43" r:id="rId206" display="https://www.linkedin.com/learning/les-meilleures-pratiques-du-leadership?trk=contentmappingfile" xr:uid="{00000000-0004-0000-1900-0000CD000000}"/>
    <hyperlink ref="AH43" r:id="rId207" display="https://www.linkedin.com/learning/leading-and-working-in-teams-3?trk=ondemandfile" xr:uid="{00000000-0004-0000-1900-0000CE000000}"/>
    <hyperlink ref="D44" r:id="rId208" display="https://www.linkedin.com/learning/developing-executive-presence?trk=ondemandfile" xr:uid="{00000000-0004-0000-1900-0000CF000000}"/>
    <hyperlink ref="AH44" r:id="rId209" display="https://www.linkedin.com/learning/executive-leadership-4?trk=ondemandfile" xr:uid="{00000000-0004-0000-1900-0000D0000000}"/>
    <hyperlink ref="D45" r:id="rId210" display="https://www.linkedin.com/learning/developing-leaders-on-your-team?trk=ondemandfile" xr:uid="{00000000-0004-0000-1900-0000D1000000}"/>
    <hyperlink ref="D46" r:id="rId211" display="https://www.linkedin.com/learning/facilitation-skills-for-managers-and-leaders?trk=ondemandfile" xr:uid="{00000000-0004-0000-1900-0000D2000000}"/>
    <hyperlink ref="D47" r:id="rId212" display="https://www.linkedin.com/learning/leading-and-working-in-teams?trk=ondemandfile" xr:uid="{00000000-0004-0000-1900-0000D3000000}"/>
    <hyperlink ref="I47" r:id="rId213" display="https://www.linkedin.com/learning/motiver-ses-equipes-quand-on-est-soi-meme-epuise-et-stresse?trk=contentmappingfile" xr:uid="{00000000-0004-0000-1900-0000D4000000}"/>
    <hyperlink ref="D48" r:id="rId214" display="https://www.linkedin.com/learning/managing-employee-performance-problems-2018?trk=ondemandfile" xr:uid="{00000000-0004-0000-1900-0000D5000000}"/>
    <hyperlink ref="D49" r:id="rId215" display="https://www.linkedin.com/learning/business-ethics-for-managers-and-leaders?trk=ondemandfile" xr:uid="{00000000-0004-0000-1900-0000D6000000}"/>
    <hyperlink ref="AC49" r:id="rId216" display="https://www.linkedin.com/learning/principios-basicos-para-gerentes-iniciantes-17445021?trk=contentmappingfile" xr:uid="{00000000-0004-0000-1900-0000D7000000}"/>
    <hyperlink ref="D50" r:id="rId217" display="https://www.linkedin.com/learning/managing-for-better-ideas?trk=ondemandfile" xr:uid="{00000000-0004-0000-1900-0000D8000000}"/>
    <hyperlink ref="AC50" r:id="rId218" display="https://www.linkedin.com/learning/principios-basicos-para-novos-cargos-de-gestao?trk=contentmappingfile" xr:uid="{00000000-0004-0000-1900-0000D9000000}"/>
    <hyperlink ref="D51" r:id="rId219" display="https://www.linkedin.com/learning/having-career-conversations-with-your-team?trk=ondemandfile" xr:uid="{00000000-0004-0000-1900-0000DA000000}"/>
    <hyperlink ref="D52" r:id="rId220" display="https://www.linkedin.com/learning/succeeding-as-a-first-time-t-ech-manager?trk=ondemandfile" xr:uid="{00000000-0004-0000-1900-0000DB000000}"/>
    <hyperlink ref="D53" r:id="rId221" display="https://www.linkedin.com/learning/managing-skills-for-remote-leaders?trk=ondemandfile" xr:uid="{00000000-0004-0000-1900-0000DC000000}"/>
    <hyperlink ref="D54" r:id="rId222" display="https://www.linkedin.com/learning/leadership-through-feedback?trk=ondemandfile" xr:uid="{00000000-0004-0000-1900-0000DD000000}"/>
    <hyperlink ref="D55" r:id="rId223" display="https://www.linkedin.com/learning/management-tips?trk=ondemandfile" xr:uid="{00000000-0004-0000-1900-0000DE000000}"/>
    <hyperlink ref="D56" r:id="rId224" display="https://www.linkedin.com/learning/how-to-be-an-effective-remote-manager?trk=ondemandfile" xr:uid="{00000000-0004-0000-1900-0000DF000000}"/>
    <hyperlink ref="D57" r:id="rId225" display="https://www.linkedin.com/learning/how-to-build-virtual-accountability?trk=ondemandfile" xr:uid="{00000000-0004-0000-1900-0000E0000000}"/>
    <hyperlink ref="D58" r:id="rId226" display="https://www.linkedin.com/learning/delegating-from-a-distance?trk=ondemandfile" xr:uid="{00000000-0004-0000-1900-0000E1000000}"/>
    <hyperlink ref="D59" r:id="rId227" display="https://www.linkedin.com/learning/become-a-better-coach-for-your-team?trk=ondemandfile" xr:uid="{00000000-0004-0000-1900-0000E2000000}"/>
    <hyperlink ref="D60" r:id="rId228" display="https://www.linkedin.com/learning/boosting-your-team-s-productivity?trk=ondemandfile" xr:uid="{00000000-0004-0000-1900-0000E3000000}"/>
    <hyperlink ref="D61" r:id="rId229" display="https://www.linkedin.com/learning/having-difficult-conversations-2?trk=ondemandfile" xr:uid="{00000000-0004-0000-1900-0000E4000000}"/>
    <hyperlink ref="D62" r:id="rId230" display="https://www.linkedin.com/learning/configure-and-manage-office-365-workload-integrations?trk=ondemandfile" xr:uid="{00000000-0004-0000-1900-0000E5000000}"/>
    <hyperlink ref="D63" r:id="rId231" display="https://www.linkedin.com/learning/hr-guidelines-everyone-should-know?trk=ondemandfile" xr:uid="{00000000-0004-0000-1900-0000E6000000}"/>
    <hyperlink ref="D64" r:id="rId232" display="https://www.linkedin.com/learning/project-leadership?trk=ondemandfile" xr:uid="{00000000-0004-0000-1900-0000E7000000}"/>
    <hyperlink ref="D65" r:id="rId233" display="https://www.linkedin.com/learning/how-to-effectively-deliver-criticism?trk=ondemandfile" xr:uid="{00000000-0004-0000-1900-0000E8000000}"/>
    <hyperlink ref="D66" r:id="rId234" display="https://www.linkedin.com/learning/mindful-leadership?trk=ondemandfile" xr:uid="{00000000-0004-0000-1900-0000E9000000}"/>
    <hyperlink ref="D67" r:id="rId235" display="https://www.linkedin.com/learning/the-art-of-leadership-getabstract-summary?trk=ondemandfile" xr:uid="{00000000-0004-0000-1900-0000EA000000}"/>
    <hyperlink ref="D68" r:id="rId236" display="https://www.linkedin.com/learning/how-to-stop-wasting-time-in-meetings?trk=ondemandfile" xr:uid="{00000000-0004-0000-1900-0000EB000000}"/>
    <hyperlink ref="D69" r:id="rId237" display="https://www.linkedin.com/learning/just-ask-todd-dewett-2020?trk=ondemandfile" xr:uid="{00000000-0004-0000-1900-0000EC000000}"/>
    <hyperlink ref="D70" r:id="rId238" display="https://www.linkedin.com/learning/recognizing-and-rewarding-your-workers?trk=ondemandfile" xr:uid="{00000000-0004-0000-1900-0000ED000000}"/>
    <hyperlink ref="D71" r:id="rId239" display="https://www.linkedin.com/learning/building-a-coaching-culture-improving-performance-through-timely-feedback?trk=ondemandfile" xr:uid="{00000000-0004-0000-1900-0000EE000000}"/>
    <hyperlink ref="D72" r:id="rId240" display="https://www.linkedin.com/learning/how-leaders-can-motivate-by-creating-meaning?trk=ondemandfile" xr:uid="{00000000-0004-0000-1900-0000EF000000}"/>
    <hyperlink ref="D73" r:id="rId241" display="https://www.linkedin.com/learning/the-definitive-drucker-getabstract-summary?trk=ondemandfile" xr:uid="{00000000-0004-0000-1900-0000F0000000}"/>
    <hyperlink ref="D74" r:id="rId242" display="https://www.linkedin.com/learning/creating-winning-teams?trk=ondemandfile" xr:uid="{00000000-0004-0000-1900-0000F1000000}"/>
    <hyperlink ref="D75" r:id="rId243" display="https://www.linkedin.com/learning/creating-an-adaptable-team?trk=ondemandfile" xr:uid="{00000000-0004-0000-1900-0000F2000000}"/>
    <hyperlink ref="D76" r:id="rId244" display="https://www.linkedin.com/learning/the-superbosses-playbook?trk=ondemandfile" xr:uid="{00000000-0004-0000-1900-0000F3000000}"/>
    <hyperlink ref="D77" r:id="rId245" display="https://www.linkedin.com/learning/creating-a-communications-strategy?trk=ondemandfile" xr:uid="{00000000-0004-0000-1900-0000F4000000}"/>
    <hyperlink ref="D78" r:id="rId246" display="https://www.linkedin.com/learning/foundations-of-performance-management?trk=ondemandfile" xr:uid="{00000000-0004-0000-1900-0000F5000000}"/>
    <hyperlink ref="D79" r:id="rId247" display="https://www.linkedin.com/learning/advice-for-leaders-during-a-crisis?trk=ondemandfile" xr:uid="{00000000-0004-0000-1900-0000F6000000}"/>
    <hyperlink ref="D80" r:id="rId248" display="https://www.linkedin.com/learning/sales-management-simplified-blinkist-summary?trk=ondemandfile" xr:uid="{00000000-0004-0000-1900-0000F7000000}"/>
    <hyperlink ref="D81" r:id="rId249" display="https://www.linkedin.com/learning/backgrounder-difficult-conversations-and-negotiations?trk=ondemandfile" xr:uid="{00000000-0004-0000-1900-0000F8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Click and enter a value from range 'Competency Titles'!A1:A27" xr:uid="{00000000-0002-0000-1900-000000000000}">
          <x14:formula1>
            <xm:f>#REF!</xm:f>
          </x14:formula1>
          <xm:sqref>B1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B45F06"/>
    <outlinePr summaryBelow="0" summaryRight="0"/>
  </sheetPr>
  <dimension ref="A1:AJ99"/>
  <sheetViews>
    <sheetView showGridLines="0" workbookViewId="0">
      <pane ySplit="3" topLeftCell="A4" activePane="bottomLeft" state="frozen"/>
      <selection pane="bottomLeft" sqref="A1:XFD1048576"/>
    </sheetView>
  </sheetViews>
  <sheetFormatPr baseColWidth="10" defaultColWidth="11.1640625" defaultRowHeight="15" customHeight="1"/>
  <cols>
    <col min="1" max="1" width="1.1640625" customWidth="1"/>
    <col min="2" max="2" width="11.1640625" customWidth="1"/>
    <col min="3" max="3" width="18.5" customWidth="1"/>
    <col min="4" max="5" width="44.5" customWidth="1"/>
    <col min="6" max="6" width="1.1640625" customWidth="1"/>
    <col min="7" max="7" width="11.1640625" customWidth="1"/>
    <col min="8" max="8" width="19.33203125" customWidth="1"/>
    <col min="9" max="10" width="44.5" customWidth="1"/>
    <col min="11" max="11" width="1.1640625" customWidth="1"/>
    <col min="12" max="12" width="11.1640625" customWidth="1"/>
    <col min="13" max="13" width="20.83203125" customWidth="1"/>
    <col min="14" max="15" width="44.5" customWidth="1"/>
    <col min="16" max="16" width="1.1640625" customWidth="1"/>
    <col min="17" max="17" width="11.1640625" customWidth="1"/>
    <col min="18" max="18" width="19.6640625" customWidth="1"/>
    <col min="19" max="20" width="44.5" customWidth="1"/>
    <col min="21" max="21" width="1.1640625" customWidth="1"/>
    <col min="23" max="23" width="18.6640625" customWidth="1"/>
    <col min="24" max="25" width="44.5" customWidth="1"/>
    <col min="26" max="26" width="1.1640625" customWidth="1"/>
    <col min="27" max="27" width="11.1640625" customWidth="1"/>
    <col min="28" max="28" width="26.6640625" customWidth="1"/>
    <col min="29" max="30" width="44.5" customWidth="1"/>
    <col min="31" max="31" width="1.1640625" customWidth="1"/>
    <col min="32" max="32" width="11.1640625" customWidth="1"/>
    <col min="33" max="33" width="21" customWidth="1"/>
    <col min="34" max="35" width="44.5" customWidth="1"/>
    <col min="36" max="36" width="1.1640625" customWidth="1"/>
  </cols>
  <sheetData>
    <row r="1" spans="1:36" ht="34.5" customHeight="1">
      <c r="A1" s="208"/>
      <c r="B1" s="230" t="s">
        <v>16</v>
      </c>
      <c r="C1" s="222"/>
      <c r="D1" s="222"/>
      <c r="E1" s="222"/>
      <c r="F1" s="208"/>
      <c r="G1" s="230" t="str">
        <f ca="1">IFERROR(__xludf.DUMMYFUNCTION("IFERROR(UNIQUE(FILTER(French!B:B,French!A:A=B1)))"),"Excellence opérationnelle et amélioration des processus")</f>
        <v>Excellence opérationnelle et amélioration des processus</v>
      </c>
      <c r="H1" s="222"/>
      <c r="I1" s="222"/>
      <c r="J1" s="222"/>
      <c r="K1" s="208"/>
      <c r="L1" s="230" t="str">
        <f ca="1">IFERROR(__xludf.DUMMYFUNCTION("IFERROR((UNIQUE(FILTER(Spanish!B:B,Spanish!A:A=B1))))"),"Excelencia operativa y mejora de procesos")</f>
        <v>Excelencia operativa y mejora de procesos</v>
      </c>
      <c r="M1" s="222"/>
      <c r="N1" s="222"/>
      <c r="O1" s="222"/>
      <c r="P1" s="208"/>
      <c r="Q1" s="230" t="str">
        <f ca="1">IFERROR(__xludf.DUMMYFUNCTION("IFERROR(UNIQUE(FILTER(German!B:B,German!A:A=B1)))"),"Operative Exzellenz und Prozessverbesserungen")</f>
        <v>Operative Exzellenz und Prozessverbesserungen</v>
      </c>
      <c r="R1" s="222"/>
      <c r="S1" s="222"/>
      <c r="T1" s="222"/>
      <c r="U1" s="208"/>
      <c r="V1" s="230" t="str">
        <f ca="1">IFERROR(__xludf.DUMMYFUNCTION("IFERROR(UNIQUE(FILTER(Japanese!B:B,Japanese!A:A=B1)))"),"オペレーショナル・エクセレンスと業務改善プロセス")</f>
        <v>オペレーショナル・エクセレンスと業務改善プロセス</v>
      </c>
      <c r="W1" s="222"/>
      <c r="X1" s="222"/>
      <c r="Y1" s="222"/>
      <c r="Z1" s="208"/>
      <c r="AA1" s="230" t="str">
        <f ca="1">IFERROR(__xludf.DUMMYFUNCTION("IFERROR(UNIQUE(FILTER(Portuguese!B:B,Portuguese!A:A=B1)))"),"Excelência operacional e melhoria de processos")</f>
        <v>Excelência operacional e melhoria de processos</v>
      </c>
      <c r="AB1" s="222"/>
      <c r="AC1" s="222"/>
      <c r="AD1" s="222"/>
      <c r="AE1" s="208"/>
      <c r="AF1" s="230" t="str">
        <f ca="1">IFERROR(__xludf.DUMMYFUNCTION("IFERROR(UNIQUE(FILTER(Mandarin!B:B,Mandarin!A:A=B1)))"),"高效运营和流程改进")</f>
        <v>高效运营和流程改进</v>
      </c>
      <c r="AG1" s="222"/>
      <c r="AH1" s="222"/>
      <c r="AI1" s="222"/>
      <c r="AJ1" s="208"/>
    </row>
    <row r="2" spans="1:36" ht="28" customHeight="1">
      <c r="A2" s="209"/>
      <c r="B2" s="234" t="s">
        <v>4713</v>
      </c>
      <c r="C2" s="222"/>
      <c r="D2" s="222"/>
      <c r="E2" s="222"/>
      <c r="F2" s="209"/>
      <c r="G2" s="231" t="s">
        <v>4714</v>
      </c>
      <c r="H2" s="222"/>
      <c r="I2" s="222"/>
      <c r="J2" s="222"/>
      <c r="K2" s="209"/>
      <c r="L2" s="235" t="s">
        <v>4715</v>
      </c>
      <c r="M2" s="222"/>
      <c r="N2" s="222"/>
      <c r="O2" s="222"/>
      <c r="P2" s="209"/>
      <c r="Q2" s="232" t="s">
        <v>4716</v>
      </c>
      <c r="R2" s="222"/>
      <c r="S2" s="222"/>
      <c r="T2" s="222"/>
      <c r="U2" s="209"/>
      <c r="V2" s="236" t="s">
        <v>4717</v>
      </c>
      <c r="W2" s="222"/>
      <c r="X2" s="222"/>
      <c r="Y2" s="222"/>
      <c r="Z2" s="209"/>
      <c r="AA2" s="233" t="s">
        <v>4718</v>
      </c>
      <c r="AB2" s="222"/>
      <c r="AC2" s="222"/>
      <c r="AD2" s="222"/>
      <c r="AE2" s="209"/>
      <c r="AF2" s="237" t="s">
        <v>4719</v>
      </c>
      <c r="AG2" s="222"/>
      <c r="AH2" s="222"/>
      <c r="AI2" s="222"/>
      <c r="AJ2" s="209"/>
    </row>
    <row r="3" spans="1:36" ht="26" customHeight="1">
      <c r="A3" s="210"/>
      <c r="B3" s="211" t="str">
        <f ca="1">IFERROR(__xludf.DUMMYFUNCTION("FILTER(English!B:B,English!A:A=B1)"),"Course IDs")</f>
        <v>Course IDs</v>
      </c>
      <c r="C3" s="211" t="str">
        <f ca="1">IFERROR(__xludf.DUMMYFUNCTION("FILTER(English!C:C,English!A:A=B1)"),"Levels")</f>
        <v>Levels</v>
      </c>
      <c r="D3" s="211" t="str">
        <f ca="1">IFERROR(__xludf.DUMMYFUNCTION("FILTER(English!D:D,English!A:A=B1)"),"Courses")</f>
        <v>Courses</v>
      </c>
      <c r="E3" s="212" t="str">
        <f ca="1">IFERROR(__xludf.DUMMYFUNCTION("FILTER(English!E:E,English!A:A=B1)"),"Learning Paths")</f>
        <v>Learning Paths</v>
      </c>
      <c r="F3" s="210"/>
      <c r="G3" s="211" t="str">
        <f ca="1">IFERROR(__xludf.DUMMYFUNCTION("FILTER(French!C:C,French!B:B=G1)"),"Course IDs")</f>
        <v>Course IDs</v>
      </c>
      <c r="H3" s="211" t="str">
        <f ca="1">IFERROR(__xludf.DUMMYFUNCTION("FILTER(French!D:D,French!B:B=G1)"),"Levels")</f>
        <v>Levels</v>
      </c>
      <c r="I3" s="211" t="str">
        <f ca="1">IFERROR(__xludf.DUMMYFUNCTION("FILTER(French!E:E,French!B:B=G1)"),"Courses")</f>
        <v>Courses</v>
      </c>
      <c r="J3" s="212" t="str">
        <f ca="1">IFERROR(__xludf.DUMMYFUNCTION("FILTER(French!G:G,French!B:B=G1)"),"Learning Paths")</f>
        <v>Learning Paths</v>
      </c>
      <c r="K3" s="210"/>
      <c r="L3" s="211" t="str">
        <f ca="1">IFERROR(__xludf.DUMMYFUNCTION("FILTER(Spanish!C:C,Spanish!B:B=L1)"),"Course IDs")</f>
        <v>Course IDs</v>
      </c>
      <c r="M3" s="211" t="str">
        <f ca="1">IFERROR(__xludf.DUMMYFUNCTION("FILTER(Spanish!D:D,Spanish!B:B=L1)"),"Levels")</f>
        <v>Levels</v>
      </c>
      <c r="N3" s="211" t="str">
        <f ca="1">IFERROR(__xludf.DUMMYFUNCTION("FILTER(Spanish!E:E,Spanish!B:B=L1)"),"Courses")</f>
        <v>Courses</v>
      </c>
      <c r="O3" s="212" t="str">
        <f ca="1">IFERROR(__xludf.DUMMYFUNCTION("FILTER(Spanish!G:G,Spanish!B:B=L1)"),"Learning Paths")</f>
        <v>Learning Paths</v>
      </c>
      <c r="P3" s="210"/>
      <c r="Q3" s="211" t="str">
        <f ca="1">IFERROR(__xludf.DUMMYFUNCTION("FILTER(German!C:C,German!B:B=Q1)"),"Course IDs")</f>
        <v>Course IDs</v>
      </c>
      <c r="R3" s="211" t="str">
        <f ca="1">IFERROR(__xludf.DUMMYFUNCTION("FILTER(German!D:D,German!B:B=Q1)"),"Levels")</f>
        <v>Levels</v>
      </c>
      <c r="S3" s="211" t="str">
        <f ca="1">IFERROR(__xludf.DUMMYFUNCTION("FILTER(German!E:E,German!B:B=Q1)"),"Courses")</f>
        <v>Courses</v>
      </c>
      <c r="T3" s="212" t="str">
        <f ca="1">IFERROR(__xludf.DUMMYFUNCTION("FILTER(German!G:G,German!B:B=Q1)"),"Learning Paths")</f>
        <v>Learning Paths</v>
      </c>
      <c r="U3" s="210"/>
      <c r="V3" s="211" t="str">
        <f ca="1">IFERROR(__xludf.DUMMYFUNCTION("FILTER(Japanese!C:C,Japanese!B:B=V1)"),"Course IDs")</f>
        <v>Course IDs</v>
      </c>
      <c r="W3" s="211" t="str">
        <f ca="1">IFERROR(__xludf.DUMMYFUNCTION("FILTER(Japanese!D:D,Japanese!B:B=V1)"),"Levels")</f>
        <v>Levels</v>
      </c>
      <c r="X3" s="211" t="str">
        <f ca="1">IFERROR(__xludf.DUMMYFUNCTION("FILTER(Japanese!E:E,Japanese!B:B=V1)"),"Courses")</f>
        <v>Courses</v>
      </c>
      <c r="Y3" s="212" t="str">
        <f ca="1">IFERROR(__xludf.DUMMYFUNCTION("FILTER(Japanese!G:G,Japanese!B:B=V1)"),"Learning Paths")</f>
        <v>Learning Paths</v>
      </c>
      <c r="Z3" s="210"/>
      <c r="AA3" s="211" t="str">
        <f ca="1">IFERROR(__xludf.DUMMYFUNCTION("FILTER(Portuguese!C:C,Portuguese!B:B=AA1)"),"Course IDs")</f>
        <v>Course IDs</v>
      </c>
      <c r="AB3" s="211" t="str">
        <f ca="1">IFERROR(__xludf.DUMMYFUNCTION("FILTER(Portuguese!D:D,Portuguese!B:B=AA1)"),"Levels")</f>
        <v>Levels</v>
      </c>
      <c r="AC3" s="211" t="str">
        <f ca="1">IFERROR(__xludf.DUMMYFUNCTION("FILTER(Portuguese!E:E,Portuguese!B:B=AA1)"),"Courses")</f>
        <v>Courses</v>
      </c>
      <c r="AD3" s="212" t="str">
        <f ca="1">IFERROR(__xludf.DUMMYFUNCTION("FILTER(Portuguese!G:G,Portuguese!B:B=AA1)"),"Learning Paths")</f>
        <v>Learning Paths</v>
      </c>
      <c r="AE3" s="210"/>
      <c r="AF3" s="211" t="str">
        <f ca="1">IFERROR(__xludf.DUMMYFUNCTION("FILTER(Mandarin!C:C,Mandarin!B:B=AF1)"),"Course IDs")</f>
        <v>Course IDs</v>
      </c>
      <c r="AG3" s="211" t="str">
        <f ca="1">IFERROR(__xludf.DUMMYFUNCTION("FILTER(Mandarin!D:D,Mandarin!B:B=AF1)"),"Levels")</f>
        <v>Levels</v>
      </c>
      <c r="AH3" s="211" t="str">
        <f ca="1">IFERROR(__xludf.DUMMYFUNCTION("FILTER(Mandarin!E:E,Mandarin!B:B=AF1)"),"Courses")</f>
        <v>Courses</v>
      </c>
      <c r="AI3" s="212" t="str">
        <f ca="1">IFERROR(__xludf.DUMMYFUNCTION("FILTER(Mandarin!G:G,Mandarin!B:B=AF1)"),"Learning Paths")</f>
        <v>Learning Paths</v>
      </c>
      <c r="AJ3" s="210"/>
    </row>
    <row r="4" spans="1:36" ht="33.75" customHeight="1">
      <c r="A4" s="213"/>
      <c r="B4" s="214">
        <f ca="1">IFERROR(__xludf.DUMMYFUNCTION("""COMPUTED_VALUE"""),2815157)</f>
        <v>2815157</v>
      </c>
      <c r="C4" s="215" t="str">
        <f ca="1">IFERROR(__xludf.DUMMYFUNCTION("""COMPUTED_VALUE"""),"Beginner")</f>
        <v>Beginner</v>
      </c>
      <c r="D4" s="216" t="str">
        <f ca="1">IFERROR(__xludf.DUMMYFUNCTION("""COMPUTED_VALUE"""),"Agile Software Development: Creating an Agile Culture")</f>
        <v>Agile Software Development: Creating an Agile Culture</v>
      </c>
      <c r="E4" s="217" t="str">
        <f ca="1">IFERROR(__xludf.DUMMYFUNCTION("""COMPUTED_VALUE"""),"Become a Business Operations Associate")</f>
        <v>Become a Business Operations Associate</v>
      </c>
      <c r="F4" s="213"/>
      <c r="G4" s="214">
        <f ca="1">IFERROR(__xludf.DUMMYFUNCTION("""COMPUTED_VALUE"""),3110022)</f>
        <v>3110022</v>
      </c>
      <c r="H4" s="215" t="str">
        <f ca="1">IFERROR(__xludf.DUMMYFUNCTION("""COMPUTED_VALUE"""),"Beginner, Intermediate")</f>
        <v>Beginner, Intermediate</v>
      </c>
      <c r="I4" s="217" t="str">
        <f ca="1">IFERROR(__xludf.DUMMYFUNCTION("""COMPUTED_VALUE"""),"Introduction à la supply chain")</f>
        <v>Introduction à la supply chain</v>
      </c>
      <c r="J4" s="217" t="str">
        <f ca="1">IFERROR(__xludf.DUMMYFUNCTION("""COMPUTED_VALUE"""),"Devenir une ceinture noire Six Sigma")</f>
        <v>Devenir une ceinture noire Six Sigma</v>
      </c>
      <c r="K4" s="213"/>
      <c r="L4" s="215">
        <f ca="1">IFERROR(__xludf.DUMMYFUNCTION("""COMPUTED_VALUE"""),5025693)</f>
        <v>5025693</v>
      </c>
      <c r="M4" s="215" t="str">
        <f ca="1">IFERROR(__xludf.DUMMYFUNCTION("""COMPUTED_VALUE"""),"Intermediate")</f>
        <v>Intermediate</v>
      </c>
      <c r="N4" s="217" t="str">
        <f ca="1">IFERROR(__xludf.DUMMYFUNCTION("""COMPUTED_VALUE"""),"Agile en acción: Construye tu equipo ágil")</f>
        <v>Agile en acción: Construye tu equipo ágil</v>
      </c>
      <c r="O4" s="217" t="str">
        <f ca="1">IFERROR(__xludf.DUMMYFUNCTION("""COMPUTED_VALUE"""),"N/A")</f>
        <v>N/A</v>
      </c>
      <c r="P4" s="213"/>
      <c r="Q4" s="215">
        <f ca="1">IFERROR(__xludf.DUMMYFUNCTION("""COMPUTED_VALUE"""),2818162)</f>
        <v>2818162</v>
      </c>
      <c r="R4" s="215" t="str">
        <f ca="1">IFERROR(__xludf.DUMMYFUNCTION("""COMPUTED_VALUE"""),"Beginner, Intermediate")</f>
        <v>Beginner, Intermediate</v>
      </c>
      <c r="S4" s="217" t="str">
        <f ca="1">IFERROR(__xludf.DUMMYFUNCTION("""COMPUTED_VALUE"""),"Azure DevOps Grundkurs")</f>
        <v>Azure DevOps Grundkurs</v>
      </c>
      <c r="T4" s="217" t="str">
        <f ca="1">IFERROR(__xludf.DUMMYFUNCTION("""COMPUTED_VALUE"""),"Six Sigma Green Belt werden")</f>
        <v>Six Sigma Green Belt werden</v>
      </c>
      <c r="U4" s="213"/>
      <c r="V4" s="215">
        <f ca="1">IFERROR(__xludf.DUMMYFUNCTION("""COMPUTED_VALUE"""),2849243)</f>
        <v>2849243</v>
      </c>
      <c r="W4" s="215" t="str">
        <f ca="1">IFERROR(__xludf.DUMMYFUNCTION("""COMPUTED_VALUE"""),"Beginner")</f>
        <v>Beginner</v>
      </c>
      <c r="X4" s="217" t="str">
        <f ca="1">IFERROR(__xludf.DUMMYFUNCTION("""COMPUTED_VALUE"""),"オペレーションマネジメントの基礎")</f>
        <v>オペレーションマネジメントの基礎</v>
      </c>
      <c r="Y4" s="217" t="str">
        <f ca="1">IFERROR(__xludf.DUMMYFUNCTION("""COMPUTED_VALUE"""),"N/A")</f>
        <v>N/A</v>
      </c>
      <c r="Z4" s="213"/>
      <c r="AA4" s="215">
        <f ca="1">IFERROR(__xludf.DUMMYFUNCTION("""COMPUTED_VALUE"""),2928588)</f>
        <v>2928588</v>
      </c>
      <c r="AB4" s="215" t="str">
        <f ca="1">IFERROR(__xludf.DUMMYFUNCTION("""COMPUTED_VALUE"""),"Intermediate")</f>
        <v>Intermediate</v>
      </c>
      <c r="AC4" s="217" t="str">
        <f ca="1">IFERROR(__xludf.DUMMYFUNCTION("""COMPUTED_VALUE"""),"Agilidade Empresarial: Como Expandir o Scrum")</f>
        <v>Agilidade Empresarial: Como Expandir o Scrum</v>
      </c>
      <c r="AD4" s="217" t="str">
        <f ca="1">IFERROR(__xludf.DUMMYFUNCTION("""COMPUTED_VALUE"""),"Torne-se um Gestor de Projetos")</f>
        <v>Torne-se um Gestor de Projetos</v>
      </c>
      <c r="AE4" s="213"/>
      <c r="AF4" s="215">
        <f ca="1">IFERROR(__xludf.DUMMYFUNCTION("""COMPUTED_VALUE"""),2822704)</f>
        <v>2822704</v>
      </c>
      <c r="AG4" s="215" t="str">
        <f ca="1">IFERROR(__xludf.DUMMYFUNCTION("""COMPUTED_VALUE"""),"Beginner")</f>
        <v>Beginner</v>
      </c>
      <c r="AH4" s="217" t="str">
        <f ca="1">IFERROR(__xludf.DUMMYFUNCTION("""COMPUTED_VALUE"""),"DevOps 基础知识")</f>
        <v>DevOps 基础知识</v>
      </c>
      <c r="AI4" s="217" t="str">
        <f ca="1">IFERROR(__xludf.DUMMYFUNCTION("""COMPUTED_VALUE"""),"成为项目经理")</f>
        <v>成为项目经理</v>
      </c>
      <c r="AJ4" s="213"/>
    </row>
    <row r="5" spans="1:36" ht="30">
      <c r="A5" s="213"/>
      <c r="B5" s="214">
        <f ca="1">IFERROR(__xludf.DUMMYFUNCTION("""COMPUTED_VALUE"""),737754)</f>
        <v>737754</v>
      </c>
      <c r="C5" s="215" t="str">
        <f ca="1">IFERROR(__xludf.DUMMYFUNCTION("""COMPUTED_VALUE"""),"Beginner")</f>
        <v>Beginner</v>
      </c>
      <c r="D5" s="216" t="str">
        <f ca="1">IFERROR(__xludf.DUMMYFUNCTION("""COMPUTED_VALUE"""),"Mergers &amp; Acquisitions")</f>
        <v>Mergers &amp; Acquisitions</v>
      </c>
      <c r="E5" s="217" t="str">
        <f ca="1">IFERROR(__xludf.DUMMYFUNCTION("""COMPUTED_VALUE"""),"Becoming a Six Sigma Black Belt")</f>
        <v>Becoming a Six Sigma Black Belt</v>
      </c>
      <c r="F5" s="213"/>
      <c r="G5" s="214">
        <f ca="1">IFERROR(__xludf.DUMMYFUNCTION("""COMPUTED_VALUE"""),2393118)</f>
        <v>2393118</v>
      </c>
      <c r="H5" s="215" t="str">
        <f ca="1">IFERROR(__xludf.DUMMYFUNCTION("""COMPUTED_VALUE"""),"Intermediate")</f>
        <v>Intermediate</v>
      </c>
      <c r="I5" s="217" t="str">
        <f ca="1">IFERROR(__xludf.DUMMYFUNCTION("""COMPUTED_VALUE"""),"La minute de formation : L'amélioration des processus")</f>
        <v>La minute de formation : L'amélioration des processus</v>
      </c>
      <c r="J5" s="217" t="str">
        <f ca="1">IFERROR(__xludf.DUMMYFUNCTION("""COMPUTED_VALUE"""),"Devenir une ceinture verte Six Sigma")</f>
        <v>Devenir une ceinture verte Six Sigma</v>
      </c>
      <c r="K5" s="213"/>
      <c r="L5" s="215">
        <f ca="1">IFERROR(__xludf.DUMMYFUNCTION("""COMPUTED_VALUE"""),404104)</f>
        <v>404104</v>
      </c>
      <c r="M5" s="215" t="str">
        <f ca="1">IFERROR(__xludf.DUMMYFUNCTION("""COMPUTED_VALUE"""),"Beginner")</f>
        <v>Beginner</v>
      </c>
      <c r="N5" s="217" t="str">
        <f ca="1">IFERROR(__xludf.DUMMYFUNCTION("""COMPUTED_VALUE"""),"Aprende a usar la metodología Lean")</f>
        <v>Aprende a usar la metodología Lean</v>
      </c>
      <c r="O5" s="217"/>
      <c r="P5" s="213"/>
      <c r="Q5" s="215">
        <f ca="1">IFERROR(__xludf.DUMMYFUNCTION("""COMPUTED_VALUE"""),2260110)</f>
        <v>2260110</v>
      </c>
      <c r="R5" s="215" t="str">
        <f ca="1">IFERROR(__xludf.DUMMYFUNCTION("""COMPUTED_VALUE"""),"Intermediate")</f>
        <v>Intermediate</v>
      </c>
      <c r="S5" s="217" t="str">
        <f ca="1">IFERROR(__xludf.DUMMYFUNCTION("""COMPUTED_VALUE"""),"Betriebsmanagement – Grundlagen")</f>
        <v>Betriebsmanagement – Grundlagen</v>
      </c>
      <c r="T5" s="217" t="str">
        <f ca="1">IFERROR(__xludf.DUMMYFUNCTION("""COMPUTED_VALUE"""),"Six Sigma Black Belt werden")</f>
        <v>Six Sigma Black Belt werden</v>
      </c>
      <c r="U5" s="213"/>
      <c r="V5" s="215">
        <f ca="1">IFERROR(__xludf.DUMMYFUNCTION("""COMPUTED_VALUE"""),3165049)</f>
        <v>3165049</v>
      </c>
      <c r="W5" s="215" t="str">
        <f ca="1">IFERROR(__xludf.DUMMYFUNCTION("""COMPUTED_VALUE"""),"Beginner")</f>
        <v>Beginner</v>
      </c>
      <c r="X5" s="217" t="str">
        <f ca="1">IFERROR(__xludf.DUMMYFUNCTION("""COMPUTED_VALUE"""),"サプライチェーンの基礎")</f>
        <v>サプライチェーンの基礎</v>
      </c>
      <c r="Y5" s="217"/>
      <c r="Z5" s="213"/>
      <c r="AA5" s="215">
        <f ca="1">IFERROR(__xludf.DUMMYFUNCTION("""COMPUTED_VALUE"""),2929559)</f>
        <v>2929559</v>
      </c>
      <c r="AB5" s="215" t="str">
        <f ca="1">IFERROR(__xludf.DUMMYFUNCTION("""COMPUTED_VALUE"""),"All levels")</f>
        <v>All levels</v>
      </c>
      <c r="AC5" s="217" t="str">
        <f ca="1">IFERROR(__xludf.DUMMYFUNCTION("""COMPUTED_VALUE"""),"Boas Práticas para o Sucesso em Projetos Internacionais")</f>
        <v>Boas Práticas para o Sucesso em Projetos Internacionais</v>
      </c>
      <c r="AD5" s="217" t="str">
        <f ca="1">IFERROR(__xludf.DUMMYFUNCTION("""COMPUTED_VALUE"""),"Trabalho Remoto: Colaboração, Foco e Produtividade")</f>
        <v>Trabalho Remoto: Colaboração, Foco e Produtividade</v>
      </c>
      <c r="AE5" s="213"/>
      <c r="AF5" s="215">
        <f ca="1">IFERROR(__xludf.DUMMYFUNCTION("""COMPUTED_VALUE"""),2823609)</f>
        <v>2823609</v>
      </c>
      <c r="AG5" s="215" t="str">
        <f ca="1">IFERROR(__xludf.DUMMYFUNCTION("""COMPUTED_VALUE"""),"Beginner")</f>
        <v>Beginner</v>
      </c>
      <c r="AH5" s="217" t="str">
        <f ca="1">IFERROR(__xludf.DUMMYFUNCTION("""COMPUTED_VALUE"""),"企业并购基础知识")</f>
        <v>企业并购基础知识</v>
      </c>
      <c r="AI5" s="217" t="str">
        <f ca="1">IFERROR(__xludf.DUMMYFUNCTION("""COMPUTED_VALUE"""),"成为六西格玛黑带")</f>
        <v>成为六西格玛黑带</v>
      </c>
      <c r="AJ5" s="213"/>
    </row>
    <row r="6" spans="1:36" ht="30">
      <c r="A6" s="213"/>
      <c r="B6" s="214">
        <f ca="1">IFERROR(__xludf.DUMMYFUNCTION("""COMPUTED_VALUE"""),431182)</f>
        <v>431182</v>
      </c>
      <c r="C6" s="215" t="str">
        <f ca="1">IFERROR(__xludf.DUMMYFUNCTION("""COMPUTED_VALUE"""),"Intermediate")</f>
        <v>Intermediate</v>
      </c>
      <c r="D6" s="216" t="str">
        <f ca="1">IFERROR(__xludf.DUMMYFUNCTION("""COMPUTED_VALUE"""),"Sustainability Strategies")</f>
        <v>Sustainability Strategies</v>
      </c>
      <c r="E6" s="217" t="str">
        <f ca="1">IFERROR(__xludf.DUMMYFUNCTION("""COMPUTED_VALUE"""),"Becoming a Six Sigma Green Belt")</f>
        <v>Becoming a Six Sigma Green Belt</v>
      </c>
      <c r="F6" s="213"/>
      <c r="G6" s="214">
        <f ca="1">IFERROR(__xludf.DUMMYFUNCTION("""COMPUTED_VALUE"""),796906)</f>
        <v>796906</v>
      </c>
      <c r="H6" s="215" t="str">
        <f ca="1">IFERROR(__xludf.DUMMYFUNCTION("""COMPUTED_VALUE"""),"All levels")</f>
        <v>All levels</v>
      </c>
      <c r="I6" s="217" t="str">
        <f ca="1">IFERROR(__xludf.DUMMYFUNCTION("""COMPUTED_VALUE"""),"Les fondements de l’excellence opérationnelle")</f>
        <v>Les fondements de l’excellence opérationnelle</v>
      </c>
      <c r="J6" s="217"/>
      <c r="K6" s="213"/>
      <c r="L6" s="215">
        <f ca="1">IFERROR(__xludf.DUMMYFUNCTION("""COMPUTED_VALUE"""),2996655)</f>
        <v>2996655</v>
      </c>
      <c r="M6" s="215" t="str">
        <f ca="1">IFERROR(__xludf.DUMMYFUNCTION("""COMPUTED_VALUE"""),"All levels")</f>
        <v>All levels</v>
      </c>
      <c r="N6" s="217" t="str">
        <f ca="1">IFERROR(__xludf.DUMMYFUNCTION("""COMPUTED_VALUE"""),"Aprende las bases de las cadenas de suministro")</f>
        <v>Aprende las bases de las cadenas de suministro</v>
      </c>
      <c r="O6" s="217"/>
      <c r="P6" s="213"/>
      <c r="Q6" s="215">
        <f ca="1">IFERROR(__xludf.DUMMYFUNCTION("""COMPUTED_VALUE"""),708832)</f>
        <v>708832</v>
      </c>
      <c r="R6" s="215" t="str">
        <f ca="1">IFERROR(__xludf.DUMMYFUNCTION("""COMPUTED_VALUE"""),"Beginner, Intermediate")</f>
        <v>Beginner, Intermediate</v>
      </c>
      <c r="S6" s="217" t="str">
        <f ca="1">IFERROR(__xludf.DUMMYFUNCTION("""COMPUTED_VALUE"""),"DevOps – Grundlagen")</f>
        <v>DevOps – Grundlagen</v>
      </c>
      <c r="T6" s="217" t="str">
        <f ca="1">IFERROR(__xludf.DUMMYFUNCTION("""COMPUTED_VALUE"""),"Ihr Weg zum Devops-Engineer")</f>
        <v>Ihr Weg zum Devops-Engineer</v>
      </c>
      <c r="U6" s="213"/>
      <c r="V6" s="215">
        <f ca="1">IFERROR(__xludf.DUMMYFUNCTION("""COMPUTED_VALUE"""),2918411)</f>
        <v>2918411</v>
      </c>
      <c r="W6" s="215" t="str">
        <f ca="1">IFERROR(__xludf.DUMMYFUNCTION("""COMPUTED_VALUE"""),"Intermediate")</f>
        <v>Intermediate</v>
      </c>
      <c r="X6" s="217" t="str">
        <f ca="1">IFERROR(__xludf.DUMMYFUNCTION("""COMPUTED_VALUE"""),"シックスシグマ：グリーンベルト")</f>
        <v>シックスシグマ：グリーンベルト</v>
      </c>
      <c r="Y6" s="217"/>
      <c r="Z6" s="213"/>
      <c r="AA6" s="215">
        <f ca="1">IFERROR(__xludf.DUMMYFUNCTION("""COMPUTED_VALUE"""),801464)</f>
        <v>801464</v>
      </c>
      <c r="AB6" s="215" t="str">
        <f ca="1">IFERROR(__xludf.DUMMYFUNCTION("""COMPUTED_VALUE"""),"Intermediate")</f>
        <v>Intermediate</v>
      </c>
      <c r="AC6" s="217" t="str">
        <f ca="1">IFERROR(__xludf.DUMMYFUNCTION("""COMPUTED_VALUE"""),"Como Avaliar o Desempenho da Equipe")</f>
        <v>Como Avaliar o Desempenho da Equipe</v>
      </c>
      <c r="AD6" s="217"/>
      <c r="AE6" s="213"/>
      <c r="AF6" s="215">
        <f ca="1">IFERROR(__xludf.DUMMYFUNCTION("""COMPUTED_VALUE"""),2824439)</f>
        <v>2824439</v>
      </c>
      <c r="AG6" s="215" t="str">
        <f ca="1">IFERROR(__xludf.DUMMYFUNCTION("""COMPUTED_VALUE"""),"Intermediate")</f>
        <v>Intermediate</v>
      </c>
      <c r="AH6" s="217" t="str">
        <f ca="1">IFERROR(__xludf.DUMMYFUNCTION("""COMPUTED_VALUE"""),"企业敏捷：成长型 Scrum")</f>
        <v>企业敏捷：成长型 Scrum</v>
      </c>
      <c r="AI6" s="217"/>
      <c r="AJ6" s="213"/>
    </row>
    <row r="7" spans="1:36" ht="33.75" customHeight="1">
      <c r="A7" s="213"/>
      <c r="B7" s="214">
        <f ca="1">IFERROR(__xludf.DUMMYFUNCTION("""COMPUTED_VALUE"""),2817144)</f>
        <v>2817144</v>
      </c>
      <c r="C7" s="215" t="str">
        <f ca="1">IFERROR(__xludf.DUMMYFUNCTION("""COMPUTED_VALUE"""),"Intermediate")</f>
        <v>Intermediate</v>
      </c>
      <c r="D7" s="216" t="str">
        <f ca="1">IFERROR(__xludf.DUMMYFUNCTION("""COMPUTED_VALUE"""),"Lean Technology Strategy: Purposeful Organizations")</f>
        <v>Lean Technology Strategy: Purposeful Organizations</v>
      </c>
      <c r="E7" s="217" t="str">
        <f ca="1">IFERROR(__xludf.DUMMYFUNCTION("""COMPUTED_VALUE"""),"Become a Six Sigma Yellow Belt")</f>
        <v>Become a Six Sigma Yellow Belt</v>
      </c>
      <c r="F7" s="213"/>
      <c r="G7" s="214">
        <f ca="1">IFERROR(__xludf.DUMMYFUNCTION("""COMPUTED_VALUE"""),796901)</f>
        <v>796901</v>
      </c>
      <c r="H7" s="215" t="str">
        <f ca="1">IFERROR(__xludf.DUMMYFUNCTION("""COMPUTED_VALUE"""),"All levels")</f>
        <v>All levels</v>
      </c>
      <c r="I7" s="217" t="str">
        <f ca="1">IFERROR(__xludf.DUMMYFUNCTION("""COMPUTED_VALUE"""),"Les fondements de la gestion des opérations")</f>
        <v>Les fondements de la gestion des opérations</v>
      </c>
      <c r="J7" s="217"/>
      <c r="K7" s="213"/>
      <c r="L7" s="215">
        <f ca="1">IFERROR(__xludf.DUMMYFUNCTION("""COMPUTED_VALUE"""),5025679)</f>
        <v>5025679</v>
      </c>
      <c r="M7" s="215" t="str">
        <f ca="1">IFERROR(__xludf.DUMMYFUNCTION("""COMPUTED_VALUE"""),"Advanced")</f>
        <v>Advanced</v>
      </c>
      <c r="N7" s="217" t="str">
        <f ca="1">IFERROR(__xludf.DUMMYFUNCTION("""COMPUTED_VALUE"""),"Cómo crear una cultura de alto rendimiento")</f>
        <v>Cómo crear una cultura de alto rendimiento</v>
      </c>
      <c r="O7" s="217"/>
      <c r="P7" s="213"/>
      <c r="Q7" s="215">
        <f ca="1">IFERROR(__xludf.DUMMYFUNCTION("""COMPUTED_VALUE"""),735756)</f>
        <v>735756</v>
      </c>
      <c r="R7" s="215" t="str">
        <f ca="1">IFERROR(__xludf.DUMMYFUNCTION("""COMPUTED_VALUE"""),"Beginner")</f>
        <v>Beginner</v>
      </c>
      <c r="S7" s="217" t="str">
        <f ca="1">IFERROR(__xludf.DUMMYFUNCTION("""COMPUTED_VALUE"""),"Grundlagen der Prozessverbesserung")</f>
        <v>Grundlagen der Prozessverbesserung</v>
      </c>
      <c r="T7" s="217"/>
      <c r="U7" s="213"/>
      <c r="V7" s="215">
        <f ca="1">IFERROR(__xludf.DUMMYFUNCTION("""COMPUTED_VALUE"""),2916469)</f>
        <v>2916469</v>
      </c>
      <c r="W7" s="215" t="str">
        <f ca="1">IFERROR(__xludf.DUMMYFUNCTION("""COMPUTED_VALUE"""),"Beginner")</f>
        <v>Beginner</v>
      </c>
      <c r="X7" s="217" t="str">
        <f ca="1">IFERROR(__xludf.DUMMYFUNCTION("""COMPUTED_VALUE"""),"シックスシグマの基礎")</f>
        <v>シックスシグマの基礎</v>
      </c>
      <c r="Y7" s="217"/>
      <c r="Z7" s="213"/>
      <c r="AA7" s="215">
        <f ca="1">IFERROR(__xludf.DUMMYFUNCTION("""COMPUTED_VALUE"""),801474)</f>
        <v>801474</v>
      </c>
      <c r="AB7" s="215" t="str">
        <f ca="1">IFERROR(__xludf.DUMMYFUNCTION("""COMPUTED_VALUE"""),"Advanced")</f>
        <v>Advanced</v>
      </c>
      <c r="AC7" s="217" t="str">
        <f ca="1">IFERROR(__xludf.DUMMYFUNCTION("""COMPUTED_VALUE"""),"Como Criar Estratégias de Crescimento")</f>
        <v>Como Criar Estratégias de Crescimento</v>
      </c>
      <c r="AD7" s="217"/>
      <c r="AE7" s="213"/>
      <c r="AF7" s="215">
        <f ca="1">IFERROR(__xludf.DUMMYFUNCTION("""COMPUTED_VALUE"""),2884012)</f>
        <v>2884012</v>
      </c>
      <c r="AG7" s="215" t="str">
        <f ca="1">IFERROR(__xludf.DUMMYFUNCTION("""COMPUTED_VALUE"""),"Beginner, Intermediate")</f>
        <v>Beginner, Intermediate</v>
      </c>
      <c r="AH7" s="217" t="str">
        <f ca="1">IFERROR(__xludf.DUMMYFUNCTION("""COMPUTED_VALUE"""),"优秀敏捷教练的特质")</f>
        <v>优秀敏捷教练的特质</v>
      </c>
      <c r="AI7" s="217"/>
      <c r="AJ7" s="213"/>
    </row>
    <row r="8" spans="1:36" ht="33.75" customHeight="1">
      <c r="A8" s="213"/>
      <c r="B8" s="214">
        <f ca="1">IFERROR(__xludf.DUMMYFUNCTION("""COMPUTED_VALUE"""),2819144)</f>
        <v>2819144</v>
      </c>
      <c r="C8" s="215" t="str">
        <f ca="1">IFERROR(__xludf.DUMMYFUNCTION("""COMPUTED_VALUE"""),"Intermediate")</f>
        <v>Intermediate</v>
      </c>
      <c r="D8" s="216" t="str">
        <f ca="1">IFERROR(__xludf.DUMMYFUNCTION("""COMPUTED_VALUE"""),"Lean Technology Strategy: Financial Management to Support Business Agility")</f>
        <v>Lean Technology Strategy: Financial Management to Support Business Agility</v>
      </c>
      <c r="E8" s="217" t="str">
        <f ca="1">IFERROR(__xludf.DUMMYFUNCTION("""COMPUTED_VALUE"""),"Build a Privacy Program")</f>
        <v>Build a Privacy Program</v>
      </c>
      <c r="F8" s="213"/>
      <c r="G8" s="214">
        <f ca="1">IFERROR(__xludf.DUMMYFUNCTION("""COMPUTED_VALUE"""),707921)</f>
        <v>707921</v>
      </c>
      <c r="H8" s="215" t="str">
        <f ca="1">IFERROR(__xludf.DUMMYFUNCTION("""COMPUTED_VALUE"""),"All levels")</f>
        <v>All levels</v>
      </c>
      <c r="I8" s="217" t="str">
        <f ca="1">IFERROR(__xludf.DUMMYFUNCTION("""COMPUTED_VALUE"""),"Les fondements de l'amélioration des processus")</f>
        <v>Les fondements de l'amélioration des processus</v>
      </c>
      <c r="J8" s="217"/>
      <c r="K8" s="213"/>
      <c r="L8" s="215">
        <f ca="1">IFERROR(__xludf.DUMMYFUNCTION("""COMPUTED_VALUE"""),5025691)</f>
        <v>5025691</v>
      </c>
      <c r="M8" s="215" t="str">
        <f ca="1">IFERROR(__xludf.DUMMYFUNCTION("""COMPUTED_VALUE"""),"Beginner, Intermediate")</f>
        <v>Beginner, Intermediate</v>
      </c>
      <c r="N8" s="217" t="str">
        <f ca="1">IFERROR(__xludf.DUMMYFUNCTION("""COMPUTED_VALUE"""),"Cómo mejorar el rendimiento de tu personal")</f>
        <v>Cómo mejorar el rendimiento de tu personal</v>
      </c>
      <c r="O8" s="217"/>
      <c r="P8" s="213"/>
      <c r="Q8" s="215">
        <f ca="1">IFERROR(__xludf.DUMMYFUNCTION("""COMPUTED_VALUE"""),2824026)</f>
        <v>2824026</v>
      </c>
      <c r="R8" s="215" t="str">
        <f ca="1">IFERROR(__xludf.DUMMYFUNCTION("""COMPUTED_VALUE"""),"Beginner")</f>
        <v>Beginner</v>
      </c>
      <c r="S8" s="217" t="str">
        <f ca="1">IFERROR(__xludf.DUMMYFUNCTION("""COMPUTED_VALUE"""),"Lean Six Sigma – Grundlagen")</f>
        <v>Lean Six Sigma – Grundlagen</v>
      </c>
      <c r="T8" s="217"/>
      <c r="U8" s="213"/>
      <c r="V8" s="215">
        <f ca="1">IFERROR(__xludf.DUMMYFUNCTION("""COMPUTED_VALUE"""),737787)</f>
        <v>737787</v>
      </c>
      <c r="W8" s="215" t="str">
        <f ca="1">IFERROR(__xludf.DUMMYFUNCTION("""COMPUTED_VALUE"""),"Beginner")</f>
        <v>Beginner</v>
      </c>
      <c r="X8" s="217" t="str">
        <f ca="1">IFERROR(__xludf.DUMMYFUNCTION("""COMPUTED_VALUE"""),"ビジネスセンスの磨き方")</f>
        <v>ビジネスセンスの磨き方</v>
      </c>
      <c r="Y8" s="217"/>
      <c r="Z8" s="213"/>
      <c r="AA8" s="215">
        <f ca="1">IFERROR(__xludf.DUMMYFUNCTION("""COMPUTED_VALUE"""),2908959)</f>
        <v>2908959</v>
      </c>
      <c r="AB8" s="215" t="str">
        <f ca="1">IFERROR(__xludf.DUMMYFUNCTION("""COMPUTED_VALUE"""),"Advanced")</f>
        <v>Advanced</v>
      </c>
      <c r="AC8" s="217" t="str">
        <f ca="1">IFERROR(__xludf.DUMMYFUNCTION("""COMPUTED_VALUE"""),"Como Criar uma Cultura de Alto Desempenho")</f>
        <v>Como Criar uma Cultura de Alto Desempenho</v>
      </c>
      <c r="AD8" s="217"/>
      <c r="AE8" s="213"/>
      <c r="AF8" s="215">
        <f ca="1">IFERROR(__xludf.DUMMYFUNCTION("""COMPUTED_VALUE"""),2357090)</f>
        <v>2357090</v>
      </c>
      <c r="AG8" s="215" t="str">
        <f ca="1">IFERROR(__xludf.DUMMYFUNCTION("""COMPUTED_VALUE"""),"All levels")</f>
        <v>All levels</v>
      </c>
      <c r="AH8" s="217" t="str">
        <f ca="1">IFERROR(__xludf.DUMMYFUNCTION("""COMPUTED_VALUE"""),"供应链基础：通识篇")</f>
        <v>供应链基础：通识篇</v>
      </c>
      <c r="AI8" s="217"/>
      <c r="AJ8" s="213"/>
    </row>
    <row r="9" spans="1:36" ht="33.75" customHeight="1">
      <c r="A9" s="213"/>
      <c r="B9" s="214">
        <f ca="1">IFERROR(__xludf.DUMMYFUNCTION("""COMPUTED_VALUE"""),667354)</f>
        <v>667354</v>
      </c>
      <c r="C9" s="215" t="str">
        <f ca="1">IFERROR(__xludf.DUMMYFUNCTION("""COMPUTED_VALUE"""),"Advanced")</f>
        <v>Advanced</v>
      </c>
      <c r="D9" s="216" t="str">
        <f ca="1">IFERROR(__xludf.DUMMYFUNCTION("""COMPUTED_VALUE"""),"Digital Transformation")</f>
        <v>Digital Transformation</v>
      </c>
      <c r="E9" s="217" t="str">
        <f ca="1">IFERROR(__xludf.DUMMYFUNCTION("""COMPUTED_VALUE"""),"Improve Processes and Deliver Operational Excellence ")</f>
        <v xml:space="preserve">Improve Processes and Deliver Operational Excellence </v>
      </c>
      <c r="F9" s="213"/>
      <c r="G9" s="214">
        <f ca="1">IFERROR(__xludf.DUMMYFUNCTION("""COMPUTED_VALUE"""),796907)</f>
        <v>796907</v>
      </c>
      <c r="H9" s="215" t="str">
        <f ca="1">IFERROR(__xludf.DUMMYFUNCTION("""COMPUTED_VALUE"""),"Beginner")</f>
        <v>Beginner</v>
      </c>
      <c r="I9" s="217" t="str">
        <f ca="1">IFERROR(__xludf.DUMMYFUNCTION("""COMPUTED_VALUE"""),"Les fondements du Lean Six Sigma")</f>
        <v>Les fondements du Lean Six Sigma</v>
      </c>
      <c r="J9" s="217"/>
      <c r="K9" s="213"/>
      <c r="L9" s="215">
        <f ca="1">IFERROR(__xludf.DUMMYFUNCTION("""COMPUTED_VALUE"""),2996869)</f>
        <v>2996869</v>
      </c>
      <c r="M9" s="215" t="str">
        <f ca="1">IFERROR(__xludf.DUMMYFUNCTION("""COMPUTED_VALUE"""),"All levels")</f>
        <v>All levels</v>
      </c>
      <c r="N9" s="217" t="str">
        <f ca="1">IFERROR(__xludf.DUMMYFUNCTION("""COMPUTED_VALUE"""),"Cómo ser parte de un ambiente de trabajo positivo")</f>
        <v>Cómo ser parte de un ambiente de trabajo positivo</v>
      </c>
      <c r="O9" s="217"/>
      <c r="P9" s="213"/>
      <c r="Q9" s="215">
        <f ca="1">IFERROR(__xludf.DUMMYFUNCTION("""COMPUTED_VALUE"""),2921873)</f>
        <v>2921873</v>
      </c>
      <c r="R9" s="215" t="str">
        <f ca="1">IFERROR(__xludf.DUMMYFUNCTION("""COMPUTED_VALUE"""),"Intermediate")</f>
        <v>Intermediate</v>
      </c>
      <c r="S9" s="217" t="str">
        <f ca="1">IFERROR(__xludf.DUMMYFUNCTION("""COMPUTED_VALUE"""),"Microsoft Azure: Policy für DevOps")</f>
        <v>Microsoft Azure: Policy für DevOps</v>
      </c>
      <c r="T9" s="217"/>
      <c r="U9" s="213"/>
      <c r="V9" s="215">
        <f ca="1">IFERROR(__xludf.DUMMYFUNCTION("""COMPUTED_VALUE"""),2916471)</f>
        <v>2916471</v>
      </c>
      <c r="W9" s="215" t="str">
        <f ca="1">IFERROR(__xludf.DUMMYFUNCTION("""COMPUTED_VALUE"""),"Beginner")</f>
        <v>Beginner</v>
      </c>
      <c r="X9" s="217" t="str">
        <f ca="1">IFERROR(__xludf.DUMMYFUNCTION("""COMPUTED_VALUE"""),"業務プロセスを改善するには")</f>
        <v>業務プロセスを改善するには</v>
      </c>
      <c r="Y9" s="217"/>
      <c r="Z9" s="213"/>
      <c r="AA9" s="215">
        <f ca="1">IFERROR(__xludf.DUMMYFUNCTION("""COMPUTED_VALUE"""),2929566)</f>
        <v>2929566</v>
      </c>
      <c r="AB9" s="215" t="str">
        <f ca="1">IFERROR(__xludf.DUMMYFUNCTION("""COMPUTED_VALUE"""),"Beginner")</f>
        <v>Beginner</v>
      </c>
      <c r="AC9" s="217" t="str">
        <f ca="1">IFERROR(__xludf.DUMMYFUNCTION("""COMPUTED_VALUE"""),"Como Desenvolver uma Mentalidade de Aprendizagem")</f>
        <v>Como Desenvolver uma Mentalidade de Aprendizagem</v>
      </c>
      <c r="AD9" s="217"/>
      <c r="AE9" s="213"/>
      <c r="AF9" s="215">
        <f ca="1">IFERROR(__xludf.DUMMYFUNCTION("""COMPUTED_VALUE"""),2881005)</f>
        <v>2881005</v>
      </c>
      <c r="AG9" s="215" t="str">
        <f ca="1">IFERROR(__xludf.DUMMYFUNCTION("""COMPUTED_VALUE"""),"All levels")</f>
        <v>All levels</v>
      </c>
      <c r="AH9" s="217" t="str">
        <f ca="1">IFERROR(__xludf.DUMMYFUNCTION("""COMPUTED_VALUE"""),"供应链基础知识")</f>
        <v>供应链基础知识</v>
      </c>
      <c r="AI9" s="217"/>
      <c r="AJ9" s="213"/>
    </row>
    <row r="10" spans="1:36" ht="33.75" customHeight="1">
      <c r="A10" s="213"/>
      <c r="B10" s="214">
        <f ca="1">IFERROR(__xludf.DUMMYFUNCTION("""COMPUTED_VALUE"""),786355)</f>
        <v>786355</v>
      </c>
      <c r="C10" s="215" t="str">
        <f ca="1">IFERROR(__xludf.DUMMYFUNCTION("""COMPUTED_VALUE"""),"Advanced")</f>
        <v>Advanced</v>
      </c>
      <c r="D10" s="216" t="str">
        <f ca="1">IFERROR(__xludf.DUMMYFUNCTION("""COMPUTED_VALUE"""),"Creating a Product-Centric Organization")</f>
        <v>Creating a Product-Centric Organization</v>
      </c>
      <c r="E10" s="217" t="str">
        <f ca="1">IFERROR(__xludf.DUMMYFUNCTION("""COMPUTED_VALUE"""),"Improve Your Continuous Delivery Skills")</f>
        <v>Improve Your Continuous Delivery Skills</v>
      </c>
      <c r="F10" s="213"/>
      <c r="G10" s="214">
        <f ca="1">IFERROR(__xludf.DUMMYFUNCTION("""COMPUTED_VALUE"""),789567)</f>
        <v>789567</v>
      </c>
      <c r="H10" s="215" t="str">
        <f ca="1">IFERROR(__xludf.DUMMYFUNCTION("""COMPUTED_VALUE"""),"Advanced")</f>
        <v>Advanced</v>
      </c>
      <c r="I10" s="217" t="str">
        <f ca="1">IFERROR(__xludf.DUMMYFUNCTION("""COMPUTED_VALUE"""),"Six Sigma : La Ceinture noire")</f>
        <v>Six Sigma : La Ceinture noire</v>
      </c>
      <c r="J10" s="217"/>
      <c r="K10" s="213"/>
      <c r="L10" s="215">
        <f ca="1">IFERROR(__xludf.DUMMYFUNCTION("""COMPUTED_VALUE"""),2924101)</f>
        <v>2924101</v>
      </c>
      <c r="M10" s="215" t="str">
        <f ca="1">IFERROR(__xludf.DUMMYFUNCTION("""COMPUTED_VALUE"""),"Beginner, Intermediate")</f>
        <v>Beginner, Intermediate</v>
      </c>
      <c r="N10" s="217" t="str">
        <f ca="1">IFERROR(__xludf.DUMMYFUNCTION("""COMPUTED_VALUE"""),"DesignOps: Habilidades personales esencial")</f>
        <v>DesignOps: Habilidades personales esencial</v>
      </c>
      <c r="O10" s="217"/>
      <c r="P10" s="213"/>
      <c r="Q10" s="215">
        <f ca="1">IFERROR(__xludf.DUMMYFUNCTION("""COMPUTED_VALUE"""),2815114)</f>
        <v>2815114</v>
      </c>
      <c r="R10" s="215" t="str">
        <f ca="1">IFERROR(__xludf.DUMMYFUNCTION("""COMPUTED_VALUE"""),"Intermediate")</f>
        <v>Intermediate</v>
      </c>
      <c r="S10" s="217" t="str">
        <f ca="1">IFERROR(__xludf.DUMMYFUNCTION("""COMPUTED_VALUE"""),"Operative Exzellenz – Grundlagen")</f>
        <v>Operative Exzellenz – Grundlagen</v>
      </c>
      <c r="T10" s="217"/>
      <c r="U10" s="213"/>
      <c r="V10" s="215"/>
      <c r="W10" s="215"/>
      <c r="X10" s="217"/>
      <c r="Y10" s="217"/>
      <c r="Z10" s="213"/>
      <c r="AA10" s="215">
        <f ca="1">IFERROR(__xludf.DUMMYFUNCTION("""COMPUTED_VALUE"""),2901334)</f>
        <v>2901334</v>
      </c>
      <c r="AB10" s="215" t="str">
        <f ca="1">IFERROR(__xludf.DUMMYFUNCTION("""COMPUTED_VALUE"""),"Beginner, Intermediate")</f>
        <v>Beginner, Intermediate</v>
      </c>
      <c r="AC10" s="217" t="str">
        <f ca="1">IFERROR(__xludf.DUMMYFUNCTION("""COMPUTED_VALUE"""),"Como Melhorar o Desempenho dos Colaboradores")</f>
        <v>Como Melhorar o Desempenho dos Colaboradores</v>
      </c>
      <c r="AD10" s="217"/>
      <c r="AE10" s="213"/>
      <c r="AF10" s="215">
        <f ca="1">IFERROR(__xludf.DUMMYFUNCTION("""COMPUTED_VALUE"""),802145)</f>
        <v>802145</v>
      </c>
      <c r="AG10" s="215" t="str">
        <f ca="1">IFERROR(__xludf.DUMMYFUNCTION("""COMPUTED_VALUE"""),"All levels")</f>
        <v>All levels</v>
      </c>
      <c r="AH10" s="217" t="str">
        <f ca="1">IFERROR(__xludf.DUMMYFUNCTION("""COMPUTED_VALUE"""),"六西格玛基础知识")</f>
        <v>六西格玛基础知识</v>
      </c>
      <c r="AI10" s="217"/>
      <c r="AJ10" s="213"/>
    </row>
    <row r="11" spans="1:36" ht="33.75" customHeight="1">
      <c r="A11" s="213"/>
      <c r="B11" s="214">
        <f ca="1">IFERROR(__xludf.DUMMYFUNCTION("""COMPUTED_VALUE"""),734650)</f>
        <v>734650</v>
      </c>
      <c r="C11" s="215" t="str">
        <f ca="1">IFERROR(__xludf.DUMMYFUNCTION("""COMPUTED_VALUE"""),"General")</f>
        <v>General</v>
      </c>
      <c r="D11" s="216" t="str">
        <f ca="1">IFERROR(__xludf.DUMMYFUNCTION("""COMPUTED_VALUE"""),"Cybersecurity for Executives")</f>
        <v>Cybersecurity for Executives</v>
      </c>
      <c r="E11" s="217" t="str">
        <f ca="1">IFERROR(__xludf.DUMMYFUNCTION("""COMPUTED_VALUE"""),"Stay Ahead in Sustainability and Green Building")</f>
        <v>Stay Ahead in Sustainability and Green Building</v>
      </c>
      <c r="F11" s="213"/>
      <c r="G11" s="214">
        <f ca="1">IFERROR(__xludf.DUMMYFUNCTION("""COMPUTED_VALUE"""),709851)</f>
        <v>709851</v>
      </c>
      <c r="H11" s="215" t="str">
        <f ca="1">IFERROR(__xludf.DUMMYFUNCTION("""COMPUTED_VALUE"""),"Intermediate")</f>
        <v>Intermediate</v>
      </c>
      <c r="I11" s="217" t="str">
        <f ca="1">IFERROR(__xludf.DUMMYFUNCTION("""COMPUTED_VALUE"""),"Six Sigma : La ceinture verte")</f>
        <v>Six Sigma : La ceinture verte</v>
      </c>
      <c r="J11" s="217"/>
      <c r="K11" s="213"/>
      <c r="L11" s="215">
        <f ca="1">IFERROR(__xludf.DUMMYFUNCTION("""COMPUTED_VALUE"""),680863)</f>
        <v>680863</v>
      </c>
      <c r="M11" s="215" t="str">
        <f ca="1">IFERROR(__xludf.DUMMYFUNCTION("""COMPUTED_VALUE"""),"Beginner, Intermediate")</f>
        <v>Beginner, Intermediate</v>
      </c>
      <c r="N11" s="217" t="str">
        <f ca="1">IFERROR(__xludf.DUMMYFUNCTION("""COMPUTED_VALUE"""),"DevOps esencial")</f>
        <v>DevOps esencial</v>
      </c>
      <c r="O11" s="217"/>
      <c r="P11" s="213"/>
      <c r="Q11" s="215">
        <f ca="1">IFERROR(__xludf.DUMMYFUNCTION("""COMPUTED_VALUE"""),758760)</f>
        <v>758760</v>
      </c>
      <c r="R11" s="215" t="str">
        <f ca="1">IFERROR(__xludf.DUMMYFUNCTION("""COMPUTED_VALUE"""),"Beginner")</f>
        <v>Beginner</v>
      </c>
      <c r="S11" s="217" t="str">
        <f ca="1">IFERROR(__xludf.DUMMYFUNCTION("""COMPUTED_VALUE"""),"Six Sigma – Grundlagen")</f>
        <v>Six Sigma – Grundlagen</v>
      </c>
      <c r="T11" s="217"/>
      <c r="U11" s="213"/>
      <c r="V11" s="215"/>
      <c r="W11" s="215"/>
      <c r="X11" s="217"/>
      <c r="Y11" s="217"/>
      <c r="Z11" s="213"/>
      <c r="AA11" s="215">
        <f ca="1">IFERROR(__xludf.DUMMYFUNCTION("""COMPUTED_VALUE"""),3159819)</f>
        <v>3159819</v>
      </c>
      <c r="AB11" s="215" t="str">
        <f ca="1">IFERROR(__xludf.DUMMYFUNCTION("""COMPUTED_VALUE"""),"Beginner")</f>
        <v>Beginner</v>
      </c>
      <c r="AC11" s="217" t="str">
        <f ca="1">IFERROR(__xludf.DUMMYFUNCTION("""COMPUTED_VALUE"""),"Fundamentos da Criatividade: O Processo de Criação de Ideias")</f>
        <v>Fundamentos da Criatividade: O Processo de Criação de Ideias</v>
      </c>
      <c r="AD11" s="217"/>
      <c r="AE11" s="213"/>
      <c r="AF11" s="215">
        <f ca="1">IFERROR(__xludf.DUMMYFUNCTION("""COMPUTED_VALUE"""),5002159)</f>
        <v>5002159</v>
      </c>
      <c r="AG11" s="215" t="str">
        <f ca="1">IFERROR(__xludf.DUMMYFUNCTION("""COMPUTED_VALUE"""),"Intermediate")</f>
        <v>Intermediate</v>
      </c>
      <c r="AH11" s="217" t="str">
        <f ca="1">IFERROR(__xludf.DUMMYFUNCTION("""COMPUTED_VALUE"""),"六西格玛绿带")</f>
        <v>六西格玛绿带</v>
      </c>
      <c r="AI11" s="217"/>
      <c r="AJ11" s="213"/>
    </row>
    <row r="12" spans="1:36" ht="33.75" customHeight="1">
      <c r="A12" s="213"/>
      <c r="B12" s="214">
        <f ca="1">IFERROR(__xludf.DUMMYFUNCTION("""COMPUTED_VALUE"""),782126)</f>
        <v>782126</v>
      </c>
      <c r="C12" s="215" t="str">
        <f ca="1">IFERROR(__xludf.DUMMYFUNCTION("""COMPUTED_VALUE"""),"General")</f>
        <v>General</v>
      </c>
      <c r="D12" s="216" t="str">
        <f ca="1">IFERROR(__xludf.DUMMYFUNCTION("""COMPUTED_VALUE"""),"Reid Hoffman and Chris Yeh on Blitzscaling")</f>
        <v>Reid Hoffman and Chris Yeh on Blitzscaling</v>
      </c>
      <c r="E12" s="217" t="str">
        <f ca="1">IFERROR(__xludf.DUMMYFUNCTION("""COMPUTED_VALUE"""),"Stay Competitive Using Design Thinking")</f>
        <v>Stay Competitive Using Design Thinking</v>
      </c>
      <c r="F12" s="213"/>
      <c r="G12" s="214"/>
      <c r="H12" s="215"/>
      <c r="I12" s="217"/>
      <c r="J12" s="217"/>
      <c r="K12" s="213"/>
      <c r="L12" s="215">
        <f ca="1">IFERROR(__xludf.DUMMYFUNCTION("""COMPUTED_VALUE"""),5025686)</f>
        <v>5025686</v>
      </c>
      <c r="M12" s="215" t="str">
        <f ca="1">IFERROR(__xludf.DUMMYFUNCTION("""COMPUTED_VALUE"""),"Intermediate")</f>
        <v>Intermediate</v>
      </c>
      <c r="N12" s="217" t="str">
        <f ca="1">IFERROR(__xludf.DUMMYFUNCTION("""COMPUTED_VALUE"""),"El futuro de la gestión del rendimiento")</f>
        <v>El futuro de la gestión del rendimiento</v>
      </c>
      <c r="O12" s="217"/>
      <c r="P12" s="213"/>
      <c r="Q12" s="215">
        <f ca="1">IFERROR(__xludf.DUMMYFUNCTION("""COMPUTED_VALUE"""),794691)</f>
        <v>794691</v>
      </c>
      <c r="R12" s="215" t="str">
        <f ca="1">IFERROR(__xludf.DUMMYFUNCTION("""COMPUTED_VALUE"""),"Advanced")</f>
        <v>Advanced</v>
      </c>
      <c r="S12" s="217" t="str">
        <f ca="1">IFERROR(__xludf.DUMMYFUNCTION("""COMPUTED_VALUE"""),"Six Sigma: Black Belt")</f>
        <v>Six Sigma: Black Belt</v>
      </c>
      <c r="T12" s="217"/>
      <c r="U12" s="213"/>
      <c r="V12" s="215"/>
      <c r="W12" s="215"/>
      <c r="X12" s="217"/>
      <c r="Y12" s="217"/>
      <c r="Z12" s="213"/>
      <c r="AA12" s="215">
        <f ca="1">IFERROR(__xludf.DUMMYFUNCTION("""COMPUTED_VALUE"""),801471)</f>
        <v>801471</v>
      </c>
      <c r="AB12" s="215" t="str">
        <f ca="1">IFERROR(__xludf.DUMMYFUNCTION("""COMPUTED_VALUE"""),"All levels")</f>
        <v>All levels</v>
      </c>
      <c r="AC12" s="217" t="str">
        <f ca="1">IFERROR(__xludf.DUMMYFUNCTION("""COMPUTED_VALUE"""),"Fundamentos da Excelência Operacional")</f>
        <v>Fundamentos da Excelência Operacional</v>
      </c>
      <c r="AD12" s="217"/>
      <c r="AE12" s="213"/>
      <c r="AF12" s="215">
        <f ca="1">IFERROR(__xludf.DUMMYFUNCTION("""COMPUTED_VALUE"""),2804433)</f>
        <v>2804433</v>
      </c>
      <c r="AG12" s="215" t="str">
        <f ca="1">IFERROR(__xludf.DUMMYFUNCTION("""COMPUTED_VALUE"""),"Intermediate")</f>
        <v>Intermediate</v>
      </c>
      <c r="AH12" s="217" t="str">
        <f ca="1">IFERROR(__xludf.DUMMYFUNCTION("""COMPUTED_VALUE"""),"六西格玛黑带")</f>
        <v>六西格玛黑带</v>
      </c>
      <c r="AI12" s="217"/>
      <c r="AJ12" s="213"/>
    </row>
    <row r="13" spans="1:36" ht="33.75" customHeight="1">
      <c r="A13" s="213"/>
      <c r="B13" s="214">
        <f ca="1">IFERROR(__xludf.DUMMYFUNCTION("""COMPUTED_VALUE"""),2819026)</f>
        <v>2819026</v>
      </c>
      <c r="C13" s="215" t="str">
        <f ca="1">IFERROR(__xludf.DUMMYFUNCTION("""COMPUTED_VALUE"""),"Intermediate")</f>
        <v>Intermediate</v>
      </c>
      <c r="D13" s="216" t="str">
        <f ca="1">IFERROR(__xludf.DUMMYFUNCTION("""COMPUTED_VALUE"""),"Skip-Level Meetings")</f>
        <v>Skip-Level Meetings</v>
      </c>
      <c r="E13" s="217" t="str">
        <f ca="1">IFERROR(__xludf.DUMMYFUNCTION("""COMPUTED_VALUE"""),"Understand GDPR and Data Privacy")</f>
        <v>Understand GDPR and Data Privacy</v>
      </c>
      <c r="F13" s="213"/>
      <c r="G13" s="214"/>
      <c r="H13" s="215"/>
      <c r="I13" s="217"/>
      <c r="J13" s="217"/>
      <c r="K13" s="213"/>
      <c r="L13" s="215">
        <f ca="1">IFERROR(__xludf.DUMMYFUNCTION("""COMPUTED_VALUE"""),2891127)</f>
        <v>2891127</v>
      </c>
      <c r="M13" s="215" t="str">
        <f ca="1">IFERROR(__xludf.DUMMYFUNCTION("""COMPUTED_VALUE"""),"Intermediate")</f>
        <v>Intermediate</v>
      </c>
      <c r="N13" s="217" t="str">
        <f ca="1">IFERROR(__xludf.DUMMYFUNCTION("""COMPUTED_VALUE"""),"Facilitación de la excelencia operativa y Kaizen")</f>
        <v>Facilitación de la excelencia operativa y Kaizen</v>
      </c>
      <c r="O13" s="217"/>
      <c r="P13" s="213"/>
      <c r="Q13" s="215">
        <f ca="1">IFERROR(__xludf.DUMMYFUNCTION("""COMPUTED_VALUE"""),761021)</f>
        <v>761021</v>
      </c>
      <c r="R13" s="215" t="str">
        <f ca="1">IFERROR(__xludf.DUMMYFUNCTION("""COMPUTED_VALUE"""),"Intermediate")</f>
        <v>Intermediate</v>
      </c>
      <c r="S13" s="217" t="str">
        <f ca="1">IFERROR(__xludf.DUMMYFUNCTION("""COMPUTED_VALUE"""),"Six Sigma: Green Belt")</f>
        <v>Six Sigma: Green Belt</v>
      </c>
      <c r="T13" s="217"/>
      <c r="U13" s="213"/>
      <c r="V13" s="215"/>
      <c r="W13" s="215"/>
      <c r="X13" s="217"/>
      <c r="Y13" s="217"/>
      <c r="Z13" s="213"/>
      <c r="AA13" s="215">
        <f ca="1">IFERROR(__xludf.DUMMYFUNCTION("""COMPUTED_VALUE"""),753100)</f>
        <v>753100</v>
      </c>
      <c r="AB13" s="215" t="str">
        <f ca="1">IFERROR(__xludf.DUMMYFUNCTION("""COMPUTED_VALUE"""),"Beginner")</f>
        <v>Beginner</v>
      </c>
      <c r="AC13" s="217" t="str">
        <f ca="1">IFERROR(__xludf.DUMMYFUNCTION("""COMPUTED_VALUE"""),"Fundamentos da Melhoria de Processos")</f>
        <v>Fundamentos da Melhoria de Processos</v>
      </c>
      <c r="AD13" s="217"/>
      <c r="AE13" s="213"/>
      <c r="AF13" s="215">
        <f ca="1">IFERROR(__xludf.DUMMYFUNCTION("""COMPUTED_VALUE"""),2255864)</f>
        <v>2255864</v>
      </c>
      <c r="AG13" s="215" t="str">
        <f ca="1">IFERROR(__xludf.DUMMYFUNCTION("""COMPUTED_VALUE"""),"Intermediate")</f>
        <v>Intermediate</v>
      </c>
      <c r="AH13" s="217" t="str">
        <f ca="1">IFERROR(__xludf.DUMMYFUNCTION("""COMPUTED_VALUE"""),"创建高绩效文化")</f>
        <v>创建高绩效文化</v>
      </c>
      <c r="AI13" s="217"/>
      <c r="AJ13" s="213"/>
    </row>
    <row r="14" spans="1:36" ht="33.75" customHeight="1">
      <c r="A14" s="213"/>
      <c r="B14" s="214">
        <f ca="1">IFERROR(__xludf.DUMMYFUNCTION("""COMPUTED_VALUE"""),599600)</f>
        <v>599600</v>
      </c>
      <c r="C14" s="215" t="str">
        <f ca="1">IFERROR(__xludf.DUMMYFUNCTION("""COMPUTED_VALUE"""),"Intermediate")</f>
        <v>Intermediate</v>
      </c>
      <c r="D14" s="216" t="str">
        <f ca="1">IFERROR(__xludf.DUMMYFUNCTION("""COMPUTED_VALUE"""),"Creating a Culture of Privacy")</f>
        <v>Creating a Culture of Privacy</v>
      </c>
      <c r="E14" s="217"/>
      <c r="F14" s="213"/>
      <c r="G14" s="214"/>
      <c r="H14" s="215"/>
      <c r="I14" s="217"/>
      <c r="J14" s="217"/>
      <c r="K14" s="213"/>
      <c r="L14" s="215">
        <f ca="1">IFERROR(__xludf.DUMMYFUNCTION("""COMPUTED_VALUE"""),5025672)</f>
        <v>5025672</v>
      </c>
      <c r="M14" s="215" t="str">
        <f ca="1">IFERROR(__xludf.DUMMYFUNCTION("""COMPUTED_VALUE"""),"All levels")</f>
        <v>All levels</v>
      </c>
      <c r="N14" s="217" t="str">
        <f ca="1">IFERROR(__xludf.DUMMYFUNCTION("""COMPUTED_VALUE"""),"Fundamentos de la excelencia operativa")</f>
        <v>Fundamentos de la excelencia operativa</v>
      </c>
      <c r="O14" s="217"/>
      <c r="P14" s="213"/>
      <c r="Q14" s="215">
        <f ca="1">IFERROR(__xludf.DUMMYFUNCTION("""COMPUTED_VALUE"""),2232562)</f>
        <v>2232562</v>
      </c>
      <c r="R14" s="215" t="str">
        <f ca="1">IFERROR(__xludf.DUMMYFUNCTION("""COMPUTED_VALUE"""),"Intermediate")</f>
        <v>Intermediate</v>
      </c>
      <c r="S14" s="217" t="str">
        <f ca="1">IFERROR(__xludf.DUMMYFUNCTION("""COMPUTED_VALUE"""),"Teamleistungen mit Kennzahlen messen")</f>
        <v>Teamleistungen mit Kennzahlen messen</v>
      </c>
      <c r="T14" s="217"/>
      <c r="U14" s="213"/>
      <c r="V14" s="215"/>
      <c r="W14" s="215"/>
      <c r="X14" s="217"/>
      <c r="Y14" s="217"/>
      <c r="Z14" s="213"/>
      <c r="AA14" s="215">
        <f ca="1">IFERROR(__xludf.DUMMYFUNCTION("""COMPUTED_VALUE"""),2929550)</f>
        <v>2929550</v>
      </c>
      <c r="AB14" s="215" t="str">
        <f ca="1">IFERROR(__xludf.DUMMYFUNCTION("""COMPUTED_VALUE"""),"Beginner, Intermediate")</f>
        <v>Beginner, Intermediate</v>
      </c>
      <c r="AC14" s="217" t="str">
        <f ca="1">IFERROR(__xludf.DUMMYFUNCTION("""COMPUTED_VALUE"""),"Fundamentos de DevOps")</f>
        <v>Fundamentos de DevOps</v>
      </c>
      <c r="AD14" s="217"/>
      <c r="AE14" s="213"/>
      <c r="AF14" s="215">
        <f ca="1">IFERROR(__xludf.DUMMYFUNCTION("""COMPUTED_VALUE"""),3159051)</f>
        <v>3159051</v>
      </c>
      <c r="AG14" s="215" t="str">
        <f ca="1">IFERROR(__xludf.DUMMYFUNCTION("""COMPUTED_VALUE"""),"Intermediate")</f>
        <v>Intermediate</v>
      </c>
      <c r="AH14" s="217" t="str">
        <f ca="1">IFERROR(__xludf.DUMMYFUNCTION("""COMPUTED_VALUE"""),"卓越运营：成为群策群力计划与持续改善引导者")</f>
        <v>卓越运营：成为群策群力计划与持续改善引导者</v>
      </c>
      <c r="AI14" s="217"/>
      <c r="AJ14" s="213"/>
    </row>
    <row r="15" spans="1:36" ht="33.75" customHeight="1">
      <c r="A15" s="213"/>
      <c r="B15" s="214">
        <f ca="1">IFERROR(__xludf.DUMMYFUNCTION("""COMPUTED_VALUE"""),5015884)</f>
        <v>5015884</v>
      </c>
      <c r="C15" s="215" t="str">
        <f ca="1">IFERROR(__xludf.DUMMYFUNCTION("""COMPUTED_VALUE"""),"Intermediate")</f>
        <v>Intermediate</v>
      </c>
      <c r="D15" s="216" t="str">
        <f ca="1">IFERROR(__xludf.DUMMYFUNCTION("""COMPUTED_VALUE"""),"Scaling Up Excellence: Getting to More Without Settling for Less (Blinkist Summary)")</f>
        <v>Scaling Up Excellence: Getting to More Without Settling for Less (Blinkist Summary)</v>
      </c>
      <c r="E15" s="217"/>
      <c r="F15" s="213"/>
      <c r="G15" s="214"/>
      <c r="H15" s="215"/>
      <c r="I15" s="217"/>
      <c r="J15" s="217"/>
      <c r="K15" s="213"/>
      <c r="L15" s="215">
        <f ca="1">IFERROR(__xludf.DUMMYFUNCTION("""COMPUTED_VALUE"""),5025632)</f>
        <v>5025632</v>
      </c>
      <c r="M15" s="215" t="str">
        <f ca="1">IFERROR(__xludf.DUMMYFUNCTION("""COMPUTED_VALUE"""),"Beginner")</f>
        <v>Beginner</v>
      </c>
      <c r="N15" s="217" t="str">
        <f ca="1">IFERROR(__xludf.DUMMYFUNCTION("""COMPUTED_VALUE"""),"Fundamentos de la gestión de operaciones")</f>
        <v>Fundamentos de la gestión de operaciones</v>
      </c>
      <c r="O15" s="217"/>
      <c r="P15" s="213"/>
      <c r="Q15" s="215"/>
      <c r="R15" s="215"/>
      <c r="S15" s="217"/>
      <c r="T15" s="217"/>
      <c r="U15" s="213"/>
      <c r="V15" s="215"/>
      <c r="W15" s="215"/>
      <c r="X15" s="217"/>
      <c r="Y15" s="217"/>
      <c r="Z15" s="213"/>
      <c r="AA15" s="215">
        <f ca="1">IFERROR(__xludf.DUMMYFUNCTION("""COMPUTED_VALUE"""),2929551)</f>
        <v>2929551</v>
      </c>
      <c r="AB15" s="215" t="str">
        <f ca="1">IFERROR(__xludf.DUMMYFUNCTION("""COMPUTED_VALUE"""),"All levels")</f>
        <v>All levels</v>
      </c>
      <c r="AC15" s="217" t="str">
        <f ca="1">IFERROR(__xludf.DUMMYFUNCTION("""COMPUTED_VALUE"""),"Fundamentos de Gestão Ágil")</f>
        <v>Fundamentos de Gestão Ágil</v>
      </c>
      <c r="AD15" s="217"/>
      <c r="AE15" s="213"/>
      <c r="AF15" s="215">
        <f ca="1">IFERROR(__xludf.DUMMYFUNCTION("""COMPUTED_VALUE"""),2700354)</f>
        <v>2700354</v>
      </c>
      <c r="AG15" s="215" t="str">
        <f ca="1">IFERROR(__xludf.DUMMYFUNCTION("""COMPUTED_VALUE"""),"All levels")</f>
        <v>All levels</v>
      </c>
      <c r="AH15" s="217" t="str">
        <f ca="1">IFERROR(__xludf.DUMMYFUNCTION("""COMPUTED_VALUE"""),"卓越运营基础知识")</f>
        <v>卓越运营基础知识</v>
      </c>
      <c r="AI15" s="217"/>
      <c r="AJ15" s="213"/>
    </row>
    <row r="16" spans="1:36" ht="33.75" customHeight="1">
      <c r="A16" s="213"/>
      <c r="B16" s="214">
        <f ca="1">IFERROR(__xludf.DUMMYFUNCTION("""COMPUTED_VALUE"""),616665)</f>
        <v>616665</v>
      </c>
      <c r="C16" s="215" t="str">
        <f ca="1">IFERROR(__xludf.DUMMYFUNCTION("""COMPUTED_VALUE"""),"Advanced")</f>
        <v>Advanced</v>
      </c>
      <c r="D16" s="216" t="str">
        <f ca="1">IFERROR(__xludf.DUMMYFUNCTION("""COMPUTED_VALUE"""),"Organization Design")</f>
        <v>Organization Design</v>
      </c>
      <c r="E16" s="217"/>
      <c r="F16" s="213"/>
      <c r="G16" s="214"/>
      <c r="H16" s="215"/>
      <c r="I16" s="217"/>
      <c r="J16" s="217"/>
      <c r="K16" s="213"/>
      <c r="L16" s="215">
        <f ca="1">IFERROR(__xludf.DUMMYFUNCTION("""COMPUTED_VALUE"""),608975)</f>
        <v>608975</v>
      </c>
      <c r="M16" s="215" t="str">
        <f ca="1">IFERROR(__xludf.DUMMYFUNCTION("""COMPUTED_VALUE"""),"All levels")</f>
        <v>All levels</v>
      </c>
      <c r="N16" s="217" t="str">
        <f ca="1">IFERROR(__xludf.DUMMYFUNCTION("""COMPUTED_VALUE"""),"Fundamentos de la optimización de procesos")</f>
        <v>Fundamentos de la optimización de procesos</v>
      </c>
      <c r="O16" s="217"/>
      <c r="P16" s="213"/>
      <c r="Q16" s="215"/>
      <c r="R16" s="215"/>
      <c r="S16" s="217"/>
      <c r="T16" s="217"/>
      <c r="U16" s="213"/>
      <c r="V16" s="215"/>
      <c r="W16" s="215"/>
      <c r="X16" s="217"/>
      <c r="Y16" s="217"/>
      <c r="Z16" s="213"/>
      <c r="AA16" s="215">
        <f ca="1">IFERROR(__xludf.DUMMYFUNCTION("""COMPUTED_VALUE"""),2910526)</f>
        <v>2910526</v>
      </c>
      <c r="AB16" s="215" t="str">
        <f ca="1">IFERROR(__xludf.DUMMYFUNCTION("""COMPUTED_VALUE"""),"Beginner")</f>
        <v>Beginner</v>
      </c>
      <c r="AC16" s="217" t="str">
        <f ca="1">IFERROR(__xludf.DUMMYFUNCTION("""COMPUTED_VALUE"""),"Fundamentos de Gestão de Operações")</f>
        <v>Fundamentos de Gestão de Operações</v>
      </c>
      <c r="AD16" s="217"/>
      <c r="AE16" s="213"/>
      <c r="AF16" s="215">
        <f ca="1">IFERROR(__xludf.DUMMYFUNCTION("""COMPUTED_VALUE"""),2824040)</f>
        <v>2824040</v>
      </c>
      <c r="AG16" s="215" t="str">
        <f ca="1">IFERROR(__xludf.DUMMYFUNCTION("""COMPUTED_VALUE"""),"Beginner, Intermediate")</f>
        <v>Beginner, Intermediate</v>
      </c>
      <c r="AH16" s="217" t="str">
        <f ca="1">IFERROR(__xludf.DUMMYFUNCTION("""COMPUTED_VALUE"""),"提升员工绩效")</f>
        <v>提升员工绩效</v>
      </c>
      <c r="AI16" s="217"/>
      <c r="AJ16" s="213"/>
    </row>
    <row r="17" spans="1:36" ht="33.75" customHeight="1">
      <c r="A17" s="213"/>
      <c r="B17" s="214">
        <f ca="1">IFERROR(__xludf.DUMMYFUNCTION("""COMPUTED_VALUE"""),5028627)</f>
        <v>5028627</v>
      </c>
      <c r="C17" s="215" t="str">
        <f ca="1">IFERROR(__xludf.DUMMYFUNCTION("""COMPUTED_VALUE"""),"Advanced")</f>
        <v>Advanced</v>
      </c>
      <c r="D17" s="216" t="str">
        <f ca="1">IFERROR(__xludf.DUMMYFUNCTION("""COMPUTED_VALUE"""),"Organizational Thought Leadership")</f>
        <v>Organizational Thought Leadership</v>
      </c>
      <c r="E17" s="217"/>
      <c r="F17" s="213"/>
      <c r="G17" s="214"/>
      <c r="H17" s="215"/>
      <c r="I17" s="217"/>
      <c r="J17" s="217"/>
      <c r="K17" s="213"/>
      <c r="L17" s="215">
        <f ca="1">IFERROR(__xludf.DUMMYFUNCTION("""COMPUTED_VALUE"""),5025674)</f>
        <v>5025674</v>
      </c>
      <c r="M17" s="215" t="str">
        <f ca="1">IFERROR(__xludf.DUMMYFUNCTION("""COMPUTED_VALUE"""),"Beginner")</f>
        <v>Beginner</v>
      </c>
      <c r="N17" s="217" t="str">
        <f ca="1">IFERROR(__xludf.DUMMYFUNCTION("""COMPUTED_VALUE"""),"Fundamentos de Lean Six Sigma")</f>
        <v>Fundamentos de Lean Six Sigma</v>
      </c>
      <c r="O17" s="217"/>
      <c r="P17" s="213"/>
      <c r="Q17" s="215"/>
      <c r="R17" s="215"/>
      <c r="S17" s="217"/>
      <c r="T17" s="217"/>
      <c r="U17" s="213"/>
      <c r="V17" s="215"/>
      <c r="W17" s="215"/>
      <c r="X17" s="217"/>
      <c r="Y17" s="217"/>
      <c r="Z17" s="213"/>
      <c r="AA17" s="215">
        <f ca="1">IFERROR(__xludf.DUMMYFUNCTION("""COMPUTED_VALUE"""),2911572)</f>
        <v>2911572</v>
      </c>
      <c r="AB17" s="215" t="str">
        <f ca="1">IFERROR(__xludf.DUMMYFUNCTION("""COMPUTED_VALUE"""),"Intermediate")</f>
        <v>Intermediate</v>
      </c>
      <c r="AC17" s="217" t="str">
        <f ca="1">IFERROR(__xludf.DUMMYFUNCTION("""COMPUTED_VALUE"""),"Fundamentos de Gestão de Projetos: Aquisições")</f>
        <v>Fundamentos de Gestão de Projetos: Aquisições</v>
      </c>
      <c r="AD17" s="217"/>
      <c r="AE17" s="213"/>
      <c r="AF17" s="215">
        <f ca="1">IFERROR(__xludf.DUMMYFUNCTION("""COMPUTED_VALUE"""),2822687)</f>
        <v>2822687</v>
      </c>
      <c r="AG17" s="215" t="str">
        <f ca="1">IFERROR(__xludf.DUMMYFUNCTION("""COMPUTED_VALUE"""),"Beginner")</f>
        <v>Beginner</v>
      </c>
      <c r="AH17" s="217" t="str">
        <f ca="1">IFERROR(__xludf.DUMMYFUNCTION("""COMPUTED_VALUE"""),"敏捷式工作：利用敏捷图表与看板展示项目")</f>
        <v>敏捷式工作：利用敏捷图表与看板展示项目</v>
      </c>
      <c r="AI17" s="217"/>
      <c r="AJ17" s="213"/>
    </row>
    <row r="18" spans="1:36" ht="33.75" customHeight="1">
      <c r="A18" s="213"/>
      <c r="B18" s="214">
        <f ca="1">IFERROR(__xludf.DUMMYFUNCTION("""COMPUTED_VALUE"""),520232)</f>
        <v>520232</v>
      </c>
      <c r="C18" s="215" t="str">
        <f ca="1">IFERROR(__xludf.DUMMYFUNCTION("""COMPUTED_VALUE"""),"General")</f>
        <v>General</v>
      </c>
      <c r="D18" s="216" t="str">
        <f ca="1">IFERROR(__xludf.DUMMYFUNCTION("""COMPUTED_VALUE"""),"Implementing an Information Security Program")</f>
        <v>Implementing an Information Security Program</v>
      </c>
      <c r="E18" s="217"/>
      <c r="F18" s="213"/>
      <c r="G18" s="214"/>
      <c r="H18" s="215"/>
      <c r="I18" s="217"/>
      <c r="J18" s="217"/>
      <c r="K18" s="213"/>
      <c r="L18" s="215">
        <f ca="1">IFERROR(__xludf.DUMMYFUNCTION("""COMPUTED_VALUE"""),714745)</f>
        <v>714745</v>
      </c>
      <c r="M18" s="215" t="str">
        <f ca="1">IFERROR(__xludf.DUMMYFUNCTION("""COMPUTED_VALUE"""),"Beginner, Intermediate")</f>
        <v>Beginner, Intermediate</v>
      </c>
      <c r="N18" s="217" t="str">
        <f ca="1">IFERROR(__xludf.DUMMYFUNCTION("""COMPUTED_VALUE"""),"Fundamentos de Six Sigma")</f>
        <v>Fundamentos de Six Sigma</v>
      </c>
      <c r="O18" s="217"/>
      <c r="P18" s="213"/>
      <c r="Q18" s="215"/>
      <c r="R18" s="215"/>
      <c r="S18" s="217"/>
      <c r="T18" s="217"/>
      <c r="U18" s="213"/>
      <c r="V18" s="215"/>
      <c r="W18" s="215"/>
      <c r="X18" s="217"/>
      <c r="Y18" s="217"/>
      <c r="Z18" s="213"/>
      <c r="AA18" s="215">
        <f ca="1">IFERROR(__xludf.DUMMYFUNCTION("""COMPUTED_VALUE"""),801468)</f>
        <v>801468</v>
      </c>
      <c r="AB18" s="215" t="str">
        <f ca="1">IFERROR(__xludf.DUMMYFUNCTION("""COMPUTED_VALUE"""),"Beginner")</f>
        <v>Beginner</v>
      </c>
      <c r="AC18" s="217" t="str">
        <f ca="1">IFERROR(__xludf.DUMMYFUNCTION("""COMPUTED_VALUE"""),"Fundamentos do Lean Seis Sigma")</f>
        <v>Fundamentos do Lean Seis Sigma</v>
      </c>
      <c r="AD18" s="217"/>
      <c r="AE18" s="213"/>
      <c r="AF18" s="215">
        <f ca="1">IFERROR(__xludf.DUMMYFUNCTION("""COMPUTED_VALUE"""),2825754)</f>
        <v>2825754</v>
      </c>
      <c r="AG18" s="215" t="str">
        <f ca="1">IFERROR(__xludf.DUMMYFUNCTION("""COMPUTED_VALUE"""),"Beginner")</f>
        <v>Beginner</v>
      </c>
      <c r="AH18" s="217" t="str">
        <f ca="1">IFERROR(__xludf.DUMMYFUNCTION("""COMPUTED_VALUE"""),"敏捷式工作：引领高效的敏捷会议")</f>
        <v>敏捷式工作：引领高效的敏捷会议</v>
      </c>
      <c r="AI18" s="217"/>
      <c r="AJ18" s="213"/>
    </row>
    <row r="19" spans="1:36" ht="33.75" customHeight="1">
      <c r="A19" s="213"/>
      <c r="B19" s="214">
        <f ca="1">IFERROR(__xludf.DUMMYFUNCTION("""COMPUTED_VALUE"""),2823293)</f>
        <v>2823293</v>
      </c>
      <c r="C19" s="215" t="str">
        <f ca="1">IFERROR(__xludf.DUMMYFUNCTION("""COMPUTED_VALUE"""),"Beginner")</f>
        <v>Beginner</v>
      </c>
      <c r="D19" s="216" t="str">
        <f ca="1">IFERROR(__xludf.DUMMYFUNCTION("""COMPUTED_VALUE"""),"Workplace Visualization")</f>
        <v>Workplace Visualization</v>
      </c>
      <c r="E19" s="217"/>
      <c r="F19" s="213"/>
      <c r="G19" s="214"/>
      <c r="H19" s="215"/>
      <c r="I19" s="217"/>
      <c r="J19" s="217"/>
      <c r="K19" s="213"/>
      <c r="L19" s="215">
        <f ca="1">IFERROR(__xludf.DUMMYFUNCTION("""COMPUTED_VALUE"""),5025677)</f>
        <v>5025677</v>
      </c>
      <c r="M19" s="215" t="str">
        <f ca="1">IFERROR(__xludf.DUMMYFUNCTION("""COMPUTED_VALUE"""),"Intermediate")</f>
        <v>Intermediate</v>
      </c>
      <c r="N19" s="217" t="str">
        <f ca="1">IFERROR(__xludf.DUMMYFUNCTION("""COMPUTED_VALUE"""),"Fundamentos de Six Sigma: Black Belt")</f>
        <v>Fundamentos de Six Sigma: Black Belt</v>
      </c>
      <c r="O19" s="217"/>
      <c r="P19" s="213"/>
      <c r="Q19" s="215"/>
      <c r="R19" s="215"/>
      <c r="S19" s="217"/>
      <c r="T19" s="217"/>
      <c r="U19" s="213"/>
      <c r="V19" s="215"/>
      <c r="W19" s="215"/>
      <c r="X19" s="217"/>
      <c r="Y19" s="217"/>
      <c r="Z19" s="213"/>
      <c r="AA19" s="215">
        <f ca="1">IFERROR(__xludf.DUMMYFUNCTION("""COMPUTED_VALUE"""),753206)</f>
        <v>753206</v>
      </c>
      <c r="AB19" s="215" t="str">
        <f ca="1">IFERROR(__xludf.DUMMYFUNCTION("""COMPUTED_VALUE"""),"All levels")</f>
        <v>All levels</v>
      </c>
      <c r="AC19" s="217" t="str">
        <f ca="1">IFERROR(__xludf.DUMMYFUNCTION("""COMPUTED_VALUE"""),"Fundamentos do Seis Sigma")</f>
        <v>Fundamentos do Seis Sigma</v>
      </c>
      <c r="AD19" s="217"/>
      <c r="AE19" s="213"/>
      <c r="AF19" s="215">
        <f ca="1">IFERROR(__xludf.DUMMYFUNCTION("""COMPUTED_VALUE"""),2825753)</f>
        <v>2825753</v>
      </c>
      <c r="AG19" s="215" t="str">
        <f ca="1">IFERROR(__xludf.DUMMYFUNCTION("""COMPUTED_VALUE"""),"Intermediate")</f>
        <v>Intermediate</v>
      </c>
      <c r="AH19" s="217" t="str">
        <f ca="1">IFERROR(__xludf.DUMMYFUNCTION("""COMPUTED_VALUE"""),"敏捷式工作：打造敏捷团队")</f>
        <v>敏捷式工作：打造敏捷团队</v>
      </c>
      <c r="AI19" s="217"/>
      <c r="AJ19" s="213"/>
    </row>
    <row r="20" spans="1:36" ht="33.75" customHeight="1">
      <c r="A20" s="213"/>
      <c r="B20" s="214">
        <f ca="1">IFERROR(__xludf.DUMMYFUNCTION("""COMPUTED_VALUE"""),2823296)</f>
        <v>2823296</v>
      </c>
      <c r="C20" s="215" t="str">
        <f ca="1">IFERROR(__xludf.DUMMYFUNCTION("""COMPUTED_VALUE"""),"Beginner")</f>
        <v>Beginner</v>
      </c>
      <c r="D20" s="216" t="str">
        <f ca="1">IFERROR(__xludf.DUMMYFUNCTION("""COMPUTED_VALUE"""),"Implementing Continuous Improvement: A Case Study")</f>
        <v>Implementing Continuous Improvement: A Case Study</v>
      </c>
      <c r="E20" s="217"/>
      <c r="F20" s="213"/>
      <c r="G20" s="214"/>
      <c r="H20" s="215"/>
      <c r="I20" s="217"/>
      <c r="J20" s="217"/>
      <c r="K20" s="213"/>
      <c r="L20" s="215">
        <f ca="1">IFERROR(__xludf.DUMMYFUNCTION("""COMPUTED_VALUE"""),714746)</f>
        <v>714746</v>
      </c>
      <c r="M20" s="215" t="str">
        <f ca="1">IFERROR(__xludf.DUMMYFUNCTION("""COMPUTED_VALUE"""),"Intermediate")</f>
        <v>Intermediate</v>
      </c>
      <c r="N20" s="217" t="str">
        <f ca="1">IFERROR(__xludf.DUMMYFUNCTION("""COMPUTED_VALUE"""),"Fundamentos de Six Sigma: Green Belt")</f>
        <v>Fundamentos de Six Sigma: Green Belt</v>
      </c>
      <c r="O20" s="217"/>
      <c r="P20" s="213"/>
      <c r="Q20" s="215"/>
      <c r="R20" s="215"/>
      <c r="S20" s="217"/>
      <c r="T20" s="217"/>
      <c r="U20" s="213"/>
      <c r="V20" s="215"/>
      <c r="W20" s="215"/>
      <c r="X20" s="217"/>
      <c r="Y20" s="217"/>
      <c r="Z20" s="213"/>
      <c r="AA20" s="215">
        <f ca="1">IFERROR(__xludf.DUMMYFUNCTION("""COMPUTED_VALUE"""),2908954)</f>
        <v>2908954</v>
      </c>
      <c r="AB20" s="215" t="str">
        <f ca="1">IFERROR(__xludf.DUMMYFUNCTION("""COMPUTED_VALUE"""),"Intermediate")</f>
        <v>Intermediate</v>
      </c>
      <c r="AC20" s="217" t="str">
        <f ca="1">IFERROR(__xludf.DUMMYFUNCTION("""COMPUTED_VALUE"""),"Gestão Ágil no Trabalho: Como Criar Equipes Ágeis")</f>
        <v>Gestão Ágil no Trabalho: Como Criar Equipes Ágeis</v>
      </c>
      <c r="AD20" s="217"/>
      <c r="AE20" s="213"/>
      <c r="AF20" s="215">
        <f ca="1">IFERROR(__xludf.DUMMYFUNCTION("""COMPUTED_VALUE"""),2824160)</f>
        <v>2824160</v>
      </c>
      <c r="AG20" s="215" t="str">
        <f ca="1">IFERROR(__xludf.DUMMYFUNCTION("""COMPUTED_VALUE"""),"Intermediate")</f>
        <v>Intermediate</v>
      </c>
      <c r="AH20" s="217" t="str">
        <f ca="1">IFERROR(__xludf.DUMMYFUNCTION("""COMPUTED_VALUE"""),"敏捷式工作：提升敏捷回顾技能")</f>
        <v>敏捷式工作：提升敏捷回顾技能</v>
      </c>
      <c r="AI20" s="217"/>
      <c r="AJ20" s="213"/>
    </row>
    <row r="21" spans="1:36" ht="33.75" customHeight="1">
      <c r="A21" s="213"/>
      <c r="B21" s="214">
        <f ca="1">IFERROR(__xludf.DUMMYFUNCTION("""COMPUTED_VALUE"""),622078)</f>
        <v>622078</v>
      </c>
      <c r="C21" s="215" t="str">
        <f ca="1">IFERROR(__xludf.DUMMYFUNCTION("""COMPUTED_VALUE"""),"Intermediate")</f>
        <v>Intermediate</v>
      </c>
      <c r="D21" s="216" t="str">
        <f ca="1">IFERROR(__xludf.DUMMYFUNCTION("""COMPUTED_VALUE"""),"DevOps Foundations: Lean and Agile")</f>
        <v>DevOps Foundations: Lean and Agile</v>
      </c>
      <c r="E21" s="217"/>
      <c r="F21" s="213"/>
      <c r="G21" s="214"/>
      <c r="H21" s="215"/>
      <c r="I21" s="217"/>
      <c r="J21" s="217"/>
      <c r="K21" s="213"/>
      <c r="L21" s="215">
        <f ca="1">IFERROR(__xludf.DUMMYFUNCTION("""COMPUTED_VALUE"""),2848011)</f>
        <v>2848011</v>
      </c>
      <c r="M21" s="215" t="str">
        <f ca="1">IFERROR(__xludf.DUMMYFUNCTION("""COMPUTED_VALUE"""),"Beginner, Intermediate")</f>
        <v>Beginner, Intermediate</v>
      </c>
      <c r="N21" s="217" t="str">
        <f ca="1">IFERROR(__xludf.DUMMYFUNCTION("""COMPUTED_VALUE"""),"Fundamentos del soporte técnico: Telecomunicaciones")</f>
        <v>Fundamentos del soporte técnico: Telecomunicaciones</v>
      </c>
      <c r="O21" s="217"/>
      <c r="P21" s="213"/>
      <c r="Q21" s="215"/>
      <c r="R21" s="215"/>
      <c r="S21" s="217"/>
      <c r="T21" s="217"/>
      <c r="U21" s="213"/>
      <c r="V21" s="215"/>
      <c r="W21" s="215"/>
      <c r="X21" s="217"/>
      <c r="Y21" s="217"/>
      <c r="Z21" s="213"/>
      <c r="AA21" s="215">
        <f ca="1">IFERROR(__xludf.DUMMYFUNCTION("""COMPUTED_VALUE"""),2911570)</f>
        <v>2911570</v>
      </c>
      <c r="AB21" s="215" t="str">
        <f ca="1">IFERROR(__xludf.DUMMYFUNCTION("""COMPUTED_VALUE"""),"Intermediate")</f>
        <v>Intermediate</v>
      </c>
      <c r="AC21" s="217" t="str">
        <f ca="1">IFERROR(__xludf.DUMMYFUNCTION("""COMPUTED_VALUE"""),"Gestão Ágil no Trabalho: Como Planejar com Histórias de Usuários Ágeis")</f>
        <v>Gestão Ágil no Trabalho: Como Planejar com Histórias de Usuários Ágeis</v>
      </c>
      <c r="AD21" s="217"/>
      <c r="AE21" s="213"/>
      <c r="AF21" s="215">
        <f ca="1">IFERROR(__xludf.DUMMYFUNCTION("""COMPUTED_VALUE"""),2824434)</f>
        <v>2824434</v>
      </c>
      <c r="AG21" s="215" t="str">
        <f ca="1">IFERROR(__xludf.DUMMYFUNCTION("""COMPUTED_VALUE"""),"Intermediate")</f>
        <v>Intermediate</v>
      </c>
      <c r="AH21" s="217" t="str">
        <f ca="1">IFERROR(__xludf.DUMMYFUNCTION("""COMPUTED_VALUE"""),"敏捷式工作：通过敏捷的用户故事进行规划")</f>
        <v>敏捷式工作：通过敏捷的用户故事进行规划</v>
      </c>
      <c r="AI21" s="217"/>
      <c r="AJ21" s="213"/>
    </row>
    <row r="22" spans="1:36" ht="33.75" customHeight="1">
      <c r="A22" s="213"/>
      <c r="B22" s="214">
        <f ca="1">IFERROR(__xludf.DUMMYFUNCTION("""COMPUTED_VALUE"""),2825263)</f>
        <v>2825263</v>
      </c>
      <c r="C22" s="215" t="str">
        <f ca="1">IFERROR(__xludf.DUMMYFUNCTION("""COMPUTED_VALUE"""),"Intermediate")</f>
        <v>Intermediate</v>
      </c>
      <c r="D22" s="216" t="str">
        <f ca="1">IFERROR(__xludf.DUMMYFUNCTION("""COMPUTED_VALUE"""),"DevOps Foundations: Accelerating Continuous Delivery in the Enterprise")</f>
        <v>DevOps Foundations: Accelerating Continuous Delivery in the Enterprise</v>
      </c>
      <c r="E22" s="217"/>
      <c r="F22" s="213"/>
      <c r="G22" s="214"/>
      <c r="H22" s="215"/>
      <c r="I22" s="217"/>
      <c r="J22" s="217"/>
      <c r="K22" s="213"/>
      <c r="L22" s="215">
        <f ca="1">IFERROR(__xludf.DUMMYFUNCTION("""COMPUTED_VALUE"""),3161641)</f>
        <v>3161641</v>
      </c>
      <c r="M22" s="215" t="str">
        <f ca="1">IFERROR(__xludf.DUMMYFUNCTION("""COMPUTED_VALUE"""),"Beginner, Intermediate")</f>
        <v>Beginner, Intermediate</v>
      </c>
      <c r="N22" s="217" t="str">
        <f ca="1">IFERROR(__xludf.DUMMYFUNCTION("""COMPUTED_VALUE"""),"Guía corporativa a la sostenibilidad y al impacto empresarial positivo")</f>
        <v>Guía corporativa a la sostenibilidad y al impacto empresarial positivo</v>
      </c>
      <c r="O22" s="217"/>
      <c r="P22" s="213"/>
      <c r="Q22" s="215"/>
      <c r="R22" s="215"/>
      <c r="S22" s="217"/>
      <c r="T22" s="217"/>
      <c r="U22" s="213"/>
      <c r="V22" s="215"/>
      <c r="W22" s="215"/>
      <c r="X22" s="217"/>
      <c r="Y22" s="217"/>
      <c r="Z22" s="213"/>
      <c r="AA22" s="215">
        <f ca="1">IFERROR(__xludf.DUMMYFUNCTION("""COMPUTED_VALUE"""),2910529)</f>
        <v>2910529</v>
      </c>
      <c r="AB22" s="215" t="str">
        <f ca="1">IFERROR(__xludf.DUMMYFUNCTION("""COMPUTED_VALUE"""),"Intermediate")</f>
        <v>Intermediate</v>
      </c>
      <c r="AC22" s="217" t="str">
        <f ca="1">IFERROR(__xludf.DUMMYFUNCTION("""COMPUTED_VALUE"""),"Gestão Ágil no Trabalho: Retrospectivas Ágeis para a Melhoria de Processos")</f>
        <v>Gestão Ágil no Trabalho: Retrospectivas Ágeis para a Melhoria de Processos</v>
      </c>
      <c r="AD22" s="217"/>
      <c r="AE22" s="213"/>
      <c r="AF22" s="215">
        <f ca="1">IFERROR(__xludf.DUMMYFUNCTION("""COMPUTED_VALUE"""),773687)</f>
        <v>773687</v>
      </c>
      <c r="AG22" s="215" t="str">
        <f ca="1">IFERROR(__xludf.DUMMYFUNCTION("""COMPUTED_VALUE"""),"Beginner")</f>
        <v>Beginner</v>
      </c>
      <c r="AH22" s="217" t="str">
        <f ca="1">IFERROR(__xludf.DUMMYFUNCTION("""COMPUTED_VALUE"""),"流程改进基础知识")</f>
        <v>流程改进基础知识</v>
      </c>
      <c r="AI22" s="217"/>
      <c r="AJ22" s="213"/>
    </row>
    <row r="23" spans="1:36" ht="33.75" customHeight="1">
      <c r="A23" s="213"/>
      <c r="B23" s="214">
        <f ca="1">IFERROR(__xludf.DUMMYFUNCTION("""COMPUTED_VALUE"""),2244038)</f>
        <v>2244038</v>
      </c>
      <c r="C23" s="215" t="str">
        <f ca="1">IFERROR(__xludf.DUMMYFUNCTION("""COMPUTED_VALUE"""),"Advanced")</f>
        <v>Advanced</v>
      </c>
      <c r="D23" s="216" t="str">
        <f ca="1">IFERROR(__xludf.DUMMYFUNCTION("""COMPUTED_VALUE"""),"Microsoft Power Automate: Advanced Business Automation")</f>
        <v>Microsoft Power Automate: Advanced Business Automation</v>
      </c>
      <c r="E23" s="217"/>
      <c r="F23" s="213"/>
      <c r="G23" s="214"/>
      <c r="H23" s="215"/>
      <c r="I23" s="217"/>
      <c r="J23" s="217"/>
      <c r="K23" s="213"/>
      <c r="L23" s="215">
        <f ca="1">IFERROR(__xludf.DUMMYFUNCTION("""COMPUTED_VALUE"""),2427023)</f>
        <v>2427023</v>
      </c>
      <c r="M23" s="215" t="str">
        <f ca="1">IFERROR(__xludf.DUMMYFUNCTION("""COMPUTED_VALUE"""),"Intermediate")</f>
        <v>Intermediate</v>
      </c>
      <c r="N23" s="217" t="str">
        <f ca="1">IFERROR(__xludf.DUMMYFUNCTION("""COMPUTED_VALUE"""),"Lean Six Sigma: Herramientas de las fases Definición y Medición")</f>
        <v>Lean Six Sigma: Herramientas de las fases Definición y Medición</v>
      </c>
      <c r="O23" s="217"/>
      <c r="P23" s="213"/>
      <c r="Q23" s="215"/>
      <c r="R23" s="215"/>
      <c r="S23" s="217"/>
      <c r="T23" s="217"/>
      <c r="U23" s="213"/>
      <c r="V23" s="215"/>
      <c r="W23" s="215"/>
      <c r="X23" s="217"/>
      <c r="Y23" s="217"/>
      <c r="Z23" s="213"/>
      <c r="AA23" s="215">
        <f ca="1">IFERROR(__xludf.DUMMYFUNCTION("""COMPUTED_VALUE"""),2911569)</f>
        <v>2911569</v>
      </c>
      <c r="AB23" s="215" t="str">
        <f ca="1">IFERROR(__xludf.DUMMYFUNCTION("""COMPUTED_VALUE"""),"Intermediate")</f>
        <v>Intermediate</v>
      </c>
      <c r="AC23" s="217" t="str">
        <f ca="1">IFERROR(__xludf.DUMMYFUNCTION("""COMPUTED_VALUE"""),"O Futuro da Gestão de Desempenho")</f>
        <v>O Futuro da Gestão de Desempenho</v>
      </c>
      <c r="AD23" s="217"/>
      <c r="AE23" s="213"/>
      <c r="AF23" s="215">
        <f ca="1">IFERROR(__xludf.DUMMYFUNCTION("""COMPUTED_VALUE"""),2880004)</f>
        <v>2880004</v>
      </c>
      <c r="AG23" s="215" t="str">
        <f ca="1">IFERROR(__xludf.DUMMYFUNCTION("""COMPUTED_VALUE"""),"Beginner")</f>
        <v>Beginner</v>
      </c>
      <c r="AH23" s="217" t="str">
        <f ca="1">IFERROR(__xludf.DUMMYFUNCTION("""COMPUTED_VALUE"""),"生产力技巧：找到自己的高效思维")</f>
        <v>生产力技巧：找到自己的高效思维</v>
      </c>
      <c r="AI23" s="217"/>
      <c r="AJ23" s="213"/>
    </row>
    <row r="24" spans="1:36" ht="33.75" customHeight="1">
      <c r="A24" s="213"/>
      <c r="B24" s="214">
        <f ca="1">IFERROR(__xludf.DUMMYFUNCTION("""COMPUTED_VALUE"""),2831004)</f>
        <v>2831004</v>
      </c>
      <c r="C24" s="215" t="str">
        <f ca="1">IFERROR(__xludf.DUMMYFUNCTION("""COMPUTED_VALUE"""),"Advanced")</f>
        <v>Advanced</v>
      </c>
      <c r="D24" s="216" t="str">
        <f ca="1">IFERROR(__xludf.DUMMYFUNCTION("""COMPUTED_VALUE"""),"Mastering Organizational Chaos")</f>
        <v>Mastering Organizational Chaos</v>
      </c>
      <c r="E24" s="217"/>
      <c r="F24" s="213"/>
      <c r="G24" s="214"/>
      <c r="H24" s="215"/>
      <c r="I24" s="217"/>
      <c r="J24" s="217"/>
      <c r="K24" s="213"/>
      <c r="L24" s="215">
        <f ca="1">IFERROR(__xludf.DUMMYFUNCTION("""COMPUTED_VALUE"""),5025682)</f>
        <v>5025682</v>
      </c>
      <c r="M24" s="215" t="str">
        <f ca="1">IFERROR(__xludf.DUMMYFUNCTION("""COMPUTED_VALUE"""),"Advanced")</f>
        <v>Advanced</v>
      </c>
      <c r="N24" s="217" t="str">
        <f ca="1">IFERROR(__xludf.DUMMYFUNCTION("""COMPUTED_VALUE"""),"Scrum avanzado")</f>
        <v>Scrum avanzado</v>
      </c>
      <c r="O24" s="217"/>
      <c r="P24" s="213"/>
      <c r="Q24" s="215"/>
      <c r="R24" s="215"/>
      <c r="S24" s="217"/>
      <c r="T24" s="217"/>
      <c r="U24" s="213"/>
      <c r="V24" s="215"/>
      <c r="W24" s="215"/>
      <c r="X24" s="217"/>
      <c r="Y24" s="217"/>
      <c r="Z24" s="213"/>
      <c r="AA24" s="215">
        <f ca="1">IFERROR(__xludf.DUMMYFUNCTION("""COMPUTED_VALUE"""),801470)</f>
        <v>801470</v>
      </c>
      <c r="AB24" s="215" t="str">
        <f ca="1">IFERROR(__xludf.DUMMYFUNCTION("""COMPUTED_VALUE"""),"Intermediate")</f>
        <v>Intermediate</v>
      </c>
      <c r="AC24" s="217" t="str">
        <f ca="1">IFERROR(__xludf.DUMMYFUNCTION("""COMPUTED_VALUE"""),"Seis Sigma: Black Belt")</f>
        <v>Seis Sigma: Black Belt</v>
      </c>
      <c r="AD24" s="217"/>
      <c r="AE24" s="213"/>
      <c r="AF24" s="215">
        <f ca="1">IFERROR(__xludf.DUMMYFUNCTION("""COMPUTED_VALUE"""),2822420)</f>
        <v>2822420</v>
      </c>
      <c r="AG24" s="215" t="str">
        <f ca="1">IFERROR(__xludf.DUMMYFUNCTION("""COMPUTED_VALUE"""),"Intermediate")</f>
        <v>Intermediate</v>
      </c>
      <c r="AH24" s="217" t="str">
        <f ca="1">IFERROR(__xludf.DUMMYFUNCTION("""COMPUTED_VALUE"""),"用微软 Project 进行敏捷项目管理")</f>
        <v>用微软 Project 进行敏捷项目管理</v>
      </c>
      <c r="AI24" s="217"/>
      <c r="AJ24" s="213"/>
    </row>
    <row r="25" spans="1:36" ht="33.75" customHeight="1">
      <c r="A25" s="213"/>
      <c r="B25" s="214">
        <f ca="1">IFERROR(__xludf.DUMMYFUNCTION("""COMPUTED_VALUE"""),2801188)</f>
        <v>2801188</v>
      </c>
      <c r="C25" s="215" t="str">
        <f ca="1">IFERROR(__xludf.DUMMYFUNCTION("""COMPUTED_VALUE"""),"Beginner")</f>
        <v>Beginner</v>
      </c>
      <c r="D25" s="216" t="str">
        <f ca="1">IFERROR(__xludf.DUMMYFUNCTION("""COMPUTED_VALUE"""),"A3 Problem Solving for Continuous Improvement")</f>
        <v>A3 Problem Solving for Continuous Improvement</v>
      </c>
      <c r="E25" s="217"/>
      <c r="F25" s="213"/>
      <c r="G25" s="214"/>
      <c r="H25" s="215"/>
      <c r="I25" s="217"/>
      <c r="J25" s="217"/>
      <c r="K25" s="213"/>
      <c r="L25" s="215">
        <f ca="1">IFERROR(__xludf.DUMMYFUNCTION("""COMPUTED_VALUE"""),5025570)</f>
        <v>5025570</v>
      </c>
      <c r="M25" s="215" t="str">
        <f ca="1">IFERROR(__xludf.DUMMYFUNCTION("""COMPUTED_VALUE"""),"Beginner")</f>
        <v>Beginner</v>
      </c>
      <c r="N25" s="217" t="str">
        <f ca="1">IFERROR(__xludf.DUMMYFUNCTION("""COMPUTED_VALUE"""),"Scrum con un café")</f>
        <v>Scrum con un café</v>
      </c>
      <c r="O25" s="217"/>
      <c r="P25" s="213"/>
      <c r="Q25" s="215"/>
      <c r="R25" s="215"/>
      <c r="S25" s="217"/>
      <c r="T25" s="217"/>
      <c r="U25" s="213"/>
      <c r="V25" s="215"/>
      <c r="W25" s="215"/>
      <c r="X25" s="217"/>
      <c r="Y25" s="217"/>
      <c r="Z25" s="213"/>
      <c r="AA25" s="215">
        <f ca="1">IFERROR(__xludf.DUMMYFUNCTION("""COMPUTED_VALUE"""),753197)</f>
        <v>753197</v>
      </c>
      <c r="AB25" s="215" t="str">
        <f ca="1">IFERROR(__xludf.DUMMYFUNCTION("""COMPUTED_VALUE"""),"Intermediate")</f>
        <v>Intermediate</v>
      </c>
      <c r="AC25" s="217" t="str">
        <f ca="1">IFERROR(__xludf.DUMMYFUNCTION("""COMPUTED_VALUE"""),"Seis Sigma: Green Belt")</f>
        <v>Seis Sigma: Green Belt</v>
      </c>
      <c r="AD25" s="217"/>
      <c r="AE25" s="213"/>
      <c r="AF25" s="215">
        <f ca="1">IFERROR(__xludf.DUMMYFUNCTION("""COMPUTED_VALUE"""),5030785)</f>
        <v>5030785</v>
      </c>
      <c r="AG25" s="215" t="str">
        <f ca="1">IFERROR(__xludf.DUMMYFUNCTION("""COMPUTED_VALUE"""),"Beginner")</f>
        <v>Beginner</v>
      </c>
      <c r="AH25" s="217" t="str">
        <f ca="1">IFERROR(__xludf.DUMMYFUNCTION("""COMPUTED_VALUE"""),"精益六西格玛基础知识")</f>
        <v>精益六西格玛基础知识</v>
      </c>
      <c r="AI25" s="217"/>
      <c r="AJ25" s="213"/>
    </row>
    <row r="26" spans="1:36" ht="33.75" customHeight="1">
      <c r="A26" s="213"/>
      <c r="B26" s="214">
        <f ca="1">IFERROR(__xludf.DUMMYFUNCTION("""COMPUTED_VALUE"""),2811714)</f>
        <v>2811714</v>
      </c>
      <c r="C26" s="215" t="str">
        <f ca="1">IFERROR(__xludf.DUMMYFUNCTION("""COMPUTED_VALUE"""),"Beginner")</f>
        <v>Beginner</v>
      </c>
      <c r="D26" s="216" t="str">
        <f ca="1">IFERROR(__xludf.DUMMYFUNCTION("""COMPUTED_VALUE"""),"Cost Reduction: Cut Costs and Maximize Profits")</f>
        <v>Cost Reduction: Cut Costs and Maximize Profits</v>
      </c>
      <c r="E26" s="217"/>
      <c r="F26" s="213"/>
      <c r="G26" s="214"/>
      <c r="H26" s="215"/>
      <c r="I26" s="217"/>
      <c r="J26" s="217"/>
      <c r="K26" s="213"/>
      <c r="L26" s="215"/>
      <c r="M26" s="215"/>
      <c r="N26" s="217"/>
      <c r="O26" s="217"/>
      <c r="P26" s="213"/>
      <c r="Q26" s="215"/>
      <c r="R26" s="215"/>
      <c r="S26" s="217"/>
      <c r="T26" s="217"/>
      <c r="U26" s="213"/>
      <c r="V26" s="215"/>
      <c r="W26" s="215"/>
      <c r="X26" s="217"/>
      <c r="Y26" s="217"/>
      <c r="Z26" s="213"/>
      <c r="AA26" s="215"/>
      <c r="AB26" s="215"/>
      <c r="AC26" s="217"/>
      <c r="AD26" s="217"/>
      <c r="AE26" s="213"/>
      <c r="AF26" s="215">
        <f ca="1">IFERROR(__xludf.DUMMYFUNCTION("""COMPUTED_VALUE"""),2822700)</f>
        <v>2822700</v>
      </c>
      <c r="AG26" s="215" t="str">
        <f ca="1">IFERROR(__xludf.DUMMYFUNCTION("""COMPUTED_VALUE"""),"Beginner, Intermediate")</f>
        <v>Beginner, Intermediate</v>
      </c>
      <c r="AH26" s="217" t="str">
        <f ca="1">IFERROR(__xludf.DUMMYFUNCTION("""COMPUTED_VALUE"""),"绩效管理：进行绩效评估")</f>
        <v>绩效管理：进行绩效评估</v>
      </c>
      <c r="AI26" s="217"/>
      <c r="AJ26" s="213"/>
    </row>
    <row r="27" spans="1:36" ht="33.75" customHeight="1">
      <c r="A27" s="213"/>
      <c r="B27" s="214">
        <f ca="1">IFERROR(__xludf.DUMMYFUNCTION("""COMPUTED_VALUE"""),508618)</f>
        <v>508618</v>
      </c>
      <c r="C27" s="215" t="str">
        <f ca="1">IFERROR(__xludf.DUMMYFUNCTION("""COMPUTED_VALUE"""),"Beginner")</f>
        <v>Beginner</v>
      </c>
      <c r="D27" s="216" t="str">
        <f ca="1">IFERROR(__xludf.DUMMYFUNCTION("""COMPUTED_VALUE"""),"DevOps Foundations")</f>
        <v>DevOps Foundations</v>
      </c>
      <c r="E27" s="217"/>
      <c r="F27" s="213"/>
      <c r="G27" s="214"/>
      <c r="H27" s="215"/>
      <c r="I27" s="217"/>
      <c r="J27" s="217"/>
      <c r="K27" s="213"/>
      <c r="L27" s="215"/>
      <c r="M27" s="215"/>
      <c r="N27" s="217"/>
      <c r="O27" s="217"/>
      <c r="P27" s="213"/>
      <c r="Q27" s="215"/>
      <c r="R27" s="215"/>
      <c r="S27" s="217"/>
      <c r="T27" s="217"/>
      <c r="U27" s="213"/>
      <c r="V27" s="215"/>
      <c r="W27" s="215"/>
      <c r="X27" s="217"/>
      <c r="Y27" s="217"/>
      <c r="Z27" s="213"/>
      <c r="AA27" s="215"/>
      <c r="AB27" s="215"/>
      <c r="AC27" s="217"/>
      <c r="AD27" s="217"/>
      <c r="AE27" s="213"/>
      <c r="AF27" s="215">
        <f ca="1">IFERROR(__xludf.DUMMYFUNCTION("""COMPUTED_VALUE"""),2884009)</f>
        <v>2884009</v>
      </c>
      <c r="AG27" s="215" t="str">
        <f ca="1">IFERROR(__xludf.DUMMYFUNCTION("""COMPUTED_VALUE"""),"Beginner")</f>
        <v>Beginner</v>
      </c>
      <c r="AH27" s="217" t="str">
        <f ca="1">IFERROR(__xludf.DUMMYFUNCTION("""COMPUTED_VALUE"""),"职业技能：供应链和运营")</f>
        <v>职业技能：供应链和运营</v>
      </c>
      <c r="AI27" s="217"/>
      <c r="AJ27" s="213"/>
    </row>
    <row r="28" spans="1:36" ht="33.75" customHeight="1">
      <c r="A28" s="213"/>
      <c r="B28" s="214">
        <f ca="1">IFERROR(__xludf.DUMMYFUNCTION("""COMPUTED_VALUE"""),731733)</f>
        <v>731733</v>
      </c>
      <c r="C28" s="215" t="str">
        <f ca="1">IFERROR(__xludf.DUMMYFUNCTION("""COMPUTED_VALUE"""),"Beginner")</f>
        <v>Beginner</v>
      </c>
      <c r="D28" s="216" t="str">
        <f ca="1">IFERROR(__xludf.DUMMYFUNCTION("""COMPUTED_VALUE"""),"Inventory Management Foundations")</f>
        <v>Inventory Management Foundations</v>
      </c>
      <c r="E28" s="217"/>
      <c r="F28" s="213"/>
      <c r="G28" s="214"/>
      <c r="H28" s="215"/>
      <c r="I28" s="217"/>
      <c r="J28" s="217"/>
      <c r="K28" s="213"/>
      <c r="L28" s="215"/>
      <c r="M28" s="215"/>
      <c r="N28" s="217"/>
      <c r="O28" s="217"/>
      <c r="P28" s="213"/>
      <c r="Q28" s="215"/>
      <c r="R28" s="215"/>
      <c r="S28" s="217"/>
      <c r="T28" s="217"/>
      <c r="U28" s="213"/>
      <c r="V28" s="215"/>
      <c r="W28" s="215"/>
      <c r="X28" s="217"/>
      <c r="Y28" s="217"/>
      <c r="Z28" s="213"/>
      <c r="AA28" s="215"/>
      <c r="AB28" s="215"/>
      <c r="AC28" s="217"/>
      <c r="AD28" s="217"/>
      <c r="AE28" s="213"/>
      <c r="AF28" s="215">
        <f ca="1">IFERROR(__xludf.DUMMYFUNCTION("""COMPUTED_VALUE"""),2700211)</f>
        <v>2700211</v>
      </c>
      <c r="AG28" s="215" t="str">
        <f ca="1">IFERROR(__xludf.DUMMYFUNCTION("""COMPUTED_VALUE"""),"Advanced")</f>
        <v>Advanced</v>
      </c>
      <c r="AH28" s="217" t="str">
        <f ca="1">IFERROR(__xludf.DUMMYFUNCTION("""COMPUTED_VALUE"""),"设计成长策略")</f>
        <v>设计成长策略</v>
      </c>
      <c r="AI28" s="217"/>
      <c r="AJ28" s="213"/>
    </row>
    <row r="29" spans="1:36" ht="33.75" customHeight="1">
      <c r="A29" s="213"/>
      <c r="B29" s="214">
        <f ca="1">IFERROR(__xludf.DUMMYFUNCTION("""COMPUTED_VALUE"""),774896)</f>
        <v>774896</v>
      </c>
      <c r="C29" s="215" t="str">
        <f ca="1">IFERROR(__xludf.DUMMYFUNCTION("""COMPUTED_VALUE"""),"Beginner")</f>
        <v>Beginner</v>
      </c>
      <c r="D29" s="216" t="str">
        <f ca="1">IFERROR(__xludf.DUMMYFUNCTION("""COMPUTED_VALUE"""),"Job Skills: Supply Chain and Operations")</f>
        <v>Job Skills: Supply Chain and Operations</v>
      </c>
      <c r="E29" s="217"/>
      <c r="F29" s="213"/>
      <c r="G29" s="214"/>
      <c r="H29" s="215"/>
      <c r="I29" s="217"/>
      <c r="J29" s="217"/>
      <c r="K29" s="213"/>
      <c r="L29" s="215"/>
      <c r="M29" s="215"/>
      <c r="N29" s="217"/>
      <c r="O29" s="217"/>
      <c r="P29" s="213"/>
      <c r="Q29" s="215"/>
      <c r="R29" s="215"/>
      <c r="S29" s="217"/>
      <c r="T29" s="217"/>
      <c r="U29" s="213"/>
      <c r="V29" s="215"/>
      <c r="W29" s="215"/>
      <c r="X29" s="217"/>
      <c r="Y29" s="217"/>
      <c r="Z29" s="213"/>
      <c r="AA29" s="215"/>
      <c r="AB29" s="215"/>
      <c r="AC29" s="217"/>
      <c r="AD29" s="217"/>
      <c r="AE29" s="213"/>
      <c r="AF29" s="215">
        <f ca="1">IFERROR(__xludf.DUMMYFUNCTION("""COMPUTED_VALUE"""),2825309)</f>
        <v>2825309</v>
      </c>
      <c r="AG29" s="215" t="str">
        <f ca="1">IFERROR(__xludf.DUMMYFUNCTION("""COMPUTED_VALUE"""),"Intermediate")</f>
        <v>Intermediate</v>
      </c>
      <c r="AH29" s="217" t="str">
        <f ca="1">IFERROR(__xludf.DUMMYFUNCTION("""COMPUTED_VALUE"""),"评估团队绩效")</f>
        <v>评估团队绩效</v>
      </c>
      <c r="AI29" s="217"/>
      <c r="AJ29" s="213"/>
    </row>
    <row r="30" spans="1:36" ht="33.75" customHeight="1">
      <c r="A30" s="213"/>
      <c r="B30" s="214">
        <f ca="1">IFERROR(__xludf.DUMMYFUNCTION("""COMPUTED_VALUE"""),590824)</f>
        <v>590824</v>
      </c>
      <c r="C30" s="215" t="str">
        <f ca="1">IFERROR(__xludf.DUMMYFUNCTION("""COMPUTED_VALUE"""),"Beginner")</f>
        <v>Beginner</v>
      </c>
      <c r="D30" s="216" t="str">
        <f ca="1">IFERROR(__xludf.DUMMYFUNCTION("""COMPUTED_VALUE"""),"Lean Foundations")</f>
        <v>Lean Foundations</v>
      </c>
      <c r="E30" s="217"/>
      <c r="F30" s="213"/>
      <c r="G30" s="214"/>
      <c r="H30" s="215"/>
      <c r="I30" s="217"/>
      <c r="J30" s="217"/>
      <c r="K30" s="213"/>
      <c r="L30" s="215"/>
      <c r="M30" s="215"/>
      <c r="N30" s="217"/>
      <c r="O30" s="217"/>
      <c r="P30" s="213"/>
      <c r="Q30" s="215"/>
      <c r="R30" s="215"/>
      <c r="S30" s="217"/>
      <c r="T30" s="217"/>
      <c r="U30" s="213"/>
      <c r="V30" s="215"/>
      <c r="W30" s="215"/>
      <c r="X30" s="217"/>
      <c r="Y30" s="217"/>
      <c r="Z30" s="213"/>
      <c r="AA30" s="215"/>
      <c r="AB30" s="215"/>
      <c r="AC30" s="217"/>
      <c r="AD30" s="217"/>
      <c r="AE30" s="213"/>
      <c r="AF30" s="215">
        <f ca="1">IFERROR(__xludf.DUMMYFUNCTION("""COMPUTED_VALUE"""),2824433)</f>
        <v>2824433</v>
      </c>
      <c r="AG30" s="215" t="str">
        <f ca="1">IFERROR(__xludf.DUMMYFUNCTION("""COMPUTED_VALUE"""),"Beginner")</f>
        <v>Beginner</v>
      </c>
      <c r="AH30" s="217" t="str">
        <f ca="1">IFERROR(__xludf.DUMMYFUNCTION("""COMPUTED_VALUE"""),"运营管理基础知识")</f>
        <v>运营管理基础知识</v>
      </c>
      <c r="AI30" s="217"/>
      <c r="AJ30" s="213"/>
    </row>
    <row r="31" spans="1:36" ht="33.75" customHeight="1">
      <c r="A31" s="213"/>
      <c r="B31" s="214">
        <f ca="1">IFERROR(__xludf.DUMMYFUNCTION("""COMPUTED_VALUE"""),731734)</f>
        <v>731734</v>
      </c>
      <c r="C31" s="215" t="str">
        <f ca="1">IFERROR(__xludf.DUMMYFUNCTION("""COMPUTED_VALUE"""),"Beginner")</f>
        <v>Beginner</v>
      </c>
      <c r="D31" s="216" t="str">
        <f ca="1">IFERROR(__xludf.DUMMYFUNCTION("""COMPUTED_VALUE"""),"Lean Inventory Management")</f>
        <v>Lean Inventory Management</v>
      </c>
      <c r="E31" s="217"/>
      <c r="F31" s="213"/>
      <c r="G31" s="214"/>
      <c r="H31" s="215"/>
      <c r="I31" s="217"/>
      <c r="J31" s="217"/>
      <c r="K31" s="213"/>
      <c r="L31" s="215"/>
      <c r="M31" s="215"/>
      <c r="N31" s="217"/>
      <c r="O31" s="217"/>
      <c r="P31" s="213"/>
      <c r="Q31" s="215"/>
      <c r="R31" s="215"/>
      <c r="S31" s="217"/>
      <c r="T31" s="217"/>
      <c r="U31" s="213"/>
      <c r="V31" s="215"/>
      <c r="W31" s="215"/>
      <c r="X31" s="217"/>
      <c r="Y31" s="217"/>
      <c r="Z31" s="213"/>
      <c r="AA31" s="215"/>
      <c r="AB31" s="215"/>
      <c r="AC31" s="217"/>
      <c r="AD31" s="217"/>
      <c r="AE31" s="213"/>
      <c r="AF31" s="215"/>
      <c r="AG31" s="215"/>
      <c r="AH31" s="217"/>
      <c r="AI31" s="217"/>
      <c r="AJ31" s="213"/>
    </row>
    <row r="32" spans="1:36" ht="16">
      <c r="A32" s="213"/>
      <c r="B32" s="214">
        <f ca="1">IFERROR(__xludf.DUMMYFUNCTION("""COMPUTED_VALUE"""),386880)</f>
        <v>386880</v>
      </c>
      <c r="C32" s="215" t="str">
        <f ca="1">IFERROR(__xludf.DUMMYFUNCTION("""COMPUTED_VALUE"""),"Beginner")</f>
        <v>Beginner</v>
      </c>
      <c r="D32" s="216" t="str">
        <f ca="1">IFERROR(__xludf.DUMMYFUNCTION("""COMPUTED_VALUE"""),"Lean Six Sigma Foundations")</f>
        <v>Lean Six Sigma Foundations</v>
      </c>
      <c r="E32" s="217"/>
      <c r="F32" s="213"/>
      <c r="G32" s="214"/>
      <c r="H32" s="215"/>
      <c r="I32" s="217"/>
      <c r="J32" s="217"/>
      <c r="K32" s="213"/>
      <c r="L32" s="215"/>
      <c r="M32" s="215"/>
      <c r="N32" s="217"/>
      <c r="O32" s="217"/>
      <c r="P32" s="213"/>
      <c r="Q32" s="215"/>
      <c r="R32" s="215"/>
      <c r="S32" s="217"/>
      <c r="T32" s="217"/>
      <c r="U32" s="213"/>
      <c r="V32" s="215"/>
      <c r="W32" s="215"/>
      <c r="X32" s="217"/>
      <c r="Y32" s="217"/>
      <c r="Z32" s="213"/>
      <c r="AA32" s="215"/>
      <c r="AB32" s="215"/>
      <c r="AC32" s="217"/>
      <c r="AD32" s="217"/>
      <c r="AE32" s="213"/>
      <c r="AF32" s="215"/>
      <c r="AG32" s="215"/>
      <c r="AH32" s="217"/>
      <c r="AI32" s="217"/>
      <c r="AJ32" s="213"/>
    </row>
    <row r="33" spans="1:36" ht="33.75" customHeight="1">
      <c r="A33" s="213"/>
      <c r="B33" s="214">
        <f ca="1">IFERROR(__xludf.DUMMYFUNCTION("""COMPUTED_VALUE"""),196589)</f>
        <v>196589</v>
      </c>
      <c r="C33" s="215" t="str">
        <f ca="1">IFERROR(__xludf.DUMMYFUNCTION("""COMPUTED_VALUE"""),"Beginner")</f>
        <v>Beginner</v>
      </c>
      <c r="D33" s="216" t="str">
        <f ca="1">IFERROR(__xludf.DUMMYFUNCTION("""COMPUTED_VALUE"""),"Operations Management Foundations")</f>
        <v>Operations Management Foundations</v>
      </c>
      <c r="E33" s="217"/>
      <c r="F33" s="213"/>
      <c r="G33" s="214"/>
      <c r="H33" s="215"/>
      <c r="I33" s="217"/>
      <c r="J33" s="217"/>
      <c r="K33" s="213"/>
      <c r="L33" s="215"/>
      <c r="M33" s="215"/>
      <c r="N33" s="217"/>
      <c r="O33" s="217"/>
      <c r="P33" s="213"/>
      <c r="Q33" s="215"/>
      <c r="R33" s="215"/>
      <c r="S33" s="217"/>
      <c r="T33" s="217"/>
      <c r="U33" s="213"/>
      <c r="V33" s="215"/>
      <c r="W33" s="215"/>
      <c r="X33" s="217"/>
      <c r="Y33" s="217"/>
      <c r="Z33" s="213"/>
      <c r="AA33" s="215"/>
      <c r="AB33" s="215"/>
      <c r="AC33" s="217"/>
      <c r="AD33" s="217"/>
      <c r="AE33" s="213"/>
      <c r="AF33" s="215"/>
      <c r="AG33" s="215"/>
      <c r="AH33" s="217"/>
      <c r="AI33" s="217"/>
      <c r="AJ33" s="213"/>
    </row>
    <row r="34" spans="1:36" ht="33.75" customHeight="1">
      <c r="A34" s="213"/>
      <c r="B34" s="214">
        <f ca="1">IFERROR(__xludf.DUMMYFUNCTION("""COMPUTED_VALUE"""),365729)</f>
        <v>365729</v>
      </c>
      <c r="C34" s="215" t="str">
        <f ca="1">IFERROR(__xludf.DUMMYFUNCTION("""COMPUTED_VALUE"""),"Beginner")</f>
        <v>Beginner</v>
      </c>
      <c r="D34" s="216" t="str">
        <f ca="1">IFERROR(__xludf.DUMMYFUNCTION("""COMPUTED_VALUE"""),"Process Improvement Foundations")</f>
        <v>Process Improvement Foundations</v>
      </c>
      <c r="E34" s="217"/>
      <c r="F34" s="213"/>
      <c r="G34" s="214"/>
      <c r="H34" s="215"/>
      <c r="I34" s="217"/>
      <c r="J34" s="217"/>
      <c r="K34" s="213"/>
      <c r="L34" s="215"/>
      <c r="M34" s="215"/>
      <c r="N34" s="217"/>
      <c r="O34" s="217"/>
      <c r="P34" s="213"/>
      <c r="Q34" s="215"/>
      <c r="R34" s="215"/>
      <c r="S34" s="217"/>
      <c r="T34" s="217"/>
      <c r="U34" s="213"/>
      <c r="V34" s="215"/>
      <c r="W34" s="215"/>
      <c r="X34" s="217"/>
      <c r="Y34" s="217"/>
      <c r="Z34" s="213"/>
      <c r="AA34" s="215"/>
      <c r="AB34" s="215"/>
      <c r="AC34" s="217"/>
      <c r="AD34" s="217"/>
      <c r="AE34" s="213"/>
      <c r="AF34" s="215"/>
      <c r="AG34" s="215"/>
      <c r="AH34" s="217"/>
      <c r="AI34" s="217"/>
      <c r="AJ34" s="213"/>
    </row>
    <row r="35" spans="1:36" ht="33.75" customHeight="1">
      <c r="A35" s="213"/>
      <c r="B35" s="214">
        <f ca="1">IFERROR(__xludf.DUMMYFUNCTION("""COMPUTED_VALUE"""),181730)</f>
        <v>181730</v>
      </c>
      <c r="C35" s="215" t="str">
        <f ca="1">IFERROR(__xludf.DUMMYFUNCTION("""COMPUTED_VALUE"""),"Beginner")</f>
        <v>Beginner</v>
      </c>
      <c r="D35" s="216" t="str">
        <f ca="1">IFERROR(__xludf.DUMMYFUNCTION("""COMPUTED_VALUE"""),"Supply Chain Foundations")</f>
        <v>Supply Chain Foundations</v>
      </c>
      <c r="E35" s="217"/>
      <c r="F35" s="213"/>
      <c r="G35" s="214"/>
      <c r="H35" s="215"/>
      <c r="I35" s="217"/>
      <c r="J35" s="217"/>
      <c r="K35" s="213"/>
      <c r="L35" s="215"/>
      <c r="M35" s="215"/>
      <c r="N35" s="217"/>
      <c r="O35" s="217"/>
      <c r="P35" s="213"/>
      <c r="Q35" s="215"/>
      <c r="R35" s="215"/>
      <c r="S35" s="217"/>
      <c r="T35" s="217"/>
      <c r="U35" s="213"/>
      <c r="V35" s="215"/>
      <c r="W35" s="215"/>
      <c r="X35" s="217"/>
      <c r="Y35" s="217"/>
      <c r="Z35" s="213"/>
      <c r="AA35" s="215"/>
      <c r="AB35" s="215"/>
      <c r="AC35" s="217"/>
      <c r="AD35" s="217"/>
      <c r="AE35" s="213"/>
      <c r="AF35" s="215"/>
      <c r="AG35" s="215"/>
      <c r="AH35" s="217"/>
      <c r="AI35" s="217"/>
      <c r="AJ35" s="213"/>
    </row>
    <row r="36" spans="1:36" ht="33.75" customHeight="1">
      <c r="A36" s="213"/>
      <c r="B36" s="214">
        <f ca="1">IFERROR(__xludf.DUMMYFUNCTION("""COMPUTED_VALUE"""),2804664)</f>
        <v>2804664</v>
      </c>
      <c r="C36" s="215" t="str">
        <f ca="1">IFERROR(__xludf.DUMMYFUNCTION("""COMPUTED_VALUE"""),"Beginner")</f>
        <v>Beginner</v>
      </c>
      <c r="D36" s="216" t="str">
        <f ca="1">IFERROR(__xludf.DUMMYFUNCTION("""COMPUTED_VALUE"""),"Introducing AI to Your Organization")</f>
        <v>Introducing AI to Your Organization</v>
      </c>
      <c r="E36" s="217"/>
      <c r="F36" s="213"/>
      <c r="G36" s="214"/>
      <c r="H36" s="215"/>
      <c r="I36" s="217"/>
      <c r="J36" s="217"/>
      <c r="K36" s="213"/>
      <c r="L36" s="215"/>
      <c r="M36" s="215"/>
      <c r="N36" s="217"/>
      <c r="O36" s="217"/>
      <c r="P36" s="213"/>
      <c r="Q36" s="215"/>
      <c r="R36" s="215"/>
      <c r="S36" s="217"/>
      <c r="T36" s="217"/>
      <c r="U36" s="213"/>
      <c r="V36" s="215"/>
      <c r="W36" s="215"/>
      <c r="X36" s="217"/>
      <c r="Y36" s="217"/>
      <c r="Z36" s="213"/>
      <c r="AA36" s="215"/>
      <c r="AB36" s="215"/>
      <c r="AC36" s="217"/>
      <c r="AD36" s="217"/>
      <c r="AE36" s="213"/>
      <c r="AF36" s="215"/>
      <c r="AG36" s="215"/>
      <c r="AH36" s="217"/>
      <c r="AI36" s="217"/>
      <c r="AJ36" s="213"/>
    </row>
    <row r="37" spans="1:36" ht="33.75" customHeight="1">
      <c r="A37" s="213"/>
      <c r="B37" s="214">
        <f ca="1">IFERROR(__xludf.DUMMYFUNCTION("""COMPUTED_VALUE"""),2813303)</f>
        <v>2813303</v>
      </c>
      <c r="C37" s="215" t="str">
        <f ca="1">IFERROR(__xludf.DUMMYFUNCTION("""COMPUTED_VALUE"""),"Beginner")</f>
        <v>Beginner</v>
      </c>
      <c r="D37" s="216" t="str">
        <f ca="1">IFERROR(__xludf.DUMMYFUNCTION("""COMPUTED_VALUE"""),"Understanding Business")</f>
        <v>Understanding Business</v>
      </c>
      <c r="E37" s="217"/>
      <c r="F37" s="213"/>
      <c r="G37" s="214"/>
      <c r="H37" s="215"/>
      <c r="I37" s="217"/>
      <c r="J37" s="217"/>
      <c r="K37" s="213"/>
      <c r="L37" s="215"/>
      <c r="M37" s="215"/>
      <c r="N37" s="217"/>
      <c r="O37" s="217"/>
      <c r="P37" s="213"/>
      <c r="Q37" s="215"/>
      <c r="R37" s="215"/>
      <c r="S37" s="217"/>
      <c r="T37" s="217"/>
      <c r="U37" s="213"/>
      <c r="V37" s="215"/>
      <c r="W37" s="215"/>
      <c r="X37" s="217"/>
      <c r="Y37" s="217"/>
      <c r="Z37" s="213"/>
      <c r="AA37" s="215"/>
      <c r="AB37" s="215"/>
      <c r="AC37" s="217"/>
      <c r="AD37" s="217"/>
      <c r="AE37" s="213"/>
      <c r="AF37" s="215"/>
      <c r="AG37" s="215"/>
      <c r="AH37" s="217"/>
      <c r="AI37" s="217"/>
      <c r="AJ37" s="213"/>
    </row>
    <row r="38" spans="1:36" ht="33.75" customHeight="1">
      <c r="A38" s="213"/>
      <c r="B38" s="214">
        <f ca="1">IFERROR(__xludf.DUMMYFUNCTION("""COMPUTED_VALUE"""),2822352)</f>
        <v>2822352</v>
      </c>
      <c r="C38" s="215" t="str">
        <f ca="1">IFERROR(__xludf.DUMMYFUNCTION("""COMPUTED_VALUE"""),"Beginner")</f>
        <v>Beginner</v>
      </c>
      <c r="D38" s="216" t="str">
        <f ca="1">IFERROR(__xludf.DUMMYFUNCTION("""COMPUTED_VALUE"""),"Lean Deep Dive: Job Instruction")</f>
        <v>Lean Deep Dive: Job Instruction</v>
      </c>
      <c r="E38" s="217"/>
      <c r="F38" s="213"/>
      <c r="G38" s="214"/>
      <c r="H38" s="215"/>
      <c r="I38" s="217"/>
      <c r="J38" s="217"/>
      <c r="K38" s="213"/>
      <c r="L38" s="215"/>
      <c r="M38" s="215"/>
      <c r="N38" s="217"/>
      <c r="O38" s="217"/>
      <c r="P38" s="213"/>
      <c r="Q38" s="215"/>
      <c r="R38" s="215"/>
      <c r="S38" s="217"/>
      <c r="T38" s="217"/>
      <c r="U38" s="213"/>
      <c r="V38" s="215"/>
      <c r="W38" s="215"/>
      <c r="X38" s="217"/>
      <c r="Y38" s="217"/>
      <c r="Z38" s="213"/>
      <c r="AA38" s="215"/>
      <c r="AB38" s="215"/>
      <c r="AC38" s="217"/>
      <c r="AD38" s="217"/>
      <c r="AE38" s="213"/>
      <c r="AF38" s="215"/>
      <c r="AG38" s="215"/>
      <c r="AH38" s="217"/>
      <c r="AI38" s="217"/>
      <c r="AJ38" s="213"/>
    </row>
    <row r="39" spans="1:36" ht="33.75" customHeight="1">
      <c r="A39" s="213"/>
      <c r="B39" s="214">
        <f ca="1">IFERROR(__xludf.DUMMYFUNCTION("""COMPUTED_VALUE"""),2823298)</f>
        <v>2823298</v>
      </c>
      <c r="C39" s="215" t="str">
        <f ca="1">IFERROR(__xludf.DUMMYFUNCTION("""COMPUTED_VALUE"""),"Beginner")</f>
        <v>Beginner</v>
      </c>
      <c r="D39" s="216" t="str">
        <f ca="1">IFERROR(__xludf.DUMMYFUNCTION("""COMPUTED_VALUE"""),"Implementing Lean: A Case Study")</f>
        <v>Implementing Lean: A Case Study</v>
      </c>
      <c r="E39" s="217"/>
      <c r="F39" s="213"/>
      <c r="G39" s="214"/>
      <c r="H39" s="215"/>
      <c r="I39" s="217"/>
      <c r="J39" s="217"/>
      <c r="K39" s="213"/>
      <c r="L39" s="215"/>
      <c r="M39" s="215"/>
      <c r="N39" s="217"/>
      <c r="O39" s="217"/>
      <c r="P39" s="213"/>
      <c r="Q39" s="215"/>
      <c r="R39" s="215"/>
      <c r="S39" s="217"/>
      <c r="T39" s="217"/>
      <c r="U39" s="213"/>
      <c r="V39" s="215"/>
      <c r="W39" s="215"/>
      <c r="X39" s="217"/>
      <c r="Y39" s="217"/>
      <c r="Z39" s="213"/>
      <c r="AA39" s="215"/>
      <c r="AB39" s="215"/>
      <c r="AC39" s="217"/>
      <c r="AD39" s="217"/>
      <c r="AE39" s="213"/>
      <c r="AF39" s="215"/>
      <c r="AG39" s="215"/>
      <c r="AH39" s="217"/>
      <c r="AI39" s="217"/>
      <c r="AJ39" s="213"/>
    </row>
    <row r="40" spans="1:36" ht="33.75" customHeight="1">
      <c r="A40" s="213"/>
      <c r="B40" s="214">
        <f ca="1">IFERROR(__xludf.DUMMYFUNCTION("""COMPUTED_VALUE"""),2824205)</f>
        <v>2824205</v>
      </c>
      <c r="C40" s="215" t="str">
        <f ca="1">IFERROR(__xludf.DUMMYFUNCTION("""COMPUTED_VALUE"""),"Beginner")</f>
        <v>Beginner</v>
      </c>
      <c r="D40" s="216" t="str">
        <f ca="1">IFERROR(__xludf.DUMMYFUNCTION("""COMPUTED_VALUE"""),"From Resisting to Embracing Lean: A Case Study")</f>
        <v>From Resisting to Embracing Lean: A Case Study</v>
      </c>
      <c r="E40" s="217"/>
      <c r="F40" s="213"/>
      <c r="G40" s="214"/>
      <c r="H40" s="215"/>
      <c r="I40" s="217"/>
      <c r="J40" s="217"/>
      <c r="K40" s="213"/>
      <c r="L40" s="215"/>
      <c r="M40" s="215"/>
      <c r="N40" s="217"/>
      <c r="O40" s="217"/>
      <c r="P40" s="213"/>
      <c r="Q40" s="215"/>
      <c r="R40" s="215"/>
      <c r="S40" s="217"/>
      <c r="T40" s="217"/>
      <c r="U40" s="213"/>
      <c r="V40" s="215"/>
      <c r="W40" s="215"/>
      <c r="X40" s="217"/>
      <c r="Y40" s="217"/>
      <c r="Z40" s="213"/>
      <c r="AA40" s="215"/>
      <c r="AB40" s="215"/>
      <c r="AC40" s="217"/>
      <c r="AD40" s="217"/>
      <c r="AE40" s="213"/>
      <c r="AF40" s="215"/>
      <c r="AG40" s="215"/>
      <c r="AH40" s="217"/>
      <c r="AI40" s="217"/>
      <c r="AJ40" s="213"/>
    </row>
    <row r="41" spans="1:36" ht="33.75" customHeight="1">
      <c r="A41" s="213"/>
      <c r="B41" s="214">
        <f ca="1">IFERROR(__xludf.DUMMYFUNCTION("""COMPUTED_VALUE"""),2825379)</f>
        <v>2825379</v>
      </c>
      <c r="C41" s="215" t="str">
        <f ca="1">IFERROR(__xludf.DUMMYFUNCTION("""COMPUTED_VALUE"""),"Beginner")</f>
        <v>Beginner</v>
      </c>
      <c r="D41" s="216" t="str">
        <f ca="1">IFERROR(__xludf.DUMMYFUNCTION("""COMPUTED_VALUE"""),"5S Workplace Productivity")</f>
        <v>5S Workplace Productivity</v>
      </c>
      <c r="E41" s="217"/>
      <c r="F41" s="213"/>
      <c r="G41" s="214"/>
      <c r="H41" s="215"/>
      <c r="I41" s="217"/>
      <c r="J41" s="217"/>
      <c r="K41" s="213"/>
      <c r="L41" s="215"/>
      <c r="M41" s="215"/>
      <c r="N41" s="217"/>
      <c r="O41" s="217"/>
      <c r="P41" s="213"/>
      <c r="Q41" s="215"/>
      <c r="R41" s="215"/>
      <c r="S41" s="217"/>
      <c r="T41" s="217"/>
      <c r="U41" s="213"/>
      <c r="V41" s="215"/>
      <c r="W41" s="215"/>
      <c r="X41" s="217"/>
      <c r="Y41" s="217"/>
      <c r="Z41" s="213"/>
      <c r="AA41" s="215"/>
      <c r="AB41" s="215"/>
      <c r="AC41" s="217"/>
      <c r="AD41" s="217"/>
      <c r="AE41" s="213"/>
      <c r="AF41" s="215"/>
      <c r="AG41" s="215"/>
      <c r="AH41" s="217"/>
      <c r="AI41" s="217"/>
      <c r="AJ41" s="213"/>
    </row>
    <row r="42" spans="1:36" ht="33.75" customHeight="1">
      <c r="A42" s="213"/>
      <c r="B42" s="214">
        <f ca="1">IFERROR(__xludf.DUMMYFUNCTION("""COMPUTED_VALUE"""),2875323)</f>
        <v>2875323</v>
      </c>
      <c r="C42" s="215" t="str">
        <f ca="1">IFERROR(__xludf.DUMMYFUNCTION("""COMPUTED_VALUE"""),"Beginner")</f>
        <v>Beginner</v>
      </c>
      <c r="D42" s="216" t="str">
        <f ca="1">IFERROR(__xludf.DUMMYFUNCTION("""COMPUTED_VALUE"""),"Outsourcing Fundamentals")</f>
        <v>Outsourcing Fundamentals</v>
      </c>
      <c r="E42" s="217"/>
      <c r="F42" s="213"/>
      <c r="G42" s="214"/>
      <c r="H42" s="215"/>
      <c r="I42" s="217"/>
      <c r="J42" s="217"/>
      <c r="K42" s="213"/>
      <c r="L42" s="215"/>
      <c r="M42" s="215"/>
      <c r="N42" s="217"/>
      <c r="O42" s="217"/>
      <c r="P42" s="213"/>
      <c r="Q42" s="215"/>
      <c r="R42" s="215"/>
      <c r="S42" s="217"/>
      <c r="T42" s="217"/>
      <c r="U42" s="213"/>
      <c r="V42" s="215"/>
      <c r="W42" s="215"/>
      <c r="X42" s="217"/>
      <c r="Y42" s="217"/>
      <c r="Z42" s="213"/>
      <c r="AA42" s="215"/>
      <c r="AB42" s="215"/>
      <c r="AC42" s="217"/>
      <c r="AD42" s="217"/>
      <c r="AE42" s="213"/>
      <c r="AF42" s="215"/>
      <c r="AG42" s="215"/>
      <c r="AH42" s="217"/>
      <c r="AI42" s="217"/>
      <c r="AJ42" s="213"/>
    </row>
    <row r="43" spans="1:36" ht="33.75" customHeight="1">
      <c r="A43" s="213"/>
      <c r="B43" s="214">
        <f ca="1">IFERROR(__xludf.DUMMYFUNCTION("""COMPUTED_VALUE"""),2874277)</f>
        <v>2874277</v>
      </c>
      <c r="C43" s="215" t="str">
        <f ca="1">IFERROR(__xludf.DUMMYFUNCTION("""COMPUTED_VALUE"""),"Beginner")</f>
        <v>Beginner</v>
      </c>
      <c r="D43" s="216" t="str">
        <f ca="1">IFERROR(__xludf.DUMMYFUNCTION("""COMPUTED_VALUE"""),"Outsourcing: Managing Service Transition")</f>
        <v>Outsourcing: Managing Service Transition</v>
      </c>
      <c r="E43" s="217"/>
      <c r="F43" s="213"/>
      <c r="G43" s="214"/>
      <c r="H43" s="215"/>
      <c r="I43" s="217"/>
      <c r="J43" s="217"/>
      <c r="K43" s="213"/>
      <c r="L43" s="215"/>
      <c r="M43" s="215"/>
      <c r="N43" s="217"/>
      <c r="O43" s="217"/>
      <c r="P43" s="213"/>
      <c r="Q43" s="215"/>
      <c r="R43" s="215"/>
      <c r="S43" s="217"/>
      <c r="T43" s="217"/>
      <c r="U43" s="213"/>
      <c r="V43" s="215"/>
      <c r="W43" s="215"/>
      <c r="X43" s="217"/>
      <c r="Y43" s="217"/>
      <c r="Z43" s="213"/>
      <c r="AA43" s="215"/>
      <c r="AB43" s="215"/>
      <c r="AC43" s="217"/>
      <c r="AD43" s="217"/>
      <c r="AE43" s="213"/>
      <c r="AF43" s="215"/>
      <c r="AG43" s="215"/>
      <c r="AH43" s="217"/>
      <c r="AI43" s="217"/>
      <c r="AJ43" s="213"/>
    </row>
    <row r="44" spans="1:36" ht="33.75" customHeight="1">
      <c r="A44" s="213"/>
      <c r="B44" s="214">
        <f ca="1">IFERROR(__xludf.DUMMYFUNCTION("""COMPUTED_VALUE"""),2885054)</f>
        <v>2885054</v>
      </c>
      <c r="C44" s="215" t="str">
        <f ca="1">IFERROR(__xludf.DUMMYFUNCTION("""COMPUTED_VALUE"""),"Beginner")</f>
        <v>Beginner</v>
      </c>
      <c r="D44" s="216" t="str">
        <f ca="1">IFERROR(__xludf.DUMMYFUNCTION("""COMPUTED_VALUE"""),"The Most Important Content KPIs for Creators")</f>
        <v>The Most Important Content KPIs for Creators</v>
      </c>
      <c r="E44" s="217"/>
      <c r="F44" s="213"/>
      <c r="G44" s="214"/>
      <c r="H44" s="215"/>
      <c r="I44" s="217"/>
      <c r="J44" s="217"/>
      <c r="K44" s="213"/>
      <c r="L44" s="215"/>
      <c r="M44" s="215"/>
      <c r="N44" s="217"/>
      <c r="O44" s="217"/>
      <c r="P44" s="213"/>
      <c r="Q44" s="215"/>
      <c r="R44" s="215"/>
      <c r="S44" s="217"/>
      <c r="T44" s="217"/>
      <c r="U44" s="213"/>
      <c r="V44" s="215"/>
      <c r="W44" s="215"/>
      <c r="X44" s="217"/>
      <c r="Y44" s="217"/>
      <c r="Z44" s="213"/>
      <c r="AA44" s="215"/>
      <c r="AB44" s="215"/>
      <c r="AC44" s="217"/>
      <c r="AD44" s="217"/>
      <c r="AE44" s="213"/>
      <c r="AF44" s="215"/>
      <c r="AG44" s="215"/>
      <c r="AH44" s="217"/>
      <c r="AI44" s="217"/>
      <c r="AJ44" s="213"/>
    </row>
    <row r="45" spans="1:36" ht="33.75" customHeight="1">
      <c r="A45" s="213"/>
      <c r="B45" s="214">
        <f ca="1">IFERROR(__xludf.DUMMYFUNCTION("""COMPUTED_VALUE"""),2813257)</f>
        <v>2813257</v>
      </c>
      <c r="C45" s="215" t="str">
        <f ca="1">IFERROR(__xludf.DUMMYFUNCTION("""COMPUTED_VALUE"""),"Beginner + Intermediate")</f>
        <v>Beginner + Intermediate</v>
      </c>
      <c r="D45" s="216" t="str">
        <f ca="1">IFERROR(__xludf.DUMMYFUNCTION("""COMPUTED_VALUE"""),"Revenue, Staffing, and Expense Models Explained")</f>
        <v>Revenue, Staffing, and Expense Models Explained</v>
      </c>
      <c r="E45" s="217"/>
      <c r="F45" s="213"/>
      <c r="G45" s="214"/>
      <c r="H45" s="215"/>
      <c r="I45" s="217"/>
      <c r="J45" s="217"/>
      <c r="K45" s="213"/>
      <c r="L45" s="215"/>
      <c r="M45" s="215"/>
      <c r="N45" s="217"/>
      <c r="O45" s="217"/>
      <c r="P45" s="213"/>
      <c r="Q45" s="215"/>
      <c r="R45" s="215"/>
      <c r="S45" s="217"/>
      <c r="T45" s="217"/>
      <c r="U45" s="213"/>
      <c r="V45" s="215"/>
      <c r="W45" s="215"/>
      <c r="X45" s="217"/>
      <c r="Y45" s="217"/>
      <c r="Z45" s="213"/>
      <c r="AA45" s="215"/>
      <c r="AB45" s="215"/>
      <c r="AC45" s="217"/>
      <c r="AD45" s="217"/>
      <c r="AE45" s="213"/>
      <c r="AF45" s="215"/>
      <c r="AG45" s="215"/>
      <c r="AH45" s="217"/>
      <c r="AI45" s="217"/>
      <c r="AJ45" s="213"/>
    </row>
    <row r="46" spans="1:36" ht="33.75" customHeight="1">
      <c r="A46" s="213"/>
      <c r="B46" s="214">
        <f ca="1">IFERROR(__xludf.DUMMYFUNCTION("""COMPUTED_VALUE"""),2813258)</f>
        <v>2813258</v>
      </c>
      <c r="C46" s="215" t="str">
        <f ca="1">IFERROR(__xludf.DUMMYFUNCTION("""COMPUTED_VALUE"""),"Beginner + Intermediate")</f>
        <v>Beginner + Intermediate</v>
      </c>
      <c r="D46" s="216" t="str">
        <f ca="1">IFERROR(__xludf.DUMMYFUNCTION("""COMPUTED_VALUE"""),"Pricing Strategy Explained")</f>
        <v>Pricing Strategy Explained</v>
      </c>
      <c r="E46" s="217"/>
      <c r="F46" s="213"/>
      <c r="G46" s="214"/>
      <c r="H46" s="215"/>
      <c r="I46" s="217"/>
      <c r="J46" s="217"/>
      <c r="K46" s="213"/>
      <c r="L46" s="215"/>
      <c r="M46" s="215"/>
      <c r="N46" s="217"/>
      <c r="O46" s="217"/>
      <c r="P46" s="213"/>
      <c r="Q46" s="215"/>
      <c r="R46" s="215"/>
      <c r="S46" s="217"/>
      <c r="T46" s="217"/>
      <c r="U46" s="213"/>
      <c r="V46" s="215"/>
      <c r="W46" s="215"/>
      <c r="X46" s="217"/>
      <c r="Y46" s="217"/>
      <c r="Z46" s="213"/>
      <c r="AA46" s="215"/>
      <c r="AB46" s="215"/>
      <c r="AC46" s="217"/>
      <c r="AD46" s="217"/>
      <c r="AE46" s="213"/>
      <c r="AF46" s="215"/>
      <c r="AG46" s="215"/>
      <c r="AH46" s="217"/>
      <c r="AI46" s="217"/>
      <c r="AJ46" s="213"/>
    </row>
    <row r="47" spans="1:36" ht="33.75" customHeight="1">
      <c r="A47" s="213"/>
      <c r="B47" s="214">
        <f ca="1">IFERROR(__xludf.DUMMYFUNCTION("""COMPUTED_VALUE"""),2823199)</f>
        <v>2823199</v>
      </c>
      <c r="C47" s="215" t="str">
        <f ca="1">IFERROR(__xludf.DUMMYFUNCTION("""COMPUTED_VALUE"""),"Beginner + Intermediate")</f>
        <v>Beginner + Intermediate</v>
      </c>
      <c r="D47" s="216" t="str">
        <f ca="1">IFERROR(__xludf.DUMMYFUNCTION("""COMPUTED_VALUE"""),"Data Ethics: Managing Your Private Customer Data")</f>
        <v>Data Ethics: Managing Your Private Customer Data</v>
      </c>
      <c r="E47" s="217"/>
      <c r="F47" s="213"/>
      <c r="G47" s="214"/>
      <c r="H47" s="215"/>
      <c r="I47" s="217"/>
      <c r="J47" s="217"/>
      <c r="K47" s="213"/>
      <c r="L47" s="215"/>
      <c r="M47" s="215"/>
      <c r="N47" s="217"/>
      <c r="O47" s="217"/>
      <c r="P47" s="213"/>
      <c r="Q47" s="215"/>
      <c r="R47" s="215"/>
      <c r="S47" s="217"/>
      <c r="T47" s="217"/>
      <c r="U47" s="213"/>
      <c r="V47" s="215"/>
      <c r="W47" s="215"/>
      <c r="X47" s="217"/>
      <c r="Y47" s="217"/>
      <c r="Z47" s="213"/>
      <c r="AA47" s="215"/>
      <c r="AB47" s="215"/>
      <c r="AC47" s="217"/>
      <c r="AD47" s="217"/>
      <c r="AE47" s="213"/>
      <c r="AF47" s="215"/>
      <c r="AG47" s="215"/>
      <c r="AH47" s="217"/>
      <c r="AI47" s="217"/>
      <c r="AJ47" s="213"/>
    </row>
    <row r="48" spans="1:36" ht="33.75" customHeight="1">
      <c r="A48" s="213"/>
      <c r="B48" s="214">
        <f ca="1">IFERROR(__xludf.DUMMYFUNCTION("""COMPUTED_VALUE"""),5005054)</f>
        <v>5005054</v>
      </c>
      <c r="C48" s="215" t="str">
        <f ca="1">IFERROR(__xludf.DUMMYFUNCTION("""COMPUTED_VALUE"""),"Beginner + Intermediate")</f>
        <v>Beginner + Intermediate</v>
      </c>
      <c r="D48" s="216" t="str">
        <f ca="1">IFERROR(__xludf.DUMMYFUNCTION("""COMPUTED_VALUE"""),"Quality Management Foundations")</f>
        <v>Quality Management Foundations</v>
      </c>
      <c r="E48" s="217"/>
      <c r="F48" s="213"/>
      <c r="G48" s="214"/>
      <c r="H48" s="215"/>
      <c r="I48" s="217"/>
      <c r="J48" s="217"/>
      <c r="K48" s="213"/>
      <c r="L48" s="215"/>
      <c r="M48" s="215"/>
      <c r="N48" s="217"/>
      <c r="O48" s="217"/>
      <c r="P48" s="213"/>
      <c r="Q48" s="215"/>
      <c r="R48" s="215"/>
      <c r="S48" s="217"/>
      <c r="T48" s="217"/>
      <c r="U48" s="213"/>
      <c r="V48" s="215"/>
      <c r="W48" s="215"/>
      <c r="X48" s="217"/>
      <c r="Y48" s="217"/>
      <c r="Z48" s="213"/>
      <c r="AA48" s="215"/>
      <c r="AB48" s="215"/>
      <c r="AC48" s="217"/>
      <c r="AD48" s="217"/>
      <c r="AE48" s="213"/>
      <c r="AF48" s="215"/>
      <c r="AG48" s="215"/>
      <c r="AH48" s="217"/>
      <c r="AI48" s="217"/>
      <c r="AJ48" s="213"/>
    </row>
    <row r="49" spans="1:36" ht="33.75" customHeight="1">
      <c r="A49" s="213"/>
      <c r="B49" s="214">
        <f ca="1">IFERROR(__xludf.DUMMYFUNCTION("""COMPUTED_VALUE"""),672235)</f>
        <v>672235</v>
      </c>
      <c r="C49" s="215" t="str">
        <f ca="1">IFERROR(__xludf.DUMMYFUNCTION("""COMPUTED_VALUE"""),"Beginner + Intermediate")</f>
        <v>Beginner + Intermediate</v>
      </c>
      <c r="D49" s="216" t="str">
        <f ca="1">IFERROR(__xludf.DUMMYFUNCTION("""COMPUTED_VALUE"""),"Supply Chain and Operations Management Tips")</f>
        <v>Supply Chain and Operations Management Tips</v>
      </c>
      <c r="E49" s="217"/>
      <c r="F49" s="213"/>
      <c r="G49" s="214"/>
      <c r="H49" s="215"/>
      <c r="I49" s="217"/>
      <c r="J49" s="217"/>
      <c r="K49" s="213"/>
      <c r="L49" s="215"/>
      <c r="M49" s="215"/>
      <c r="N49" s="217"/>
      <c r="O49" s="217"/>
      <c r="P49" s="213"/>
      <c r="Q49" s="215"/>
      <c r="R49" s="215"/>
      <c r="S49" s="217"/>
      <c r="T49" s="217"/>
      <c r="U49" s="213"/>
      <c r="V49" s="215"/>
      <c r="W49" s="215"/>
      <c r="X49" s="217"/>
      <c r="Y49" s="217"/>
      <c r="Z49" s="213"/>
      <c r="AA49" s="215"/>
      <c r="AB49" s="215"/>
      <c r="AC49" s="217"/>
      <c r="AD49" s="217"/>
      <c r="AE49" s="213"/>
      <c r="AF49" s="215"/>
      <c r="AG49" s="215"/>
      <c r="AH49" s="217"/>
      <c r="AI49" s="217"/>
      <c r="AJ49" s="213"/>
    </row>
    <row r="50" spans="1:36" ht="33.75" customHeight="1">
      <c r="A50" s="213"/>
      <c r="B50" s="214">
        <f ca="1">IFERROR(__xludf.DUMMYFUNCTION("""COMPUTED_VALUE"""),2833091)</f>
        <v>2833091</v>
      </c>
      <c r="C50" s="215" t="str">
        <f ca="1">IFERROR(__xludf.DUMMYFUNCTION("""COMPUTED_VALUE"""),"Beginner + Intermediate")</f>
        <v>Beginner + Intermediate</v>
      </c>
      <c r="D50" s="216" t="str">
        <f ca="1">IFERROR(__xludf.DUMMYFUNCTION("""COMPUTED_VALUE"""),"How Blockchains Will Change Business")</f>
        <v>How Blockchains Will Change Business</v>
      </c>
      <c r="E50" s="217"/>
      <c r="F50" s="213"/>
      <c r="G50" s="214"/>
      <c r="H50" s="215"/>
      <c r="I50" s="217"/>
      <c r="J50" s="217"/>
      <c r="K50" s="213"/>
      <c r="L50" s="215"/>
      <c r="M50" s="215"/>
      <c r="N50" s="217"/>
      <c r="O50" s="217"/>
      <c r="P50" s="213"/>
      <c r="Q50" s="215"/>
      <c r="R50" s="215"/>
      <c r="S50" s="217"/>
      <c r="T50" s="217"/>
      <c r="U50" s="213"/>
      <c r="V50" s="215"/>
      <c r="W50" s="215"/>
      <c r="X50" s="217"/>
      <c r="Y50" s="217"/>
      <c r="Z50" s="213"/>
      <c r="AA50" s="215"/>
      <c r="AB50" s="215"/>
      <c r="AC50" s="217"/>
      <c r="AD50" s="217"/>
      <c r="AE50" s="213"/>
      <c r="AF50" s="215"/>
      <c r="AG50" s="215"/>
      <c r="AH50" s="217"/>
      <c r="AI50" s="217"/>
      <c r="AJ50" s="213"/>
    </row>
    <row r="51" spans="1:36" ht="33.75" customHeight="1">
      <c r="A51" s="213"/>
      <c r="B51" s="214">
        <f ca="1">IFERROR(__xludf.DUMMYFUNCTION("""COMPUTED_VALUE"""),2840016)</f>
        <v>2840016</v>
      </c>
      <c r="C51" s="215" t="str">
        <f ca="1">IFERROR(__xludf.DUMMYFUNCTION("""COMPUTED_VALUE"""),"Beginner + Intermediate")</f>
        <v>Beginner + Intermediate</v>
      </c>
      <c r="D51" s="216" t="str">
        <f ca="1">IFERROR(__xludf.DUMMYFUNCTION("""COMPUTED_VALUE"""),"Design Thinking: Implementing the Process")</f>
        <v>Design Thinking: Implementing the Process</v>
      </c>
      <c r="E51" s="217"/>
      <c r="F51" s="213"/>
      <c r="G51" s="214"/>
      <c r="H51" s="215"/>
      <c r="I51" s="217"/>
      <c r="J51" s="217"/>
      <c r="K51" s="213"/>
      <c r="L51" s="215"/>
      <c r="M51" s="215"/>
      <c r="N51" s="217"/>
      <c r="O51" s="217"/>
      <c r="P51" s="213"/>
      <c r="Q51" s="215"/>
      <c r="R51" s="215"/>
      <c r="S51" s="217"/>
      <c r="T51" s="217"/>
      <c r="U51" s="213"/>
      <c r="V51" s="215"/>
      <c r="W51" s="215"/>
      <c r="X51" s="217"/>
      <c r="Y51" s="217"/>
      <c r="Z51" s="213"/>
      <c r="AA51" s="215"/>
      <c r="AB51" s="215"/>
      <c r="AC51" s="217"/>
      <c r="AD51" s="217"/>
      <c r="AE51" s="213"/>
      <c r="AF51" s="215"/>
      <c r="AG51" s="215"/>
      <c r="AH51" s="217"/>
      <c r="AI51" s="217"/>
      <c r="AJ51" s="213"/>
    </row>
    <row r="52" spans="1:36" ht="33.75" customHeight="1">
      <c r="A52" s="213"/>
      <c r="B52" s="214">
        <f ca="1">IFERROR(__xludf.DUMMYFUNCTION("""COMPUTED_VALUE"""),2833092)</f>
        <v>2833092</v>
      </c>
      <c r="C52" s="215" t="str">
        <f ca="1">IFERROR(__xludf.DUMMYFUNCTION("""COMPUTED_VALUE"""),"Beginner + Intermediate")</f>
        <v>Beginner + Intermediate</v>
      </c>
      <c r="D52" s="216" t="str">
        <f ca="1">IFERROR(__xludf.DUMMYFUNCTION("""COMPUTED_VALUE"""),"Understanding Logistics")</f>
        <v>Understanding Logistics</v>
      </c>
      <c r="E52" s="217"/>
      <c r="F52" s="213"/>
      <c r="G52" s="214"/>
      <c r="H52" s="215"/>
      <c r="I52" s="217"/>
      <c r="J52" s="217"/>
      <c r="K52" s="213"/>
      <c r="L52" s="215"/>
      <c r="M52" s="215"/>
      <c r="N52" s="217"/>
      <c r="O52" s="217"/>
      <c r="P52" s="213"/>
      <c r="Q52" s="215"/>
      <c r="R52" s="215"/>
      <c r="S52" s="217"/>
      <c r="T52" s="217"/>
      <c r="U52" s="213"/>
      <c r="V52" s="215"/>
      <c r="W52" s="215"/>
      <c r="X52" s="217"/>
      <c r="Y52" s="217"/>
      <c r="Z52" s="213"/>
      <c r="AA52" s="215"/>
      <c r="AB52" s="215"/>
      <c r="AC52" s="217"/>
      <c r="AD52" s="217"/>
      <c r="AE52" s="213"/>
      <c r="AF52" s="215"/>
      <c r="AG52" s="215"/>
      <c r="AH52" s="217"/>
      <c r="AI52" s="217"/>
      <c r="AJ52" s="213"/>
    </row>
    <row r="53" spans="1:36" ht="33.75" customHeight="1">
      <c r="A53" s="213"/>
      <c r="B53" s="214">
        <f ca="1">IFERROR(__xludf.DUMMYFUNCTION("""COMPUTED_VALUE"""),2822695)</f>
        <v>2822695</v>
      </c>
      <c r="C53" s="215" t="str">
        <f ca="1">IFERROR(__xludf.DUMMYFUNCTION("""COMPUTED_VALUE"""),"Intermediate")</f>
        <v>Intermediate</v>
      </c>
      <c r="D53" s="216" t="str">
        <f ca="1">IFERROR(__xludf.DUMMYFUNCTION("""COMPUTED_VALUE"""),"Implementing a Vulnerability Management Lifecycle")</f>
        <v>Implementing a Vulnerability Management Lifecycle</v>
      </c>
      <c r="E53" s="217"/>
      <c r="F53" s="213"/>
      <c r="G53" s="214"/>
      <c r="H53" s="215"/>
      <c r="I53" s="217"/>
      <c r="J53" s="217"/>
      <c r="K53" s="213"/>
      <c r="L53" s="215"/>
      <c r="M53" s="215"/>
      <c r="N53" s="217"/>
      <c r="O53" s="217"/>
      <c r="P53" s="213"/>
      <c r="Q53" s="215"/>
      <c r="R53" s="215"/>
      <c r="S53" s="217"/>
      <c r="T53" s="217"/>
      <c r="U53" s="213"/>
      <c r="V53" s="215"/>
      <c r="W53" s="215"/>
      <c r="X53" s="217"/>
      <c r="Y53" s="217"/>
      <c r="Z53" s="213"/>
      <c r="AA53" s="215"/>
      <c r="AB53" s="215"/>
      <c r="AC53" s="217"/>
      <c r="AD53" s="217"/>
      <c r="AE53" s="213"/>
      <c r="AF53" s="215"/>
      <c r="AG53" s="215"/>
      <c r="AH53" s="217"/>
      <c r="AI53" s="217"/>
      <c r="AJ53" s="213"/>
    </row>
    <row r="54" spans="1:36" ht="33.75" customHeight="1">
      <c r="A54" s="213"/>
      <c r="B54" s="214">
        <f ca="1">IFERROR(__xludf.DUMMYFUNCTION("""COMPUTED_VALUE"""),786354)</f>
        <v>786354</v>
      </c>
      <c r="C54" s="215" t="str">
        <f ca="1">IFERROR(__xludf.DUMMYFUNCTION("""COMPUTED_VALUE"""),"Intermediate")</f>
        <v>Intermediate</v>
      </c>
      <c r="D54" s="216" t="str">
        <f ca="1">IFERROR(__xludf.DUMMYFUNCTION("""COMPUTED_VALUE"""),"Business Process Improvement")</f>
        <v>Business Process Improvement</v>
      </c>
      <c r="E54" s="217"/>
      <c r="F54" s="213"/>
      <c r="G54" s="214"/>
      <c r="H54" s="215"/>
      <c r="I54" s="217"/>
      <c r="J54" s="217"/>
      <c r="K54" s="213"/>
      <c r="L54" s="215"/>
      <c r="M54" s="215"/>
      <c r="N54" s="217"/>
      <c r="O54" s="217"/>
      <c r="P54" s="213"/>
      <c r="Q54" s="215"/>
      <c r="R54" s="215"/>
      <c r="S54" s="217"/>
      <c r="T54" s="217"/>
      <c r="U54" s="213"/>
      <c r="V54" s="215"/>
      <c r="W54" s="215"/>
      <c r="X54" s="217"/>
      <c r="Y54" s="217"/>
      <c r="Z54" s="213"/>
      <c r="AA54" s="215"/>
      <c r="AB54" s="215"/>
      <c r="AC54" s="217"/>
      <c r="AD54" s="217"/>
      <c r="AE54" s="213"/>
      <c r="AF54" s="215"/>
      <c r="AG54" s="215"/>
      <c r="AH54" s="217"/>
      <c r="AI54" s="217"/>
      <c r="AJ54" s="213"/>
    </row>
    <row r="55" spans="1:36" ht="33.75" customHeight="1">
      <c r="A55" s="213"/>
      <c r="B55" s="214">
        <f ca="1">IFERROR(__xludf.DUMMYFUNCTION("""COMPUTED_VALUE"""),2841547)</f>
        <v>2841547</v>
      </c>
      <c r="C55" s="215" t="str">
        <f ca="1">IFERROR(__xludf.DUMMYFUNCTION("""COMPUTED_VALUE"""),"Intermediate")</f>
        <v>Intermediate</v>
      </c>
      <c r="D55" s="216" t="str">
        <f ca="1">IFERROR(__xludf.DUMMYFUNCTION("""COMPUTED_VALUE"""),"UX Deep Dive: Remote Research")</f>
        <v>UX Deep Dive: Remote Research</v>
      </c>
      <c r="E55" s="217"/>
      <c r="F55" s="213"/>
      <c r="G55" s="214"/>
      <c r="H55" s="215"/>
      <c r="I55" s="217"/>
      <c r="J55" s="217"/>
      <c r="K55" s="213"/>
      <c r="L55" s="215"/>
      <c r="M55" s="215"/>
      <c r="N55" s="217"/>
      <c r="O55" s="217"/>
      <c r="P55" s="213"/>
      <c r="Q55" s="215"/>
      <c r="R55" s="215"/>
      <c r="S55" s="217"/>
      <c r="T55" s="217"/>
      <c r="U55" s="213"/>
      <c r="V55" s="215"/>
      <c r="W55" s="215"/>
      <c r="X55" s="217"/>
      <c r="Y55" s="217"/>
      <c r="Z55" s="213"/>
      <c r="AA55" s="215"/>
      <c r="AB55" s="215"/>
      <c r="AC55" s="217"/>
      <c r="AD55" s="217"/>
      <c r="AE55" s="213"/>
      <c r="AF55" s="215"/>
      <c r="AG55" s="215"/>
      <c r="AH55" s="217"/>
      <c r="AI55" s="217"/>
      <c r="AJ55" s="213"/>
    </row>
    <row r="56" spans="1:36" ht="33.75" customHeight="1">
      <c r="A56" s="213"/>
      <c r="B56" s="214">
        <f ca="1">IFERROR(__xludf.DUMMYFUNCTION("""COMPUTED_VALUE"""),2856077)</f>
        <v>2856077</v>
      </c>
      <c r="C56" s="215" t="str">
        <f ca="1">IFERROR(__xludf.DUMMYFUNCTION("""COMPUTED_VALUE"""),"Intermediate")</f>
        <v>Intermediate</v>
      </c>
      <c r="D56" s="216" t="str">
        <f ca="1">IFERROR(__xludf.DUMMYFUNCTION("""COMPUTED_VALUE"""),"Excel Supply Chain Analysis: Solving Transportation Problems")</f>
        <v>Excel Supply Chain Analysis: Solving Transportation Problems</v>
      </c>
      <c r="E56" s="217"/>
      <c r="F56" s="213"/>
      <c r="G56" s="214"/>
      <c r="H56" s="215"/>
      <c r="I56" s="217"/>
      <c r="J56" s="217"/>
      <c r="K56" s="213"/>
      <c r="L56" s="215"/>
      <c r="M56" s="215"/>
      <c r="N56" s="217"/>
      <c r="O56" s="217"/>
      <c r="P56" s="213"/>
      <c r="Q56" s="215"/>
      <c r="R56" s="215"/>
      <c r="S56" s="217"/>
      <c r="T56" s="217"/>
      <c r="U56" s="213"/>
      <c r="V56" s="215"/>
      <c r="W56" s="215"/>
      <c r="X56" s="217"/>
      <c r="Y56" s="217"/>
      <c r="Z56" s="213"/>
      <c r="AA56" s="215"/>
      <c r="AB56" s="215"/>
      <c r="AC56" s="217"/>
      <c r="AD56" s="217"/>
      <c r="AE56" s="213"/>
      <c r="AF56" s="215"/>
      <c r="AG56" s="215"/>
      <c r="AH56" s="217"/>
      <c r="AI56" s="217"/>
      <c r="AJ56" s="213"/>
    </row>
    <row r="57" spans="1:36" ht="33.75" customHeight="1">
      <c r="A57" s="213"/>
      <c r="B57" s="214">
        <f ca="1">IFERROR(__xludf.DUMMYFUNCTION("""COMPUTED_VALUE"""),560126)</f>
        <v>560126</v>
      </c>
      <c r="C57" s="215" t="str">
        <f ca="1">IFERROR(__xludf.DUMMYFUNCTION("""COMPUTED_VALUE"""),"Intermediate")</f>
        <v>Intermediate</v>
      </c>
      <c r="D57" s="216" t="str">
        <f ca="1">IFERROR(__xludf.DUMMYFUNCTION("""COMPUTED_VALUE"""),"Enterprise Agile: Changing Your Culture")</f>
        <v>Enterprise Agile: Changing Your Culture</v>
      </c>
      <c r="E57" s="217"/>
      <c r="F57" s="213"/>
      <c r="G57" s="214"/>
      <c r="H57" s="215"/>
      <c r="I57" s="217"/>
      <c r="J57" s="217"/>
      <c r="K57" s="213"/>
      <c r="L57" s="215"/>
      <c r="M57" s="215"/>
      <c r="N57" s="217"/>
      <c r="O57" s="217"/>
      <c r="P57" s="213"/>
      <c r="Q57" s="215"/>
      <c r="R57" s="215"/>
      <c r="S57" s="217"/>
      <c r="T57" s="217"/>
      <c r="U57" s="213"/>
      <c r="V57" s="215"/>
      <c r="W57" s="215"/>
      <c r="X57" s="217"/>
      <c r="Y57" s="217"/>
      <c r="Z57" s="213"/>
      <c r="AA57" s="215"/>
      <c r="AB57" s="215"/>
      <c r="AC57" s="217"/>
      <c r="AD57" s="217"/>
      <c r="AE57" s="213"/>
      <c r="AF57" s="215"/>
      <c r="AG57" s="215"/>
      <c r="AH57" s="217"/>
      <c r="AI57" s="217"/>
      <c r="AJ57" s="213"/>
    </row>
    <row r="58" spans="1:36" ht="33.75" customHeight="1">
      <c r="A58" s="213"/>
      <c r="B58" s="214">
        <f ca="1">IFERROR(__xludf.DUMMYFUNCTION("""COMPUTED_VALUE"""),724788)</f>
        <v>724788</v>
      </c>
      <c r="C58" s="215" t="str">
        <f ca="1">IFERROR(__xludf.DUMMYFUNCTION("""COMPUTED_VALUE"""),"Intermediate")</f>
        <v>Intermediate</v>
      </c>
      <c r="D58" s="216" t="str">
        <f ca="1">IFERROR(__xludf.DUMMYFUNCTION("""COMPUTED_VALUE"""),"Implementing Supply Chain Management")</f>
        <v>Implementing Supply Chain Management</v>
      </c>
      <c r="E58" s="217"/>
      <c r="F58" s="213"/>
      <c r="G58" s="214"/>
      <c r="H58" s="215"/>
      <c r="I58" s="217"/>
      <c r="J58" s="217"/>
      <c r="K58" s="213"/>
      <c r="L58" s="215"/>
      <c r="M58" s="215"/>
      <c r="N58" s="217"/>
      <c r="O58" s="217"/>
      <c r="P58" s="213"/>
      <c r="Q58" s="215"/>
      <c r="R58" s="215"/>
      <c r="S58" s="217"/>
      <c r="T58" s="217"/>
      <c r="U58" s="213"/>
      <c r="V58" s="215"/>
      <c r="W58" s="215"/>
      <c r="X58" s="217"/>
      <c r="Y58" s="217"/>
      <c r="Z58" s="213"/>
      <c r="AA58" s="215"/>
      <c r="AB58" s="215"/>
      <c r="AC58" s="217"/>
      <c r="AD58" s="217"/>
      <c r="AE58" s="213"/>
      <c r="AF58" s="215"/>
      <c r="AG58" s="215"/>
      <c r="AH58" s="217"/>
      <c r="AI58" s="217"/>
      <c r="AJ58" s="213"/>
    </row>
    <row r="59" spans="1:36" ht="33.75" customHeight="1">
      <c r="A59" s="213"/>
      <c r="B59" s="214">
        <f ca="1">IFERROR(__xludf.DUMMYFUNCTION("""COMPUTED_VALUE"""),721924)</f>
        <v>721924</v>
      </c>
      <c r="C59" s="215" t="str">
        <f ca="1">IFERROR(__xludf.DUMMYFUNCTION("""COMPUTED_VALUE"""),"Intermediate")</f>
        <v>Intermediate</v>
      </c>
      <c r="D59" s="216" t="str">
        <f ca="1">IFERROR(__xludf.DUMMYFUNCTION("""COMPUTED_VALUE"""),"Lean Six Sigma: Analyze, Improve, and Control Tools")</f>
        <v>Lean Six Sigma: Analyze, Improve, and Control Tools</v>
      </c>
      <c r="E59" s="217"/>
      <c r="F59" s="213"/>
      <c r="G59" s="214"/>
      <c r="H59" s="215"/>
      <c r="I59" s="217"/>
      <c r="J59" s="217"/>
      <c r="K59" s="213"/>
      <c r="L59" s="215"/>
      <c r="M59" s="215"/>
      <c r="N59" s="217"/>
      <c r="O59" s="217"/>
      <c r="P59" s="213"/>
      <c r="Q59" s="215"/>
      <c r="R59" s="215"/>
      <c r="S59" s="217"/>
      <c r="T59" s="217"/>
      <c r="U59" s="213"/>
      <c r="V59" s="215"/>
      <c r="W59" s="215"/>
      <c r="X59" s="217"/>
      <c r="Y59" s="217"/>
      <c r="Z59" s="213"/>
      <c r="AA59" s="215"/>
      <c r="AB59" s="215"/>
      <c r="AC59" s="217"/>
      <c r="AD59" s="217"/>
      <c r="AE59" s="213"/>
      <c r="AF59" s="215"/>
      <c r="AG59" s="215"/>
      <c r="AH59" s="217"/>
      <c r="AI59" s="217"/>
      <c r="AJ59" s="213"/>
    </row>
    <row r="60" spans="1:36" ht="33.75" customHeight="1">
      <c r="A60" s="213"/>
      <c r="B60" s="214">
        <f ca="1">IFERROR(__xludf.DUMMYFUNCTION("""COMPUTED_VALUE"""),721919)</f>
        <v>721919</v>
      </c>
      <c r="C60" s="215" t="str">
        <f ca="1">IFERROR(__xludf.DUMMYFUNCTION("""COMPUTED_VALUE"""),"Intermediate")</f>
        <v>Intermediate</v>
      </c>
      <c r="D60" s="216" t="str">
        <f ca="1">IFERROR(__xludf.DUMMYFUNCTION("""COMPUTED_VALUE"""),"Lean Six Sigma: Define and Measure Tools")</f>
        <v>Lean Six Sigma: Define and Measure Tools</v>
      </c>
      <c r="E60" s="217"/>
      <c r="F60" s="213"/>
      <c r="G60" s="214"/>
      <c r="H60" s="215"/>
      <c r="I60" s="217"/>
      <c r="J60" s="217"/>
      <c r="K60" s="213"/>
      <c r="L60" s="215"/>
      <c r="M60" s="215"/>
      <c r="N60" s="217"/>
      <c r="O60" s="217"/>
      <c r="P60" s="213"/>
      <c r="Q60" s="215"/>
      <c r="R60" s="215"/>
      <c r="S60" s="217"/>
      <c r="T60" s="217"/>
      <c r="U60" s="213"/>
      <c r="V60" s="215"/>
      <c r="W60" s="215"/>
      <c r="X60" s="217"/>
      <c r="Y60" s="217"/>
      <c r="Z60" s="213"/>
      <c r="AA60" s="215"/>
      <c r="AB60" s="215"/>
      <c r="AC60" s="217"/>
      <c r="AD60" s="217"/>
      <c r="AE60" s="213"/>
      <c r="AF60" s="215"/>
      <c r="AG60" s="215"/>
      <c r="AH60" s="217"/>
      <c r="AI60" s="217"/>
      <c r="AJ60" s="213"/>
    </row>
    <row r="61" spans="1:36" ht="33.75" customHeight="1">
      <c r="A61" s="213"/>
      <c r="B61" s="214">
        <f ca="1">IFERROR(__xludf.DUMMYFUNCTION("""COMPUTED_VALUE"""),737769)</f>
        <v>737769</v>
      </c>
      <c r="C61" s="215" t="str">
        <f ca="1">IFERROR(__xludf.DUMMYFUNCTION("""COMPUTED_VALUE"""),"Intermediate")</f>
        <v>Intermediate</v>
      </c>
      <c r="D61" s="216" t="str">
        <f ca="1">IFERROR(__xludf.DUMMYFUNCTION("""COMPUTED_VALUE"""),"Lean Technology Strategy: Starting Your Business Transformation")</f>
        <v>Lean Technology Strategy: Starting Your Business Transformation</v>
      </c>
      <c r="E61" s="217"/>
      <c r="F61" s="213"/>
      <c r="G61" s="214"/>
      <c r="H61" s="215"/>
      <c r="I61" s="217"/>
      <c r="J61" s="217"/>
      <c r="K61" s="213"/>
      <c r="L61" s="215"/>
      <c r="M61" s="215"/>
      <c r="N61" s="217"/>
      <c r="O61" s="217"/>
      <c r="P61" s="213"/>
      <c r="Q61" s="215"/>
      <c r="R61" s="215"/>
      <c r="S61" s="217"/>
      <c r="T61" s="217"/>
      <c r="U61" s="213"/>
      <c r="V61" s="215"/>
      <c r="W61" s="215"/>
      <c r="X61" s="217"/>
      <c r="Y61" s="217"/>
      <c r="Z61" s="213"/>
      <c r="AA61" s="215"/>
      <c r="AB61" s="215"/>
      <c r="AC61" s="217"/>
      <c r="AD61" s="217"/>
      <c r="AE61" s="213"/>
      <c r="AF61" s="215"/>
      <c r="AG61" s="215"/>
      <c r="AH61" s="217"/>
      <c r="AI61" s="217"/>
      <c r="AJ61" s="213"/>
    </row>
    <row r="62" spans="1:36" ht="33.75" customHeight="1">
      <c r="A62" s="213"/>
      <c r="B62" s="214">
        <f ca="1">IFERROR(__xludf.DUMMYFUNCTION("""COMPUTED_VALUE"""),774892)</f>
        <v>774892</v>
      </c>
      <c r="C62" s="215" t="str">
        <f ca="1">IFERROR(__xludf.DUMMYFUNCTION("""COMPUTED_VALUE"""),"Intermediate")</f>
        <v>Intermediate</v>
      </c>
      <c r="D62" s="216" t="str">
        <f ca="1">IFERROR(__xludf.DUMMYFUNCTION("""COMPUTED_VALUE"""),"Operational Excellence Work-Out and Kaizen Facilitator")</f>
        <v>Operational Excellence Work-Out and Kaizen Facilitator</v>
      </c>
      <c r="E62" s="217"/>
      <c r="F62" s="213"/>
      <c r="G62" s="214"/>
      <c r="H62" s="215"/>
      <c r="I62" s="217"/>
      <c r="J62" s="217"/>
      <c r="K62" s="213"/>
      <c r="L62" s="215"/>
      <c r="M62" s="215"/>
      <c r="N62" s="217"/>
      <c r="O62" s="217"/>
      <c r="P62" s="213"/>
      <c r="Q62" s="215"/>
      <c r="R62" s="215"/>
      <c r="S62" s="217"/>
      <c r="T62" s="217"/>
      <c r="U62" s="213"/>
      <c r="V62" s="215"/>
      <c r="W62" s="215"/>
      <c r="X62" s="217"/>
      <c r="Y62" s="217"/>
      <c r="Z62" s="213"/>
      <c r="AA62" s="215"/>
      <c r="AB62" s="215"/>
      <c r="AC62" s="217"/>
      <c r="AD62" s="217"/>
      <c r="AE62" s="213"/>
      <c r="AF62" s="215"/>
      <c r="AG62" s="215"/>
      <c r="AH62" s="217"/>
      <c r="AI62" s="217"/>
      <c r="AJ62" s="213"/>
    </row>
    <row r="63" spans="1:36" ht="33.75" customHeight="1">
      <c r="A63" s="213"/>
      <c r="B63" s="214">
        <f ca="1">IFERROR(__xludf.DUMMYFUNCTION("""COMPUTED_VALUE"""),628691)</f>
        <v>628691</v>
      </c>
      <c r="C63" s="215" t="str">
        <f ca="1">IFERROR(__xludf.DUMMYFUNCTION("""COMPUTED_VALUE"""),"Intermediate")</f>
        <v>Intermediate</v>
      </c>
      <c r="D63" s="216" t="str">
        <f ca="1">IFERROR(__xludf.DUMMYFUNCTION("""COMPUTED_VALUE"""),"Product Management: Building a Product Strategy")</f>
        <v>Product Management: Building a Product Strategy</v>
      </c>
      <c r="E63" s="217"/>
      <c r="F63" s="213"/>
      <c r="G63" s="214"/>
      <c r="H63" s="215"/>
      <c r="I63" s="217"/>
      <c r="J63" s="217"/>
      <c r="K63" s="213"/>
      <c r="L63" s="215"/>
      <c r="M63" s="215"/>
      <c r="N63" s="217"/>
      <c r="O63" s="217"/>
      <c r="P63" s="213"/>
      <c r="Q63" s="215"/>
      <c r="R63" s="215"/>
      <c r="S63" s="217"/>
      <c r="T63" s="217"/>
      <c r="U63" s="213"/>
      <c r="V63" s="215"/>
      <c r="W63" s="215"/>
      <c r="X63" s="217"/>
      <c r="Y63" s="217"/>
      <c r="Z63" s="213"/>
      <c r="AA63" s="215"/>
      <c r="AB63" s="215"/>
      <c r="AC63" s="217"/>
      <c r="AD63" s="217"/>
      <c r="AE63" s="213"/>
      <c r="AF63" s="215"/>
      <c r="AG63" s="215"/>
      <c r="AH63" s="217"/>
      <c r="AI63" s="217"/>
      <c r="AJ63" s="213"/>
    </row>
    <row r="64" spans="1:36" ht="33.75" customHeight="1">
      <c r="A64" s="213"/>
      <c r="B64" s="214">
        <f ca="1">IFERROR(__xludf.DUMMYFUNCTION("""COMPUTED_VALUE"""),396669)</f>
        <v>396669</v>
      </c>
      <c r="C64" s="215" t="str">
        <f ca="1">IFERROR(__xludf.DUMMYFUNCTION("""COMPUTED_VALUE"""),"Intermediate")</f>
        <v>Intermediate</v>
      </c>
      <c r="D64" s="216" t="str">
        <f ca="1">IFERROR(__xludf.DUMMYFUNCTION("""COMPUTED_VALUE"""),"Purchasing Foundations")</f>
        <v>Purchasing Foundations</v>
      </c>
      <c r="E64" s="217"/>
      <c r="F64" s="213"/>
      <c r="G64" s="214"/>
      <c r="H64" s="215"/>
      <c r="I64" s="217"/>
      <c r="J64" s="217"/>
      <c r="K64" s="213"/>
      <c r="L64" s="215"/>
      <c r="M64" s="215"/>
      <c r="N64" s="217"/>
      <c r="O64" s="217"/>
      <c r="P64" s="213"/>
      <c r="Q64" s="215"/>
      <c r="R64" s="215"/>
      <c r="S64" s="217"/>
      <c r="T64" s="217"/>
      <c r="U64" s="213"/>
      <c r="V64" s="215"/>
      <c r="W64" s="215"/>
      <c r="X64" s="217"/>
      <c r="Y64" s="217"/>
      <c r="Z64" s="213"/>
      <c r="AA64" s="215"/>
      <c r="AB64" s="215"/>
      <c r="AC64" s="217"/>
      <c r="AD64" s="217"/>
      <c r="AE64" s="213"/>
      <c r="AF64" s="215"/>
      <c r="AG64" s="215"/>
      <c r="AH64" s="217"/>
      <c r="AI64" s="217"/>
      <c r="AJ64" s="213"/>
    </row>
    <row r="65" spans="1:36" ht="33.75" customHeight="1">
      <c r="A65" s="213"/>
      <c r="B65" s="214">
        <f ca="1">IFERROR(__xludf.DUMMYFUNCTION("""COMPUTED_VALUE"""),550748)</f>
        <v>550748</v>
      </c>
      <c r="C65" s="215" t="str">
        <f ca="1">IFERROR(__xludf.DUMMYFUNCTION("""COMPUTED_VALUE"""),"Intermediate")</f>
        <v>Intermediate</v>
      </c>
      <c r="D65" s="216" t="str">
        <f ca="1">IFERROR(__xludf.DUMMYFUNCTION("""COMPUTED_VALUE"""),"Six Sigma: Black Belt")</f>
        <v>Six Sigma: Black Belt</v>
      </c>
      <c r="E65" s="217"/>
      <c r="F65" s="213"/>
      <c r="G65" s="214"/>
      <c r="H65" s="215"/>
      <c r="I65" s="217"/>
      <c r="J65" s="217"/>
      <c r="K65" s="213"/>
      <c r="L65" s="215"/>
      <c r="M65" s="215"/>
      <c r="N65" s="217"/>
      <c r="O65" s="217"/>
      <c r="P65" s="213"/>
      <c r="Q65" s="215"/>
      <c r="R65" s="215"/>
      <c r="S65" s="217"/>
      <c r="T65" s="217"/>
      <c r="U65" s="213"/>
      <c r="V65" s="215"/>
      <c r="W65" s="215"/>
      <c r="X65" s="217"/>
      <c r="Y65" s="217"/>
      <c r="Z65" s="213"/>
      <c r="AA65" s="215"/>
      <c r="AB65" s="215"/>
      <c r="AC65" s="217"/>
      <c r="AD65" s="217"/>
      <c r="AE65" s="213"/>
      <c r="AF65" s="215"/>
      <c r="AG65" s="215"/>
      <c r="AH65" s="217"/>
      <c r="AI65" s="217"/>
      <c r="AJ65" s="213"/>
    </row>
    <row r="66" spans="1:36" ht="33.75" customHeight="1">
      <c r="A66" s="213"/>
      <c r="B66" s="214">
        <f ca="1">IFERROR(__xludf.DUMMYFUNCTION("""COMPUTED_VALUE"""),550747)</f>
        <v>550747</v>
      </c>
      <c r="C66" s="215" t="str">
        <f ca="1">IFERROR(__xludf.DUMMYFUNCTION("""COMPUTED_VALUE"""),"Intermediate")</f>
        <v>Intermediate</v>
      </c>
      <c r="D66" s="216" t="str">
        <f ca="1">IFERROR(__xludf.DUMMYFUNCTION("""COMPUTED_VALUE"""),"Six Sigma: Green Belt")</f>
        <v>Six Sigma: Green Belt</v>
      </c>
      <c r="E66" s="217"/>
      <c r="F66" s="213"/>
      <c r="G66" s="214"/>
      <c r="H66" s="215"/>
      <c r="I66" s="217"/>
      <c r="J66" s="217"/>
      <c r="K66" s="213"/>
      <c r="L66" s="215"/>
      <c r="M66" s="215"/>
      <c r="N66" s="217"/>
      <c r="O66" s="217"/>
      <c r="P66" s="213"/>
      <c r="Q66" s="215"/>
      <c r="R66" s="215"/>
      <c r="S66" s="217"/>
      <c r="T66" s="217"/>
      <c r="U66" s="213"/>
      <c r="V66" s="215"/>
      <c r="W66" s="215"/>
      <c r="X66" s="217"/>
      <c r="Y66" s="217"/>
      <c r="Z66" s="213"/>
      <c r="AA66" s="215"/>
      <c r="AB66" s="215"/>
      <c r="AC66" s="217"/>
      <c r="AD66" s="217"/>
      <c r="AE66" s="213"/>
      <c r="AF66" s="215"/>
      <c r="AG66" s="215"/>
      <c r="AH66" s="217"/>
      <c r="AI66" s="217"/>
      <c r="AJ66" s="213"/>
    </row>
    <row r="67" spans="1:36" ht="33.75" customHeight="1">
      <c r="A67" s="213"/>
      <c r="B67" s="214">
        <f ca="1">IFERROR(__xludf.DUMMYFUNCTION("""COMPUTED_VALUE"""),2805121)</f>
        <v>2805121</v>
      </c>
      <c r="C67" s="215" t="str">
        <f ca="1">IFERROR(__xludf.DUMMYFUNCTION("""COMPUTED_VALUE"""),"Intermediate")</f>
        <v>Intermediate</v>
      </c>
      <c r="D67" s="216" t="str">
        <f ca="1">IFERROR(__xludf.DUMMYFUNCTION("""COMPUTED_VALUE"""),"Evaluating Business Investment Decisions")</f>
        <v>Evaluating Business Investment Decisions</v>
      </c>
      <c r="E67" s="217"/>
      <c r="F67" s="213"/>
      <c r="G67" s="214"/>
      <c r="H67" s="215"/>
      <c r="I67" s="217"/>
      <c r="J67" s="217"/>
      <c r="K67" s="213"/>
      <c r="L67" s="215"/>
      <c r="M67" s="215"/>
      <c r="N67" s="217"/>
      <c r="O67" s="217"/>
      <c r="P67" s="213"/>
      <c r="Q67" s="215"/>
      <c r="R67" s="215"/>
      <c r="S67" s="217"/>
      <c r="T67" s="217"/>
      <c r="U67" s="213"/>
      <c r="V67" s="215"/>
      <c r="W67" s="215"/>
      <c r="X67" s="217"/>
      <c r="Y67" s="217"/>
      <c r="Z67" s="213"/>
      <c r="AA67" s="215"/>
      <c r="AB67" s="215"/>
      <c r="AC67" s="217"/>
      <c r="AD67" s="217"/>
      <c r="AE67" s="213"/>
      <c r="AF67" s="215"/>
      <c r="AG67" s="215"/>
      <c r="AH67" s="217"/>
      <c r="AI67" s="217"/>
      <c r="AJ67" s="213"/>
    </row>
    <row r="68" spans="1:36" ht="33.75" customHeight="1">
      <c r="A68" s="213"/>
      <c r="B68" s="214">
        <f ca="1">IFERROR(__xludf.DUMMYFUNCTION("""COMPUTED_VALUE"""),2816033)</f>
        <v>2816033</v>
      </c>
      <c r="C68" s="215" t="str">
        <f ca="1">IFERROR(__xludf.DUMMYFUNCTION("""COMPUTED_VALUE"""),"Intermediate")</f>
        <v>Intermediate</v>
      </c>
      <c r="D68" s="216" t="str">
        <f ca="1">IFERROR(__xludf.DUMMYFUNCTION("""COMPUTED_VALUE"""),"Managing Logistics")</f>
        <v>Managing Logistics</v>
      </c>
      <c r="E68" s="217"/>
      <c r="F68" s="213"/>
      <c r="G68" s="214"/>
      <c r="H68" s="215"/>
      <c r="I68" s="217"/>
      <c r="J68" s="217"/>
      <c r="K68" s="213"/>
      <c r="L68" s="215"/>
      <c r="M68" s="215"/>
      <c r="N68" s="217"/>
      <c r="O68" s="217"/>
      <c r="P68" s="213"/>
      <c r="Q68" s="215"/>
      <c r="R68" s="215"/>
      <c r="S68" s="217"/>
      <c r="T68" s="217"/>
      <c r="U68" s="213"/>
      <c r="V68" s="215"/>
      <c r="W68" s="215"/>
      <c r="X68" s="217"/>
      <c r="Y68" s="217"/>
      <c r="Z68" s="213"/>
      <c r="AA68" s="215"/>
      <c r="AB68" s="215"/>
      <c r="AC68" s="217"/>
      <c r="AD68" s="217"/>
      <c r="AE68" s="213"/>
      <c r="AF68" s="215"/>
      <c r="AG68" s="215"/>
      <c r="AH68" s="217"/>
      <c r="AI68" s="217"/>
      <c r="AJ68" s="213"/>
    </row>
    <row r="69" spans="1:36" ht="33.75" customHeight="1">
      <c r="A69" s="213"/>
      <c r="B69" s="214">
        <f ca="1">IFERROR(__xludf.DUMMYFUNCTION("""COMPUTED_VALUE"""),2823100)</f>
        <v>2823100</v>
      </c>
      <c r="C69" s="215" t="str">
        <f ca="1">IFERROR(__xludf.DUMMYFUNCTION("""COMPUTED_VALUE"""),"Intermediate")</f>
        <v>Intermediate</v>
      </c>
      <c r="D69" s="216" t="str">
        <f ca="1">IFERROR(__xludf.DUMMYFUNCTION("""COMPUTED_VALUE"""),"Excel: Implementing Balanced Scorecards with KPIs")</f>
        <v>Excel: Implementing Balanced Scorecards with KPIs</v>
      </c>
      <c r="E69" s="217"/>
      <c r="F69" s="213"/>
      <c r="G69" s="214"/>
      <c r="H69" s="215"/>
      <c r="I69" s="217"/>
      <c r="J69" s="217"/>
      <c r="K69" s="213"/>
      <c r="L69" s="215"/>
      <c r="M69" s="215"/>
      <c r="N69" s="217"/>
      <c r="O69" s="217"/>
      <c r="P69" s="213"/>
      <c r="Q69" s="215"/>
      <c r="R69" s="215"/>
      <c r="S69" s="217"/>
      <c r="T69" s="217"/>
      <c r="U69" s="213"/>
      <c r="V69" s="215"/>
      <c r="W69" s="215"/>
      <c r="X69" s="217"/>
      <c r="Y69" s="217"/>
      <c r="Z69" s="213"/>
      <c r="AA69" s="215"/>
      <c r="AB69" s="215"/>
      <c r="AC69" s="217"/>
      <c r="AD69" s="217"/>
      <c r="AE69" s="213"/>
      <c r="AF69" s="215"/>
      <c r="AG69" s="215"/>
      <c r="AH69" s="217"/>
      <c r="AI69" s="217"/>
      <c r="AJ69" s="213"/>
    </row>
    <row r="70" spans="1:36" ht="33.75" customHeight="1">
      <c r="A70" s="213"/>
      <c r="B70" s="214">
        <f ca="1">IFERROR(__xludf.DUMMYFUNCTION("""COMPUTED_VALUE"""),2813150)</f>
        <v>2813150</v>
      </c>
      <c r="C70" s="215" t="str">
        <f ca="1">IFERROR(__xludf.DUMMYFUNCTION("""COMPUTED_VALUE"""),"Intermediate")</f>
        <v>Intermediate</v>
      </c>
      <c r="D70" s="216" t="str">
        <f ca="1">IFERROR(__xludf.DUMMYFUNCTION("""COMPUTED_VALUE"""),"Agile Software Development: Clean Coding Practices")</f>
        <v>Agile Software Development: Clean Coding Practices</v>
      </c>
      <c r="E70" s="217"/>
      <c r="F70" s="213"/>
      <c r="G70" s="214"/>
      <c r="H70" s="215"/>
      <c r="I70" s="217"/>
      <c r="J70" s="217"/>
      <c r="K70" s="213"/>
      <c r="L70" s="215"/>
      <c r="M70" s="215"/>
      <c r="N70" s="217"/>
      <c r="O70" s="217"/>
      <c r="P70" s="213"/>
      <c r="Q70" s="215"/>
      <c r="R70" s="215"/>
      <c r="S70" s="217"/>
      <c r="T70" s="217"/>
      <c r="U70" s="213"/>
      <c r="V70" s="215"/>
      <c r="W70" s="215"/>
      <c r="X70" s="217"/>
      <c r="Y70" s="217"/>
      <c r="Z70" s="213"/>
      <c r="AA70" s="215"/>
      <c r="AB70" s="215"/>
      <c r="AC70" s="217"/>
      <c r="AD70" s="217"/>
      <c r="AE70" s="213"/>
      <c r="AF70" s="215"/>
      <c r="AG70" s="215"/>
      <c r="AH70" s="217"/>
      <c r="AI70" s="217"/>
      <c r="AJ70" s="213"/>
    </row>
    <row r="71" spans="1:36" ht="33.75" customHeight="1">
      <c r="A71" s="213"/>
      <c r="B71" s="214">
        <f ca="1">IFERROR(__xludf.DUMMYFUNCTION("""COMPUTED_VALUE"""),2825499)</f>
        <v>2825499</v>
      </c>
      <c r="C71" s="215" t="str">
        <f ca="1">IFERROR(__xludf.DUMMYFUNCTION("""COMPUTED_VALUE"""),"Intermediate")</f>
        <v>Intermediate</v>
      </c>
      <c r="D71" s="216" t="str">
        <f ca="1">IFERROR(__xludf.DUMMYFUNCTION("""COMPUTED_VALUE"""),"Predictive Analytics Essential Training for Executives")</f>
        <v>Predictive Analytics Essential Training for Executives</v>
      </c>
      <c r="E71" s="217"/>
      <c r="F71" s="213"/>
      <c r="G71" s="214"/>
      <c r="H71" s="215"/>
      <c r="I71" s="217"/>
      <c r="J71" s="217"/>
      <c r="K71" s="213"/>
      <c r="L71" s="215"/>
      <c r="M71" s="215"/>
      <c r="N71" s="217"/>
      <c r="O71" s="217"/>
      <c r="P71" s="213"/>
      <c r="Q71" s="215"/>
      <c r="R71" s="215"/>
      <c r="S71" s="217"/>
      <c r="T71" s="217"/>
      <c r="U71" s="213"/>
      <c r="V71" s="215"/>
      <c r="W71" s="215"/>
      <c r="X71" s="217"/>
      <c r="Y71" s="217"/>
      <c r="Z71" s="213"/>
      <c r="AA71" s="215"/>
      <c r="AB71" s="215"/>
      <c r="AC71" s="217"/>
      <c r="AD71" s="217"/>
      <c r="AE71" s="213"/>
      <c r="AF71" s="215"/>
      <c r="AG71" s="215"/>
      <c r="AH71" s="217"/>
      <c r="AI71" s="217"/>
      <c r="AJ71" s="213"/>
    </row>
    <row r="72" spans="1:36" ht="33.75" customHeight="1">
      <c r="A72" s="213"/>
      <c r="B72" s="214">
        <f ca="1">IFERROR(__xludf.DUMMYFUNCTION("""COMPUTED_VALUE"""),2824053)</f>
        <v>2824053</v>
      </c>
      <c r="C72" s="215" t="str">
        <f ca="1">IFERROR(__xludf.DUMMYFUNCTION("""COMPUTED_VALUE"""),"Intermediate")</f>
        <v>Intermediate</v>
      </c>
      <c r="D72" s="216" t="str">
        <f ca="1">IFERROR(__xludf.DUMMYFUNCTION("""COMPUTED_VALUE"""),"SAP Ariba Supply Chain Collaboration Overview")</f>
        <v>SAP Ariba Supply Chain Collaboration Overview</v>
      </c>
      <c r="E72" s="217"/>
      <c r="F72" s="213"/>
      <c r="G72" s="214"/>
      <c r="H72" s="215"/>
      <c r="I72" s="217"/>
      <c r="J72" s="217"/>
      <c r="K72" s="213"/>
      <c r="L72" s="215"/>
      <c r="M72" s="215"/>
      <c r="N72" s="217"/>
      <c r="O72" s="217"/>
      <c r="P72" s="213"/>
      <c r="Q72" s="215"/>
      <c r="R72" s="215"/>
      <c r="S72" s="217"/>
      <c r="T72" s="217"/>
      <c r="U72" s="213"/>
      <c r="V72" s="215"/>
      <c r="W72" s="215"/>
      <c r="X72" s="217"/>
      <c r="Y72" s="217"/>
      <c r="Z72" s="213"/>
      <c r="AA72" s="215"/>
      <c r="AB72" s="215"/>
      <c r="AC72" s="217"/>
      <c r="AD72" s="217"/>
      <c r="AE72" s="213"/>
      <c r="AF72" s="215"/>
      <c r="AG72" s="215"/>
      <c r="AH72" s="217"/>
      <c r="AI72" s="217"/>
      <c r="AJ72" s="213"/>
    </row>
    <row r="73" spans="1:36" ht="33.75" customHeight="1">
      <c r="A73" s="213"/>
      <c r="B73" s="214">
        <f ca="1">IFERROR(__xludf.DUMMYFUNCTION("""COMPUTED_VALUE"""),5019813)</f>
        <v>5019813</v>
      </c>
      <c r="C73" s="215" t="str">
        <f ca="1">IFERROR(__xludf.DUMMYFUNCTION("""COMPUTED_VALUE"""),"Intermediate")</f>
        <v>Intermediate</v>
      </c>
      <c r="D73" s="216" t="str">
        <f ca="1">IFERROR(__xludf.DUMMYFUNCTION("""COMPUTED_VALUE"""),"AI in Fintech Essential Training")</f>
        <v>AI in Fintech Essential Training</v>
      </c>
      <c r="E73" s="217"/>
      <c r="F73" s="213"/>
      <c r="G73" s="214"/>
      <c r="H73" s="215"/>
      <c r="I73" s="217"/>
      <c r="J73" s="217"/>
      <c r="K73" s="213"/>
      <c r="L73" s="215"/>
      <c r="M73" s="215"/>
      <c r="N73" s="217"/>
      <c r="O73" s="217"/>
      <c r="P73" s="213"/>
      <c r="Q73" s="215"/>
      <c r="R73" s="215"/>
      <c r="S73" s="217"/>
      <c r="T73" s="217"/>
      <c r="U73" s="213"/>
      <c r="V73" s="215"/>
      <c r="W73" s="215"/>
      <c r="X73" s="217"/>
      <c r="Y73" s="217"/>
      <c r="Z73" s="213"/>
      <c r="AA73" s="215"/>
      <c r="AB73" s="215"/>
      <c r="AC73" s="217"/>
      <c r="AD73" s="217"/>
      <c r="AE73" s="213"/>
      <c r="AF73" s="215"/>
      <c r="AG73" s="215"/>
      <c r="AH73" s="217"/>
      <c r="AI73" s="217"/>
      <c r="AJ73" s="213"/>
    </row>
    <row r="74" spans="1:36" ht="33.75" customHeight="1">
      <c r="A74" s="213"/>
      <c r="B74" s="214">
        <f ca="1">IFERROR(__xludf.DUMMYFUNCTION("""COMPUTED_VALUE"""),2832012)</f>
        <v>2832012</v>
      </c>
      <c r="C74" s="215" t="str">
        <f ca="1">IFERROR(__xludf.DUMMYFUNCTION("""COMPUTED_VALUE"""),"Intermediate")</f>
        <v>Intermediate</v>
      </c>
      <c r="D74" s="216" t="str">
        <f ca="1">IFERROR(__xludf.DUMMYFUNCTION("""COMPUTED_VALUE"""),"Introduction to SAP BI/BW")</f>
        <v>Introduction to SAP BI/BW</v>
      </c>
      <c r="E74" s="217"/>
      <c r="F74" s="213"/>
      <c r="G74" s="214"/>
      <c r="H74" s="215"/>
      <c r="I74" s="217"/>
      <c r="J74" s="217"/>
      <c r="K74" s="213"/>
      <c r="L74" s="215"/>
      <c r="M74" s="215"/>
      <c r="N74" s="217"/>
      <c r="O74" s="217"/>
      <c r="P74" s="213"/>
      <c r="Q74" s="215"/>
      <c r="R74" s="215"/>
      <c r="S74" s="217"/>
      <c r="T74" s="217"/>
      <c r="U74" s="213"/>
      <c r="V74" s="215"/>
      <c r="W74" s="215"/>
      <c r="X74" s="217"/>
      <c r="Y74" s="217"/>
      <c r="Z74" s="213"/>
      <c r="AA74" s="215"/>
      <c r="AB74" s="215"/>
      <c r="AC74" s="217"/>
      <c r="AD74" s="217"/>
      <c r="AE74" s="213"/>
      <c r="AF74" s="215"/>
      <c r="AG74" s="215"/>
      <c r="AH74" s="217"/>
      <c r="AI74" s="217"/>
      <c r="AJ74" s="213"/>
    </row>
    <row r="75" spans="1:36" ht="33.75" customHeight="1">
      <c r="A75" s="213"/>
      <c r="B75" s="214">
        <f ca="1">IFERROR(__xludf.DUMMYFUNCTION("""COMPUTED_VALUE"""),2832013)</f>
        <v>2832013</v>
      </c>
      <c r="C75" s="215" t="str">
        <f ca="1">IFERROR(__xludf.DUMMYFUNCTION("""COMPUTED_VALUE"""),"Intermediate")</f>
        <v>Intermediate</v>
      </c>
      <c r="D75" s="216" t="str">
        <f ca="1">IFERROR(__xludf.DUMMYFUNCTION("""COMPUTED_VALUE"""),"SAP BI/BW: Project Design and Implementation")</f>
        <v>SAP BI/BW: Project Design and Implementation</v>
      </c>
      <c r="E75" s="217"/>
      <c r="F75" s="213"/>
      <c r="G75" s="214"/>
      <c r="H75" s="215"/>
      <c r="I75" s="217"/>
      <c r="J75" s="217"/>
      <c r="K75" s="213"/>
      <c r="L75" s="215"/>
      <c r="M75" s="215"/>
      <c r="N75" s="217"/>
      <c r="O75" s="217"/>
      <c r="P75" s="213"/>
      <c r="Q75" s="215"/>
      <c r="R75" s="215"/>
      <c r="S75" s="217"/>
      <c r="T75" s="217"/>
      <c r="U75" s="213"/>
      <c r="V75" s="215"/>
      <c r="W75" s="215"/>
      <c r="X75" s="217"/>
      <c r="Y75" s="217"/>
      <c r="Z75" s="213"/>
      <c r="AA75" s="215"/>
      <c r="AB75" s="215"/>
      <c r="AC75" s="217"/>
      <c r="AD75" s="217"/>
      <c r="AE75" s="213"/>
      <c r="AF75" s="215"/>
      <c r="AG75" s="215"/>
      <c r="AH75" s="217"/>
      <c r="AI75" s="217"/>
      <c r="AJ75" s="213"/>
    </row>
    <row r="76" spans="1:36" ht="33.75" customHeight="1">
      <c r="A76" s="213"/>
      <c r="B76" s="214">
        <f ca="1">IFERROR(__xludf.DUMMYFUNCTION("""COMPUTED_VALUE"""),2809588)</f>
        <v>2809588</v>
      </c>
      <c r="C76" s="215" t="str">
        <f ca="1">IFERROR(__xludf.DUMMYFUNCTION("""COMPUTED_VALUE"""),"General")</f>
        <v>General</v>
      </c>
      <c r="D76" s="216" t="str">
        <f ca="1">IFERROR(__xludf.DUMMYFUNCTION("""COMPUTED_VALUE"""),"Following the Digital Thread")</f>
        <v>Following the Digital Thread</v>
      </c>
      <c r="E76" s="217"/>
      <c r="F76" s="213"/>
      <c r="G76" s="214"/>
      <c r="H76" s="215"/>
      <c r="I76" s="217"/>
      <c r="J76" s="217"/>
      <c r="K76" s="213"/>
      <c r="L76" s="215"/>
      <c r="M76" s="215"/>
      <c r="N76" s="217"/>
      <c r="O76" s="217"/>
      <c r="P76" s="213"/>
      <c r="Q76" s="215"/>
      <c r="R76" s="215"/>
      <c r="S76" s="217"/>
      <c r="T76" s="217"/>
      <c r="U76" s="213"/>
      <c r="V76" s="215"/>
      <c r="W76" s="215"/>
      <c r="X76" s="217"/>
      <c r="Y76" s="217"/>
      <c r="Z76" s="213"/>
      <c r="AA76" s="215"/>
      <c r="AB76" s="215"/>
      <c r="AC76" s="217"/>
      <c r="AD76" s="217"/>
      <c r="AE76" s="213"/>
      <c r="AF76" s="215"/>
      <c r="AG76" s="215"/>
      <c r="AH76" s="217"/>
      <c r="AI76" s="217"/>
      <c r="AJ76" s="213"/>
    </row>
    <row r="77" spans="1:36" ht="33.75" customHeight="1">
      <c r="A77" s="213"/>
      <c r="B77" s="214">
        <f ca="1">IFERROR(__xludf.DUMMYFUNCTION("""COMPUTED_VALUE"""),2839009)</f>
        <v>2839009</v>
      </c>
      <c r="C77" s="215" t="str">
        <f ca="1">IFERROR(__xludf.DUMMYFUNCTION("""COMPUTED_VALUE"""),"General")</f>
        <v>General</v>
      </c>
      <c r="D77" s="216" t="str">
        <f ca="1">IFERROR(__xludf.DUMMYFUNCTION("""COMPUTED_VALUE"""),"Supply Chain Basics For Everyone")</f>
        <v>Supply Chain Basics For Everyone</v>
      </c>
      <c r="E77" s="217"/>
      <c r="F77" s="213"/>
      <c r="G77" s="214"/>
      <c r="H77" s="215"/>
      <c r="I77" s="217"/>
      <c r="J77" s="217"/>
      <c r="K77" s="213"/>
      <c r="L77" s="215"/>
      <c r="M77" s="215"/>
      <c r="N77" s="217"/>
      <c r="O77" s="217"/>
      <c r="P77" s="213"/>
      <c r="Q77" s="215"/>
      <c r="R77" s="215"/>
      <c r="S77" s="217"/>
      <c r="T77" s="217"/>
      <c r="U77" s="213"/>
      <c r="V77" s="215"/>
      <c r="W77" s="215"/>
      <c r="X77" s="217"/>
      <c r="Y77" s="217"/>
      <c r="Z77" s="213"/>
      <c r="AA77" s="215"/>
      <c r="AB77" s="215"/>
      <c r="AC77" s="217"/>
      <c r="AD77" s="217"/>
      <c r="AE77" s="213"/>
      <c r="AF77" s="215"/>
      <c r="AG77" s="215"/>
      <c r="AH77" s="217"/>
      <c r="AI77" s="217"/>
      <c r="AJ77" s="213"/>
    </row>
    <row r="78" spans="1:36" ht="33.75" customHeight="1">
      <c r="A78" s="213"/>
      <c r="B78" s="214">
        <f ca="1">IFERROR(__xludf.DUMMYFUNCTION("""COMPUTED_VALUE"""),647659)</f>
        <v>647659</v>
      </c>
      <c r="C78" s="215" t="str">
        <f ca="1">IFERROR(__xludf.DUMMYFUNCTION("""COMPUTED_VALUE"""),"General")</f>
        <v>General</v>
      </c>
      <c r="D78" s="216" t="str">
        <f ca="1">IFERROR(__xludf.DUMMYFUNCTION("""COMPUTED_VALUE"""),"Operational Excellence Foundations")</f>
        <v>Operational Excellence Foundations</v>
      </c>
      <c r="E78" s="217"/>
      <c r="F78" s="213"/>
      <c r="G78" s="214"/>
      <c r="H78" s="215"/>
      <c r="I78" s="217"/>
      <c r="J78" s="217"/>
      <c r="K78" s="213"/>
      <c r="L78" s="215"/>
      <c r="M78" s="215"/>
      <c r="N78" s="217"/>
      <c r="O78" s="217"/>
      <c r="P78" s="213"/>
      <c r="Q78" s="215"/>
      <c r="R78" s="215"/>
      <c r="S78" s="217"/>
      <c r="T78" s="217"/>
      <c r="U78" s="213"/>
      <c r="V78" s="215"/>
      <c r="W78" s="215"/>
      <c r="X78" s="217"/>
      <c r="Y78" s="217"/>
      <c r="Z78" s="213"/>
      <c r="AA78" s="215"/>
      <c r="AB78" s="215"/>
      <c r="AC78" s="217"/>
      <c r="AD78" s="217"/>
      <c r="AE78" s="213"/>
      <c r="AF78" s="215"/>
      <c r="AG78" s="215"/>
      <c r="AH78" s="217"/>
      <c r="AI78" s="217"/>
      <c r="AJ78" s="213"/>
    </row>
    <row r="79" spans="1:36" ht="33.75" customHeight="1">
      <c r="A79" s="213"/>
      <c r="B79" s="214">
        <f ca="1">IFERROR(__xludf.DUMMYFUNCTION("""COMPUTED_VALUE"""),2807102)</f>
        <v>2807102</v>
      </c>
      <c r="C79" s="215" t="str">
        <f ca="1">IFERROR(__xludf.DUMMYFUNCTION("""COMPUTED_VALUE"""),"General")</f>
        <v>General</v>
      </c>
      <c r="D79" s="216" t="str">
        <f ca="1">IFERROR(__xludf.DUMMYFUNCTION("""COMPUTED_VALUE"""),"Supply Chain and Operations Careers: Certification Tips and Tricks")</f>
        <v>Supply Chain and Operations Careers: Certification Tips and Tricks</v>
      </c>
      <c r="E79" s="217"/>
      <c r="F79" s="213"/>
      <c r="G79" s="214"/>
      <c r="H79" s="215"/>
      <c r="I79" s="217"/>
      <c r="J79" s="217"/>
      <c r="K79" s="213"/>
      <c r="L79" s="215"/>
      <c r="M79" s="215"/>
      <c r="N79" s="217"/>
      <c r="O79" s="217"/>
      <c r="P79" s="213"/>
      <c r="Q79" s="215"/>
      <c r="R79" s="215"/>
      <c r="S79" s="217"/>
      <c r="T79" s="217"/>
      <c r="U79" s="213"/>
      <c r="V79" s="215"/>
      <c r="W79" s="215"/>
      <c r="X79" s="217"/>
      <c r="Y79" s="217"/>
      <c r="Z79" s="213"/>
      <c r="AA79" s="215"/>
      <c r="AB79" s="215"/>
      <c r="AC79" s="217"/>
      <c r="AD79" s="217"/>
      <c r="AE79" s="213"/>
      <c r="AF79" s="215"/>
      <c r="AG79" s="215"/>
      <c r="AH79" s="217"/>
      <c r="AI79" s="217"/>
      <c r="AJ79" s="213"/>
    </row>
    <row r="80" spans="1:36" ht="33.75" customHeight="1">
      <c r="A80" s="213"/>
      <c r="B80" s="214">
        <f ca="1">IFERROR(__xludf.DUMMYFUNCTION("""COMPUTED_VALUE"""),2835087)</f>
        <v>2835087</v>
      </c>
      <c r="C80" s="215" t="str">
        <f ca="1">IFERROR(__xludf.DUMMYFUNCTION("""COMPUTED_VALUE"""),"General")</f>
        <v>General</v>
      </c>
      <c r="D80" s="216" t="str">
        <f ca="1">IFERROR(__xludf.DUMMYFUNCTION("""COMPUTED_VALUE"""),"How to Make Strategic Thinking a Habit")</f>
        <v>How to Make Strategic Thinking a Habit</v>
      </c>
      <c r="E80" s="217"/>
      <c r="F80" s="213"/>
      <c r="G80" s="214"/>
      <c r="H80" s="215"/>
      <c r="I80" s="217"/>
      <c r="J80" s="217"/>
      <c r="K80" s="213"/>
      <c r="L80" s="215"/>
      <c r="M80" s="215"/>
      <c r="N80" s="217"/>
      <c r="O80" s="217"/>
      <c r="P80" s="213"/>
      <c r="Q80" s="215"/>
      <c r="R80" s="215"/>
      <c r="S80" s="217"/>
      <c r="T80" s="217"/>
      <c r="U80" s="213"/>
      <c r="V80" s="215"/>
      <c r="W80" s="215"/>
      <c r="X80" s="217"/>
      <c r="Y80" s="217"/>
      <c r="Z80" s="213"/>
      <c r="AA80" s="215"/>
      <c r="AB80" s="215"/>
      <c r="AC80" s="217"/>
      <c r="AD80" s="217"/>
      <c r="AE80" s="213"/>
      <c r="AF80" s="215"/>
      <c r="AG80" s="215"/>
      <c r="AH80" s="217"/>
      <c r="AI80" s="217"/>
      <c r="AJ80" s="213"/>
    </row>
    <row r="81" spans="1:36" ht="33.75" customHeight="1">
      <c r="A81" s="213"/>
      <c r="B81" s="214">
        <f ca="1">IFERROR(__xludf.DUMMYFUNCTION("""COMPUTED_VALUE"""),2841399)</f>
        <v>2841399</v>
      </c>
      <c r="C81" s="215" t="str">
        <f ca="1">IFERROR(__xludf.DUMMYFUNCTION("""COMPUTED_VALUE"""),"General")</f>
        <v>General</v>
      </c>
      <c r="D81" s="216" t="str">
        <f ca="1">IFERROR(__xludf.DUMMYFUNCTION("""COMPUTED_VALUE"""),"Design Thinking: Understanding the Process")</f>
        <v>Design Thinking: Understanding the Process</v>
      </c>
      <c r="E81" s="217"/>
      <c r="F81" s="213"/>
      <c r="G81" s="214"/>
      <c r="H81" s="215"/>
      <c r="I81" s="217"/>
      <c r="J81" s="217"/>
      <c r="K81" s="213"/>
      <c r="L81" s="215"/>
      <c r="M81" s="215"/>
      <c r="N81" s="217"/>
      <c r="O81" s="217"/>
      <c r="P81" s="213"/>
      <c r="Q81" s="215"/>
      <c r="R81" s="215"/>
      <c r="S81" s="217"/>
      <c r="T81" s="217"/>
      <c r="U81" s="213"/>
      <c r="V81" s="215"/>
      <c r="W81" s="215"/>
      <c r="X81" s="217"/>
      <c r="Y81" s="217"/>
      <c r="Z81" s="213"/>
      <c r="AA81" s="215"/>
      <c r="AB81" s="215"/>
      <c r="AC81" s="217"/>
      <c r="AD81" s="217"/>
      <c r="AE81" s="213"/>
      <c r="AF81" s="215"/>
      <c r="AG81" s="215"/>
      <c r="AH81" s="217"/>
      <c r="AI81" s="217"/>
      <c r="AJ81" s="213"/>
    </row>
    <row r="82" spans="1:36" ht="33.75" customHeight="1">
      <c r="A82" s="213"/>
      <c r="B82" s="214">
        <f ca="1">IFERROR(__xludf.DUMMYFUNCTION("""COMPUTED_VALUE"""),2874274)</f>
        <v>2874274</v>
      </c>
      <c r="C82" s="215" t="str">
        <f ca="1">IFERROR(__xludf.DUMMYFUNCTION("""COMPUTED_VALUE"""),"General")</f>
        <v>General</v>
      </c>
      <c r="D82" s="216" t="str">
        <f ca="1">IFERROR(__xludf.DUMMYFUNCTION("""COMPUTED_VALUE"""),"Outsourcing Critical Success Factors")</f>
        <v>Outsourcing Critical Success Factors</v>
      </c>
      <c r="E82" s="217"/>
      <c r="F82" s="213"/>
      <c r="G82" s="214"/>
      <c r="H82" s="215"/>
      <c r="I82" s="217"/>
      <c r="J82" s="217"/>
      <c r="K82" s="213"/>
      <c r="L82" s="215"/>
      <c r="M82" s="215"/>
      <c r="N82" s="217"/>
      <c r="O82" s="217"/>
      <c r="P82" s="213"/>
      <c r="Q82" s="215"/>
      <c r="R82" s="215"/>
      <c r="S82" s="217"/>
      <c r="T82" s="217"/>
      <c r="U82" s="213"/>
      <c r="V82" s="215"/>
      <c r="W82" s="215"/>
      <c r="X82" s="217"/>
      <c r="Y82" s="217"/>
      <c r="Z82" s="213"/>
      <c r="AA82" s="215"/>
      <c r="AB82" s="215"/>
      <c r="AC82" s="217"/>
      <c r="AD82" s="217"/>
      <c r="AE82" s="213"/>
      <c r="AF82" s="215"/>
      <c r="AG82" s="215"/>
      <c r="AH82" s="217"/>
      <c r="AI82" s="217"/>
      <c r="AJ82" s="213"/>
    </row>
    <row r="83" spans="1:36" ht="33.75" customHeight="1">
      <c r="A83" s="213"/>
      <c r="B83" s="214">
        <f ca="1">IFERROR(__xludf.DUMMYFUNCTION("""COMPUTED_VALUE"""),2874275)</f>
        <v>2874275</v>
      </c>
      <c r="C83" s="215" t="str">
        <f ca="1">IFERROR(__xludf.DUMMYFUNCTION("""COMPUTED_VALUE"""),"General")</f>
        <v>General</v>
      </c>
      <c r="D83" s="216" t="str">
        <f ca="1">IFERROR(__xludf.DUMMYFUNCTION("""COMPUTED_VALUE"""),"Outsourcing Management")</f>
        <v>Outsourcing Management</v>
      </c>
      <c r="E83" s="217"/>
      <c r="F83" s="213"/>
      <c r="G83" s="214"/>
      <c r="H83" s="215"/>
      <c r="I83" s="217"/>
      <c r="J83" s="217"/>
      <c r="K83" s="213"/>
      <c r="L83" s="215"/>
      <c r="M83" s="215"/>
      <c r="N83" s="217"/>
      <c r="O83" s="217"/>
      <c r="P83" s="213"/>
      <c r="Q83" s="215"/>
      <c r="R83" s="215"/>
      <c r="S83" s="217"/>
      <c r="T83" s="217"/>
      <c r="U83" s="213"/>
      <c r="V83" s="215"/>
      <c r="W83" s="215"/>
      <c r="X83" s="217"/>
      <c r="Y83" s="217"/>
      <c r="Z83" s="213"/>
      <c r="AA83" s="215"/>
      <c r="AB83" s="215"/>
      <c r="AC83" s="217"/>
      <c r="AD83" s="217"/>
      <c r="AE83" s="213"/>
      <c r="AF83" s="215"/>
      <c r="AG83" s="215"/>
      <c r="AH83" s="217"/>
      <c r="AI83" s="217"/>
      <c r="AJ83" s="213"/>
    </row>
    <row r="84" spans="1:36" ht="33.75" customHeight="1">
      <c r="A84" s="213"/>
      <c r="B84" s="214"/>
      <c r="C84" s="215"/>
      <c r="D84" s="216"/>
      <c r="E84" s="217"/>
      <c r="F84" s="213"/>
      <c r="G84" s="214"/>
      <c r="H84" s="215"/>
      <c r="I84" s="217"/>
      <c r="J84" s="217"/>
      <c r="K84" s="213"/>
      <c r="L84" s="215"/>
      <c r="M84" s="215"/>
      <c r="N84" s="217"/>
      <c r="O84" s="217"/>
      <c r="P84" s="213"/>
      <c r="Q84" s="215"/>
      <c r="R84" s="215"/>
      <c r="S84" s="217"/>
      <c r="T84" s="217"/>
      <c r="U84" s="213"/>
      <c r="V84" s="215"/>
      <c r="W84" s="215"/>
      <c r="X84" s="217"/>
      <c r="Y84" s="217"/>
      <c r="Z84" s="213"/>
      <c r="AA84" s="215"/>
      <c r="AB84" s="215"/>
      <c r="AC84" s="217"/>
      <c r="AD84" s="217"/>
      <c r="AE84" s="213"/>
      <c r="AF84" s="215"/>
      <c r="AG84" s="215"/>
      <c r="AH84" s="217"/>
      <c r="AI84" s="217"/>
      <c r="AJ84" s="213"/>
    </row>
    <row r="85" spans="1:36" ht="33.75" customHeight="1">
      <c r="A85" s="213"/>
      <c r="B85" s="214"/>
      <c r="C85" s="215"/>
      <c r="D85" s="216"/>
      <c r="E85" s="217"/>
      <c r="F85" s="213"/>
      <c r="G85" s="214"/>
      <c r="H85" s="215"/>
      <c r="I85" s="217"/>
      <c r="J85" s="217"/>
      <c r="K85" s="213"/>
      <c r="L85" s="215"/>
      <c r="M85" s="215"/>
      <c r="N85" s="217"/>
      <c r="O85" s="217"/>
      <c r="P85" s="213"/>
      <c r="Q85" s="215"/>
      <c r="R85" s="215"/>
      <c r="S85" s="217"/>
      <c r="T85" s="217"/>
      <c r="U85" s="213"/>
      <c r="V85" s="215"/>
      <c r="W85" s="215"/>
      <c r="X85" s="217"/>
      <c r="Y85" s="217"/>
      <c r="Z85" s="213"/>
      <c r="AA85" s="215"/>
      <c r="AB85" s="215"/>
      <c r="AC85" s="217"/>
      <c r="AD85" s="217"/>
      <c r="AE85" s="213"/>
      <c r="AF85" s="215"/>
      <c r="AG85" s="215"/>
      <c r="AH85" s="217"/>
      <c r="AI85" s="217"/>
      <c r="AJ85" s="213"/>
    </row>
    <row r="86" spans="1:36" ht="33.75" customHeight="1">
      <c r="A86" s="213"/>
      <c r="B86" s="214"/>
      <c r="C86" s="215"/>
      <c r="D86" s="216"/>
      <c r="E86" s="217"/>
      <c r="F86" s="213"/>
      <c r="G86" s="214"/>
      <c r="H86" s="215"/>
      <c r="I86" s="217"/>
      <c r="J86" s="217"/>
      <c r="K86" s="213"/>
      <c r="L86" s="215"/>
      <c r="M86" s="215"/>
      <c r="N86" s="217"/>
      <c r="O86" s="217"/>
      <c r="P86" s="213"/>
      <c r="Q86" s="215"/>
      <c r="R86" s="215"/>
      <c r="S86" s="217"/>
      <c r="T86" s="217"/>
      <c r="U86" s="213"/>
      <c r="V86" s="215"/>
      <c r="W86" s="215"/>
      <c r="X86" s="217"/>
      <c r="Y86" s="217"/>
      <c r="Z86" s="213"/>
      <c r="AA86" s="215"/>
      <c r="AB86" s="215"/>
      <c r="AC86" s="217"/>
      <c r="AD86" s="217"/>
      <c r="AE86" s="213"/>
      <c r="AF86" s="215"/>
      <c r="AG86" s="215"/>
      <c r="AH86" s="217"/>
      <c r="AI86" s="217"/>
      <c r="AJ86" s="213"/>
    </row>
    <row r="87" spans="1:36" ht="33.75" customHeight="1">
      <c r="A87" s="213"/>
      <c r="B87" s="214"/>
      <c r="C87" s="215"/>
      <c r="D87" s="216"/>
      <c r="E87" s="217"/>
      <c r="F87" s="213"/>
      <c r="G87" s="214"/>
      <c r="H87" s="215"/>
      <c r="I87" s="217"/>
      <c r="J87" s="217"/>
      <c r="K87" s="213"/>
      <c r="L87" s="215"/>
      <c r="M87" s="215"/>
      <c r="N87" s="217"/>
      <c r="O87" s="217"/>
      <c r="P87" s="213"/>
      <c r="Q87" s="215"/>
      <c r="R87" s="215"/>
      <c r="S87" s="217"/>
      <c r="T87" s="217"/>
      <c r="U87" s="213"/>
      <c r="V87" s="215"/>
      <c r="W87" s="215"/>
      <c r="X87" s="217"/>
      <c r="Y87" s="217"/>
      <c r="Z87" s="213"/>
      <c r="AA87" s="215"/>
      <c r="AB87" s="215"/>
      <c r="AC87" s="217"/>
      <c r="AD87" s="217"/>
      <c r="AE87" s="213"/>
      <c r="AF87" s="215"/>
      <c r="AG87" s="215"/>
      <c r="AH87" s="217"/>
      <c r="AI87" s="217"/>
      <c r="AJ87" s="213"/>
    </row>
    <row r="88" spans="1:36" ht="33.75" customHeight="1">
      <c r="A88" s="213"/>
      <c r="B88" s="214"/>
      <c r="C88" s="215"/>
      <c r="D88" s="217"/>
      <c r="E88" s="217"/>
      <c r="F88" s="213"/>
      <c r="G88" s="214"/>
      <c r="H88" s="215"/>
      <c r="I88" s="217"/>
      <c r="J88" s="217"/>
      <c r="K88" s="213"/>
      <c r="L88" s="215"/>
      <c r="M88" s="215"/>
      <c r="N88" s="217"/>
      <c r="O88" s="217"/>
      <c r="P88" s="213"/>
      <c r="Q88" s="215"/>
      <c r="R88" s="215"/>
      <c r="S88" s="217"/>
      <c r="T88" s="217"/>
      <c r="U88" s="213"/>
      <c r="V88" s="215"/>
      <c r="W88" s="215"/>
      <c r="X88" s="217"/>
      <c r="Y88" s="217"/>
      <c r="Z88" s="213"/>
      <c r="AA88" s="215"/>
      <c r="AB88" s="215"/>
      <c r="AC88" s="217"/>
      <c r="AD88" s="217"/>
      <c r="AE88" s="213"/>
      <c r="AF88" s="215"/>
      <c r="AG88" s="215"/>
      <c r="AH88" s="217"/>
      <c r="AI88" s="217"/>
      <c r="AJ88" s="213"/>
    </row>
    <row r="89" spans="1:36" ht="16">
      <c r="A89" s="213"/>
      <c r="B89" s="214"/>
      <c r="C89" s="215"/>
      <c r="D89" s="216"/>
      <c r="E89" s="217"/>
      <c r="F89" s="213"/>
      <c r="G89" s="214"/>
      <c r="H89" s="215"/>
      <c r="I89" s="217"/>
      <c r="J89" s="217"/>
      <c r="K89" s="213"/>
      <c r="L89" s="215"/>
      <c r="M89" s="215"/>
      <c r="N89" s="217"/>
      <c r="O89" s="217"/>
      <c r="P89" s="213"/>
      <c r="Q89" s="215"/>
      <c r="R89" s="215"/>
      <c r="S89" s="217"/>
      <c r="T89" s="217"/>
      <c r="U89" s="213"/>
      <c r="V89" s="215"/>
      <c r="W89" s="215"/>
      <c r="X89" s="217"/>
      <c r="Y89" s="217"/>
      <c r="Z89" s="213"/>
      <c r="AA89" s="215"/>
      <c r="AB89" s="215"/>
      <c r="AC89" s="217"/>
      <c r="AD89" s="217"/>
      <c r="AE89" s="213"/>
      <c r="AF89" s="215"/>
      <c r="AG89" s="215"/>
      <c r="AH89" s="217"/>
      <c r="AI89" s="217"/>
      <c r="AJ89" s="213"/>
    </row>
    <row r="90" spans="1:36" ht="16">
      <c r="A90" s="213"/>
      <c r="B90" s="214"/>
      <c r="C90" s="215"/>
      <c r="D90" s="216"/>
      <c r="E90" s="217"/>
      <c r="F90" s="213"/>
      <c r="G90" s="214"/>
      <c r="H90" s="215"/>
      <c r="I90" s="217"/>
      <c r="J90" s="217"/>
      <c r="K90" s="213"/>
      <c r="L90" s="215"/>
      <c r="M90" s="215"/>
      <c r="N90" s="217"/>
      <c r="O90" s="217"/>
      <c r="P90" s="213"/>
      <c r="Q90" s="215"/>
      <c r="R90" s="215"/>
      <c r="S90" s="217"/>
      <c r="T90" s="217"/>
      <c r="U90" s="213"/>
      <c r="V90" s="215"/>
      <c r="W90" s="215"/>
      <c r="X90" s="217"/>
      <c r="Y90" s="217"/>
      <c r="Z90" s="213"/>
      <c r="AA90" s="215"/>
      <c r="AB90" s="215"/>
      <c r="AC90" s="217"/>
      <c r="AD90" s="217"/>
      <c r="AE90" s="213"/>
      <c r="AF90" s="215"/>
      <c r="AG90" s="215"/>
      <c r="AH90" s="217"/>
      <c r="AI90" s="217"/>
      <c r="AJ90" s="213"/>
    </row>
    <row r="91" spans="1:36" ht="16">
      <c r="A91" s="213"/>
      <c r="B91" s="214"/>
      <c r="C91" s="215"/>
      <c r="D91" s="216"/>
      <c r="E91" s="217"/>
      <c r="F91" s="213"/>
      <c r="G91" s="214"/>
      <c r="H91" s="215"/>
      <c r="I91" s="217"/>
      <c r="J91" s="217"/>
      <c r="K91" s="213"/>
      <c r="L91" s="215"/>
      <c r="M91" s="215"/>
      <c r="N91" s="217"/>
      <c r="O91" s="217"/>
      <c r="P91" s="213"/>
      <c r="Q91" s="215"/>
      <c r="R91" s="215"/>
      <c r="S91" s="217"/>
      <c r="T91" s="217"/>
      <c r="U91" s="213"/>
      <c r="V91" s="215"/>
      <c r="W91" s="215"/>
      <c r="X91" s="217"/>
      <c r="Y91" s="217"/>
      <c r="Z91" s="213"/>
      <c r="AA91" s="215"/>
      <c r="AB91" s="215"/>
      <c r="AC91" s="217"/>
      <c r="AD91" s="217"/>
      <c r="AE91" s="213"/>
      <c r="AF91" s="215"/>
      <c r="AG91" s="215"/>
      <c r="AH91" s="217"/>
      <c r="AI91" s="217"/>
      <c r="AJ91" s="213"/>
    </row>
    <row r="92" spans="1:36" ht="16">
      <c r="A92" s="213"/>
      <c r="B92" s="214"/>
      <c r="C92" s="215"/>
      <c r="D92" s="216"/>
      <c r="E92" s="217"/>
      <c r="F92" s="213"/>
      <c r="G92" s="214"/>
      <c r="H92" s="215"/>
      <c r="I92" s="217"/>
      <c r="J92" s="217"/>
      <c r="K92" s="213"/>
      <c r="L92" s="215"/>
      <c r="M92" s="215"/>
      <c r="N92" s="217"/>
      <c r="O92" s="217"/>
      <c r="P92" s="213"/>
      <c r="Q92" s="215"/>
      <c r="R92" s="215"/>
      <c r="S92" s="217"/>
      <c r="T92" s="217"/>
      <c r="U92" s="213"/>
      <c r="V92" s="215"/>
      <c r="W92" s="215"/>
      <c r="X92" s="217"/>
      <c r="Y92" s="217"/>
      <c r="Z92" s="213"/>
      <c r="AA92" s="215"/>
      <c r="AB92" s="215"/>
      <c r="AC92" s="217"/>
      <c r="AD92" s="217"/>
      <c r="AE92" s="213"/>
      <c r="AF92" s="215"/>
      <c r="AG92" s="215"/>
      <c r="AH92" s="217"/>
      <c r="AI92" s="217"/>
      <c r="AJ92" s="213"/>
    </row>
    <row r="93" spans="1:36" ht="16">
      <c r="A93" s="213"/>
      <c r="B93" s="214"/>
      <c r="C93" s="215"/>
      <c r="D93" s="216"/>
      <c r="E93" s="217"/>
      <c r="F93" s="213"/>
      <c r="G93" s="214"/>
      <c r="H93" s="215"/>
      <c r="I93" s="217"/>
      <c r="J93" s="217"/>
      <c r="K93" s="213"/>
      <c r="L93" s="215"/>
      <c r="M93" s="215"/>
      <c r="N93" s="217"/>
      <c r="O93" s="217"/>
      <c r="P93" s="213"/>
      <c r="Q93" s="215"/>
      <c r="R93" s="215"/>
      <c r="S93" s="217"/>
      <c r="T93" s="217"/>
      <c r="U93" s="213"/>
      <c r="V93" s="215"/>
      <c r="W93" s="215"/>
      <c r="X93" s="217"/>
      <c r="Y93" s="217"/>
      <c r="Z93" s="213"/>
      <c r="AA93" s="215"/>
      <c r="AB93" s="215"/>
      <c r="AC93" s="217"/>
      <c r="AD93" s="217"/>
      <c r="AE93" s="213"/>
      <c r="AF93" s="215"/>
      <c r="AG93" s="215"/>
      <c r="AH93" s="217"/>
      <c r="AI93" s="217"/>
      <c r="AJ93" s="213"/>
    </row>
    <row r="94" spans="1:36" ht="16">
      <c r="A94" s="213"/>
      <c r="B94" s="214"/>
      <c r="C94" s="215"/>
      <c r="D94" s="216"/>
      <c r="E94" s="217"/>
      <c r="F94" s="213"/>
      <c r="G94" s="214"/>
      <c r="H94" s="215"/>
      <c r="I94" s="217"/>
      <c r="J94" s="217"/>
      <c r="K94" s="213"/>
      <c r="L94" s="215"/>
      <c r="M94" s="215"/>
      <c r="N94" s="217"/>
      <c r="O94" s="217"/>
      <c r="P94" s="213"/>
      <c r="Q94" s="215"/>
      <c r="R94" s="215"/>
      <c r="S94" s="217"/>
      <c r="T94" s="217"/>
      <c r="U94" s="213"/>
      <c r="V94" s="215"/>
      <c r="W94" s="215"/>
      <c r="X94" s="217"/>
      <c r="Y94" s="217"/>
      <c r="Z94" s="213"/>
      <c r="AA94" s="215"/>
      <c r="AB94" s="215"/>
      <c r="AC94" s="217"/>
      <c r="AD94" s="217"/>
      <c r="AE94" s="213"/>
      <c r="AF94" s="215"/>
      <c r="AG94" s="215"/>
      <c r="AH94" s="217"/>
      <c r="AI94" s="217"/>
      <c r="AJ94" s="213"/>
    </row>
    <row r="95" spans="1:36" ht="16">
      <c r="A95" s="213"/>
      <c r="B95" s="214"/>
      <c r="C95" s="215"/>
      <c r="D95" s="216"/>
      <c r="E95" s="217"/>
      <c r="F95" s="213"/>
      <c r="G95" s="214"/>
      <c r="H95" s="215"/>
      <c r="I95" s="217"/>
      <c r="J95" s="217"/>
      <c r="K95" s="213"/>
      <c r="L95" s="215"/>
      <c r="M95" s="215"/>
      <c r="N95" s="217"/>
      <c r="O95" s="217"/>
      <c r="P95" s="213"/>
      <c r="Q95" s="215"/>
      <c r="R95" s="215"/>
      <c r="S95" s="217"/>
      <c r="T95" s="217"/>
      <c r="U95" s="213"/>
      <c r="V95" s="215"/>
      <c r="W95" s="215"/>
      <c r="X95" s="217"/>
      <c r="Y95" s="217"/>
      <c r="Z95" s="213"/>
      <c r="AA95" s="215"/>
      <c r="AB95" s="215"/>
      <c r="AC95" s="217"/>
      <c r="AD95" s="217"/>
      <c r="AE95" s="213"/>
      <c r="AF95" s="215"/>
      <c r="AG95" s="215"/>
      <c r="AH95" s="217"/>
      <c r="AI95" s="217"/>
      <c r="AJ95" s="213"/>
    </row>
    <row r="96" spans="1:36" ht="16">
      <c r="A96" s="213"/>
      <c r="B96" s="214"/>
      <c r="C96" s="215"/>
      <c r="D96" s="217"/>
      <c r="E96" s="217"/>
      <c r="F96" s="213"/>
      <c r="G96" s="214"/>
      <c r="H96" s="215"/>
      <c r="I96" s="217"/>
      <c r="J96" s="217"/>
      <c r="K96" s="213"/>
      <c r="L96" s="215"/>
      <c r="M96" s="215"/>
      <c r="N96" s="217"/>
      <c r="O96" s="217"/>
      <c r="P96" s="213"/>
      <c r="Q96" s="215"/>
      <c r="R96" s="215"/>
      <c r="S96" s="217"/>
      <c r="T96" s="217"/>
      <c r="U96" s="213"/>
      <c r="V96" s="215"/>
      <c r="W96" s="215"/>
      <c r="X96" s="217"/>
      <c r="Y96" s="217"/>
      <c r="Z96" s="213"/>
      <c r="AA96" s="215"/>
      <c r="AB96" s="215"/>
      <c r="AC96" s="217"/>
      <c r="AD96" s="217"/>
      <c r="AE96" s="213"/>
      <c r="AF96" s="215"/>
      <c r="AG96" s="215"/>
      <c r="AH96" s="217"/>
      <c r="AI96" s="217"/>
      <c r="AJ96" s="213"/>
    </row>
    <row r="97" spans="1:36" ht="16">
      <c r="A97" s="213"/>
      <c r="B97" s="214"/>
      <c r="C97" s="215"/>
      <c r="D97" s="217"/>
      <c r="E97" s="217"/>
      <c r="F97" s="213"/>
      <c r="G97" s="214"/>
      <c r="H97" s="215"/>
      <c r="I97" s="217"/>
      <c r="J97" s="217"/>
      <c r="K97" s="213"/>
      <c r="L97" s="215"/>
      <c r="M97" s="215"/>
      <c r="N97" s="217"/>
      <c r="O97" s="217"/>
      <c r="P97" s="213"/>
      <c r="Q97" s="215"/>
      <c r="R97" s="215"/>
      <c r="S97" s="217"/>
      <c r="T97" s="217"/>
      <c r="U97" s="213"/>
      <c r="V97" s="215"/>
      <c r="W97" s="215"/>
      <c r="X97" s="217"/>
      <c r="Y97" s="217"/>
      <c r="Z97" s="213"/>
      <c r="AA97" s="215"/>
      <c r="AB97" s="215"/>
      <c r="AC97" s="217"/>
      <c r="AD97" s="217"/>
      <c r="AE97" s="213"/>
      <c r="AF97" s="215"/>
      <c r="AG97" s="215"/>
      <c r="AH97" s="217"/>
      <c r="AI97" s="217"/>
      <c r="AJ97" s="213"/>
    </row>
    <row r="98" spans="1:36" ht="16">
      <c r="A98" s="213"/>
      <c r="B98" s="214"/>
      <c r="C98" s="215"/>
      <c r="D98" s="217"/>
      <c r="E98" s="217"/>
      <c r="F98" s="213"/>
      <c r="G98" s="214"/>
      <c r="H98" s="215"/>
      <c r="I98" s="217"/>
      <c r="J98" s="217"/>
      <c r="K98" s="213"/>
      <c r="L98" s="215"/>
      <c r="M98" s="215"/>
      <c r="N98" s="217"/>
      <c r="O98" s="217"/>
      <c r="P98" s="213"/>
      <c r="Q98" s="215"/>
      <c r="R98" s="215"/>
      <c r="S98" s="217"/>
      <c r="T98" s="217"/>
      <c r="U98" s="213"/>
      <c r="V98" s="215"/>
      <c r="W98" s="215"/>
      <c r="X98" s="217"/>
      <c r="Y98" s="217"/>
      <c r="Z98" s="213"/>
      <c r="AA98" s="215"/>
      <c r="AB98" s="215"/>
      <c r="AC98" s="217"/>
      <c r="AD98" s="217"/>
      <c r="AE98" s="213"/>
      <c r="AF98" s="215"/>
      <c r="AG98" s="215"/>
      <c r="AH98" s="217"/>
      <c r="AI98" s="217"/>
      <c r="AJ98" s="213"/>
    </row>
    <row r="99" spans="1:36" ht="16">
      <c r="A99" s="213"/>
      <c r="B99" s="214"/>
      <c r="C99" s="215"/>
      <c r="D99" s="217"/>
      <c r="E99" s="217"/>
      <c r="F99" s="213"/>
      <c r="G99" s="214"/>
      <c r="H99" s="215"/>
      <c r="I99" s="218"/>
      <c r="J99" s="219"/>
      <c r="K99" s="213"/>
      <c r="L99" s="215"/>
      <c r="M99" s="215"/>
      <c r="N99" s="220"/>
      <c r="O99" s="220"/>
      <c r="P99" s="213"/>
      <c r="Q99" s="215"/>
      <c r="R99" s="215"/>
      <c r="S99" s="220"/>
      <c r="T99" s="220"/>
      <c r="U99" s="213"/>
      <c r="V99" s="215"/>
      <c r="W99" s="215"/>
      <c r="X99" s="220"/>
      <c r="Y99" s="220"/>
      <c r="Z99" s="213"/>
      <c r="AA99" s="215"/>
      <c r="AB99" s="215"/>
      <c r="AC99" s="221"/>
      <c r="AD99" s="221"/>
      <c r="AE99" s="213"/>
      <c r="AF99" s="215"/>
      <c r="AG99" s="215"/>
      <c r="AH99" s="220"/>
      <c r="AI99" s="220"/>
      <c r="AJ99" s="213"/>
    </row>
  </sheetData>
  <mergeCells count="14">
    <mergeCell ref="B1:E1"/>
    <mergeCell ref="L1:O1"/>
    <mergeCell ref="V1:Y1"/>
    <mergeCell ref="AF1:AI1"/>
    <mergeCell ref="B2:E2"/>
    <mergeCell ref="L2:O2"/>
    <mergeCell ref="V2:Y2"/>
    <mergeCell ref="AF2:AI2"/>
    <mergeCell ref="G1:J1"/>
    <mergeCell ref="G2:J2"/>
    <mergeCell ref="Q1:T1"/>
    <mergeCell ref="Q2:T2"/>
    <mergeCell ref="AA1:AD1"/>
    <mergeCell ref="AA2:AD2"/>
  </mergeCells>
  <hyperlinks>
    <hyperlink ref="D4" r:id="rId1" display="https://www.linkedin.com/learning/agile-software-development-creating-an-agile-culture?trk=ondemandfile" xr:uid="{00000000-0004-0000-1A00-000000000000}"/>
    <hyperlink ref="E4" r:id="rId2" display="https://www.linkedin.com/learning/paths/become-a-business-operations-associate?trk=ondemandfile" xr:uid="{00000000-0004-0000-1A00-000001000000}"/>
    <hyperlink ref="N4" r:id="rId3" display="https://www.linkedin.com/learning/agile-en-accion-construye-tu-equipo-agil?trk=ondemandfile" xr:uid="{00000000-0004-0000-1A00-000002000000}"/>
    <hyperlink ref="S4" r:id="rId4" display="https://www.linkedin.com/learning/azure-devops-grundkurs?trk=ondemandfile" xr:uid="{00000000-0004-0000-1A00-000003000000}"/>
    <hyperlink ref="T4" r:id="rId5" display="https://www.linkedin.com/learning/paths/six-sigma-green-belt-werden?trk=ondemandfile" xr:uid="{00000000-0004-0000-1A00-000004000000}"/>
    <hyperlink ref="X4" r:id="rId6" display="https://www.linkedin.com/learning/operations-management-foundations-9360167?trk=contentmappingfile" xr:uid="{00000000-0004-0000-1A00-000005000000}"/>
    <hyperlink ref="AD4" r:id="rId7" display="https://www.linkedin.com/learning/paths/torne-se-um-gestor-de-projetos?trk=ondemandfile" xr:uid="{00000000-0004-0000-1A00-000006000000}"/>
    <hyperlink ref="AH4" r:id="rId8" display="https://www.linkedin.com/learning/devops-foundations-2?trk=ondemandfile" xr:uid="{00000000-0004-0000-1A00-000007000000}"/>
    <hyperlink ref="AI4" r:id="rId9" display="https://www.linkedin.com/learning/paths/15e85c29-5b7c-3b12-a882-4bfdeb3c83c7?trk=ondemandfile" xr:uid="{00000000-0004-0000-1A00-000008000000}"/>
    <hyperlink ref="D5" r:id="rId10" display="https://www.linkedin.com/learning/mergers-acquisitions?trk=ondemandfile" xr:uid="{00000000-0004-0000-1A00-000009000000}"/>
    <hyperlink ref="E5" r:id="rId11" display="https://www.linkedin.com/learning/paths/becoming-a-six-sigma-black-belt?trk=ondemandfile" xr:uid="{00000000-0004-0000-1A00-00000A000000}"/>
    <hyperlink ref="N5" r:id="rId12" display="https://www.linkedin.com/learning/aprende-a-usar-la-metodologia-lean?trk=ondemandfile" xr:uid="{00000000-0004-0000-1A00-00000B000000}"/>
    <hyperlink ref="S5" r:id="rId13" display="https://www.linkedin.com/learning/betriebsmanagement-grundlagen?trk=ondemandfile" xr:uid="{00000000-0004-0000-1A00-00000C000000}"/>
    <hyperlink ref="T5" r:id="rId14" display="https://www.linkedin.com/learning/paths/six-sigma-black-belt-werden?trk=ondemandfile" xr:uid="{00000000-0004-0000-1A00-00000D000000}"/>
    <hyperlink ref="X5" r:id="rId15" display="https://www.linkedin.com/learning/supply-chain-foundations-16373958?trk=contentmappingfile" xr:uid="{00000000-0004-0000-1A00-00000E000000}"/>
    <hyperlink ref="AD5" r:id="rId16" display="https://www.linkedin.com/learning/paths/trabalho-remoto-colaboracao-foco-e-produtividade?trk=ondemandfile" xr:uid="{00000000-0004-0000-1A00-00000F000000}"/>
    <hyperlink ref="AH5" r:id="rId17" display="https://www.linkedin.com/learning/mergers-acquisitions-fundamentals?trk=ondemandfile" xr:uid="{00000000-0004-0000-1A00-000010000000}"/>
    <hyperlink ref="AI5" r:id="rId18" display="https://www.linkedin.com/learning/paths/2d050229-0442-3320-8921-9151a1345b8e?trk=ondemandfile" xr:uid="{00000000-0004-0000-1A00-000011000000}"/>
    <hyperlink ref="D6" r:id="rId19" display="https://www.linkedin.com/learning/sustainability-strategies?trk=ondemandfile" xr:uid="{00000000-0004-0000-1A00-000012000000}"/>
    <hyperlink ref="E6" r:id="rId20" display="https://www.linkedin.com/learning/paths/becoming-a-six-sigma-green-belt?trk=ondemandfile" xr:uid="{00000000-0004-0000-1A00-000013000000}"/>
    <hyperlink ref="N6" r:id="rId21" display="https://www.linkedin.com/learning/aprende-las-bases-de-las-cadenas-de-suministro?trk=ondemandfile" xr:uid="{00000000-0004-0000-1A00-000014000000}"/>
    <hyperlink ref="S6" r:id="rId22" display="https://www.linkedin.com/learning/devops-grundkurs?trk=ondemandfile" xr:uid="{00000000-0004-0000-1A00-000015000000}"/>
    <hyperlink ref="T6" r:id="rId23" display="https://www.linkedin.com/learning/paths/ihr-weg-zum-devops-engineer?trk=ondemandfile" xr:uid="{00000000-0004-0000-1A00-000016000000}"/>
    <hyperlink ref="X6" r:id="rId24" display="https://www.linkedin.com/learning/six-sigma-green-belt-4?trk=ondemandfile" xr:uid="{00000000-0004-0000-1A00-000017000000}"/>
    <hyperlink ref="AH6" r:id="rId25" display="https://www.linkedin.com/learning/enterprise-agile-growing-scrum-2?trk=contentmappingfile" xr:uid="{00000000-0004-0000-1A00-000018000000}"/>
    <hyperlink ref="D7" r:id="rId26" display="https://www.linkedin.com/learning/lean-technology-strategy-purposeful-organizations?trk=ondemandfile" xr:uid="{00000000-0004-0000-1A00-000019000000}"/>
    <hyperlink ref="E7" r:id="rId27" display="https://www.linkedin.com/learning/paths/become-a-six-sigma-yellow-belt?trk=ondemandfile" xr:uid="{00000000-0004-0000-1A00-00001A000000}"/>
    <hyperlink ref="N7" r:id="rId28" display="https://www.linkedin.com/learning/como-crear-una-cultura-de-alto-rendimiento?trk=ondemandfile" xr:uid="{00000000-0004-0000-1A00-00001B000000}"/>
    <hyperlink ref="S7" r:id="rId29" display="https://www.linkedin.com/learning/grundlagen-der-prozessverbesserung?trk=ondemandfile" xr:uid="{00000000-0004-0000-1A00-00001C000000}"/>
    <hyperlink ref="X7" r:id="rId30" display="https://www.linkedin.com/learning/six-sigma-foundations-3?trk=ondemandfile" xr:uid="{00000000-0004-0000-1A00-00001D000000}"/>
    <hyperlink ref="AH7" r:id="rId31" display="https://www.linkedin.com/learning/characteristics-of-a-great-scrum-master-3?trk=ondemandfile" xr:uid="{00000000-0004-0000-1A00-00001E000000}"/>
    <hyperlink ref="D8" r:id="rId32" display="https://www.linkedin.com/learning/lean-technology-strategy-financial-management-to-support-business-agility?trk=ondemandfile" xr:uid="{00000000-0004-0000-1A00-00001F000000}"/>
    <hyperlink ref="E8" r:id="rId33" display="https://www.linkedin.com/learning/paths/build-a-privacy-program?trk=ondemandfile" xr:uid="{00000000-0004-0000-1A00-000020000000}"/>
    <hyperlink ref="N8" r:id="rId34" display="https://www.linkedin.com/learning/como-mejorar-el-rendimiento-de-tu-personal?trk=contentmappingfile" xr:uid="{00000000-0004-0000-1A00-000021000000}"/>
    <hyperlink ref="S8" r:id="rId35" display="https://www.linkedin.com/learning/lean-six-sigma-grundlagen?trk=ondemandfile" xr:uid="{00000000-0004-0000-1A00-000022000000}"/>
    <hyperlink ref="X8" r:id="rId36" display="https://www.linkedin.com/learning/developing-business-acumen-2?trk=ondemandfile" xr:uid="{00000000-0004-0000-1A00-000023000000}"/>
    <hyperlink ref="AH8" r:id="rId37" display="https://www.linkedin.com/learning/supply-chain-basics-for-everyone-2?trk=contentmappingfile" xr:uid="{00000000-0004-0000-1A00-000024000000}"/>
    <hyperlink ref="D9" r:id="rId38" display="https://www.linkedin.com/learning/digital-transformation-2?trk=ondemandfile" xr:uid="{00000000-0004-0000-1A00-000025000000}"/>
    <hyperlink ref="E9" r:id="rId39" display="https://www.linkedin.com/learning/paths/improve-processes-and-deliver-operational-excellence?trk=ondemandfile" xr:uid="{00000000-0004-0000-1A00-000026000000}"/>
    <hyperlink ref="I9" r:id="rId40" display="https://www.linkedin.com/learning/les-fondements-du-lean-six-sigma?trk=contentmappingfile" xr:uid="{00000000-0004-0000-1A00-000027000000}"/>
    <hyperlink ref="N9" r:id="rId41" display="https://www.linkedin.com/learning/como-ser-parte-de-un-ambiente-de-trabajo-positivo?trk=ondemandfile" xr:uid="{00000000-0004-0000-1A00-000028000000}"/>
    <hyperlink ref="S9" r:id="rId42" display="https://www.linkedin.com/learning/microsoft-azure-policy-fur-devops?trk=contentmappingfile" xr:uid="{00000000-0004-0000-1A00-000029000000}"/>
    <hyperlink ref="X9" r:id="rId43" display="https://www.linkedin.com/learning/process-improvement-foundations-3?trk=ondemandfile" xr:uid="{00000000-0004-0000-1A00-00002A000000}"/>
    <hyperlink ref="AH9" r:id="rId44" display="https://www.linkedin.com/learning/supply-chain-foundations-2?trk=contentmappingfile" xr:uid="{00000000-0004-0000-1A00-00002B000000}"/>
    <hyperlink ref="D10" r:id="rId45" display="https://www.linkedin.com/learning/creating-a-product-centric-organization?trk=ondemandfile" xr:uid="{00000000-0004-0000-1A00-00002C000000}"/>
    <hyperlink ref="E10" r:id="rId46" display="https://www.linkedin.com/learning/paths/improve-your-continuous-delivery-skills?trk=ondemandfile" xr:uid="{00000000-0004-0000-1A00-00002D000000}"/>
    <hyperlink ref="N10" r:id="rId47" display="https://www.linkedin.com/learning/designops-habilidades-personales-esencial?trk=ondemandfile" xr:uid="{00000000-0004-0000-1A00-00002E000000}"/>
    <hyperlink ref="S10" r:id="rId48" display="https://www.linkedin.com/learning/operative-exzellenz-grundlagen?trk=ondemandfile" xr:uid="{00000000-0004-0000-1A00-00002F000000}"/>
    <hyperlink ref="AH10" r:id="rId49" display="https://www.linkedin.com/learning/six-sigma-foundations-2?trk=ondemandfile" xr:uid="{00000000-0004-0000-1A00-000030000000}"/>
    <hyperlink ref="D11" r:id="rId50" display="https://www.linkedin.com/learning/cybersecurity-for-executives?trk=ondemandfile" xr:uid="{00000000-0004-0000-1A00-000031000000}"/>
    <hyperlink ref="E11" r:id="rId51" display="https://www.linkedin.com/learning/paths/stay-ahead-in-sustainability-and-green-building?trk=ondemandfile" xr:uid="{00000000-0004-0000-1A00-000032000000}"/>
    <hyperlink ref="N11" r:id="rId52" display="https://www.linkedin.com/learning/00-devops-esencial?trk=ondemandfile" xr:uid="{00000000-0004-0000-1A00-000033000000}"/>
    <hyperlink ref="S11" r:id="rId53" display="https://www.linkedin.com/learning/six-sigma-grundlagen?trk=ondemandfile" xr:uid="{00000000-0004-0000-1A00-000034000000}"/>
    <hyperlink ref="AC11" r:id="rId54" display="https://www.linkedin.com/learning/fundamentos-da-criatividade-o-processo-de-criacao-de-ideias?trk=contentmappingfile" xr:uid="{00000000-0004-0000-1A00-000035000000}"/>
    <hyperlink ref="AH11" r:id="rId55" display="https://www.linkedin.com/learning/six-sigma-green-belt-3?trk=ondemandfile" xr:uid="{00000000-0004-0000-1A00-000036000000}"/>
    <hyperlink ref="D12" r:id="rId56" display="https://www.linkedin.com/learning/reid-hoffman-and-chris-yeh-on-blitzscaling?trk=ondemandfile" xr:uid="{00000000-0004-0000-1A00-000037000000}"/>
    <hyperlink ref="E12" r:id="rId57" display="https://www.linkedin.com/learning/paths/stay-competitive-using-design-thinking?trk=ondemandfile" xr:uid="{00000000-0004-0000-1A00-000038000000}"/>
    <hyperlink ref="N12" r:id="rId58" display="https://www.linkedin.com/learning/el-futuro-de-la-gestion-del-rendimiento?trk=ondemandfile" xr:uid="{00000000-0004-0000-1A00-000039000000}"/>
    <hyperlink ref="S12" r:id="rId59" display="https://www.linkedin.com/learning/six-sigma-black-belt-3?trk=ondemandfile" xr:uid="{00000000-0004-0000-1A00-00003A000000}"/>
    <hyperlink ref="AH12" r:id="rId60" display="https://www.linkedin.com/learning/six-sigma-black-belt-5?trk=ondemandfile" xr:uid="{00000000-0004-0000-1A00-00003B000000}"/>
    <hyperlink ref="D13" r:id="rId61" display="https://www.linkedin.com/learning/skip-level-meetings?trk=ondemandfile" xr:uid="{00000000-0004-0000-1A00-00003C000000}"/>
    <hyperlink ref="E13" r:id="rId62" display="https://www.linkedin.com/learning/paths/understand-gdpr-and-data-privacy?trk=ondemandfile" xr:uid="{00000000-0004-0000-1A00-00003D000000}"/>
    <hyperlink ref="N13" r:id="rId63" display="https://www.linkedin.com/learning/facilitacion-de-la-excelencia-operativa-y-kaizen?trk=contentmappingfile" xr:uid="{00000000-0004-0000-1A00-00003E000000}"/>
    <hyperlink ref="S13" r:id="rId64" display="https://www.linkedin.com/learning/six-sigma-green-belt-2?trk=ondemandfile" xr:uid="{00000000-0004-0000-1A00-00003F000000}"/>
    <hyperlink ref="AH13" r:id="rId65" display="https://www.linkedin.com/learning/creating-a-high-performance-culture-4?trk=ondemandfile" xr:uid="{00000000-0004-0000-1A00-000040000000}"/>
    <hyperlink ref="D14" r:id="rId66" display="https://www.linkedin.com/learning/creating-a-culture-of-privacy?trk=ondemandfile" xr:uid="{00000000-0004-0000-1A00-000041000000}"/>
    <hyperlink ref="N14" r:id="rId67" display="https://www.linkedin.com/learning/fundamentos-de-la-excelencia-operativa?trk=ondemandfile" xr:uid="{00000000-0004-0000-1A00-000042000000}"/>
    <hyperlink ref="S14" r:id="rId68" display="https://www.linkedin.com/learning/die-teamleistung-messen?trk=ondemandfile" xr:uid="{00000000-0004-0000-1A00-000043000000}"/>
    <hyperlink ref="AH14" r:id="rId69" display="https://www.linkedin.com/learning/operational-excellence-work-out-and-kaizen-facilitator-15912440?trk=contentmappingfile" xr:uid="{00000000-0004-0000-1A00-000044000000}"/>
    <hyperlink ref="D15" r:id="rId70" display="https://www.linkedin.com/learning/scaling-up-excellence?trk=ondemandfile" xr:uid="{00000000-0004-0000-1A00-000045000000}"/>
    <hyperlink ref="N15" r:id="rId71" display="https://www.linkedin.com/learning/fundamentos-de-la-gestion-de-operaciones?trk=ondemandfile" xr:uid="{00000000-0004-0000-1A00-000046000000}"/>
    <hyperlink ref="AH15" r:id="rId72" display="https://www.linkedin.com/learning/operational-excellence-foundations-4?trk=ondemandfile" xr:uid="{00000000-0004-0000-1A00-000047000000}"/>
    <hyperlink ref="D16" r:id="rId73" display="https://www.linkedin.com/learning/organization-design?trk=ondemandfile" xr:uid="{00000000-0004-0000-1A00-000048000000}"/>
    <hyperlink ref="N16" r:id="rId74" display="https://www.linkedin.com/learning/00-process-improvement-fundamentals?trk=ondemandfile" xr:uid="{00000000-0004-0000-1A00-000049000000}"/>
    <hyperlink ref="AH16" r:id="rId75" display="https://www.linkedin.com/learning/84777a9a-010b-3e75-8b28-27d3706e8c9a?trk=ondemandfile" xr:uid="{00000000-0004-0000-1A00-00004A000000}"/>
    <hyperlink ref="D17" r:id="rId76" display="https://www.linkedin.com/learning/organizational-thought-leadership?trk=ondemandfile" xr:uid="{00000000-0004-0000-1A00-00004B000000}"/>
    <hyperlink ref="N17" r:id="rId77" display="https://www.linkedin.com/learning/fundamentos-de-lean-six-sigma?trk=ondemandfile" xr:uid="{00000000-0004-0000-1A00-00004C000000}"/>
    <hyperlink ref="AH17" r:id="rId78" display="https://www.linkedin.com/learning/agile-at-work-reporting-with-agile-charts-and-boards-2?trk=ondemandfile" xr:uid="{00000000-0004-0000-1A00-00004D000000}"/>
    <hyperlink ref="D18" r:id="rId79" display="https://www.linkedin.com/learning/implementing-an-information-security-program?trk=ondemandfile" xr:uid="{00000000-0004-0000-1A00-00004E000000}"/>
    <hyperlink ref="N18" r:id="rId80" display="https://www.linkedin.com/learning/00-fundamentos-de-six-sigma?trk=ondemandfile" xr:uid="{00000000-0004-0000-1A00-00004F000000}"/>
    <hyperlink ref="AH18" r:id="rId81" display="https://www.linkedin.com/learning/agile-at-work-driving-productive-agile-meetings-3?trk=ondemandfile" xr:uid="{00000000-0004-0000-1A00-000050000000}"/>
    <hyperlink ref="D19" r:id="rId82" display="https://www.linkedin.com/learning/workplace-visualization?trk=ondemandfile" xr:uid="{00000000-0004-0000-1A00-000051000000}"/>
    <hyperlink ref="N19" r:id="rId83" display="https://www.linkedin.com/learning/fundamentos-de-six-sigma-black-belt?trk=ondemandfile" xr:uid="{00000000-0004-0000-1A00-000052000000}"/>
    <hyperlink ref="AH19" r:id="rId84" display="https://www.linkedin.com/learning/agile-at-work-building-your-agile-team-3?trk=ondemandfile" xr:uid="{00000000-0004-0000-1A00-000053000000}"/>
    <hyperlink ref="D20" r:id="rId85" display="https://www.linkedin.com/learning/implementing-continuous-impro-vement-a-case-study?trk=ondemandfile" xr:uid="{00000000-0004-0000-1A00-000054000000}"/>
    <hyperlink ref="N20" r:id="rId86" display="https://www.linkedin.com/learning/00-six-sigma-green-belt?trk=ondemandfile" xr:uid="{00000000-0004-0000-1A00-000055000000}"/>
    <hyperlink ref="AH20" r:id="rId87" display="https://www.linkedin.com/learning/agile-at-work-getting-better-with-agile-retrospectives-3?trk=ondemandfile" xr:uid="{00000000-0004-0000-1A00-000056000000}"/>
    <hyperlink ref="D21" r:id="rId88" display="https://www.linkedin.com/learning/devops-foundations-lean-and-agile?trk=ondemandfile" xr:uid="{00000000-0004-0000-1A00-000057000000}"/>
    <hyperlink ref="N21" r:id="rId89" display="https://www.linkedin.com/learning/fundamentos-del-soporte-tecnico-telecomunicaciones?trk=ondemandfile" xr:uid="{00000000-0004-0000-1A00-000058000000}"/>
    <hyperlink ref="AH21" r:id="rId90" display="https://www.linkedin.com/learning/agile-at-work-planning-with-agile-user-stories-3?trk=ondemandfile" xr:uid="{00000000-0004-0000-1A00-000059000000}"/>
    <hyperlink ref="D22" r:id="rId91" display="https://www.linkedin.com/learning/devops-foundations-accelerating-continuous-delivery-in-the-enterprise?trk=ondemandfile" xr:uid="{00000000-0004-0000-1A00-00005A000000}"/>
    <hyperlink ref="N22" r:id="rId92" display="https://www.linkedin.com/learning/guia-corporativa-a-la-sostenibilidad-y-al-impacto-empresarial-positivo?trk=contentmappingfile" xr:uid="{00000000-0004-0000-1A00-00005B000000}"/>
    <hyperlink ref="AH22" r:id="rId93" display="https://www.linkedin.com/learning/process-improvement-foundations-2?trk=ondemandfile" xr:uid="{00000000-0004-0000-1A00-00005C000000}"/>
    <hyperlink ref="D23" r:id="rId94" display="https://www.linkedin.com/learning/microsoft-flow-advanced-business-automation?trk=ondemandfile" xr:uid="{00000000-0004-0000-1A00-00005D000000}"/>
    <hyperlink ref="N23" r:id="rId95" display="https://www.linkedin.com/learning/lean-six-sigma-herramientas-de-las-fases-definicion-y-medicion?trk=contentmappingfile" xr:uid="{00000000-0004-0000-1A00-00005E000000}"/>
    <hyperlink ref="AH23" r:id="rId96" display="https://www.linkedin.com/learning/productivity-tips-finding-your-productive-mindset-2?trk=contentmappingfile" xr:uid="{00000000-0004-0000-1A00-00005F000000}"/>
    <hyperlink ref="D24" r:id="rId97" display="https://www.linkedin.com/learning/mastering-organizational-chaos?trk=ondemandfile" xr:uid="{00000000-0004-0000-1A00-000060000000}"/>
    <hyperlink ref="N24" r:id="rId98" display="https://www.linkedin.com/learning/scrum-advanced-3?trk=ondemandfile" xr:uid="{00000000-0004-0000-1A00-000061000000}"/>
    <hyperlink ref="AH24" r:id="rId99" display="https://www.linkedin.com/learning/agile-project-management-with-microsoft-project-3?trk=ondemandfile" xr:uid="{00000000-0004-0000-1A00-000062000000}"/>
    <hyperlink ref="D25" r:id="rId100" display="https://www.linkedin.com/learning/a3-problem-solving-for-continuous-improvement?trk=ondemandfile" xr:uid="{00000000-0004-0000-1A00-000063000000}"/>
    <hyperlink ref="N25" r:id="rId101" display="https://www.linkedin.com/learning/scrum-con-un-cafe?trk=ondemandfile" xr:uid="{00000000-0004-0000-1A00-000064000000}"/>
    <hyperlink ref="AH25" r:id="rId102" display="https://www.linkedin.com/learning/lean-six-sigma-foundations-4?trk=ondemandfile" xr:uid="{00000000-0004-0000-1A00-000065000000}"/>
    <hyperlink ref="D26" r:id="rId103" display="https://www.linkedin.com/learning/cost-reduction-cut-costs-and-maximise-profits?trk=ondemandfile" xr:uid="{00000000-0004-0000-1A00-000066000000}"/>
    <hyperlink ref="AH26" r:id="rId104" display="https://www.linkedin.com/learning/performance-management-conducting-performance-reviews-2?trk=ondemandfile" xr:uid="{00000000-0004-0000-1A00-000067000000}"/>
    <hyperlink ref="D27" r:id="rId105" display="https://www.linkedin.com/learning/devops-foundations?trk=ondemandfile" xr:uid="{00000000-0004-0000-1A00-000068000000}"/>
    <hyperlink ref="AH27" r:id="rId106" display="https://www.linkedin.com/learning/job-skills-supply-chain-and-operations-2?trk=ondemandfile" xr:uid="{00000000-0004-0000-1A00-000069000000}"/>
    <hyperlink ref="D28" r:id="rId107" display="https://www.linkedin.com/learning/inventory-management-foundations?trk=ondemandfile" xr:uid="{00000000-0004-0000-1A00-00006A000000}"/>
    <hyperlink ref="AH28" r:id="rId108" display="https://www.linkedin.com/learning/designing-growth-strategies-2?trk=ondemandfile" xr:uid="{00000000-0004-0000-1A00-00006B000000}"/>
    <hyperlink ref="D29" r:id="rId109" display="https://www.linkedin.com/learning/job-skills-supply-chain-and-operations?trk=ondemandfile" xr:uid="{00000000-0004-0000-1A00-00006C000000}"/>
    <hyperlink ref="AH29" r:id="rId110" display="https://www.linkedin.com/learning/measuring-team-performance-5?trk=ondemandfile" xr:uid="{00000000-0004-0000-1A00-00006D000000}"/>
    <hyperlink ref="D30" r:id="rId111" display="https://www.linkedin.com/learning/lean-foundations?trk=ondemandfile" xr:uid="{00000000-0004-0000-1A00-00006E000000}"/>
    <hyperlink ref="AH30" r:id="rId112" display="https://www.linkedin.com/learning/operations-management-foundations-4?trk=ondemandfile" xr:uid="{00000000-0004-0000-1A00-00006F000000}"/>
    <hyperlink ref="D31" r:id="rId113" display="https://www.linkedin.com/learning/lean-inventory-management?trk=ondemandfile" xr:uid="{00000000-0004-0000-1A00-000070000000}"/>
    <hyperlink ref="D32" r:id="rId114" display="https://www.linkedin.com/learning/lean-six-sigma-foundations?trk=ondemandfile" xr:uid="{00000000-0004-0000-1A00-000071000000}"/>
    <hyperlink ref="D33" r:id="rId115" display="https://www.linkedin.com/learning/operations-management-foundations?trk=ondemandfile" xr:uid="{00000000-0004-0000-1A00-000072000000}"/>
    <hyperlink ref="D34" r:id="rId116" display="https://www.linkedin.com/learning/process-improvement-foundations?trk=ondemandfile" xr:uid="{00000000-0004-0000-1A00-000073000000}"/>
    <hyperlink ref="D35" r:id="rId117" display="https://www.linkedin.com/learning/supply-chain-foundations?trk=ondemandfile" xr:uid="{00000000-0004-0000-1A00-000074000000}"/>
    <hyperlink ref="D36" r:id="rId118" display="https://www.linkedin.com/learning/introducing-ai-to-your-organization?trk=ondemandfile" xr:uid="{00000000-0004-0000-1A00-000075000000}"/>
    <hyperlink ref="D37" r:id="rId119" display="https://www.linkedin.com/learning/understanding-business?trk=ondemandfile" xr:uid="{00000000-0004-0000-1A00-000076000000}"/>
    <hyperlink ref="D38" r:id="rId120" display="https://www.linkedin.com/learning/lean-deep-dive-job-instruction?trk=ondemandfile" xr:uid="{00000000-0004-0000-1A00-000077000000}"/>
    <hyperlink ref="D39" r:id="rId121" display="https://www.linkedin.com/learning/implementing-lean-a-case-study?trk=ondemandfile" xr:uid="{00000000-0004-0000-1A00-000078000000}"/>
    <hyperlink ref="D40" r:id="rId122" display="https://www.linkedin.com/learning/from-resisting-to-embracing-lean-a-case-study?trk=ondemandfile" xr:uid="{00000000-0004-0000-1A00-000079000000}"/>
    <hyperlink ref="D41" r:id="rId123" display="https://www.linkedin.com/learning/5s-workplace-productivity?trk=ondemandfile" xr:uid="{00000000-0004-0000-1A00-00007A000000}"/>
    <hyperlink ref="D42" r:id="rId124" display="https://www.linkedin.com/learning/outsourcing-fundamentals?trk=ondemandfile" xr:uid="{00000000-0004-0000-1A00-00007B000000}"/>
    <hyperlink ref="D43" r:id="rId125" display="https://www.linkedin.com/learning/outsourcing-managing-service-transition?trk=ondemandfile" xr:uid="{00000000-0004-0000-1A00-00007C000000}"/>
    <hyperlink ref="D44" r:id="rId126" display="https://www.linkedin.com/learning/the-most-important-content-kpis-for-creators?trk=ondemandfile" xr:uid="{00000000-0004-0000-1A00-00007D000000}"/>
    <hyperlink ref="D45" r:id="rId127" display="https://www.linkedin.com/learning/revenue-staffing-and-expense-models-explained?trk=ondemandfile" xr:uid="{00000000-0004-0000-1A00-00007E000000}"/>
    <hyperlink ref="D46" r:id="rId128" display="https://www.linkedin.com/learning/pricing-strategy-explained?trk=ondemandfile" xr:uid="{00000000-0004-0000-1A00-00007F000000}"/>
    <hyperlink ref="D47" r:id="rId129" display="https://www.linkedin.com/learning/data-ethics-managing-your-private-customer-data?trk=ondemandfile" xr:uid="{00000000-0004-0000-1A00-000080000000}"/>
    <hyperlink ref="D48" r:id="rId130" display="https://www.linkedin.com/learning/quality-management-foundations?trk=ondemandfile" xr:uid="{00000000-0004-0000-1A00-000081000000}"/>
    <hyperlink ref="D49" r:id="rId131" display="https://www.linkedin.com/learning/operations-management-weekly-serial-planning-q2-2018?trk=ondemandfile" xr:uid="{00000000-0004-0000-1A00-000082000000}"/>
    <hyperlink ref="D50" r:id="rId132" display="https://www.linkedin.com/learning/how-blockchains-will-change-business?trk=ondemandfile" xr:uid="{00000000-0004-0000-1A00-000083000000}"/>
    <hyperlink ref="D51" r:id="rId133" display="https://www.linkedin.com/learning/design-thinking-implementing-the-process?trk=ondemandfile" xr:uid="{00000000-0004-0000-1A00-000084000000}"/>
    <hyperlink ref="D52" r:id="rId134" display="https://www.linkedin.com/learning/understanding-logistics?trk=ondemandfile" xr:uid="{00000000-0004-0000-1A00-000085000000}"/>
    <hyperlink ref="D53" r:id="rId135" display="https://www.linkedin.com/learning/implementing-a-vulnerability-management-lifecycle?trk=ondemandfile" xr:uid="{00000000-0004-0000-1A00-000086000000}"/>
    <hyperlink ref="D54" r:id="rId136" display="https://www.linkedin.com/learning/business-process-improvement?trk=ondemandfile" xr:uid="{00000000-0004-0000-1A00-000087000000}"/>
    <hyperlink ref="D55" r:id="rId137" display="https://www.linkedin.com/learning/ux-deep-dive-remote-research?trk=ondemandfile" xr:uid="{00000000-0004-0000-1A00-000088000000}"/>
    <hyperlink ref="D56" r:id="rId138" display="https://www.linkedin.com/learning/excel-supply-chain-analysis-solving-transportation-problems?trk=ondemandfile" xr:uid="{00000000-0004-0000-1A00-000089000000}"/>
    <hyperlink ref="D57" r:id="rId139" display="https://www.linkedin.com/learning/enterprise-agile-changing-your-culture?trk=ondemandfile" xr:uid="{00000000-0004-0000-1A00-00008A000000}"/>
    <hyperlink ref="D58" r:id="rId140" display="https://www.linkedin.com/learning/implementing-supply-chain-management?trk=ondemandfile" xr:uid="{00000000-0004-0000-1A00-00008B000000}"/>
    <hyperlink ref="D59" r:id="rId141" display="https://www.linkedin.com/learning/lean-six-sigma-analyze-improve-and-control-tools?trk=ondemandfile" xr:uid="{00000000-0004-0000-1A00-00008C000000}"/>
    <hyperlink ref="D60" r:id="rId142" display="https://www.linkedin.com/learning/lean-six-sigma-define-and-measure-tools?trk=ondemandfile" xr:uid="{00000000-0004-0000-1A00-00008D000000}"/>
    <hyperlink ref="D61" r:id="rId143" display="https://www.linkedin.com/learning/lean-technology-strategy-starting-your-business-transformation-2?trk=ondemandfile" xr:uid="{00000000-0004-0000-1A00-00008E000000}"/>
    <hyperlink ref="D62" r:id="rId144" display="https://www.linkedin.com/learning/lean-six-sigma-work-out-and-kaizen-facilitator?trk=ondemandfile" xr:uid="{00000000-0004-0000-1A00-00008F000000}"/>
    <hyperlink ref="D63" r:id="rId145" display="https://www.linkedin.com/learning/product-management-building-a-product-strategy?trk=ondemandfile" xr:uid="{00000000-0004-0000-1A00-000090000000}"/>
    <hyperlink ref="D64" r:id="rId146" display="https://www.linkedin.com/learning/purchasing?trk=ondemandfile" xr:uid="{00000000-0004-0000-1A00-000091000000}"/>
    <hyperlink ref="D65" r:id="rId147" display="https://www.linkedin.com/learning/six-sigma-black-belt?trk=ondemandfile" xr:uid="{00000000-0004-0000-1A00-000092000000}"/>
    <hyperlink ref="D66" r:id="rId148" display="https://www.linkedin.com/learning/six-sigma-green-belt?trk=ondemandfile" xr:uid="{00000000-0004-0000-1A00-000093000000}"/>
    <hyperlink ref="D67" r:id="rId149" display="https://www.linkedin.com/learning/business-investment-analysis?trk=ondemandfile" xr:uid="{00000000-0004-0000-1A00-000094000000}"/>
    <hyperlink ref="D68" r:id="rId150" display="https://www.linkedin.com/learning/managing-logistics?trk=ondemandfile" xr:uid="{00000000-0004-0000-1A00-000095000000}"/>
    <hyperlink ref="D69" r:id="rId151" display="https://www.linkedin.com/learning/excel-implementing-balanced-scorecards-with-kpis?trk=ondemandfile" xr:uid="{00000000-0004-0000-1A00-000096000000}"/>
    <hyperlink ref="D70" r:id="rId152" display="https://www.linkedin.com/learning/agile-software-development-clean-coding-practices?trk=ondemandfile" xr:uid="{00000000-0004-0000-1A00-000097000000}"/>
    <hyperlink ref="D71" r:id="rId153" display="https://www.linkedin.com/learning/predictive-analytics-essential-training-for-executives?trk=ondemandfile" xr:uid="{00000000-0004-0000-1A00-000098000000}"/>
    <hyperlink ref="D72" r:id="rId154" display="https://www.linkedin.com/learning/sap-ariba-supply-chain-collaboration-overview?trk=ondemandfile" xr:uid="{00000000-0004-0000-1A00-000099000000}"/>
    <hyperlink ref="D73" r:id="rId155" display="https://www.linkedin.com/learning/ai-in-fintech-essential-training?trk=ondemandfile" xr:uid="{00000000-0004-0000-1A00-00009A000000}"/>
    <hyperlink ref="D74" r:id="rId156" display="https://www.linkedin.com/learning/introduction-to-sap-bi-bw?trk=ondemandfile" xr:uid="{00000000-0004-0000-1A00-00009B000000}"/>
    <hyperlink ref="D75" r:id="rId157" display="https://www.linkedin.com/learning/sap-bi-bw-project-design-and-implementation?trk=ondemandfile" xr:uid="{00000000-0004-0000-1A00-00009C000000}"/>
    <hyperlink ref="D76" r:id="rId158" display="https://www.linkedin.com/learning/following-the-digital-thread?trk=ondemandfile" xr:uid="{00000000-0004-0000-1A00-00009D000000}"/>
    <hyperlink ref="D77" r:id="rId159" display="https://www.linkedin.com/learning/supply-chain-basics-for-everyone?trk=ondemandfile" xr:uid="{00000000-0004-0000-1A00-00009E000000}"/>
    <hyperlink ref="D78" r:id="rId160" display="https://www.linkedin.com/learning/operational-excellence-foundations?trk=ondemandfile" xr:uid="{00000000-0004-0000-1A00-00009F000000}"/>
    <hyperlink ref="D79" r:id="rId161" display="https://www.linkedin.com/learning/supply-chain-and-operations-careers-certification-tips-and-tricks?trk=ondemandfile" xr:uid="{00000000-0004-0000-1A00-0000A0000000}"/>
    <hyperlink ref="D80" r:id="rId162" display="https://www.linkedin.com/learning/how-to-make-strategic-thinking-a-habit?trk=ondemandfile" xr:uid="{00000000-0004-0000-1A00-0000A1000000}"/>
    <hyperlink ref="D81" r:id="rId163" display="https://www.linkedin.com/learning/design-thinking-understanding-the-process?trk=ondemandfile" xr:uid="{00000000-0004-0000-1A00-0000A2000000}"/>
    <hyperlink ref="D82" r:id="rId164" display="https://www.linkedin.com/learning/outsourcing-critical-success-factors?trk=ondemandfile" xr:uid="{00000000-0004-0000-1A00-0000A3000000}"/>
    <hyperlink ref="D83" r:id="rId165" display="https://www.linkedin.com/learning/outsourcing-management?trk=ondemandfile" xr:uid="{00000000-0004-0000-1A00-0000A4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Click and enter a value from range 'Competency Titles'!A1:A27" xr:uid="{00000000-0002-0000-1A00-000000000000}">
          <x14:formula1>
            <xm:f>#REF!</xm:f>
          </x14:formula1>
          <xm:sqref>B1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90000"/>
    <outlinePr summaryBelow="0" summaryRight="0"/>
  </sheetPr>
  <dimension ref="A1:AJ99"/>
  <sheetViews>
    <sheetView showGridLines="0" workbookViewId="0">
      <pane ySplit="3" topLeftCell="A4" activePane="bottomLeft" state="frozen"/>
      <selection pane="bottomLeft" sqref="A1:XFD1048576"/>
    </sheetView>
  </sheetViews>
  <sheetFormatPr baseColWidth="10" defaultColWidth="11.1640625" defaultRowHeight="15" customHeight="1"/>
  <cols>
    <col min="1" max="1" width="1.1640625" customWidth="1"/>
    <col min="2" max="2" width="11.1640625" customWidth="1"/>
    <col min="3" max="3" width="18.5" customWidth="1"/>
    <col min="4" max="5" width="44.5" customWidth="1"/>
    <col min="6" max="6" width="1.1640625" customWidth="1"/>
    <col min="7" max="7" width="11.1640625" customWidth="1"/>
    <col min="8" max="8" width="19.33203125" customWidth="1"/>
    <col min="9" max="10" width="44.5" customWidth="1"/>
    <col min="11" max="11" width="1.1640625" customWidth="1"/>
    <col min="12" max="12" width="11.1640625" customWidth="1"/>
    <col min="13" max="13" width="20.83203125" customWidth="1"/>
    <col min="14" max="15" width="44.5" customWidth="1"/>
    <col min="16" max="16" width="1.1640625" customWidth="1"/>
    <col min="17" max="17" width="11.1640625" customWidth="1"/>
    <col min="18" max="18" width="19.6640625" customWidth="1"/>
    <col min="19" max="20" width="44.5" customWidth="1"/>
    <col min="21" max="21" width="1.1640625" customWidth="1"/>
    <col min="23" max="23" width="18.6640625" customWidth="1"/>
    <col min="24" max="25" width="44.5" customWidth="1"/>
    <col min="26" max="26" width="1.1640625" customWidth="1"/>
    <col min="27" max="27" width="11.1640625" customWidth="1"/>
    <col min="28" max="28" width="26.6640625" customWidth="1"/>
    <col min="29" max="30" width="44.5" customWidth="1"/>
    <col min="31" max="31" width="1.1640625" customWidth="1"/>
    <col min="32" max="32" width="11.1640625" customWidth="1"/>
    <col min="33" max="33" width="21" customWidth="1"/>
    <col min="34" max="35" width="44.5" customWidth="1"/>
    <col min="36" max="36" width="1.1640625" customWidth="1"/>
  </cols>
  <sheetData>
    <row r="1" spans="1:36" ht="34.5" customHeight="1">
      <c r="A1" s="208"/>
      <c r="B1" s="230" t="s">
        <v>17</v>
      </c>
      <c r="C1" s="222"/>
      <c r="D1" s="222"/>
      <c r="E1" s="222"/>
      <c r="F1" s="208"/>
      <c r="G1" s="230" t="str">
        <f ca="1">IFERROR(__xludf.DUMMYFUNCTION("IFERROR(UNIQUE(FILTER(French!B:B,French!A:A=B1)))"),"Présentations")</f>
        <v>Présentations</v>
      </c>
      <c r="H1" s="222"/>
      <c r="I1" s="222"/>
      <c r="J1" s="222"/>
      <c r="K1" s="208"/>
      <c r="L1" s="230" t="str">
        <f ca="1">IFERROR(__xludf.DUMMYFUNCTION("IFERROR((UNIQUE(FILTER(Spanish!B:B,Spanish!A:A=B1))))"),"Habilidades de presentación")</f>
        <v>Habilidades de presentación</v>
      </c>
      <c r="M1" s="222"/>
      <c r="N1" s="222"/>
      <c r="O1" s="222"/>
      <c r="P1" s="208"/>
      <c r="Q1" s="230" t="str">
        <f ca="1">IFERROR(__xludf.DUMMYFUNCTION("IFERROR(UNIQUE(FILTER(German!B:B,German!A:A=B1)))"),"Präsentationsfähigkeiten")</f>
        <v>Präsentationsfähigkeiten</v>
      </c>
      <c r="R1" s="222"/>
      <c r="S1" s="222"/>
      <c r="T1" s="222"/>
      <c r="U1" s="208"/>
      <c r="V1" s="230" t="str">
        <f ca="1">IFERROR(__xludf.DUMMYFUNCTION("IFERROR(UNIQUE(FILTER(Japanese!B:B,Japanese!A:A=B1)))"),"プレゼンテーションスキル")</f>
        <v>プレゼンテーションスキル</v>
      </c>
      <c r="W1" s="222"/>
      <c r="X1" s="222"/>
      <c r="Y1" s="222"/>
      <c r="Z1" s="208"/>
      <c r="AA1" s="230" t="str">
        <f ca="1">IFERROR(__xludf.DUMMYFUNCTION("IFERROR(UNIQUE(FILTER(Portuguese!B:B,Portuguese!A:A=B1)))"),"Competências de apresentação")</f>
        <v>Competências de apresentação</v>
      </c>
      <c r="AB1" s="222"/>
      <c r="AC1" s="222"/>
      <c r="AD1" s="222"/>
      <c r="AE1" s="208"/>
      <c r="AF1" s="230" t="str">
        <f ca="1">IFERROR(__xludf.DUMMYFUNCTION("IFERROR(UNIQUE(FILTER(Mandarin!B:B,Mandarin!A:A=B1)))"),"演讲技能")</f>
        <v>演讲技能</v>
      </c>
      <c r="AG1" s="222"/>
      <c r="AH1" s="222"/>
      <c r="AI1" s="222"/>
      <c r="AJ1" s="208"/>
    </row>
    <row r="2" spans="1:36" ht="28" customHeight="1">
      <c r="A2" s="209"/>
      <c r="B2" s="234" t="s">
        <v>4713</v>
      </c>
      <c r="C2" s="222"/>
      <c r="D2" s="222"/>
      <c r="E2" s="222"/>
      <c r="F2" s="209"/>
      <c r="G2" s="231" t="s">
        <v>4714</v>
      </c>
      <c r="H2" s="222"/>
      <c r="I2" s="222"/>
      <c r="J2" s="222"/>
      <c r="K2" s="209"/>
      <c r="L2" s="235" t="s">
        <v>4715</v>
      </c>
      <c r="M2" s="222"/>
      <c r="N2" s="222"/>
      <c r="O2" s="222"/>
      <c r="P2" s="209"/>
      <c r="Q2" s="232" t="s">
        <v>4716</v>
      </c>
      <c r="R2" s="222"/>
      <c r="S2" s="222"/>
      <c r="T2" s="222"/>
      <c r="U2" s="209"/>
      <c r="V2" s="236" t="s">
        <v>4717</v>
      </c>
      <c r="W2" s="222"/>
      <c r="X2" s="222"/>
      <c r="Y2" s="222"/>
      <c r="Z2" s="209"/>
      <c r="AA2" s="233" t="s">
        <v>4718</v>
      </c>
      <c r="AB2" s="222"/>
      <c r="AC2" s="222"/>
      <c r="AD2" s="222"/>
      <c r="AE2" s="209"/>
      <c r="AF2" s="237" t="s">
        <v>4719</v>
      </c>
      <c r="AG2" s="222"/>
      <c r="AH2" s="222"/>
      <c r="AI2" s="222"/>
      <c r="AJ2" s="209"/>
    </row>
    <row r="3" spans="1:36" ht="26" customHeight="1">
      <c r="A3" s="210"/>
      <c r="B3" s="211" t="str">
        <f ca="1">IFERROR(__xludf.DUMMYFUNCTION("FILTER(English!B:B,English!A:A=B1)"),"Course IDs")</f>
        <v>Course IDs</v>
      </c>
      <c r="C3" s="211" t="str">
        <f ca="1">IFERROR(__xludf.DUMMYFUNCTION("FILTER(English!C:C,English!A:A=B1)"),"Levels")</f>
        <v>Levels</v>
      </c>
      <c r="D3" s="211" t="str">
        <f ca="1">IFERROR(__xludf.DUMMYFUNCTION("FILTER(English!D:D,English!A:A=B1)"),"Courses")</f>
        <v>Courses</v>
      </c>
      <c r="E3" s="212" t="str">
        <f ca="1">IFERROR(__xludf.DUMMYFUNCTION("FILTER(English!E:E,English!A:A=B1)"),"Learning Paths")</f>
        <v>Learning Paths</v>
      </c>
      <c r="F3" s="210"/>
      <c r="G3" s="211" t="str">
        <f ca="1">IFERROR(__xludf.DUMMYFUNCTION("FILTER(French!C:C,French!B:B=G1)"),"Course IDs")</f>
        <v>Course IDs</v>
      </c>
      <c r="H3" s="211" t="str">
        <f ca="1">IFERROR(__xludf.DUMMYFUNCTION("FILTER(French!D:D,French!B:B=G1)"),"Levels")</f>
        <v>Levels</v>
      </c>
      <c r="I3" s="211" t="str">
        <f ca="1">IFERROR(__xludf.DUMMYFUNCTION("FILTER(French!E:E,French!B:B=G1)"),"Courses")</f>
        <v>Courses</v>
      </c>
      <c r="J3" s="212" t="str">
        <f ca="1">IFERROR(__xludf.DUMMYFUNCTION("FILTER(French!G:G,French!B:B=G1)"),"Learning Paths")</f>
        <v>Learning Paths</v>
      </c>
      <c r="K3" s="210"/>
      <c r="L3" s="211" t="str">
        <f ca="1">IFERROR(__xludf.DUMMYFUNCTION("FILTER(Spanish!C:C,Spanish!B:B=L1)"),"Course IDs")</f>
        <v>Course IDs</v>
      </c>
      <c r="M3" s="211" t="str">
        <f ca="1">IFERROR(__xludf.DUMMYFUNCTION("FILTER(Spanish!D:D,Spanish!B:B=L1)"),"Levels")</f>
        <v>Levels</v>
      </c>
      <c r="N3" s="211" t="str">
        <f ca="1">IFERROR(__xludf.DUMMYFUNCTION("FILTER(Spanish!E:E,Spanish!B:B=L1)"),"Courses")</f>
        <v>Courses</v>
      </c>
      <c r="O3" s="212" t="str">
        <f ca="1">IFERROR(__xludf.DUMMYFUNCTION("FILTER(Spanish!G:G,Spanish!B:B=L1)"),"Learning Paths")</f>
        <v>Learning Paths</v>
      </c>
      <c r="P3" s="210"/>
      <c r="Q3" s="211" t="str">
        <f ca="1">IFERROR(__xludf.DUMMYFUNCTION("FILTER(German!C:C,German!B:B=Q1)"),"Course IDs")</f>
        <v>Course IDs</v>
      </c>
      <c r="R3" s="211" t="str">
        <f ca="1">IFERROR(__xludf.DUMMYFUNCTION("FILTER(German!D:D,German!B:B=Q1)"),"Levels")</f>
        <v>Levels</v>
      </c>
      <c r="S3" s="211" t="str">
        <f ca="1">IFERROR(__xludf.DUMMYFUNCTION("FILTER(German!E:E,German!B:B=Q1)"),"Courses")</f>
        <v>Courses</v>
      </c>
      <c r="T3" s="212" t="str">
        <f ca="1">IFERROR(__xludf.DUMMYFUNCTION("FILTER(German!G:G,German!B:B=Q1)"),"Learning Paths")</f>
        <v>Learning Paths</v>
      </c>
      <c r="U3" s="210"/>
      <c r="V3" s="211" t="str">
        <f ca="1">IFERROR(__xludf.DUMMYFUNCTION("FILTER(Japanese!C:C,Japanese!B:B=V1)"),"Course IDs")</f>
        <v>Course IDs</v>
      </c>
      <c r="W3" s="211" t="str">
        <f ca="1">IFERROR(__xludf.DUMMYFUNCTION("FILTER(Japanese!D:D,Japanese!B:B=V1)"),"Levels")</f>
        <v>Levels</v>
      </c>
      <c r="X3" s="211" t="str">
        <f ca="1">IFERROR(__xludf.DUMMYFUNCTION("FILTER(Japanese!E:E,Japanese!B:B=V1)"),"Courses")</f>
        <v>Courses</v>
      </c>
      <c r="Y3" s="212" t="str">
        <f ca="1">IFERROR(__xludf.DUMMYFUNCTION("FILTER(Japanese!G:G,Japanese!B:B=V1)"),"Learning Paths")</f>
        <v>Learning Paths</v>
      </c>
      <c r="Z3" s="210"/>
      <c r="AA3" s="211" t="str">
        <f ca="1">IFERROR(__xludf.DUMMYFUNCTION("FILTER(Portuguese!C:C,Portuguese!B:B=AA1)"),"Course IDs")</f>
        <v>Course IDs</v>
      </c>
      <c r="AB3" s="211" t="str">
        <f ca="1">IFERROR(__xludf.DUMMYFUNCTION("FILTER(Portuguese!D:D,Portuguese!B:B=AA1)"),"Levels")</f>
        <v>Levels</v>
      </c>
      <c r="AC3" s="211" t="str">
        <f ca="1">IFERROR(__xludf.DUMMYFUNCTION("FILTER(Portuguese!E:E,Portuguese!B:B=AA1)"),"Courses")</f>
        <v>Courses</v>
      </c>
      <c r="AD3" s="212" t="str">
        <f ca="1">IFERROR(__xludf.DUMMYFUNCTION("FILTER(Portuguese!G:G,Portuguese!B:B=AA1)"),"Learning Paths")</f>
        <v>Learning Paths</v>
      </c>
      <c r="AE3" s="210"/>
      <c r="AF3" s="211" t="str">
        <f ca="1">IFERROR(__xludf.DUMMYFUNCTION("FILTER(Mandarin!C:C,Mandarin!B:B=AF1)"),"Course IDs")</f>
        <v>Course IDs</v>
      </c>
      <c r="AG3" s="211" t="str">
        <f ca="1">IFERROR(__xludf.DUMMYFUNCTION("FILTER(Mandarin!D:D,Mandarin!B:B=AF1)"),"Levels")</f>
        <v>Levels</v>
      </c>
      <c r="AH3" s="211" t="str">
        <f ca="1">IFERROR(__xludf.DUMMYFUNCTION("FILTER(Mandarin!E:E,Mandarin!B:B=AF1)"),"Courses")</f>
        <v>Courses</v>
      </c>
      <c r="AI3" s="212" t="str">
        <f ca="1">IFERROR(__xludf.DUMMYFUNCTION("FILTER(Mandarin!G:G,Mandarin!B:B=AF1)"),"Learning Paths")</f>
        <v>Learning Paths</v>
      </c>
      <c r="AJ3" s="210"/>
    </row>
    <row r="4" spans="1:36" ht="33.75" customHeight="1">
      <c r="A4" s="213"/>
      <c r="B4" s="214">
        <f ca="1">IFERROR(__xludf.DUMMYFUNCTION("""COMPUTED_VALUE"""),2813181)</f>
        <v>2813181</v>
      </c>
      <c r="C4" s="215" t="str">
        <f ca="1">IFERROR(__xludf.DUMMYFUNCTION("""COMPUTED_VALUE"""),"Beginner")</f>
        <v>Beginner</v>
      </c>
      <c r="D4" s="216" t="str">
        <f ca="1">IFERROR(__xludf.DUMMYFUNCTION("""COMPUTED_VALUE"""),"Presentation Tips for Pitching to Investors")</f>
        <v>Presentation Tips for Pitching to Investors</v>
      </c>
      <c r="E4" s="217" t="str">
        <f ca="1">IFERROR(__xludf.DUMMYFUNCTION("""COMPUTED_VALUE"""),"Create a Successful Pitch for Investors")</f>
        <v>Create a Successful Pitch for Investors</v>
      </c>
      <c r="F4" s="213"/>
      <c r="G4" s="214">
        <f ca="1">IFERROR(__xludf.DUMMYFUNCTION("""COMPUTED_VALUE"""),2922022)</f>
        <v>2922022</v>
      </c>
      <c r="H4" s="215" t="str">
        <f ca="1">IFERROR(__xludf.DUMMYFUNCTION("""COMPUTED_VALUE"""),"Intermediate")</f>
        <v>Intermediate</v>
      </c>
      <c r="I4" s="217" t="str">
        <f ca="1">IFERROR(__xludf.DUMMYFUNCTION("""COMPUTED_VALUE"""),"10 astuces pour réduire le trac")</f>
        <v>10 astuces pour réduire le trac</v>
      </c>
      <c r="J4" s="217" t="str">
        <f ca="1">IFERROR(__xludf.DUMMYFUNCTION("""COMPUTED_VALUE"""),"Realiser des presentations professionnelles")</f>
        <v>Realiser des presentations professionnelles</v>
      </c>
      <c r="K4" s="213"/>
      <c r="L4" s="215">
        <f ca="1">IFERROR(__xludf.DUMMYFUNCTION("""COMPUTED_VALUE"""),5025692)</f>
        <v>5025692</v>
      </c>
      <c r="M4" s="215" t="str">
        <f ca="1">IFERROR(__xludf.DUMMYFUNCTION("""COMPUTED_VALUE"""),"Beginner, Intermediate")</f>
        <v>Beginner, Intermediate</v>
      </c>
      <c r="N4" s="217" t="str">
        <f ca="1">IFERROR(__xludf.DUMMYFUNCTION("""COMPUTED_VALUE"""),"Agile en acción: Impulsar reuniones ágiles y productivas")</f>
        <v>Agile en acción: Impulsar reuniones ágiles y productivas</v>
      </c>
      <c r="O4" s="217" t="str">
        <f ca="1">IFERROR(__xludf.DUMMYFUNCTION("""COMPUTED_VALUE"""),"Mejora los diseños de tus presentaciones")</f>
        <v>Mejora los diseños de tus presentaciones</v>
      </c>
      <c r="P4" s="213"/>
      <c r="Q4" s="215">
        <f ca="1">IFERROR(__xludf.DUMMYFUNCTION("""COMPUTED_VALUE"""),195515)</f>
        <v>195515</v>
      </c>
      <c r="R4" s="215" t="str">
        <f ca="1">IFERROR(__xludf.DUMMYFUNCTION("""COMPUTED_VALUE"""),"All levels")</f>
        <v>All levels</v>
      </c>
      <c r="S4" s="217" t="str">
        <f ca="1">IFERROR(__xludf.DUMMYFUNCTION("""COMPUTED_VALUE"""),"Besprechungen moderieren")</f>
        <v>Besprechungen moderieren</v>
      </c>
      <c r="T4" s="217" t="str">
        <f ca="1">IFERROR(__xludf.DUMMYFUNCTION("""COMPUTED_VALUE"""),"Besser präsentieren")</f>
        <v>Besser präsentieren</v>
      </c>
      <c r="U4" s="213"/>
      <c r="V4" s="215">
        <f ca="1">IFERROR(__xludf.DUMMYFUNCTION("""COMPUTED_VALUE"""),551181)</f>
        <v>551181</v>
      </c>
      <c r="W4" s="215" t="str">
        <f ca="1">IFERROR(__xludf.DUMMYFUNCTION("""COMPUTED_VALUE"""),"Advanced")</f>
        <v>Advanced</v>
      </c>
      <c r="X4" s="217" t="str">
        <f ca="1">IFERROR(__xludf.DUMMYFUNCTION("""COMPUTED_VALUE"""),"PowerPoint 2016 ワンランク上の使い方")</f>
        <v>PowerPoint 2016 ワンランク上の使い方</v>
      </c>
      <c r="Y4" s="217" t="str">
        <f ca="1">IFERROR(__xludf.DUMMYFUNCTION("""COMPUTED_VALUE"""),"N/A")</f>
        <v>N/A</v>
      </c>
      <c r="Z4" s="213"/>
      <c r="AA4" s="215">
        <f ca="1">IFERROR(__xludf.DUMMYFUNCTION("""COMPUTED_VALUE"""),2901333)</f>
        <v>2901333</v>
      </c>
      <c r="AB4" s="215" t="str">
        <f ca="1">IFERROR(__xludf.DUMMYFUNCTION("""COMPUTED_VALUE"""),"Beginner, Intermediate")</f>
        <v>Beginner, Intermediate</v>
      </c>
      <c r="AC4" s="217" t="str">
        <f ca="1">IFERROR(__xludf.DUMMYFUNCTION("""COMPUTED_VALUE"""),"Como Conduzir Reuniões Produtivas")</f>
        <v>Como Conduzir Reuniões Produtivas</v>
      </c>
      <c r="AD4" s="217" t="str">
        <f ca="1">IFERROR(__xludf.DUMMYFUNCTION("""COMPUTED_VALUE"""),"N/A")</f>
        <v>N/A</v>
      </c>
      <c r="AE4" s="213"/>
      <c r="AF4" s="215">
        <f ca="1">IFERROR(__xludf.DUMMYFUNCTION("""COMPUTED_VALUE"""),802289)</f>
        <v>802289</v>
      </c>
      <c r="AG4" s="215" t="str">
        <f ca="1">IFERROR(__xludf.DUMMYFUNCTION("""COMPUTED_VALUE"""),"Beginner, Intermediate")</f>
        <v>Beginner, Intermediate</v>
      </c>
      <c r="AH4" s="217" t="str">
        <f ca="1">IFERROR(__xludf.DUMMYFUNCTION("""COMPUTED_VALUE"""),"PowerPoint 2013 基础培训")</f>
        <v>PowerPoint 2013 基础培训</v>
      </c>
      <c r="AI4" s="217" t="str">
        <f ca="1">IFERROR(__xludf.DUMMYFUNCTION("""COMPUTED_VALUE"""),"N/A")</f>
        <v>N/A</v>
      </c>
      <c r="AJ4" s="213"/>
    </row>
    <row r="5" spans="1:36" ht="30">
      <c r="A5" s="213"/>
      <c r="B5" s="214">
        <f ca="1">IFERROR(__xludf.DUMMYFUNCTION("""COMPUTED_VALUE"""),612163)</f>
        <v>612163</v>
      </c>
      <c r="C5" s="215" t="str">
        <f ca="1">IFERROR(__xludf.DUMMYFUNCTION("""COMPUTED_VALUE"""),"Beginner")</f>
        <v>Beginner</v>
      </c>
      <c r="D5" s="216" t="str">
        <f ca="1">IFERROR(__xludf.DUMMYFUNCTION("""COMPUTED_VALUE"""),"Common Meeting Problems")</f>
        <v>Common Meeting Problems</v>
      </c>
      <c r="E5" s="217" t="str">
        <f ca="1">IFERROR(__xludf.DUMMYFUNCTION("""COMPUTED_VALUE"""),"Create and Deliver Engaging Presentations")</f>
        <v>Create and Deliver Engaging Presentations</v>
      </c>
      <c r="F5" s="213"/>
      <c r="G5" s="214">
        <f ca="1">IFERROR(__xludf.DUMMYFUNCTION("""COMPUTED_VALUE"""),641777)</f>
        <v>641777</v>
      </c>
      <c r="H5" s="215" t="str">
        <f ca="1">IFERROR(__xludf.DUMMYFUNCTION("""COMPUTED_VALUE"""),"Beginner")</f>
        <v>Beginner</v>
      </c>
      <c r="I5" s="217" t="str">
        <f ca="1">IFERROR(__xludf.DUMMYFUNCTION("""COMPUTED_VALUE"""),"Communiquer avec confiance")</f>
        <v>Communiquer avec confiance</v>
      </c>
      <c r="J5" s="217" t="str">
        <f ca="1">IFERROR(__xludf.DUMMYFUNCTION("""COMPUTED_VALUE"""),"Améliorer ses compétences en présentation")</f>
        <v>Améliorer ses compétences en présentation</v>
      </c>
      <c r="K5" s="213"/>
      <c r="L5" s="215">
        <f ca="1">IFERROR(__xludf.DUMMYFUNCTION("""COMPUTED_VALUE"""),793670)</f>
        <v>793670</v>
      </c>
      <c r="M5" s="215" t="str">
        <f ca="1">IFERROR(__xludf.DUMMYFUNCTION("""COMPUTED_VALUE"""),"Beginner")</f>
        <v>Beginner</v>
      </c>
      <c r="N5" s="217" t="str">
        <f ca="1">IFERROR(__xludf.DUMMYFUNCTION("""COMPUTED_VALUE"""),"Aprende PowerPoint (Office 365/Microsoft 365)")</f>
        <v>Aprende PowerPoint (Office 365/Microsoft 365)</v>
      </c>
      <c r="O5" s="217" t="str">
        <f ca="1">IFERROR(__xludf.DUMMYFUNCTION("""COMPUTED_VALUE"""),"Mejora tus dotes de presentación orales en público")</f>
        <v>Mejora tus dotes de presentación orales en público</v>
      </c>
      <c r="P5" s="213"/>
      <c r="Q5" s="215">
        <f ca="1">IFERROR(__xludf.DUMMYFUNCTION("""COMPUTED_VALUE"""),5025605)</f>
        <v>5025605</v>
      </c>
      <c r="R5" s="215" t="str">
        <f ca="1">IFERROR(__xludf.DUMMYFUNCTION("""COMPUTED_VALUE"""),"Intermediate")</f>
        <v>Intermediate</v>
      </c>
      <c r="S5" s="217" t="str">
        <f ca="1">IFERROR(__xludf.DUMMYFUNCTION("""COMPUTED_VALUE"""),"Bessere Foliengestaltung in PowerPoint: Tipps und Tricks")</f>
        <v>Bessere Foliengestaltung in PowerPoint: Tipps und Tricks</v>
      </c>
      <c r="T5" s="217" t="str">
        <f ca="1">IFERROR(__xludf.DUMMYFUNCTION("""COMPUTED_VALUE"""),"Ihr gestalterisches Auge schärfen")</f>
        <v>Ihr gestalterisches Auge schärfen</v>
      </c>
      <c r="U5" s="213"/>
      <c r="V5" s="215">
        <f ca="1">IFERROR(__xludf.DUMMYFUNCTION("""COMPUTED_VALUE"""),556275)</f>
        <v>556275</v>
      </c>
      <c r="W5" s="215" t="str">
        <f ca="1">IFERROR(__xludf.DUMMYFUNCTION("""COMPUTED_VALUE"""),"Beginner")</f>
        <v>Beginner</v>
      </c>
      <c r="X5" s="217" t="str">
        <f ca="1">IFERROR(__xludf.DUMMYFUNCTION("""COMPUTED_VALUE"""),"PowerPoint 2016 入門")</f>
        <v>PowerPoint 2016 入門</v>
      </c>
      <c r="Y5" s="217"/>
      <c r="Z5" s="213"/>
      <c r="AA5" s="215">
        <f ca="1">IFERROR(__xludf.DUMMYFUNCTION("""COMPUTED_VALUE"""),753227)</f>
        <v>753227</v>
      </c>
      <c r="AB5" s="215" t="str">
        <f ca="1">IFERROR(__xludf.DUMMYFUNCTION("""COMPUTED_VALUE"""),"All levels")</f>
        <v>All levels</v>
      </c>
      <c r="AC5" s="217" t="str">
        <f ca="1">IFERROR(__xludf.DUMMYFUNCTION("""COMPUTED_VALUE"""),"Como Falar em Público")</f>
        <v>Como Falar em Público</v>
      </c>
      <c r="AD5" s="217"/>
      <c r="AE5" s="213"/>
      <c r="AF5" s="215">
        <f ca="1">IFERROR(__xludf.DUMMYFUNCTION("""COMPUTED_VALUE"""),780940)</f>
        <v>780940</v>
      </c>
      <c r="AG5" s="215" t="str">
        <f ca="1">IFERROR(__xludf.DUMMYFUNCTION("""COMPUTED_VALUE"""),"Intermediate")</f>
        <v>Intermediate</v>
      </c>
      <c r="AH5" s="217" t="str">
        <f ca="1">IFERROR(__xludf.DUMMYFUNCTION("""COMPUTED_VALUE"""),"PowerPoint 2013 实用技巧")</f>
        <v>PowerPoint 2013 实用技巧</v>
      </c>
      <c r="AI5" s="217"/>
      <c r="AJ5" s="213"/>
    </row>
    <row r="6" spans="1:36" ht="30">
      <c r="A6" s="213"/>
      <c r="B6" s="214">
        <f ca="1">IFERROR(__xludf.DUMMYFUNCTION("""COMPUTED_VALUE"""),612161)</f>
        <v>612161</v>
      </c>
      <c r="C6" s="215" t="str">
        <f ca="1">IFERROR(__xludf.DUMMYFUNCTION("""COMPUTED_VALUE"""),"Beginner")</f>
        <v>Beginner</v>
      </c>
      <c r="D6" s="216" t="str">
        <f ca="1">IFERROR(__xludf.DUMMYFUNCTION("""COMPUTED_VALUE"""),"Creating a Meeting Agenda")</f>
        <v>Creating a Meeting Agenda</v>
      </c>
      <c r="E6" s="217" t="str">
        <f ca="1">IFERROR(__xludf.DUMMYFUNCTION("""COMPUTED_VALUE"""),"Develop Your Presentation Skills")</f>
        <v>Develop Your Presentation Skills</v>
      </c>
      <c r="F6" s="213"/>
      <c r="G6" s="214">
        <f ca="1">IFERROR(__xludf.DUMMYFUNCTION("""COMPUTED_VALUE"""),402048)</f>
        <v>402048</v>
      </c>
      <c r="H6" s="215" t="str">
        <f ca="1">IFERROR(__xludf.DUMMYFUNCTION("""COMPUTED_VALUE"""),"Intermediate")</f>
        <v>Intermediate</v>
      </c>
      <c r="I6" s="217" t="str">
        <f ca="1">IFERROR(__xludf.DUMMYFUNCTION("""COMPUTED_VALUE"""),"Concevoir des présentations professionnelles")</f>
        <v>Concevoir des présentations professionnelles</v>
      </c>
      <c r="J6" s="217" t="str">
        <f ca="1">IFERROR(__xludf.DUMMYFUNCTION("""COMPUTED_VALUE"""),"Maîtriser PowerPoint (Office 365)")</f>
        <v>Maîtriser PowerPoint (Office 365)</v>
      </c>
      <c r="K6" s="213"/>
      <c r="L6" s="215">
        <f ca="1">IFERROR(__xludf.DUMMYFUNCTION("""COMPUTED_VALUE"""),664852)</f>
        <v>664852</v>
      </c>
      <c r="M6" s="215" t="str">
        <f ca="1">IFERROR(__xludf.DUMMYFUNCTION("""COMPUTED_VALUE"""),"Beginner")</f>
        <v>Beginner</v>
      </c>
      <c r="N6" s="217" t="str">
        <f ca="1">IFERROR(__xludf.DUMMYFUNCTION("""COMPUTED_VALUE"""),"Aprende PowerPoint 2016")</f>
        <v>Aprende PowerPoint 2016</v>
      </c>
      <c r="O6" s="217" t="str">
        <f ca="1">IFERROR(__xludf.DUMMYFUNCTION("""COMPUTED_VALUE"""),"Mejora la comunicación en el ámbito empresarial")</f>
        <v>Mejora la comunicación en el ámbito empresarial</v>
      </c>
      <c r="P6" s="213"/>
      <c r="Q6" s="215">
        <f ca="1">IFERROR(__xludf.DUMMYFUNCTION("""COMPUTED_VALUE"""),593904)</f>
        <v>593904</v>
      </c>
      <c r="R6" s="215" t="str">
        <f ca="1">IFERROR(__xludf.DUMMYFUNCTION("""COMPUTED_VALUE"""),"Intermediate")</f>
        <v>Intermediate</v>
      </c>
      <c r="S6" s="217" t="str">
        <f ca="1">IFERROR(__xludf.DUMMYFUNCTION("""COMPUTED_VALUE"""),"Das Deuser-ABC: Auftritts-Tipps vom Bühnenprofi")</f>
        <v>Das Deuser-ABC: Auftritts-Tipps vom Bühnenprofi</v>
      </c>
      <c r="T6" s="217" t="str">
        <f ca="1">IFERROR(__xludf.DUMMYFUNCTION("""COMPUTED_VALUE"""),"PowerPoint 216-Expert:in werden")</f>
        <v>PowerPoint 216-Expert:in werden</v>
      </c>
      <c r="U6" s="213"/>
      <c r="V6" s="215">
        <f ca="1">IFERROR(__xludf.DUMMYFUNCTION("""COMPUTED_VALUE"""),561310)</f>
        <v>561310</v>
      </c>
      <c r="W6" s="215" t="str">
        <f ca="1">IFERROR(__xludf.DUMMYFUNCTION("""COMPUTED_VALUE"""),"Beginner, Intermediate")</f>
        <v>Beginner, Intermediate</v>
      </c>
      <c r="X6" s="217" t="str">
        <f ca="1">IFERROR(__xludf.DUMMYFUNCTION("""COMPUTED_VALUE"""),"PowerPoint 2016 基本講座：基本操作")</f>
        <v>PowerPoint 2016 基本講座：基本操作</v>
      </c>
      <c r="Y6" s="217"/>
      <c r="Z6" s="213"/>
      <c r="AA6" s="215">
        <f ca="1">IFERROR(__xludf.DUMMYFUNCTION("""COMPUTED_VALUE"""),733703)</f>
        <v>733703</v>
      </c>
      <c r="AB6" s="215" t="str">
        <f ca="1">IFERROR(__xludf.DUMMYFUNCTION("""COMPUTED_VALUE"""),"All levels")</f>
        <v>All levels</v>
      </c>
      <c r="AC6" s="217" t="str">
        <f ca="1">IFERROR(__xludf.DUMMYFUNCTION("""COMPUTED_VALUE"""),"Como Fazer Apresentações e se Manter no Assunto")</f>
        <v>Como Fazer Apresentações e se Manter no Assunto</v>
      </c>
      <c r="AD6" s="217"/>
      <c r="AE6" s="213"/>
      <c r="AF6" s="215">
        <f ca="1">IFERROR(__xludf.DUMMYFUNCTION("""COMPUTED_VALUE"""),780939)</f>
        <v>780939</v>
      </c>
      <c r="AG6" s="215" t="str">
        <f ca="1">IFERROR(__xludf.DUMMYFUNCTION("""COMPUTED_VALUE"""),"Beginner, Intermediate")</f>
        <v>Beginner, Intermediate</v>
      </c>
      <c r="AH6" s="217" t="str">
        <f ca="1">IFERROR(__xludf.DUMMYFUNCTION("""COMPUTED_VALUE"""),"PowerPoint 2016 基础培训")</f>
        <v>PowerPoint 2016 基础培训</v>
      </c>
      <c r="AI6" s="217"/>
      <c r="AJ6" s="213"/>
    </row>
    <row r="7" spans="1:36" ht="33.75" customHeight="1">
      <c r="A7" s="213"/>
      <c r="B7" s="214">
        <f ca="1">IFERROR(__xludf.DUMMYFUNCTION("""COMPUTED_VALUE"""),693078)</f>
        <v>693078</v>
      </c>
      <c r="C7" s="215" t="str">
        <f ca="1">IFERROR(__xludf.DUMMYFUNCTION("""COMPUTED_VALUE"""),"Beginner + Intermediate")</f>
        <v>Beginner + Intermediate</v>
      </c>
      <c r="D7" s="216" t="str">
        <f ca="1">IFERROR(__xludf.DUMMYFUNCTION("""COMPUTED_VALUE"""),"Leading Productive Meetings")</f>
        <v>Leading Productive Meetings</v>
      </c>
      <c r="E7" s="217" t="str">
        <f ca="1">IFERROR(__xludf.DUMMYFUNCTION("""COMPUTED_VALUE"""),"Getting Started with Microsoft PowerPoint")</f>
        <v>Getting Started with Microsoft PowerPoint</v>
      </c>
      <c r="F7" s="213"/>
      <c r="G7" s="214">
        <f ca="1">IFERROR(__xludf.DUMMYFUNCTION("""COMPUTED_VALUE"""),5025528)</f>
        <v>5025528</v>
      </c>
      <c r="H7" s="215" t="str">
        <f ca="1">IFERROR(__xludf.DUMMYFUNCTION("""COMPUTED_VALUE"""),"Beginner")</f>
        <v>Beginner</v>
      </c>
      <c r="I7" s="217" t="str">
        <f ca="1">IFERROR(__xludf.DUMMYFUNCTION("""COMPUTED_VALUE"""),"Découvrir PowerPoint (Office 365)")</f>
        <v>Découvrir PowerPoint (Office 365)</v>
      </c>
      <c r="J7" s="217" t="str">
        <f ca="1">IFERROR(__xludf.DUMMYFUNCTION("""COMPUTED_VALUE"""),"Améliorer sa prise de parole en public")</f>
        <v>Améliorer sa prise de parole en public</v>
      </c>
      <c r="K7" s="213"/>
      <c r="L7" s="215">
        <f ca="1">IFERROR(__xludf.DUMMYFUNCTION("""COMPUTED_VALUE"""),425104)</f>
        <v>425104</v>
      </c>
      <c r="M7" s="215" t="str">
        <f ca="1">IFERROR(__xludf.DUMMYFUNCTION("""COMPUTED_VALUE"""),"All levels")</f>
        <v>All levels</v>
      </c>
      <c r="N7" s="217" t="str">
        <f ca="1">IFERROR(__xludf.DUMMYFUNCTION("""COMPUTED_VALUE"""),"Cómo desarrollar tu elevator pitch")</f>
        <v>Cómo desarrollar tu elevator pitch</v>
      </c>
      <c r="O7" s="217"/>
      <c r="P7" s="213"/>
      <c r="Q7" s="215">
        <f ca="1">IFERROR(__xludf.DUMMYFUNCTION("""COMPUTED_VALUE"""),800554)</f>
        <v>800554</v>
      </c>
      <c r="R7" s="215" t="str">
        <f ca="1">IFERROR(__xludf.DUMMYFUNCTION("""COMPUTED_VALUE"""),"Beginner")</f>
        <v>Beginner</v>
      </c>
      <c r="S7" s="217" t="str">
        <f ca="1">IFERROR(__xludf.DUMMYFUNCTION("""COMPUTED_VALUE"""),"Data Science lernen: Storytelling mit Daten")</f>
        <v>Data Science lernen: Storytelling mit Daten</v>
      </c>
      <c r="T7" s="217"/>
      <c r="U7" s="213"/>
      <c r="V7" s="215">
        <f ca="1">IFERROR(__xludf.DUMMYFUNCTION("""COMPUTED_VALUE"""),5007295)</f>
        <v>5007295</v>
      </c>
      <c r="W7" s="215" t="str">
        <f ca="1">IFERROR(__xludf.DUMMYFUNCTION("""COMPUTED_VALUE"""),"Beginner, Intermediate")</f>
        <v>Beginner, Intermediate</v>
      </c>
      <c r="X7" s="217" t="str">
        <f ca="1">IFERROR(__xludf.DUMMYFUNCTION("""COMPUTED_VALUE"""),"PowerPoint 2019 基本講座: 基本操作")</f>
        <v>PowerPoint 2019 基本講座: 基本操作</v>
      </c>
      <c r="Y7" s="217"/>
      <c r="Z7" s="213"/>
      <c r="AA7" s="215">
        <f ca="1">IFERROR(__xludf.DUMMYFUNCTION("""COMPUTED_VALUE"""),752460)</f>
        <v>752460</v>
      </c>
      <c r="AB7" s="215" t="str">
        <f ca="1">IFERROR(__xludf.DUMMYFUNCTION("""COMPUTED_VALUE"""),"All levels")</f>
        <v>All levels</v>
      </c>
      <c r="AC7" s="217" t="str">
        <f ca="1">IFERROR(__xludf.DUMMYFUNCTION("""COMPUTED_VALUE"""),"Como Preparar e Fazer Apresentações de Negócios")</f>
        <v>Como Preparar e Fazer Apresentações de Negócios</v>
      </c>
      <c r="AD7" s="217"/>
      <c r="AE7" s="213"/>
      <c r="AF7" s="215">
        <f ca="1">IFERROR(__xludf.DUMMYFUNCTION("""COMPUTED_VALUE"""),780988)</f>
        <v>780988</v>
      </c>
      <c r="AG7" s="215" t="str">
        <f ca="1">IFERROR(__xludf.DUMMYFUNCTION("""COMPUTED_VALUE"""),"Advanced")</f>
        <v>Advanced</v>
      </c>
      <c r="AH7" s="217" t="str">
        <f ca="1">IFERROR(__xludf.DUMMYFUNCTION("""COMPUTED_VALUE"""),"PowerPoint 2016 实用技巧")</f>
        <v>PowerPoint 2016 实用技巧</v>
      </c>
      <c r="AI7" s="217"/>
      <c r="AJ7" s="213"/>
    </row>
    <row r="8" spans="1:36" ht="33.75" customHeight="1">
      <c r="A8" s="213"/>
      <c r="B8" s="214">
        <f ca="1">IFERROR(__xludf.DUMMYFUNCTION("""COMPUTED_VALUE"""),656781)</f>
        <v>656781</v>
      </c>
      <c r="C8" s="215" t="str">
        <f ca="1">IFERROR(__xludf.DUMMYFUNCTION("""COMPUTED_VALUE"""),"Intermediate")</f>
        <v>Intermediate</v>
      </c>
      <c r="D8" s="216" t="str">
        <f ca="1">IFERROR(__xludf.DUMMYFUNCTION("""COMPUTED_VALUE"""),"Facilitation Skills for Managers and Leaders")</f>
        <v>Facilitation Skills for Managers and Leaders</v>
      </c>
      <c r="E8" s="217" t="str">
        <f ca="1">IFERROR(__xludf.DUMMYFUNCTION("""COMPUTED_VALUE"""),"Improve Your Presentation Skills")</f>
        <v>Improve Your Presentation Skills</v>
      </c>
      <c r="F8" s="213"/>
      <c r="G8" s="214">
        <f ca="1">IFERROR(__xludf.DUMMYFUNCTION("""COMPUTED_VALUE"""),793653)</f>
        <v>793653</v>
      </c>
      <c r="H8" s="215" t="str">
        <f ca="1">IFERROR(__xludf.DUMMYFUNCTION("""COMPUTED_VALUE"""),"Beginner")</f>
        <v>Beginner</v>
      </c>
      <c r="I8" s="217" t="str">
        <f ca="1">IFERROR(__xludf.DUMMYFUNCTION("""COMPUTED_VALUE"""),"Découvrir PowerPoint 2019")</f>
        <v>Découvrir PowerPoint 2019</v>
      </c>
      <c r="J8" s="217" t="str">
        <f ca="1">IFERROR(__xludf.DUMMYFUNCTION("""COMPUTED_VALUE"""),"Créer des mises en page professionnelles et percutantes")</f>
        <v>Créer des mises en page professionnelles et percutantes</v>
      </c>
      <c r="K8" s="213"/>
      <c r="L8" s="215">
        <f ca="1">IFERROR(__xludf.DUMMYFUNCTION("""COMPUTED_VALUE"""),417770)</f>
        <v>417770</v>
      </c>
      <c r="M8" s="215" t="str">
        <f ca="1">IFERROR(__xludf.DUMMYFUNCTION("""COMPUTED_VALUE"""),"All levels")</f>
        <v>All levels</v>
      </c>
      <c r="N8" s="217" t="str">
        <f ca="1">IFERROR(__xludf.DUMMYFUNCTION("""COMPUTED_VALUE"""),"Cómo diseñar una presentación")</f>
        <v>Cómo diseñar una presentación</v>
      </c>
      <c r="O8" s="217"/>
      <c r="P8" s="213"/>
      <c r="Q8" s="215">
        <f ca="1">IFERROR(__xludf.DUMMYFUNCTION("""COMPUTED_VALUE"""),3205094)</f>
        <v>3205094</v>
      </c>
      <c r="R8" s="215" t="str">
        <f ca="1">IFERROR(__xludf.DUMMYFUNCTION("""COMPUTED_VALUE"""),"All levels")</f>
        <v>All levels</v>
      </c>
      <c r="S8" s="217" t="str">
        <f ca="1">IFERROR(__xludf.DUMMYFUNCTION("""COMPUTED_VALUE"""),"Die 7 schlimmsten Kommunikationsfehler")</f>
        <v>Die 7 schlimmsten Kommunikationsfehler</v>
      </c>
      <c r="T8" s="217"/>
      <c r="U8" s="213"/>
      <c r="V8" s="215">
        <f ca="1">IFERROR(__xludf.DUMMYFUNCTION("""COMPUTED_VALUE"""),524428)</f>
        <v>524428</v>
      </c>
      <c r="W8" s="215" t="str">
        <f ca="1">IFERROR(__xludf.DUMMYFUNCTION("""COMPUTED_VALUE"""),"Intermediate")</f>
        <v>Intermediate</v>
      </c>
      <c r="X8" s="217" t="str">
        <f ca="1">IFERROR(__xludf.DUMMYFUNCTION("""COMPUTED_VALUE"""),"PowerPoint スライドデザインを極める")</f>
        <v>PowerPoint スライドデザインを極める</v>
      </c>
      <c r="Y8" s="217"/>
      <c r="Z8" s="213"/>
      <c r="AA8" s="215">
        <f ca="1">IFERROR(__xludf.DUMMYFUNCTION("""COMPUTED_VALUE"""),753084)</f>
        <v>753084</v>
      </c>
      <c r="AB8" s="215" t="str">
        <f ca="1">IFERROR(__xludf.DUMMYFUNCTION("""COMPUTED_VALUE"""),"All levels")</f>
        <v>All levels</v>
      </c>
      <c r="AC8" s="217" t="str">
        <f ca="1">IFERROR(__xludf.DUMMYFUNCTION("""COMPUTED_VALUE"""),"Como se Comunicar com Confiança")</f>
        <v>Como se Comunicar com Confiança</v>
      </c>
      <c r="AD8" s="217"/>
      <c r="AE8" s="213"/>
      <c r="AF8" s="215">
        <f ca="1">IFERROR(__xludf.DUMMYFUNCTION("""COMPUTED_VALUE"""),2811358)</f>
        <v>2811358</v>
      </c>
      <c r="AG8" s="215" t="str">
        <f ca="1">IFERROR(__xludf.DUMMYFUNCTION("""COMPUTED_VALUE"""),"Beginner, Intermediate")</f>
        <v>Beginner, Intermediate</v>
      </c>
      <c r="AH8" s="217" t="str">
        <f ca="1">IFERROR(__xludf.DUMMYFUNCTION("""COMPUTED_VALUE"""),"PowerPoint 2019: 基础培训")</f>
        <v>PowerPoint 2019: 基础培训</v>
      </c>
      <c r="AI8" s="217"/>
      <c r="AJ8" s="213"/>
    </row>
    <row r="9" spans="1:36" ht="33.75" customHeight="1">
      <c r="A9" s="213"/>
      <c r="B9" s="214">
        <f ca="1">IFERROR(__xludf.DUMMYFUNCTION("""COMPUTED_VALUE"""),2811019)</f>
        <v>2811019</v>
      </c>
      <c r="C9" s="215" t="str">
        <f ca="1">IFERROR(__xludf.DUMMYFUNCTION("""COMPUTED_VALUE"""),"Intermediate")</f>
        <v>Intermediate</v>
      </c>
      <c r="D9" s="216" t="str">
        <f ca="1">IFERROR(__xludf.DUMMYFUNCTION("""COMPUTED_VALUE"""),"Graphic Facilitation for Productive Team Meetings")</f>
        <v>Graphic Facilitation for Productive Team Meetings</v>
      </c>
      <c r="E9" s="217" t="str">
        <f ca="1">IFERROR(__xludf.DUMMYFUNCTION("""COMPUTED_VALUE"""),"Master Microsoft PowerPoint")</f>
        <v>Master Microsoft PowerPoint</v>
      </c>
      <c r="F9" s="213"/>
      <c r="G9" s="214">
        <f ca="1">IFERROR(__xludf.DUMMYFUNCTION("""COMPUTED_VALUE"""),2810618)</f>
        <v>2810618</v>
      </c>
      <c r="H9" s="215" t="str">
        <f ca="1">IFERROR(__xludf.DUMMYFUNCTION("""COMPUTED_VALUE"""),"Beginner")</f>
        <v>Beginner</v>
      </c>
      <c r="I9" s="217" t="str">
        <f ca="1">IFERROR(__xludf.DUMMYFUNCTION("""COMPUTED_VALUE"""),"Découvrir PowerPoint Online")</f>
        <v>Découvrir PowerPoint Online</v>
      </c>
      <c r="J9" s="217"/>
      <c r="K9" s="213"/>
      <c r="L9" s="215">
        <f ca="1">IFERROR(__xludf.DUMMYFUNCTION("""COMPUTED_VALUE"""),2926133)</f>
        <v>2926133</v>
      </c>
      <c r="M9" s="215" t="str">
        <f ca="1">IFERROR(__xludf.DUMMYFUNCTION("""COMPUTED_VALUE"""),"All levels")</f>
        <v>All levels</v>
      </c>
      <c r="N9" s="217" t="str">
        <f ca="1">IFERROR(__xludf.DUMMYFUNCTION("""COMPUTED_VALUE"""),"Cómo liderar reuniones individuales productivas")</f>
        <v>Cómo liderar reuniones individuales productivas</v>
      </c>
      <c r="O9" s="217"/>
      <c r="P9" s="213"/>
      <c r="Q9" s="215">
        <f ca="1">IFERROR(__xludf.DUMMYFUNCTION("""COMPUTED_VALUE"""),5025661)</f>
        <v>5025661</v>
      </c>
      <c r="R9" s="215" t="str">
        <f ca="1">IFERROR(__xludf.DUMMYFUNCTION("""COMPUTED_VALUE"""),"Intermediate")</f>
        <v>Intermediate</v>
      </c>
      <c r="S9" s="217" t="str">
        <f ca="1">IFERROR(__xludf.DUMMYFUNCTION("""COMPUTED_VALUE"""),"Die erfolgreiche Verkaufspräsentation")</f>
        <v>Die erfolgreiche Verkaufspräsentation</v>
      </c>
      <c r="T9" s="217"/>
      <c r="U9" s="213"/>
      <c r="V9" s="215">
        <f ca="1">IFERROR(__xludf.DUMMYFUNCTION("""COMPUTED_VALUE"""),5007300)</f>
        <v>5007300</v>
      </c>
      <c r="W9" s="215" t="str">
        <f ca="1">IFERROR(__xludf.DUMMYFUNCTION("""COMPUTED_VALUE"""),"Beginner, Intermediate")</f>
        <v>Beginner, Intermediate</v>
      </c>
      <c r="X9" s="217" t="str">
        <f ca="1">IFERROR(__xludf.DUMMYFUNCTION("""COMPUTED_VALUE"""),"PowerPoint 基本講座：基本操作（Office 365/Microsoft 365）")</f>
        <v>PowerPoint 基本講座：基本操作（Office 365/Microsoft 365）</v>
      </c>
      <c r="Y9" s="217"/>
      <c r="Z9" s="213"/>
      <c r="AA9" s="215">
        <f ca="1">IFERROR(__xludf.DUMMYFUNCTION("""COMPUTED_VALUE"""),753225)</f>
        <v>753225</v>
      </c>
      <c r="AB9" s="215" t="str">
        <f ca="1">IFERROR(__xludf.DUMMYFUNCTION("""COMPUTED_VALUE"""),"Intermediate")</f>
        <v>Intermediate</v>
      </c>
      <c r="AC9" s="217" t="str">
        <f ca="1">IFERROR(__xludf.DUMMYFUNCTION("""COMPUTED_VALUE"""),"PowerPoint 2013: Dicas, Truques e Atalhos")</f>
        <v>PowerPoint 2013: Dicas, Truques e Atalhos</v>
      </c>
      <c r="AD9" s="217"/>
      <c r="AE9" s="213"/>
      <c r="AF9" s="215">
        <f ca="1">IFERROR(__xludf.DUMMYFUNCTION("""COMPUTED_VALUE"""),2811359)</f>
        <v>2811359</v>
      </c>
      <c r="AG9" s="215" t="str">
        <f ca="1">IFERROR(__xludf.DUMMYFUNCTION("""COMPUTED_VALUE"""),"Beginner, Intermediate")</f>
        <v>Beginner, Intermediate</v>
      </c>
      <c r="AH9" s="217" t="str">
        <f ca="1">IFERROR(__xludf.DUMMYFUNCTION("""COMPUTED_VALUE"""),"PowerPoint 基础培训（Microsoft 365/Office 365）")</f>
        <v>PowerPoint 基础培训（Microsoft 365/Office 365）</v>
      </c>
      <c r="AI9" s="217"/>
      <c r="AJ9" s="213"/>
    </row>
    <row r="10" spans="1:36" ht="33.75" customHeight="1">
      <c r="A10" s="213"/>
      <c r="B10" s="214">
        <f ca="1">IFERROR(__xludf.DUMMYFUNCTION("""COMPUTED_VALUE"""),797723)</f>
        <v>797723</v>
      </c>
      <c r="C10" s="215" t="str">
        <f ca="1">IFERROR(__xludf.DUMMYFUNCTION("""COMPUTED_VALUE"""),"Intermediate")</f>
        <v>Intermediate</v>
      </c>
      <c r="D10" s="216" t="str">
        <f ca="1">IFERROR(__xludf.DUMMYFUNCTION("""COMPUTED_VALUE"""),"Executive Presence on Video Conference Calls")</f>
        <v>Executive Presence on Video Conference Calls</v>
      </c>
      <c r="E10" s="217" t="str">
        <f ca="1">IFERROR(__xludf.DUMMYFUNCTION("""COMPUTED_VALUE"""),"Visual Communication for Business Professionals")</f>
        <v>Visual Communication for Business Professionals</v>
      </c>
      <c r="F10" s="213"/>
      <c r="G10" s="214">
        <f ca="1">IFERROR(__xludf.DUMMYFUNCTION("""COMPUTED_VALUE"""),752387)</f>
        <v>752387</v>
      </c>
      <c r="H10" s="215" t="str">
        <f ca="1">IFERROR(__xludf.DUMMYFUNCTION("""COMPUTED_VALUE"""),"Beginner")</f>
        <v>Beginner</v>
      </c>
      <c r="I10" s="217" t="str">
        <f ca="1">IFERROR(__xludf.DUMMYFUNCTION("""COMPUTED_VALUE"""),"Découvrir Sway")</f>
        <v>Découvrir Sway</v>
      </c>
      <c r="J10" s="217"/>
      <c r="K10" s="213"/>
      <c r="L10" s="215">
        <f ca="1">IFERROR(__xludf.DUMMYFUNCTION("""COMPUTED_VALUE"""),2926134)</f>
        <v>2926134</v>
      </c>
      <c r="M10" s="215" t="str">
        <f ca="1">IFERROR(__xludf.DUMMYFUNCTION("""COMPUTED_VALUE"""),"Beginner, Intermediate")</f>
        <v>Beginner, Intermediate</v>
      </c>
      <c r="N10" s="217" t="str">
        <f ca="1">IFERROR(__xludf.DUMMYFUNCTION("""COMPUTED_VALUE"""),"Cómo liderar reuniones productivas")</f>
        <v>Cómo liderar reuniones productivas</v>
      </c>
      <c r="O10" s="217"/>
      <c r="P10" s="213"/>
      <c r="Q10" s="215">
        <f ca="1">IFERROR(__xludf.DUMMYFUNCTION("""COMPUTED_VALUE"""),2996653)</f>
        <v>2996653</v>
      </c>
      <c r="R10" s="215" t="str">
        <f ca="1">IFERROR(__xludf.DUMMYFUNCTION("""COMPUTED_VALUE"""),"All levels")</f>
        <v>All levels</v>
      </c>
      <c r="S10" s="217" t="str">
        <f ca="1">IFERROR(__xludf.DUMMYFUNCTION("""COMPUTED_VALUE"""),"Eloquenz für Führungskräfte")</f>
        <v>Eloquenz für Führungskräfte</v>
      </c>
      <c r="T10" s="217"/>
      <c r="U10" s="213"/>
      <c r="V10" s="215">
        <f ca="1">IFERROR(__xludf.DUMMYFUNCTION("""COMPUTED_VALUE"""),793109)</f>
        <v>793109</v>
      </c>
      <c r="W10" s="215" t="str">
        <f ca="1">IFERROR(__xludf.DUMMYFUNCTION("""COMPUTED_VALUE"""),"All levels")</f>
        <v>All levels</v>
      </c>
      <c r="X10" s="217" t="str">
        <f ca="1">IFERROR(__xludf.DUMMYFUNCTION("""COMPUTED_VALUE"""),"スピーチの基礎")</f>
        <v>スピーチの基礎</v>
      </c>
      <c r="Y10" s="217"/>
      <c r="Z10" s="213"/>
      <c r="AA10" s="215">
        <f ca="1">IFERROR(__xludf.DUMMYFUNCTION("""COMPUTED_VALUE"""),753219)</f>
        <v>753219</v>
      </c>
      <c r="AB10" s="215" t="str">
        <f ca="1">IFERROR(__xludf.DUMMYFUNCTION("""COMPUTED_VALUE"""),"Beginner, Intermediate")</f>
        <v>Beginner, Intermediate</v>
      </c>
      <c r="AC10" s="217" t="str">
        <f ca="1">IFERROR(__xludf.DUMMYFUNCTION("""COMPUTED_VALUE"""),"PowerPoint 2013: Formação Básica")</f>
        <v>PowerPoint 2013: Formação Básica</v>
      </c>
      <c r="AD10" s="217"/>
      <c r="AE10" s="213"/>
      <c r="AF10" s="215">
        <f ca="1">IFERROR(__xludf.DUMMYFUNCTION("""COMPUTED_VALUE"""),5002235)</f>
        <v>5002235</v>
      </c>
      <c r="AG10" s="215" t="str">
        <f ca="1">IFERROR(__xludf.DUMMYFUNCTION("""COMPUTED_VALUE"""),"All levels")</f>
        <v>All levels</v>
      </c>
      <c r="AH10" s="217" t="str">
        <f ca="1">IFERROR(__xludf.DUMMYFUNCTION("""COMPUTED_VALUE"""),"公开演讲基础知识")</f>
        <v>公开演讲基础知识</v>
      </c>
      <c r="AI10" s="217"/>
      <c r="AJ10" s="213"/>
    </row>
    <row r="11" spans="1:36" ht="33.75" customHeight="1">
      <c r="A11" s="213"/>
      <c r="B11" s="214">
        <f ca="1">IFERROR(__xludf.DUMMYFUNCTION("""COMPUTED_VALUE"""),706912)</f>
        <v>706912</v>
      </c>
      <c r="C11" s="215" t="str">
        <f ca="1">IFERROR(__xludf.DUMMYFUNCTION("""COMPUTED_VALUE"""),"Beginner")</f>
        <v>Beginner</v>
      </c>
      <c r="D11" s="216" t="str">
        <f ca="1">IFERROR(__xludf.DUMMYFUNCTION("""COMPUTED_VALUE"""),"Establishing Credibility as a Speaker")</f>
        <v>Establishing Credibility as a Speaker</v>
      </c>
      <c r="E11" s="217"/>
      <c r="F11" s="213"/>
      <c r="G11" s="214">
        <f ca="1">IFERROR(__xludf.DUMMYFUNCTION("""COMPUTED_VALUE"""),398442)</f>
        <v>398442</v>
      </c>
      <c r="H11" s="215" t="str">
        <f ca="1">IFERROR(__xludf.DUMMYFUNCTION("""COMPUTED_VALUE"""),"All levels")</f>
        <v>All levels</v>
      </c>
      <c r="I11" s="217" t="str">
        <f ca="1">IFERROR(__xludf.DUMMYFUNCTION("""COMPUTED_VALUE"""),"Faire un bon pitch")</f>
        <v>Faire un bon pitch</v>
      </c>
      <c r="J11" s="217"/>
      <c r="K11" s="213"/>
      <c r="L11" s="215">
        <f ca="1">IFERROR(__xludf.DUMMYFUNCTION("""COMPUTED_VALUE"""),2428812)</f>
        <v>2428812</v>
      </c>
      <c r="M11" s="215" t="str">
        <f ca="1">IFERROR(__xludf.DUMMYFUNCTION("""COMPUTED_VALUE"""),"Beginner, Intermediate")</f>
        <v>Beginner, Intermediate</v>
      </c>
      <c r="N11" s="217" t="str">
        <f ca="1">IFERROR(__xludf.DUMMYFUNCTION("""COMPUTED_VALUE"""),"Cómo prepararse para presentar en público")</f>
        <v>Cómo prepararse para presentar en público</v>
      </c>
      <c r="O11" s="217"/>
      <c r="P11" s="213"/>
      <c r="Q11" s="215">
        <f ca="1">IFERROR(__xludf.DUMMYFUNCTION("""COMPUTED_VALUE"""),593041)</f>
        <v>593041</v>
      </c>
      <c r="R11" s="215" t="str">
        <f ca="1">IFERROR(__xludf.DUMMYFUNCTION("""COMPUTED_VALUE"""),"All levels")</f>
        <v>All levels</v>
      </c>
      <c r="S11" s="217" t="str">
        <f ca="1">IFERROR(__xludf.DUMMYFUNCTION("""COMPUTED_VALUE"""),"Geschäftliche Präsentationen erstellen und halten")</f>
        <v>Geschäftliche Präsentationen erstellen und halten</v>
      </c>
      <c r="T11" s="217"/>
      <c r="U11" s="213"/>
      <c r="V11" s="215">
        <f ca="1">IFERROR(__xludf.DUMMYFUNCTION("""COMPUTED_VALUE"""),3155193)</f>
        <v>3155193</v>
      </c>
      <c r="W11" s="215" t="str">
        <f ca="1">IFERROR(__xludf.DUMMYFUNCTION("""COMPUTED_VALUE"""),"All levels")</f>
        <v>All levels</v>
      </c>
      <c r="X11" s="217" t="str">
        <f ca="1">IFERROR(__xludf.DUMMYFUNCTION("""COMPUTED_VALUE"""),"はっきりと自己を主張するには")</f>
        <v>はっきりと自己を主張するには</v>
      </c>
      <c r="Y11" s="217"/>
      <c r="Z11" s="213"/>
      <c r="AA11" s="215">
        <f ca="1">IFERROR(__xludf.DUMMYFUNCTION("""COMPUTED_VALUE"""),753201)</f>
        <v>753201</v>
      </c>
      <c r="AB11" s="215" t="str">
        <f ca="1">IFERROR(__xludf.DUMMYFUNCTION("""COMPUTED_VALUE"""),"Advanced")</f>
        <v>Advanced</v>
      </c>
      <c r="AC11" s="217" t="str">
        <f ca="1">IFERROR(__xludf.DUMMYFUNCTION("""COMPUTED_VALUE"""),"PowerPoint 2016: Atalhos")</f>
        <v>PowerPoint 2016: Atalhos</v>
      </c>
      <c r="AD11" s="217"/>
      <c r="AE11" s="213"/>
      <c r="AF11" s="215">
        <f ca="1">IFERROR(__xludf.DUMMYFUNCTION("""COMPUTED_VALUE"""),3050268)</f>
        <v>3050268</v>
      </c>
      <c r="AG11" s="215" t="str">
        <f ca="1">IFERROR(__xludf.DUMMYFUNCTION("""COMPUTED_VALUE"""),"Intermediate")</f>
        <v>Intermediate</v>
      </c>
      <c r="AH11" s="217" t="str">
        <f ca="1">IFERROR(__xludf.DUMMYFUNCTION("""COMPUTED_VALUE"""),"商务英语：线上会议")</f>
        <v>商务英语：线上会议</v>
      </c>
      <c r="AI11" s="217"/>
      <c r="AJ11" s="213"/>
    </row>
    <row r="12" spans="1:36" ht="33.75" customHeight="1">
      <c r="A12" s="213"/>
      <c r="B12" s="214">
        <f ca="1">IFERROR(__xludf.DUMMYFUNCTION("""COMPUTED_VALUE"""),748565)</f>
        <v>748565</v>
      </c>
      <c r="C12" s="215" t="str">
        <f ca="1">IFERROR(__xludf.DUMMYFUNCTION("""COMPUTED_VALUE"""),"Beginner")</f>
        <v>Beginner</v>
      </c>
      <c r="D12" s="216" t="str">
        <f ca="1">IFERROR(__xludf.DUMMYFUNCTION("""COMPUTED_VALUE"""),"Learning PowerPoint 2019")</f>
        <v>Learning PowerPoint 2019</v>
      </c>
      <c r="E12" s="217"/>
      <c r="F12" s="213"/>
      <c r="G12" s="214">
        <f ca="1">IFERROR(__xludf.DUMMYFUNCTION("""COMPUTED_VALUE"""),2391134)</f>
        <v>2391134</v>
      </c>
      <c r="H12" s="215" t="str">
        <f ca="1">IFERROR(__xludf.DUMMYFUNCTION("""COMPUTED_VALUE"""),"Intermediate")</f>
        <v>Intermediate</v>
      </c>
      <c r="I12" s="217" t="str">
        <f ca="1">IFERROR(__xludf.DUMMYFUNCTION("""COMPUTED_VALUE"""),"La minute de formation : Concevoir et animer des formations")</f>
        <v>La minute de formation : Concevoir et animer des formations</v>
      </c>
      <c r="J12" s="217"/>
      <c r="K12" s="213"/>
      <c r="L12" s="215">
        <f ca="1">IFERROR(__xludf.DUMMYFUNCTION("""COMPUTED_VALUE"""),457501)</f>
        <v>457501</v>
      </c>
      <c r="M12" s="215" t="str">
        <f ca="1">IFERROR(__xludf.DUMMYFUNCTION("""COMPUTED_VALUE"""),"All levels")</f>
        <v>All levels</v>
      </c>
      <c r="N12" s="217" t="str">
        <f ca="1">IFERROR(__xludf.DUMMYFUNCTION("""COMPUTED_VALUE"""),"Cómo presentar y enganchar a tu público")</f>
        <v>Cómo presentar y enganchar a tu público</v>
      </c>
      <c r="O12" s="217"/>
      <c r="P12" s="213"/>
      <c r="Q12" s="215">
        <f ca="1">IFERROR(__xludf.DUMMYFUNCTION("""COMPUTED_VALUE"""),514035)</f>
        <v>514035</v>
      </c>
      <c r="R12" s="215" t="str">
        <f ca="1">IFERROR(__xludf.DUMMYFUNCTION("""COMPUTED_VALUE"""),"Beginner")</f>
        <v>Beginner</v>
      </c>
      <c r="S12" s="217" t="str">
        <f ca="1">IFERROR(__xludf.DUMMYFUNCTION("""COMPUTED_VALUE"""),"Grafikdesign lernen: Präsentationen")</f>
        <v>Grafikdesign lernen: Präsentationen</v>
      </c>
      <c r="T12" s="217"/>
      <c r="U12" s="213"/>
      <c r="V12" s="215">
        <f ca="1">IFERROR(__xludf.DUMMYFUNCTION("""COMPUTED_VALUE"""),3141175)</f>
        <v>3141175</v>
      </c>
      <c r="W12" s="215" t="str">
        <f ca="1">IFERROR(__xludf.DUMMYFUNCTION("""COMPUTED_VALUE"""),"Beginner")</f>
        <v>Beginner</v>
      </c>
      <c r="X12" s="217" t="str">
        <f ca="1">IFERROR(__xludf.DUMMYFUNCTION("""COMPUTED_VALUE"""),"ビジネス英語の基礎：プレゼンテーションをする")</f>
        <v>ビジネス英語の基礎：プレゼンテーションをする</v>
      </c>
      <c r="Y12" s="217"/>
      <c r="Z12" s="213"/>
      <c r="AA12" s="215">
        <f ca="1">IFERROR(__xludf.DUMMYFUNCTION("""COMPUTED_VALUE"""),753198)</f>
        <v>753198</v>
      </c>
      <c r="AB12" s="215" t="str">
        <f ca="1">IFERROR(__xludf.DUMMYFUNCTION("""COMPUTED_VALUE"""),"Beginner, Intermediate")</f>
        <v>Beginner, Intermediate</v>
      </c>
      <c r="AC12" s="217" t="str">
        <f ca="1">IFERROR(__xludf.DUMMYFUNCTION("""COMPUTED_VALUE"""),"PowerPoint 2016: Formação Básica")</f>
        <v>PowerPoint 2016: Formação Básica</v>
      </c>
      <c r="AD12" s="217"/>
      <c r="AE12" s="213"/>
      <c r="AF12" s="215">
        <f ca="1">IFERROR(__xludf.DUMMYFUNCTION("""COMPUTED_VALUE"""),730550)</f>
        <v>730550</v>
      </c>
      <c r="AG12" s="215" t="str">
        <f ca="1">IFERROR(__xludf.DUMMYFUNCTION("""COMPUTED_VALUE"""),"All levels")</f>
        <v>All levels</v>
      </c>
      <c r="AH12" s="217" t="str">
        <f ca="1">IFERROR(__xludf.DUMMYFUNCTION("""COMPUTED_VALUE"""),"如何紧扣主题进行演讲")</f>
        <v>如何紧扣主题进行演讲</v>
      </c>
      <c r="AI12" s="217"/>
      <c r="AJ12" s="213"/>
    </row>
    <row r="13" spans="1:36" ht="33.75" customHeight="1">
      <c r="A13" s="213"/>
      <c r="B13" s="214">
        <f ca="1">IFERROR(__xludf.DUMMYFUNCTION("""COMPUTED_VALUE"""),512778)</f>
        <v>512778</v>
      </c>
      <c r="C13" s="215" t="str">
        <f ca="1">IFERROR(__xludf.DUMMYFUNCTION("""COMPUTED_VALUE"""),"Beginner")</f>
        <v>Beginner</v>
      </c>
      <c r="D13" s="216" t="str">
        <f ca="1">IFERROR(__xludf.DUMMYFUNCTION("""COMPUTED_VALUE"""),"Managing Meetings")</f>
        <v>Managing Meetings</v>
      </c>
      <c r="E13" s="217"/>
      <c r="F13" s="213"/>
      <c r="G13" s="214">
        <f ca="1">IFERROR(__xludf.DUMMYFUNCTION("""COMPUTED_VALUE"""),650569)</f>
        <v>650569</v>
      </c>
      <c r="H13" s="215" t="str">
        <f ca="1">IFERROR(__xludf.DUMMYFUNCTION("""COMPUTED_VALUE"""),"Intermediate")</f>
        <v>Intermediate</v>
      </c>
      <c r="I13" s="217" t="str">
        <f ca="1">IFERROR(__xludf.DUMMYFUNCTION("""COMPUTED_VALUE"""),"La visualisation de données : Le storytelling")</f>
        <v>La visualisation de données : Le storytelling</v>
      </c>
      <c r="J13" s="217"/>
      <c r="K13" s="213"/>
      <c r="L13" s="215">
        <f ca="1">IFERROR(__xludf.DUMMYFUNCTION("""COMPUTED_VALUE"""),609787)</f>
        <v>609787</v>
      </c>
      <c r="M13" s="215" t="str">
        <f ca="1">IFERROR(__xludf.DUMMYFUNCTION("""COMPUTED_VALUE"""),"Beginner")</f>
        <v>Beginner</v>
      </c>
      <c r="N13" s="217" t="str">
        <f ca="1">IFERROR(__xludf.DUMMYFUNCTION("""COMPUTED_VALUE"""),"Comunicación con confianza")</f>
        <v>Comunicación con confianza</v>
      </c>
      <c r="O13" s="217"/>
      <c r="P13" s="213"/>
      <c r="Q13" s="215">
        <f ca="1">IFERROR(__xludf.DUMMYFUNCTION("""COMPUTED_VALUE"""),702521)</f>
        <v>702521</v>
      </c>
      <c r="R13" s="215" t="str">
        <f ca="1">IFERROR(__xludf.DUMMYFUNCTION("""COMPUTED_VALUE"""),"Beginner")</f>
        <v>Beginner</v>
      </c>
      <c r="S13" s="217" t="str">
        <f ca="1">IFERROR(__xludf.DUMMYFUNCTION("""COMPUTED_VALUE"""),"Grundlagen der Datenvisualisierung und Datenpräsentation")</f>
        <v>Grundlagen der Datenvisualisierung und Datenpräsentation</v>
      </c>
      <c r="T13" s="217"/>
      <c r="U13" s="213"/>
      <c r="V13" s="215">
        <f ca="1">IFERROR(__xludf.DUMMYFUNCTION("""COMPUTED_VALUE"""),714295)</f>
        <v>714295</v>
      </c>
      <c r="W13" s="215" t="str">
        <f ca="1">IFERROR(__xludf.DUMMYFUNCTION("""COMPUTED_VALUE"""),"Beginner")</f>
        <v>Beginner</v>
      </c>
      <c r="X13" s="217" t="str">
        <f ca="1">IFERROR(__xludf.DUMMYFUNCTION("""COMPUTED_VALUE"""),"生産的なミーティングをするコツ")</f>
        <v>生産的なミーティングをするコツ</v>
      </c>
      <c r="Y13" s="217"/>
      <c r="Z13" s="213"/>
      <c r="AA13" s="215">
        <f ca="1">IFERROR(__xludf.DUMMYFUNCTION("""COMPUTED_VALUE"""),2901328)</f>
        <v>2901328</v>
      </c>
      <c r="AB13" s="215" t="str">
        <f ca="1">IFERROR(__xludf.DUMMYFUNCTION("""COMPUTED_VALUE"""),"Beginner, Intermediate")</f>
        <v>Beginner, Intermediate</v>
      </c>
      <c r="AC13" s="217" t="str">
        <f ca="1">IFERROR(__xludf.DUMMYFUNCTION("""COMPUTED_VALUE"""),"PowerPoint 2019: Formação Básica")</f>
        <v>PowerPoint 2019: Formação Básica</v>
      </c>
      <c r="AD13" s="217"/>
      <c r="AE13" s="213"/>
      <c r="AF13" s="215">
        <f ca="1">IFERROR(__xludf.DUMMYFUNCTION("""COMPUTED_VALUE"""),793986)</f>
        <v>793986</v>
      </c>
      <c r="AG13" s="215" t="str">
        <f ca="1">IFERROR(__xludf.DUMMYFUNCTION("""COMPUTED_VALUE"""),"All levels")</f>
        <v>All levels</v>
      </c>
      <c r="AH13" s="217" t="str">
        <f ca="1">IFERROR(__xludf.DUMMYFUNCTION("""COMPUTED_VALUE"""),"如何自信沟通")</f>
        <v>如何自信沟通</v>
      </c>
      <c r="AI13" s="217"/>
      <c r="AJ13" s="213"/>
    </row>
    <row r="14" spans="1:36" ht="33.75" customHeight="1">
      <c r="A14" s="213"/>
      <c r="B14" s="214">
        <f ca="1">IFERROR(__xludf.DUMMYFUNCTION("""COMPUTED_VALUE"""),5016700)</f>
        <v>5016700</v>
      </c>
      <c r="C14" s="215" t="str">
        <f ca="1">IFERROR(__xludf.DUMMYFUNCTION("""COMPUTED_VALUE"""),"Beginner")</f>
        <v>Beginner</v>
      </c>
      <c r="D14" s="216" t="str">
        <f ca="1">IFERROR(__xludf.DUMMYFUNCTION("""COMPUTED_VALUE"""),"Overcoming Your Fear of Public Speaking")</f>
        <v>Overcoming Your Fear of Public Speaking</v>
      </c>
      <c r="E14" s="217"/>
      <c r="F14" s="213"/>
      <c r="G14" s="214">
        <f ca="1">IFERROR(__xludf.DUMMYFUNCTION("""COMPUTED_VALUE"""),569187)</f>
        <v>569187</v>
      </c>
      <c r="H14" s="215" t="str">
        <f ca="1">IFERROR(__xludf.DUMMYFUNCTION("""COMPUTED_VALUE"""),"All levels")</f>
        <v>All levels</v>
      </c>
      <c r="I14" s="217" t="str">
        <f ca="1">IFERROR(__xludf.DUMMYFUNCTION("""COMPUTED_VALUE"""),"Les fondements de la présentation")</f>
        <v>Les fondements de la présentation</v>
      </c>
      <c r="J14" s="217"/>
      <c r="K14" s="213"/>
      <c r="L14" s="215">
        <f ca="1">IFERROR(__xludf.DUMMYFUNCTION("""COMPUTED_VALUE"""),2423948)</f>
        <v>2423948</v>
      </c>
      <c r="M14" s="215" t="str">
        <f ca="1">IFERROR(__xludf.DUMMYFUNCTION("""COMPUTED_VALUE"""),"All levels")</f>
        <v>All levels</v>
      </c>
      <c r="N14" s="217" t="str">
        <f ca="1">IFERROR(__xludf.DUMMYFUNCTION("""COMPUTED_VALUE"""),"El arte de presentar en público: Presencial, online e híbrido")</f>
        <v>El arte de presentar en público: Presencial, online e híbrido</v>
      </c>
      <c r="O14" s="217"/>
      <c r="P14" s="213"/>
      <c r="Q14" s="215">
        <f ca="1">IFERROR(__xludf.DUMMYFUNCTION("""COMPUTED_VALUE"""),2210961)</f>
        <v>2210961</v>
      </c>
      <c r="R14" s="215" t="str">
        <f ca="1">IFERROR(__xludf.DUMMYFUNCTION("""COMPUTED_VALUE"""),"All levels")</f>
        <v>All levels</v>
      </c>
      <c r="S14" s="217" t="str">
        <f ca="1">IFERROR(__xludf.DUMMYFUNCTION("""COMPUTED_VALUE"""),"In Medieninterviews überzeugen")</f>
        <v>In Medieninterviews überzeugen</v>
      </c>
      <c r="T14" s="217"/>
      <c r="U14" s="213"/>
      <c r="V14" s="215">
        <f ca="1">IFERROR(__xludf.DUMMYFUNCTION("""COMPUTED_VALUE"""),3158166)</f>
        <v>3158166</v>
      </c>
      <c r="W14" s="215" t="str">
        <f ca="1">IFERROR(__xludf.DUMMYFUNCTION("""COMPUTED_VALUE"""),"Beginner, Intermediate")</f>
        <v>Beginner, Intermediate</v>
      </c>
      <c r="X14" s="217" t="str">
        <f ca="1">IFERROR(__xludf.DUMMYFUNCTION("""COMPUTED_VALUE"""),"聞き上手になるには")</f>
        <v>聞き上手になるには</v>
      </c>
      <c r="Y14" s="217"/>
      <c r="Z14" s="213"/>
      <c r="AA14" s="215"/>
      <c r="AB14" s="215"/>
      <c r="AC14" s="217"/>
      <c r="AD14" s="217"/>
      <c r="AE14" s="213"/>
      <c r="AF14" s="215">
        <f ca="1">IFERROR(__xludf.DUMMYFUNCTION("""COMPUTED_VALUE"""),2825754)</f>
        <v>2825754</v>
      </c>
      <c r="AG14" s="215" t="str">
        <f ca="1">IFERROR(__xludf.DUMMYFUNCTION("""COMPUTED_VALUE"""),"Beginner")</f>
        <v>Beginner</v>
      </c>
      <c r="AH14" s="217" t="str">
        <f ca="1">IFERROR(__xludf.DUMMYFUNCTION("""COMPUTED_VALUE"""),"敏捷式工作：引领高效的敏捷会议")</f>
        <v>敏捷式工作：引领高效的敏捷会议</v>
      </c>
      <c r="AI14" s="217"/>
      <c r="AJ14" s="213"/>
    </row>
    <row r="15" spans="1:36" ht="33.75" customHeight="1">
      <c r="A15" s="213"/>
      <c r="B15" s="214">
        <f ca="1">IFERROR(__xludf.DUMMYFUNCTION("""COMPUTED_VALUE"""),706911)</f>
        <v>706911</v>
      </c>
      <c r="C15" s="215" t="str">
        <f ca="1">IFERROR(__xludf.DUMMYFUNCTION("""COMPUTED_VALUE"""),"Beginner")</f>
        <v>Beginner</v>
      </c>
      <c r="D15" s="216" t="str">
        <f ca="1">IFERROR(__xludf.DUMMYFUNCTION("""COMPUTED_VALUE"""),"Public Speaking Foundations")</f>
        <v>Public Speaking Foundations</v>
      </c>
      <c r="E15" s="217"/>
      <c r="F15" s="213"/>
      <c r="G15" s="214">
        <f ca="1">IFERROR(__xludf.DUMMYFUNCTION("""COMPUTED_VALUE"""),561008)</f>
        <v>561008</v>
      </c>
      <c r="H15" s="215" t="str">
        <f ca="1">IFERROR(__xludf.DUMMYFUNCTION("""COMPUTED_VALUE"""),"Beginner")</f>
        <v>Beginner</v>
      </c>
      <c r="I15" s="217" t="str">
        <f ca="1">IFERROR(__xludf.DUMMYFUNCTION("""COMPUTED_VALUE"""),"Les fondements de l'anglais des affaires : Structurer une présentation")</f>
        <v>Les fondements de l'anglais des affaires : Structurer une présentation</v>
      </c>
      <c r="J15" s="217"/>
      <c r="K15" s="213"/>
      <c r="L15" s="215">
        <f ca="1">IFERROR(__xludf.DUMMYFUNCTION("""COMPUTED_VALUE"""),762663)</f>
        <v>762663</v>
      </c>
      <c r="M15" s="215" t="str">
        <f ca="1">IFERROR(__xludf.DUMMYFUNCTION("""COMPUTED_VALUE"""),"Beginner, Intermediate")</f>
        <v>Beginner, Intermediate</v>
      </c>
      <c r="N15" s="217" t="str">
        <f ca="1">IFERROR(__xludf.DUMMYFUNCTION("""COMPUTED_VALUE"""),"Fundamentos de la narrativa o storytelling")</f>
        <v>Fundamentos de la narrativa o storytelling</v>
      </c>
      <c r="O15" s="217"/>
      <c r="P15" s="213"/>
      <c r="Q15" s="215">
        <f ca="1">IFERROR(__xludf.DUMMYFUNCTION("""COMPUTED_VALUE"""),2435035)</f>
        <v>2435035</v>
      </c>
      <c r="R15" s="215" t="str">
        <f ca="1">IFERROR(__xludf.DUMMYFUNCTION("""COMPUTED_VALUE"""),"All levels")</f>
        <v>All levels</v>
      </c>
      <c r="S15" s="217" t="str">
        <f ca="1">IFERROR(__xludf.DUMMYFUNCTION("""COMPUTED_VALUE"""),"Kommunikation mit Empathie")</f>
        <v>Kommunikation mit Empathie</v>
      </c>
      <c r="T15" s="217"/>
      <c r="U15" s="213"/>
      <c r="V15" s="215">
        <f ca="1">IFERROR(__xludf.DUMMYFUNCTION("""COMPUTED_VALUE"""),676648)</f>
        <v>676648</v>
      </c>
      <c r="W15" s="215" t="str">
        <f ca="1">IFERROR(__xludf.DUMMYFUNCTION("""COMPUTED_VALUE"""),"Beginner")</f>
        <v>Beginner</v>
      </c>
      <c r="X15" s="217" t="str">
        <f ca="1">IFERROR(__xludf.DUMMYFUNCTION("""COMPUTED_VALUE"""),"自信をもって話すには")</f>
        <v>自信をもって話すには</v>
      </c>
      <c r="Y15" s="217"/>
      <c r="Z15" s="213"/>
      <c r="AA15" s="215"/>
      <c r="AB15" s="215"/>
      <c r="AC15" s="217"/>
      <c r="AD15" s="217"/>
      <c r="AE15" s="213"/>
      <c r="AF15" s="215">
        <f ca="1">IFERROR(__xludf.DUMMYFUNCTION("""COMPUTED_VALUE"""),2428727)</f>
        <v>2428727</v>
      </c>
      <c r="AG15" s="215" t="str">
        <f ca="1">IFERROR(__xludf.DUMMYFUNCTION("""COMPUTED_VALUE"""),"All levels")</f>
        <v>All levels</v>
      </c>
      <c r="AH15" s="217" t="str">
        <f ca="1">IFERROR(__xludf.DUMMYFUNCTION("""COMPUTED_VALUE"""),"数字肢体语言")</f>
        <v>数字肢体语言</v>
      </c>
      <c r="AI15" s="217"/>
      <c r="AJ15" s="213"/>
    </row>
    <row r="16" spans="1:36" ht="33.75" customHeight="1">
      <c r="A16" s="213"/>
      <c r="B16" s="214">
        <f ca="1">IFERROR(__xludf.DUMMYFUNCTION("""COMPUTED_VALUE"""),2812533)</f>
        <v>2812533</v>
      </c>
      <c r="C16" s="215" t="str">
        <f ca="1">IFERROR(__xludf.DUMMYFUNCTION("""COMPUTED_VALUE"""),"Beginner")</f>
        <v>Beginner</v>
      </c>
      <c r="D16" s="216" t="str">
        <f ca="1">IFERROR(__xludf.DUMMYFUNCTION("""COMPUTED_VALUE"""),"Own Your Voice: Improve Presentations and Executive Presence")</f>
        <v>Own Your Voice: Improve Presentations and Executive Presence</v>
      </c>
      <c r="E16" s="217"/>
      <c r="F16" s="213"/>
      <c r="G16" s="214">
        <f ca="1">IFERROR(__xludf.DUMMYFUNCTION("""COMPUTED_VALUE"""),2916802)</f>
        <v>2916802</v>
      </c>
      <c r="H16" s="215" t="str">
        <f ca="1">IFERROR(__xludf.DUMMYFUNCTION("""COMPUTED_VALUE"""),"Beginner, Intermediate")</f>
        <v>Beginner, Intermediate</v>
      </c>
      <c r="I16" s="217" t="str">
        <f ca="1">IFERROR(__xludf.DUMMYFUNCTION("""COMPUTED_VALUE"""),"L'essentiel de Keynote 9")</f>
        <v>L'essentiel de Keynote 9</v>
      </c>
      <c r="J16" s="217"/>
      <c r="K16" s="213"/>
      <c r="L16" s="215">
        <f ca="1">IFERROR(__xludf.DUMMYFUNCTION("""COMPUTED_VALUE"""),714744)</f>
        <v>714744</v>
      </c>
      <c r="M16" s="215" t="str">
        <f ca="1">IFERROR(__xludf.DUMMYFUNCTION("""COMPUTED_VALUE"""),"Beginner, Intermediate")</f>
        <v>Beginner, Intermediate</v>
      </c>
      <c r="N16" s="217" t="str">
        <f ca="1">IFERROR(__xludf.DUMMYFUNCTION("""COMPUTED_VALUE"""),"Fundamentos de las presentaciones profesionales")</f>
        <v>Fundamentos de las presentaciones profesionales</v>
      </c>
      <c r="O16" s="217"/>
      <c r="P16" s="213"/>
      <c r="Q16" s="215">
        <f ca="1">IFERROR(__xludf.DUMMYFUNCTION("""COMPUTED_VALUE"""),2823401)</f>
        <v>2823401</v>
      </c>
      <c r="R16" s="215" t="str">
        <f ca="1">IFERROR(__xludf.DUMMYFUNCTION("""COMPUTED_VALUE"""),"All levels")</f>
        <v>All levels</v>
      </c>
      <c r="S16" s="217" t="str">
        <f ca="1">IFERROR(__xludf.DUMMYFUNCTION("""COMPUTED_VALUE"""),"Körpersprache für Frauen")</f>
        <v>Körpersprache für Frauen</v>
      </c>
      <c r="T16" s="217"/>
      <c r="U16" s="213"/>
      <c r="V16" s="215">
        <f ca="1">IFERROR(__xludf.DUMMYFUNCTION("""COMPUTED_VALUE"""),642275)</f>
        <v>642275</v>
      </c>
      <c r="W16" s="215" t="str">
        <f ca="1">IFERROR(__xludf.DUMMYFUNCTION("""COMPUTED_VALUE"""),"All levels")</f>
        <v>All levels</v>
      </c>
      <c r="X16" s="217" t="str">
        <f ca="1">IFERROR(__xludf.DUMMYFUNCTION("""COMPUTED_VALUE"""),"要点を押さえたプレゼンテーションを行う")</f>
        <v>要点を押さえたプレゼンテーションを行う</v>
      </c>
      <c r="Y16" s="217"/>
      <c r="Z16" s="213"/>
      <c r="AA16" s="215"/>
      <c r="AB16" s="215"/>
      <c r="AC16" s="217"/>
      <c r="AD16" s="217"/>
      <c r="AE16" s="213"/>
      <c r="AF16" s="215">
        <f ca="1">IFERROR(__xludf.DUMMYFUNCTION("""COMPUTED_VALUE"""),2825760)</f>
        <v>2825760</v>
      </c>
      <c r="AG16" s="215" t="str">
        <f ca="1">IFERROR(__xludf.DUMMYFUNCTION("""COMPUTED_VALUE"""),"Intermediate")</f>
        <v>Intermediate</v>
      </c>
      <c r="AH16" s="217" t="str">
        <f ca="1">IFERROR(__xludf.DUMMYFUNCTION("""COMPUTED_VALUE"""),"数据可视化：讲故事技巧")</f>
        <v>数据可视化：讲故事技巧</v>
      </c>
      <c r="AI16" s="217"/>
      <c r="AJ16" s="213"/>
    </row>
    <row r="17" spans="1:36" ht="33.75" customHeight="1">
      <c r="A17" s="213"/>
      <c r="B17" s="214">
        <f ca="1">IFERROR(__xludf.DUMMYFUNCTION("""COMPUTED_VALUE"""),2817015)</f>
        <v>2817015</v>
      </c>
      <c r="C17" s="215" t="str">
        <f ca="1">IFERROR(__xludf.DUMMYFUNCTION("""COMPUTED_VALUE"""),"Beginner")</f>
        <v>Beginner</v>
      </c>
      <c r="D17" s="216" t="str">
        <f ca="1">IFERROR(__xludf.DUMMYFUNCTION("""COMPUTED_VALUE"""),"Public Speaking: Energize and Engage Your Audience")</f>
        <v>Public Speaking: Energize and Engage Your Audience</v>
      </c>
      <c r="E17" s="217"/>
      <c r="F17" s="213"/>
      <c r="G17" s="214">
        <f ca="1">IFERROR(__xludf.DUMMYFUNCTION("""COMPUTED_VALUE"""),792294)</f>
        <v>792294</v>
      </c>
      <c r="H17" s="215" t="str">
        <f ca="1">IFERROR(__xludf.DUMMYFUNCTION("""COMPUTED_VALUE"""),"Beginner, Intermediate")</f>
        <v>Beginner, Intermediate</v>
      </c>
      <c r="I17" s="217" t="str">
        <f ca="1">IFERROR(__xludf.DUMMYFUNCTION("""COMPUTED_VALUE"""),"L'essentiel de PowerPoint (Microsoft 365/Office 365)")</f>
        <v>L'essentiel de PowerPoint (Microsoft 365/Office 365)</v>
      </c>
      <c r="J17" s="217"/>
      <c r="K17" s="213"/>
      <c r="L17" s="215">
        <f ca="1">IFERROR(__xludf.DUMMYFUNCTION("""COMPUTED_VALUE"""),2841606)</f>
        <v>2841606</v>
      </c>
      <c r="M17" s="215" t="str">
        <f ca="1">IFERROR(__xludf.DUMMYFUNCTION("""COMPUTED_VALUE"""),"Beginner")</f>
        <v>Beginner</v>
      </c>
      <c r="N17" s="217" t="str">
        <f ca="1">IFERROR(__xludf.DUMMYFUNCTION("""COMPUTED_VALUE"""),"Gestiona tu entrevista de trabajo en videoconferencia")</f>
        <v>Gestiona tu entrevista de trabajo en videoconferencia</v>
      </c>
      <c r="O17" s="217"/>
      <c r="P17" s="213"/>
      <c r="Q17" s="215">
        <f ca="1">IFERROR(__xludf.DUMMYFUNCTION("""COMPUTED_VALUE"""),593043)</f>
        <v>593043</v>
      </c>
      <c r="R17" s="215" t="str">
        <f ca="1">IFERROR(__xludf.DUMMYFUNCTION("""COMPUTED_VALUE"""),"All levels")</f>
        <v>All levels</v>
      </c>
      <c r="S17" s="217" t="str">
        <f ca="1">IFERROR(__xludf.DUMMYFUNCTION("""COMPUTED_VALUE"""),"Körpersprache für Führungskräfte")</f>
        <v>Körpersprache für Führungskräfte</v>
      </c>
      <c r="T17" s="217"/>
      <c r="U17" s="213"/>
      <c r="V17" s="215">
        <f ca="1">IFERROR(__xludf.DUMMYFUNCTION("""COMPUTED_VALUE"""),2916474)</f>
        <v>2916474</v>
      </c>
      <c r="W17" s="215" t="str">
        <f ca="1">IFERROR(__xludf.DUMMYFUNCTION("""COMPUTED_VALUE"""),"Intermediate")</f>
        <v>Intermediate</v>
      </c>
      <c r="X17" s="217" t="str">
        <f ca="1">IFERROR(__xludf.DUMMYFUNCTION("""COMPUTED_VALUE"""),"説得力のあるビジネスプレゼンテーションを行うには")</f>
        <v>説得力のあるビジネスプレゼンテーションを行うには</v>
      </c>
      <c r="Y17" s="217"/>
      <c r="Z17" s="213"/>
      <c r="AA17" s="215"/>
      <c r="AB17" s="215"/>
      <c r="AC17" s="217"/>
      <c r="AD17" s="217"/>
      <c r="AE17" s="213"/>
      <c r="AF17" s="215">
        <f ca="1">IFERROR(__xludf.DUMMYFUNCTION("""COMPUTED_VALUE"""),3032392)</f>
        <v>3032392</v>
      </c>
      <c r="AG17" s="215" t="str">
        <f ca="1">IFERROR(__xludf.DUMMYFUNCTION("""COMPUTED_VALUE"""),"All levels")</f>
        <v>All levels</v>
      </c>
      <c r="AH17" s="217" t="str">
        <f ca="1">IFERROR(__xludf.DUMMYFUNCTION("""COMPUTED_VALUE"""),"有策略地推销自己的想法")</f>
        <v>有策略地推销自己的想法</v>
      </c>
      <c r="AI17" s="217"/>
      <c r="AJ17" s="213"/>
    </row>
    <row r="18" spans="1:36" ht="33.75" customHeight="1">
      <c r="A18" s="213"/>
      <c r="B18" s="214">
        <f ca="1">IFERROR(__xludf.DUMMYFUNCTION("""COMPUTED_VALUE"""),2819070)</f>
        <v>2819070</v>
      </c>
      <c r="C18" s="215" t="str">
        <f ca="1">IFERROR(__xludf.DUMMYFUNCTION("""COMPUTED_VALUE"""),"Beginner")</f>
        <v>Beginner</v>
      </c>
      <c r="D18" s="216" t="str">
        <f ca="1">IFERROR(__xludf.DUMMYFUNCTION("""COMPUTED_VALUE"""),"How to Present and Stay on Point")</f>
        <v>How to Present and Stay on Point</v>
      </c>
      <c r="E18" s="217"/>
      <c r="F18" s="213"/>
      <c r="G18" s="214">
        <f ca="1">IFERROR(__xludf.DUMMYFUNCTION("""COMPUTED_VALUE"""),472535)</f>
        <v>472535</v>
      </c>
      <c r="H18" s="215" t="str">
        <f ca="1">IFERROR(__xludf.DUMMYFUNCTION("""COMPUTED_VALUE"""),"Beginner, Intermediate")</f>
        <v>Beginner, Intermediate</v>
      </c>
      <c r="I18" s="217" t="str">
        <f ca="1">IFERROR(__xludf.DUMMYFUNCTION("""COMPUTED_VALUE"""),"L'essentiel de PowerPoint 2016")</f>
        <v>L'essentiel de PowerPoint 2016</v>
      </c>
      <c r="J18" s="217"/>
      <c r="K18" s="213"/>
      <c r="L18" s="215">
        <f ca="1">IFERROR(__xludf.DUMMYFUNCTION("""COMPUTED_VALUE"""),714743)</f>
        <v>714743</v>
      </c>
      <c r="M18" s="215" t="str">
        <f ca="1">IFERROR(__xludf.DUMMYFUNCTION("""COMPUTED_VALUE"""),"Beginner, Intermediate")</f>
        <v>Beginner, Intermediate</v>
      </c>
      <c r="N18" s="217" t="str">
        <f ca="1">IFERROR(__xludf.DUMMYFUNCTION("""COMPUTED_VALUE"""),"Google Presentaciones esencial (2018)")</f>
        <v>Google Presentaciones esencial (2018)</v>
      </c>
      <c r="O18" s="217"/>
      <c r="P18" s="213"/>
      <c r="Q18" s="215">
        <f ca="1">IFERROR(__xludf.DUMMYFUNCTION("""COMPUTED_VALUE"""),2920399)</f>
        <v>2920399</v>
      </c>
      <c r="R18" s="215" t="str">
        <f ca="1">IFERROR(__xludf.DUMMYFUNCTION("""COMPUTED_VALUE"""),"All levels")</f>
        <v>All levels</v>
      </c>
      <c r="S18" s="217" t="str">
        <f ca="1">IFERROR(__xludf.DUMMYFUNCTION("""COMPUTED_VALUE"""),"Mehr Ausstrahlung mit dem Charisma-Code")</f>
        <v>Mehr Ausstrahlung mit dem Charisma-Code</v>
      </c>
      <c r="T18" s="217"/>
      <c r="U18" s="213"/>
      <c r="V18" s="215">
        <f ca="1">IFERROR(__xludf.DUMMYFUNCTION("""COMPUTED_VALUE"""),770482)</f>
        <v>770482</v>
      </c>
      <c r="W18" s="215" t="str">
        <f ca="1">IFERROR(__xludf.DUMMYFUNCTION("""COMPUTED_VALUE"""),"All levels")</f>
        <v>All levels</v>
      </c>
      <c r="X18" s="217" t="str">
        <f ca="1">IFERROR(__xludf.DUMMYFUNCTION("""COMPUTED_VALUE"""),"通る企画書の作り方")</f>
        <v>通る企画書の作り方</v>
      </c>
      <c r="Y18" s="217"/>
      <c r="Z18" s="213"/>
      <c r="AA18" s="215"/>
      <c r="AB18" s="215"/>
      <c r="AC18" s="217"/>
      <c r="AD18" s="217"/>
      <c r="AE18" s="213"/>
      <c r="AF18" s="215">
        <f ca="1">IFERROR(__xludf.DUMMYFUNCTION("""COMPUTED_VALUE"""),762259)</f>
        <v>762259</v>
      </c>
      <c r="AG18" s="215" t="str">
        <f ca="1">IFERROR(__xludf.DUMMYFUNCTION("""COMPUTED_VALUE"""),"All levels")</f>
        <v>All levels</v>
      </c>
      <c r="AH18" s="217" t="str">
        <f ca="1">IFERROR(__xludf.DUMMYFUNCTION("""COMPUTED_VALUE"""),"演讲基础知识")</f>
        <v>演讲基础知识</v>
      </c>
      <c r="AI18" s="217"/>
      <c r="AJ18" s="213"/>
    </row>
    <row r="19" spans="1:36" ht="33.75" customHeight="1">
      <c r="A19" s="213"/>
      <c r="B19" s="214">
        <f ca="1">IFERROR(__xludf.DUMMYFUNCTION("""COMPUTED_VALUE"""),2824177)</f>
        <v>2824177</v>
      </c>
      <c r="C19" s="215" t="str">
        <f ca="1">IFERROR(__xludf.DUMMYFUNCTION("""COMPUTED_VALUE"""),"Beginner")</f>
        <v>Beginner</v>
      </c>
      <c r="D19" s="216" t="str">
        <f ca="1">IFERROR(__xludf.DUMMYFUNCTION("""COMPUTED_VALUE"""),"How to Project Vocal Confidence")</f>
        <v>How to Project Vocal Confidence</v>
      </c>
      <c r="E19" s="217"/>
      <c r="F19" s="213"/>
      <c r="G19" s="214">
        <f ca="1">IFERROR(__xludf.DUMMYFUNCTION("""COMPUTED_VALUE"""),792293)</f>
        <v>792293</v>
      </c>
      <c r="H19" s="215" t="str">
        <f ca="1">IFERROR(__xludf.DUMMYFUNCTION("""COMPUTED_VALUE"""),"Beginner, Intermediate")</f>
        <v>Beginner, Intermediate</v>
      </c>
      <c r="I19" s="217" t="str">
        <f ca="1">IFERROR(__xludf.DUMMYFUNCTION("""COMPUTED_VALUE"""),"L'essentiel de PowerPoint 2019")</f>
        <v>L'essentiel de PowerPoint 2019</v>
      </c>
      <c r="J19" s="217"/>
      <c r="K19" s="213"/>
      <c r="L19" s="215">
        <f ca="1">IFERROR(__xludf.DUMMYFUNCTION("""COMPUTED_VALUE"""),2879008)</f>
        <v>2879008</v>
      </c>
      <c r="M19" s="215" t="str">
        <f ca="1">IFERROR(__xludf.DUMMYFUNCTION("""COMPUTED_VALUE"""),"All levels")</f>
        <v>All levels</v>
      </c>
      <c r="N19" s="217" t="str">
        <f ca="1">IFERROR(__xludf.DUMMYFUNCTION("""COMPUTED_VALUE"""),"Herramientas para presentaciones online: Trucos")</f>
        <v>Herramientas para presentaciones online: Trucos</v>
      </c>
      <c r="O19" s="217"/>
      <c r="P19" s="213"/>
      <c r="Q19" s="215">
        <f ca="1">IFERROR(__xludf.DUMMYFUNCTION("""COMPUTED_VALUE"""),2990028)</f>
        <v>2990028</v>
      </c>
      <c r="R19" s="215" t="str">
        <f ca="1">IFERROR(__xludf.DUMMYFUNCTION("""COMPUTED_VALUE"""),"Beginner")</f>
        <v>Beginner</v>
      </c>
      <c r="S19" s="217" t="str">
        <f ca="1">IFERROR(__xludf.DUMMYFUNCTION("""COMPUTED_VALUE"""),"PowerPoint für das Web lernen (Office 365/Microsoft 365)")</f>
        <v>PowerPoint für das Web lernen (Office 365/Microsoft 365)</v>
      </c>
      <c r="T19" s="217"/>
      <c r="U19" s="213"/>
      <c r="V19" s="215"/>
      <c r="W19" s="215"/>
      <c r="X19" s="217"/>
      <c r="Y19" s="217"/>
      <c r="Z19" s="213"/>
      <c r="AA19" s="215"/>
      <c r="AB19" s="215"/>
      <c r="AC19" s="217"/>
      <c r="AD19" s="217"/>
      <c r="AE19" s="213"/>
      <c r="AF19" s="215">
        <f ca="1">IFERROR(__xludf.DUMMYFUNCTION("""COMPUTED_VALUE"""),767866)</f>
        <v>767866</v>
      </c>
      <c r="AG19" s="215" t="str">
        <f ca="1">IFERROR(__xludf.DUMMYFUNCTION("""COMPUTED_VALUE"""),"Beginner")</f>
        <v>Beginner</v>
      </c>
      <c r="AH19" s="217" t="str">
        <f ca="1">IFERROR(__xludf.DUMMYFUNCTION("""COMPUTED_VALUE"""),"管理会议")</f>
        <v>管理会议</v>
      </c>
      <c r="AI19" s="217"/>
      <c r="AJ19" s="213"/>
    </row>
    <row r="20" spans="1:36" ht="33.75" customHeight="1">
      <c r="A20" s="213"/>
      <c r="B20" s="214">
        <f ca="1">IFERROR(__xludf.DUMMYFUNCTION("""COMPUTED_VALUE"""),2823568)</f>
        <v>2823568</v>
      </c>
      <c r="C20" s="215" t="str">
        <f ca="1">IFERROR(__xludf.DUMMYFUNCTION("""COMPUTED_VALUE"""),"Beginner")</f>
        <v>Beginner</v>
      </c>
      <c r="D20" s="216" t="str">
        <f ca="1">IFERROR(__xludf.DUMMYFUNCTION("""COMPUTED_VALUE"""),"How to Turn Your Entrepreneur Journey into a Successful Keynote Talk")</f>
        <v>How to Turn Your Entrepreneur Journey into a Successful Keynote Talk</v>
      </c>
      <c r="E20" s="217"/>
      <c r="F20" s="213"/>
      <c r="G20" s="214">
        <f ca="1">IFERROR(__xludf.DUMMYFUNCTION("""COMPUTED_VALUE"""),2801238)</f>
        <v>2801238</v>
      </c>
      <c r="H20" s="215" t="str">
        <f ca="1">IFERROR(__xludf.DUMMYFUNCTION("""COMPUTED_VALUE"""),"Beginner, Intermediate")</f>
        <v>Beginner, Intermediate</v>
      </c>
      <c r="I20" s="217" t="str">
        <f ca="1">IFERROR(__xludf.DUMMYFUNCTION("""COMPUTED_VALUE"""),"L'essentiel de PowerPoint 2019 pour Mac")</f>
        <v>L'essentiel de PowerPoint 2019 pour Mac</v>
      </c>
      <c r="J20" s="217"/>
      <c r="K20" s="213"/>
      <c r="L20" s="215">
        <f ca="1">IFERROR(__xludf.DUMMYFUNCTION("""COMPUTED_VALUE"""),582462)</f>
        <v>582462</v>
      </c>
      <c r="M20" s="215" t="str">
        <f ca="1">IFERROR(__xludf.DUMMYFUNCTION("""COMPUTED_VALUE"""),"Advanced")</f>
        <v>Advanced</v>
      </c>
      <c r="N20" s="217" t="str">
        <f ca="1">IFERROR(__xludf.DUMMYFUNCTION("""COMPUTED_VALUE"""),"PowerPoint 2016 avanzado: Atajos de productividad")</f>
        <v>PowerPoint 2016 avanzado: Atajos de productividad</v>
      </c>
      <c r="O20" s="217"/>
      <c r="P20" s="213"/>
      <c r="Q20" s="215">
        <f ca="1">IFERROR(__xludf.DUMMYFUNCTION("""COMPUTED_VALUE"""),782088)</f>
        <v>782088</v>
      </c>
      <c r="R20" s="215" t="str">
        <f ca="1">IFERROR(__xludf.DUMMYFUNCTION("""COMPUTED_VALUE"""),"Beginner, Intermediate")</f>
        <v>Beginner, Intermediate</v>
      </c>
      <c r="S20" s="217" t="str">
        <f ca="1">IFERROR(__xludf.DUMMYFUNCTION("""COMPUTED_VALUE"""),"PowerPoint Grundkurs (Office 365/Microsoft 365)")</f>
        <v>PowerPoint Grundkurs (Office 365/Microsoft 365)</v>
      </c>
      <c r="T20" s="217"/>
      <c r="U20" s="213"/>
      <c r="V20" s="215"/>
      <c r="W20" s="215"/>
      <c r="X20" s="217"/>
      <c r="Y20" s="217"/>
      <c r="Z20" s="213"/>
      <c r="AA20" s="215"/>
      <c r="AB20" s="215"/>
      <c r="AC20" s="217"/>
      <c r="AD20" s="217"/>
      <c r="AE20" s="213"/>
      <c r="AF20" s="215">
        <f ca="1">IFERROR(__xludf.DUMMYFUNCTION("""COMPUTED_VALUE"""),3154980)</f>
        <v>3154980</v>
      </c>
      <c r="AG20" s="215" t="str">
        <f ca="1">IFERROR(__xludf.DUMMYFUNCTION("""COMPUTED_VALUE"""),"Intermediate")</f>
        <v>Intermediate</v>
      </c>
      <c r="AH20" s="217" t="str">
        <f ca="1">IFERROR(__xludf.DUMMYFUNCTION("""COMPUTED_VALUE"""),"视频会议中的领导气质")</f>
        <v>视频会议中的领导气质</v>
      </c>
      <c r="AI20" s="217"/>
      <c r="AJ20" s="213"/>
    </row>
    <row r="21" spans="1:36" ht="33.75" customHeight="1">
      <c r="A21" s="213"/>
      <c r="B21" s="214">
        <f ca="1">IFERROR(__xludf.DUMMYFUNCTION("""COMPUTED_VALUE"""),2875044)</f>
        <v>2875044</v>
      </c>
      <c r="C21" s="215" t="str">
        <f ca="1">IFERROR(__xludf.DUMMYFUNCTION("""COMPUTED_VALUE"""),"Beginner")</f>
        <v>Beginner</v>
      </c>
      <c r="D21" s="216" t="str">
        <f ca="1">IFERROR(__xludf.DUMMYFUNCTION("""COMPUTED_VALUE"""),"Speaking Confidently and Effectively")</f>
        <v>Speaking Confidently and Effectively</v>
      </c>
      <c r="E21" s="217"/>
      <c r="F21" s="213"/>
      <c r="G21" s="214">
        <f ca="1">IFERROR(__xludf.DUMMYFUNCTION("""COMPUTED_VALUE"""),553205)</f>
        <v>553205</v>
      </c>
      <c r="H21" s="215" t="str">
        <f ca="1">IFERROR(__xludf.DUMMYFUNCTION("""COMPUTED_VALUE"""),"All levels")</f>
        <v>All levels</v>
      </c>
      <c r="I21" s="217" t="str">
        <f ca="1">IFERROR(__xludf.DUMMYFUNCTION("""COMPUTED_VALUE"""),"Mener des réunions productives")</f>
        <v>Mener des réunions productives</v>
      </c>
      <c r="J21" s="217"/>
      <c r="K21" s="213"/>
      <c r="L21" s="215">
        <f ca="1">IFERROR(__xludf.DUMMYFUNCTION("""COMPUTED_VALUE"""),497105)</f>
        <v>497105</v>
      </c>
      <c r="M21" s="215" t="str">
        <f ca="1">IFERROR(__xludf.DUMMYFUNCTION("""COMPUTED_VALUE"""),"Advanced")</f>
        <v>Advanced</v>
      </c>
      <c r="N21" s="217" t="str">
        <f ca="1">IFERROR(__xludf.DUMMYFUNCTION("""COMPUTED_VALUE"""),"PowerPoint 2016 avanzado: Trucos")</f>
        <v>PowerPoint 2016 avanzado: Trucos</v>
      </c>
      <c r="O21" s="217"/>
      <c r="P21" s="213"/>
      <c r="Q21" s="215">
        <f ca="1">IFERROR(__xludf.DUMMYFUNCTION("""COMPUTED_VALUE"""),761029)</f>
        <v>761029</v>
      </c>
      <c r="R21" s="215" t="str">
        <f ca="1">IFERROR(__xludf.DUMMYFUNCTION("""COMPUTED_VALUE"""),"Beginner")</f>
        <v>Beginner</v>
      </c>
      <c r="S21" s="217" t="str">
        <f ca="1">IFERROR(__xludf.DUMMYFUNCTION("""COMPUTED_VALUE"""),"PowerPoint lernen (Office 365/Microsoft 365)")</f>
        <v>PowerPoint lernen (Office 365/Microsoft 365)</v>
      </c>
      <c r="T21" s="217"/>
      <c r="U21" s="213"/>
      <c r="V21" s="215"/>
      <c r="W21" s="215"/>
      <c r="X21" s="217"/>
      <c r="Y21" s="217"/>
      <c r="Z21" s="213"/>
      <c r="AA21" s="215"/>
      <c r="AB21" s="215"/>
      <c r="AC21" s="217"/>
      <c r="AD21" s="217"/>
      <c r="AE21" s="213"/>
      <c r="AF21" s="215">
        <f ca="1">IFERROR(__xludf.DUMMYFUNCTION("""COMPUTED_VALUE"""),2822708)</f>
        <v>2822708</v>
      </c>
      <c r="AG21" s="215" t="str">
        <f ca="1">IFERROR(__xludf.DUMMYFUNCTION("""COMPUTED_VALUE"""),"Beginner")</f>
        <v>Beginner</v>
      </c>
      <c r="AH21" s="217" t="str">
        <f ca="1">IFERROR(__xludf.DUMMYFUNCTION("""COMPUTED_VALUE"""),"面试技巧：雇主篇")</f>
        <v>面试技巧：雇主篇</v>
      </c>
      <c r="AI21" s="217"/>
      <c r="AJ21" s="213"/>
    </row>
    <row r="22" spans="1:36" ht="33.75" customHeight="1">
      <c r="A22" s="213"/>
      <c r="B22" s="214">
        <f ca="1">IFERROR(__xludf.DUMMYFUNCTION("""COMPUTED_VALUE"""),2869052)</f>
        <v>2869052</v>
      </c>
      <c r="C22" s="215" t="str">
        <f ca="1">IFERROR(__xludf.DUMMYFUNCTION("""COMPUTED_VALUE"""),"Beginner")</f>
        <v>Beginner</v>
      </c>
      <c r="D22" s="216" t="str">
        <f ca="1">IFERROR(__xludf.DUMMYFUNCTION("""COMPUTED_VALUE"""),"Boosting Your Confidence, Public Speaking and Performance")</f>
        <v>Boosting Your Confidence, Public Speaking and Performance</v>
      </c>
      <c r="E22" s="217"/>
      <c r="F22" s="213"/>
      <c r="G22" s="214">
        <f ca="1">IFERROR(__xludf.DUMMYFUNCTION("""COMPUTED_VALUE"""),665162)</f>
        <v>665162</v>
      </c>
      <c r="H22" s="215" t="str">
        <f ca="1">IFERROR(__xludf.DUMMYFUNCTION("""COMPUTED_VALUE"""),"Beginner")</f>
        <v>Beginner</v>
      </c>
      <c r="I22" s="217" t="str">
        <f ca="1">IFERROR(__xludf.DUMMYFUNCTION("""COMPUTED_VALUE"""),"Parler en public")</f>
        <v>Parler en public</v>
      </c>
      <c r="J22" s="217"/>
      <c r="K22" s="213"/>
      <c r="L22" s="215">
        <f ca="1">IFERROR(__xludf.DUMMYFUNCTION("""COMPUTED_VALUE"""),507216)</f>
        <v>507216</v>
      </c>
      <c r="M22" s="215" t="str">
        <f ca="1">IFERROR(__xludf.DUMMYFUNCTION("""COMPUTED_VALUE"""),"Beginner")</f>
        <v>Beginner</v>
      </c>
      <c r="N22" s="217" t="str">
        <f ca="1">IFERROR(__xludf.DUMMYFUNCTION("""COMPUTED_VALUE"""),"PowerPoint 2016 esencial")</f>
        <v>PowerPoint 2016 esencial</v>
      </c>
      <c r="O22" s="217"/>
      <c r="P22" s="213"/>
      <c r="Q22" s="215">
        <f ca="1">IFERROR(__xludf.DUMMYFUNCTION("""COMPUTED_VALUE"""),2932106)</f>
        <v>2932106</v>
      </c>
      <c r="R22" s="215" t="str">
        <f ca="1">IFERROR(__xludf.DUMMYFUNCTION("""COMPUTED_VALUE"""),"Intermediate")</f>
        <v>Intermediate</v>
      </c>
      <c r="S22" s="217" t="str">
        <f ca="1">IFERROR(__xludf.DUMMYFUNCTION("""COMPUTED_VALUE"""),"PowerPoint: 3D-Grafiken (365/2019)")</f>
        <v>PowerPoint: 3D-Grafiken (365/2019)</v>
      </c>
      <c r="T22" s="217"/>
      <c r="U22" s="213"/>
      <c r="V22" s="215"/>
      <c r="W22" s="215"/>
      <c r="X22" s="217"/>
      <c r="Y22" s="217"/>
      <c r="Z22" s="213"/>
      <c r="AA22" s="215"/>
      <c r="AB22" s="215"/>
      <c r="AC22" s="217"/>
      <c r="AD22" s="217"/>
      <c r="AE22" s="213"/>
      <c r="AF22" s="215">
        <f ca="1">IFERROR(__xludf.DUMMYFUNCTION("""COMPUTED_VALUE"""),2819189)</f>
        <v>2819189</v>
      </c>
      <c r="AG22" s="215" t="str">
        <f ca="1">IFERROR(__xludf.DUMMYFUNCTION("""COMPUTED_VALUE"""),"Beginner, Intermediate")</f>
        <v>Beginner, Intermediate</v>
      </c>
      <c r="AH22" s="217" t="str">
        <f ca="1">IFERROR(__xludf.DUMMYFUNCTION("""COMPUTED_VALUE"""),"领导高效的会议")</f>
        <v>领导高效的会议</v>
      </c>
      <c r="AI22" s="217"/>
      <c r="AJ22" s="213"/>
    </row>
    <row r="23" spans="1:36" ht="33.75" customHeight="1">
      <c r="A23" s="213"/>
      <c r="B23" s="214">
        <f ca="1">IFERROR(__xludf.DUMMYFUNCTION("""COMPUTED_VALUE"""),3119090)</f>
        <v>3119090</v>
      </c>
      <c r="C23" s="215" t="str">
        <f ca="1">IFERROR(__xludf.DUMMYFUNCTION("""COMPUTED_VALUE"""),"Beginner")</f>
        <v>Beginner</v>
      </c>
      <c r="D23" s="216" t="str">
        <f ca="1">IFERROR(__xludf.DUMMYFUNCTION("""COMPUTED_VALUE"""),"Stepping Up Your Webcam Video Presence")</f>
        <v>Stepping Up Your Webcam Video Presence</v>
      </c>
      <c r="E23" s="217"/>
      <c r="F23" s="213"/>
      <c r="G23" s="214">
        <f ca="1">IFERROR(__xludf.DUMMYFUNCTION("""COMPUTED_VALUE"""),2889350)</f>
        <v>2889350</v>
      </c>
      <c r="H23" s="215" t="str">
        <f ca="1">IFERROR(__xludf.DUMMYFUNCTION("""COMPUTED_VALUE"""),"All levels")</f>
        <v>All levels</v>
      </c>
      <c r="I23" s="217" t="str">
        <f ca="1">IFERROR(__xludf.DUMMYFUNCTION("""COMPUTED_VALUE"""),"Persuader et convaincre : 5 erreurs à éviter lors d'une présentation")</f>
        <v>Persuader et convaincre : 5 erreurs à éviter lors d'une présentation</v>
      </c>
      <c r="J23" s="217"/>
      <c r="K23" s="213"/>
      <c r="L23" s="215">
        <f ca="1">IFERROR(__xludf.DUMMYFUNCTION("""COMPUTED_VALUE"""),664846)</f>
        <v>664846</v>
      </c>
      <c r="M23" s="215" t="str">
        <f ca="1">IFERROR(__xludf.DUMMYFUNCTION("""COMPUTED_VALUE"""),"Beginner, Intermediate")</f>
        <v>Beginner, Intermediate</v>
      </c>
      <c r="N23" s="217" t="str">
        <f ca="1">IFERROR(__xludf.DUMMYFUNCTION("""COMPUTED_VALUE"""),"PowerPoint 2016 para Mac esencial")</f>
        <v>PowerPoint 2016 para Mac esencial</v>
      </c>
      <c r="O23" s="217"/>
      <c r="P23" s="213"/>
      <c r="Q23" s="215">
        <f ca="1">IFERROR(__xludf.DUMMYFUNCTION("""COMPUTED_VALUE"""),2922310)</f>
        <v>2922310</v>
      </c>
      <c r="R23" s="215" t="str">
        <f ca="1">IFERROR(__xludf.DUMMYFUNCTION("""COMPUTED_VALUE"""),"Intermediate")</f>
        <v>Intermediate</v>
      </c>
      <c r="S23" s="217" t="str">
        <f ca="1">IFERROR(__xludf.DUMMYFUNCTION("""COMPUTED_VALUE"""),"PowerPoint: Animationen und Übergänge (365/2019)")</f>
        <v>PowerPoint: Animationen und Übergänge (365/2019)</v>
      </c>
      <c r="T23" s="217"/>
      <c r="U23" s="213"/>
      <c r="V23" s="215"/>
      <c r="W23" s="215"/>
      <c r="X23" s="217"/>
      <c r="Y23" s="217"/>
      <c r="Z23" s="213"/>
      <c r="AA23" s="215"/>
      <c r="AB23" s="215"/>
      <c r="AC23" s="217"/>
      <c r="AD23" s="217"/>
      <c r="AE23" s="213"/>
      <c r="AF23" s="215"/>
      <c r="AG23" s="215"/>
      <c r="AH23" s="217"/>
      <c r="AI23" s="217"/>
      <c r="AJ23" s="213"/>
    </row>
    <row r="24" spans="1:36" ht="33.75" customHeight="1">
      <c r="A24" s="213"/>
      <c r="B24" s="214">
        <f ca="1">IFERROR(__xludf.DUMMYFUNCTION("""COMPUTED_VALUE"""),2885049)</f>
        <v>2885049</v>
      </c>
      <c r="C24" s="215" t="str">
        <f ca="1">IFERROR(__xludf.DUMMYFUNCTION("""COMPUTED_VALUE"""),"Beginner")</f>
        <v>Beginner</v>
      </c>
      <c r="D24" s="216" t="str">
        <f ca="1">IFERROR(__xludf.DUMMYFUNCTION("""COMPUTED_VALUE"""),"Learning Lucidchart")</f>
        <v>Learning Lucidchart</v>
      </c>
      <c r="E24" s="217"/>
      <c r="F24" s="213"/>
      <c r="G24" s="214">
        <f ca="1">IFERROR(__xludf.DUMMYFUNCTION("""COMPUTED_VALUE"""),2842012)</f>
        <v>2842012</v>
      </c>
      <c r="H24" s="215" t="str">
        <f ca="1">IFERROR(__xludf.DUMMYFUNCTION("""COMPUTED_VALUE"""),"Intermediate")</f>
        <v>Intermediate</v>
      </c>
      <c r="I24" s="217" t="str">
        <f ca="1">IFERROR(__xludf.DUMMYFUNCTION("""COMPUTED_VALUE"""),"PowerPoint : 10 astuces pour adapter une présentation à son audience (Microsoft 365)")</f>
        <v>PowerPoint : 10 astuces pour adapter une présentation à son audience (Microsoft 365)</v>
      </c>
      <c r="J24" s="217"/>
      <c r="K24" s="213"/>
      <c r="L24" s="215">
        <f ca="1">IFERROR(__xludf.DUMMYFUNCTION("""COMPUTED_VALUE"""),708547)</f>
        <v>708547</v>
      </c>
      <c r="M24" s="215" t="str">
        <f ca="1">IFERROR(__xludf.DUMMYFUNCTION("""COMPUTED_VALUE"""),"Intermediate")</f>
        <v>Intermediate</v>
      </c>
      <c r="N24" s="217" t="str">
        <f ca="1">IFERROR(__xludf.DUMMYFUNCTION("""COMPUTED_VALUE"""),"PowerPoint 2016: Audio, vídeo y animaciones")</f>
        <v>PowerPoint 2016: Audio, vídeo y animaciones</v>
      </c>
      <c r="O24" s="217"/>
      <c r="P24" s="213"/>
      <c r="Q24" s="215">
        <f ca="1">IFERROR(__xludf.DUMMYFUNCTION("""COMPUTED_VALUE"""),2922311)</f>
        <v>2922311</v>
      </c>
      <c r="R24" s="215" t="str">
        <f ca="1">IFERROR(__xludf.DUMMYFUNCTION("""COMPUTED_VALUE"""),"Intermediate")</f>
        <v>Intermediate</v>
      </c>
      <c r="S24" s="217" t="str">
        <f ca="1">IFERROR(__xludf.DUMMYFUNCTION("""COMPUTED_VALUE"""),"PowerPoint: Audio und Video (365/2019)")</f>
        <v>PowerPoint: Audio und Video (365/2019)</v>
      </c>
      <c r="T24" s="217"/>
      <c r="U24" s="213"/>
      <c r="V24" s="215"/>
      <c r="W24" s="215"/>
      <c r="X24" s="217"/>
      <c r="Y24" s="217"/>
      <c r="Z24" s="213"/>
      <c r="AA24" s="215"/>
      <c r="AB24" s="215"/>
      <c r="AC24" s="217"/>
      <c r="AD24" s="217"/>
      <c r="AE24" s="213"/>
      <c r="AF24" s="215"/>
      <c r="AG24" s="215"/>
      <c r="AH24" s="217"/>
      <c r="AI24" s="217"/>
      <c r="AJ24" s="213"/>
    </row>
    <row r="25" spans="1:36" ht="33.75" customHeight="1">
      <c r="A25" s="213"/>
      <c r="B25" s="214">
        <f ca="1">IFERROR(__xludf.DUMMYFUNCTION("""COMPUTED_VALUE"""),2887137)</f>
        <v>2887137</v>
      </c>
      <c r="C25" s="215" t="str">
        <f ca="1">IFERROR(__xludf.DUMMYFUNCTION("""COMPUTED_VALUE"""),"Beginner")</f>
        <v>Beginner</v>
      </c>
      <c r="D25" s="216" t="str">
        <f ca="1">IFERROR(__xludf.DUMMYFUNCTION("""COMPUTED_VALUE"""),"Producing Screencast Videos on a PC")</f>
        <v>Producing Screencast Videos on a PC</v>
      </c>
      <c r="E25" s="217"/>
      <c r="F25" s="213"/>
      <c r="G25" s="214">
        <f ca="1">IFERROR(__xludf.DUMMYFUNCTION("""COMPUTED_VALUE"""),5025529)</f>
        <v>5025529</v>
      </c>
      <c r="H25" s="215" t="str">
        <f ca="1">IFERROR(__xludf.DUMMYFUNCTION("""COMPUTED_VALUE"""),"Advanced")</f>
        <v>Advanced</v>
      </c>
      <c r="I25" s="217" t="str">
        <f ca="1">IFERROR(__xludf.DUMMYFUNCTION("""COMPUTED_VALUE"""),"PowerPoint : Astuces et techniques")</f>
        <v>PowerPoint : Astuces et techniques</v>
      </c>
      <c r="J25" s="217"/>
      <c r="K25" s="213"/>
      <c r="L25" s="215">
        <f ca="1">IFERROR(__xludf.DUMMYFUNCTION("""COMPUTED_VALUE"""),761272)</f>
        <v>761272</v>
      </c>
      <c r="M25" s="215" t="str">
        <f ca="1">IFERROR(__xludf.DUMMYFUNCTION("""COMPUTED_VALUE"""),"Beginner, Intermediate")</f>
        <v>Beginner, Intermediate</v>
      </c>
      <c r="N25" s="217" t="str">
        <f ca="1">IFERROR(__xludf.DUMMYFUNCTION("""COMPUTED_VALUE"""),"PowerPoint 2019 esencial")</f>
        <v>PowerPoint 2019 esencial</v>
      </c>
      <c r="O25" s="217"/>
      <c r="P25" s="213"/>
      <c r="Q25" s="215">
        <f ca="1">IFERROR(__xludf.DUMMYFUNCTION("""COMPUTED_VALUE"""),195623)</f>
        <v>195623</v>
      </c>
      <c r="R25" s="215" t="str">
        <f ca="1">IFERROR(__xludf.DUMMYFUNCTION("""COMPUTED_VALUE"""),"Intermediate")</f>
        <v>Intermediate</v>
      </c>
      <c r="S25" s="217" t="str">
        <f ca="1">IFERROR(__xludf.DUMMYFUNCTION("""COMPUTED_VALUE"""),"PowerPoint: Daten aus Excel übernehmen")</f>
        <v>PowerPoint: Daten aus Excel übernehmen</v>
      </c>
      <c r="T25" s="217"/>
      <c r="U25" s="213"/>
      <c r="V25" s="215"/>
      <c r="W25" s="215"/>
      <c r="X25" s="217"/>
      <c r="Y25" s="217"/>
      <c r="Z25" s="213"/>
      <c r="AA25" s="215"/>
      <c r="AB25" s="215"/>
      <c r="AC25" s="217"/>
      <c r="AD25" s="217"/>
      <c r="AE25" s="213"/>
      <c r="AF25" s="215"/>
      <c r="AG25" s="215"/>
      <c r="AH25" s="217"/>
      <c r="AI25" s="217"/>
      <c r="AJ25" s="213"/>
    </row>
    <row r="26" spans="1:36" ht="33.75" customHeight="1">
      <c r="A26" s="213"/>
      <c r="B26" s="214">
        <f ca="1">IFERROR(__xludf.DUMMYFUNCTION("""COMPUTED_VALUE"""),2887216)</f>
        <v>2887216</v>
      </c>
      <c r="C26" s="215" t="str">
        <f ca="1">IFERROR(__xludf.DUMMYFUNCTION("""COMPUTED_VALUE"""),"Beginner + Intermediate")</f>
        <v>Beginner + Intermediate</v>
      </c>
      <c r="D26" s="216" t="str">
        <f ca="1">IFERROR(__xludf.DUMMYFUNCTION("""COMPUTED_VALUE"""),"Business Analysis: Essential Facilitation and Workshop Skills")</f>
        <v>Business Analysis: Essential Facilitation and Workshop Skills</v>
      </c>
      <c r="E26" s="217"/>
      <c r="F26" s="213"/>
      <c r="G26" s="214">
        <f ca="1">IFERROR(__xludf.DUMMYFUNCTION("""COMPUTED_VALUE"""),724552)</f>
        <v>724552</v>
      </c>
      <c r="H26" s="215" t="str">
        <f ca="1">IFERROR(__xludf.DUMMYFUNCTION("""COMPUTED_VALUE"""),"All levels")</f>
        <v>All levels</v>
      </c>
      <c r="I26" s="217" t="str">
        <f ca="1">IFERROR(__xludf.DUMMYFUNCTION("""COMPUTED_VALUE"""),"PowerPoint : Astuces rapides (Microsoft 365/Office 365)")</f>
        <v>PowerPoint : Astuces rapides (Microsoft 365/Office 365)</v>
      </c>
      <c r="J26" s="217"/>
      <c r="K26" s="213"/>
      <c r="L26" s="215">
        <f ca="1">IFERROR(__xludf.DUMMYFUNCTION("""COMPUTED_VALUE"""),761045)</f>
        <v>761045</v>
      </c>
      <c r="M26" s="215" t="str">
        <f ca="1">IFERROR(__xludf.DUMMYFUNCTION("""COMPUTED_VALUE"""),"Beginner, Intermediate")</f>
        <v>Beginner, Intermediate</v>
      </c>
      <c r="N26" s="217" t="str">
        <f ca="1">IFERROR(__xludf.DUMMYFUNCTION("""COMPUTED_VALUE"""),"PowerPoint 2019 para Mac esencial")</f>
        <v>PowerPoint 2019 para Mac esencial</v>
      </c>
      <c r="O26" s="217"/>
      <c r="P26" s="213"/>
      <c r="Q26" s="215">
        <f ca="1">IFERROR(__xludf.DUMMYFUNCTION("""COMPUTED_VALUE"""),2919852)</f>
        <v>2919852</v>
      </c>
      <c r="R26" s="215" t="str">
        <f ca="1">IFERROR(__xludf.DUMMYFUNCTION("""COMPUTED_VALUE"""),"Intermediate")</f>
        <v>Intermediate</v>
      </c>
      <c r="S26" s="217" t="str">
        <f ca="1">IFERROR(__xludf.DUMMYFUNCTION("""COMPUTED_VALUE"""),"PowerPoint: Diagramme (365/2019)")</f>
        <v>PowerPoint: Diagramme (365/2019)</v>
      </c>
      <c r="T26" s="217"/>
      <c r="U26" s="213"/>
      <c r="V26" s="215"/>
      <c r="W26" s="215"/>
      <c r="X26" s="217"/>
      <c r="Y26" s="217"/>
      <c r="Z26" s="213"/>
      <c r="AA26" s="215"/>
      <c r="AB26" s="215"/>
      <c r="AC26" s="217"/>
      <c r="AD26" s="217"/>
      <c r="AE26" s="213"/>
      <c r="AF26" s="215"/>
      <c r="AG26" s="215"/>
      <c r="AH26" s="217"/>
      <c r="AI26" s="217"/>
      <c r="AJ26" s="213"/>
    </row>
    <row r="27" spans="1:36" ht="33.75" customHeight="1">
      <c r="A27" s="213"/>
      <c r="B27" s="214">
        <f ca="1">IFERROR(__xludf.DUMMYFUNCTION("""COMPUTED_VALUE"""),2875303)</f>
        <v>2875303</v>
      </c>
      <c r="C27" s="215" t="str">
        <f ca="1">IFERROR(__xludf.DUMMYFUNCTION("""COMPUTED_VALUE"""),"Beginner + Intermediate")</f>
        <v>Beginner + Intermediate</v>
      </c>
      <c r="D27" s="216" t="str">
        <f ca="1">IFERROR(__xludf.DUMMYFUNCTION("""COMPUTED_VALUE"""),"Engaging Your Virtual Audience")</f>
        <v>Engaging Your Virtual Audience</v>
      </c>
      <c r="E27" s="217"/>
      <c r="F27" s="213"/>
      <c r="G27" s="214">
        <f ca="1">IFERROR(__xludf.DUMMYFUNCTION("""COMPUTED_VALUE"""),2810564)</f>
        <v>2810564</v>
      </c>
      <c r="H27" s="215" t="str">
        <f ca="1">IFERROR(__xludf.DUMMYFUNCTION("""COMPUTED_VALUE"""),"Intermediate")</f>
        <v>Intermediate</v>
      </c>
      <c r="I27" s="217" t="str">
        <f ca="1">IFERROR(__xludf.DUMMYFUNCTION("""COMPUTED_VALUE"""),"PowerPoint : Créer des graphiques pour les réseaux sociaux (Microsoft 365/Office 365)")</f>
        <v>PowerPoint : Créer des graphiques pour les réseaux sociaux (Microsoft 365/Office 365)</v>
      </c>
      <c r="J27" s="217"/>
      <c r="K27" s="213"/>
      <c r="L27" s="215">
        <f ca="1">IFERROR(__xludf.DUMMYFUNCTION("""COMPUTED_VALUE"""),761269)</f>
        <v>761269</v>
      </c>
      <c r="M27" s="215" t="str">
        <f ca="1">IFERROR(__xludf.DUMMYFUNCTION("""COMPUTED_VALUE"""),"Beginner, Intermediate")</f>
        <v>Beginner, Intermediate</v>
      </c>
      <c r="N27" s="217" t="str">
        <f ca="1">IFERROR(__xludf.DUMMYFUNCTION("""COMPUTED_VALUE"""),"PowerPoint esencial (Office 365/Microsoft 365)")</f>
        <v>PowerPoint esencial (Office 365/Microsoft 365)</v>
      </c>
      <c r="O27" s="217"/>
      <c r="P27" s="213"/>
      <c r="Q27" s="215">
        <f ca="1">IFERROR(__xludf.DUMMYFUNCTION("""COMPUTED_VALUE"""),2922921)</f>
        <v>2922921</v>
      </c>
      <c r="R27" s="215" t="str">
        <f ca="1">IFERROR(__xludf.DUMMYFUNCTION("""COMPUTED_VALUE"""),"Intermediate")</f>
        <v>Intermediate</v>
      </c>
      <c r="S27" s="217" t="str">
        <f ca="1">IFERROR(__xludf.DUMMYFUNCTION("""COMPUTED_VALUE"""),"PowerPoint: Tabellen (365/2019)")</f>
        <v>PowerPoint: Tabellen (365/2019)</v>
      </c>
      <c r="T27" s="217"/>
      <c r="U27" s="213"/>
      <c r="V27" s="215"/>
      <c r="W27" s="215"/>
      <c r="X27" s="217"/>
      <c r="Y27" s="217"/>
      <c r="Z27" s="213"/>
      <c r="AA27" s="215"/>
      <c r="AB27" s="215"/>
      <c r="AC27" s="217"/>
      <c r="AD27" s="217"/>
      <c r="AE27" s="213"/>
      <c r="AF27" s="215"/>
      <c r="AG27" s="215"/>
      <c r="AH27" s="217"/>
      <c r="AI27" s="217"/>
      <c r="AJ27" s="213"/>
    </row>
    <row r="28" spans="1:36" ht="33.75" customHeight="1">
      <c r="A28" s="213"/>
      <c r="B28" s="214">
        <f ca="1">IFERROR(__xludf.DUMMYFUNCTION("""COMPUTED_VALUE"""),2816032)</f>
        <v>2816032</v>
      </c>
      <c r="C28" s="215" t="str">
        <f ca="1">IFERROR(__xludf.DUMMYFUNCTION("""COMPUTED_VALUE"""),"Beginner + Intermediate")</f>
        <v>Beginner + Intermediate</v>
      </c>
      <c r="D28" s="216" t="str">
        <f ca="1">IFERROR(__xludf.DUMMYFUNCTION("""COMPUTED_VALUE"""),"Presenting Technical Information with Stories")</f>
        <v>Presenting Technical Information with Stories</v>
      </c>
      <c r="E28" s="217"/>
      <c r="F28" s="213"/>
      <c r="G28" s="214">
        <f ca="1">IFERROR(__xludf.DUMMYFUNCTION("""COMPUTED_VALUE"""),2841347)</f>
        <v>2841347</v>
      </c>
      <c r="H28" s="215" t="str">
        <f ca="1">IFERROR(__xludf.DUMMYFUNCTION("""COMPUTED_VALUE"""),"Intermediate")</f>
        <v>Intermediate</v>
      </c>
      <c r="I28" s="217" t="str">
        <f ca="1">IFERROR(__xludf.DUMMYFUNCTION("""COMPUTED_VALUE"""),"PowerPoint : Créer des présentations interactives (Microsoft 365/Office 365)")</f>
        <v>PowerPoint : Créer des présentations interactives (Microsoft 365/Office 365)</v>
      </c>
      <c r="J28" s="217"/>
      <c r="K28" s="213"/>
      <c r="L28" s="215">
        <f ca="1">IFERROR(__xludf.DUMMYFUNCTION("""COMPUTED_VALUE"""),763854)</f>
        <v>763854</v>
      </c>
      <c r="M28" s="215" t="str">
        <f ca="1">IFERROR(__xludf.DUMMYFUNCTION("""COMPUTED_VALUE"""),"Beginner")</f>
        <v>Beginner</v>
      </c>
      <c r="N28" s="217" t="str">
        <f ca="1">IFERROR(__xludf.DUMMYFUNCTION("""COMPUTED_VALUE"""),"PowerPoint para principiantes: Preparar una presentación (365/2019)")</f>
        <v>PowerPoint para principiantes: Preparar una presentación (365/2019)</v>
      </c>
      <c r="O28" s="217"/>
      <c r="P28" s="213"/>
      <c r="Q28" s="215">
        <f ca="1">IFERROR(__xludf.DUMMYFUNCTION("""COMPUTED_VALUE"""),5036605)</f>
        <v>5036605</v>
      </c>
      <c r="R28" s="215" t="str">
        <f ca="1">IFERROR(__xludf.DUMMYFUNCTION("""COMPUTED_VALUE"""),"Intermediate")</f>
        <v>Intermediate</v>
      </c>
      <c r="S28" s="217" t="str">
        <f ca="1">IFERROR(__xludf.DUMMYFUNCTION("""COMPUTED_VALUE"""),"PowerPoint: Tipps, Tricks, Techniken (365/2019)")</f>
        <v>PowerPoint: Tipps, Tricks, Techniken (365/2019)</v>
      </c>
      <c r="T28" s="217"/>
      <c r="U28" s="213"/>
      <c r="V28" s="215"/>
      <c r="W28" s="215"/>
      <c r="X28" s="217"/>
      <c r="Y28" s="217"/>
      <c r="Z28" s="213"/>
      <c r="AA28" s="215"/>
      <c r="AB28" s="215"/>
      <c r="AC28" s="217"/>
      <c r="AD28" s="217"/>
      <c r="AE28" s="213"/>
      <c r="AF28" s="215"/>
      <c r="AG28" s="215"/>
      <c r="AH28" s="217"/>
      <c r="AI28" s="217"/>
      <c r="AJ28" s="213"/>
    </row>
    <row r="29" spans="1:36" ht="33.75" customHeight="1">
      <c r="A29" s="213"/>
      <c r="B29" s="214">
        <f ca="1">IFERROR(__xludf.DUMMYFUNCTION("""COMPUTED_VALUE"""),740357)</f>
        <v>740357</v>
      </c>
      <c r="C29" s="215" t="str">
        <f ca="1">IFERROR(__xludf.DUMMYFUNCTION("""COMPUTED_VALUE"""),"Beginner + Intermediate")</f>
        <v>Beginner + Intermediate</v>
      </c>
      <c r="D29" s="216" t="str">
        <f ca="1">IFERROR(__xludf.DUMMYFUNCTION("""COMPUTED_VALUE"""),"PowerPoint 2019 Essential Training")</f>
        <v>PowerPoint 2019 Essential Training</v>
      </c>
      <c r="E29" s="217"/>
      <c r="F29" s="213"/>
      <c r="G29" s="214">
        <f ca="1">IFERROR(__xludf.DUMMYFUNCTION("""COMPUTED_VALUE"""),800563)</f>
        <v>800563</v>
      </c>
      <c r="H29" s="215" t="str">
        <f ca="1">IFERROR(__xludf.DUMMYFUNCTION("""COMPUTED_VALUE"""),"Intermediate")</f>
        <v>Intermediate</v>
      </c>
      <c r="I29" s="217" t="str">
        <f ca="1">IFERROR(__xludf.DUMMYFUNCTION("""COMPUTED_VALUE"""),"PowerPoint : L'audio et la vidéo")</f>
        <v>PowerPoint : L'audio et la vidéo</v>
      </c>
      <c r="J29" s="217"/>
      <c r="K29" s="213"/>
      <c r="L29" s="215">
        <f ca="1">IFERROR(__xludf.DUMMYFUNCTION("""COMPUTED_VALUE"""),2838168)</f>
        <v>2838168</v>
      </c>
      <c r="M29" s="215" t="str">
        <f ca="1">IFERROR(__xludf.DUMMYFUNCTION("""COMPUTED_VALUE"""),"Intermediate")</f>
        <v>Intermediate</v>
      </c>
      <c r="N29" s="217" t="str">
        <f ca="1">IFERROR(__xludf.DUMMYFUNCTION("""COMPUTED_VALUE"""),"PowerPoint: Animaciones (Office 365/Microsoft 365)")</f>
        <v>PowerPoint: Animaciones (Office 365/Microsoft 365)</v>
      </c>
      <c r="O29" s="217"/>
      <c r="P29" s="213"/>
      <c r="Q29" s="215">
        <f ca="1">IFERROR(__xludf.DUMMYFUNCTION("""COMPUTED_VALUE"""),2921415)</f>
        <v>2921415</v>
      </c>
      <c r="R29" s="215" t="str">
        <f ca="1">IFERROR(__xludf.DUMMYFUNCTION("""COMPUTED_VALUE"""),"Intermediate")</f>
        <v>Intermediate</v>
      </c>
      <c r="S29" s="217" t="str">
        <f ca="1">IFERROR(__xludf.DUMMYFUNCTION("""COMPUTED_VALUE"""),"PowerPoint: Visualisierung (365/2019)")</f>
        <v>PowerPoint: Visualisierung (365/2019)</v>
      </c>
      <c r="T29" s="217"/>
      <c r="U29" s="213"/>
      <c r="V29" s="215"/>
      <c r="W29" s="215"/>
      <c r="X29" s="217"/>
      <c r="Y29" s="217"/>
      <c r="Z29" s="213"/>
      <c r="AA29" s="215"/>
      <c r="AB29" s="215"/>
      <c r="AC29" s="217"/>
      <c r="AD29" s="217"/>
      <c r="AE29" s="213"/>
      <c r="AF29" s="215"/>
      <c r="AG29" s="215"/>
      <c r="AH29" s="217"/>
      <c r="AI29" s="217"/>
      <c r="AJ29" s="213"/>
    </row>
    <row r="30" spans="1:36" ht="33.75" customHeight="1">
      <c r="A30" s="213"/>
      <c r="B30" s="214">
        <f ca="1">IFERROR(__xludf.DUMMYFUNCTION("""COMPUTED_VALUE"""),696325)</f>
        <v>696325</v>
      </c>
      <c r="C30" s="215" t="str">
        <f ca="1">IFERROR(__xludf.DUMMYFUNCTION("""COMPUTED_VALUE"""),"Beginner + Intermediate")</f>
        <v>Beginner + Intermediate</v>
      </c>
      <c r="D30" s="216" t="str">
        <f ca="1">IFERROR(__xludf.DUMMYFUNCTION("""COMPUTED_VALUE"""),"Impromptu Speaking")</f>
        <v>Impromptu Speaking</v>
      </c>
      <c r="E30" s="217"/>
      <c r="F30" s="213"/>
      <c r="G30" s="214">
        <f ca="1">IFERROR(__xludf.DUMMYFUNCTION("""COMPUTED_VALUE"""),789556)</f>
        <v>789556</v>
      </c>
      <c r="H30" s="215" t="str">
        <f ca="1">IFERROR(__xludf.DUMMYFUNCTION("""COMPUTED_VALUE"""),"Intermediate")</f>
        <v>Intermediate</v>
      </c>
      <c r="I30" s="217" t="str">
        <f ca="1">IFERROR(__xludf.DUMMYFUNCTION("""COMPUTED_VALUE"""),"PowerPoint : Les animations")</f>
        <v>PowerPoint : Les animations</v>
      </c>
      <c r="J30" s="217"/>
      <c r="K30" s="213"/>
      <c r="L30" s="215">
        <f ca="1">IFERROR(__xludf.DUMMYFUNCTION("""COMPUTED_VALUE"""),2813300)</f>
        <v>2813300</v>
      </c>
      <c r="M30" s="215" t="str">
        <f ca="1">IFERROR(__xludf.DUMMYFUNCTION("""COMPUTED_VALUE"""),"Intermediate")</f>
        <v>Intermediate</v>
      </c>
      <c r="N30" s="217" t="str">
        <f ca="1">IFERROR(__xludf.DUMMYFUNCTION("""COMPUTED_VALUE"""),"PowerPoint: Trucos (Office 365/Microsoft 365)")</f>
        <v>PowerPoint: Trucos (Office 365/Microsoft 365)</v>
      </c>
      <c r="O30" s="217"/>
      <c r="P30" s="213"/>
      <c r="Q30" s="215">
        <f ca="1">IFERROR(__xludf.DUMMYFUNCTION("""COMPUTED_VALUE"""),784356)</f>
        <v>784356</v>
      </c>
      <c r="R30" s="215" t="str">
        <f ca="1">IFERROR(__xludf.DUMMYFUNCTION("""COMPUTED_VALUE"""),"Intermediate")</f>
        <v>Intermediate</v>
      </c>
      <c r="S30" s="217" t="str">
        <f ca="1">IFERROR(__xludf.DUMMYFUNCTION("""COMPUTED_VALUE"""),"PowerPoint-Tipps für Eilige")</f>
        <v>PowerPoint-Tipps für Eilige</v>
      </c>
      <c r="T30" s="217"/>
      <c r="U30" s="213"/>
      <c r="V30" s="215"/>
      <c r="W30" s="215"/>
      <c r="X30" s="217"/>
      <c r="Y30" s="217"/>
      <c r="Z30" s="213"/>
      <c r="AA30" s="215"/>
      <c r="AB30" s="215"/>
      <c r="AC30" s="217"/>
      <c r="AD30" s="217"/>
      <c r="AE30" s="213"/>
      <c r="AF30" s="215"/>
      <c r="AG30" s="215"/>
      <c r="AH30" s="217"/>
      <c r="AI30" s="217"/>
      <c r="AJ30" s="213"/>
    </row>
    <row r="31" spans="1:36" ht="33.75" customHeight="1">
      <c r="A31" s="213"/>
      <c r="B31" s="214">
        <f ca="1">IFERROR(__xludf.DUMMYFUNCTION("""COMPUTED_VALUE"""),2853006)</f>
        <v>2853006</v>
      </c>
      <c r="C31" s="215" t="str">
        <f ca="1">IFERROR(__xludf.DUMMYFUNCTION("""COMPUTED_VALUE"""),"Intermediate")</f>
        <v>Intermediate</v>
      </c>
      <c r="D31" s="216" t="str">
        <f ca="1">IFERROR(__xludf.DUMMYFUNCTION("""COMPUTED_VALUE"""),"PowerPoint: Eight Easy Ways to Make Your Presentation Stand Out")</f>
        <v>PowerPoint: Eight Easy Ways to Make Your Presentation Stand Out</v>
      </c>
      <c r="E31" s="217"/>
      <c r="F31" s="213"/>
      <c r="G31" s="214">
        <f ca="1">IFERROR(__xludf.DUMMYFUNCTION("""COMPUTED_VALUE"""),2920036)</f>
        <v>2920036</v>
      </c>
      <c r="H31" s="215" t="str">
        <f ca="1">IFERROR(__xludf.DUMMYFUNCTION("""COMPUTED_VALUE"""),"Intermediate")</f>
        <v>Intermediate</v>
      </c>
      <c r="I31" s="217" t="str">
        <f ca="1">IFERROR(__xludf.DUMMYFUNCTION("""COMPUTED_VALUE"""),"PowerPoint : Rendre ses présentations accessibles à tous")</f>
        <v>PowerPoint : Rendre ses présentations accessibles à tous</v>
      </c>
      <c r="J31" s="217"/>
      <c r="K31" s="213"/>
      <c r="L31" s="215">
        <f ca="1">IFERROR(__xludf.DUMMYFUNCTION("""COMPUTED_VALUE"""),190228)</f>
        <v>190228</v>
      </c>
      <c r="M31" s="215" t="str">
        <f ca="1">IFERROR(__xludf.DUMMYFUNCTION("""COMPUTED_VALUE"""),"Beginner")</f>
        <v>Beginner</v>
      </c>
      <c r="N31" s="217" t="str">
        <f ca="1">IFERROR(__xludf.DUMMYFUNCTION("""COMPUTED_VALUE"""),"Presentaciones efectivas con iPad (iOS7)")</f>
        <v>Presentaciones efectivas con iPad (iOS7)</v>
      </c>
      <c r="O31" s="217"/>
      <c r="P31" s="213"/>
      <c r="Q31" s="215">
        <f ca="1">IFERROR(__xludf.DUMMYFUNCTION("""COMPUTED_VALUE"""),782086)</f>
        <v>782086</v>
      </c>
      <c r="R31" s="215" t="str">
        <f ca="1">IFERROR(__xludf.DUMMYFUNCTION("""COMPUTED_VALUE"""),"Intermediate")</f>
        <v>Intermediate</v>
      </c>
      <c r="S31" s="217" t="str">
        <f ca="1">IFERROR(__xludf.DUMMYFUNCTION("""COMPUTED_VALUE"""),"Präsentationen: Mit Fragen souverän umgehen")</f>
        <v>Präsentationen: Mit Fragen souverän umgehen</v>
      </c>
      <c r="T31" s="217"/>
      <c r="U31" s="213"/>
      <c r="V31" s="215"/>
      <c r="W31" s="215"/>
      <c r="X31" s="217"/>
      <c r="Y31" s="217"/>
      <c r="Z31" s="213"/>
      <c r="AA31" s="215"/>
      <c r="AB31" s="215"/>
      <c r="AC31" s="217"/>
      <c r="AD31" s="217"/>
      <c r="AE31" s="213"/>
      <c r="AF31" s="215"/>
      <c r="AG31" s="215"/>
      <c r="AH31" s="217"/>
      <c r="AI31" s="217"/>
      <c r="AJ31" s="213"/>
    </row>
    <row r="32" spans="1:36" ht="30">
      <c r="A32" s="213"/>
      <c r="B32" s="214">
        <f ca="1">IFERROR(__xludf.DUMMYFUNCTION("""COMPUTED_VALUE"""),2841294)</f>
        <v>2841294</v>
      </c>
      <c r="C32" s="215" t="str">
        <f ca="1">IFERROR(__xludf.DUMMYFUNCTION("""COMPUTED_VALUE"""),"Intermediate")</f>
        <v>Intermediate</v>
      </c>
      <c r="D32" s="216" t="str">
        <f ca="1">IFERROR(__xludf.DUMMYFUNCTION("""COMPUTED_VALUE"""),"Data-Driven Presentations with Excel and PowerPoint (365/2019)")</f>
        <v>Data-Driven Presentations with Excel and PowerPoint (365/2019)</v>
      </c>
      <c r="E32" s="217"/>
      <c r="F32" s="213"/>
      <c r="G32" s="214">
        <f ca="1">IFERROR(__xludf.DUMMYFUNCTION("""COMPUTED_VALUE"""),2841348)</f>
        <v>2841348</v>
      </c>
      <c r="H32" s="215" t="str">
        <f ca="1">IFERROR(__xludf.DUMMYFUNCTION("""COMPUTED_VALUE"""),"Intermediate")</f>
        <v>Intermediate</v>
      </c>
      <c r="I32" s="217" t="str">
        <f ca="1">IFERROR(__xludf.DUMMYFUNCTION("""COMPUTED_VALUE"""),"PowerPoint : Réussir ses présentations à distance avec Teams (Microsoft 365/Office 365)")</f>
        <v>PowerPoint : Réussir ses présentations à distance avec Teams (Microsoft 365/Office 365)</v>
      </c>
      <c r="J32" s="217"/>
      <c r="K32" s="213"/>
      <c r="L32" s="215">
        <f ca="1">IFERROR(__xludf.DUMMYFUNCTION("""COMPUTED_VALUE"""),428124)</f>
        <v>428124</v>
      </c>
      <c r="M32" s="215" t="str">
        <f ca="1">IFERROR(__xludf.DUMMYFUNCTION("""COMPUTED_VALUE"""),"All levels")</f>
        <v>All levels</v>
      </c>
      <c r="N32" s="217" t="str">
        <f ca="1">IFERROR(__xludf.DUMMYFUNCTION("""COMPUTED_VALUE"""),"Reuniones eficaces")</f>
        <v>Reuniones eficaces</v>
      </c>
      <c r="O32" s="217"/>
      <c r="P32" s="213"/>
      <c r="Q32" s="215">
        <f ca="1">IFERROR(__xludf.DUMMYFUNCTION("""COMPUTED_VALUE"""),508747)</f>
        <v>508747</v>
      </c>
      <c r="R32" s="215" t="str">
        <f ca="1">IFERROR(__xludf.DUMMYFUNCTION("""COMPUTED_VALUE"""),"All levels")</f>
        <v>All levels</v>
      </c>
      <c r="S32" s="217" t="str">
        <f ca="1">IFERROR(__xludf.DUMMYFUNCTION("""COMPUTED_VALUE"""),"Präsentieren: Vorbereiten, Vortragen, Fokussieren")</f>
        <v>Präsentieren: Vorbereiten, Vortragen, Fokussieren</v>
      </c>
      <c r="T32" s="217"/>
      <c r="U32" s="213"/>
      <c r="V32" s="215"/>
      <c r="W32" s="215"/>
      <c r="X32" s="217"/>
      <c r="Y32" s="217"/>
      <c r="Z32" s="213"/>
      <c r="AA32" s="215"/>
      <c r="AB32" s="215"/>
      <c r="AC32" s="217"/>
      <c r="AD32" s="217"/>
      <c r="AE32" s="213"/>
      <c r="AF32" s="215"/>
      <c r="AG32" s="215"/>
      <c r="AH32" s="217"/>
      <c r="AI32" s="217"/>
      <c r="AJ32" s="213"/>
    </row>
    <row r="33" spans="1:36" ht="33.75" customHeight="1">
      <c r="A33" s="213"/>
      <c r="B33" s="214">
        <f ca="1">IFERROR(__xludf.DUMMYFUNCTION("""COMPUTED_VALUE"""),151544)</f>
        <v>151544</v>
      </c>
      <c r="C33" s="215" t="str">
        <f ca="1">IFERROR(__xludf.DUMMYFUNCTION("""COMPUTED_VALUE"""),"Intermediate")</f>
        <v>Intermediate</v>
      </c>
      <c r="D33" s="216" t="str">
        <f ca="1">IFERROR(__xludf.DUMMYFUNCTION("""COMPUTED_VALUE"""),"Creating and Giving Business Presentations")</f>
        <v>Creating and Giving Business Presentations</v>
      </c>
      <c r="E33" s="217"/>
      <c r="F33" s="213"/>
      <c r="G33" s="214">
        <f ca="1">IFERROR(__xludf.DUMMYFUNCTION("""COMPUTED_VALUE"""),2811607)</f>
        <v>2811607</v>
      </c>
      <c r="H33" s="215" t="str">
        <f ca="1">IFERROR(__xludf.DUMMYFUNCTION("""COMPUTED_VALUE"""),"Intermediate")</f>
        <v>Intermediate</v>
      </c>
      <c r="I33" s="217" t="str">
        <f ca="1">IFERROR(__xludf.DUMMYFUNCTION("""COMPUTED_VALUE"""),"Rendre ses présentations PowerPoint plus percutantes")</f>
        <v>Rendre ses présentations PowerPoint plus percutantes</v>
      </c>
      <c r="J33" s="217"/>
      <c r="K33" s="213"/>
      <c r="L33" s="215"/>
      <c r="M33" s="215"/>
      <c r="N33" s="217"/>
      <c r="O33" s="217"/>
      <c r="P33" s="213"/>
      <c r="Q33" s="215">
        <f ca="1">IFERROR(__xludf.DUMMYFUNCTION("""COMPUTED_VALUE"""),593042)</f>
        <v>593042</v>
      </c>
      <c r="R33" s="215" t="str">
        <f ca="1">IFERROR(__xludf.DUMMYFUNCTION("""COMPUTED_VALUE"""),"Intermediate")</f>
        <v>Intermediate</v>
      </c>
      <c r="S33" s="217" t="str">
        <f ca="1">IFERROR(__xludf.DUMMYFUNCTION("""COMPUTED_VALUE"""),"Psychologisch geschickt und überzeugend präsentieren")</f>
        <v>Psychologisch geschickt und überzeugend präsentieren</v>
      </c>
      <c r="T33" s="217"/>
      <c r="U33" s="213"/>
      <c r="V33" s="215"/>
      <c r="W33" s="215"/>
      <c r="X33" s="217"/>
      <c r="Y33" s="217"/>
      <c r="Z33" s="213"/>
      <c r="AA33" s="215"/>
      <c r="AB33" s="215"/>
      <c r="AC33" s="217"/>
      <c r="AD33" s="217"/>
      <c r="AE33" s="213"/>
      <c r="AF33" s="215"/>
      <c r="AG33" s="215"/>
      <c r="AH33" s="217"/>
      <c r="AI33" s="217"/>
      <c r="AJ33" s="213"/>
    </row>
    <row r="34" spans="1:36" ht="33.75" customHeight="1">
      <c r="A34" s="213"/>
      <c r="B34" s="214">
        <f ca="1">IFERROR(__xludf.DUMMYFUNCTION("""COMPUTED_VALUE"""),415362)</f>
        <v>415362</v>
      </c>
      <c r="C34" s="215" t="str">
        <f ca="1">IFERROR(__xludf.DUMMYFUNCTION("""COMPUTED_VALUE"""),"Intermediate")</f>
        <v>Intermediate</v>
      </c>
      <c r="D34" s="216" t="str">
        <f ca="1">IFERROR(__xludf.DUMMYFUNCTION("""COMPUTED_VALUE"""),"Making Great Sales Presentations")</f>
        <v>Making Great Sales Presentations</v>
      </c>
      <c r="E34" s="217"/>
      <c r="F34" s="213"/>
      <c r="G34" s="214">
        <f ca="1">IFERROR(__xludf.DUMMYFUNCTION("""COMPUTED_VALUE"""),423979)</f>
        <v>423979</v>
      </c>
      <c r="H34" s="215" t="str">
        <f ca="1">IFERROR(__xludf.DUMMYFUNCTION("""COMPUTED_VALUE"""),"All levels")</f>
        <v>All levels</v>
      </c>
      <c r="I34" s="217" t="str">
        <f ca="1">IFERROR(__xludf.DUMMYFUNCTION("""COMPUTED_VALUE"""),"Réussir sa présentation et captiver son auditoire")</f>
        <v>Réussir sa présentation et captiver son auditoire</v>
      </c>
      <c r="J34" s="217"/>
      <c r="K34" s="213"/>
      <c r="L34" s="215"/>
      <c r="M34" s="215"/>
      <c r="N34" s="217"/>
      <c r="O34" s="217"/>
      <c r="P34" s="213"/>
      <c r="Q34" s="215">
        <f ca="1">IFERROR(__xludf.DUMMYFUNCTION("""COMPUTED_VALUE"""),561005)</f>
        <v>561005</v>
      </c>
      <c r="R34" s="215" t="str">
        <f ca="1">IFERROR(__xludf.DUMMYFUNCTION("""COMPUTED_VALUE"""),"All levels")</f>
        <v>All levels</v>
      </c>
      <c r="S34" s="217" t="str">
        <f ca="1">IFERROR(__xludf.DUMMYFUNCTION("""COMPUTED_VALUE"""),"Rede, Vortrag, Präsentation: Die Bühnen-Basics")</f>
        <v>Rede, Vortrag, Präsentation: Die Bühnen-Basics</v>
      </c>
      <c r="T34" s="217"/>
      <c r="U34" s="213"/>
      <c r="V34" s="215"/>
      <c r="W34" s="215"/>
      <c r="X34" s="217"/>
      <c r="Y34" s="217"/>
      <c r="Z34" s="213"/>
      <c r="AA34" s="215"/>
      <c r="AB34" s="215"/>
      <c r="AC34" s="217"/>
      <c r="AD34" s="217"/>
      <c r="AE34" s="213"/>
      <c r="AF34" s="215"/>
      <c r="AG34" s="215"/>
      <c r="AH34" s="217"/>
      <c r="AI34" s="217"/>
      <c r="AJ34" s="213"/>
    </row>
    <row r="35" spans="1:36" ht="33.75" customHeight="1">
      <c r="A35" s="213"/>
      <c r="B35" s="214">
        <f ca="1">IFERROR(__xludf.DUMMYFUNCTION("""COMPUTED_VALUE"""),758613)</f>
        <v>758613</v>
      </c>
      <c r="C35" s="215" t="str">
        <f ca="1">IFERROR(__xludf.DUMMYFUNCTION("""COMPUTED_VALUE"""),"Intermediate")</f>
        <v>Intermediate</v>
      </c>
      <c r="D35" s="216" t="str">
        <f ca="1">IFERROR(__xludf.DUMMYFUNCTION("""COMPUTED_VALUE"""),"Meeting Facilitation")</f>
        <v>Meeting Facilitation</v>
      </c>
      <c r="E35" s="217"/>
      <c r="F35" s="213"/>
      <c r="G35" s="214">
        <f ca="1">IFERROR(__xludf.DUMMYFUNCTION("""COMPUTED_VALUE"""),600067)</f>
        <v>600067</v>
      </c>
      <c r="H35" s="215" t="str">
        <f ca="1">IFERROR(__xludf.DUMMYFUNCTION("""COMPUTED_VALUE"""),"Intermediate")</f>
        <v>Intermediate</v>
      </c>
      <c r="I35" s="217" t="str">
        <f ca="1">IFERROR(__xludf.DUMMYFUNCTION("""COMPUTED_VALUE"""),"Réussir ses présentations commerciales")</f>
        <v>Réussir ses présentations commerciales</v>
      </c>
      <c r="J35" s="217"/>
      <c r="K35" s="213"/>
      <c r="L35" s="215"/>
      <c r="M35" s="215"/>
      <c r="N35" s="217"/>
      <c r="O35" s="217"/>
      <c r="P35" s="213"/>
      <c r="Q35" s="215">
        <f ca="1">IFERROR(__xludf.DUMMYFUNCTION("""COMPUTED_VALUE"""),593897)</f>
        <v>593897</v>
      </c>
      <c r="R35" s="215" t="str">
        <f ca="1">IFERROR(__xludf.DUMMYFUNCTION("""COMPUTED_VALUE"""),"All levels")</f>
        <v>All levels</v>
      </c>
      <c r="S35" s="217" t="str">
        <f ca="1">IFERROR(__xludf.DUMMYFUNCTION("""COMPUTED_VALUE"""),"Rede, Vortrag, Präsentation: Die magische erste Minute")</f>
        <v>Rede, Vortrag, Präsentation: Die magische erste Minute</v>
      </c>
      <c r="T35" s="217"/>
      <c r="U35" s="213"/>
      <c r="V35" s="215"/>
      <c r="W35" s="215"/>
      <c r="X35" s="217"/>
      <c r="Y35" s="217"/>
      <c r="Z35" s="213"/>
      <c r="AA35" s="215"/>
      <c r="AB35" s="215"/>
      <c r="AC35" s="217"/>
      <c r="AD35" s="217"/>
      <c r="AE35" s="213"/>
      <c r="AF35" s="215"/>
      <c r="AG35" s="215"/>
      <c r="AH35" s="217"/>
      <c r="AI35" s="217"/>
      <c r="AJ35" s="213"/>
    </row>
    <row r="36" spans="1:36" ht="33.75" customHeight="1">
      <c r="A36" s="213"/>
      <c r="B36" s="214">
        <f ca="1">IFERROR(__xludf.DUMMYFUNCTION("""COMPUTED_VALUE"""),743144)</f>
        <v>743144</v>
      </c>
      <c r="C36" s="215" t="str">
        <f ca="1">IFERROR(__xludf.DUMMYFUNCTION("""COMPUTED_VALUE"""),"Intermediate")</f>
        <v>Intermediate</v>
      </c>
      <c r="D36" s="216" t="str">
        <f ca="1">IFERROR(__xludf.DUMMYFUNCTION("""COMPUTED_VALUE"""),"Preparing for Successful Communication")</f>
        <v>Preparing for Successful Communication</v>
      </c>
      <c r="E36" s="217"/>
      <c r="F36" s="213"/>
      <c r="G36" s="214">
        <f ca="1">IFERROR(__xludf.DUMMYFUNCTION("""COMPUTED_VALUE"""),399664)</f>
        <v>399664</v>
      </c>
      <c r="H36" s="215" t="str">
        <f ca="1">IFERROR(__xludf.DUMMYFUNCTION("""COMPUTED_VALUE"""),"All levels")</f>
        <v>All levels</v>
      </c>
      <c r="I36" s="217" t="str">
        <f ca="1">IFERROR(__xludf.DUMMYFUNCTION("""COMPUTED_VALUE"""),"Surmonter sa peur de parler en public")</f>
        <v>Surmonter sa peur de parler en public</v>
      </c>
      <c r="J36" s="217"/>
      <c r="K36" s="213"/>
      <c r="L36" s="215"/>
      <c r="M36" s="215"/>
      <c r="N36" s="217"/>
      <c r="O36" s="217"/>
      <c r="P36" s="213"/>
      <c r="Q36" s="215">
        <f ca="1">IFERROR(__xludf.DUMMYFUNCTION("""COMPUTED_VALUE"""),593055)</f>
        <v>593055</v>
      </c>
      <c r="R36" s="215" t="str">
        <f ca="1">IFERROR(__xludf.DUMMYFUNCTION("""COMPUTED_VALUE"""),"All levels")</f>
        <v>All levels</v>
      </c>
      <c r="S36" s="217" t="str">
        <f ca="1">IFERROR(__xludf.DUMMYFUNCTION("""COMPUTED_VALUE"""),"Rede, Vortrag, Präsentation: Mentale Stärke")</f>
        <v>Rede, Vortrag, Präsentation: Mentale Stärke</v>
      </c>
      <c r="T36" s="217"/>
      <c r="U36" s="213"/>
      <c r="V36" s="215"/>
      <c r="W36" s="215"/>
      <c r="X36" s="217"/>
      <c r="Y36" s="217"/>
      <c r="Z36" s="213"/>
      <c r="AA36" s="215"/>
      <c r="AB36" s="215"/>
      <c r="AC36" s="217"/>
      <c r="AD36" s="217"/>
      <c r="AE36" s="213"/>
      <c r="AF36" s="215"/>
      <c r="AG36" s="215"/>
      <c r="AH36" s="217"/>
      <c r="AI36" s="217"/>
      <c r="AJ36" s="213"/>
    </row>
    <row r="37" spans="1:36" ht="33.75" customHeight="1">
      <c r="A37" s="213"/>
      <c r="B37" s="214">
        <f ca="1">IFERROR(__xludf.DUMMYFUNCTION("""COMPUTED_VALUE"""),599599)</f>
        <v>599599</v>
      </c>
      <c r="C37" s="215" t="str">
        <f ca="1">IFERROR(__xludf.DUMMYFUNCTION("""COMPUTED_VALUE"""),"Intermediate")</f>
        <v>Intermediate</v>
      </c>
      <c r="D37" s="216" t="str">
        <f ca="1">IFERROR(__xludf.DUMMYFUNCTION("""COMPUTED_VALUE"""),"Workshop Facilitation")</f>
        <v>Workshop Facilitation</v>
      </c>
      <c r="E37" s="217"/>
      <c r="F37" s="213"/>
      <c r="G37" s="214">
        <f ca="1">IFERROR(__xludf.DUMMYFUNCTION("""COMPUTED_VALUE"""),3156478)</f>
        <v>3156478</v>
      </c>
      <c r="H37" s="215" t="str">
        <f ca="1">IFERROR(__xludf.DUMMYFUNCTION("""COMPUTED_VALUE"""),"Intermediate")</f>
        <v>Intermediate</v>
      </c>
      <c r="I37" s="217" t="str">
        <f ca="1">IFERROR(__xludf.DUMMYFUNCTION("""COMPUTED_VALUE"""),"Travailler sa répartie")</f>
        <v>Travailler sa répartie</v>
      </c>
      <c r="J37" s="217"/>
      <c r="K37" s="213"/>
      <c r="L37" s="215"/>
      <c r="M37" s="215"/>
      <c r="N37" s="217"/>
      <c r="O37" s="217"/>
      <c r="P37" s="213"/>
      <c r="Q37" s="215">
        <f ca="1">IFERROR(__xludf.DUMMYFUNCTION("""COMPUTED_VALUE"""),782094)</f>
        <v>782094</v>
      </c>
      <c r="R37" s="215" t="str">
        <f ca="1">IFERROR(__xludf.DUMMYFUNCTION("""COMPUTED_VALUE"""),"All levels")</f>
        <v>All levels</v>
      </c>
      <c r="S37" s="217" t="str">
        <f ca="1">IFERROR(__xludf.DUMMYFUNCTION("""COMPUTED_VALUE"""),"Rhetorik: Mit guten Argumenten überzeugen")</f>
        <v>Rhetorik: Mit guten Argumenten überzeugen</v>
      </c>
      <c r="T37" s="217"/>
      <c r="U37" s="213"/>
      <c r="V37" s="215"/>
      <c r="W37" s="215"/>
      <c r="X37" s="217"/>
      <c r="Y37" s="217"/>
      <c r="Z37" s="213"/>
      <c r="AA37" s="215"/>
      <c r="AB37" s="215"/>
      <c r="AC37" s="217"/>
      <c r="AD37" s="217"/>
      <c r="AE37" s="213"/>
      <c r="AF37" s="215"/>
      <c r="AG37" s="215"/>
      <c r="AH37" s="217"/>
      <c r="AI37" s="217"/>
      <c r="AJ37" s="213"/>
    </row>
    <row r="38" spans="1:36" ht="33.75" customHeight="1">
      <c r="A38" s="213"/>
      <c r="B38" s="214">
        <f ca="1">IFERROR(__xludf.DUMMYFUNCTION("""COMPUTED_VALUE"""),2822089)</f>
        <v>2822089</v>
      </c>
      <c r="C38" s="215" t="str">
        <f ca="1">IFERROR(__xludf.DUMMYFUNCTION("""COMPUTED_VALUE"""),"General")</f>
        <v>General</v>
      </c>
      <c r="D38" s="216" t="str">
        <f ca="1">IFERROR(__xludf.DUMMYFUNCTION("""COMPUTED_VALUE"""),"Managing Your Anxiety While Presenting")</f>
        <v>Managing Your Anxiety While Presenting</v>
      </c>
      <c r="E38" s="217"/>
      <c r="F38" s="213"/>
      <c r="G38" s="214"/>
      <c r="H38" s="215"/>
      <c r="I38" s="217"/>
      <c r="J38" s="217"/>
      <c r="K38" s="213"/>
      <c r="L38" s="215"/>
      <c r="M38" s="215"/>
      <c r="N38" s="217"/>
      <c r="O38" s="217"/>
      <c r="P38" s="213"/>
      <c r="Q38" s="215">
        <f ca="1">IFERROR(__xludf.DUMMYFUNCTION("""COMPUTED_VALUE"""),2885228)</f>
        <v>2885228</v>
      </c>
      <c r="R38" s="215" t="str">
        <f ca="1">IFERROR(__xludf.DUMMYFUNCTION("""COMPUTED_VALUE"""),"Intermediate")</f>
        <v>Intermediate</v>
      </c>
      <c r="S38" s="217" t="str">
        <f ca="1">IFERROR(__xludf.DUMMYFUNCTION("""COMPUTED_VALUE"""),"Schlagfertigkeit für Fortgeschrittene")</f>
        <v>Schlagfertigkeit für Fortgeschrittene</v>
      </c>
      <c r="T38" s="217"/>
      <c r="U38" s="213"/>
      <c r="V38" s="215"/>
      <c r="W38" s="215"/>
      <c r="X38" s="217"/>
      <c r="Y38" s="217"/>
      <c r="Z38" s="213"/>
      <c r="AA38" s="215"/>
      <c r="AB38" s="215"/>
      <c r="AC38" s="217"/>
      <c r="AD38" s="217"/>
      <c r="AE38" s="213"/>
      <c r="AF38" s="215"/>
      <c r="AG38" s="215"/>
      <c r="AH38" s="217"/>
      <c r="AI38" s="217"/>
      <c r="AJ38" s="213"/>
    </row>
    <row r="39" spans="1:36" ht="33.75" customHeight="1">
      <c r="A39" s="213"/>
      <c r="B39" s="214">
        <f ca="1">IFERROR(__xludf.DUMMYFUNCTION("""COMPUTED_VALUE"""),2818087)</f>
        <v>2818087</v>
      </c>
      <c r="C39" s="215" t="str">
        <f ca="1">IFERROR(__xludf.DUMMYFUNCTION("""COMPUTED_VALUE"""),"General")</f>
        <v>General</v>
      </c>
      <c r="D39" s="216" t="str">
        <f ca="1">IFERROR(__xludf.DUMMYFUNCTION("""COMPUTED_VALUE"""),"Connecting with Your Audience Using Video")</f>
        <v>Connecting with Your Audience Using Video</v>
      </c>
      <c r="E39" s="217"/>
      <c r="F39" s="213"/>
      <c r="G39" s="214"/>
      <c r="H39" s="215"/>
      <c r="I39" s="217"/>
      <c r="J39" s="217"/>
      <c r="K39" s="213"/>
      <c r="L39" s="215"/>
      <c r="M39" s="215"/>
      <c r="N39" s="217"/>
      <c r="O39" s="217"/>
      <c r="P39" s="213"/>
      <c r="Q39" s="215">
        <f ca="1">IFERROR(__xludf.DUMMYFUNCTION("""COMPUTED_VALUE"""),2822415)</f>
        <v>2822415</v>
      </c>
      <c r="R39" s="215" t="str">
        <f ca="1">IFERROR(__xludf.DUMMYFUNCTION("""COMPUTED_VALUE"""),"All levels")</f>
        <v>All levels</v>
      </c>
      <c r="S39" s="217" t="str">
        <f ca="1">IFERROR(__xludf.DUMMYFUNCTION("""COMPUTED_VALUE"""),"Schwierige Sachverhalte einfach vermitteln")</f>
        <v>Schwierige Sachverhalte einfach vermitteln</v>
      </c>
      <c r="T39" s="217"/>
      <c r="U39" s="213"/>
      <c r="V39" s="215"/>
      <c r="W39" s="215"/>
      <c r="X39" s="217"/>
      <c r="Y39" s="217"/>
      <c r="Z39" s="213"/>
      <c r="AA39" s="215"/>
      <c r="AB39" s="215"/>
      <c r="AC39" s="217"/>
      <c r="AD39" s="217"/>
      <c r="AE39" s="213"/>
      <c r="AF39" s="215"/>
      <c r="AG39" s="215"/>
      <c r="AH39" s="217"/>
      <c r="AI39" s="217"/>
      <c r="AJ39" s="213"/>
    </row>
    <row r="40" spans="1:36" ht="33.75" customHeight="1">
      <c r="A40" s="213"/>
      <c r="B40" s="214">
        <f ca="1">IFERROR(__xludf.DUMMYFUNCTION("""COMPUTED_VALUE"""),2836016)</f>
        <v>2836016</v>
      </c>
      <c r="C40" s="215" t="str">
        <f ca="1">IFERROR(__xludf.DUMMYFUNCTION("""COMPUTED_VALUE"""),"General")</f>
        <v>General</v>
      </c>
      <c r="D40" s="216" t="str">
        <f ca="1">IFERROR(__xludf.DUMMYFUNCTION("""COMPUTED_VALUE"""),"How to Create and Run a Brilliant Remote Workshop")</f>
        <v>How to Create and Run a Brilliant Remote Workshop</v>
      </c>
      <c r="E40" s="217"/>
      <c r="F40" s="213"/>
      <c r="G40" s="214"/>
      <c r="H40" s="215"/>
      <c r="I40" s="217"/>
      <c r="J40" s="217"/>
      <c r="K40" s="213"/>
      <c r="L40" s="215"/>
      <c r="M40" s="215"/>
      <c r="N40" s="217"/>
      <c r="O40" s="217"/>
      <c r="P40" s="213"/>
      <c r="Q40" s="215">
        <f ca="1">IFERROR(__xludf.DUMMYFUNCTION("""COMPUTED_VALUE"""),2437219)</f>
        <v>2437219</v>
      </c>
      <c r="R40" s="215" t="str">
        <f ca="1">IFERROR(__xludf.DUMMYFUNCTION("""COMPUTED_VALUE"""),"All levels")</f>
        <v>All levels</v>
      </c>
      <c r="S40" s="217" t="str">
        <f ca="1">IFERROR(__xludf.DUMMYFUNCTION("""COMPUTED_VALUE"""),"Souverän auftreten und überzeugend kommunizieren")</f>
        <v>Souverän auftreten und überzeugend kommunizieren</v>
      </c>
      <c r="T40" s="217"/>
      <c r="U40" s="213"/>
      <c r="V40" s="215"/>
      <c r="W40" s="215"/>
      <c r="X40" s="217"/>
      <c r="Y40" s="217"/>
      <c r="Z40" s="213"/>
      <c r="AA40" s="215"/>
      <c r="AB40" s="215"/>
      <c r="AC40" s="217"/>
      <c r="AD40" s="217"/>
      <c r="AE40" s="213"/>
      <c r="AF40" s="215"/>
      <c r="AG40" s="215"/>
      <c r="AH40" s="217"/>
      <c r="AI40" s="217"/>
      <c r="AJ40" s="213"/>
    </row>
    <row r="41" spans="1:36" ht="33.75" customHeight="1">
      <c r="A41" s="213"/>
      <c r="B41" s="214">
        <f ca="1">IFERROR(__xludf.DUMMYFUNCTION("""COMPUTED_VALUE"""),359601)</f>
        <v>359601</v>
      </c>
      <c r="C41" s="215" t="str">
        <f ca="1">IFERROR(__xludf.DUMMYFUNCTION("""COMPUTED_VALUE"""),"General")</f>
        <v>General</v>
      </c>
      <c r="D41" s="216" t="str">
        <f ca="1">IFERROR(__xludf.DUMMYFUNCTION("""COMPUTED_VALUE"""),"Communicating with Confidence")</f>
        <v>Communicating with Confidence</v>
      </c>
      <c r="E41" s="217"/>
      <c r="F41" s="213"/>
      <c r="G41" s="214"/>
      <c r="H41" s="215"/>
      <c r="I41" s="217"/>
      <c r="J41" s="217"/>
      <c r="K41" s="213"/>
      <c r="L41" s="215"/>
      <c r="M41" s="215"/>
      <c r="N41" s="217"/>
      <c r="O41" s="217"/>
      <c r="P41" s="213"/>
      <c r="Q41" s="215">
        <f ca="1">IFERROR(__xludf.DUMMYFUNCTION("""COMPUTED_VALUE"""),593056)</f>
        <v>593056</v>
      </c>
      <c r="R41" s="215" t="str">
        <f ca="1">IFERROR(__xludf.DUMMYFUNCTION("""COMPUTED_VALUE"""),"Intermediate")</f>
        <v>Intermediate</v>
      </c>
      <c r="S41" s="217" t="str">
        <f ca="1">IFERROR(__xludf.DUMMYFUNCTION("""COMPUTED_VALUE"""),"Spannung erzeugen in Vorträgen und Präsentationen")</f>
        <v>Spannung erzeugen in Vorträgen und Präsentationen</v>
      </c>
      <c r="T41" s="217"/>
      <c r="U41" s="213"/>
      <c r="V41" s="215"/>
      <c r="W41" s="215"/>
      <c r="X41" s="217"/>
      <c r="Y41" s="217"/>
      <c r="Z41" s="213"/>
      <c r="AA41" s="215"/>
      <c r="AB41" s="215"/>
      <c r="AC41" s="217"/>
      <c r="AD41" s="217"/>
      <c r="AE41" s="213"/>
      <c r="AF41" s="215"/>
      <c r="AG41" s="215"/>
      <c r="AH41" s="217"/>
      <c r="AI41" s="217"/>
      <c r="AJ41" s="213"/>
    </row>
    <row r="42" spans="1:36" ht="33.75" customHeight="1">
      <c r="A42" s="213"/>
      <c r="B42" s="214">
        <f ca="1">IFERROR(__xludf.DUMMYFUNCTION("""COMPUTED_VALUE"""),2857061)</f>
        <v>2857061</v>
      </c>
      <c r="C42" s="215" t="str">
        <f ca="1">IFERROR(__xludf.DUMMYFUNCTION("""COMPUTED_VALUE"""),"General")</f>
        <v>General</v>
      </c>
      <c r="D42" s="216" t="str">
        <f ca="1">IFERROR(__xludf.DUMMYFUNCTION("""COMPUTED_VALUE"""),"17 PR Mistakes to Avoid")</f>
        <v>17 PR Mistakes to Avoid</v>
      </c>
      <c r="E42" s="217"/>
      <c r="F42" s="213"/>
      <c r="G42" s="214"/>
      <c r="H42" s="215"/>
      <c r="I42" s="217"/>
      <c r="J42" s="217"/>
      <c r="K42" s="213"/>
      <c r="L42" s="215"/>
      <c r="M42" s="215"/>
      <c r="N42" s="217"/>
      <c r="O42" s="217"/>
      <c r="P42" s="213"/>
      <c r="Q42" s="215">
        <f ca="1">IFERROR(__xludf.DUMMYFUNCTION("""COMPUTED_VALUE"""),752386)</f>
        <v>752386</v>
      </c>
      <c r="R42" s="215" t="str">
        <f ca="1">IFERROR(__xludf.DUMMYFUNCTION("""COMPUTED_VALUE"""),"All levels")</f>
        <v>All levels</v>
      </c>
      <c r="S42" s="217" t="str">
        <f ca="1">IFERROR(__xludf.DUMMYFUNCTION("""COMPUTED_VALUE"""),"Sprechen wie ein Profi")</f>
        <v>Sprechen wie ein Profi</v>
      </c>
      <c r="T42" s="217"/>
      <c r="U42" s="213"/>
      <c r="V42" s="215"/>
      <c r="W42" s="215"/>
      <c r="X42" s="217"/>
      <c r="Y42" s="217"/>
      <c r="Z42" s="213"/>
      <c r="AA42" s="215"/>
      <c r="AB42" s="215"/>
      <c r="AC42" s="217"/>
      <c r="AD42" s="217"/>
      <c r="AE42" s="213"/>
      <c r="AF42" s="215"/>
      <c r="AG42" s="215"/>
      <c r="AH42" s="217"/>
      <c r="AI42" s="217"/>
      <c r="AJ42" s="213"/>
    </row>
    <row r="43" spans="1:36" ht="33.75" customHeight="1">
      <c r="A43" s="213"/>
      <c r="B43" s="214">
        <f ca="1">IFERROR(__xludf.DUMMYFUNCTION("""COMPUTED_VALUE"""),2832065)</f>
        <v>2832065</v>
      </c>
      <c r="C43" s="215" t="str">
        <f ca="1">IFERROR(__xludf.DUMMYFUNCTION("""COMPUTED_VALUE"""),"General")</f>
        <v>General</v>
      </c>
      <c r="D43" s="216" t="str">
        <f ca="1">IFERROR(__xludf.DUMMYFUNCTION("""COMPUTED_VALUE"""),"Finding Your Idea Hook")</f>
        <v>Finding Your Idea Hook</v>
      </c>
      <c r="E43" s="217"/>
      <c r="F43" s="213"/>
      <c r="G43" s="214"/>
      <c r="H43" s="215"/>
      <c r="I43" s="217"/>
      <c r="J43" s="217"/>
      <c r="K43" s="213"/>
      <c r="L43" s="215"/>
      <c r="M43" s="215"/>
      <c r="N43" s="217"/>
      <c r="O43" s="217"/>
      <c r="P43" s="213"/>
      <c r="Q43" s="215">
        <f ca="1">IFERROR(__xludf.DUMMYFUNCTION("""COMPUTED_VALUE"""),676841)</f>
        <v>676841</v>
      </c>
      <c r="R43" s="215" t="str">
        <f ca="1">IFERROR(__xludf.DUMMYFUNCTION("""COMPUTED_VALUE"""),"All levels")</f>
        <v>All levels</v>
      </c>
      <c r="S43" s="217" t="str">
        <f ca="1">IFERROR(__xludf.DUMMYFUNCTION("""COMPUTED_VALUE"""),"Storytelling für Führungskräfte")</f>
        <v>Storytelling für Führungskräfte</v>
      </c>
      <c r="T43" s="217"/>
      <c r="U43" s="213"/>
      <c r="V43" s="215"/>
      <c r="W43" s="215"/>
      <c r="X43" s="217"/>
      <c r="Y43" s="217"/>
      <c r="Z43" s="213"/>
      <c r="AA43" s="215"/>
      <c r="AB43" s="215"/>
      <c r="AC43" s="217"/>
      <c r="AD43" s="217"/>
      <c r="AE43" s="213"/>
      <c r="AF43" s="215"/>
      <c r="AG43" s="215"/>
      <c r="AH43" s="217"/>
      <c r="AI43" s="217"/>
      <c r="AJ43" s="213"/>
    </row>
    <row r="44" spans="1:36" ht="33.75" customHeight="1">
      <c r="A44" s="213"/>
      <c r="B44" s="214">
        <f ca="1">IFERROR(__xludf.DUMMYFUNCTION("""COMPUTED_VALUE"""),2825741)</f>
        <v>2825741</v>
      </c>
      <c r="C44" s="215" t="str">
        <f ca="1">IFERROR(__xludf.DUMMYFUNCTION("""COMPUTED_VALUE"""),"General")</f>
        <v>General</v>
      </c>
      <c r="D44" s="216" t="str">
        <f ca="1">IFERROR(__xludf.DUMMYFUNCTION("""COMPUTED_VALUE"""),"Presenting to Senior Executives")</f>
        <v>Presenting to Senior Executives</v>
      </c>
      <c r="E44" s="217"/>
      <c r="F44" s="213"/>
      <c r="G44" s="214"/>
      <c r="H44" s="215"/>
      <c r="I44" s="217"/>
      <c r="J44" s="217"/>
      <c r="K44" s="213"/>
      <c r="L44" s="215"/>
      <c r="M44" s="215"/>
      <c r="N44" s="217"/>
      <c r="O44" s="217"/>
      <c r="P44" s="213"/>
      <c r="Q44" s="215">
        <f ca="1">IFERROR(__xludf.DUMMYFUNCTION("""COMPUTED_VALUE"""),2996652)</f>
        <v>2996652</v>
      </c>
      <c r="R44" s="215" t="str">
        <f ca="1">IFERROR(__xludf.DUMMYFUNCTION("""COMPUTED_VALUE"""),"All levels")</f>
        <v>All levels</v>
      </c>
      <c r="S44" s="217" t="str">
        <f ca="1">IFERROR(__xludf.DUMMYFUNCTION("""COMPUTED_VALUE"""),"Webinare gestalten und durchführen")</f>
        <v>Webinare gestalten und durchführen</v>
      </c>
      <c r="T44" s="217"/>
      <c r="U44" s="213"/>
      <c r="V44" s="215"/>
      <c r="W44" s="215"/>
      <c r="X44" s="217"/>
      <c r="Y44" s="217"/>
      <c r="Z44" s="213"/>
      <c r="AA44" s="215"/>
      <c r="AB44" s="215"/>
      <c r="AC44" s="217"/>
      <c r="AD44" s="217"/>
      <c r="AE44" s="213"/>
      <c r="AF44" s="215"/>
      <c r="AG44" s="215"/>
      <c r="AH44" s="217"/>
      <c r="AI44" s="217"/>
      <c r="AJ44" s="213"/>
    </row>
    <row r="45" spans="1:36" ht="33.75" customHeight="1">
      <c r="A45" s="213"/>
      <c r="B45" s="214">
        <f ca="1">IFERROR(__xludf.DUMMYFUNCTION("""COMPUTED_VALUE"""),2353949)</f>
        <v>2353949</v>
      </c>
      <c r="C45" s="215" t="str">
        <f ca="1">IFERROR(__xludf.DUMMYFUNCTION("""COMPUTED_VALUE"""),"General")</f>
        <v>General</v>
      </c>
      <c r="D45" s="216" t="str">
        <f ca="1">IFERROR(__xludf.DUMMYFUNCTION("""COMPUTED_VALUE"""),"How to Own a Room")</f>
        <v>How to Own a Room</v>
      </c>
      <c r="E45" s="217"/>
      <c r="F45" s="213"/>
      <c r="G45" s="214"/>
      <c r="H45" s="215"/>
      <c r="I45" s="217"/>
      <c r="J45" s="217"/>
      <c r="K45" s="213"/>
      <c r="L45" s="215"/>
      <c r="M45" s="215"/>
      <c r="N45" s="217"/>
      <c r="O45" s="217"/>
      <c r="P45" s="213"/>
      <c r="Q45" s="215">
        <f ca="1">IFERROR(__xludf.DUMMYFUNCTION("""COMPUTED_VALUE"""),2825449)</f>
        <v>2825449</v>
      </c>
      <c r="R45" s="215" t="str">
        <f ca="1">IFERROR(__xludf.DUMMYFUNCTION("""COMPUTED_VALUE"""),"All levels")</f>
        <v>All levels</v>
      </c>
      <c r="S45" s="217" t="str">
        <f ca="1">IFERROR(__xludf.DUMMYFUNCTION("""COMPUTED_VALUE"""),"Zahlen spannend präsentieren")</f>
        <v>Zahlen spannend präsentieren</v>
      </c>
      <c r="T45" s="217"/>
      <c r="U45" s="213"/>
      <c r="V45" s="215"/>
      <c r="W45" s="215"/>
      <c r="X45" s="217"/>
      <c r="Y45" s="217"/>
      <c r="Z45" s="213"/>
      <c r="AA45" s="215"/>
      <c r="AB45" s="215"/>
      <c r="AC45" s="217"/>
      <c r="AD45" s="217"/>
      <c r="AE45" s="213"/>
      <c r="AF45" s="215"/>
      <c r="AG45" s="215"/>
      <c r="AH45" s="217"/>
      <c r="AI45" s="217"/>
      <c r="AJ45" s="213"/>
    </row>
    <row r="46" spans="1:36" ht="33.75" customHeight="1">
      <c r="A46" s="213"/>
      <c r="B46" s="214">
        <f ca="1">IFERROR(__xludf.DUMMYFUNCTION("""COMPUTED_VALUE"""),786358)</f>
        <v>786358</v>
      </c>
      <c r="C46" s="215" t="str">
        <f ca="1">IFERROR(__xludf.DUMMYFUNCTION("""COMPUTED_VALUE"""),"General")</f>
        <v>General</v>
      </c>
      <c r="D46" s="216" t="str">
        <f ca="1">IFERROR(__xludf.DUMMYFUNCTION("""COMPUTED_VALUE"""),"Master Confident Presentations")</f>
        <v>Master Confident Presentations</v>
      </c>
      <c r="E46" s="217"/>
      <c r="F46" s="213"/>
      <c r="G46" s="214"/>
      <c r="H46" s="215"/>
      <c r="I46" s="217"/>
      <c r="J46" s="217"/>
      <c r="K46" s="213"/>
      <c r="L46" s="215"/>
      <c r="M46" s="215"/>
      <c r="N46" s="217"/>
      <c r="O46" s="217"/>
      <c r="P46" s="213"/>
      <c r="Q46" s="215"/>
      <c r="R46" s="215"/>
      <c r="S46" s="217"/>
      <c r="T46" s="217"/>
      <c r="U46" s="213"/>
      <c r="V46" s="215"/>
      <c r="W46" s="215"/>
      <c r="X46" s="217"/>
      <c r="Y46" s="217"/>
      <c r="Z46" s="213"/>
      <c r="AA46" s="215"/>
      <c r="AB46" s="215"/>
      <c r="AC46" s="217"/>
      <c r="AD46" s="217"/>
      <c r="AE46" s="213"/>
      <c r="AF46" s="215"/>
      <c r="AG46" s="215"/>
      <c r="AH46" s="217"/>
      <c r="AI46" s="217"/>
      <c r="AJ46" s="213"/>
    </row>
    <row r="47" spans="1:36" ht="33.75" customHeight="1">
      <c r="A47" s="213"/>
      <c r="B47" s="214">
        <f ca="1">IFERROR(__xludf.DUMMYFUNCTION("""COMPUTED_VALUE"""),580630)</f>
        <v>580630</v>
      </c>
      <c r="C47" s="215" t="str">
        <f ca="1">IFERROR(__xludf.DUMMYFUNCTION("""COMPUTED_VALUE"""),"General")</f>
        <v>General</v>
      </c>
      <c r="D47" s="216" t="str">
        <f ca="1">IFERROR(__xludf.DUMMYFUNCTION("""COMPUTED_VALUE"""),"PowerPoint: Designing Better Slides")</f>
        <v>PowerPoint: Designing Better Slides</v>
      </c>
      <c r="E47" s="217"/>
      <c r="F47" s="213"/>
      <c r="G47" s="214"/>
      <c r="H47" s="215"/>
      <c r="I47" s="217"/>
      <c r="J47" s="217"/>
      <c r="K47" s="213"/>
      <c r="L47" s="215"/>
      <c r="M47" s="215"/>
      <c r="N47" s="217"/>
      <c r="O47" s="217"/>
      <c r="P47" s="213"/>
      <c r="Q47" s="215"/>
      <c r="R47" s="215"/>
      <c r="S47" s="217"/>
      <c r="T47" s="217"/>
      <c r="U47" s="213"/>
      <c r="V47" s="215"/>
      <c r="W47" s="215"/>
      <c r="X47" s="217"/>
      <c r="Y47" s="217"/>
      <c r="Z47" s="213"/>
      <c r="AA47" s="215"/>
      <c r="AB47" s="215"/>
      <c r="AC47" s="217"/>
      <c r="AD47" s="217"/>
      <c r="AE47" s="213"/>
      <c r="AF47" s="215"/>
      <c r="AG47" s="215"/>
      <c r="AH47" s="217"/>
      <c r="AI47" s="217"/>
      <c r="AJ47" s="213"/>
    </row>
    <row r="48" spans="1:36" ht="33.75" customHeight="1">
      <c r="A48" s="213"/>
      <c r="B48" s="214">
        <f ca="1">IFERROR(__xludf.DUMMYFUNCTION("""COMPUTED_VALUE"""),491532)</f>
        <v>491532</v>
      </c>
      <c r="C48" s="215" t="str">
        <f ca="1">IFERROR(__xludf.DUMMYFUNCTION("""COMPUTED_VALUE"""),"General")</f>
        <v>General</v>
      </c>
      <c r="D48" s="216" t="str">
        <f ca="1">IFERROR(__xludf.DUMMYFUNCTION("""COMPUTED_VALUE"""),"Shane Snow on Storytelling")</f>
        <v>Shane Snow on Storytelling</v>
      </c>
      <c r="E48" s="217"/>
      <c r="F48" s="213"/>
      <c r="G48" s="214"/>
      <c r="H48" s="215"/>
      <c r="I48" s="217"/>
      <c r="J48" s="217"/>
      <c r="K48" s="213"/>
      <c r="L48" s="215"/>
      <c r="M48" s="215"/>
      <c r="N48" s="217"/>
      <c r="O48" s="217"/>
      <c r="P48" s="213"/>
      <c r="Q48" s="215"/>
      <c r="R48" s="215"/>
      <c r="S48" s="217"/>
      <c r="T48" s="217"/>
      <c r="U48" s="213"/>
      <c r="V48" s="215"/>
      <c r="W48" s="215"/>
      <c r="X48" s="217"/>
      <c r="Y48" s="217"/>
      <c r="Z48" s="213"/>
      <c r="AA48" s="215"/>
      <c r="AB48" s="215"/>
      <c r="AC48" s="217"/>
      <c r="AD48" s="217"/>
      <c r="AE48" s="213"/>
      <c r="AF48" s="215"/>
      <c r="AG48" s="215"/>
      <c r="AH48" s="217"/>
      <c r="AI48" s="217"/>
      <c r="AJ48" s="213"/>
    </row>
    <row r="49" spans="1:36" ht="33.75" customHeight="1">
      <c r="A49" s="213"/>
      <c r="B49" s="214">
        <f ca="1">IFERROR(__xludf.DUMMYFUNCTION("""COMPUTED_VALUE"""),2805116)</f>
        <v>2805116</v>
      </c>
      <c r="C49" s="215" t="str">
        <f ca="1">IFERROR(__xludf.DUMMYFUNCTION("""COMPUTED_VALUE"""),"General")</f>
        <v>General</v>
      </c>
      <c r="D49" s="216" t="str">
        <f ca="1">IFERROR(__xludf.DUMMYFUNCTION("""COMPUTED_VALUE"""),"Delivery Tips for Speaking in Public")</f>
        <v>Delivery Tips for Speaking in Public</v>
      </c>
      <c r="E49" s="217"/>
      <c r="F49" s="213"/>
      <c r="G49" s="214"/>
      <c r="H49" s="215"/>
      <c r="I49" s="217"/>
      <c r="J49" s="217"/>
      <c r="K49" s="213"/>
      <c r="L49" s="215"/>
      <c r="M49" s="215"/>
      <c r="N49" s="217"/>
      <c r="O49" s="217"/>
      <c r="P49" s="213"/>
      <c r="Q49" s="215"/>
      <c r="R49" s="215"/>
      <c r="S49" s="217"/>
      <c r="T49" s="217"/>
      <c r="U49" s="213"/>
      <c r="V49" s="215"/>
      <c r="W49" s="215"/>
      <c r="X49" s="217"/>
      <c r="Y49" s="217"/>
      <c r="Z49" s="213"/>
      <c r="AA49" s="215"/>
      <c r="AB49" s="215"/>
      <c r="AC49" s="217"/>
      <c r="AD49" s="217"/>
      <c r="AE49" s="213"/>
      <c r="AF49" s="215"/>
      <c r="AG49" s="215"/>
      <c r="AH49" s="217"/>
      <c r="AI49" s="217"/>
      <c r="AJ49" s="213"/>
    </row>
    <row r="50" spans="1:36" ht="33.75" customHeight="1">
      <c r="A50" s="213"/>
      <c r="B50" s="214">
        <f ca="1">IFERROR(__xludf.DUMMYFUNCTION("""COMPUTED_VALUE"""),5030964)</f>
        <v>5030964</v>
      </c>
      <c r="C50" s="215" t="str">
        <f ca="1">IFERROR(__xludf.DUMMYFUNCTION("""COMPUTED_VALUE"""),"General")</f>
        <v>General</v>
      </c>
      <c r="D50" s="216" t="str">
        <f ca="1">IFERROR(__xludf.DUMMYFUNCTION("""COMPUTED_VALUE"""),"Presentation Tips Weekly")</f>
        <v>Presentation Tips Weekly</v>
      </c>
      <c r="E50" s="217"/>
      <c r="F50" s="213"/>
      <c r="G50" s="214"/>
      <c r="H50" s="215"/>
      <c r="I50" s="217"/>
      <c r="J50" s="217"/>
      <c r="K50" s="213"/>
      <c r="L50" s="215"/>
      <c r="M50" s="215"/>
      <c r="N50" s="217"/>
      <c r="O50" s="217"/>
      <c r="P50" s="213"/>
      <c r="Q50" s="215"/>
      <c r="R50" s="215"/>
      <c r="S50" s="217"/>
      <c r="T50" s="217"/>
      <c r="U50" s="213"/>
      <c r="V50" s="215"/>
      <c r="W50" s="215"/>
      <c r="X50" s="217"/>
      <c r="Y50" s="217"/>
      <c r="Z50" s="213"/>
      <c r="AA50" s="215"/>
      <c r="AB50" s="215"/>
      <c r="AC50" s="217"/>
      <c r="AD50" s="217"/>
      <c r="AE50" s="213"/>
      <c r="AF50" s="215"/>
      <c r="AG50" s="215"/>
      <c r="AH50" s="217"/>
      <c r="AI50" s="217"/>
      <c r="AJ50" s="213"/>
    </row>
    <row r="51" spans="1:36" ht="33.75" customHeight="1">
      <c r="A51" s="213"/>
      <c r="B51" s="214">
        <f ca="1">IFERROR(__xludf.DUMMYFUNCTION("""COMPUTED_VALUE"""),2894005)</f>
        <v>2894005</v>
      </c>
      <c r="C51" s="215" t="str">
        <f ca="1">IFERROR(__xludf.DUMMYFUNCTION("""COMPUTED_VALUE"""),"General")</f>
        <v>General</v>
      </c>
      <c r="D51" s="216" t="str">
        <f ca="1">IFERROR(__xludf.DUMMYFUNCTION("""COMPUTED_VALUE"""),"How to Stand Out Remotely")</f>
        <v>How to Stand Out Remotely</v>
      </c>
      <c r="E51" s="217"/>
      <c r="F51" s="213"/>
      <c r="G51" s="214"/>
      <c r="H51" s="215"/>
      <c r="I51" s="217"/>
      <c r="J51" s="217"/>
      <c r="K51" s="213"/>
      <c r="L51" s="215"/>
      <c r="M51" s="215"/>
      <c r="N51" s="217"/>
      <c r="O51" s="217"/>
      <c r="P51" s="213"/>
      <c r="Q51" s="215"/>
      <c r="R51" s="215"/>
      <c r="S51" s="217"/>
      <c r="T51" s="217"/>
      <c r="U51" s="213"/>
      <c r="V51" s="215"/>
      <c r="W51" s="215"/>
      <c r="X51" s="217"/>
      <c r="Y51" s="217"/>
      <c r="Z51" s="213"/>
      <c r="AA51" s="215"/>
      <c r="AB51" s="215"/>
      <c r="AC51" s="217"/>
      <c r="AD51" s="217"/>
      <c r="AE51" s="213"/>
      <c r="AF51" s="215"/>
      <c r="AG51" s="215"/>
      <c r="AH51" s="217"/>
      <c r="AI51" s="217"/>
      <c r="AJ51" s="213"/>
    </row>
    <row r="52" spans="1:36" ht="33.75" customHeight="1">
      <c r="A52" s="213"/>
      <c r="B52" s="214"/>
      <c r="C52" s="215"/>
      <c r="D52" s="216"/>
      <c r="E52" s="217"/>
      <c r="F52" s="213"/>
      <c r="G52" s="214"/>
      <c r="H52" s="215"/>
      <c r="I52" s="217"/>
      <c r="J52" s="217"/>
      <c r="K52" s="213"/>
      <c r="L52" s="215"/>
      <c r="M52" s="215"/>
      <c r="N52" s="217"/>
      <c r="O52" s="217"/>
      <c r="P52" s="213"/>
      <c r="Q52" s="215"/>
      <c r="R52" s="215"/>
      <c r="S52" s="217"/>
      <c r="T52" s="217"/>
      <c r="U52" s="213"/>
      <c r="V52" s="215"/>
      <c r="W52" s="215"/>
      <c r="X52" s="217"/>
      <c r="Y52" s="217"/>
      <c r="Z52" s="213"/>
      <c r="AA52" s="215"/>
      <c r="AB52" s="215"/>
      <c r="AC52" s="217"/>
      <c r="AD52" s="217"/>
      <c r="AE52" s="213"/>
      <c r="AF52" s="215"/>
      <c r="AG52" s="215"/>
      <c r="AH52" s="217"/>
      <c r="AI52" s="217"/>
      <c r="AJ52" s="213"/>
    </row>
    <row r="53" spans="1:36" ht="33.75" customHeight="1">
      <c r="A53" s="213"/>
      <c r="B53" s="214"/>
      <c r="C53" s="215"/>
      <c r="D53" s="216"/>
      <c r="E53" s="217"/>
      <c r="F53" s="213"/>
      <c r="G53" s="214"/>
      <c r="H53" s="215"/>
      <c r="I53" s="217"/>
      <c r="J53" s="217"/>
      <c r="K53" s="213"/>
      <c r="L53" s="215"/>
      <c r="M53" s="215"/>
      <c r="N53" s="217"/>
      <c r="O53" s="217"/>
      <c r="P53" s="213"/>
      <c r="Q53" s="215"/>
      <c r="R53" s="215"/>
      <c r="S53" s="217"/>
      <c r="T53" s="217"/>
      <c r="U53" s="213"/>
      <c r="V53" s="215"/>
      <c r="W53" s="215"/>
      <c r="X53" s="217"/>
      <c r="Y53" s="217"/>
      <c r="Z53" s="213"/>
      <c r="AA53" s="215"/>
      <c r="AB53" s="215"/>
      <c r="AC53" s="217"/>
      <c r="AD53" s="217"/>
      <c r="AE53" s="213"/>
      <c r="AF53" s="215"/>
      <c r="AG53" s="215"/>
      <c r="AH53" s="217"/>
      <c r="AI53" s="217"/>
      <c r="AJ53" s="213"/>
    </row>
    <row r="54" spans="1:36" ht="33.75" customHeight="1">
      <c r="A54" s="213"/>
      <c r="B54" s="214"/>
      <c r="C54" s="215"/>
      <c r="D54" s="216"/>
      <c r="E54" s="217"/>
      <c r="F54" s="213"/>
      <c r="G54" s="214"/>
      <c r="H54" s="215"/>
      <c r="I54" s="217"/>
      <c r="J54" s="217"/>
      <c r="K54" s="213"/>
      <c r="L54" s="215"/>
      <c r="M54" s="215"/>
      <c r="N54" s="217"/>
      <c r="O54" s="217"/>
      <c r="P54" s="213"/>
      <c r="Q54" s="215"/>
      <c r="R54" s="215"/>
      <c r="S54" s="217"/>
      <c r="T54" s="217"/>
      <c r="U54" s="213"/>
      <c r="V54" s="215"/>
      <c r="W54" s="215"/>
      <c r="X54" s="217"/>
      <c r="Y54" s="217"/>
      <c r="Z54" s="213"/>
      <c r="AA54" s="215"/>
      <c r="AB54" s="215"/>
      <c r="AC54" s="217"/>
      <c r="AD54" s="217"/>
      <c r="AE54" s="213"/>
      <c r="AF54" s="215"/>
      <c r="AG54" s="215"/>
      <c r="AH54" s="217"/>
      <c r="AI54" s="217"/>
      <c r="AJ54" s="213"/>
    </row>
    <row r="55" spans="1:36" ht="33.75" customHeight="1">
      <c r="A55" s="213"/>
      <c r="B55" s="214"/>
      <c r="C55" s="215"/>
      <c r="D55" s="216"/>
      <c r="E55" s="217"/>
      <c r="F55" s="213"/>
      <c r="G55" s="214"/>
      <c r="H55" s="215"/>
      <c r="I55" s="217"/>
      <c r="J55" s="217"/>
      <c r="K55" s="213"/>
      <c r="L55" s="215"/>
      <c r="M55" s="215"/>
      <c r="N55" s="217"/>
      <c r="O55" s="217"/>
      <c r="P55" s="213"/>
      <c r="Q55" s="215"/>
      <c r="R55" s="215"/>
      <c r="S55" s="217"/>
      <c r="T55" s="217"/>
      <c r="U55" s="213"/>
      <c r="V55" s="215"/>
      <c r="W55" s="215"/>
      <c r="X55" s="217"/>
      <c r="Y55" s="217"/>
      <c r="Z55" s="213"/>
      <c r="AA55" s="215"/>
      <c r="AB55" s="215"/>
      <c r="AC55" s="217"/>
      <c r="AD55" s="217"/>
      <c r="AE55" s="213"/>
      <c r="AF55" s="215"/>
      <c r="AG55" s="215"/>
      <c r="AH55" s="217"/>
      <c r="AI55" s="217"/>
      <c r="AJ55" s="213"/>
    </row>
    <row r="56" spans="1:36" ht="33.75" customHeight="1">
      <c r="A56" s="213"/>
      <c r="B56" s="214"/>
      <c r="C56" s="215"/>
      <c r="D56" s="216"/>
      <c r="E56" s="217"/>
      <c r="F56" s="213"/>
      <c r="G56" s="214"/>
      <c r="H56" s="215"/>
      <c r="I56" s="217"/>
      <c r="J56" s="217"/>
      <c r="K56" s="213"/>
      <c r="L56" s="215"/>
      <c r="M56" s="215"/>
      <c r="N56" s="217"/>
      <c r="O56" s="217"/>
      <c r="P56" s="213"/>
      <c r="Q56" s="215"/>
      <c r="R56" s="215"/>
      <c r="S56" s="217"/>
      <c r="T56" s="217"/>
      <c r="U56" s="213"/>
      <c r="V56" s="215"/>
      <c r="W56" s="215"/>
      <c r="X56" s="217"/>
      <c r="Y56" s="217"/>
      <c r="Z56" s="213"/>
      <c r="AA56" s="215"/>
      <c r="AB56" s="215"/>
      <c r="AC56" s="217"/>
      <c r="AD56" s="217"/>
      <c r="AE56" s="213"/>
      <c r="AF56" s="215"/>
      <c r="AG56" s="215"/>
      <c r="AH56" s="217"/>
      <c r="AI56" s="217"/>
      <c r="AJ56" s="213"/>
    </row>
    <row r="57" spans="1:36" ht="33.75" customHeight="1">
      <c r="A57" s="213"/>
      <c r="B57" s="214"/>
      <c r="C57" s="215"/>
      <c r="D57" s="216"/>
      <c r="E57" s="217"/>
      <c r="F57" s="213"/>
      <c r="G57" s="214"/>
      <c r="H57" s="215"/>
      <c r="I57" s="217"/>
      <c r="J57" s="217"/>
      <c r="K57" s="213"/>
      <c r="L57" s="215"/>
      <c r="M57" s="215"/>
      <c r="N57" s="217"/>
      <c r="O57" s="217"/>
      <c r="P57" s="213"/>
      <c r="Q57" s="215"/>
      <c r="R57" s="215"/>
      <c r="S57" s="217"/>
      <c r="T57" s="217"/>
      <c r="U57" s="213"/>
      <c r="V57" s="215"/>
      <c r="W57" s="215"/>
      <c r="X57" s="217"/>
      <c r="Y57" s="217"/>
      <c r="Z57" s="213"/>
      <c r="AA57" s="215"/>
      <c r="AB57" s="215"/>
      <c r="AC57" s="217"/>
      <c r="AD57" s="217"/>
      <c r="AE57" s="213"/>
      <c r="AF57" s="215"/>
      <c r="AG57" s="215"/>
      <c r="AH57" s="217"/>
      <c r="AI57" s="217"/>
      <c r="AJ57" s="213"/>
    </row>
    <row r="58" spans="1:36" ht="33.75" customHeight="1">
      <c r="A58" s="213"/>
      <c r="B58" s="214"/>
      <c r="C58" s="215"/>
      <c r="D58" s="216"/>
      <c r="E58" s="217"/>
      <c r="F58" s="213"/>
      <c r="G58" s="214"/>
      <c r="H58" s="215"/>
      <c r="I58" s="217"/>
      <c r="J58" s="217"/>
      <c r="K58" s="213"/>
      <c r="L58" s="215"/>
      <c r="M58" s="215"/>
      <c r="N58" s="217"/>
      <c r="O58" s="217"/>
      <c r="P58" s="213"/>
      <c r="Q58" s="215"/>
      <c r="R58" s="215"/>
      <c r="S58" s="217"/>
      <c r="T58" s="217"/>
      <c r="U58" s="213"/>
      <c r="V58" s="215"/>
      <c r="W58" s="215"/>
      <c r="X58" s="217"/>
      <c r="Y58" s="217"/>
      <c r="Z58" s="213"/>
      <c r="AA58" s="215"/>
      <c r="AB58" s="215"/>
      <c r="AC58" s="217"/>
      <c r="AD58" s="217"/>
      <c r="AE58" s="213"/>
      <c r="AF58" s="215"/>
      <c r="AG58" s="215"/>
      <c r="AH58" s="217"/>
      <c r="AI58" s="217"/>
      <c r="AJ58" s="213"/>
    </row>
    <row r="59" spans="1:36" ht="33.75" customHeight="1">
      <c r="A59" s="213"/>
      <c r="B59" s="214"/>
      <c r="C59" s="215"/>
      <c r="D59" s="216"/>
      <c r="E59" s="217"/>
      <c r="F59" s="213"/>
      <c r="G59" s="214"/>
      <c r="H59" s="215"/>
      <c r="I59" s="217"/>
      <c r="J59" s="217"/>
      <c r="K59" s="213"/>
      <c r="L59" s="215"/>
      <c r="M59" s="215"/>
      <c r="N59" s="217"/>
      <c r="O59" s="217"/>
      <c r="P59" s="213"/>
      <c r="Q59" s="215"/>
      <c r="R59" s="215"/>
      <c r="S59" s="217"/>
      <c r="T59" s="217"/>
      <c r="U59" s="213"/>
      <c r="V59" s="215"/>
      <c r="W59" s="215"/>
      <c r="X59" s="217"/>
      <c r="Y59" s="217"/>
      <c r="Z59" s="213"/>
      <c r="AA59" s="215"/>
      <c r="AB59" s="215"/>
      <c r="AC59" s="217"/>
      <c r="AD59" s="217"/>
      <c r="AE59" s="213"/>
      <c r="AF59" s="215"/>
      <c r="AG59" s="215"/>
      <c r="AH59" s="217"/>
      <c r="AI59" s="217"/>
      <c r="AJ59" s="213"/>
    </row>
    <row r="60" spans="1:36" ht="33.75" customHeight="1">
      <c r="A60" s="213"/>
      <c r="B60" s="214"/>
      <c r="C60" s="215"/>
      <c r="D60" s="216"/>
      <c r="E60" s="217"/>
      <c r="F60" s="213"/>
      <c r="G60" s="214"/>
      <c r="H60" s="215"/>
      <c r="I60" s="217"/>
      <c r="J60" s="217"/>
      <c r="K60" s="213"/>
      <c r="L60" s="215"/>
      <c r="M60" s="215"/>
      <c r="N60" s="217"/>
      <c r="O60" s="217"/>
      <c r="P60" s="213"/>
      <c r="Q60" s="215"/>
      <c r="R60" s="215"/>
      <c r="S60" s="217"/>
      <c r="T60" s="217"/>
      <c r="U60" s="213"/>
      <c r="V60" s="215"/>
      <c r="W60" s="215"/>
      <c r="X60" s="217"/>
      <c r="Y60" s="217"/>
      <c r="Z60" s="213"/>
      <c r="AA60" s="215"/>
      <c r="AB60" s="215"/>
      <c r="AC60" s="217"/>
      <c r="AD60" s="217"/>
      <c r="AE60" s="213"/>
      <c r="AF60" s="215"/>
      <c r="AG60" s="215"/>
      <c r="AH60" s="217"/>
      <c r="AI60" s="217"/>
      <c r="AJ60" s="213"/>
    </row>
    <row r="61" spans="1:36" ht="33.75" customHeight="1">
      <c r="A61" s="213"/>
      <c r="B61" s="214"/>
      <c r="C61" s="215"/>
      <c r="D61" s="216"/>
      <c r="E61" s="217"/>
      <c r="F61" s="213"/>
      <c r="G61" s="214"/>
      <c r="H61" s="215"/>
      <c r="I61" s="217"/>
      <c r="J61" s="217"/>
      <c r="K61" s="213"/>
      <c r="L61" s="215"/>
      <c r="M61" s="215"/>
      <c r="N61" s="217"/>
      <c r="O61" s="217"/>
      <c r="P61" s="213"/>
      <c r="Q61" s="215"/>
      <c r="R61" s="215"/>
      <c r="S61" s="217"/>
      <c r="T61" s="217"/>
      <c r="U61" s="213"/>
      <c r="V61" s="215"/>
      <c r="W61" s="215"/>
      <c r="X61" s="217"/>
      <c r="Y61" s="217"/>
      <c r="Z61" s="213"/>
      <c r="AA61" s="215"/>
      <c r="AB61" s="215"/>
      <c r="AC61" s="217"/>
      <c r="AD61" s="217"/>
      <c r="AE61" s="213"/>
      <c r="AF61" s="215"/>
      <c r="AG61" s="215"/>
      <c r="AH61" s="217"/>
      <c r="AI61" s="217"/>
      <c r="AJ61" s="213"/>
    </row>
    <row r="62" spans="1:36" ht="33.75" customHeight="1">
      <c r="A62" s="213"/>
      <c r="B62" s="214"/>
      <c r="C62" s="215"/>
      <c r="D62" s="216"/>
      <c r="E62" s="217"/>
      <c r="F62" s="213"/>
      <c r="G62" s="214"/>
      <c r="H62" s="215"/>
      <c r="I62" s="217"/>
      <c r="J62" s="217"/>
      <c r="K62" s="213"/>
      <c r="L62" s="215"/>
      <c r="M62" s="215"/>
      <c r="N62" s="217"/>
      <c r="O62" s="217"/>
      <c r="P62" s="213"/>
      <c r="Q62" s="215"/>
      <c r="R62" s="215"/>
      <c r="S62" s="217"/>
      <c r="T62" s="217"/>
      <c r="U62" s="213"/>
      <c r="V62" s="215"/>
      <c r="W62" s="215"/>
      <c r="X62" s="217"/>
      <c r="Y62" s="217"/>
      <c r="Z62" s="213"/>
      <c r="AA62" s="215"/>
      <c r="AB62" s="215"/>
      <c r="AC62" s="217"/>
      <c r="AD62" s="217"/>
      <c r="AE62" s="213"/>
      <c r="AF62" s="215"/>
      <c r="AG62" s="215"/>
      <c r="AH62" s="217"/>
      <c r="AI62" s="217"/>
      <c r="AJ62" s="213"/>
    </row>
    <row r="63" spans="1:36" ht="33.75" customHeight="1">
      <c r="A63" s="213"/>
      <c r="B63" s="214"/>
      <c r="C63" s="215"/>
      <c r="D63" s="216"/>
      <c r="E63" s="217"/>
      <c r="F63" s="213"/>
      <c r="G63" s="214"/>
      <c r="H63" s="215"/>
      <c r="I63" s="217"/>
      <c r="J63" s="217"/>
      <c r="K63" s="213"/>
      <c r="L63" s="215"/>
      <c r="M63" s="215"/>
      <c r="N63" s="217"/>
      <c r="O63" s="217"/>
      <c r="P63" s="213"/>
      <c r="Q63" s="215"/>
      <c r="R63" s="215"/>
      <c r="S63" s="217"/>
      <c r="T63" s="217"/>
      <c r="U63" s="213"/>
      <c r="V63" s="215"/>
      <c r="W63" s="215"/>
      <c r="X63" s="217"/>
      <c r="Y63" s="217"/>
      <c r="Z63" s="213"/>
      <c r="AA63" s="215"/>
      <c r="AB63" s="215"/>
      <c r="AC63" s="217"/>
      <c r="AD63" s="217"/>
      <c r="AE63" s="213"/>
      <c r="AF63" s="215"/>
      <c r="AG63" s="215"/>
      <c r="AH63" s="217"/>
      <c r="AI63" s="217"/>
      <c r="AJ63" s="213"/>
    </row>
    <row r="64" spans="1:36" ht="33.75" customHeight="1">
      <c r="A64" s="213"/>
      <c r="B64" s="214"/>
      <c r="C64" s="215"/>
      <c r="D64" s="216"/>
      <c r="E64" s="217"/>
      <c r="F64" s="213"/>
      <c r="G64" s="214"/>
      <c r="H64" s="215"/>
      <c r="I64" s="217"/>
      <c r="J64" s="217"/>
      <c r="K64" s="213"/>
      <c r="L64" s="215"/>
      <c r="M64" s="215"/>
      <c r="N64" s="217"/>
      <c r="O64" s="217"/>
      <c r="P64" s="213"/>
      <c r="Q64" s="215"/>
      <c r="R64" s="215"/>
      <c r="S64" s="217"/>
      <c r="T64" s="217"/>
      <c r="U64" s="213"/>
      <c r="V64" s="215"/>
      <c r="W64" s="215"/>
      <c r="X64" s="217"/>
      <c r="Y64" s="217"/>
      <c r="Z64" s="213"/>
      <c r="AA64" s="215"/>
      <c r="AB64" s="215"/>
      <c r="AC64" s="217"/>
      <c r="AD64" s="217"/>
      <c r="AE64" s="213"/>
      <c r="AF64" s="215"/>
      <c r="AG64" s="215"/>
      <c r="AH64" s="217"/>
      <c r="AI64" s="217"/>
      <c r="AJ64" s="213"/>
    </row>
    <row r="65" spans="1:36" ht="33.75" customHeight="1">
      <c r="A65" s="213"/>
      <c r="B65" s="214"/>
      <c r="C65" s="215"/>
      <c r="D65" s="216"/>
      <c r="E65" s="217"/>
      <c r="F65" s="213"/>
      <c r="G65" s="214"/>
      <c r="H65" s="215"/>
      <c r="I65" s="217"/>
      <c r="J65" s="217"/>
      <c r="K65" s="213"/>
      <c r="L65" s="215"/>
      <c r="M65" s="215"/>
      <c r="N65" s="217"/>
      <c r="O65" s="217"/>
      <c r="P65" s="213"/>
      <c r="Q65" s="215"/>
      <c r="R65" s="215"/>
      <c r="S65" s="217"/>
      <c r="T65" s="217"/>
      <c r="U65" s="213"/>
      <c r="V65" s="215"/>
      <c r="W65" s="215"/>
      <c r="X65" s="217"/>
      <c r="Y65" s="217"/>
      <c r="Z65" s="213"/>
      <c r="AA65" s="215"/>
      <c r="AB65" s="215"/>
      <c r="AC65" s="217"/>
      <c r="AD65" s="217"/>
      <c r="AE65" s="213"/>
      <c r="AF65" s="215"/>
      <c r="AG65" s="215"/>
      <c r="AH65" s="217"/>
      <c r="AI65" s="217"/>
      <c r="AJ65" s="213"/>
    </row>
    <row r="66" spans="1:36" ht="33.75" customHeight="1">
      <c r="A66" s="213"/>
      <c r="B66" s="214"/>
      <c r="C66" s="215"/>
      <c r="D66" s="216"/>
      <c r="E66" s="217"/>
      <c r="F66" s="213"/>
      <c r="G66" s="214"/>
      <c r="H66" s="215"/>
      <c r="I66" s="217"/>
      <c r="J66" s="217"/>
      <c r="K66" s="213"/>
      <c r="L66" s="215"/>
      <c r="M66" s="215"/>
      <c r="N66" s="217"/>
      <c r="O66" s="217"/>
      <c r="P66" s="213"/>
      <c r="Q66" s="215"/>
      <c r="R66" s="215"/>
      <c r="S66" s="217"/>
      <c r="T66" s="217"/>
      <c r="U66" s="213"/>
      <c r="V66" s="215"/>
      <c r="W66" s="215"/>
      <c r="X66" s="217"/>
      <c r="Y66" s="217"/>
      <c r="Z66" s="213"/>
      <c r="AA66" s="215"/>
      <c r="AB66" s="215"/>
      <c r="AC66" s="217"/>
      <c r="AD66" s="217"/>
      <c r="AE66" s="213"/>
      <c r="AF66" s="215"/>
      <c r="AG66" s="215"/>
      <c r="AH66" s="217"/>
      <c r="AI66" s="217"/>
      <c r="AJ66" s="213"/>
    </row>
    <row r="67" spans="1:36" ht="33.75" customHeight="1">
      <c r="A67" s="213"/>
      <c r="B67" s="214"/>
      <c r="C67" s="215"/>
      <c r="D67" s="216"/>
      <c r="E67" s="217"/>
      <c r="F67" s="213"/>
      <c r="G67" s="214"/>
      <c r="H67" s="215"/>
      <c r="I67" s="217"/>
      <c r="J67" s="217"/>
      <c r="K67" s="213"/>
      <c r="L67" s="215"/>
      <c r="M67" s="215"/>
      <c r="N67" s="217"/>
      <c r="O67" s="217"/>
      <c r="P67" s="213"/>
      <c r="Q67" s="215"/>
      <c r="R67" s="215"/>
      <c r="S67" s="217"/>
      <c r="T67" s="217"/>
      <c r="U67" s="213"/>
      <c r="V67" s="215"/>
      <c r="W67" s="215"/>
      <c r="X67" s="217"/>
      <c r="Y67" s="217"/>
      <c r="Z67" s="213"/>
      <c r="AA67" s="215"/>
      <c r="AB67" s="215"/>
      <c r="AC67" s="217"/>
      <c r="AD67" s="217"/>
      <c r="AE67" s="213"/>
      <c r="AF67" s="215"/>
      <c r="AG67" s="215"/>
      <c r="AH67" s="217"/>
      <c r="AI67" s="217"/>
      <c r="AJ67" s="213"/>
    </row>
    <row r="68" spans="1:36" ht="33.75" customHeight="1">
      <c r="A68" s="213"/>
      <c r="B68" s="214"/>
      <c r="C68" s="215"/>
      <c r="D68" s="216"/>
      <c r="E68" s="217"/>
      <c r="F68" s="213"/>
      <c r="G68" s="214"/>
      <c r="H68" s="215"/>
      <c r="I68" s="217"/>
      <c r="J68" s="217"/>
      <c r="K68" s="213"/>
      <c r="L68" s="215"/>
      <c r="M68" s="215"/>
      <c r="N68" s="217"/>
      <c r="O68" s="217"/>
      <c r="P68" s="213"/>
      <c r="Q68" s="215"/>
      <c r="R68" s="215"/>
      <c r="S68" s="217"/>
      <c r="T68" s="217"/>
      <c r="U68" s="213"/>
      <c r="V68" s="215"/>
      <c r="W68" s="215"/>
      <c r="X68" s="217"/>
      <c r="Y68" s="217"/>
      <c r="Z68" s="213"/>
      <c r="AA68" s="215"/>
      <c r="AB68" s="215"/>
      <c r="AC68" s="217"/>
      <c r="AD68" s="217"/>
      <c r="AE68" s="213"/>
      <c r="AF68" s="215"/>
      <c r="AG68" s="215"/>
      <c r="AH68" s="217"/>
      <c r="AI68" s="217"/>
      <c r="AJ68" s="213"/>
    </row>
    <row r="69" spans="1:36" ht="33.75" customHeight="1">
      <c r="A69" s="213"/>
      <c r="B69" s="214"/>
      <c r="C69" s="215"/>
      <c r="D69" s="216"/>
      <c r="E69" s="217"/>
      <c r="F69" s="213"/>
      <c r="G69" s="214"/>
      <c r="H69" s="215"/>
      <c r="I69" s="217"/>
      <c r="J69" s="217"/>
      <c r="K69" s="213"/>
      <c r="L69" s="215"/>
      <c r="M69" s="215"/>
      <c r="N69" s="217"/>
      <c r="O69" s="217"/>
      <c r="P69" s="213"/>
      <c r="Q69" s="215"/>
      <c r="R69" s="215"/>
      <c r="S69" s="217"/>
      <c r="T69" s="217"/>
      <c r="U69" s="213"/>
      <c r="V69" s="215"/>
      <c r="W69" s="215"/>
      <c r="X69" s="217"/>
      <c r="Y69" s="217"/>
      <c r="Z69" s="213"/>
      <c r="AA69" s="215"/>
      <c r="AB69" s="215"/>
      <c r="AC69" s="217"/>
      <c r="AD69" s="217"/>
      <c r="AE69" s="213"/>
      <c r="AF69" s="215"/>
      <c r="AG69" s="215"/>
      <c r="AH69" s="217"/>
      <c r="AI69" s="217"/>
      <c r="AJ69" s="213"/>
    </row>
    <row r="70" spans="1:36" ht="33.75" customHeight="1">
      <c r="A70" s="213"/>
      <c r="B70" s="214"/>
      <c r="C70" s="215"/>
      <c r="D70" s="216"/>
      <c r="E70" s="217"/>
      <c r="F70" s="213"/>
      <c r="G70" s="214"/>
      <c r="H70" s="215"/>
      <c r="I70" s="217"/>
      <c r="J70" s="217"/>
      <c r="K70" s="213"/>
      <c r="L70" s="215"/>
      <c r="M70" s="215"/>
      <c r="N70" s="217"/>
      <c r="O70" s="217"/>
      <c r="P70" s="213"/>
      <c r="Q70" s="215"/>
      <c r="R70" s="215"/>
      <c r="S70" s="217"/>
      <c r="T70" s="217"/>
      <c r="U70" s="213"/>
      <c r="V70" s="215"/>
      <c r="W70" s="215"/>
      <c r="X70" s="217"/>
      <c r="Y70" s="217"/>
      <c r="Z70" s="213"/>
      <c r="AA70" s="215"/>
      <c r="AB70" s="215"/>
      <c r="AC70" s="217"/>
      <c r="AD70" s="217"/>
      <c r="AE70" s="213"/>
      <c r="AF70" s="215"/>
      <c r="AG70" s="215"/>
      <c r="AH70" s="217"/>
      <c r="AI70" s="217"/>
      <c r="AJ70" s="213"/>
    </row>
    <row r="71" spans="1:36" ht="33.75" customHeight="1">
      <c r="A71" s="213"/>
      <c r="B71" s="214"/>
      <c r="C71" s="215"/>
      <c r="D71" s="216"/>
      <c r="E71" s="217"/>
      <c r="F71" s="213"/>
      <c r="G71" s="214"/>
      <c r="H71" s="215"/>
      <c r="I71" s="217"/>
      <c r="J71" s="217"/>
      <c r="K71" s="213"/>
      <c r="L71" s="215"/>
      <c r="M71" s="215"/>
      <c r="N71" s="217"/>
      <c r="O71" s="217"/>
      <c r="P71" s="213"/>
      <c r="Q71" s="215"/>
      <c r="R71" s="215"/>
      <c r="S71" s="217"/>
      <c r="T71" s="217"/>
      <c r="U71" s="213"/>
      <c r="V71" s="215"/>
      <c r="W71" s="215"/>
      <c r="X71" s="217"/>
      <c r="Y71" s="217"/>
      <c r="Z71" s="213"/>
      <c r="AA71" s="215"/>
      <c r="AB71" s="215"/>
      <c r="AC71" s="217"/>
      <c r="AD71" s="217"/>
      <c r="AE71" s="213"/>
      <c r="AF71" s="215"/>
      <c r="AG71" s="215"/>
      <c r="AH71" s="217"/>
      <c r="AI71" s="217"/>
      <c r="AJ71" s="213"/>
    </row>
    <row r="72" spans="1:36" ht="33.75" customHeight="1">
      <c r="A72" s="213"/>
      <c r="B72" s="214"/>
      <c r="C72" s="215"/>
      <c r="D72" s="216"/>
      <c r="E72" s="217"/>
      <c r="F72" s="213"/>
      <c r="G72" s="214"/>
      <c r="H72" s="215"/>
      <c r="I72" s="217"/>
      <c r="J72" s="217"/>
      <c r="K72" s="213"/>
      <c r="L72" s="215"/>
      <c r="M72" s="215"/>
      <c r="N72" s="217"/>
      <c r="O72" s="217"/>
      <c r="P72" s="213"/>
      <c r="Q72" s="215"/>
      <c r="R72" s="215"/>
      <c r="S72" s="217"/>
      <c r="T72" s="217"/>
      <c r="U72" s="213"/>
      <c r="V72" s="215"/>
      <c r="W72" s="215"/>
      <c r="X72" s="217"/>
      <c r="Y72" s="217"/>
      <c r="Z72" s="213"/>
      <c r="AA72" s="215"/>
      <c r="AB72" s="215"/>
      <c r="AC72" s="217"/>
      <c r="AD72" s="217"/>
      <c r="AE72" s="213"/>
      <c r="AF72" s="215"/>
      <c r="AG72" s="215"/>
      <c r="AH72" s="217"/>
      <c r="AI72" s="217"/>
      <c r="AJ72" s="213"/>
    </row>
    <row r="73" spans="1:36" ht="33.75" customHeight="1">
      <c r="A73" s="213"/>
      <c r="B73" s="214"/>
      <c r="C73" s="215"/>
      <c r="D73" s="216"/>
      <c r="E73" s="217"/>
      <c r="F73" s="213"/>
      <c r="G73" s="214"/>
      <c r="H73" s="215"/>
      <c r="I73" s="217"/>
      <c r="J73" s="217"/>
      <c r="K73" s="213"/>
      <c r="L73" s="215"/>
      <c r="M73" s="215"/>
      <c r="N73" s="217"/>
      <c r="O73" s="217"/>
      <c r="P73" s="213"/>
      <c r="Q73" s="215"/>
      <c r="R73" s="215"/>
      <c r="S73" s="217"/>
      <c r="T73" s="217"/>
      <c r="U73" s="213"/>
      <c r="V73" s="215"/>
      <c r="W73" s="215"/>
      <c r="X73" s="217"/>
      <c r="Y73" s="217"/>
      <c r="Z73" s="213"/>
      <c r="AA73" s="215"/>
      <c r="AB73" s="215"/>
      <c r="AC73" s="217"/>
      <c r="AD73" s="217"/>
      <c r="AE73" s="213"/>
      <c r="AF73" s="215"/>
      <c r="AG73" s="215"/>
      <c r="AH73" s="217"/>
      <c r="AI73" s="217"/>
      <c r="AJ73" s="213"/>
    </row>
    <row r="74" spans="1:36" ht="33.75" customHeight="1">
      <c r="A74" s="213"/>
      <c r="B74" s="214"/>
      <c r="C74" s="215"/>
      <c r="D74" s="216"/>
      <c r="E74" s="217"/>
      <c r="F74" s="213"/>
      <c r="G74" s="214"/>
      <c r="H74" s="215"/>
      <c r="I74" s="217"/>
      <c r="J74" s="217"/>
      <c r="K74" s="213"/>
      <c r="L74" s="215"/>
      <c r="M74" s="215"/>
      <c r="N74" s="217"/>
      <c r="O74" s="217"/>
      <c r="P74" s="213"/>
      <c r="Q74" s="215"/>
      <c r="R74" s="215"/>
      <c r="S74" s="217"/>
      <c r="T74" s="217"/>
      <c r="U74" s="213"/>
      <c r="V74" s="215"/>
      <c r="W74" s="215"/>
      <c r="X74" s="217"/>
      <c r="Y74" s="217"/>
      <c r="Z74" s="213"/>
      <c r="AA74" s="215"/>
      <c r="AB74" s="215"/>
      <c r="AC74" s="217"/>
      <c r="AD74" s="217"/>
      <c r="AE74" s="213"/>
      <c r="AF74" s="215"/>
      <c r="AG74" s="215"/>
      <c r="AH74" s="217"/>
      <c r="AI74" s="217"/>
      <c r="AJ74" s="213"/>
    </row>
    <row r="75" spans="1:36" ht="33.75" customHeight="1">
      <c r="A75" s="213"/>
      <c r="B75" s="214"/>
      <c r="C75" s="215"/>
      <c r="D75" s="216"/>
      <c r="E75" s="217"/>
      <c r="F75" s="213"/>
      <c r="G75" s="214"/>
      <c r="H75" s="215"/>
      <c r="I75" s="217"/>
      <c r="J75" s="217"/>
      <c r="K75" s="213"/>
      <c r="L75" s="215"/>
      <c r="M75" s="215"/>
      <c r="N75" s="217"/>
      <c r="O75" s="217"/>
      <c r="P75" s="213"/>
      <c r="Q75" s="215"/>
      <c r="R75" s="215"/>
      <c r="S75" s="217"/>
      <c r="T75" s="217"/>
      <c r="U75" s="213"/>
      <c r="V75" s="215"/>
      <c r="W75" s="215"/>
      <c r="X75" s="217"/>
      <c r="Y75" s="217"/>
      <c r="Z75" s="213"/>
      <c r="AA75" s="215"/>
      <c r="AB75" s="215"/>
      <c r="AC75" s="217"/>
      <c r="AD75" s="217"/>
      <c r="AE75" s="213"/>
      <c r="AF75" s="215"/>
      <c r="AG75" s="215"/>
      <c r="AH75" s="217"/>
      <c r="AI75" s="217"/>
      <c r="AJ75" s="213"/>
    </row>
    <row r="76" spans="1:36" ht="33.75" customHeight="1">
      <c r="A76" s="213"/>
      <c r="B76" s="214"/>
      <c r="C76" s="215"/>
      <c r="D76" s="216"/>
      <c r="E76" s="217"/>
      <c r="F76" s="213"/>
      <c r="G76" s="214"/>
      <c r="H76" s="215"/>
      <c r="I76" s="217"/>
      <c r="J76" s="217"/>
      <c r="K76" s="213"/>
      <c r="L76" s="215"/>
      <c r="M76" s="215"/>
      <c r="N76" s="217"/>
      <c r="O76" s="217"/>
      <c r="P76" s="213"/>
      <c r="Q76" s="215"/>
      <c r="R76" s="215"/>
      <c r="S76" s="217"/>
      <c r="T76" s="217"/>
      <c r="U76" s="213"/>
      <c r="V76" s="215"/>
      <c r="W76" s="215"/>
      <c r="X76" s="217"/>
      <c r="Y76" s="217"/>
      <c r="Z76" s="213"/>
      <c r="AA76" s="215"/>
      <c r="AB76" s="215"/>
      <c r="AC76" s="217"/>
      <c r="AD76" s="217"/>
      <c r="AE76" s="213"/>
      <c r="AF76" s="215"/>
      <c r="AG76" s="215"/>
      <c r="AH76" s="217"/>
      <c r="AI76" s="217"/>
      <c r="AJ76" s="213"/>
    </row>
    <row r="77" spans="1:36" ht="33.75" customHeight="1">
      <c r="A77" s="213"/>
      <c r="B77" s="214"/>
      <c r="C77" s="215"/>
      <c r="D77" s="216"/>
      <c r="E77" s="217"/>
      <c r="F77" s="213"/>
      <c r="G77" s="214"/>
      <c r="H77" s="215"/>
      <c r="I77" s="217"/>
      <c r="J77" s="217"/>
      <c r="K77" s="213"/>
      <c r="L77" s="215"/>
      <c r="M77" s="215"/>
      <c r="N77" s="217"/>
      <c r="O77" s="217"/>
      <c r="P77" s="213"/>
      <c r="Q77" s="215"/>
      <c r="R77" s="215"/>
      <c r="S77" s="217"/>
      <c r="T77" s="217"/>
      <c r="U77" s="213"/>
      <c r="V77" s="215"/>
      <c r="W77" s="215"/>
      <c r="X77" s="217"/>
      <c r="Y77" s="217"/>
      <c r="Z77" s="213"/>
      <c r="AA77" s="215"/>
      <c r="AB77" s="215"/>
      <c r="AC77" s="217"/>
      <c r="AD77" s="217"/>
      <c r="AE77" s="213"/>
      <c r="AF77" s="215"/>
      <c r="AG77" s="215"/>
      <c r="AH77" s="217"/>
      <c r="AI77" s="217"/>
      <c r="AJ77" s="213"/>
    </row>
    <row r="78" spans="1:36" ht="33.75" customHeight="1">
      <c r="A78" s="213"/>
      <c r="B78" s="214"/>
      <c r="C78" s="215"/>
      <c r="D78" s="216"/>
      <c r="E78" s="217"/>
      <c r="F78" s="213"/>
      <c r="G78" s="214"/>
      <c r="H78" s="215"/>
      <c r="I78" s="217"/>
      <c r="J78" s="217"/>
      <c r="K78" s="213"/>
      <c r="L78" s="215"/>
      <c r="M78" s="215"/>
      <c r="N78" s="217"/>
      <c r="O78" s="217"/>
      <c r="P78" s="213"/>
      <c r="Q78" s="215"/>
      <c r="R78" s="215"/>
      <c r="S78" s="217"/>
      <c r="T78" s="217"/>
      <c r="U78" s="213"/>
      <c r="V78" s="215"/>
      <c r="W78" s="215"/>
      <c r="X78" s="217"/>
      <c r="Y78" s="217"/>
      <c r="Z78" s="213"/>
      <c r="AA78" s="215"/>
      <c r="AB78" s="215"/>
      <c r="AC78" s="217"/>
      <c r="AD78" s="217"/>
      <c r="AE78" s="213"/>
      <c r="AF78" s="215"/>
      <c r="AG78" s="215"/>
      <c r="AH78" s="217"/>
      <c r="AI78" s="217"/>
      <c r="AJ78" s="213"/>
    </row>
    <row r="79" spans="1:36" ht="33.75" customHeight="1">
      <c r="A79" s="213"/>
      <c r="B79" s="214"/>
      <c r="C79" s="215"/>
      <c r="D79" s="216"/>
      <c r="E79" s="217"/>
      <c r="F79" s="213"/>
      <c r="G79" s="214"/>
      <c r="H79" s="215"/>
      <c r="I79" s="217"/>
      <c r="J79" s="217"/>
      <c r="K79" s="213"/>
      <c r="L79" s="215"/>
      <c r="M79" s="215"/>
      <c r="N79" s="217"/>
      <c r="O79" s="217"/>
      <c r="P79" s="213"/>
      <c r="Q79" s="215"/>
      <c r="R79" s="215"/>
      <c r="S79" s="217"/>
      <c r="T79" s="217"/>
      <c r="U79" s="213"/>
      <c r="V79" s="215"/>
      <c r="W79" s="215"/>
      <c r="X79" s="217"/>
      <c r="Y79" s="217"/>
      <c r="Z79" s="213"/>
      <c r="AA79" s="215"/>
      <c r="AB79" s="215"/>
      <c r="AC79" s="217"/>
      <c r="AD79" s="217"/>
      <c r="AE79" s="213"/>
      <c r="AF79" s="215"/>
      <c r="AG79" s="215"/>
      <c r="AH79" s="217"/>
      <c r="AI79" s="217"/>
      <c r="AJ79" s="213"/>
    </row>
    <row r="80" spans="1:36" ht="33.75" customHeight="1">
      <c r="A80" s="213"/>
      <c r="B80" s="214"/>
      <c r="C80" s="215"/>
      <c r="D80" s="216"/>
      <c r="E80" s="217"/>
      <c r="F80" s="213"/>
      <c r="G80" s="214"/>
      <c r="H80" s="215"/>
      <c r="I80" s="217"/>
      <c r="J80" s="217"/>
      <c r="K80" s="213"/>
      <c r="L80" s="215"/>
      <c r="M80" s="215"/>
      <c r="N80" s="217"/>
      <c r="O80" s="217"/>
      <c r="P80" s="213"/>
      <c r="Q80" s="215"/>
      <c r="R80" s="215"/>
      <c r="S80" s="217"/>
      <c r="T80" s="217"/>
      <c r="U80" s="213"/>
      <c r="V80" s="215"/>
      <c r="W80" s="215"/>
      <c r="X80" s="217"/>
      <c r="Y80" s="217"/>
      <c r="Z80" s="213"/>
      <c r="AA80" s="215"/>
      <c r="AB80" s="215"/>
      <c r="AC80" s="217"/>
      <c r="AD80" s="217"/>
      <c r="AE80" s="213"/>
      <c r="AF80" s="215"/>
      <c r="AG80" s="215"/>
      <c r="AH80" s="217"/>
      <c r="AI80" s="217"/>
      <c r="AJ80" s="213"/>
    </row>
    <row r="81" spans="1:36" ht="33.75" customHeight="1">
      <c r="A81" s="213"/>
      <c r="B81" s="214"/>
      <c r="C81" s="215"/>
      <c r="D81" s="216"/>
      <c r="E81" s="217"/>
      <c r="F81" s="213"/>
      <c r="G81" s="214"/>
      <c r="H81" s="215"/>
      <c r="I81" s="217"/>
      <c r="J81" s="217"/>
      <c r="K81" s="213"/>
      <c r="L81" s="215"/>
      <c r="M81" s="215"/>
      <c r="N81" s="217"/>
      <c r="O81" s="217"/>
      <c r="P81" s="213"/>
      <c r="Q81" s="215"/>
      <c r="R81" s="215"/>
      <c r="S81" s="217"/>
      <c r="T81" s="217"/>
      <c r="U81" s="213"/>
      <c r="V81" s="215"/>
      <c r="W81" s="215"/>
      <c r="X81" s="217"/>
      <c r="Y81" s="217"/>
      <c r="Z81" s="213"/>
      <c r="AA81" s="215"/>
      <c r="AB81" s="215"/>
      <c r="AC81" s="217"/>
      <c r="AD81" s="217"/>
      <c r="AE81" s="213"/>
      <c r="AF81" s="215"/>
      <c r="AG81" s="215"/>
      <c r="AH81" s="217"/>
      <c r="AI81" s="217"/>
      <c r="AJ81" s="213"/>
    </row>
    <row r="82" spans="1:36" ht="33.75" customHeight="1">
      <c r="A82" s="213"/>
      <c r="B82" s="214"/>
      <c r="C82" s="215"/>
      <c r="D82" s="216"/>
      <c r="E82" s="217"/>
      <c r="F82" s="213"/>
      <c r="G82" s="214"/>
      <c r="H82" s="215"/>
      <c r="I82" s="217"/>
      <c r="J82" s="217"/>
      <c r="K82" s="213"/>
      <c r="L82" s="215"/>
      <c r="M82" s="215"/>
      <c r="N82" s="217"/>
      <c r="O82" s="217"/>
      <c r="P82" s="213"/>
      <c r="Q82" s="215"/>
      <c r="R82" s="215"/>
      <c r="S82" s="217"/>
      <c r="T82" s="217"/>
      <c r="U82" s="213"/>
      <c r="V82" s="215"/>
      <c r="W82" s="215"/>
      <c r="X82" s="217"/>
      <c r="Y82" s="217"/>
      <c r="Z82" s="213"/>
      <c r="AA82" s="215"/>
      <c r="AB82" s="215"/>
      <c r="AC82" s="217"/>
      <c r="AD82" s="217"/>
      <c r="AE82" s="213"/>
      <c r="AF82" s="215"/>
      <c r="AG82" s="215"/>
      <c r="AH82" s="217"/>
      <c r="AI82" s="217"/>
      <c r="AJ82" s="213"/>
    </row>
    <row r="83" spans="1:36" ht="33.75" customHeight="1">
      <c r="A83" s="213"/>
      <c r="B83" s="214"/>
      <c r="C83" s="215"/>
      <c r="D83" s="216"/>
      <c r="E83" s="217"/>
      <c r="F83" s="213"/>
      <c r="G83" s="214"/>
      <c r="H83" s="215"/>
      <c r="I83" s="217"/>
      <c r="J83" s="217"/>
      <c r="K83" s="213"/>
      <c r="L83" s="215"/>
      <c r="M83" s="215"/>
      <c r="N83" s="217"/>
      <c r="O83" s="217"/>
      <c r="P83" s="213"/>
      <c r="Q83" s="215"/>
      <c r="R83" s="215"/>
      <c r="S83" s="217"/>
      <c r="T83" s="217"/>
      <c r="U83" s="213"/>
      <c r="V83" s="215"/>
      <c r="W83" s="215"/>
      <c r="X83" s="217"/>
      <c r="Y83" s="217"/>
      <c r="Z83" s="213"/>
      <c r="AA83" s="215"/>
      <c r="AB83" s="215"/>
      <c r="AC83" s="217"/>
      <c r="AD83" s="217"/>
      <c r="AE83" s="213"/>
      <c r="AF83" s="215"/>
      <c r="AG83" s="215"/>
      <c r="AH83" s="217"/>
      <c r="AI83" s="217"/>
      <c r="AJ83" s="213"/>
    </row>
    <row r="84" spans="1:36" ht="33.75" customHeight="1">
      <c r="A84" s="213"/>
      <c r="B84" s="214"/>
      <c r="C84" s="215"/>
      <c r="D84" s="216"/>
      <c r="E84" s="217"/>
      <c r="F84" s="213"/>
      <c r="G84" s="214"/>
      <c r="H84" s="215"/>
      <c r="I84" s="217"/>
      <c r="J84" s="217"/>
      <c r="K84" s="213"/>
      <c r="L84" s="215"/>
      <c r="M84" s="215"/>
      <c r="N84" s="217"/>
      <c r="O84" s="217"/>
      <c r="P84" s="213"/>
      <c r="Q84" s="215"/>
      <c r="R84" s="215"/>
      <c r="S84" s="217"/>
      <c r="T84" s="217"/>
      <c r="U84" s="213"/>
      <c r="V84" s="215"/>
      <c r="W84" s="215"/>
      <c r="X84" s="217"/>
      <c r="Y84" s="217"/>
      <c r="Z84" s="213"/>
      <c r="AA84" s="215"/>
      <c r="AB84" s="215"/>
      <c r="AC84" s="217"/>
      <c r="AD84" s="217"/>
      <c r="AE84" s="213"/>
      <c r="AF84" s="215"/>
      <c r="AG84" s="215"/>
      <c r="AH84" s="217"/>
      <c r="AI84" s="217"/>
      <c r="AJ84" s="213"/>
    </row>
    <row r="85" spans="1:36" ht="33.75" customHeight="1">
      <c r="A85" s="213"/>
      <c r="B85" s="214"/>
      <c r="C85" s="215"/>
      <c r="D85" s="216"/>
      <c r="E85" s="217"/>
      <c r="F85" s="213"/>
      <c r="G85" s="214"/>
      <c r="H85" s="215"/>
      <c r="I85" s="217"/>
      <c r="J85" s="217"/>
      <c r="K85" s="213"/>
      <c r="L85" s="215"/>
      <c r="M85" s="215"/>
      <c r="N85" s="217"/>
      <c r="O85" s="217"/>
      <c r="P85" s="213"/>
      <c r="Q85" s="215"/>
      <c r="R85" s="215"/>
      <c r="S85" s="217"/>
      <c r="T85" s="217"/>
      <c r="U85" s="213"/>
      <c r="V85" s="215"/>
      <c r="W85" s="215"/>
      <c r="X85" s="217"/>
      <c r="Y85" s="217"/>
      <c r="Z85" s="213"/>
      <c r="AA85" s="215"/>
      <c r="AB85" s="215"/>
      <c r="AC85" s="217"/>
      <c r="AD85" s="217"/>
      <c r="AE85" s="213"/>
      <c r="AF85" s="215"/>
      <c r="AG85" s="215"/>
      <c r="AH85" s="217"/>
      <c r="AI85" s="217"/>
      <c r="AJ85" s="213"/>
    </row>
    <row r="86" spans="1:36" ht="33.75" customHeight="1">
      <c r="A86" s="213"/>
      <c r="B86" s="214"/>
      <c r="C86" s="215"/>
      <c r="D86" s="216"/>
      <c r="E86" s="217"/>
      <c r="F86" s="213"/>
      <c r="G86" s="214"/>
      <c r="H86" s="215"/>
      <c r="I86" s="217"/>
      <c r="J86" s="217"/>
      <c r="K86" s="213"/>
      <c r="L86" s="215"/>
      <c r="M86" s="215"/>
      <c r="N86" s="217"/>
      <c r="O86" s="217"/>
      <c r="P86" s="213"/>
      <c r="Q86" s="215"/>
      <c r="R86" s="215"/>
      <c r="S86" s="217"/>
      <c r="T86" s="217"/>
      <c r="U86" s="213"/>
      <c r="V86" s="215"/>
      <c r="W86" s="215"/>
      <c r="X86" s="217"/>
      <c r="Y86" s="217"/>
      <c r="Z86" s="213"/>
      <c r="AA86" s="215"/>
      <c r="AB86" s="215"/>
      <c r="AC86" s="217"/>
      <c r="AD86" s="217"/>
      <c r="AE86" s="213"/>
      <c r="AF86" s="215"/>
      <c r="AG86" s="215"/>
      <c r="AH86" s="217"/>
      <c r="AI86" s="217"/>
      <c r="AJ86" s="213"/>
    </row>
    <row r="87" spans="1:36" ht="33.75" customHeight="1">
      <c r="A87" s="213"/>
      <c r="B87" s="214"/>
      <c r="C87" s="215"/>
      <c r="D87" s="216"/>
      <c r="E87" s="217"/>
      <c r="F87" s="213"/>
      <c r="G87" s="214"/>
      <c r="H87" s="215"/>
      <c r="I87" s="217"/>
      <c r="J87" s="217"/>
      <c r="K87" s="213"/>
      <c r="L87" s="215"/>
      <c r="M87" s="215"/>
      <c r="N87" s="217"/>
      <c r="O87" s="217"/>
      <c r="P87" s="213"/>
      <c r="Q87" s="215"/>
      <c r="R87" s="215"/>
      <c r="S87" s="217"/>
      <c r="T87" s="217"/>
      <c r="U87" s="213"/>
      <c r="V87" s="215"/>
      <c r="W87" s="215"/>
      <c r="X87" s="217"/>
      <c r="Y87" s="217"/>
      <c r="Z87" s="213"/>
      <c r="AA87" s="215"/>
      <c r="AB87" s="215"/>
      <c r="AC87" s="217"/>
      <c r="AD87" s="217"/>
      <c r="AE87" s="213"/>
      <c r="AF87" s="215"/>
      <c r="AG87" s="215"/>
      <c r="AH87" s="217"/>
      <c r="AI87" s="217"/>
      <c r="AJ87" s="213"/>
    </row>
    <row r="88" spans="1:36" ht="33.75" customHeight="1">
      <c r="A88" s="213"/>
      <c r="B88" s="214"/>
      <c r="C88" s="215"/>
      <c r="D88" s="217"/>
      <c r="E88" s="217"/>
      <c r="F88" s="213"/>
      <c r="G88" s="214"/>
      <c r="H88" s="215"/>
      <c r="I88" s="217"/>
      <c r="J88" s="217"/>
      <c r="K88" s="213"/>
      <c r="L88" s="215"/>
      <c r="M88" s="215"/>
      <c r="N88" s="217"/>
      <c r="O88" s="217"/>
      <c r="P88" s="213"/>
      <c r="Q88" s="215"/>
      <c r="R88" s="215"/>
      <c r="S88" s="217"/>
      <c r="T88" s="217"/>
      <c r="U88" s="213"/>
      <c r="V88" s="215"/>
      <c r="W88" s="215"/>
      <c r="X88" s="217"/>
      <c r="Y88" s="217"/>
      <c r="Z88" s="213"/>
      <c r="AA88" s="215"/>
      <c r="AB88" s="215"/>
      <c r="AC88" s="217"/>
      <c r="AD88" s="217"/>
      <c r="AE88" s="213"/>
      <c r="AF88" s="215"/>
      <c r="AG88" s="215"/>
      <c r="AH88" s="217"/>
      <c r="AI88" s="217"/>
      <c r="AJ88" s="213"/>
    </row>
    <row r="89" spans="1:36" ht="16">
      <c r="A89" s="213"/>
      <c r="B89" s="214"/>
      <c r="C89" s="215"/>
      <c r="D89" s="216"/>
      <c r="E89" s="217"/>
      <c r="F89" s="213"/>
      <c r="G89" s="214"/>
      <c r="H89" s="215"/>
      <c r="I89" s="217"/>
      <c r="J89" s="217"/>
      <c r="K89" s="213"/>
      <c r="L89" s="215"/>
      <c r="M89" s="215"/>
      <c r="N89" s="217"/>
      <c r="O89" s="217"/>
      <c r="P89" s="213"/>
      <c r="Q89" s="215"/>
      <c r="R89" s="215"/>
      <c r="S89" s="217"/>
      <c r="T89" s="217"/>
      <c r="U89" s="213"/>
      <c r="V89" s="215"/>
      <c r="W89" s="215"/>
      <c r="X89" s="217"/>
      <c r="Y89" s="217"/>
      <c r="Z89" s="213"/>
      <c r="AA89" s="215"/>
      <c r="AB89" s="215"/>
      <c r="AC89" s="217"/>
      <c r="AD89" s="217"/>
      <c r="AE89" s="213"/>
      <c r="AF89" s="215"/>
      <c r="AG89" s="215"/>
      <c r="AH89" s="217"/>
      <c r="AI89" s="217"/>
      <c r="AJ89" s="213"/>
    </row>
    <row r="90" spans="1:36" ht="16">
      <c r="A90" s="213"/>
      <c r="B90" s="214"/>
      <c r="C90" s="215"/>
      <c r="D90" s="216"/>
      <c r="E90" s="217"/>
      <c r="F90" s="213"/>
      <c r="G90" s="214"/>
      <c r="H90" s="215"/>
      <c r="I90" s="217"/>
      <c r="J90" s="217"/>
      <c r="K90" s="213"/>
      <c r="L90" s="215"/>
      <c r="M90" s="215"/>
      <c r="N90" s="217"/>
      <c r="O90" s="217"/>
      <c r="P90" s="213"/>
      <c r="Q90" s="215"/>
      <c r="R90" s="215"/>
      <c r="S90" s="217"/>
      <c r="T90" s="217"/>
      <c r="U90" s="213"/>
      <c r="V90" s="215"/>
      <c r="W90" s="215"/>
      <c r="X90" s="217"/>
      <c r="Y90" s="217"/>
      <c r="Z90" s="213"/>
      <c r="AA90" s="215"/>
      <c r="AB90" s="215"/>
      <c r="AC90" s="217"/>
      <c r="AD90" s="217"/>
      <c r="AE90" s="213"/>
      <c r="AF90" s="215"/>
      <c r="AG90" s="215"/>
      <c r="AH90" s="217"/>
      <c r="AI90" s="217"/>
      <c r="AJ90" s="213"/>
    </row>
    <row r="91" spans="1:36" ht="16">
      <c r="A91" s="213"/>
      <c r="B91" s="214"/>
      <c r="C91" s="215"/>
      <c r="D91" s="216"/>
      <c r="E91" s="217"/>
      <c r="F91" s="213"/>
      <c r="G91" s="214"/>
      <c r="H91" s="215"/>
      <c r="I91" s="217"/>
      <c r="J91" s="217"/>
      <c r="K91" s="213"/>
      <c r="L91" s="215"/>
      <c r="M91" s="215"/>
      <c r="N91" s="217"/>
      <c r="O91" s="217"/>
      <c r="P91" s="213"/>
      <c r="Q91" s="215"/>
      <c r="R91" s="215"/>
      <c r="S91" s="217"/>
      <c r="T91" s="217"/>
      <c r="U91" s="213"/>
      <c r="V91" s="215"/>
      <c r="W91" s="215"/>
      <c r="X91" s="217"/>
      <c r="Y91" s="217"/>
      <c r="Z91" s="213"/>
      <c r="AA91" s="215"/>
      <c r="AB91" s="215"/>
      <c r="AC91" s="217"/>
      <c r="AD91" s="217"/>
      <c r="AE91" s="213"/>
      <c r="AF91" s="215"/>
      <c r="AG91" s="215"/>
      <c r="AH91" s="217"/>
      <c r="AI91" s="217"/>
      <c r="AJ91" s="213"/>
    </row>
    <row r="92" spans="1:36" ht="16">
      <c r="A92" s="213"/>
      <c r="B92" s="214"/>
      <c r="C92" s="215"/>
      <c r="D92" s="216"/>
      <c r="E92" s="217"/>
      <c r="F92" s="213"/>
      <c r="G92" s="214"/>
      <c r="H92" s="215"/>
      <c r="I92" s="217"/>
      <c r="J92" s="217"/>
      <c r="K92" s="213"/>
      <c r="L92" s="215"/>
      <c r="M92" s="215"/>
      <c r="N92" s="217"/>
      <c r="O92" s="217"/>
      <c r="P92" s="213"/>
      <c r="Q92" s="215"/>
      <c r="R92" s="215"/>
      <c r="S92" s="217"/>
      <c r="T92" s="217"/>
      <c r="U92" s="213"/>
      <c r="V92" s="215"/>
      <c r="W92" s="215"/>
      <c r="X92" s="217"/>
      <c r="Y92" s="217"/>
      <c r="Z92" s="213"/>
      <c r="AA92" s="215"/>
      <c r="AB92" s="215"/>
      <c r="AC92" s="217"/>
      <c r="AD92" s="217"/>
      <c r="AE92" s="213"/>
      <c r="AF92" s="215"/>
      <c r="AG92" s="215"/>
      <c r="AH92" s="217"/>
      <c r="AI92" s="217"/>
      <c r="AJ92" s="213"/>
    </row>
    <row r="93" spans="1:36" ht="16">
      <c r="A93" s="213"/>
      <c r="B93" s="214"/>
      <c r="C93" s="215"/>
      <c r="D93" s="216"/>
      <c r="E93" s="217"/>
      <c r="F93" s="213"/>
      <c r="G93" s="214"/>
      <c r="H93" s="215"/>
      <c r="I93" s="217"/>
      <c r="J93" s="217"/>
      <c r="K93" s="213"/>
      <c r="L93" s="215"/>
      <c r="M93" s="215"/>
      <c r="N93" s="217"/>
      <c r="O93" s="217"/>
      <c r="P93" s="213"/>
      <c r="Q93" s="215"/>
      <c r="R93" s="215"/>
      <c r="S93" s="217"/>
      <c r="T93" s="217"/>
      <c r="U93" s="213"/>
      <c r="V93" s="215"/>
      <c r="W93" s="215"/>
      <c r="X93" s="217"/>
      <c r="Y93" s="217"/>
      <c r="Z93" s="213"/>
      <c r="AA93" s="215"/>
      <c r="AB93" s="215"/>
      <c r="AC93" s="217"/>
      <c r="AD93" s="217"/>
      <c r="AE93" s="213"/>
      <c r="AF93" s="215"/>
      <c r="AG93" s="215"/>
      <c r="AH93" s="217"/>
      <c r="AI93" s="217"/>
      <c r="AJ93" s="213"/>
    </row>
    <row r="94" spans="1:36" ht="16">
      <c r="A94" s="213"/>
      <c r="B94" s="214"/>
      <c r="C94" s="215"/>
      <c r="D94" s="216"/>
      <c r="E94" s="217"/>
      <c r="F94" s="213"/>
      <c r="G94" s="214"/>
      <c r="H94" s="215"/>
      <c r="I94" s="217"/>
      <c r="J94" s="217"/>
      <c r="K94" s="213"/>
      <c r="L94" s="215"/>
      <c r="M94" s="215"/>
      <c r="N94" s="217"/>
      <c r="O94" s="217"/>
      <c r="P94" s="213"/>
      <c r="Q94" s="215"/>
      <c r="R94" s="215"/>
      <c r="S94" s="217"/>
      <c r="T94" s="217"/>
      <c r="U94" s="213"/>
      <c r="V94" s="215"/>
      <c r="W94" s="215"/>
      <c r="X94" s="217"/>
      <c r="Y94" s="217"/>
      <c r="Z94" s="213"/>
      <c r="AA94" s="215"/>
      <c r="AB94" s="215"/>
      <c r="AC94" s="217"/>
      <c r="AD94" s="217"/>
      <c r="AE94" s="213"/>
      <c r="AF94" s="215"/>
      <c r="AG94" s="215"/>
      <c r="AH94" s="217"/>
      <c r="AI94" s="217"/>
      <c r="AJ94" s="213"/>
    </row>
    <row r="95" spans="1:36" ht="16">
      <c r="A95" s="213"/>
      <c r="B95" s="214"/>
      <c r="C95" s="215"/>
      <c r="D95" s="216"/>
      <c r="E95" s="217"/>
      <c r="F95" s="213"/>
      <c r="G95" s="214"/>
      <c r="H95" s="215"/>
      <c r="I95" s="217"/>
      <c r="J95" s="217"/>
      <c r="K95" s="213"/>
      <c r="L95" s="215"/>
      <c r="M95" s="215"/>
      <c r="N95" s="217"/>
      <c r="O95" s="217"/>
      <c r="P95" s="213"/>
      <c r="Q95" s="215"/>
      <c r="R95" s="215"/>
      <c r="S95" s="217"/>
      <c r="T95" s="217"/>
      <c r="U95" s="213"/>
      <c r="V95" s="215"/>
      <c r="W95" s="215"/>
      <c r="X95" s="217"/>
      <c r="Y95" s="217"/>
      <c r="Z95" s="213"/>
      <c r="AA95" s="215"/>
      <c r="AB95" s="215"/>
      <c r="AC95" s="217"/>
      <c r="AD95" s="217"/>
      <c r="AE95" s="213"/>
      <c r="AF95" s="215"/>
      <c r="AG95" s="215"/>
      <c r="AH95" s="217"/>
      <c r="AI95" s="217"/>
      <c r="AJ95" s="213"/>
    </row>
    <row r="96" spans="1:36" ht="16">
      <c r="A96" s="213"/>
      <c r="B96" s="214"/>
      <c r="C96" s="215"/>
      <c r="D96" s="217"/>
      <c r="E96" s="217"/>
      <c r="F96" s="213"/>
      <c r="G96" s="214"/>
      <c r="H96" s="215"/>
      <c r="I96" s="217"/>
      <c r="J96" s="217"/>
      <c r="K96" s="213"/>
      <c r="L96" s="215"/>
      <c r="M96" s="215"/>
      <c r="N96" s="217"/>
      <c r="O96" s="217"/>
      <c r="P96" s="213"/>
      <c r="Q96" s="215"/>
      <c r="R96" s="215"/>
      <c r="S96" s="217"/>
      <c r="T96" s="217"/>
      <c r="U96" s="213"/>
      <c r="V96" s="215"/>
      <c r="W96" s="215"/>
      <c r="X96" s="217"/>
      <c r="Y96" s="217"/>
      <c r="Z96" s="213"/>
      <c r="AA96" s="215"/>
      <c r="AB96" s="215"/>
      <c r="AC96" s="217"/>
      <c r="AD96" s="217"/>
      <c r="AE96" s="213"/>
      <c r="AF96" s="215"/>
      <c r="AG96" s="215"/>
      <c r="AH96" s="217"/>
      <c r="AI96" s="217"/>
      <c r="AJ96" s="213"/>
    </row>
    <row r="97" spans="1:36" ht="16">
      <c r="A97" s="213"/>
      <c r="B97" s="214"/>
      <c r="C97" s="215"/>
      <c r="D97" s="217"/>
      <c r="E97" s="217"/>
      <c r="F97" s="213"/>
      <c r="G97" s="214"/>
      <c r="H97" s="215"/>
      <c r="I97" s="217"/>
      <c r="J97" s="217"/>
      <c r="K97" s="213"/>
      <c r="L97" s="215"/>
      <c r="M97" s="215"/>
      <c r="N97" s="217"/>
      <c r="O97" s="217"/>
      <c r="P97" s="213"/>
      <c r="Q97" s="215"/>
      <c r="R97" s="215"/>
      <c r="S97" s="217"/>
      <c r="T97" s="217"/>
      <c r="U97" s="213"/>
      <c r="V97" s="215"/>
      <c r="W97" s="215"/>
      <c r="X97" s="217"/>
      <c r="Y97" s="217"/>
      <c r="Z97" s="213"/>
      <c r="AA97" s="215"/>
      <c r="AB97" s="215"/>
      <c r="AC97" s="217"/>
      <c r="AD97" s="217"/>
      <c r="AE97" s="213"/>
      <c r="AF97" s="215"/>
      <c r="AG97" s="215"/>
      <c r="AH97" s="217"/>
      <c r="AI97" s="217"/>
      <c r="AJ97" s="213"/>
    </row>
    <row r="98" spans="1:36" ht="16">
      <c r="A98" s="213"/>
      <c r="B98" s="214"/>
      <c r="C98" s="215"/>
      <c r="D98" s="217"/>
      <c r="E98" s="217"/>
      <c r="F98" s="213"/>
      <c r="G98" s="214"/>
      <c r="H98" s="215"/>
      <c r="I98" s="217"/>
      <c r="J98" s="217"/>
      <c r="K98" s="213"/>
      <c r="L98" s="215"/>
      <c r="M98" s="215"/>
      <c r="N98" s="217"/>
      <c r="O98" s="217"/>
      <c r="P98" s="213"/>
      <c r="Q98" s="215"/>
      <c r="R98" s="215"/>
      <c r="S98" s="217"/>
      <c r="T98" s="217"/>
      <c r="U98" s="213"/>
      <c r="V98" s="215"/>
      <c r="W98" s="215"/>
      <c r="X98" s="217"/>
      <c r="Y98" s="217"/>
      <c r="Z98" s="213"/>
      <c r="AA98" s="215"/>
      <c r="AB98" s="215"/>
      <c r="AC98" s="217"/>
      <c r="AD98" s="217"/>
      <c r="AE98" s="213"/>
      <c r="AF98" s="215"/>
      <c r="AG98" s="215"/>
      <c r="AH98" s="217"/>
      <c r="AI98" s="217"/>
      <c r="AJ98" s="213"/>
    </row>
    <row r="99" spans="1:36" ht="16">
      <c r="A99" s="213"/>
      <c r="B99" s="214"/>
      <c r="C99" s="215"/>
      <c r="D99" s="217"/>
      <c r="E99" s="217"/>
      <c r="F99" s="213"/>
      <c r="G99" s="214"/>
      <c r="H99" s="215"/>
      <c r="I99" s="218"/>
      <c r="J99" s="219"/>
      <c r="K99" s="213"/>
      <c r="L99" s="215"/>
      <c r="M99" s="215"/>
      <c r="N99" s="220"/>
      <c r="O99" s="220"/>
      <c r="P99" s="213"/>
      <c r="Q99" s="215"/>
      <c r="R99" s="215"/>
      <c r="S99" s="220"/>
      <c r="T99" s="220"/>
      <c r="U99" s="213"/>
      <c r="V99" s="215"/>
      <c r="W99" s="215"/>
      <c r="X99" s="220"/>
      <c r="Y99" s="220"/>
      <c r="Z99" s="213"/>
      <c r="AA99" s="215"/>
      <c r="AB99" s="215"/>
      <c r="AC99" s="221"/>
      <c r="AD99" s="221"/>
      <c r="AE99" s="213"/>
      <c r="AF99" s="215"/>
      <c r="AG99" s="215"/>
      <c r="AH99" s="220"/>
      <c r="AI99" s="220"/>
      <c r="AJ99" s="213"/>
    </row>
  </sheetData>
  <mergeCells count="14">
    <mergeCell ref="B1:E1"/>
    <mergeCell ref="L1:O1"/>
    <mergeCell ref="V1:Y1"/>
    <mergeCell ref="AF1:AI1"/>
    <mergeCell ref="B2:E2"/>
    <mergeCell ref="L2:O2"/>
    <mergeCell ref="V2:Y2"/>
    <mergeCell ref="AF2:AI2"/>
    <mergeCell ref="G1:J1"/>
    <mergeCell ref="G2:J2"/>
    <mergeCell ref="Q1:T1"/>
    <mergeCell ref="Q2:T2"/>
    <mergeCell ref="AA1:AD1"/>
    <mergeCell ref="AA2:AD2"/>
  </mergeCells>
  <hyperlinks>
    <hyperlink ref="D4" r:id="rId1" display="https://www.linkedin.com/learning/communication-tips-for-pitching-to-investors?trk=ondemandfile" xr:uid="{00000000-0004-0000-1B00-000000000000}"/>
    <hyperlink ref="E4" r:id="rId2" display="https://www.linkedin.com/learning/paths/create-a-successful-pitch-for-investors?trk=ondemandfile" xr:uid="{00000000-0004-0000-1B00-000001000000}"/>
    <hyperlink ref="N4" r:id="rId3" display="https://www.linkedin.com/learning/agile-en-accion-impulsar-reuniones-agiles-y-productivas?trk=ondemandfile" xr:uid="{00000000-0004-0000-1B00-000002000000}"/>
    <hyperlink ref="O4" r:id="rId4" display="https://www.linkedin.com/learning/paths/mejora-los-disenos-de-tus-presentaciones?trk=ondemandfile" xr:uid="{00000000-0004-0000-1B00-000003000000}"/>
    <hyperlink ref="S4" r:id="rId5" display="https://www.linkedin.com/learning/besprechungen-moderieren?trk=ondemandfile" xr:uid="{00000000-0004-0000-1B00-000004000000}"/>
    <hyperlink ref="T4" r:id="rId6" display="https://www.linkedin.com/learning/paths/besser-prasentieren?trk=ondemandfile" xr:uid="{00000000-0004-0000-1B00-000005000000}"/>
    <hyperlink ref="X4" r:id="rId7" display="https://www.linkedin.com/learning/powerpoint-2016?trk=ondemandfile" xr:uid="{00000000-0004-0000-1B00-000006000000}"/>
    <hyperlink ref="AH4" r:id="rId8" display="https://www.linkedin.com/learning/powerpoint-2013-essential-training-3?trk=ondemandfile" xr:uid="{00000000-0004-0000-1B00-000007000000}"/>
    <hyperlink ref="D5" r:id="rId9" display="https://www.linkedin.com/learning/common-meeting-problems?trk=ondemandfile" xr:uid="{00000000-0004-0000-1B00-000008000000}"/>
    <hyperlink ref="E5" r:id="rId10" display="https://www.linkedin.com/learning/paths/create-and-deliver-engaging-presentations?trk=ondemandfile" xr:uid="{00000000-0004-0000-1B00-000009000000}"/>
    <hyperlink ref="N5" r:id="rId11" display="https://www.linkedin.com/learning/aprende-powerpoint-office-365-microsoft-365?trk=contentmappingfile" xr:uid="{00000000-0004-0000-1B00-00000A000000}"/>
    <hyperlink ref="O5" r:id="rId12" display="https://www.linkedin.com/learning/paths/mejora-tus-dotes-de-presentacion-orales-en-publico?trk=ondemandfile" xr:uid="{00000000-0004-0000-1B00-00000B000000}"/>
    <hyperlink ref="S5" r:id="rId13" display="https://www.linkedin.com/learning/bessere-foliengestaltung-in-powerpoint-tipps-und-tricks?trk=contentmappingfile" xr:uid="{00000000-0004-0000-1B00-00000C000000}"/>
    <hyperlink ref="T5" r:id="rId14" display="https://www.linkedin.com/learning/paths/ihr-gestalterisches-auge-schaerfen?trk=ondemandfile" xr:uid="{00000000-0004-0000-1B00-00000D000000}"/>
    <hyperlink ref="X5" r:id="rId15" display="https://www.linkedin.com/learning/learning-powerpoint-2016?trk=ondemandfile" xr:uid="{00000000-0004-0000-1B00-00000E000000}"/>
    <hyperlink ref="AH5" r:id="rId16" display="https://www.linkedin.com/learning/4af0b126-85d8-32a0-9225-43a79661e3a8?trk=ondemandfile" xr:uid="{00000000-0004-0000-1B00-00000F000000}"/>
    <hyperlink ref="D6" r:id="rId17" display="https://www.linkedin.com/learning/creating-a-meeting-agenda?trk=ondemandfile" xr:uid="{00000000-0004-0000-1B00-000010000000}"/>
    <hyperlink ref="E6" r:id="rId18" display="https://www.linkedin.com/learning/paths/develop-your-presentation-skills?trk=ondemandfile" xr:uid="{00000000-0004-0000-1B00-000011000000}"/>
    <hyperlink ref="N6" r:id="rId19" display="https://www.linkedin.com/learning/00-aprende-powerpoint-2016?trk=ondemandfile" xr:uid="{00000000-0004-0000-1B00-000012000000}"/>
    <hyperlink ref="O6" r:id="rId20" display="https://www.linkedin.com/learning/paths/mejora-la-comunicacion-en-el-ambito-empresarial?trk=ondemandfile" xr:uid="{00000000-0004-0000-1B00-000013000000}"/>
    <hyperlink ref="S6" r:id="rId21" display="https://www.linkedin.com/learning/00-auftritt-weekly?trk=ondemandfile" xr:uid="{00000000-0004-0000-1B00-000014000000}"/>
    <hyperlink ref="T6" r:id="rId22" display="https://www.linkedin.com/learning/paths/powerpoint-2016-expert-in-werden?trk=ondemandfile" xr:uid="{00000000-0004-0000-1B00-000015000000}"/>
    <hyperlink ref="X6" r:id="rId23" display="https://www.linkedin.com/learning/powerpoint-2016-essential-training-3?trk=ondemandfile" xr:uid="{00000000-0004-0000-1B00-000016000000}"/>
    <hyperlink ref="AH6" r:id="rId24" display="https://www.linkedin.com/learning/86096956-705e-3ba6-94e0-77d08363a1a0?trk=ondemandfile" xr:uid="{00000000-0004-0000-1B00-000017000000}"/>
    <hyperlink ref="D7" r:id="rId25" display="https://www.linkedin.com/learning/leading-productive-meetings-2018?trk=ondemandfile" xr:uid="{00000000-0004-0000-1B00-000018000000}"/>
    <hyperlink ref="E7" r:id="rId26" display="https://www.linkedin.com/learning/paths/getting-started-with-microsoft-powerpoint?trk=ondemandfile" xr:uid="{00000000-0004-0000-1B00-000019000000}"/>
    <hyperlink ref="N7" r:id="rId27" display="https://www.linkedin.com/learning/como-desarrollar-tu-elevator-pitch?trk=ondemandfile" xr:uid="{00000000-0004-0000-1B00-00001A000000}"/>
    <hyperlink ref="S7" r:id="rId28" display="https://www.linkedin.com/learning/data-science-lernen-storytelling-mit-daten?trk=ondemandfile" xr:uid="{00000000-0004-0000-1B00-00001B000000}"/>
    <hyperlink ref="X7" r:id="rId29" display="https://www.linkedin.com/learning/powerpoint-2019-essential-training-the-basics-2?trk=contentmappingfile" xr:uid="{00000000-0004-0000-1B00-00001C000000}"/>
    <hyperlink ref="AH7" r:id="rId30" display="https://www.linkedin.com/learning/4af0b126-85d8-32a0-9225-43a79661e3a8-2?trk=ondemandfile" xr:uid="{00000000-0004-0000-1B00-00001D000000}"/>
    <hyperlink ref="D8" r:id="rId31" display="https://www.linkedin.com/learning/facilitation-skills-for-managers-and-leaders?trk=ondemandfile" xr:uid="{00000000-0004-0000-1B00-00001E000000}"/>
    <hyperlink ref="E8" r:id="rId32" display="https://www.linkedin.com/learning/paths/improve-your-presentation-skills?trk=ondemandfile" xr:uid="{00000000-0004-0000-1B00-00001F000000}"/>
    <hyperlink ref="N8" r:id="rId33" display="https://www.linkedin.com/learning/c-mo-dise-ar-una-presentaci-n?trk=ondemandfile" xr:uid="{00000000-0004-0000-1B00-000020000000}"/>
    <hyperlink ref="S8" r:id="rId34" display="https://www.linkedin.com/learning/die-7-schlimmsten-kommunikationsfehler?trk=contentmappingfile" xr:uid="{00000000-0004-0000-1B00-000021000000}"/>
    <hyperlink ref="X8" r:id="rId35" display="https://www.linkedin.com/learning/powerpoint-2013-2?trk=ondemandfile" xr:uid="{00000000-0004-0000-1B00-000022000000}"/>
    <hyperlink ref="AH8" r:id="rId36" display="https://www.linkedin.com/learning/powerpoint-2019-essential-training-2?trk=ondemandfile" xr:uid="{00000000-0004-0000-1B00-000023000000}"/>
    <hyperlink ref="D9" r:id="rId37" display="https://www.linkedin.com/learning/graphic-facilitation-for-productive-team-meetings?trk=ondemandfile" xr:uid="{00000000-0004-0000-1B00-000024000000}"/>
    <hyperlink ref="E9" r:id="rId38" display="https://www.linkedin.com/learning/paths/master-microsoft-powerpoint?trk=ondemandfile" xr:uid="{00000000-0004-0000-1B00-000025000000}"/>
    <hyperlink ref="N9" r:id="rId39" display="https://www.linkedin.com/learning/como-liderar-reuniones-individuales-productivas?trk=ondemandfile" xr:uid="{00000000-0004-0000-1B00-000026000000}"/>
    <hyperlink ref="S9" r:id="rId40" display="https://www.linkedin.com/learning/die-erfolgreiche-verkaufsprasentation?trk=ondemandfile" xr:uid="{00000000-0004-0000-1B00-000027000000}"/>
    <hyperlink ref="X9" r:id="rId41" display="https://www.linkedin.com/learning/microsoft-365-powerpoint-essential-training-the-basics?trk=contentmappingfile" xr:uid="{00000000-0004-0000-1B00-000028000000}"/>
    <hyperlink ref="AH9" r:id="rId42" display="https://www.linkedin.com/learning/powerpoint-essential-training-office-365-microsoft-365-2?trk=contentmappingfile" xr:uid="{00000000-0004-0000-1B00-000029000000}"/>
    <hyperlink ref="D10" r:id="rId43" display="https://www.linkedin.com/learning/executive-presence-on-video-conference-calls?trk=ondemandfile" xr:uid="{00000000-0004-0000-1B00-00002A000000}"/>
    <hyperlink ref="E10" r:id="rId44" display="https://www.linkedin.com/learning/paths/visual-communication-for-business-professionals?trk=ondemandfile" xr:uid="{00000000-0004-0000-1B00-00002B000000}"/>
    <hyperlink ref="N10" r:id="rId45" display="https://www.linkedin.com/learning/como-liderar-reuniones-productivas?trk=ondemandfile" xr:uid="{00000000-0004-0000-1B00-00002C000000}"/>
    <hyperlink ref="S10" r:id="rId46" display="https://www.linkedin.com/learning/eloquenz-fur-fuhrungskrafte?trk=ondemandfile" xr:uid="{00000000-0004-0000-1B00-00002D000000}"/>
    <hyperlink ref="X10" r:id="rId47" display="https://www.linkedin.com/learning/public-speaking-foundations-3?trk=ondemandfile" xr:uid="{00000000-0004-0000-1B00-00002E000000}"/>
    <hyperlink ref="AH10" r:id="rId48" display="https://www.linkedin.com/learning/public-speaking-foundations-4?trk=ondemandfile" xr:uid="{00000000-0004-0000-1B00-00002F000000}"/>
    <hyperlink ref="D11" r:id="rId49" display="https://www.linkedin.com/learning/establishing-credibility-as-a-speaker?trk=ondemandfile" xr:uid="{00000000-0004-0000-1B00-000030000000}"/>
    <hyperlink ref="N11" r:id="rId50" display="https://www.linkedin.com/learning/como-prepararse-para-presentar-en-publico?trk=contentmappingfile" xr:uid="{00000000-0004-0000-1B00-000031000000}"/>
    <hyperlink ref="S11" r:id="rId51" display="https://www.linkedin.com/learning/00-rhetorik?trk=ondemandfile" xr:uid="{00000000-0004-0000-1B00-000032000000}"/>
    <hyperlink ref="X11" r:id="rId52" display="https://www.linkedin.com/learning/learning-to-be-assertive-14827737?trk=contentmappingfile" xr:uid="{00000000-0004-0000-1B00-000033000000}"/>
    <hyperlink ref="AH11" r:id="rId53" display="https://www.linkedin.com/learning/business-english-mastering-online-meetings-16136133?trk=contentmappingfile" xr:uid="{00000000-0004-0000-1B00-000034000000}"/>
    <hyperlink ref="D12" r:id="rId54" display="https://www.linkedin.com/learning/learning-powerpoint-2019?trk=ondemandfile" xr:uid="{00000000-0004-0000-1B00-000035000000}"/>
    <hyperlink ref="N12" r:id="rId55" display="https://www.linkedin.com/learning/c-mo-presentar-y-enganchar-a-tu-p-blico?trk=ondemandfile" xr:uid="{00000000-0004-0000-1B00-000036000000}"/>
    <hyperlink ref="S12" r:id="rId56" display="https://www.linkedin.com/learning/das-einmaleins-des-guten-designs-pr-sentationen?trk=ondemandfile" xr:uid="{00000000-0004-0000-1B00-000037000000}"/>
    <hyperlink ref="X12" r:id="rId57" display="https://www.linkedin.com/learning/business-english-foundations-making-presentations?trk=contentmappingfile" xr:uid="{00000000-0004-0000-1B00-000038000000}"/>
    <hyperlink ref="AH12" r:id="rId58" display="https://www.linkedin.com/learning/how-to-present-and-stay-on-point-4?trk=ondemandfile" xr:uid="{00000000-0004-0000-1B00-000039000000}"/>
    <hyperlink ref="D13" r:id="rId59" display="https://www.linkedin.com/learning/managing-meetings?trk=ondemandfile" xr:uid="{00000000-0004-0000-1B00-00003A000000}"/>
    <hyperlink ref="N13" r:id="rId60" display="https://www.linkedin.com/learning/00-communicating-with-confidence?trk=ondemandfile" xr:uid="{00000000-0004-0000-1B00-00003B000000}"/>
    <hyperlink ref="S13" r:id="rId61" display="https://www.linkedin.com/learning/datenviz?trk=ondemandfile" xr:uid="{00000000-0004-0000-1B00-00003C000000}"/>
    <hyperlink ref="X13" r:id="rId62" display="https://www.linkedin.com/learning/managing-meetings-2?trk=ondemandfile" xr:uid="{00000000-0004-0000-1B00-00003D000000}"/>
    <hyperlink ref="AH13" r:id="rId63" display="https://www.linkedin.com/learning/4bddab10-145f-3bdb-9cc3-b64313f38564?trk=ondemandfile" xr:uid="{00000000-0004-0000-1B00-00003E000000}"/>
    <hyperlink ref="D14" r:id="rId64" display="https://www.linkedin.com/learning/overcoming-your-fear-of-public-speaking-2?trk=ondemandfile" xr:uid="{00000000-0004-0000-1B00-00003F000000}"/>
    <hyperlink ref="N14" r:id="rId65" display="https://www.linkedin.com/learning/el-arte-de-presentar-en-publico-presencial-online-e-hibrido?trk=contentmappingfile" xr:uid="{00000000-0004-0000-1B00-000040000000}"/>
    <hyperlink ref="S14" r:id="rId66" display="https://www.linkedin.com/learning/in-medieninterviews-uberzeugen?trk=ondemandfile" xr:uid="{00000000-0004-0000-1B00-000041000000}"/>
    <hyperlink ref="X14" r:id="rId67" display="https://www.linkedin.com/learning/improving-your-listening-skills-14598134?trk=contentmappingfile" xr:uid="{00000000-0004-0000-1B00-000042000000}"/>
    <hyperlink ref="AH14" r:id="rId68" display="https://www.linkedin.com/learning/agile-at-work-driving-productive-agile-meetings-3?trk=ondemandfile" xr:uid="{00000000-0004-0000-1B00-000043000000}"/>
    <hyperlink ref="D15" r:id="rId69" display="https://www.linkedin.com/learning/public-speaking-foundations-2?trk=ondemandfile" xr:uid="{00000000-0004-0000-1B00-000044000000}"/>
    <hyperlink ref="N15" r:id="rId70" display="https://www.linkedin.com/learning/00-fundamentos-de-la-curacion-de-contenidos?trk=ondemandfile" xr:uid="{00000000-0004-0000-1B00-000045000000}"/>
    <hyperlink ref="S15" r:id="rId71" display="https://www.linkedin.com/learning/kommunikation-mit-empathie?trk=contentmappingfile" xr:uid="{00000000-0004-0000-1B00-000046000000}"/>
    <hyperlink ref="X15" r:id="rId72" display="https://www.linkedin.com/learning/communicating-with-confidence-2?trk=ondemandfile" xr:uid="{00000000-0004-0000-1B00-000047000000}"/>
    <hyperlink ref="AH15" r:id="rId73" display="https://www.linkedin.com/learning/digital-body-language-9622362?trk=contentmappingfile" xr:uid="{00000000-0004-0000-1B00-000048000000}"/>
    <hyperlink ref="D16" r:id="rId74" display="https://www.linkedin.com/learning/own-your-voice-improve-presentations-and-executive-presence?trk=ondemandfile" xr:uid="{00000000-0004-0000-1B00-000049000000}"/>
    <hyperlink ref="N16" r:id="rId75" display="https://www.linkedin.com/learning/00-fundamentos-de-las-presentaciones-profesionales?trk=ondemandfile" xr:uid="{00000000-0004-0000-1B00-00004A000000}"/>
    <hyperlink ref="S16" r:id="rId76" display="https://www.linkedin.com/learning/korpersprache-fur-frauen?trk=ondemandfile" xr:uid="{00000000-0004-0000-1B00-00004B000000}"/>
    <hyperlink ref="X16" r:id="rId77" display="https://www.linkedin.com/learning/how-to-present-and-stay-on-point-3?trk=ondemandfile" xr:uid="{00000000-0004-0000-1B00-00004C000000}"/>
    <hyperlink ref="AH16" r:id="rId78" display="https://www.linkedin.com/learning/data-visualization-storytelling-2?trk=ondemandfile" xr:uid="{00000000-0004-0000-1B00-00004D000000}"/>
    <hyperlink ref="D17" r:id="rId79" display="https://www.linkedin.com/learning/public-speaking-energise-and-engage-your-audience?trk=ondemandfile" xr:uid="{00000000-0004-0000-1B00-00004E000000}"/>
    <hyperlink ref="I17" r:id="rId80" display="https://www.linkedin.com/learning/l-essentiel-de-powerpoint-microsoft-365-office-365?trk=contentmappingfile" xr:uid="{00000000-0004-0000-1B00-00004F000000}"/>
    <hyperlink ref="N17" r:id="rId81" display="https://www.linkedin.com/learning/gestiona-tu-entrevista-de-trabajo-en-videoconferencia?trk=ondemandfile" xr:uid="{00000000-0004-0000-1B00-000050000000}"/>
    <hyperlink ref="S17" r:id="rId82" display="https://www.linkedin.com/learning/00-korpersprache?trk=ondemandfile" xr:uid="{00000000-0004-0000-1B00-000051000000}"/>
    <hyperlink ref="X17" r:id="rId83" display="https://www.linkedin.com/learning/creating-and-giving-business-presentations-3?trk=ondemandfile" xr:uid="{00000000-0004-0000-1B00-000052000000}"/>
    <hyperlink ref="AH17" r:id="rId84" display="https://www.linkedin.com/learning/pitching-your-ideas-strategically-17477395?trk=contentmappingfile" xr:uid="{00000000-0004-0000-1B00-000053000000}"/>
    <hyperlink ref="D18" r:id="rId85" display="https://www.linkedin.com/learning/how-to-present-and-stay-on-point-2019?trk=ondemandfile" xr:uid="{00000000-0004-0000-1B00-000054000000}"/>
    <hyperlink ref="N18" r:id="rId86" display="https://www.linkedin.com/learning/google-presentaciones-esencial-2018?trk=contentmappingfile" xr:uid="{00000000-0004-0000-1B00-000055000000}"/>
    <hyperlink ref="S18" r:id="rId87" display="https://www.linkedin.com/learning/mehr-ausstrahlung-mit-dem-charisma-code?trk=ondemandfile" xr:uid="{00000000-0004-0000-1B00-000056000000}"/>
    <hyperlink ref="X18" r:id="rId88" display="https://www.linkedin.com/learning/getting-your-ideas-approved-2?trk=ondemandfile" xr:uid="{00000000-0004-0000-1B00-000057000000}"/>
    <hyperlink ref="AH18" r:id="rId89" display="https://www.linkedin.com/learning/creating-and-giving-business-presentations-2?trk=ondemandfile" xr:uid="{00000000-0004-0000-1B00-000058000000}"/>
    <hyperlink ref="D19" r:id="rId90" display="https://www.linkedin.com/learning/how-to-project-vocal-confidence?trk=ondemandfile" xr:uid="{00000000-0004-0000-1B00-000059000000}"/>
    <hyperlink ref="N19" r:id="rId91" display="https://www.linkedin.com/learning/herramientas-para-presentaciones-online-trucos?trk=ondemandfile" xr:uid="{00000000-0004-0000-1B00-00005A000000}"/>
    <hyperlink ref="S19" r:id="rId92" display="https://www.linkedin.com/learning/powerpoint-fur-das-web-lernen-office-365-microsoft-365?trk=ondemandfile" xr:uid="{00000000-0004-0000-1B00-00005B000000}"/>
    <hyperlink ref="AH19" r:id="rId93" display="https://www.linkedin.com/learning/managing-meetings-3?trk=ondemandfile" xr:uid="{00000000-0004-0000-1B00-00005C000000}"/>
    <hyperlink ref="D20" r:id="rId94" display="https://www.linkedin.com/learning/how-to-turn-your-entrepreneur-journey-into-a-successful-keynote-talk?trk=ondemandfile" xr:uid="{00000000-0004-0000-1B00-00005D000000}"/>
    <hyperlink ref="N20" r:id="rId95" display="https://www.linkedin.com/learning/00-powerpoint-2016-avanzado-shortcuts?trk=ondemandfile" xr:uid="{00000000-0004-0000-1B00-00005E000000}"/>
    <hyperlink ref="S20" r:id="rId96" display="https://www.linkedin.com/learning/powerpoint-365-grundkurs?trk=ondemandfile" xr:uid="{00000000-0004-0000-1B00-00005F000000}"/>
    <hyperlink ref="AH20" r:id="rId97" display="https://www.linkedin.com/learning/executive-presence-on-video-conference-calls-17489051?trk=contentmappingfile" xr:uid="{00000000-0004-0000-1B00-000060000000}"/>
    <hyperlink ref="D21" r:id="rId98" display="https://www.linkedin.com/learning/speaking-confidently-and-effectively?trk=ondemandfile" xr:uid="{00000000-0004-0000-1B00-000061000000}"/>
    <hyperlink ref="N21" r:id="rId99" display="https://www.linkedin.com/learning/25-trucos-b-sicos-para-crear-las-mejores-presentaciones-en-powerpoint?trk=ondemandfile" xr:uid="{00000000-0004-0000-1B00-000062000000}"/>
    <hyperlink ref="S21" r:id="rId100" display="https://www.linkedin.com/learning/office-365-pp-lernen?trk=ondemandfile" xr:uid="{00000000-0004-0000-1B00-000063000000}"/>
    <hyperlink ref="AH21" r:id="rId101" display="https://www.linkedin.com/learning/interviewing-techniques?trk=ondemandfile" xr:uid="{00000000-0004-0000-1B00-000064000000}"/>
    <hyperlink ref="D22" r:id="rId102" display="https://www.linkedin.com/learning/boosting-your-confidence-public-speaking-and-performance?trk=ondemandfile" xr:uid="{00000000-0004-0000-1B00-000065000000}"/>
    <hyperlink ref="N22" r:id="rId103" display="https://www.linkedin.com/learning/powerpoint-2016-b-sico?trk=ondemandfile" xr:uid="{00000000-0004-0000-1B00-000066000000}"/>
    <hyperlink ref="S22" r:id="rId104" display="https://www.linkedin.com/learning/powerpoint-3d-grafiken?trk=ondemandfile" xr:uid="{00000000-0004-0000-1B00-000067000000}"/>
    <hyperlink ref="AH22" r:id="rId105" display="https://www.linkedin.com/learning/leading-productive-meetings-4?trk=ondemandfile" xr:uid="{00000000-0004-0000-1B00-000068000000}"/>
    <hyperlink ref="D23" r:id="rId106" display="https://www.linkedin.com/learning/smart-video-production-with-your-webcam?trk=ondemandfile" xr:uid="{00000000-0004-0000-1B00-000069000000}"/>
    <hyperlink ref="N23" r:id="rId107" display="https://www.linkedin.com/learning/00-powerpoint-2016-para-mac-esencial?trk=ondemandfile" xr:uid="{00000000-0004-0000-1B00-00006A000000}"/>
    <hyperlink ref="S23" r:id="rId108" display="https://www.linkedin.com/learning/powerpoint-animationen-und-folienubergange?trk=ondemandfile" xr:uid="{00000000-0004-0000-1B00-00006B000000}"/>
    <hyperlink ref="D24" r:id="rId109" display="https://www.linkedin.com/learning/learning-lucidchart?trk=ondemandfile" xr:uid="{00000000-0004-0000-1B00-00006C000000}"/>
    <hyperlink ref="N24" r:id="rId110" display="https://www.linkedin.com/learning/00-fundamentos-de-la-gestion-de-proyectos-etica-2?trk=ondemandfile" xr:uid="{00000000-0004-0000-1B00-00006D000000}"/>
    <hyperlink ref="S24" r:id="rId111" display="https://www.linkedin.com/learning/powerpoint-audio-und-video?trk=ondemandfile" xr:uid="{00000000-0004-0000-1B00-00006E000000}"/>
    <hyperlink ref="D25" r:id="rId112" display="https://www.linkedin.com/learning/producing-screencast-videos-on-a-pc?trk=ondemandfile" xr:uid="{00000000-0004-0000-1B00-00006F000000}"/>
    <hyperlink ref="N25" r:id="rId113" display="https://www.linkedin.com/learning/00-powerpoint-2019-esencial?trk=ondemandfile" xr:uid="{00000000-0004-0000-1B00-000070000000}"/>
    <hyperlink ref="S25" r:id="rId114" display="https://www.linkedin.com/learning/powerpoint-daten-aus-excel-bernehmen?trk=ondemandfile" xr:uid="{00000000-0004-0000-1B00-000071000000}"/>
    <hyperlink ref="D26" r:id="rId115" display="https://www.linkedin.com/learning/business-analysis-essential-facilitation-and-workshop-skills?trk=ondemandfile" xr:uid="{00000000-0004-0000-1B00-000072000000}"/>
    <hyperlink ref="I26" r:id="rId116" display="https://www.linkedin.com/learning/powerpoint-astuces-rapides-microsoft-365-office-365?trk=contentmappingfile" xr:uid="{00000000-0004-0000-1B00-000073000000}"/>
    <hyperlink ref="N26" r:id="rId117" display="https://www.linkedin.com/learning/00-powerpoint-2019-para-mac-esencial?trk=ondemandfile" xr:uid="{00000000-0004-0000-1B00-000074000000}"/>
    <hyperlink ref="S26" r:id="rId118" display="https://www.linkedin.com/learning/powerpoint-diagramme?trk=ondemandfile" xr:uid="{00000000-0004-0000-1B00-000075000000}"/>
    <hyperlink ref="D27" r:id="rId119" display="https://www.linkedin.com/learning/engaging-your-virtual-audience?trk=ondemandfile" xr:uid="{00000000-0004-0000-1B00-000076000000}"/>
    <hyperlink ref="I27" r:id="rId120" display="https://www.linkedin.com/learning/powerpoint-creer-des-graphiques-pour-les-reseaux-sociaux-microsoft-365-office-365?trk=contentmappingfile" xr:uid="{00000000-0004-0000-1B00-000077000000}"/>
    <hyperlink ref="N27" r:id="rId121" display="https://www.linkedin.com/learning/powerpoint-esencial-office-365-microsoft-365?trk=contentmappingfile" xr:uid="{00000000-0004-0000-1B00-000078000000}"/>
    <hyperlink ref="S27" r:id="rId122" display="https://www.linkedin.com/learning/powerpoint-tabellen?trk=ondemandfile" xr:uid="{00000000-0004-0000-1B00-000079000000}"/>
    <hyperlink ref="D28" r:id="rId123" display="https://www.linkedin.com/learning/present-a-techie-s-guide-to-public-speaking?trk=ondemandfile" xr:uid="{00000000-0004-0000-1B00-00007A000000}"/>
    <hyperlink ref="N28" r:id="rId124" display="https://www.linkedin.com/learning/powerpoint-para-principiantes-preparar-una-presentacion-365-2019?trk=contentmappingfile" xr:uid="{00000000-0004-0000-1B00-00007B000000}"/>
    <hyperlink ref="S28" r:id="rId125" display="https://www.linkedin.com/learning/powerpoint-tipps-tricks-techniken-365-2019?trk=ondemandfile" xr:uid="{00000000-0004-0000-1B00-00007C000000}"/>
    <hyperlink ref="D29" r:id="rId126" display="https://www.linkedin.com/learning/powerpoint-2019-essential-training?trk=ondemandfile" xr:uid="{00000000-0004-0000-1B00-00007D000000}"/>
    <hyperlink ref="N29" r:id="rId127" display="https://www.linkedin.com/learning/powerpoint-animaciones?trk=ondemandfile" xr:uid="{00000000-0004-0000-1B00-00007E000000}"/>
    <hyperlink ref="S29" r:id="rId128" display="https://www.linkedin.com/learning/powerpoint-visualisierung?trk=ondemandfile" xr:uid="{00000000-0004-0000-1B00-00007F000000}"/>
    <hyperlink ref="D30" r:id="rId129" display="https://www.linkedin.com/learning/impromptu-speaking?trk=ondemandfile" xr:uid="{00000000-0004-0000-1B00-000080000000}"/>
    <hyperlink ref="N30" r:id="rId130" display="https://www.linkedin.com/learning/powerpoint-trucos-office-365-microsoft-365?trk=contentmappingfile" xr:uid="{00000000-0004-0000-1B00-000081000000}"/>
    <hyperlink ref="S30" r:id="rId131" display="https://www.linkedin.com/learning/powerpoint-tipps-fur-eilige?trk=ondemandfile" xr:uid="{00000000-0004-0000-1B00-000082000000}"/>
    <hyperlink ref="D31" r:id="rId132" display="https://www.linkedin.com/learning/powerpoint-8-easy-ways-to-make-your-presentations-look-better?trk=ondemandfile" xr:uid="{00000000-0004-0000-1B00-000083000000}"/>
    <hyperlink ref="N31" r:id="rId133" display="https://www.linkedin.com/learning/presentaciones-efectivas-con-el-ipad?trk=ondemandfile" xr:uid="{00000000-0004-0000-1B00-000084000000}"/>
    <hyperlink ref="S31" r:id="rId134" display="https://www.linkedin.com/learning/fragen-in-prasentationen?trk=ondemandfile" xr:uid="{00000000-0004-0000-1B00-000085000000}"/>
    <hyperlink ref="D32" r:id="rId135" display="https://www.linkedin.com/learning/data-driven-presentations-with-excel-and-powerpoint-365-2019?trk=ondemandfile" xr:uid="{00000000-0004-0000-1B00-000086000000}"/>
    <hyperlink ref="N32" r:id="rId136" display="https://www.linkedin.com/learning/reuniones-eficaces?trk=contentmappingfile" xr:uid="{00000000-0004-0000-1B00-000087000000}"/>
    <hyperlink ref="S32" r:id="rId137" display="https://www.linkedin.com/learning/how-to-present-and-stay-on-point-2?trk=ondemandfile" xr:uid="{00000000-0004-0000-1B00-000088000000}"/>
    <hyperlink ref="D33" r:id="rId138" display="https://www.linkedin.com/learning/creating-and-giving-business-presentations?trk=ondemandfile" xr:uid="{00000000-0004-0000-1B00-000089000000}"/>
    <hyperlink ref="S33" r:id="rId139" display="https://www.linkedin.com/learning/00-ueberzeugpsych?trk=ondemandfile" xr:uid="{00000000-0004-0000-1B00-00008A000000}"/>
    <hyperlink ref="D34" r:id="rId140" display="https://www.linkedin.com/learning/making-great-sales-presentations?trk=ondemandfile" xr:uid="{00000000-0004-0000-1B00-00008B000000}"/>
    <hyperlink ref="S34" r:id="rId141" display="https://www.linkedin.com/learning/rede-vortrag-prasentation-die-buhnen-basics?trk=ondemandfile" xr:uid="{00000000-0004-0000-1B00-00008C000000}"/>
    <hyperlink ref="D35" r:id="rId142" display="https://www.linkedin.com/learning/meeting-facilitation?trk=ondemandfile" xr:uid="{00000000-0004-0000-1B00-00008D000000}"/>
    <hyperlink ref="S35" r:id="rId143" display="https://www.linkedin.com/learning/00-vortraginhalt?trk=ondemandfile" xr:uid="{00000000-0004-0000-1B00-00008E000000}"/>
    <hyperlink ref="D36" r:id="rId144" display="https://www.linkedin.com/learning/preparing-for-successful-communication?trk=ondemandfile" xr:uid="{00000000-0004-0000-1B00-00008F000000}"/>
    <hyperlink ref="S36" r:id="rId145" display="https://www.linkedin.com/learning/00-vortrag-form?trk=ondemandfile" xr:uid="{00000000-0004-0000-1B00-000090000000}"/>
    <hyperlink ref="D37" r:id="rId146" display="https://www.linkedin.com/learning/workshop-facilitation?trk=ondemandfile" xr:uid="{00000000-0004-0000-1B00-000091000000}"/>
    <hyperlink ref="I37" r:id="rId147" display="https://www.linkedin.com/learning/travailler-sa-repartie?trk=contentmappingfile" xr:uid="{00000000-0004-0000-1B00-000092000000}"/>
    <hyperlink ref="S37" r:id="rId148" display="https://www.linkedin.com/learning/rhetorik-mit-argumenten-uberzeugen?trk=ondemandfile" xr:uid="{00000000-0004-0000-1B00-000093000000}"/>
    <hyperlink ref="D38" r:id="rId149" display="https://www.linkedin.com/learning/managing-your-anxiety-while-presenting?trk=ondemandfile" xr:uid="{00000000-0004-0000-1B00-000094000000}"/>
    <hyperlink ref="S38" r:id="rId150" display="https://www.linkedin.com/learning/schlagfertigkeit-fur-fortgeschrittene?trk=ondemandfile" xr:uid="{00000000-0004-0000-1B00-000095000000}"/>
    <hyperlink ref="D39" r:id="rId151" display="https://www.linkedin.com/learning/connecting-with-your-audience-using-video?trk=ondemandfile" xr:uid="{00000000-0004-0000-1B00-000096000000}"/>
    <hyperlink ref="S39" r:id="rId152" display="https://www.linkedin.com/learning/schwierige-sachverhalte-einfach-vermitteln?trk=contentmappingfile" xr:uid="{00000000-0004-0000-1B00-000097000000}"/>
    <hyperlink ref="D40" r:id="rId153" display="https://www.linkedin.com/learning/how-to-create-and-run-a-brilliant-remote-workshop?trk=ondemandfile" xr:uid="{00000000-0004-0000-1B00-000098000000}"/>
    <hyperlink ref="S40" r:id="rId154" display="https://www.linkedin.com/learning/souveran-auftreten-und-uberzeugend-kommunizieren?trk=contentmappingfile" xr:uid="{00000000-0004-0000-1B00-000099000000}"/>
    <hyperlink ref="D41" r:id="rId155" display="https://www.linkedin.com/learning/communicating-with-confidence?trk=ondemandfile" xr:uid="{00000000-0004-0000-1B00-00009A000000}"/>
    <hyperlink ref="S41" r:id="rId156" display="https://www.linkedin.com/learning/00-spannung?trk=ondemandfile" xr:uid="{00000000-0004-0000-1B00-00009B000000}"/>
    <hyperlink ref="D42" r:id="rId157" display="https://www.linkedin.com/learning/17-pr-mistakes-to-avoid?trk=ondemandfile" xr:uid="{00000000-0004-0000-1B00-00009C000000}"/>
    <hyperlink ref="S42" r:id="rId158" display="https://www.linkedin.com/learning/sprechen-wie-ein-profi?trk=ondemandfile" xr:uid="{00000000-0004-0000-1B00-00009D000000}"/>
    <hyperlink ref="D43" r:id="rId159" display="https://www.linkedin.com/learning/finding-your-idea-hook?trk=ondemandfile" xr:uid="{00000000-0004-0000-1B00-00009E000000}"/>
    <hyperlink ref="S43" r:id="rId160" display="https://www.linkedin.com/learning/storytelling-fur-fuhrungskrafte?trk=ondemandfile" xr:uid="{00000000-0004-0000-1B00-00009F000000}"/>
    <hyperlink ref="D44" r:id="rId161" display="https://www.linkedin.com/learning/presenting-to-senior-executives?trk=ondemandfile" xr:uid="{00000000-0004-0000-1B00-0000A0000000}"/>
    <hyperlink ref="S44" r:id="rId162" display="https://www.linkedin.com/learning/webinare-gestalten-und-durchfuhren?trk=ondemandfile" xr:uid="{00000000-0004-0000-1B00-0000A1000000}"/>
    <hyperlink ref="D45" r:id="rId163" display="https://www.linkedin.com/learning/how-to-own-a-room?trk=ondemandfile" xr:uid="{00000000-0004-0000-1B00-0000A2000000}"/>
    <hyperlink ref="S45" r:id="rId164" display="https://www.linkedin.com/learning/zahlen-spannend-prasentieren?trk=contentmappingfile" xr:uid="{00000000-0004-0000-1B00-0000A3000000}"/>
    <hyperlink ref="D46" r:id="rId165" display="https://www.linkedin.com/learning/master-confident-presentations?trk=ondemandfile" xr:uid="{00000000-0004-0000-1B00-0000A4000000}"/>
    <hyperlink ref="D47" r:id="rId166" display="https://www.linkedin.com/learning/powerpoint-design-savvy?trk=ondemandfile" xr:uid="{00000000-0004-0000-1B00-0000A5000000}"/>
    <hyperlink ref="D48" r:id="rId167" display="https://www.linkedin.com/learning/shane-snow-on-storytelling?trk=ondemandfile" xr:uid="{00000000-0004-0000-1B00-0000A6000000}"/>
    <hyperlink ref="D49" r:id="rId168" display="https://www.linkedin.com/learning/delivery-tips-for-speaking-in-public?trk=ondemandfile" xr:uid="{00000000-0004-0000-1B00-0000A7000000}"/>
    <hyperlink ref="D50" r:id="rId169" display="https://www.linkedin.com/learning/presentation-tips-weekly?trk=ondemandfile" xr:uid="{00000000-0004-0000-1B00-0000A8000000}"/>
    <hyperlink ref="D51" r:id="rId170" display="https://www.linkedin.com/learning/how-to-stand-out-remotely?trk=ondemandfile" xr:uid="{00000000-0004-0000-1B00-0000A9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Click and enter a value from range 'Competency Titles'!A1:A27" xr:uid="{00000000-0002-0000-1B00-000000000000}">
          <x14:formula1>
            <xm:f>#REF!</xm:f>
          </x14:formula1>
          <xm:sqref>B1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C27BA0"/>
    <outlinePr summaryBelow="0" summaryRight="0"/>
  </sheetPr>
  <dimension ref="A1:AJ99"/>
  <sheetViews>
    <sheetView showGridLines="0" workbookViewId="0">
      <pane ySplit="3" topLeftCell="A4" activePane="bottomLeft" state="frozen"/>
      <selection pane="bottomLeft" sqref="A1:XFD1048576"/>
    </sheetView>
  </sheetViews>
  <sheetFormatPr baseColWidth="10" defaultColWidth="11.1640625" defaultRowHeight="15" customHeight="1"/>
  <cols>
    <col min="1" max="1" width="1.1640625" customWidth="1"/>
    <col min="2" max="2" width="11.1640625" customWidth="1"/>
    <col min="3" max="3" width="18.5" customWidth="1"/>
    <col min="4" max="5" width="44.5" customWidth="1"/>
    <col min="6" max="6" width="1.1640625" customWidth="1"/>
    <col min="7" max="7" width="11.1640625" customWidth="1"/>
    <col min="8" max="8" width="19.33203125" customWidth="1"/>
    <col min="9" max="10" width="44.5" customWidth="1"/>
    <col min="11" max="11" width="1.1640625" customWidth="1"/>
    <col min="12" max="12" width="11.1640625" customWidth="1"/>
    <col min="13" max="13" width="20.83203125" customWidth="1"/>
    <col min="14" max="15" width="44.5" customWidth="1"/>
    <col min="16" max="16" width="1.1640625" customWidth="1"/>
    <col min="17" max="17" width="11.1640625" customWidth="1"/>
    <col min="18" max="18" width="19.6640625" customWidth="1"/>
    <col min="19" max="20" width="44.5" customWidth="1"/>
    <col min="21" max="21" width="1.1640625" customWidth="1"/>
    <col min="23" max="23" width="18.6640625" customWidth="1"/>
    <col min="24" max="25" width="44.5" customWidth="1"/>
    <col min="26" max="26" width="1.1640625" customWidth="1"/>
    <col min="27" max="27" width="11.1640625" customWidth="1"/>
    <col min="28" max="28" width="26.6640625" customWidth="1"/>
    <col min="29" max="30" width="44.5" customWidth="1"/>
    <col min="31" max="31" width="1.1640625" customWidth="1"/>
    <col min="32" max="32" width="11.1640625" customWidth="1"/>
    <col min="33" max="33" width="21" customWidth="1"/>
    <col min="34" max="35" width="44.5" customWidth="1"/>
    <col min="36" max="36" width="1.1640625" customWidth="1"/>
  </cols>
  <sheetData>
    <row r="1" spans="1:36" ht="34.5" customHeight="1">
      <c r="A1" s="208"/>
      <c r="B1" s="230" t="s">
        <v>18</v>
      </c>
      <c r="C1" s="222"/>
      <c r="D1" s="222"/>
      <c r="E1" s="222"/>
      <c r="F1" s="208"/>
      <c r="G1" s="230" t="str">
        <f ca="1">IFERROR(__xludf.DUMMYFUNCTION("IFERROR(UNIQUE(FILTER(French!B:B,French!A:A=B1)))"),"Gestion de projet")</f>
        <v>Gestion de projet</v>
      </c>
      <c r="H1" s="222"/>
      <c r="I1" s="222"/>
      <c r="J1" s="222"/>
      <c r="K1" s="208"/>
      <c r="L1" s="230" t="str">
        <f ca="1">IFERROR(__xludf.DUMMYFUNCTION("IFERROR((UNIQUE(FILTER(Spanish!B:B,Spanish!A:A=B1))))"),"Gestión de proyectos")</f>
        <v>Gestión de proyectos</v>
      </c>
      <c r="M1" s="222"/>
      <c r="N1" s="222"/>
      <c r="O1" s="222"/>
      <c r="P1" s="208"/>
      <c r="Q1" s="230" t="str">
        <f ca="1">IFERROR(__xludf.DUMMYFUNCTION("IFERROR(UNIQUE(FILTER(German!B:B,German!A:A=B1)))"),"Projektmanagement")</f>
        <v>Projektmanagement</v>
      </c>
      <c r="R1" s="222"/>
      <c r="S1" s="222"/>
      <c r="T1" s="222"/>
      <c r="U1" s="208"/>
      <c r="V1" s="230" t="str">
        <f ca="1">IFERROR(__xludf.DUMMYFUNCTION("IFERROR(UNIQUE(FILTER(Japanese!B:B,Japanese!A:A=B1)))"),"プロジェクトマネジメント")</f>
        <v>プロジェクトマネジメント</v>
      </c>
      <c r="W1" s="222"/>
      <c r="X1" s="222"/>
      <c r="Y1" s="222"/>
      <c r="Z1" s="208"/>
      <c r="AA1" s="230" t="str">
        <f ca="1">IFERROR(__xludf.DUMMYFUNCTION("IFERROR(UNIQUE(FILTER(Portuguese!B:B,Portuguese!A:A=B1)))"),"Gestão de projetos")</f>
        <v>Gestão de projetos</v>
      </c>
      <c r="AB1" s="222"/>
      <c r="AC1" s="222"/>
      <c r="AD1" s="222"/>
      <c r="AE1" s="208"/>
      <c r="AF1" s="230" t="str">
        <f ca="1">IFERROR(__xludf.DUMMYFUNCTION("IFERROR(UNIQUE(FILTER(Mandarin!B:B,Mandarin!A:A=B1)))"),"项目管理")</f>
        <v>项目管理</v>
      </c>
      <c r="AG1" s="222"/>
      <c r="AH1" s="222"/>
      <c r="AI1" s="222"/>
      <c r="AJ1" s="208"/>
    </row>
    <row r="2" spans="1:36" ht="28" customHeight="1">
      <c r="A2" s="209"/>
      <c r="B2" s="234" t="s">
        <v>4713</v>
      </c>
      <c r="C2" s="222"/>
      <c r="D2" s="222"/>
      <c r="E2" s="222"/>
      <c r="F2" s="209"/>
      <c r="G2" s="231" t="s">
        <v>4714</v>
      </c>
      <c r="H2" s="222"/>
      <c r="I2" s="222"/>
      <c r="J2" s="222"/>
      <c r="K2" s="209"/>
      <c r="L2" s="235" t="s">
        <v>4715</v>
      </c>
      <c r="M2" s="222"/>
      <c r="N2" s="222"/>
      <c r="O2" s="222"/>
      <c r="P2" s="209"/>
      <c r="Q2" s="232" t="s">
        <v>4716</v>
      </c>
      <c r="R2" s="222"/>
      <c r="S2" s="222"/>
      <c r="T2" s="222"/>
      <c r="U2" s="209"/>
      <c r="V2" s="236" t="s">
        <v>4717</v>
      </c>
      <c r="W2" s="222"/>
      <c r="X2" s="222"/>
      <c r="Y2" s="222"/>
      <c r="Z2" s="209"/>
      <c r="AA2" s="233" t="s">
        <v>4718</v>
      </c>
      <c r="AB2" s="222"/>
      <c r="AC2" s="222"/>
      <c r="AD2" s="222"/>
      <c r="AE2" s="209"/>
      <c r="AF2" s="237" t="s">
        <v>4719</v>
      </c>
      <c r="AG2" s="222"/>
      <c r="AH2" s="222"/>
      <c r="AI2" s="222"/>
      <c r="AJ2" s="209"/>
    </row>
    <row r="3" spans="1:36" ht="26" customHeight="1">
      <c r="A3" s="210"/>
      <c r="B3" s="211" t="str">
        <f ca="1">IFERROR(__xludf.DUMMYFUNCTION("FILTER(English!B:B,English!A:A=B1)"),"Course IDs")</f>
        <v>Course IDs</v>
      </c>
      <c r="C3" s="211" t="str">
        <f ca="1">IFERROR(__xludf.DUMMYFUNCTION("FILTER(English!C:C,English!A:A=B1)"),"Levels")</f>
        <v>Levels</v>
      </c>
      <c r="D3" s="211" t="str">
        <f ca="1">IFERROR(__xludf.DUMMYFUNCTION("FILTER(English!D:D,English!A:A=B1)"),"Courses")</f>
        <v>Courses</v>
      </c>
      <c r="E3" s="212" t="str">
        <f ca="1">IFERROR(__xludf.DUMMYFUNCTION("FILTER(English!E:E,English!A:A=B1)"),"Learning Paths")</f>
        <v>Learning Paths</v>
      </c>
      <c r="F3" s="210"/>
      <c r="G3" s="211" t="str">
        <f ca="1">IFERROR(__xludf.DUMMYFUNCTION("FILTER(French!C:C,French!B:B=G1)"),"Course IDs")</f>
        <v>Course IDs</v>
      </c>
      <c r="H3" s="211" t="str">
        <f ca="1">IFERROR(__xludf.DUMMYFUNCTION("FILTER(French!D:D,French!B:B=G1)"),"Levels")</f>
        <v>Levels</v>
      </c>
      <c r="I3" s="211" t="str">
        <f ca="1">IFERROR(__xludf.DUMMYFUNCTION("FILTER(French!E:E,French!B:B=G1)"),"Courses")</f>
        <v>Courses</v>
      </c>
      <c r="J3" s="212" t="str">
        <f ca="1">IFERROR(__xludf.DUMMYFUNCTION("FILTER(French!G:G,French!B:B=G1)"),"Learning Paths")</f>
        <v>Learning Paths</v>
      </c>
      <c r="K3" s="210"/>
      <c r="L3" s="211" t="str">
        <f ca="1">IFERROR(__xludf.DUMMYFUNCTION("FILTER(Spanish!C:C,Spanish!B:B=L1)"),"Course IDs")</f>
        <v>Course IDs</v>
      </c>
      <c r="M3" s="211" t="str">
        <f ca="1">IFERROR(__xludf.DUMMYFUNCTION("FILTER(Spanish!D:D,Spanish!B:B=L1)"),"Levels")</f>
        <v>Levels</v>
      </c>
      <c r="N3" s="211" t="str">
        <f ca="1">IFERROR(__xludf.DUMMYFUNCTION("FILTER(Spanish!E:E,Spanish!B:B=L1)"),"Courses")</f>
        <v>Courses</v>
      </c>
      <c r="O3" s="212" t="str">
        <f ca="1">IFERROR(__xludf.DUMMYFUNCTION("FILTER(Spanish!G:G,Spanish!B:B=L1)"),"Learning Paths")</f>
        <v>Learning Paths</v>
      </c>
      <c r="P3" s="210"/>
      <c r="Q3" s="211" t="str">
        <f ca="1">IFERROR(__xludf.DUMMYFUNCTION("FILTER(German!C:C,German!B:B=Q1)"),"Course IDs")</f>
        <v>Course IDs</v>
      </c>
      <c r="R3" s="211" t="str">
        <f ca="1">IFERROR(__xludf.DUMMYFUNCTION("FILTER(German!D:D,German!B:B=Q1)"),"Levels")</f>
        <v>Levels</v>
      </c>
      <c r="S3" s="211" t="str">
        <f ca="1">IFERROR(__xludf.DUMMYFUNCTION("FILTER(German!E:E,German!B:B=Q1)"),"Courses")</f>
        <v>Courses</v>
      </c>
      <c r="T3" s="212" t="str">
        <f ca="1">IFERROR(__xludf.DUMMYFUNCTION("FILTER(German!G:G,German!B:B=Q1)"),"Learning Paths")</f>
        <v>Learning Paths</v>
      </c>
      <c r="U3" s="210"/>
      <c r="V3" s="211" t="str">
        <f ca="1">IFERROR(__xludf.DUMMYFUNCTION("FILTER(Japanese!C:C,Japanese!B:B=V1)"),"Course IDs")</f>
        <v>Course IDs</v>
      </c>
      <c r="W3" s="211" t="str">
        <f ca="1">IFERROR(__xludf.DUMMYFUNCTION("FILTER(Japanese!D:D,Japanese!B:B=V1)"),"Levels")</f>
        <v>Levels</v>
      </c>
      <c r="X3" s="211" t="str">
        <f ca="1">IFERROR(__xludf.DUMMYFUNCTION("FILTER(Japanese!E:E,Japanese!B:B=V1)"),"Courses")</f>
        <v>Courses</v>
      </c>
      <c r="Y3" s="212" t="str">
        <f ca="1">IFERROR(__xludf.DUMMYFUNCTION("FILTER(Japanese!G:G,Japanese!B:B=V1)"),"Learning Paths")</f>
        <v>Learning Paths</v>
      </c>
      <c r="Z3" s="210"/>
      <c r="AA3" s="211" t="str">
        <f ca="1">IFERROR(__xludf.DUMMYFUNCTION("FILTER(Portuguese!C:C,Portuguese!B:B=AA1)"),"Course IDs")</f>
        <v>Course IDs</v>
      </c>
      <c r="AB3" s="211" t="str">
        <f ca="1">IFERROR(__xludf.DUMMYFUNCTION("FILTER(Portuguese!D:D,Portuguese!B:B=AA1)"),"Levels")</f>
        <v>Levels</v>
      </c>
      <c r="AC3" s="211" t="str">
        <f ca="1">IFERROR(__xludf.DUMMYFUNCTION("FILTER(Portuguese!E:E,Portuguese!B:B=AA1)"),"Courses")</f>
        <v>Courses</v>
      </c>
      <c r="AD3" s="212" t="str">
        <f ca="1">IFERROR(__xludf.DUMMYFUNCTION("FILTER(Portuguese!G:G,Portuguese!B:B=AA1)"),"Learning Paths")</f>
        <v>Learning Paths</v>
      </c>
      <c r="AE3" s="210"/>
      <c r="AF3" s="211" t="str">
        <f ca="1">IFERROR(__xludf.DUMMYFUNCTION("FILTER(Mandarin!C:C,Mandarin!B:B=AF1)"),"Course IDs")</f>
        <v>Course IDs</v>
      </c>
      <c r="AG3" s="211" t="str">
        <f ca="1">IFERROR(__xludf.DUMMYFUNCTION("FILTER(Mandarin!D:D,Mandarin!B:B=AF1)"),"Levels")</f>
        <v>Levels</v>
      </c>
      <c r="AH3" s="211" t="str">
        <f ca="1">IFERROR(__xludf.DUMMYFUNCTION("FILTER(Mandarin!E:E,Mandarin!B:B=AF1)"),"Courses")</f>
        <v>Courses</v>
      </c>
      <c r="AI3" s="212" t="str">
        <f ca="1">IFERROR(__xludf.DUMMYFUNCTION("FILTER(Mandarin!G:G,Mandarin!B:B=AF1)"),"Learning Paths")</f>
        <v>Learning Paths</v>
      </c>
      <c r="AJ3" s="210"/>
    </row>
    <row r="4" spans="1:36" ht="33.75" customHeight="1">
      <c r="A4" s="213"/>
      <c r="B4" s="214">
        <f ca="1">IFERROR(__xludf.DUMMYFUNCTION("""COMPUTED_VALUE"""),2818082)</f>
        <v>2818082</v>
      </c>
      <c r="C4" s="215" t="str">
        <f ca="1">IFERROR(__xludf.DUMMYFUNCTION("""COMPUTED_VALUE"""),"Intermediate")</f>
        <v>Intermediate</v>
      </c>
      <c r="D4" s="216" t="str">
        <f ca="1">IFERROR(__xludf.DUMMYFUNCTION("""COMPUTED_VALUE"""),"Lean Technology Strategy: Economic Frameworks for Portfolio and Product Management")</f>
        <v>Lean Technology Strategy: Economic Frameworks for Portfolio and Product Management</v>
      </c>
      <c r="E4" s="217" t="str">
        <f ca="1">IFERROR(__xludf.DUMMYFUNCTION("""COMPUTED_VALUE"""),"Become an Agile Project Manager")</f>
        <v>Become an Agile Project Manager</v>
      </c>
      <c r="F4" s="213"/>
      <c r="G4" s="214">
        <f ca="1">IFERROR(__xludf.DUMMYFUNCTION("""COMPUTED_VALUE"""),796896)</f>
        <v>796896</v>
      </c>
      <c r="H4" s="215" t="str">
        <f ca="1">IFERROR(__xludf.DUMMYFUNCTION("""COMPUTED_VALUE"""),"Intermediate")</f>
        <v>Intermediate</v>
      </c>
      <c r="I4" s="217" t="str">
        <f ca="1">IFERROR(__xludf.DUMMYFUNCTION("""COMPUTED_VALUE"""),"Agile au travail : Constituer une équipe agile")</f>
        <v>Agile au travail : Constituer une équipe agile</v>
      </c>
      <c r="J4" s="217" t="str">
        <f ca="1">IFERROR(__xludf.DUMMYFUNCTION("""COMPUTED_VALUE"""),"Devenir un chef de projet")</f>
        <v>Devenir un chef de projet</v>
      </c>
      <c r="K4" s="213"/>
      <c r="L4" s="215">
        <f ca="1">IFERROR(__xludf.DUMMYFUNCTION("""COMPUTED_VALUE"""),5025693)</f>
        <v>5025693</v>
      </c>
      <c r="M4" s="215" t="str">
        <f ca="1">IFERROR(__xludf.DUMMYFUNCTION("""COMPUTED_VALUE"""),"Intermediate")</f>
        <v>Intermediate</v>
      </c>
      <c r="N4" s="217" t="str">
        <f ca="1">IFERROR(__xludf.DUMMYFUNCTION("""COMPUTED_VALUE"""),"Agile en acción: Construye tu equipo ágil")</f>
        <v>Agile en acción: Construye tu equipo ágil</v>
      </c>
      <c r="O4" s="217" t="str">
        <f ca="1">IFERROR(__xludf.DUMMYFUNCTION("""COMPUTED_VALUE"""),"Conviértete en gestor de proyectos")</f>
        <v>Conviértete en gestor de proyectos</v>
      </c>
      <c r="P4" s="213"/>
      <c r="Q4" s="215">
        <f ca="1">IFERROR(__xludf.DUMMYFUNCTION("""COMPUTED_VALUE"""),5025646)</f>
        <v>5025646</v>
      </c>
      <c r="R4" s="215" t="str">
        <f ca="1">IFERROR(__xludf.DUMMYFUNCTION("""COMPUTED_VALUE"""),"Intermediate")</f>
        <v>Intermediate</v>
      </c>
      <c r="S4" s="217" t="str">
        <f ca="1">IFERROR(__xludf.DUMMYFUNCTION("""COMPUTED_VALUE"""),"Agil arbeiten: Agile Meetings produktiv durchführen")</f>
        <v>Agil arbeiten: Agile Meetings produktiv durchführen</v>
      </c>
      <c r="T4" s="217" t="str">
        <f ca="1">IFERROR(__xludf.DUMMYFUNCTION("""COMPUTED_VALUE"""),"Agile Methoden einsetzen")</f>
        <v>Agile Methoden einsetzen</v>
      </c>
      <c r="U4" s="213"/>
      <c r="V4" s="215">
        <f ca="1">IFERROR(__xludf.DUMMYFUNCTION("""COMPUTED_VALUE"""),588027)</f>
        <v>588027</v>
      </c>
      <c r="W4" s="215" t="str">
        <f ca="1">IFERROR(__xludf.DUMMYFUNCTION("""COMPUTED_VALUE"""),"Beginner, Intermediate")</f>
        <v>Beginner, Intermediate</v>
      </c>
      <c r="X4" s="217" t="str">
        <f ca="1">IFERROR(__xludf.DUMMYFUNCTION("""COMPUTED_VALUE"""),"Microsoft Project 2013 基本講座")</f>
        <v>Microsoft Project 2013 基本講座</v>
      </c>
      <c r="Y4" s="217" t="str">
        <f ca="1">IFERROR(__xludf.DUMMYFUNCTION("""COMPUTED_VALUE"""),"N/A")</f>
        <v>N/A</v>
      </c>
      <c r="Z4" s="213"/>
      <c r="AA4" s="215">
        <f ca="1">IFERROR(__xludf.DUMMYFUNCTION("""COMPUTED_VALUE"""),2928588)</f>
        <v>2928588</v>
      </c>
      <c r="AB4" s="215" t="str">
        <f ca="1">IFERROR(__xludf.DUMMYFUNCTION("""COMPUTED_VALUE"""),"Intermediate")</f>
        <v>Intermediate</v>
      </c>
      <c r="AC4" s="217" t="str">
        <f ca="1">IFERROR(__xludf.DUMMYFUNCTION("""COMPUTED_VALUE"""),"Agilidade Empresarial: Como Expandir o Scrum")</f>
        <v>Agilidade Empresarial: Como Expandir o Scrum</v>
      </c>
      <c r="AD4" s="217" t="str">
        <f ca="1">IFERROR(__xludf.DUMMYFUNCTION("""COMPUTED_VALUE"""),"Torne-se um Gestor de Projetos")</f>
        <v>Torne-se um Gestor de Projetos</v>
      </c>
      <c r="AE4" s="213"/>
      <c r="AF4" s="215">
        <f ca="1">IFERROR(__xludf.DUMMYFUNCTION("""COMPUTED_VALUE"""),5030786)</f>
        <v>5030786</v>
      </c>
      <c r="AG4" s="215" t="str">
        <f ca="1">IFERROR(__xludf.DUMMYFUNCTION("""COMPUTED_VALUE"""),"Beginner, Intermediate")</f>
        <v>Beginner, Intermediate</v>
      </c>
      <c r="AH4" s="217" t="str">
        <f ca="1">IFERROR(__xludf.DUMMYFUNCTION("""COMPUTED_VALUE"""),"Scrum 敏捷项目管理：基础篇")</f>
        <v>Scrum 敏捷项目管理：基础篇</v>
      </c>
      <c r="AI4" s="217" t="str">
        <f ca="1">IFERROR(__xludf.DUMMYFUNCTION("""COMPUTED_VALUE"""),"成为项目经理")</f>
        <v>成为项目经理</v>
      </c>
      <c r="AJ4" s="213"/>
    </row>
    <row r="5" spans="1:36" ht="30">
      <c r="A5" s="213"/>
      <c r="B5" s="214">
        <f ca="1">IFERROR(__xludf.DUMMYFUNCTION("""COMPUTED_VALUE"""),2889004)</f>
        <v>2889004</v>
      </c>
      <c r="C5" s="215" t="str">
        <f ca="1">IFERROR(__xludf.DUMMYFUNCTION("""COMPUTED_VALUE"""),"Beginner")</f>
        <v>Beginner</v>
      </c>
      <c r="D5" s="216" t="str">
        <f ca="1">IFERROR(__xludf.DUMMYFUNCTION("""COMPUTED_VALUE"""),"How to Be an Effective Project Sponsor")</f>
        <v>How to Be an Effective Project Sponsor</v>
      </c>
      <c r="E5" s="217" t="str">
        <f ca="1">IFERROR(__xludf.DUMMYFUNCTION("""COMPUTED_VALUE"""),"Become a Business Analyst")</f>
        <v>Become a Business Analyst</v>
      </c>
      <c r="F5" s="213"/>
      <c r="G5" s="214">
        <f ca="1">IFERROR(__xludf.DUMMYFUNCTION("""COMPUTED_VALUE"""),796898)</f>
        <v>796898</v>
      </c>
      <c r="H5" s="215" t="str">
        <f ca="1">IFERROR(__xludf.DUMMYFUNCTION("""COMPUTED_VALUE"""),"Intermediate")</f>
        <v>Intermediate</v>
      </c>
      <c r="I5" s="217" t="str">
        <f ca="1">IFERROR(__xludf.DUMMYFUNCTION("""COMPUTED_VALUE"""),"Agile au travail : Organiser des rétrospectives agiles efficaces")</f>
        <v>Agile au travail : Organiser des rétrospectives agiles efficaces</v>
      </c>
      <c r="J5" s="217" t="str">
        <f ca="1">IFERROR(__xludf.DUMMYFUNCTION("""COMPUTED_VALUE"""),"Devenir un assistant de chef de projet")</f>
        <v>Devenir un assistant de chef de projet</v>
      </c>
      <c r="K5" s="213"/>
      <c r="L5" s="215">
        <f ca="1">IFERROR(__xludf.DUMMYFUNCTION("""COMPUTED_VALUE"""),404104)</f>
        <v>404104</v>
      </c>
      <c r="M5" s="215" t="str">
        <f ca="1">IFERROR(__xludf.DUMMYFUNCTION("""COMPUTED_VALUE"""),"Beginner")</f>
        <v>Beginner</v>
      </c>
      <c r="N5" s="217" t="str">
        <f ca="1">IFERROR(__xludf.DUMMYFUNCTION("""COMPUTED_VALUE"""),"Aprende a usar la metodología Lean")</f>
        <v>Aprende a usar la metodología Lean</v>
      </c>
      <c r="O5" s="217" t="str">
        <f ca="1">IFERROR(__xludf.DUMMYFUNCTION("""COMPUTED_VALUE"""),"Gestiona tus proyectos con Project 216")</f>
        <v>Gestiona tus proyectos con Project 216</v>
      </c>
      <c r="P5" s="213"/>
      <c r="Q5" s="215">
        <f ca="1">IFERROR(__xludf.DUMMYFUNCTION("""COMPUTED_VALUE"""),5025649)</f>
        <v>5025649</v>
      </c>
      <c r="R5" s="215" t="str">
        <f ca="1">IFERROR(__xludf.DUMMYFUNCTION("""COMPUTED_VALUE"""),"Intermediate")</f>
        <v>Intermediate</v>
      </c>
      <c r="S5" s="217" t="str">
        <f ca="1">IFERROR(__xludf.DUMMYFUNCTION("""COMPUTED_VALUE"""),"Agil arbeiten: Besser werden mit agilen Retrospektiven")</f>
        <v>Agil arbeiten: Besser werden mit agilen Retrospektiven</v>
      </c>
      <c r="T5" s="217" t="str">
        <f ca="1">IFERROR(__xludf.DUMMYFUNCTION("""COMPUTED_VALUE"""),"Agile:r Projektmanager:in werden")</f>
        <v>Agile:r Projektmanager:in werden</v>
      </c>
      <c r="U5" s="213"/>
      <c r="V5" s="215">
        <f ca="1">IFERROR(__xludf.DUMMYFUNCTION("""COMPUTED_VALUE"""),561506)</f>
        <v>561506</v>
      </c>
      <c r="W5" s="215" t="str">
        <f ca="1">IFERROR(__xludf.DUMMYFUNCTION("""COMPUTED_VALUE"""),"Beginner, Intermediate")</f>
        <v>Beginner, Intermediate</v>
      </c>
      <c r="X5" s="217" t="str">
        <f ca="1">IFERROR(__xludf.DUMMYFUNCTION("""COMPUTED_VALUE"""),"Microsoft Project 2016 基本講座")</f>
        <v>Microsoft Project 2016 基本講座</v>
      </c>
      <c r="Y5" s="217"/>
      <c r="Z5" s="213"/>
      <c r="AA5" s="215">
        <f ca="1">IFERROR(__xludf.DUMMYFUNCTION("""COMPUTED_VALUE"""),2892558)</f>
        <v>2892558</v>
      </c>
      <c r="AB5" s="215" t="str">
        <f ca="1">IFERROR(__xludf.DUMMYFUNCTION("""COMPUTED_VALUE"""),"Beginner")</f>
        <v>Beginner</v>
      </c>
      <c r="AC5" s="217" t="str">
        <f ca="1">IFERROR(__xludf.DUMMYFUNCTION("""COMPUTED_VALUE"""),"Arquitetura de Software: Introdução à Análise de Projetos")</f>
        <v>Arquitetura de Software: Introdução à Análise de Projetos</v>
      </c>
      <c r="AD5" s="217"/>
      <c r="AE5" s="213"/>
      <c r="AF5" s="215">
        <f ca="1">IFERROR(__xludf.DUMMYFUNCTION("""COMPUTED_VALUE"""),5031247)</f>
        <v>5031247</v>
      </c>
      <c r="AG5" s="215" t="str">
        <f ca="1">IFERROR(__xludf.DUMMYFUNCTION("""COMPUTED_VALUE"""),"Advanced")</f>
        <v>Advanced</v>
      </c>
      <c r="AH5" s="217" t="str">
        <f ca="1">IFERROR(__xludf.DUMMYFUNCTION("""COMPUTED_VALUE"""),"Scrum 敏捷项目管理：高级篇")</f>
        <v>Scrum 敏捷项目管理：高级篇</v>
      </c>
      <c r="AI5" s="217"/>
      <c r="AJ5" s="213"/>
    </row>
    <row r="6" spans="1:36" ht="30">
      <c r="A6" s="213"/>
      <c r="B6" s="214">
        <f ca="1">IFERROR(__xludf.DUMMYFUNCTION("""COMPUTED_VALUE"""),704118)</f>
        <v>704118</v>
      </c>
      <c r="C6" s="215" t="str">
        <f ca="1">IFERROR(__xludf.DUMMYFUNCTION("""COMPUTED_VALUE"""),"Beginner + Intermediate")</f>
        <v>Beginner + Intermediate</v>
      </c>
      <c r="D6" s="216" t="str">
        <f ca="1">IFERROR(__xludf.DUMMYFUNCTION("""COMPUTED_VALUE"""),"Delivering Results with a Business-focused PMO")</f>
        <v>Delivering Results with a Business-focused PMO</v>
      </c>
      <c r="E6" s="217" t="str">
        <f ca="1">IFERROR(__xludf.DUMMYFUNCTION("""COMPUTED_VALUE"""),"Become a Business Intelligence Specialist")</f>
        <v>Become a Business Intelligence Specialist</v>
      </c>
      <c r="F6" s="213"/>
      <c r="G6" s="214">
        <f ca="1">IFERROR(__xludf.DUMMYFUNCTION("""COMPUTED_VALUE"""),796897)</f>
        <v>796897</v>
      </c>
      <c r="H6" s="215" t="str">
        <f ca="1">IFERROR(__xludf.DUMMYFUNCTION("""COMPUTED_VALUE"""),"Intermediate")</f>
        <v>Intermediate</v>
      </c>
      <c r="I6" s="217" t="str">
        <f ca="1">IFERROR(__xludf.DUMMYFUNCTION("""COMPUTED_VALUE"""),"Agile au travail : Organiser des réunions agiles productives")</f>
        <v>Agile au travail : Organiser des réunions agiles productives</v>
      </c>
      <c r="J6" s="217" t="str">
        <f ca="1">IFERROR(__xludf.DUMMYFUNCTION("""COMPUTED_VALUE"""),"Devenir un planificateur de projet")</f>
        <v>Devenir un planificateur de projet</v>
      </c>
      <c r="K6" s="213"/>
      <c r="L6" s="215">
        <f ca="1">IFERROR(__xludf.DUMMYFUNCTION("""COMPUTED_VALUE"""),565190)</f>
        <v>565190</v>
      </c>
      <c r="M6" s="215" t="str">
        <f ca="1">IFERROR(__xludf.DUMMYFUNCTION("""COMPUTED_VALUE"""),"Beginner")</f>
        <v>Beginner</v>
      </c>
      <c r="N6" s="217" t="str">
        <f ca="1">IFERROR(__xludf.DUMMYFUNCTION("""COMPUTED_VALUE"""),"Aprende Asana")</f>
        <v>Aprende Asana</v>
      </c>
      <c r="O6" s="217" t="str">
        <f ca="1">IFERROR(__xludf.DUMMYFUNCTION("""COMPUTED_VALUE"""),"Mejora tus dotes de liderazgo y gestión de equipos de trabajo")</f>
        <v>Mejora tus dotes de liderazgo y gestión de equipos de trabajo</v>
      </c>
      <c r="P6" s="213"/>
      <c r="Q6" s="215">
        <f ca="1">IFERROR(__xludf.DUMMYFUNCTION("""COMPUTED_VALUE"""),5025644)</f>
        <v>5025644</v>
      </c>
      <c r="R6" s="215" t="str">
        <f ca="1">IFERROR(__xludf.DUMMYFUNCTION("""COMPUTED_VALUE"""),"Intermediate")</f>
        <v>Intermediate</v>
      </c>
      <c r="S6" s="217" t="str">
        <f ca="1">IFERROR(__xludf.DUMMYFUNCTION("""COMPUTED_VALUE"""),"Agil arbeiten: Ein agiles Team aufbauen")</f>
        <v>Agil arbeiten: Ein agiles Team aufbauen</v>
      </c>
      <c r="T6" s="217" t="str">
        <f ca="1">IFERROR(__xludf.DUMMYFUNCTION("""COMPUTED_VALUE"""),"Projektkoordinator:in werden")</f>
        <v>Projektkoordinator:in werden</v>
      </c>
      <c r="U6" s="213"/>
      <c r="V6" s="215">
        <f ca="1">IFERROR(__xludf.DUMMYFUNCTION("""COMPUTED_VALUE"""),3164286)</f>
        <v>3164286</v>
      </c>
      <c r="W6" s="215" t="str">
        <f ca="1">IFERROR(__xludf.DUMMYFUNCTION("""COMPUTED_VALUE"""),"Beginner, Intermediate")</f>
        <v>Beginner, Intermediate</v>
      </c>
      <c r="X6" s="217" t="str">
        <f ca="1">IFERROR(__xludf.DUMMYFUNCTION("""COMPUTED_VALUE"""),"Microsoft Project 2021/Project Online デスクトップクライアント 基本講座")</f>
        <v>Microsoft Project 2021/Project Online デスクトップクライアント 基本講座</v>
      </c>
      <c r="Y6" s="217"/>
      <c r="Z6" s="213"/>
      <c r="AA6" s="215">
        <f ca="1">IFERROR(__xludf.DUMMYFUNCTION("""COMPUTED_VALUE"""),2929559)</f>
        <v>2929559</v>
      </c>
      <c r="AB6" s="215" t="str">
        <f ca="1">IFERROR(__xludf.DUMMYFUNCTION("""COMPUTED_VALUE"""),"All levels")</f>
        <v>All levels</v>
      </c>
      <c r="AC6" s="217" t="str">
        <f ca="1">IFERROR(__xludf.DUMMYFUNCTION("""COMPUTED_VALUE"""),"Boas Práticas para o Sucesso em Projetos Internacionais")</f>
        <v>Boas Práticas para o Sucesso em Projetos Internacionais</v>
      </c>
      <c r="AD6" s="217"/>
      <c r="AE6" s="213"/>
      <c r="AF6" s="215">
        <f ca="1">IFERROR(__xludf.DUMMYFUNCTION("""COMPUTED_VALUE"""),2812514)</f>
        <v>2812514</v>
      </c>
      <c r="AG6" s="215" t="str">
        <f ca="1">IFERROR(__xludf.DUMMYFUNCTION("""COMPUTED_VALUE"""),"Intermediate")</f>
        <v>Intermediate</v>
      </c>
      <c r="AH6" s="217" t="str">
        <f ca="1">IFERROR(__xludf.DUMMYFUNCTION("""COMPUTED_VALUE"""),"从瀑布式过渡至敏捷式项目管理")</f>
        <v>从瀑布式过渡至敏捷式项目管理</v>
      </c>
      <c r="AI6" s="217"/>
      <c r="AJ6" s="213"/>
    </row>
    <row r="7" spans="1:36" ht="33.75" customHeight="1">
      <c r="A7" s="213"/>
      <c r="B7" s="214">
        <f ca="1">IFERROR(__xludf.DUMMYFUNCTION("""COMPUTED_VALUE"""),647653)</f>
        <v>647653</v>
      </c>
      <c r="C7" s="215" t="str">
        <f ca="1">IFERROR(__xludf.DUMMYFUNCTION("""COMPUTED_VALUE"""),"Advanced")</f>
        <v>Advanced</v>
      </c>
      <c r="D7" s="216" t="str">
        <f ca="1">IFERROR(__xludf.DUMMYFUNCTION("""COMPUTED_VALUE"""),"Creating a Culture of Service")</f>
        <v>Creating a Culture of Service</v>
      </c>
      <c r="E7" s="217" t="str">
        <f ca="1">IFERROR(__xludf.DUMMYFUNCTION("""COMPUTED_VALUE"""),"Become a Government Project Manager")</f>
        <v>Become a Government Project Manager</v>
      </c>
      <c r="F7" s="213"/>
      <c r="G7" s="214">
        <f ca="1">IFERROR(__xludf.DUMMYFUNCTION("""COMPUTED_VALUE"""),796899)</f>
        <v>796899</v>
      </c>
      <c r="H7" s="215" t="str">
        <f ca="1">IFERROR(__xludf.DUMMYFUNCTION("""COMPUTED_VALUE"""),"Intermediate")</f>
        <v>Intermediate</v>
      </c>
      <c r="I7" s="217" t="str">
        <f ca="1">IFERROR(__xludf.DUMMYFUNCTION("""COMPUTED_VALUE"""),"Agile au travail : Planifier avec des user stories agiles")</f>
        <v>Agile au travail : Planifier avec des user stories agiles</v>
      </c>
      <c r="J7" s="217" t="str">
        <f ca="1">IFERROR(__xludf.DUMMYFUNCTION("""COMPUTED_VALUE"""),"Maîtriser PowerPoint (Office 365)")</f>
        <v>Maîtriser PowerPoint (Office 365)</v>
      </c>
      <c r="K7" s="213"/>
      <c r="L7" s="215">
        <f ca="1">IFERROR(__xludf.DUMMYFUNCTION("""COMPUTED_VALUE"""),2996655)</f>
        <v>2996655</v>
      </c>
      <c r="M7" s="215" t="str">
        <f ca="1">IFERROR(__xludf.DUMMYFUNCTION("""COMPUTED_VALUE"""),"All levels")</f>
        <v>All levels</v>
      </c>
      <c r="N7" s="217" t="str">
        <f ca="1">IFERROR(__xludf.DUMMYFUNCTION("""COMPUTED_VALUE"""),"Aprende las bases de las cadenas de suministro")</f>
        <v>Aprende las bases de las cadenas de suministro</v>
      </c>
      <c r="O7" s="217" t="str">
        <f ca="1">IFERROR(__xludf.DUMMYFUNCTION("""COMPUTED_VALUE"""),"Conviértete en coordinador de proyectos")</f>
        <v>Conviértete en coordinador de proyectos</v>
      </c>
      <c r="P7" s="213"/>
      <c r="Q7" s="215">
        <f ca="1">IFERROR(__xludf.DUMMYFUNCTION("""COMPUTED_VALUE"""),5025645)</f>
        <v>5025645</v>
      </c>
      <c r="R7" s="215" t="str">
        <f ca="1">IFERROR(__xludf.DUMMYFUNCTION("""COMPUTED_VALUE"""),"Intermediate")</f>
        <v>Intermediate</v>
      </c>
      <c r="S7" s="217" t="str">
        <f ca="1">IFERROR(__xludf.DUMMYFUNCTION("""COMPUTED_VALUE"""),"Agil arbeiten: Mit User Stories planen")</f>
        <v>Agil arbeiten: Mit User Stories planen</v>
      </c>
      <c r="T7" s="217" t="str">
        <f ca="1">IFERROR(__xludf.DUMMYFUNCTION("""COMPUTED_VALUE"""),"Projektmanager:in werden")</f>
        <v>Projektmanager:in werden</v>
      </c>
      <c r="U7" s="213"/>
      <c r="V7" s="215">
        <f ca="1">IFERROR(__xludf.DUMMYFUNCTION("""COMPUTED_VALUE"""),692724)</f>
        <v>692724</v>
      </c>
      <c r="W7" s="215" t="str">
        <f ca="1">IFERROR(__xludf.DUMMYFUNCTION("""COMPUTED_VALUE"""),"Beginner")</f>
        <v>Beginner</v>
      </c>
      <c r="X7" s="217" t="str">
        <f ca="1">IFERROR(__xludf.DUMMYFUNCTION("""COMPUTED_VALUE"""),"Microsoft Project 入門")</f>
        <v>Microsoft Project 入門</v>
      </c>
      <c r="Y7" s="217"/>
      <c r="Z7" s="213"/>
      <c r="AA7" s="215">
        <f ca="1">IFERROR(__xludf.DUMMYFUNCTION("""COMPUTED_VALUE"""),5014755)</f>
        <v>5014755</v>
      </c>
      <c r="AB7" s="215" t="str">
        <f ca="1">IFERROR(__xludf.DUMMYFUNCTION("""COMPUTED_VALUE"""),"Intermediate")</f>
        <v>Intermediate</v>
      </c>
      <c r="AC7" s="217" t="str">
        <f ca="1">IFERROR(__xludf.DUMMYFUNCTION("""COMPUTED_VALUE"""),"Como Passar do Modelo em Cascata ao Modelo Ágil na Gestão de Projetos")</f>
        <v>Como Passar do Modelo em Cascata ao Modelo Ágil na Gestão de Projetos</v>
      </c>
      <c r="AD7" s="217"/>
      <c r="AE7" s="213"/>
      <c r="AF7" s="215">
        <f ca="1">IFERROR(__xludf.DUMMYFUNCTION("""COMPUTED_VALUE"""),2823606)</f>
        <v>2823606</v>
      </c>
      <c r="AG7" s="215" t="str">
        <f ca="1">IFERROR(__xludf.DUMMYFUNCTION("""COMPUTED_VALUE"""),"Intermediate")</f>
        <v>Intermediate</v>
      </c>
      <c r="AH7" s="217" t="str">
        <f ca="1">IFERROR(__xludf.DUMMYFUNCTION("""COMPUTED_VALUE"""),"全球项目：共识缔造成功")</f>
        <v>全球项目：共识缔造成功</v>
      </c>
      <c r="AI7" s="217"/>
      <c r="AJ7" s="213"/>
    </row>
    <row r="8" spans="1:36" ht="33.75" customHeight="1">
      <c r="A8" s="213"/>
      <c r="B8" s="214">
        <f ca="1">IFERROR(__xludf.DUMMYFUNCTION("""COMPUTED_VALUE"""),2846053)</f>
        <v>2846053</v>
      </c>
      <c r="C8" s="215" t="str">
        <f ca="1">IFERROR(__xludf.DUMMYFUNCTION("""COMPUTED_VALUE"""),"Beginner")</f>
        <v>Beginner</v>
      </c>
      <c r="D8" s="216" t="str">
        <f ca="1">IFERROR(__xludf.DUMMYFUNCTION("""COMPUTED_VALUE"""),"Leading Remote Projects and Virtual Teams")</f>
        <v>Leading Remote Projects and Virtual Teams</v>
      </c>
      <c r="E8" s="217" t="str">
        <f ca="1">IFERROR(__xludf.DUMMYFUNCTION("""COMPUTED_VALUE"""),"Become a Healthcare Project Manager")</f>
        <v>Become a Healthcare Project Manager</v>
      </c>
      <c r="F8" s="213"/>
      <c r="G8" s="214">
        <f ca="1">IFERROR(__xludf.DUMMYFUNCTION("""COMPUTED_VALUE"""),2841056)</f>
        <v>2841056</v>
      </c>
      <c r="H8" s="215" t="str">
        <f ca="1">IFERROR(__xludf.DUMMYFUNCTION("""COMPUTED_VALUE"""),"Intermediate")</f>
        <v>Intermediate</v>
      </c>
      <c r="I8" s="217" t="str">
        <f ca="1">IFERROR(__xludf.DUMMYFUNCTION("""COMPUTED_VALUE"""),"Créer un planning avec Excel (Microsoft 365/Office 365)")</f>
        <v>Créer un planning avec Excel (Microsoft 365/Office 365)</v>
      </c>
      <c r="J8" s="217" t="str">
        <f ca="1">IFERROR(__xludf.DUMMYFUNCTION("""COMPUTED_VALUE"""),"Devenir un chef de projet agile")</f>
        <v>Devenir un chef de projet agile</v>
      </c>
      <c r="K8" s="213"/>
      <c r="L8" s="215">
        <f ca="1">IFERROR(__xludf.DUMMYFUNCTION("""COMPUTED_VALUE"""),2823335)</f>
        <v>2823335</v>
      </c>
      <c r="M8" s="215" t="str">
        <f ca="1">IFERROR(__xludf.DUMMYFUNCTION("""COMPUTED_VALUE"""),"All levels")</f>
        <v>All levels</v>
      </c>
      <c r="N8" s="217" t="str">
        <f ca="1">IFERROR(__xludf.DUMMYFUNCTION("""COMPUTED_VALUE"""),"BIM con un café")</f>
        <v>BIM con un café</v>
      </c>
      <c r="O8" s="217"/>
      <c r="P8" s="213"/>
      <c r="Q8" s="215">
        <f ca="1">IFERROR(__xludf.DUMMYFUNCTION("""COMPUTED_VALUE"""),5025648)</f>
        <v>5025648</v>
      </c>
      <c r="R8" s="215" t="str">
        <f ca="1">IFERROR(__xludf.DUMMYFUNCTION("""COMPUTED_VALUE"""),"Intermediate")</f>
        <v>Intermediate</v>
      </c>
      <c r="S8" s="217" t="str">
        <f ca="1">IFERROR(__xludf.DUMMYFUNCTION("""COMPUTED_VALUE"""),"Agil arbeiten: Reporting mit agilen Boards und Charts")</f>
        <v>Agil arbeiten: Reporting mit agilen Boards und Charts</v>
      </c>
      <c r="T8" s="217" t="str">
        <f ca="1">IFERROR(__xludf.DUMMYFUNCTION("""COMPUTED_VALUE"""),"Six Sigma Black Belt werden")</f>
        <v>Six Sigma Black Belt werden</v>
      </c>
      <c r="U8" s="213"/>
      <c r="V8" s="215">
        <f ca="1">IFERROR(__xludf.DUMMYFUNCTION("""COMPUTED_VALUE"""),601609)</f>
        <v>601609</v>
      </c>
      <c r="W8" s="215" t="str">
        <f ca="1">IFERROR(__xludf.DUMMYFUNCTION("""COMPUTED_VALUE"""),"Intermediate")</f>
        <v>Intermediate</v>
      </c>
      <c r="X8" s="217" t="str">
        <f ca="1">IFERROR(__xludf.DUMMYFUNCTION("""COMPUTED_VALUE"""),"Microsoft Projectでアジャイルプロジェクトを管理する")</f>
        <v>Microsoft Projectでアジャイルプロジェクトを管理する</v>
      </c>
      <c r="Y8" s="217"/>
      <c r="Z8" s="213"/>
      <c r="AA8" s="215">
        <f ca="1">IFERROR(__xludf.DUMMYFUNCTION("""COMPUTED_VALUE"""),2453175)</f>
        <v>2453175</v>
      </c>
      <c r="AB8" s="215" t="str">
        <f ca="1">IFERROR(__xludf.DUMMYFUNCTION("""COMPUTED_VALUE"""),"Beginner")</f>
        <v>Beginner</v>
      </c>
      <c r="AC8" s="217" t="str">
        <f ca="1">IFERROR(__xludf.DUMMYFUNCTION("""COMPUTED_VALUE"""),"Competências Básicas de Gestão de Projetos")</f>
        <v>Competências Básicas de Gestão de Projetos</v>
      </c>
      <c r="AD8" s="217"/>
      <c r="AE8" s="213"/>
      <c r="AF8" s="215">
        <f ca="1">IFERROR(__xludf.DUMMYFUNCTION("""COMPUTED_VALUE"""),2700354)</f>
        <v>2700354</v>
      </c>
      <c r="AG8" s="215" t="str">
        <f ca="1">IFERROR(__xludf.DUMMYFUNCTION("""COMPUTED_VALUE"""),"All levels")</f>
        <v>All levels</v>
      </c>
      <c r="AH8" s="217" t="str">
        <f ca="1">IFERROR(__xludf.DUMMYFUNCTION("""COMPUTED_VALUE"""),"卓越运营基础知识")</f>
        <v>卓越运营基础知识</v>
      </c>
      <c r="AI8" s="217"/>
      <c r="AJ8" s="213"/>
    </row>
    <row r="9" spans="1:36" ht="33.75" customHeight="1">
      <c r="A9" s="213"/>
      <c r="B9" s="214">
        <f ca="1">IFERROR(__xludf.DUMMYFUNCTION("""COMPUTED_VALUE"""),784283)</f>
        <v>784283</v>
      </c>
      <c r="C9" s="215" t="str">
        <f ca="1">IFERROR(__xludf.DUMMYFUNCTION("""COMPUTED_VALUE"""),"Intermediate")</f>
        <v>Intermediate</v>
      </c>
      <c r="D9" s="216" t="str">
        <f ca="1">IFERROR(__xludf.DUMMYFUNCTION("""COMPUTED_VALUE"""),"Managing in a Matrixed Organization")</f>
        <v>Managing in a Matrixed Organization</v>
      </c>
      <c r="E9" s="217" t="str">
        <f ca="1">IFERROR(__xludf.DUMMYFUNCTION("""COMPUTED_VALUE"""),"Become a Portfolio Manager")</f>
        <v>Become a Portfolio Manager</v>
      </c>
      <c r="F9" s="213"/>
      <c r="G9" s="214">
        <f ca="1">IFERROR(__xludf.DUMMYFUNCTION("""COMPUTED_VALUE"""),561151)</f>
        <v>561151</v>
      </c>
      <c r="H9" s="215" t="str">
        <f ca="1">IFERROR(__xludf.DUMMYFUNCTION("""COMPUTED_VALUE"""),"Beginner")</f>
        <v>Beginner</v>
      </c>
      <c r="I9" s="217" t="str">
        <f ca="1">IFERROR(__xludf.DUMMYFUNCTION("""COMPUTED_VALUE"""),"Découvrir la gestion de projet simplifiée")</f>
        <v>Découvrir la gestion de projet simplifiée</v>
      </c>
      <c r="J9" s="217"/>
      <c r="K9" s="213"/>
      <c r="L9" s="215">
        <f ca="1">IFERROR(__xludf.DUMMYFUNCTION("""COMPUTED_VALUE"""),2926135)</f>
        <v>2926135</v>
      </c>
      <c r="M9" s="215" t="str">
        <f ca="1">IFERROR(__xludf.DUMMYFUNCTION("""COMPUTED_VALUE"""),"Beginner, Intermediate")</f>
        <v>Beginner, Intermediate</v>
      </c>
      <c r="N9" s="217" t="str">
        <f ca="1">IFERROR(__xludf.DUMMYFUNCTION("""COMPUTED_VALUE"""),"Características de un gran Scrum Master")</f>
        <v>Características de un gran Scrum Master</v>
      </c>
      <c r="O9" s="217"/>
      <c r="P9" s="213"/>
      <c r="Q9" s="215">
        <f ca="1">IFERROR(__xludf.DUMMYFUNCTION("""COMPUTED_VALUE"""),5025651)</f>
        <v>5025651</v>
      </c>
      <c r="R9" s="215" t="str">
        <f ca="1">IFERROR(__xludf.DUMMYFUNCTION("""COMPUTED_VALUE"""),"Intermediate")</f>
        <v>Intermediate</v>
      </c>
      <c r="S9" s="217" t="str">
        <f ca="1">IFERROR(__xludf.DUMMYFUNCTION("""COMPUTED_VALUE"""),"Agil arbeiten: Vom Wasserfall zum agilen Projektmanagement")</f>
        <v>Agil arbeiten: Vom Wasserfall zum agilen Projektmanagement</v>
      </c>
      <c r="T9" s="217" t="str">
        <f ca="1">IFERROR(__xludf.DUMMYFUNCTION("""COMPUTED_VALUE"""),"Six Sigma Green Belt werden")</f>
        <v>Six Sigma Green Belt werden</v>
      </c>
      <c r="U9" s="213"/>
      <c r="V9" s="215">
        <f ca="1">IFERROR(__xludf.DUMMYFUNCTION("""COMPUTED_VALUE"""),620034)</f>
        <v>620034</v>
      </c>
      <c r="W9" s="215" t="str">
        <f ca="1">IFERROR(__xludf.DUMMYFUNCTION("""COMPUTED_VALUE"""),"Intermediate")</f>
        <v>Intermediate</v>
      </c>
      <c r="X9" s="217" t="str">
        <f ca="1">IFERROR(__xludf.DUMMYFUNCTION("""COMPUTED_VALUE"""),"Microsoft Projectでクライアントレポートを活用する")</f>
        <v>Microsoft Projectでクライアントレポートを活用する</v>
      </c>
      <c r="Y9" s="217"/>
      <c r="Z9" s="213"/>
      <c r="AA9" s="215">
        <f ca="1">IFERROR(__xludf.DUMMYFUNCTION("""COMPUTED_VALUE"""),2908966)</f>
        <v>2908966</v>
      </c>
      <c r="AB9" s="215" t="str">
        <f ca="1">IFERROR(__xludf.DUMMYFUNCTION("""COMPUTED_VALUE"""),"Beginner")</f>
        <v>Beginner</v>
      </c>
      <c r="AC9" s="217" t="str">
        <f ca="1">IFERROR(__xludf.DUMMYFUNCTION("""COMPUTED_VALUE"""),"Descubra o Microsoft Project")</f>
        <v>Descubra o Microsoft Project</v>
      </c>
      <c r="AD9" s="217"/>
      <c r="AE9" s="213"/>
      <c r="AF9" s="215">
        <f ca="1">IFERROR(__xludf.DUMMYFUNCTION("""COMPUTED_VALUE"""),2424876)</f>
        <v>2424876</v>
      </c>
      <c r="AG9" s="215" t="str">
        <f ca="1">IFERROR(__xludf.DUMMYFUNCTION("""COMPUTED_VALUE"""),"Beginner")</f>
        <v>Beginner</v>
      </c>
      <c r="AH9" s="217" t="str">
        <f ca="1">IFERROR(__xludf.DUMMYFUNCTION("""COMPUTED_VALUE"""),"变革时期的项目管理")</f>
        <v>变革时期的项目管理</v>
      </c>
      <c r="AI9" s="217"/>
      <c r="AJ9" s="213"/>
    </row>
    <row r="10" spans="1:36" ht="33.75" customHeight="1">
      <c r="A10" s="213"/>
      <c r="B10" s="214">
        <f ca="1">IFERROR(__xludf.DUMMYFUNCTION("""COMPUTED_VALUE"""),126132)</f>
        <v>126132</v>
      </c>
      <c r="C10" s="215" t="str">
        <f ca="1">IFERROR(__xludf.DUMMYFUNCTION("""COMPUTED_VALUE"""),"Intermediate")</f>
        <v>Intermediate</v>
      </c>
      <c r="D10" s="216" t="str">
        <f ca="1">IFERROR(__xludf.DUMMYFUNCTION("""COMPUTED_VALUE"""),"Management Tips")</f>
        <v>Management Tips</v>
      </c>
      <c r="E10" s="217" t="str">
        <f ca="1">IFERROR(__xludf.DUMMYFUNCTION("""COMPUTED_VALUE"""),"Become an Outsourcing Specialist")</f>
        <v>Become an Outsourcing Specialist</v>
      </c>
      <c r="F10" s="213"/>
      <c r="G10" s="214">
        <f ca="1">IFERROR(__xludf.DUMMYFUNCTION("""COMPUTED_VALUE"""),561107)</f>
        <v>561107</v>
      </c>
      <c r="H10" s="215" t="str">
        <f ca="1">IFERROR(__xludf.DUMMYFUNCTION("""COMPUTED_VALUE"""),"Beginner")</f>
        <v>Beginner</v>
      </c>
      <c r="I10" s="217" t="str">
        <f ca="1">IFERROR(__xludf.DUMMYFUNCTION("""COMPUTED_VALUE"""),"Découvrir les diagrammes de Gantt")</f>
        <v>Découvrir les diagrammes de Gantt</v>
      </c>
      <c r="J10" s="217"/>
      <c r="K10" s="213"/>
      <c r="L10" s="215">
        <f ca="1">IFERROR(__xludf.DUMMYFUNCTION("""COMPUTED_VALUE"""),3109019)</f>
        <v>3109019</v>
      </c>
      <c r="M10" s="215" t="str">
        <f ca="1">IFERROR(__xludf.DUMMYFUNCTION("""COMPUTED_VALUE"""),"Beginner, Intermediate")</f>
        <v>Beginner, Intermediate</v>
      </c>
      <c r="N10" s="217" t="str">
        <f ca="1">IFERROR(__xludf.DUMMYFUNCTION("""COMPUTED_VALUE"""),"Cómo fijar los objetivos de la unidad de negocio")</f>
        <v>Cómo fijar los objetivos de la unidad de negocio</v>
      </c>
      <c r="O10" s="217"/>
      <c r="P10" s="213"/>
      <c r="Q10" s="215">
        <f ca="1">IFERROR(__xludf.DUMMYFUNCTION("""COMPUTED_VALUE"""),679794)</f>
        <v>679794</v>
      </c>
      <c r="R10" s="215" t="str">
        <f ca="1">IFERROR(__xludf.DUMMYFUNCTION("""COMPUTED_VALUE"""),"Intermediate")</f>
        <v>Intermediate</v>
      </c>
      <c r="S10" s="217" t="str">
        <f ca="1">IFERROR(__xludf.DUMMYFUNCTION("""COMPUTED_VALUE"""),"Agiles Projektmanagement")</f>
        <v>Agiles Projektmanagement</v>
      </c>
      <c r="T10" s="217"/>
      <c r="U10" s="213"/>
      <c r="V10" s="215">
        <f ca="1">IFERROR(__xludf.DUMMYFUNCTION("""COMPUTED_VALUE"""),592671)</f>
        <v>592671</v>
      </c>
      <c r="W10" s="215" t="str">
        <f ca="1">IFERROR(__xludf.DUMMYFUNCTION("""COMPUTED_VALUE"""),"Intermediate")</f>
        <v>Intermediate</v>
      </c>
      <c r="X10" s="217" t="str">
        <f ca="1">IFERROR(__xludf.DUMMYFUNCTION("""COMPUTED_VALUE"""),"Microsoft Projectで進捗を管理する")</f>
        <v>Microsoft Projectで進捗を管理する</v>
      </c>
      <c r="Y10" s="217"/>
      <c r="Z10" s="213"/>
      <c r="AA10" s="215">
        <f ca="1">IFERROR(__xludf.DUMMYFUNCTION("""COMPUTED_VALUE"""),2921899)</f>
        <v>2921899</v>
      </c>
      <c r="AB10" s="215" t="str">
        <f ca="1">IFERROR(__xludf.DUMMYFUNCTION("""COMPUTED_VALUE"""),"Intermediate")</f>
        <v>Intermediate</v>
      </c>
      <c r="AC10" s="217" t="str">
        <f ca="1">IFERROR(__xludf.DUMMYFUNCTION("""COMPUTED_VALUE"""),"Execução e Controle com Microsoft Project")</f>
        <v>Execução e Controle com Microsoft Project</v>
      </c>
      <c r="AD10" s="217"/>
      <c r="AE10" s="213"/>
      <c r="AF10" s="215">
        <f ca="1">IFERROR(__xludf.DUMMYFUNCTION("""COMPUTED_VALUE"""),2822707)</f>
        <v>2822707</v>
      </c>
      <c r="AG10" s="215" t="str">
        <f ca="1">IFERROR(__xludf.DUMMYFUNCTION("""COMPUTED_VALUE"""),"All levels")</f>
        <v>All levels</v>
      </c>
      <c r="AH10" s="217" t="str">
        <f ca="1">IFERROR(__xludf.DUMMYFUNCTION("""COMPUTED_VALUE"""),"敏捷基础知识")</f>
        <v>敏捷基础知识</v>
      </c>
      <c r="AI10" s="217"/>
      <c r="AJ10" s="213"/>
    </row>
    <row r="11" spans="1:36" ht="33.75" customHeight="1">
      <c r="A11" s="213"/>
      <c r="B11" s="214">
        <f ca="1">IFERROR(__xludf.DUMMYFUNCTION("""COMPUTED_VALUE"""),2874153)</f>
        <v>2874153</v>
      </c>
      <c r="C11" s="215" t="str">
        <f ca="1">IFERROR(__xludf.DUMMYFUNCTION("""COMPUTED_VALUE"""),"Intermediate")</f>
        <v>Intermediate</v>
      </c>
      <c r="D11" s="216" t="str">
        <f ca="1">IFERROR(__xludf.DUMMYFUNCTION("""COMPUTED_VALUE"""),"Agile Project Leadership")</f>
        <v>Agile Project Leadership</v>
      </c>
      <c r="E11" s="217" t="str">
        <f ca="1">IFERROR(__xludf.DUMMYFUNCTION("""COMPUTED_VALUE"""),"Become a Product Manager")</f>
        <v>Become a Product Manager</v>
      </c>
      <c r="F11" s="213"/>
      <c r="G11" s="214">
        <f ca="1">IFERROR(__xludf.DUMMYFUNCTION("""COMPUTED_VALUE"""),561011)</f>
        <v>561011</v>
      </c>
      <c r="H11" s="215" t="str">
        <f ca="1">IFERROR(__xludf.DUMMYFUNCTION("""COMPUTED_VALUE"""),"Beginner")</f>
        <v>Beginner</v>
      </c>
      <c r="I11" s="217" t="str">
        <f ca="1">IFERROR(__xludf.DUMMYFUNCTION("""COMPUTED_VALUE"""),"Découvrir MindView")</f>
        <v>Découvrir MindView</v>
      </c>
      <c r="J11" s="217"/>
      <c r="K11" s="213"/>
      <c r="L11" s="215">
        <f ca="1">IFERROR(__xludf.DUMMYFUNCTION("""COMPUTED_VALUE"""),2996869)</f>
        <v>2996869</v>
      </c>
      <c r="M11" s="215" t="str">
        <f ca="1">IFERROR(__xludf.DUMMYFUNCTION("""COMPUTED_VALUE"""),"All levels")</f>
        <v>All levels</v>
      </c>
      <c r="N11" s="217" t="str">
        <f ca="1">IFERROR(__xludf.DUMMYFUNCTION("""COMPUTED_VALUE"""),"Cómo ser parte de un ambiente de trabajo positivo")</f>
        <v>Cómo ser parte de un ambiente de trabajo positivo</v>
      </c>
      <c r="O11" s="217"/>
      <c r="P11" s="213"/>
      <c r="Q11" s="215">
        <f ca="1">IFERROR(__xludf.DUMMYFUNCTION("""COMPUTED_VALUE"""),747355)</f>
        <v>747355</v>
      </c>
      <c r="R11" s="215" t="str">
        <f ca="1">IFERROR(__xludf.DUMMYFUNCTION("""COMPUTED_VALUE"""),"Intermediate")</f>
        <v>Intermediate</v>
      </c>
      <c r="S11" s="217" t="str">
        <f ca="1">IFERROR(__xludf.DUMMYFUNCTION("""COMPUTED_VALUE"""),"Agiles Projektmanagement mit Microsoft Project")</f>
        <v>Agiles Projektmanagement mit Microsoft Project</v>
      </c>
      <c r="T11" s="217"/>
      <c r="U11" s="213"/>
      <c r="V11" s="215">
        <f ca="1">IFERROR(__xludf.DUMMYFUNCTION("""COMPUTED_VALUE"""),676649)</f>
        <v>676649</v>
      </c>
      <c r="W11" s="215" t="str">
        <f ca="1">IFERROR(__xludf.DUMMYFUNCTION("""COMPUTED_VALUE"""),"Beginner")</f>
        <v>Beginner</v>
      </c>
      <c r="X11" s="217" t="str">
        <f ca="1">IFERROR(__xludf.DUMMYFUNCTION("""COMPUTED_VALUE"""),"アジャイルプロジェクトマネジメントの基礎")</f>
        <v>アジャイルプロジェクトマネジメントの基礎</v>
      </c>
      <c r="Y11" s="217"/>
      <c r="Z11" s="213"/>
      <c r="AA11" s="215">
        <f ca="1">IFERROR(__xludf.DUMMYFUNCTION("""COMPUTED_VALUE"""),801471)</f>
        <v>801471</v>
      </c>
      <c r="AB11" s="215" t="str">
        <f ca="1">IFERROR(__xludf.DUMMYFUNCTION("""COMPUTED_VALUE"""),"All levels")</f>
        <v>All levels</v>
      </c>
      <c r="AC11" s="217" t="str">
        <f ca="1">IFERROR(__xludf.DUMMYFUNCTION("""COMPUTED_VALUE"""),"Fundamentos da Excelência Operacional")</f>
        <v>Fundamentos da Excelência Operacional</v>
      </c>
      <c r="AD11" s="217"/>
      <c r="AE11" s="213"/>
      <c r="AF11" s="215">
        <f ca="1">IFERROR(__xludf.DUMMYFUNCTION("""COMPUTED_VALUE"""),762262)</f>
        <v>762262</v>
      </c>
      <c r="AG11" s="215" t="str">
        <f ca="1">IFERROR(__xludf.DUMMYFUNCTION("""COMPUTED_VALUE"""),"Beginner")</f>
        <v>Beginner</v>
      </c>
      <c r="AH11" s="217" t="str">
        <f ca="1">IFERROR(__xludf.DUMMYFUNCTION("""COMPUTED_VALUE"""),"敏捷项目管理基础知识")</f>
        <v>敏捷项目管理基础知识</v>
      </c>
      <c r="AI11" s="217"/>
      <c r="AJ11" s="213"/>
    </row>
    <row r="12" spans="1:36" ht="33.75" customHeight="1">
      <c r="A12" s="213"/>
      <c r="B12" s="214">
        <f ca="1">IFERROR(__xludf.DUMMYFUNCTION("""COMPUTED_VALUE"""),784278)</f>
        <v>784278</v>
      </c>
      <c r="C12" s="215" t="str">
        <f ca="1">IFERROR(__xludf.DUMMYFUNCTION("""COMPUTED_VALUE"""),"General")</f>
        <v>General</v>
      </c>
      <c r="D12" s="216" t="str">
        <f ca="1">IFERROR(__xludf.DUMMYFUNCTION("""COMPUTED_VALUE"""),"Managing and Working with a Technical Team for Nontechnical Professionals")</f>
        <v>Managing and Working with a Technical Team for Nontechnical Professionals</v>
      </c>
      <c r="E12" s="217" t="str">
        <f ca="1">IFERROR(__xludf.DUMMYFUNCTION("""COMPUTED_VALUE"""),"Become a Program Manager")</f>
        <v>Become a Program Manager</v>
      </c>
      <c r="F12" s="213"/>
      <c r="G12" s="214">
        <f ca="1">IFERROR(__xludf.DUMMYFUNCTION("""COMPUTED_VALUE"""),2822212)</f>
        <v>2822212</v>
      </c>
      <c r="H12" s="215" t="str">
        <f ca="1">IFERROR(__xludf.DUMMYFUNCTION("""COMPUTED_VALUE"""),"Intermediate")</f>
        <v>Intermediate</v>
      </c>
      <c r="I12" s="217" t="str">
        <f ca="1">IFERROR(__xludf.DUMMYFUNCTION("""COMPUTED_VALUE"""),"Devenir un bon Scrum Master")</f>
        <v>Devenir un bon Scrum Master</v>
      </c>
      <c r="J12" s="217"/>
      <c r="K12" s="213"/>
      <c r="L12" s="215">
        <f ca="1">IFERROR(__xludf.DUMMYFUNCTION("""COMPUTED_VALUE"""),2826000)</f>
        <v>2826000</v>
      </c>
      <c r="M12" s="215" t="str">
        <f ca="1">IFERROR(__xludf.DUMMYFUNCTION("""COMPUTED_VALUE"""),"Beginner")</f>
        <v>Beginner</v>
      </c>
      <c r="N12" s="217" t="str">
        <f ca="1">IFERROR(__xludf.DUMMYFUNCTION("""COMPUTED_VALUE"""),"Cuarta revolución industrial: Gestión de proyectos")</f>
        <v>Cuarta revolución industrial: Gestión de proyectos</v>
      </c>
      <c r="O12" s="217"/>
      <c r="P12" s="213"/>
      <c r="Q12" s="215">
        <f ca="1">IFERROR(__xludf.DUMMYFUNCTION("""COMPUTED_VALUE"""),395980)</f>
        <v>395980</v>
      </c>
      <c r="R12" s="215" t="str">
        <f ca="1">IFERROR(__xludf.DUMMYFUNCTION("""COMPUTED_VALUE"""),"Beginner")</f>
        <v>Beginner</v>
      </c>
      <c r="S12" s="217" t="str">
        <f ca="1">IFERROR(__xludf.DUMMYFUNCTION("""COMPUTED_VALUE"""),"Arduino: Kleine Projekte spielerisch umsetzen")</f>
        <v>Arduino: Kleine Projekte spielerisch umsetzen</v>
      </c>
      <c r="T12" s="217"/>
      <c r="U12" s="213"/>
      <c r="V12" s="215">
        <f ca="1">IFERROR(__xludf.DUMMYFUNCTION("""COMPUTED_VALUE"""),2917521)</f>
        <v>2917521</v>
      </c>
      <c r="W12" s="215" t="str">
        <f ca="1">IFERROR(__xludf.DUMMYFUNCTION("""COMPUTED_VALUE"""),"Intermediate")</f>
        <v>Intermediate</v>
      </c>
      <c r="X12" s="217" t="str">
        <f ca="1">IFERROR(__xludf.DUMMYFUNCTION("""COMPUTED_VALUE"""),"バーチャルチームのマネジメント")</f>
        <v>バーチャルチームのマネジメント</v>
      </c>
      <c r="Y12" s="217"/>
      <c r="Z12" s="213"/>
      <c r="AA12" s="215">
        <f ca="1">IFERROR(__xludf.DUMMYFUNCTION("""COMPUTED_VALUE"""),2929551)</f>
        <v>2929551</v>
      </c>
      <c r="AB12" s="215" t="str">
        <f ca="1">IFERROR(__xludf.DUMMYFUNCTION("""COMPUTED_VALUE"""),"All levels")</f>
        <v>All levels</v>
      </c>
      <c r="AC12" s="217" t="str">
        <f ca="1">IFERROR(__xludf.DUMMYFUNCTION("""COMPUTED_VALUE"""),"Fundamentos de Gestão Ágil")</f>
        <v>Fundamentos de Gestão Ágil</v>
      </c>
      <c r="AD12" s="217"/>
      <c r="AE12" s="213"/>
      <c r="AF12" s="215">
        <f ca="1">IFERROR(__xludf.DUMMYFUNCTION("""COMPUTED_VALUE"""),2884179)</f>
        <v>2884179</v>
      </c>
      <c r="AG12" s="215" t="str">
        <f ca="1">IFERROR(__xludf.DUMMYFUNCTION("""COMPUTED_VALUE"""),"All levels")</f>
        <v>All levels</v>
      </c>
      <c r="AH12" s="217" t="str">
        <f ca="1">IFERROR(__xludf.DUMMYFUNCTION("""COMPUTED_VALUE"""),"答疑解惑：项目经理的职业规划")</f>
        <v>答疑解惑：项目经理的职业规划</v>
      </c>
      <c r="AI12" s="217"/>
      <c r="AJ12" s="213"/>
    </row>
    <row r="13" spans="1:36" ht="33.75" customHeight="1">
      <c r="A13" s="213"/>
      <c r="B13" s="214">
        <f ca="1">IFERROR(__xludf.DUMMYFUNCTION("""COMPUTED_VALUE"""),2313157)</f>
        <v>2313157</v>
      </c>
      <c r="C13" s="215" t="str">
        <f ca="1">IFERROR(__xludf.DUMMYFUNCTION("""COMPUTED_VALUE"""),"Beginner")</f>
        <v>Beginner</v>
      </c>
      <c r="D13" s="216" t="str">
        <f ca="1">IFERROR(__xludf.DUMMYFUNCTION("""COMPUTED_VALUE"""),"Project Management: Choosing the Right Online Tool")</f>
        <v>Project Management: Choosing the Right Online Tool</v>
      </c>
      <c r="E13" s="217" t="str">
        <f ca="1">IFERROR(__xludf.DUMMYFUNCTION("""COMPUTED_VALUE"""),"Become a Project Coordinator")</f>
        <v>Become a Project Coordinator</v>
      </c>
      <c r="F13" s="213"/>
      <c r="G13" s="214">
        <f ca="1">IFERROR(__xludf.DUMMYFUNCTION("""COMPUTED_VALUE"""),510525)</f>
        <v>510525</v>
      </c>
      <c r="H13" s="215" t="str">
        <f ca="1">IFERROR(__xludf.DUMMYFUNCTION("""COMPUTED_VALUE"""),"Beginner")</f>
        <v>Beginner</v>
      </c>
      <c r="I13" s="217" t="str">
        <f ca="1">IFERROR(__xludf.DUMMYFUNCTION("""COMPUTED_VALUE"""),"Gérer des plannings de projet")</f>
        <v>Gérer des plannings de projet</v>
      </c>
      <c r="J13" s="217"/>
      <c r="K13" s="213"/>
      <c r="L13" s="215">
        <f ca="1">IFERROR(__xludf.DUMMYFUNCTION("""COMPUTED_VALUE"""),2837243)</f>
        <v>2837243</v>
      </c>
      <c r="M13" s="215" t="str">
        <f ca="1">IFERROR(__xludf.DUMMYFUNCTION("""COMPUTED_VALUE"""),"All levels")</f>
        <v>All levels</v>
      </c>
      <c r="N13" s="217" t="str">
        <f ca="1">IFERROR(__xludf.DUMMYFUNCTION("""COMPUTED_VALUE"""),"DesignOps con un café")</f>
        <v>DesignOps con un café</v>
      </c>
      <c r="O13" s="217"/>
      <c r="P13" s="213"/>
      <c r="Q13" s="215">
        <f ca="1">IFERROR(__xludf.DUMMYFUNCTION("""COMPUTED_VALUE"""),2818162)</f>
        <v>2818162</v>
      </c>
      <c r="R13" s="215" t="str">
        <f ca="1">IFERROR(__xludf.DUMMYFUNCTION("""COMPUTED_VALUE"""),"Beginner, Intermediate")</f>
        <v>Beginner, Intermediate</v>
      </c>
      <c r="S13" s="217" t="str">
        <f ca="1">IFERROR(__xludf.DUMMYFUNCTION("""COMPUTED_VALUE"""),"Azure DevOps Grundkurs")</f>
        <v>Azure DevOps Grundkurs</v>
      </c>
      <c r="T13" s="217"/>
      <c r="U13" s="213"/>
      <c r="V13" s="215">
        <f ca="1">IFERROR(__xludf.DUMMYFUNCTION("""COMPUTED_VALUE"""),2848298)</f>
        <v>2848298</v>
      </c>
      <c r="W13" s="215" t="str">
        <f ca="1">IFERROR(__xludf.DUMMYFUNCTION("""COMPUTED_VALUE"""),"Beginner")</f>
        <v>Beginner</v>
      </c>
      <c r="X13" s="217" t="str">
        <f ca="1">IFERROR(__xludf.DUMMYFUNCTION("""COMPUTED_VALUE"""),"ビジネスアナリシスの基礎")</f>
        <v>ビジネスアナリシスの基礎</v>
      </c>
      <c r="Y13" s="217"/>
      <c r="Z13" s="213"/>
      <c r="AA13" s="215">
        <f ca="1">IFERROR(__xludf.DUMMYFUNCTION("""COMPUTED_VALUE"""),752463)</f>
        <v>752463</v>
      </c>
      <c r="AB13" s="215" t="str">
        <f ca="1">IFERROR(__xludf.DUMMYFUNCTION("""COMPUTED_VALUE"""),"Beginner")</f>
        <v>Beginner</v>
      </c>
      <c r="AC13" s="217" t="str">
        <f ca="1">IFERROR(__xludf.DUMMYFUNCTION("""COMPUTED_VALUE"""),"Fundamentos de Gestão Ágil de Projetos")</f>
        <v>Fundamentos de Gestão Ágil de Projetos</v>
      </c>
      <c r="AD13" s="217"/>
      <c r="AE13" s="213"/>
      <c r="AF13" s="215">
        <f ca="1">IFERROR(__xludf.DUMMYFUNCTION("""COMPUTED_VALUE"""),3131244)</f>
        <v>3131244</v>
      </c>
      <c r="AG13" s="215" t="str">
        <f ca="1">IFERROR(__xludf.DUMMYFUNCTION("""COMPUTED_VALUE"""),"Beginner")</f>
        <v>Beginner</v>
      </c>
      <c r="AH13" s="217" t="str">
        <f ca="1">IFERROR(__xludf.DUMMYFUNCTION("""COMPUTED_VALUE"""),"简明项目管理")</f>
        <v>简明项目管理</v>
      </c>
      <c r="AI13" s="217"/>
      <c r="AJ13" s="213"/>
    </row>
    <row r="14" spans="1:36" ht="33.75" customHeight="1">
      <c r="A14" s="213"/>
      <c r="B14" s="214">
        <f ca="1">IFERROR(__xludf.DUMMYFUNCTION("""COMPUTED_VALUE"""),2875380)</f>
        <v>2875380</v>
      </c>
      <c r="C14" s="215" t="str">
        <f ca="1">IFERROR(__xludf.DUMMYFUNCTION("""COMPUTED_VALUE"""),"Beginner")</f>
        <v>Beginner</v>
      </c>
      <c r="D14" s="216" t="str">
        <f ca="1">IFERROR(__xludf.DUMMYFUNCTION("""COMPUTED_VALUE"""),"Project Management Foundations: Lessons Learned")</f>
        <v>Project Management Foundations: Lessons Learned</v>
      </c>
      <c r="E14" s="217" t="str">
        <f ca="1">IFERROR(__xludf.DUMMYFUNCTION("""COMPUTED_VALUE"""),"Become a Project Manager")</f>
        <v>Become a Project Manager</v>
      </c>
      <c r="F14" s="213"/>
      <c r="G14" s="214">
        <f ca="1">IFERROR(__xludf.DUMMYFUNCTION("""COMPUTED_VALUE"""),653569)</f>
        <v>653569</v>
      </c>
      <c r="H14" s="215" t="str">
        <f ca="1">IFERROR(__xludf.DUMMYFUNCTION("""COMPUTED_VALUE"""),"Intermediate")</f>
        <v>Intermediate</v>
      </c>
      <c r="I14" s="217" t="str">
        <f ca="1">IFERROR(__xludf.DUMMYFUNCTION("""COMPUTED_VALUE"""),"Gérer les contretemps d'un projet avec Microsoft Project")</f>
        <v>Gérer les contretemps d'un projet avec Microsoft Project</v>
      </c>
      <c r="J14" s="217"/>
      <c r="K14" s="213"/>
      <c r="L14" s="215">
        <f ca="1">IFERROR(__xludf.DUMMYFUNCTION("""COMPUTED_VALUE"""),2924101)</f>
        <v>2924101</v>
      </c>
      <c r="M14" s="215" t="str">
        <f ca="1">IFERROR(__xludf.DUMMYFUNCTION("""COMPUTED_VALUE"""),"Beginner, Intermediate")</f>
        <v>Beginner, Intermediate</v>
      </c>
      <c r="N14" s="217" t="str">
        <f ca="1">IFERROR(__xludf.DUMMYFUNCTION("""COMPUTED_VALUE"""),"DesignOps: Habilidades personales esencial")</f>
        <v>DesignOps: Habilidades personales esencial</v>
      </c>
      <c r="O14" s="217"/>
      <c r="P14" s="213"/>
      <c r="Q14" s="215">
        <f ca="1">IFERROR(__xludf.DUMMYFUNCTION("""COMPUTED_VALUE"""),2954130)</f>
        <v>2954130</v>
      </c>
      <c r="R14" s="215" t="str">
        <f ca="1">IFERROR(__xludf.DUMMYFUNCTION("""COMPUTED_VALUE"""),"Beginner")</f>
        <v>Beginner</v>
      </c>
      <c r="S14" s="217" t="str">
        <f ca="1">IFERROR(__xludf.DUMMYFUNCTION("""COMPUTED_VALUE"""),"Berufsbild: Agiles Projektmanagement")</f>
        <v>Berufsbild: Agiles Projektmanagement</v>
      </c>
      <c r="T14" s="217"/>
      <c r="U14" s="213"/>
      <c r="V14" s="215">
        <f ca="1">IFERROR(__xludf.DUMMYFUNCTION("""COMPUTED_VALUE"""),3143329)</f>
        <v>3143329</v>
      </c>
      <c r="W14" s="215" t="str">
        <f ca="1">IFERROR(__xludf.DUMMYFUNCTION("""COMPUTED_VALUE"""),"Beginner")</f>
        <v>Beginner</v>
      </c>
      <c r="X14" s="217" t="str">
        <f ca="1">IFERROR(__xludf.DUMMYFUNCTION("""COMPUTED_VALUE"""),"プロジェクトのためのチェンジマネジメント")</f>
        <v>プロジェクトのためのチェンジマネジメント</v>
      </c>
      <c r="Y14" s="217"/>
      <c r="Z14" s="213"/>
      <c r="AA14" s="215">
        <f ca="1">IFERROR(__xludf.DUMMYFUNCTION("""COMPUTED_VALUE"""),733961)</f>
        <v>733961</v>
      </c>
      <c r="AB14" s="215" t="str">
        <f ca="1">IFERROR(__xludf.DUMMYFUNCTION("""COMPUTED_VALUE"""),"Beginner")</f>
        <v>Beginner</v>
      </c>
      <c r="AC14" s="217" t="str">
        <f ca="1">IFERROR(__xludf.DUMMYFUNCTION("""COMPUTED_VALUE"""),"Fundamentos de Gestão de Projetos")</f>
        <v>Fundamentos de Gestão de Projetos</v>
      </c>
      <c r="AD14" s="217"/>
      <c r="AE14" s="213"/>
      <c r="AF14" s="215">
        <f ca="1">IFERROR(__xludf.DUMMYFUNCTION("""COMPUTED_VALUE"""),2824443)</f>
        <v>2824443</v>
      </c>
      <c r="AG14" s="215" t="str">
        <f ca="1">IFERROR(__xludf.DUMMYFUNCTION("""COMPUTED_VALUE"""),"All levels")</f>
        <v>All levels</v>
      </c>
      <c r="AH14" s="217" t="str">
        <f ca="1">IFERROR(__xludf.DUMMYFUNCTION("""COMPUTED_VALUE"""),"管理国际化项目")</f>
        <v>管理国际化项目</v>
      </c>
      <c r="AI14" s="217"/>
      <c r="AJ14" s="213"/>
    </row>
    <row r="15" spans="1:36" ht="33.75" customHeight="1">
      <c r="A15" s="213"/>
      <c r="B15" s="214">
        <f ca="1">IFERROR(__xludf.DUMMYFUNCTION("""COMPUTED_VALUE"""),2841523)</f>
        <v>2841523</v>
      </c>
      <c r="C15" s="215" t="str">
        <f ca="1">IFERROR(__xludf.DUMMYFUNCTION("""COMPUTED_VALUE"""),"Beginner")</f>
        <v>Beginner</v>
      </c>
      <c r="D15" s="216" t="str">
        <f ca="1">IFERROR(__xludf.DUMMYFUNCTION("""COMPUTED_VALUE"""),"Job Interview Tips for Project Managers")</f>
        <v>Job Interview Tips for Project Managers</v>
      </c>
      <c r="E15" s="217" t="str">
        <f ca="1">IFERROR(__xludf.DUMMYFUNCTION("""COMPUTED_VALUE"""),"Become a Project Scheduler")</f>
        <v>Become a Project Scheduler</v>
      </c>
      <c r="F15" s="213"/>
      <c r="G15" s="214">
        <f ca="1">IFERROR(__xludf.DUMMYFUNCTION("""COMPUTED_VALUE"""),2822650)</f>
        <v>2822650</v>
      </c>
      <c r="H15" s="215" t="str">
        <f ca="1">IFERROR(__xludf.DUMMYFUNCTION("""COMPUTED_VALUE"""),"Intermediate")</f>
        <v>Intermediate</v>
      </c>
      <c r="I15" s="217" t="str">
        <f ca="1">IFERROR(__xludf.DUMMYFUNCTION("""COMPUTED_VALUE"""),"Google Sheets : Créer un planning")</f>
        <v>Google Sheets : Créer un planning</v>
      </c>
      <c r="J15" s="217"/>
      <c r="K15" s="213"/>
      <c r="L15" s="215">
        <f ca="1">IFERROR(__xludf.DUMMYFUNCTION("""COMPUTED_VALUE"""),2422926)</f>
        <v>2422926</v>
      </c>
      <c r="M15" s="215" t="str">
        <f ca="1">IFERROR(__xludf.DUMMYFUNCTION("""COMPUTED_VALUE"""),"Beginner, Intermediate")</f>
        <v>Beginner, Intermediate</v>
      </c>
      <c r="N15" s="217" t="str">
        <f ca="1">IFERROR(__xludf.DUMMYFUNCTION("""COMPUTED_VALUE"""),"Diseña proyectos de marketing con «Business Model Canvas»")</f>
        <v>Diseña proyectos de marketing con «Business Model Canvas»</v>
      </c>
      <c r="O15" s="217"/>
      <c r="P15" s="213"/>
      <c r="Q15" s="215">
        <f ca="1">IFERROR(__xludf.DUMMYFUNCTION("""COMPUTED_VALUE"""),2955140)</f>
        <v>2955140</v>
      </c>
      <c r="R15" s="215" t="str">
        <f ca="1">IFERROR(__xludf.DUMMYFUNCTION("""COMPUTED_VALUE"""),"Beginner")</f>
        <v>Beginner</v>
      </c>
      <c r="S15" s="217" t="str">
        <f ca="1">IFERROR(__xludf.DUMMYFUNCTION("""COMPUTED_VALUE"""),"Berufsbild: Projektmanagement")</f>
        <v>Berufsbild: Projektmanagement</v>
      </c>
      <c r="T15" s="217"/>
      <c r="U15" s="213"/>
      <c r="V15" s="215">
        <f ca="1">IFERROR(__xludf.DUMMYFUNCTION("""COMPUTED_VALUE"""),647820)</f>
        <v>647820</v>
      </c>
      <c r="W15" s="215" t="str">
        <f ca="1">IFERROR(__xludf.DUMMYFUNCTION("""COMPUTED_VALUE"""),"Beginner")</f>
        <v>Beginner</v>
      </c>
      <c r="X15" s="217" t="str">
        <f ca="1">IFERROR(__xludf.DUMMYFUNCTION("""COMPUTED_VALUE"""),"プロジェクトマネジメントの基礎")</f>
        <v>プロジェクトマネジメントの基礎</v>
      </c>
      <c r="Y15" s="217"/>
      <c r="Z15" s="213"/>
      <c r="AA15" s="215">
        <f ca="1">IFERROR(__xludf.DUMMYFUNCTION("""COMPUTED_VALUE"""),752457)</f>
        <v>752457</v>
      </c>
      <c r="AB15" s="215" t="str">
        <f ca="1">IFERROR(__xludf.DUMMYFUNCTION("""COMPUTED_VALUE"""),"Beginner")</f>
        <v>Beginner</v>
      </c>
      <c r="AC15" s="217" t="str">
        <f ca="1">IFERROR(__xludf.DUMMYFUNCTION("""COMPUTED_VALUE"""),"Fundamentos de Gestão de Projetos Pequenos")</f>
        <v>Fundamentos de Gestão de Projetos Pequenos</v>
      </c>
      <c r="AD15" s="217"/>
      <c r="AE15" s="213"/>
      <c r="AF15" s="215">
        <f ca="1">IFERROR(__xludf.DUMMYFUNCTION("""COMPUTED_VALUE"""),2810411)</f>
        <v>2810411</v>
      </c>
      <c r="AG15" s="215" t="str">
        <f ca="1">IFERROR(__xludf.DUMMYFUNCTION("""COMPUTED_VALUE"""),"Beginner, Intermediate")</f>
        <v>Beginner, Intermediate</v>
      </c>
      <c r="AH15" s="217" t="str">
        <f ca="1">IFERROR(__xludf.DUMMYFUNCTION("""COMPUTED_VALUE"""),"项目管理：解决常见项目问题")</f>
        <v>项目管理：解决常见项目问题</v>
      </c>
      <c r="AI15" s="217"/>
      <c r="AJ15" s="213"/>
    </row>
    <row r="16" spans="1:36" ht="33.75" customHeight="1">
      <c r="A16" s="213"/>
      <c r="B16" s="214">
        <f ca="1">IFERROR(__xludf.DUMMYFUNCTION("""COMPUTED_VALUE"""),2806962)</f>
        <v>2806962</v>
      </c>
      <c r="C16" s="215" t="str">
        <f ca="1">IFERROR(__xludf.DUMMYFUNCTION("""COMPUTED_VALUE"""),"Advanced")</f>
        <v>Advanced</v>
      </c>
      <c r="D16" s="216" t="str">
        <f ca="1">IFERROR(__xludf.DUMMYFUNCTION("""COMPUTED_VALUE"""),"Complex Project Tips and Tricks")</f>
        <v>Complex Project Tips and Tricks</v>
      </c>
      <c r="E16" s="217" t="str">
        <f ca="1">IFERROR(__xludf.DUMMYFUNCTION("""COMPUTED_VALUE"""),"Become a Six Sigma Black Belt")</f>
        <v>Become a Six Sigma Black Belt</v>
      </c>
      <c r="F16" s="213"/>
      <c r="G16" s="214">
        <f ca="1">IFERROR(__xludf.DUMMYFUNCTION("""COMPUTED_VALUE"""),2996324)</f>
        <v>2996324</v>
      </c>
      <c r="H16" s="215" t="str">
        <f ca="1">IFERROR(__xludf.DUMMYFUNCTION("""COMPUTED_VALUE"""),"Intermediate")</f>
        <v>Intermediate</v>
      </c>
      <c r="I16" s="217" t="str">
        <f ca="1">IFERROR(__xludf.DUMMYFUNCTION("""COMPUTED_VALUE"""),"ITIL® en pratique : Appliquer les concepts d'ITIL® 4 Foundation")</f>
        <v>ITIL® en pratique : Appliquer les concepts d'ITIL® 4 Foundation</v>
      </c>
      <c r="J16" s="217"/>
      <c r="K16" s="213"/>
      <c r="L16" s="215">
        <f ca="1">IFERROR(__xludf.DUMMYFUNCTION("""COMPUTED_VALUE"""),750058)</f>
        <v>750058</v>
      </c>
      <c r="M16" s="215" t="str">
        <f ca="1">IFERROR(__xludf.DUMMYFUNCTION("""COMPUTED_VALUE"""),"Beginner")</f>
        <v>Beginner</v>
      </c>
      <c r="N16" s="217" t="str">
        <f ca="1">IFERROR(__xludf.DUMMYFUNCTION("""COMPUTED_VALUE"""),"Fundamentos de la gestión de programas")</f>
        <v>Fundamentos de la gestión de programas</v>
      </c>
      <c r="O16" s="217"/>
      <c r="P16" s="213"/>
      <c r="Q16" s="215">
        <f ca="1">IFERROR(__xludf.DUMMYFUNCTION("""COMPUTED_VALUE"""),471269)</f>
        <v>471269</v>
      </c>
      <c r="R16" s="215" t="str">
        <f ca="1">IFERROR(__xludf.DUMMYFUNCTION("""COMPUTED_VALUE"""),"Beginner")</f>
        <v>Beginner</v>
      </c>
      <c r="S16" s="217" t="str">
        <f ca="1">IFERROR(__xludf.DUMMYFUNCTION("""COMPUTED_VALUE"""),"Business-Analyse – Grundlagen")</f>
        <v>Business-Analyse – Grundlagen</v>
      </c>
      <c r="T16" s="217"/>
      <c r="U16" s="213"/>
      <c r="V16" s="215">
        <f ca="1">IFERROR(__xludf.DUMMYFUNCTION("""COMPUTED_VALUE"""),2915388)</f>
        <v>2915388</v>
      </c>
      <c r="W16" s="215" t="str">
        <f ca="1">IFERROR(__xludf.DUMMYFUNCTION("""COMPUTED_VALUE"""),"Beginner")</f>
        <v>Beginner</v>
      </c>
      <c r="X16" s="217" t="str">
        <f ca="1">IFERROR(__xludf.DUMMYFUNCTION("""COMPUTED_VALUE"""),"プロジェクトマネジメントの基礎：コミュニケーション")</f>
        <v>プロジェクトマネジメントの基礎：コミュニケーション</v>
      </c>
      <c r="Y16" s="217"/>
      <c r="Z16" s="213"/>
      <c r="AA16" s="215">
        <f ca="1">IFERROR(__xludf.DUMMYFUNCTION("""COMPUTED_VALUE"""),2911572)</f>
        <v>2911572</v>
      </c>
      <c r="AB16" s="215" t="str">
        <f ca="1">IFERROR(__xludf.DUMMYFUNCTION("""COMPUTED_VALUE"""),"Intermediate")</f>
        <v>Intermediate</v>
      </c>
      <c r="AC16" s="217" t="str">
        <f ca="1">IFERROR(__xludf.DUMMYFUNCTION("""COMPUTED_VALUE"""),"Fundamentos de Gestão de Projetos: Aquisições")</f>
        <v>Fundamentos de Gestão de Projetos: Aquisições</v>
      </c>
      <c r="AD16" s="217"/>
      <c r="AE16" s="213"/>
      <c r="AF16" s="215">
        <f ca="1">IFERROR(__xludf.DUMMYFUNCTION("""COMPUTED_VALUE"""),730577)</f>
        <v>730577</v>
      </c>
      <c r="AG16" s="215" t="str">
        <f ca="1">IFERROR(__xludf.DUMMYFUNCTION("""COMPUTED_VALUE"""),"Beginner")</f>
        <v>Beginner</v>
      </c>
      <c r="AH16" s="217" t="str">
        <f ca="1">IFERROR(__xludf.DUMMYFUNCTION("""COMPUTED_VALUE"""),"项目管理基础知识")</f>
        <v>项目管理基础知识</v>
      </c>
      <c r="AI16" s="217"/>
      <c r="AJ16" s="213"/>
    </row>
    <row r="17" spans="1:36" ht="33.75" customHeight="1">
      <c r="A17" s="213"/>
      <c r="B17" s="214">
        <f ca="1">IFERROR(__xludf.DUMMYFUNCTION("""COMPUTED_VALUE"""),2824370)</f>
        <v>2824370</v>
      </c>
      <c r="C17" s="215" t="str">
        <f ca="1">IFERROR(__xludf.DUMMYFUNCTION("""COMPUTED_VALUE"""),"Advanced")</f>
        <v>Advanced</v>
      </c>
      <c r="D17" s="216" t="str">
        <f ca="1">IFERROR(__xludf.DUMMYFUNCTION("""COMPUTED_VALUE"""),"Project Management for Creative Projects")</f>
        <v>Project Management for Creative Projects</v>
      </c>
      <c r="E17" s="217" t="str">
        <f ca="1">IFERROR(__xludf.DUMMYFUNCTION("""COMPUTED_VALUE"""),"Become a Six Sigma Green Belt")</f>
        <v>Become a Six Sigma Green Belt</v>
      </c>
      <c r="F17" s="213"/>
      <c r="G17" s="214">
        <f ca="1">IFERROR(__xludf.DUMMYFUNCTION("""COMPUTED_VALUE"""),666959)</f>
        <v>666959</v>
      </c>
      <c r="H17" s="215" t="str">
        <f ca="1">IFERROR(__xludf.DUMMYFUNCTION("""COMPUTED_VALUE"""),"Intermediate")</f>
        <v>Intermediate</v>
      </c>
      <c r="I17" s="217" t="str">
        <f ca="1">IFERROR(__xludf.DUMMYFUNCTION("""COMPUTED_VALUE"""),"La gestion de projet : La dérive des objectifs")</f>
        <v>La gestion de projet : La dérive des objectifs</v>
      </c>
      <c r="J17" s="217"/>
      <c r="K17" s="213"/>
      <c r="L17" s="215">
        <f ca="1">IFERROR(__xludf.DUMMYFUNCTION("""COMPUTED_VALUE"""),561380)</f>
        <v>561380</v>
      </c>
      <c r="M17" s="215" t="str">
        <f ca="1">IFERROR(__xludf.DUMMYFUNCTION("""COMPUTED_VALUE"""),"Beginner")</f>
        <v>Beginner</v>
      </c>
      <c r="N17" s="217" t="str">
        <f ca="1">IFERROR(__xludf.DUMMYFUNCTION("""COMPUTED_VALUE"""),"Fundamentos de la gestión de proyectos")</f>
        <v>Fundamentos de la gestión de proyectos</v>
      </c>
      <c r="O17" s="217"/>
      <c r="P17" s="213"/>
      <c r="Q17" s="215">
        <f ca="1">IFERROR(__xludf.DUMMYFUNCTION("""COMPUTED_VALUE"""),2210966)</f>
        <v>2210966</v>
      </c>
      <c r="R17" s="215" t="str">
        <f ca="1">IFERROR(__xludf.DUMMYFUNCTION("""COMPUTED_VALUE"""),"Beginner")</f>
        <v>Beginner</v>
      </c>
      <c r="S17" s="217" t="str">
        <f ca="1">IFERROR(__xludf.DUMMYFUNCTION("""COMPUTED_VALUE"""),"Design Sprint – Grundlagen")</f>
        <v>Design Sprint – Grundlagen</v>
      </c>
      <c r="T17" s="217"/>
      <c r="U17" s="213"/>
      <c r="V17" s="215">
        <f ca="1">IFERROR(__xludf.DUMMYFUNCTION("""COMPUTED_VALUE"""),2918414)</f>
        <v>2918414</v>
      </c>
      <c r="W17" s="215" t="str">
        <f ca="1">IFERROR(__xludf.DUMMYFUNCTION("""COMPUTED_VALUE"""),"Beginner")</f>
        <v>Beginner</v>
      </c>
      <c r="X17" s="217" t="str">
        <f ca="1">IFERROR(__xludf.DUMMYFUNCTION("""COMPUTED_VALUE"""),"プロジェクトマネジメントの基礎：スケジュール管理")</f>
        <v>プロジェクトマネジメントの基礎：スケジュール管理</v>
      </c>
      <c r="Y17" s="217"/>
      <c r="Z17" s="213"/>
      <c r="AA17" s="215">
        <f ca="1">IFERROR(__xludf.DUMMYFUNCTION("""COMPUTED_VALUE"""),753082)</f>
        <v>753082</v>
      </c>
      <c r="AB17" s="215" t="str">
        <f ca="1">IFERROR(__xludf.DUMMYFUNCTION("""COMPUTED_VALUE"""),"Beginner")</f>
        <v>Beginner</v>
      </c>
      <c r="AC17" s="217" t="str">
        <f ca="1">IFERROR(__xludf.DUMMYFUNCTION("""COMPUTED_VALUE"""),"Fundamentos de Gestão de Projetos: Comunicação")</f>
        <v>Fundamentos de Gestão de Projetos: Comunicação</v>
      </c>
      <c r="AD17" s="217"/>
      <c r="AE17" s="213"/>
      <c r="AF17" s="215">
        <f ca="1">IFERROR(__xludf.DUMMYFUNCTION("""COMPUTED_VALUE"""),5010383)</f>
        <v>5010383</v>
      </c>
      <c r="AG17" s="215" t="str">
        <f ca="1">IFERROR(__xludf.DUMMYFUNCTION("""COMPUTED_VALUE"""),"Beginner")</f>
        <v>Beginner</v>
      </c>
      <c r="AH17" s="217" t="str">
        <f ca="1">IFERROR(__xludf.DUMMYFUNCTION("""COMPUTED_VALUE"""),"项目管理基础知识：利益相关者")</f>
        <v>项目管理基础知识：利益相关者</v>
      </c>
      <c r="AI17" s="217"/>
      <c r="AJ17" s="213"/>
    </row>
    <row r="18" spans="1:36" ht="33.75" customHeight="1">
      <c r="A18" s="213"/>
      <c r="B18" s="214">
        <f ca="1">IFERROR(__xludf.DUMMYFUNCTION("""COMPUTED_VALUE"""),2825403)</f>
        <v>2825403</v>
      </c>
      <c r="C18" s="215" t="str">
        <f ca="1">IFERROR(__xludf.DUMMYFUNCTION("""COMPUTED_VALUE"""),"Advanced")</f>
        <v>Advanced</v>
      </c>
      <c r="D18" s="216" t="str">
        <f ca="1">IFERROR(__xludf.DUMMYFUNCTION("""COMPUTED_VALUE"""),"Becoming an Agile Coach")</f>
        <v>Becoming an Agile Coach</v>
      </c>
      <c r="E18" s="217" t="str">
        <f ca="1">IFERROR(__xludf.DUMMYFUNCTION("""COMPUTED_VALUE"""),"Become a Six Sigma Yellow Belt")</f>
        <v>Become a Six Sigma Yellow Belt</v>
      </c>
      <c r="F18" s="213"/>
      <c r="G18" s="214">
        <f ca="1">IFERROR(__xludf.DUMMYFUNCTION("""COMPUTED_VALUE"""),605126)</f>
        <v>605126</v>
      </c>
      <c r="H18" s="215" t="str">
        <f ca="1">IFERROR(__xludf.DUMMYFUNCTION("""COMPUTED_VALUE"""),"Intermediate")</f>
        <v>Intermediate</v>
      </c>
      <c r="I18" s="217" t="str">
        <f ca="1">IFERROR(__xludf.DUMMYFUNCTION("""COMPUTED_VALUE"""),"La gestion de projet : Le calcul de la valeur acquise")</f>
        <v>La gestion de projet : Le calcul de la valeur acquise</v>
      </c>
      <c r="J18" s="217"/>
      <c r="K18" s="213"/>
      <c r="L18" s="215">
        <f ca="1">IFERROR(__xludf.DUMMYFUNCTION("""COMPUTED_VALUE"""),587140)</f>
        <v>587140</v>
      </c>
      <c r="M18" s="215" t="str">
        <f ca="1">IFERROR(__xludf.DUMMYFUNCTION("""COMPUTED_VALUE"""),"Beginner")</f>
        <v>Beginner</v>
      </c>
      <c r="N18" s="217" t="str">
        <f ca="1">IFERROR(__xludf.DUMMYFUNCTION("""COMPUTED_VALUE"""),"Fundamentos de la gestión de proyectos ágil")</f>
        <v>Fundamentos de la gestión de proyectos ágil</v>
      </c>
      <c r="O18" s="217"/>
      <c r="P18" s="213"/>
      <c r="Q18" s="215">
        <f ca="1">IFERROR(__xludf.DUMMYFUNCTION("""COMPUTED_VALUE"""),648142)</f>
        <v>648142</v>
      </c>
      <c r="R18" s="215" t="str">
        <f ca="1">IFERROR(__xludf.DUMMYFUNCTION("""COMPUTED_VALUE"""),"Beginner")</f>
        <v>Beginner</v>
      </c>
      <c r="S18" s="217" t="str">
        <f ca="1">IFERROR(__xludf.DUMMYFUNCTION("""COMPUTED_VALUE"""),"Design Thinking – Grundlagen")</f>
        <v>Design Thinking – Grundlagen</v>
      </c>
      <c r="T18" s="217"/>
      <c r="U18" s="213"/>
      <c r="V18" s="215">
        <f ca="1">IFERROR(__xludf.DUMMYFUNCTION("""COMPUTED_VALUE"""),3146327)</f>
        <v>3146327</v>
      </c>
      <c r="W18" s="215" t="str">
        <f ca="1">IFERROR(__xludf.DUMMYFUNCTION("""COMPUTED_VALUE"""),"Beginner")</f>
        <v>Beginner</v>
      </c>
      <c r="X18" s="217" t="str">
        <f ca="1">IFERROR(__xludf.DUMMYFUNCTION("""COMPUTED_VALUE"""),"プロジェクトマネジメントの基礎：スコープクリープを防ぐには")</f>
        <v>プロジェクトマネジメントの基礎：スコープクリープを防ぐには</v>
      </c>
      <c r="Y18" s="217"/>
      <c r="Z18" s="213"/>
      <c r="AA18" s="215">
        <f ca="1">IFERROR(__xludf.DUMMYFUNCTION("""COMPUTED_VALUE"""),2909982)</f>
        <v>2909982</v>
      </c>
      <c r="AB18" s="215" t="str">
        <f ca="1">IFERROR(__xludf.DUMMYFUNCTION("""COMPUTED_VALUE"""),"Beginner")</f>
        <v>Beginner</v>
      </c>
      <c r="AC18" s="217" t="str">
        <f ca="1">IFERROR(__xludf.DUMMYFUNCTION("""COMPUTED_VALUE"""),"Fundamentos de Gestão de Projetos: Ética")</f>
        <v>Fundamentos de Gestão de Projetos: Ética</v>
      </c>
      <c r="AD18" s="217"/>
      <c r="AE18" s="213"/>
      <c r="AF18" s="215">
        <f ca="1">IFERROR(__xludf.DUMMYFUNCTION("""COMPUTED_VALUE"""),2824241)</f>
        <v>2824241</v>
      </c>
      <c r="AG18" s="215" t="str">
        <f ca="1">IFERROR(__xludf.DUMMYFUNCTION("""COMPUTED_VALUE"""),"Beginner")</f>
        <v>Beginner</v>
      </c>
      <c r="AH18" s="217" t="str">
        <f ca="1">IFERROR(__xludf.DUMMYFUNCTION("""COMPUTED_VALUE"""),"项目管理基础知识：变更")</f>
        <v>项目管理基础知识：变更</v>
      </c>
      <c r="AI18" s="217"/>
      <c r="AJ18" s="213"/>
    </row>
    <row r="19" spans="1:36" ht="33.75" customHeight="1">
      <c r="A19" s="213"/>
      <c r="B19" s="214">
        <f ca="1">IFERROR(__xludf.DUMMYFUNCTION("""COMPUTED_VALUE"""),756288)</f>
        <v>756288</v>
      </c>
      <c r="C19" s="215" t="str">
        <f ca="1">IFERROR(__xludf.DUMMYFUNCTION("""COMPUTED_VALUE"""),"Beginner")</f>
        <v>Beginner</v>
      </c>
      <c r="D19" s="216" t="str">
        <f ca="1">IFERROR(__xludf.DUMMYFUNCTION("""COMPUTED_VALUE"""),"Project Management Foundations: Integration")</f>
        <v>Project Management Foundations: Integration</v>
      </c>
      <c r="E19" s="217" t="str">
        <f ca="1">IFERROR(__xludf.DUMMYFUNCTION("""COMPUTED_VALUE"""),"Become a Software Project Manager")</f>
        <v>Become a Software Project Manager</v>
      </c>
      <c r="F19" s="213"/>
      <c r="G19" s="214">
        <f ca="1">IFERROR(__xludf.DUMMYFUNCTION("""COMPUTED_VALUE"""),738772)</f>
        <v>738772</v>
      </c>
      <c r="H19" s="215" t="str">
        <f ca="1">IFERROR(__xludf.DUMMYFUNCTION("""COMPUTED_VALUE"""),"Beginner")</f>
        <v>Beginner</v>
      </c>
      <c r="I19" s="217" t="str">
        <f ca="1">IFERROR(__xludf.DUMMYFUNCTION("""COMPUTED_VALUE"""),"Les fondements de la gestion de programme")</f>
        <v>Les fondements de la gestion de programme</v>
      </c>
      <c r="J19" s="217"/>
      <c r="K19" s="213"/>
      <c r="L19" s="215">
        <f ca="1">IFERROR(__xludf.DUMMYFUNCTION("""COMPUTED_VALUE"""),605150)</f>
        <v>605150</v>
      </c>
      <c r="M19" s="215" t="str">
        <f ca="1">IFERROR(__xludf.DUMMYFUNCTION("""COMPUTED_VALUE"""),"Intermediate")</f>
        <v>Intermediate</v>
      </c>
      <c r="N19" s="217" t="str">
        <f ca="1">IFERROR(__xludf.DUMMYFUNCTION("""COMPUTED_VALUE"""),"Fundamentos de la gestión de proyectos: Calendarios")</f>
        <v>Fundamentos de la gestión de proyectos: Calendarios</v>
      </c>
      <c r="O19" s="217"/>
      <c r="P19" s="213"/>
      <c r="Q19" s="215">
        <f ca="1">IFERROR(__xludf.DUMMYFUNCTION("""COMPUTED_VALUE"""),631820)</f>
        <v>631820</v>
      </c>
      <c r="R19" s="215" t="str">
        <f ca="1">IFERROR(__xludf.DUMMYFUNCTION("""COMPUTED_VALUE"""),"Beginner")</f>
        <v>Beginner</v>
      </c>
      <c r="S19" s="217" t="str">
        <f ca="1">IFERROR(__xludf.DUMMYFUNCTION("""COMPUTED_VALUE"""),"Design Thinking am Praxisbeispiel")</f>
        <v>Design Thinking am Praxisbeispiel</v>
      </c>
      <c r="T19" s="217"/>
      <c r="U19" s="213"/>
      <c r="V19" s="215">
        <f ca="1">IFERROR(__xludf.DUMMYFUNCTION("""COMPUTED_VALUE"""),2917520)</f>
        <v>2917520</v>
      </c>
      <c r="W19" s="215" t="str">
        <f ca="1">IFERROR(__xludf.DUMMYFUNCTION("""COMPUTED_VALUE"""),"Beginner")</f>
        <v>Beginner</v>
      </c>
      <c r="X19" s="217" t="str">
        <f ca="1">IFERROR(__xludf.DUMMYFUNCTION("""COMPUTED_VALUE"""),"プロジェクトマネジメントの基礎：ステークホルダー")</f>
        <v>プロジェクトマネジメントの基礎：ステークホルダー</v>
      </c>
      <c r="Y19" s="217"/>
      <c r="Z19" s="213"/>
      <c r="AA19" s="215">
        <f ca="1">IFERROR(__xludf.DUMMYFUNCTION("""COMPUTED_VALUE"""),2910534)</f>
        <v>2910534</v>
      </c>
      <c r="AB19" s="215" t="str">
        <f ca="1">IFERROR(__xludf.DUMMYFUNCTION("""COMPUTED_VALUE"""),"Intermediate")</f>
        <v>Intermediate</v>
      </c>
      <c r="AC19" s="217" t="str">
        <f ca="1">IFERROR(__xludf.DUMMYFUNCTION("""COMPUTED_VALUE"""),"Fundamentos de Gestão de Projetos: Integração")</f>
        <v>Fundamentos de Gestão de Projetos: Integração</v>
      </c>
      <c r="AD19" s="217"/>
      <c r="AE19" s="213"/>
      <c r="AF19" s="215">
        <f ca="1">IFERROR(__xludf.DUMMYFUNCTION("""COMPUTED_VALUE"""),762258)</f>
        <v>762258</v>
      </c>
      <c r="AG19" s="215" t="str">
        <f ca="1">IFERROR(__xludf.DUMMYFUNCTION("""COMPUTED_VALUE"""),"Beginner")</f>
        <v>Beginner</v>
      </c>
      <c r="AH19" s="217" t="str">
        <f ca="1">IFERROR(__xludf.DUMMYFUNCTION("""COMPUTED_VALUE"""),"项目管理基础知识：团队")</f>
        <v>项目管理基础知识：团队</v>
      </c>
      <c r="AI19" s="217"/>
      <c r="AJ19" s="213"/>
    </row>
    <row r="20" spans="1:36" ht="33.75" customHeight="1">
      <c r="A20" s="213"/>
      <c r="B20" s="214">
        <f ca="1">IFERROR(__xludf.DUMMYFUNCTION("""COMPUTED_VALUE"""),612167)</f>
        <v>612167</v>
      </c>
      <c r="C20" s="215" t="str">
        <f ca="1">IFERROR(__xludf.DUMMYFUNCTION("""COMPUTED_VALUE"""),"Beginner")</f>
        <v>Beginner</v>
      </c>
      <c r="D20" s="216" t="str">
        <f ca="1">IFERROR(__xludf.DUMMYFUNCTION("""COMPUTED_VALUE"""),"Project Management Foundations: Small Projects")</f>
        <v>Project Management Foundations: Small Projects</v>
      </c>
      <c r="E20" s="217" t="str">
        <f ca="1">IFERROR(__xludf.DUMMYFUNCTION("""COMPUTED_VALUE"""),"Become a Supply Chain Manager")</f>
        <v>Become a Supply Chain Manager</v>
      </c>
      <c r="F20" s="213"/>
      <c r="G20" s="214">
        <f ca="1">IFERROR(__xludf.DUMMYFUNCTION("""COMPUTED_VALUE"""),439127)</f>
        <v>439127</v>
      </c>
      <c r="H20" s="215" t="str">
        <f ca="1">IFERROR(__xludf.DUMMYFUNCTION("""COMPUTED_VALUE"""),"Beginner, Intermediate")</f>
        <v>Beginner, Intermediate</v>
      </c>
      <c r="I20" s="217" t="str">
        <f ca="1">IFERROR(__xludf.DUMMYFUNCTION("""COMPUTED_VALUE"""),"Les fondements de la gestion de projet")</f>
        <v>Les fondements de la gestion de projet</v>
      </c>
      <c r="J20" s="217"/>
      <c r="K20" s="213"/>
      <c r="L20" s="215">
        <f ca="1">IFERROR(__xludf.DUMMYFUNCTION("""COMPUTED_VALUE"""),568990)</f>
        <v>568990</v>
      </c>
      <c r="M20" s="215" t="str">
        <f ca="1">IFERROR(__xludf.DUMMYFUNCTION("""COMPUTED_VALUE"""),"Beginner, Intermediate")</f>
        <v>Beginner, Intermediate</v>
      </c>
      <c r="N20" s="217" t="str">
        <f ca="1">IFERROR(__xludf.DUMMYFUNCTION("""COMPUTED_VALUE"""),"Fundamentos de la gestión de proyectos: Calidad")</f>
        <v>Fundamentos de la gestión de proyectos: Calidad</v>
      </c>
      <c r="O20" s="217"/>
      <c r="P20" s="213"/>
      <c r="Q20" s="215">
        <f ca="1">IFERROR(__xludf.DUMMYFUNCTION("""COMPUTED_VALUE"""),3130116)</f>
        <v>3130116</v>
      </c>
      <c r="R20" s="215" t="str">
        <f ca="1">IFERROR(__xludf.DUMMYFUNCTION("""COMPUTED_VALUE"""),"All levels")</f>
        <v>All levels</v>
      </c>
      <c r="S20" s="217" t="str">
        <f ca="1">IFERROR(__xludf.DUMMYFUNCTION("""COMPUTED_VALUE"""),"Die Scrum-Revolution (Blinkist Kernaussagen)")</f>
        <v>Die Scrum-Revolution (Blinkist Kernaussagen)</v>
      </c>
      <c r="T20" s="217"/>
      <c r="U20" s="213"/>
      <c r="V20" s="215">
        <f ca="1">IFERROR(__xludf.DUMMYFUNCTION("""COMPUTED_VALUE"""),2915386)</f>
        <v>2915386</v>
      </c>
      <c r="W20" s="215" t="str">
        <f ca="1">IFERROR(__xludf.DUMMYFUNCTION("""COMPUTED_VALUE"""),"Beginner")</f>
        <v>Beginner</v>
      </c>
      <c r="X20" s="217" t="str">
        <f ca="1">IFERROR(__xludf.DUMMYFUNCTION("""COMPUTED_VALUE"""),"プロジェクトマネジメントの基礎：チーム")</f>
        <v>プロジェクトマネジメントの基礎：チーム</v>
      </c>
      <c r="Y20" s="217"/>
      <c r="Z20" s="213"/>
      <c r="AA20" s="215">
        <f ca="1">IFERROR(__xludf.DUMMYFUNCTION("""COMPUTED_VALUE"""),753226)</f>
        <v>753226</v>
      </c>
      <c r="AB20" s="215" t="str">
        <f ca="1">IFERROR(__xludf.DUMMYFUNCTION("""COMPUTED_VALUE"""),"Beginner")</f>
        <v>Beginner</v>
      </c>
      <c r="AC20" s="217" t="str">
        <f ca="1">IFERROR(__xludf.DUMMYFUNCTION("""COMPUTED_VALUE"""),"Fundamentos de Gestão de Projetos: Partes Interessadas")</f>
        <v>Fundamentos de Gestão de Projetos: Partes Interessadas</v>
      </c>
      <c r="AD20" s="217"/>
      <c r="AE20" s="213"/>
      <c r="AF20" s="215">
        <f ca="1">IFERROR(__xludf.DUMMYFUNCTION("""COMPUTED_VALUE"""),762222)</f>
        <v>762222</v>
      </c>
      <c r="AG20" s="215" t="str">
        <f ca="1">IFERROR(__xludf.DUMMYFUNCTION("""COMPUTED_VALUE"""),"Beginner")</f>
        <v>Beginner</v>
      </c>
      <c r="AH20" s="217" t="str">
        <f ca="1">IFERROR(__xludf.DUMMYFUNCTION("""COMPUTED_VALUE"""),"项目管理基础知识：小型项目")</f>
        <v>项目管理基础知识：小型项目</v>
      </c>
      <c r="AI20" s="217"/>
      <c r="AJ20" s="213"/>
    </row>
    <row r="21" spans="1:36" ht="33.75" customHeight="1">
      <c r="A21" s="213"/>
      <c r="B21" s="214">
        <f ca="1">IFERROR(__xludf.DUMMYFUNCTION("""COMPUTED_VALUE"""),724785)</f>
        <v>724785</v>
      </c>
      <c r="C21" s="215" t="str">
        <f ca="1">IFERROR(__xludf.DUMMYFUNCTION("""COMPUTED_VALUE"""),"Beginner")</f>
        <v>Beginner</v>
      </c>
      <c r="D21" s="216" t="str">
        <f ca="1">IFERROR(__xludf.DUMMYFUNCTION("""COMPUTED_VALUE"""),"Project Management: Preventing Scope Creep")</f>
        <v>Project Management: Preventing Scope Creep</v>
      </c>
      <c r="E21" s="217" t="str">
        <f ca="1">IFERROR(__xludf.DUMMYFUNCTION("""COMPUTED_VALUE"""),"Become a Technical Program Manager")</f>
        <v>Become a Technical Program Manager</v>
      </c>
      <c r="F21" s="213"/>
      <c r="G21" s="214">
        <f ca="1">IFERROR(__xludf.DUMMYFUNCTION("""COMPUTED_VALUE"""),568505)</f>
        <v>568505</v>
      </c>
      <c r="H21" s="215" t="str">
        <f ca="1">IFERROR(__xludf.DUMMYFUNCTION("""COMPUTED_VALUE"""),"All levels")</f>
        <v>All levels</v>
      </c>
      <c r="I21" s="217" t="str">
        <f ca="1">IFERROR(__xludf.DUMMYFUNCTION("""COMPUTED_VALUE"""),"Les fondements de la gestion de projet : La communication")</f>
        <v>Les fondements de la gestion de projet : La communication</v>
      </c>
      <c r="J21" s="217"/>
      <c r="K21" s="213"/>
      <c r="L21" s="215">
        <f ca="1">IFERROR(__xludf.DUMMYFUNCTION("""COMPUTED_VALUE"""),703866)</f>
        <v>703866</v>
      </c>
      <c r="M21" s="215" t="str">
        <f ca="1">IFERROR(__xludf.DUMMYFUNCTION("""COMPUTED_VALUE"""),"Beginner")</f>
        <v>Beginner</v>
      </c>
      <c r="N21" s="217" t="str">
        <f ca="1">IFERROR(__xludf.DUMMYFUNCTION("""COMPUTED_VALUE"""),"Fundamentos de la gestión de proyectos: Cambios")</f>
        <v>Fundamentos de la gestión de proyectos: Cambios</v>
      </c>
      <c r="O21" s="217"/>
      <c r="P21" s="213"/>
      <c r="Q21" s="215">
        <f ca="1">IFERROR(__xludf.DUMMYFUNCTION("""COMPUTED_VALUE"""),2929657)</f>
        <v>2929657</v>
      </c>
      <c r="R21" s="215" t="str">
        <f ca="1">IFERROR(__xludf.DUMMYFUNCTION("""COMPUTED_VALUE"""),"All levels")</f>
        <v>All levels</v>
      </c>
      <c r="S21" s="217" t="str">
        <f ca="1">IFERROR(__xludf.DUMMYFUNCTION("""COMPUTED_VALUE"""),"Ein agiles Mindset entwickeln")</f>
        <v>Ein agiles Mindset entwickeln</v>
      </c>
      <c r="T21" s="217"/>
      <c r="U21" s="213"/>
      <c r="V21" s="215">
        <f ca="1">IFERROR(__xludf.DUMMYFUNCTION("""COMPUTED_VALUE"""),2918415)</f>
        <v>2918415</v>
      </c>
      <c r="W21" s="215" t="str">
        <f ca="1">IFERROR(__xludf.DUMMYFUNCTION("""COMPUTED_VALUE"""),"Intermediate")</f>
        <v>Intermediate</v>
      </c>
      <c r="X21" s="217" t="str">
        <f ca="1">IFERROR(__xludf.DUMMYFUNCTION("""COMPUTED_VALUE"""),"プロジェクトマネジメントの基礎：リスク管理")</f>
        <v>プロジェクトマネジメントの基礎：リスク管理</v>
      </c>
      <c r="Y21" s="217"/>
      <c r="Z21" s="213"/>
      <c r="AA21" s="215">
        <f ca="1">IFERROR(__xludf.DUMMYFUNCTION("""COMPUTED_VALUE"""),2909981)</f>
        <v>2909981</v>
      </c>
      <c r="AB21" s="215" t="str">
        <f ca="1">IFERROR(__xludf.DUMMYFUNCTION("""COMPUTED_VALUE"""),"Beginner")</f>
        <v>Beginner</v>
      </c>
      <c r="AC21" s="217" t="str">
        <f ca="1">IFERROR(__xludf.DUMMYFUNCTION("""COMPUTED_VALUE"""),"Fundamentos de Gestão de Projetos: Qualidade")</f>
        <v>Fundamentos de Gestão de Projetos: Qualidade</v>
      </c>
      <c r="AD21" s="217"/>
      <c r="AE21" s="213"/>
      <c r="AF21" s="215">
        <f ca="1">IFERROR(__xludf.DUMMYFUNCTION("""COMPUTED_VALUE"""),2822440)</f>
        <v>2822440</v>
      </c>
      <c r="AG21" s="215" t="str">
        <f ca="1">IFERROR(__xludf.DUMMYFUNCTION("""COMPUTED_VALUE"""),"Intermediate")</f>
        <v>Intermediate</v>
      </c>
      <c r="AH21" s="217" t="str">
        <f ca="1">IFERROR(__xludf.DUMMYFUNCTION("""COMPUTED_VALUE"""),"项目管理基础知识：整合")</f>
        <v>项目管理基础知识：整合</v>
      </c>
      <c r="AI21" s="217"/>
      <c r="AJ21" s="213"/>
    </row>
    <row r="22" spans="1:36" ht="33.75" customHeight="1">
      <c r="A22" s="213"/>
      <c r="B22" s="214">
        <f ca="1">IFERROR(__xludf.DUMMYFUNCTION("""COMPUTED_VALUE"""),5034166)</f>
        <v>5034166</v>
      </c>
      <c r="C22" s="215" t="str">
        <f ca="1">IFERROR(__xludf.DUMMYFUNCTION("""COMPUTED_VALUE"""),"Beginner")</f>
        <v>Beginner</v>
      </c>
      <c r="D22" s="216" t="str">
        <f ca="1">IFERROR(__xludf.DUMMYFUNCTION("""COMPUTED_VALUE"""),"Project Management Foundations: Ethics")</f>
        <v>Project Management Foundations: Ethics</v>
      </c>
      <c r="E22" s="217" t="str">
        <f ca="1">IFERROR(__xludf.DUMMYFUNCTION("""COMPUTED_VALUE"""),"Develop Your Project Management Skills ")</f>
        <v xml:space="preserve">Develop Your Project Management Skills </v>
      </c>
      <c r="F22" s="213"/>
      <c r="G22" s="214">
        <f ca="1">IFERROR(__xludf.DUMMYFUNCTION("""COMPUTED_VALUE"""),717884)</f>
        <v>717884</v>
      </c>
      <c r="H22" s="215" t="str">
        <f ca="1">IFERROR(__xludf.DUMMYFUNCTION("""COMPUTED_VALUE"""),"Intermediate")</f>
        <v>Intermediate</v>
      </c>
      <c r="I22" s="217" t="str">
        <f ca="1">IFERROR(__xludf.DUMMYFUNCTION("""COMPUTED_VALUE"""),"Les fondements de la gestion de projet : La conduite de projets")</f>
        <v>Les fondements de la gestion de projet : La conduite de projets</v>
      </c>
      <c r="J22" s="217"/>
      <c r="K22" s="213"/>
      <c r="L22" s="215">
        <f ca="1">IFERROR(__xludf.DUMMYFUNCTION("""COMPUTED_VALUE"""),656482)</f>
        <v>656482</v>
      </c>
      <c r="M22" s="215" t="str">
        <f ca="1">IFERROR(__xludf.DUMMYFUNCTION("""COMPUTED_VALUE"""),"Beginner, Intermediate")</f>
        <v>Beginner, Intermediate</v>
      </c>
      <c r="N22" s="217" t="str">
        <f ca="1">IFERROR(__xludf.DUMMYFUNCTION("""COMPUTED_VALUE"""),"Fundamentos de la gestión de proyectos: Compras")</f>
        <v>Fundamentos de la gestión de proyectos: Compras</v>
      </c>
      <c r="O22" s="217"/>
      <c r="P22" s="213"/>
      <c r="Q22" s="215">
        <f ca="1">IFERROR(__xludf.DUMMYFUNCTION("""COMPUTED_VALUE"""),559542)</f>
        <v>559542</v>
      </c>
      <c r="R22" s="215" t="str">
        <f ca="1">IFERROR(__xludf.DUMMYFUNCTION("""COMPUTED_VALUE"""),"Beginner")</f>
        <v>Beginner</v>
      </c>
      <c r="S22" s="217" t="str">
        <f ca="1">IFERROR(__xludf.DUMMYFUNCTION("""COMPUTED_VALUE"""),"Einführung ins Projektmanagement")</f>
        <v>Einführung ins Projektmanagement</v>
      </c>
      <c r="T22" s="217"/>
      <c r="U22" s="213"/>
      <c r="V22" s="215">
        <f ca="1">IFERROR(__xludf.DUMMYFUNCTION("""COMPUTED_VALUE"""),2202292)</f>
        <v>2202292</v>
      </c>
      <c r="W22" s="215" t="str">
        <f ca="1">IFERROR(__xludf.DUMMYFUNCTION("""COMPUTED_VALUE"""),"Intermediate")</f>
        <v>Intermediate</v>
      </c>
      <c r="X22" s="217" t="str">
        <f ca="1">IFERROR(__xludf.DUMMYFUNCTION("""COMPUTED_VALUE"""),"プロジェクトマネジメントの基礎：予算管理")</f>
        <v>プロジェクトマネジメントの基礎：予算管理</v>
      </c>
      <c r="Y22" s="217"/>
      <c r="Z22" s="213"/>
      <c r="AA22" s="215">
        <f ca="1">IFERROR(__xludf.DUMMYFUNCTION("""COMPUTED_VALUE"""),752467)</f>
        <v>752467</v>
      </c>
      <c r="AB22" s="215" t="str">
        <f ca="1">IFERROR(__xludf.DUMMYFUNCTION("""COMPUTED_VALUE"""),"Beginner")</f>
        <v>Beginner</v>
      </c>
      <c r="AC22" s="217" t="str">
        <f ca="1">IFERROR(__xludf.DUMMYFUNCTION("""COMPUTED_VALUE"""),"Fundamentos de Gestão de Projetos: Riscos")</f>
        <v>Fundamentos de Gestão de Projetos: Riscos</v>
      </c>
      <c r="AD22" s="217"/>
      <c r="AE22" s="213"/>
      <c r="AF22" s="215">
        <f ca="1">IFERROR(__xludf.DUMMYFUNCTION("""COMPUTED_VALUE"""),767949)</f>
        <v>767949</v>
      </c>
      <c r="AG22" s="215" t="str">
        <f ca="1">IFERROR(__xludf.DUMMYFUNCTION("""COMPUTED_VALUE"""),"Beginner")</f>
        <v>Beginner</v>
      </c>
      <c r="AH22" s="217" t="str">
        <f ca="1">IFERROR(__xludf.DUMMYFUNCTION("""COMPUTED_VALUE"""),"项目管理基础知识：日程安排")</f>
        <v>项目管理基础知识：日程安排</v>
      </c>
      <c r="AI22" s="217"/>
      <c r="AJ22" s="213"/>
    </row>
    <row r="23" spans="1:36" ht="33.75" customHeight="1">
      <c r="A23" s="213"/>
      <c r="B23" s="214">
        <f ca="1">IFERROR(__xludf.DUMMYFUNCTION("""COMPUTED_VALUE"""),5043072)</f>
        <v>5043072</v>
      </c>
      <c r="C23" s="215" t="str">
        <f ca="1">IFERROR(__xludf.DUMMYFUNCTION("""COMPUTED_VALUE"""),"Beginner")</f>
        <v>Beginner</v>
      </c>
      <c r="D23" s="216" t="str">
        <f ca="1">IFERROR(__xludf.DUMMYFUNCTION("""COMPUTED_VALUE"""),"Skilled Trades: Resumes and Portfolios")</f>
        <v>Skilled Trades: Resumes and Portfolios</v>
      </c>
      <c r="E23" s="217" t="str">
        <f ca="1">IFERROR(__xludf.DUMMYFUNCTION("""COMPUTED_VALUE"""),"Improve Your Business Analysis Skills")</f>
        <v>Improve Your Business Analysis Skills</v>
      </c>
      <c r="F23" s="213"/>
      <c r="G23" s="214">
        <f ca="1">IFERROR(__xludf.DUMMYFUNCTION("""COMPUTED_VALUE"""),600487)</f>
        <v>600487</v>
      </c>
      <c r="H23" s="215" t="str">
        <f ca="1">IFERROR(__xludf.DUMMYFUNCTION("""COMPUTED_VALUE"""),"Intermediate")</f>
        <v>Intermediate</v>
      </c>
      <c r="I23" s="217" t="str">
        <f ca="1">IFERROR(__xludf.DUMMYFUNCTION("""COMPUTED_VALUE"""),"Les fondements de la gestion de projet : La qualité")</f>
        <v>Les fondements de la gestion de projet : La qualité</v>
      </c>
      <c r="J23" s="217"/>
      <c r="K23" s="213"/>
      <c r="L23" s="215">
        <f ca="1">IFERROR(__xludf.DUMMYFUNCTION("""COMPUTED_VALUE"""),703862)</f>
        <v>703862</v>
      </c>
      <c r="M23" s="215" t="str">
        <f ca="1">IFERROR(__xludf.DUMMYFUNCTION("""COMPUTED_VALUE"""),"Beginner")</f>
        <v>Beginner</v>
      </c>
      <c r="N23" s="217" t="str">
        <f ca="1">IFERROR(__xludf.DUMMYFUNCTION("""COMPUTED_VALUE"""),"Fundamentos de la gestión de proyectos: Comunicación")</f>
        <v>Fundamentos de la gestión de proyectos: Comunicación</v>
      </c>
      <c r="O23" s="217"/>
      <c r="P23" s="213"/>
      <c r="Q23" s="215">
        <f ca="1">IFERROR(__xludf.DUMMYFUNCTION("""COMPUTED_VALUE"""),686450)</f>
        <v>686450</v>
      </c>
      <c r="R23" s="215" t="str">
        <f ca="1">IFERROR(__xludf.DUMMYFUNCTION("""COMPUTED_VALUE"""),"Beginner")</f>
        <v>Beginner</v>
      </c>
      <c r="S23" s="217" t="str">
        <f ca="1">IFERROR(__xludf.DUMMYFUNCTION("""COMPUTED_VALUE"""),"Gantt-Diagramme nutzen")</f>
        <v>Gantt-Diagramme nutzen</v>
      </c>
      <c r="T23" s="217"/>
      <c r="U23" s="213"/>
      <c r="V23" s="215">
        <f ca="1">IFERROR(__xludf.DUMMYFUNCTION("""COMPUTED_VALUE"""),2915387)</f>
        <v>2915387</v>
      </c>
      <c r="W23" s="215" t="str">
        <f ca="1">IFERROR(__xludf.DUMMYFUNCTION("""COMPUTED_VALUE"""),"Beginner")</f>
        <v>Beginner</v>
      </c>
      <c r="X23" s="217" t="str">
        <f ca="1">IFERROR(__xludf.DUMMYFUNCTION("""COMPUTED_VALUE"""),"プロジェクトマネジメントの基礎：小規模プロジェクト")</f>
        <v>プロジェクトマネジメントの基礎：小規模プロジェクト</v>
      </c>
      <c r="Y23" s="217"/>
      <c r="Z23" s="213"/>
      <c r="AA23" s="215">
        <f ca="1">IFERROR(__xludf.DUMMYFUNCTION("""COMPUTED_VALUE"""),2908961)</f>
        <v>2908961</v>
      </c>
      <c r="AB23" s="215" t="str">
        <f ca="1">IFERROR(__xludf.DUMMYFUNCTION("""COMPUTED_VALUE"""),"Beginner")</f>
        <v>Beginner</v>
      </c>
      <c r="AC23" s="217" t="str">
        <f ca="1">IFERROR(__xludf.DUMMYFUNCTION("""COMPUTED_VALUE"""),"Fundamentos de Gestão de Projetos: Solicitações de Mudança")</f>
        <v>Fundamentos de Gestão de Projetos: Solicitações de Mudança</v>
      </c>
      <c r="AD23" s="217"/>
      <c r="AE23" s="213"/>
      <c r="AF23" s="215">
        <f ca="1">IFERROR(__xludf.DUMMYFUNCTION("""COMPUTED_VALUE"""),773660)</f>
        <v>773660</v>
      </c>
      <c r="AG23" s="215" t="str">
        <f ca="1">IFERROR(__xludf.DUMMYFUNCTION("""COMPUTED_VALUE"""),"Beginner")</f>
        <v>Beginner</v>
      </c>
      <c r="AH23" s="217" t="str">
        <f ca="1">IFERROR(__xludf.DUMMYFUNCTION("""COMPUTED_VALUE"""),"项目管理基础知识：沟通")</f>
        <v>项目管理基础知识：沟通</v>
      </c>
      <c r="AI23" s="217"/>
      <c r="AJ23" s="213"/>
    </row>
    <row r="24" spans="1:36" ht="33.75" customHeight="1">
      <c r="A24" s="213"/>
      <c r="B24" s="214">
        <f ca="1">IFERROR(__xludf.DUMMYFUNCTION("""COMPUTED_VALUE"""),2253159)</f>
        <v>2253159</v>
      </c>
      <c r="C24" s="215" t="str">
        <f ca="1">IFERROR(__xludf.DUMMYFUNCTION("""COMPUTED_VALUE"""),"Beginner")</f>
        <v>Beginner</v>
      </c>
      <c r="D24" s="216" t="str">
        <f ca="1">IFERROR(__xludf.DUMMYFUNCTION("""COMPUTED_VALUE"""),"Project Management Foundations: Requirements")</f>
        <v>Project Management Foundations: Requirements</v>
      </c>
      <c r="E24" s="217" t="str">
        <f ca="1">IFERROR(__xludf.DUMMYFUNCTION("""COMPUTED_VALUE"""),"Prepare for the PMI ACP Certification")</f>
        <v>Prepare for the PMI ACP Certification</v>
      </c>
      <c r="F24" s="213"/>
      <c r="G24" s="214">
        <f ca="1">IFERROR(__xludf.DUMMYFUNCTION("""COMPUTED_VALUE"""),605127)</f>
        <v>605127</v>
      </c>
      <c r="H24" s="215" t="str">
        <f ca="1">IFERROR(__xludf.DUMMYFUNCTION("""COMPUTED_VALUE"""),"Beginner, Intermediate")</f>
        <v>Beginner, Intermediate</v>
      </c>
      <c r="I24" s="217" t="str">
        <f ca="1">IFERROR(__xludf.DUMMYFUNCTION("""COMPUTED_VALUE"""),"Les fondements de la gestion de projet : Le changement")</f>
        <v>Les fondements de la gestion de projet : Le changement</v>
      </c>
      <c r="J24" s="217"/>
      <c r="K24" s="213"/>
      <c r="L24" s="215">
        <f ca="1">IFERROR(__xludf.DUMMYFUNCTION("""COMPUTED_VALUE"""),608978)</f>
        <v>608978</v>
      </c>
      <c r="M24" s="215" t="str">
        <f ca="1">IFERROR(__xludf.DUMMYFUNCTION("""COMPUTED_VALUE"""),"All levels")</f>
        <v>All levels</v>
      </c>
      <c r="N24" s="217" t="str">
        <f ca="1">IFERROR(__xludf.DUMMYFUNCTION("""COMPUTED_VALUE"""),"Fundamentos de la gestión de proyectos: Equipos")</f>
        <v>Fundamentos de la gestión de proyectos: Equipos</v>
      </c>
      <c r="O24" s="217"/>
      <c r="P24" s="213"/>
      <c r="Q24" s="215">
        <f ca="1">IFERROR(__xludf.DUMMYFUNCTION("""COMPUTED_VALUE"""),5025631)</f>
        <v>5025631</v>
      </c>
      <c r="R24" s="215" t="str">
        <f ca="1">IFERROR(__xludf.DUMMYFUNCTION("""COMPUTED_VALUE"""),"Beginner, Intermediate")</f>
        <v>Beginner, Intermediate</v>
      </c>
      <c r="S24" s="217" t="str">
        <f ca="1">IFERROR(__xludf.DUMMYFUNCTION("""COMPUTED_VALUE"""),"Grundlagen der Programmierung: Agile Softwareentwicklung")</f>
        <v>Grundlagen der Programmierung: Agile Softwareentwicklung</v>
      </c>
      <c r="T24" s="217"/>
      <c r="U24" s="213"/>
      <c r="V24" s="215">
        <f ca="1">IFERROR(__xludf.DUMMYFUNCTION("""COMPUTED_VALUE"""),3143330)</f>
        <v>3143330</v>
      </c>
      <c r="W24" s="215" t="str">
        <f ca="1">IFERROR(__xludf.DUMMYFUNCTION("""COMPUTED_VALUE"""),"Beginner")</f>
        <v>Beginner</v>
      </c>
      <c r="X24" s="217" t="str">
        <f ca="1">IFERROR(__xludf.DUMMYFUNCTION("""COMPUTED_VALUE"""),"プロジェクトマネジメントの基礎：統合管理")</f>
        <v>プロジェクトマネジメントの基礎：統合管理</v>
      </c>
      <c r="Y24" s="217"/>
      <c r="Z24" s="213"/>
      <c r="AA24" s="215">
        <f ca="1">IFERROR(__xludf.DUMMYFUNCTION("""COMPUTED_VALUE"""),798606)</f>
        <v>798606</v>
      </c>
      <c r="AB24" s="215" t="str">
        <f ca="1">IFERROR(__xludf.DUMMYFUNCTION("""COMPUTED_VALUE"""),"Beginner, Intermediate")</f>
        <v>Beginner, Intermediate</v>
      </c>
      <c r="AC24" s="217" t="str">
        <f ca="1">IFERROR(__xludf.DUMMYFUNCTION("""COMPUTED_VALUE"""),"Fundamentos do Scrum")</f>
        <v>Fundamentos do Scrum</v>
      </c>
      <c r="AD24" s="217"/>
      <c r="AE24" s="213"/>
      <c r="AF24" s="215">
        <f ca="1">IFERROR(__xludf.DUMMYFUNCTION("""COMPUTED_VALUE"""),2822701)</f>
        <v>2822701</v>
      </c>
      <c r="AG24" s="215" t="str">
        <f ca="1">IFERROR(__xludf.DUMMYFUNCTION("""COMPUTED_VALUE"""),"Beginner")</f>
        <v>Beginner</v>
      </c>
      <c r="AH24" s="217" t="str">
        <f ca="1">IFERROR(__xludf.DUMMYFUNCTION("""COMPUTED_VALUE"""),"项目管理基础知识：职业道德")</f>
        <v>项目管理基础知识：职业道德</v>
      </c>
      <c r="AI24" s="217"/>
      <c r="AJ24" s="213"/>
    </row>
    <row r="25" spans="1:36" ht="33.75" customHeight="1">
      <c r="A25" s="213"/>
      <c r="B25" s="214">
        <f ca="1">IFERROR(__xludf.DUMMYFUNCTION("""COMPUTED_VALUE"""),2254037)</f>
        <v>2254037</v>
      </c>
      <c r="C25" s="215" t="str">
        <f ca="1">IFERROR(__xludf.DUMMYFUNCTION("""COMPUTED_VALUE"""),"Beginner")</f>
        <v>Beginner</v>
      </c>
      <c r="D25" s="216" t="str">
        <f ca="1">IFERROR(__xludf.DUMMYFUNCTION("""COMPUTED_VALUE"""),"Project Management Foundations: Teams")</f>
        <v>Project Management Foundations: Teams</v>
      </c>
      <c r="E25" s="217" t="str">
        <f ca="1">IFERROR(__xludf.DUMMYFUNCTION("""COMPUTED_VALUE"""),"Stay Ahead in Construction Management")</f>
        <v>Stay Ahead in Construction Management</v>
      </c>
      <c r="F25" s="213"/>
      <c r="G25" s="214">
        <f ca="1">IFERROR(__xludf.DUMMYFUNCTION("""COMPUTED_VALUE"""),575890)</f>
        <v>575890</v>
      </c>
      <c r="H25" s="215" t="str">
        <f ca="1">IFERROR(__xludf.DUMMYFUNCTION("""COMPUTED_VALUE"""),"Beginner")</f>
        <v>Beginner</v>
      </c>
      <c r="I25" s="217" t="str">
        <f ca="1">IFERROR(__xludf.DUMMYFUNCTION("""COMPUTED_VALUE"""),"Les fondements de la gestion de projet : Les achats")</f>
        <v>Les fondements de la gestion de projet : Les achats</v>
      </c>
      <c r="J25" s="217"/>
      <c r="K25" s="213"/>
      <c r="L25" s="215">
        <f ca="1">IFERROR(__xludf.DUMMYFUNCTION("""COMPUTED_VALUE"""),708546)</f>
        <v>708546</v>
      </c>
      <c r="M25" s="215" t="str">
        <f ca="1">IFERROR(__xludf.DUMMYFUNCTION("""COMPUTED_VALUE"""),"Beginner")</f>
        <v>Beginner</v>
      </c>
      <c r="N25" s="217" t="str">
        <f ca="1">IFERROR(__xludf.DUMMYFUNCTION("""COMPUTED_VALUE"""),"Fundamentos de la gestión de proyectos: Ética")</f>
        <v>Fundamentos de la gestión de proyectos: Ética</v>
      </c>
      <c r="O25" s="217"/>
      <c r="P25" s="213"/>
      <c r="Q25" s="215">
        <f ca="1">IFERROR(__xludf.DUMMYFUNCTION("""COMPUTED_VALUE"""),761013)</f>
        <v>761013</v>
      </c>
      <c r="R25" s="215" t="str">
        <f ca="1">IFERROR(__xludf.DUMMYFUNCTION("""COMPUTED_VALUE"""),"Intermediate")</f>
        <v>Intermediate</v>
      </c>
      <c r="S25" s="217" t="str">
        <f ca="1">IFERROR(__xludf.DUMMYFUNCTION("""COMPUTED_VALUE"""),"Konfliktmanagement in Projekten")</f>
        <v>Konfliktmanagement in Projekten</v>
      </c>
      <c r="T25" s="217"/>
      <c r="U25" s="213"/>
      <c r="V25" s="215">
        <f ca="1">IFERROR(__xludf.DUMMYFUNCTION("""COMPUTED_VALUE"""),2916473)</f>
        <v>2916473</v>
      </c>
      <c r="W25" s="215" t="str">
        <f ca="1">IFERROR(__xludf.DUMMYFUNCTION("""COMPUTED_VALUE"""),"Intermediate")</f>
        <v>Intermediate</v>
      </c>
      <c r="X25" s="217" t="str">
        <f ca="1">IFERROR(__xludf.DUMMYFUNCTION("""COMPUTED_VALUE"""),"プロジェクトを成功に導くには")</f>
        <v>プロジェクトを成功に導くには</v>
      </c>
      <c r="Y25" s="217"/>
      <c r="Z25" s="213"/>
      <c r="AA25" s="215">
        <f ca="1">IFERROR(__xludf.DUMMYFUNCTION("""COMPUTED_VALUE"""),753075)</f>
        <v>753075</v>
      </c>
      <c r="AB25" s="215" t="str">
        <f ca="1">IFERROR(__xludf.DUMMYFUNCTION("""COMPUTED_VALUE"""),"Beginner")</f>
        <v>Beginner</v>
      </c>
      <c r="AC25" s="217" t="str">
        <f ca="1">IFERROR(__xludf.DUMMYFUNCTION("""COMPUTED_VALUE"""),"Gerenciamento de Cronogramas de Projetos")</f>
        <v>Gerenciamento de Cronogramas de Projetos</v>
      </c>
      <c r="AD25" s="217"/>
      <c r="AE25" s="213"/>
      <c r="AF25" s="215">
        <f ca="1">IFERROR(__xludf.DUMMYFUNCTION("""COMPUTED_VALUE"""),2823601)</f>
        <v>2823601</v>
      </c>
      <c r="AG25" s="215" t="str">
        <f ca="1">IFERROR(__xludf.DUMMYFUNCTION("""COMPUTED_VALUE"""),"Beginner")</f>
        <v>Beginner</v>
      </c>
      <c r="AH25" s="217" t="str">
        <f ca="1">IFERROR(__xludf.DUMMYFUNCTION("""COMPUTED_VALUE"""),"项目管理基础知识：质量")</f>
        <v>项目管理基础知识：质量</v>
      </c>
      <c r="AI25" s="217"/>
      <c r="AJ25" s="213"/>
    </row>
    <row r="26" spans="1:36" ht="33.75" customHeight="1">
      <c r="A26" s="213"/>
      <c r="B26" s="214">
        <f ca="1">IFERROR(__xludf.DUMMYFUNCTION("""COMPUTED_VALUE"""),2813141)</f>
        <v>2813141</v>
      </c>
      <c r="C26" s="215" t="str">
        <f ca="1">IFERROR(__xludf.DUMMYFUNCTION("""COMPUTED_VALUE"""),"Beginner")</f>
        <v>Beginner</v>
      </c>
      <c r="D26" s="216" t="str">
        <f ca="1">IFERROR(__xludf.DUMMYFUNCTION("""COMPUTED_VALUE"""),"Software Project Management Foundations")</f>
        <v>Software Project Management Foundations</v>
      </c>
      <c r="E26" s="217"/>
      <c r="F26" s="213"/>
      <c r="G26" s="214">
        <f ca="1">IFERROR(__xludf.DUMMYFUNCTION("""COMPUTED_VALUE"""),600488)</f>
        <v>600488</v>
      </c>
      <c r="H26" s="215" t="str">
        <f ca="1">IFERROR(__xludf.DUMMYFUNCTION("""COMPUTED_VALUE"""),"Intermediate")</f>
        <v>Intermediate</v>
      </c>
      <c r="I26" s="217" t="str">
        <f ca="1">IFERROR(__xludf.DUMMYFUNCTION("""COMPUTED_VALUE"""),"Les fondements de la gestion de projet : Les acteurs")</f>
        <v>Les fondements de la gestion de projet : Les acteurs</v>
      </c>
      <c r="J26" s="217"/>
      <c r="K26" s="213"/>
      <c r="L26" s="215">
        <f ca="1">IFERROR(__xludf.DUMMYFUNCTION("""COMPUTED_VALUE"""),708535)</f>
        <v>708535</v>
      </c>
      <c r="M26" s="215" t="str">
        <f ca="1">IFERROR(__xludf.DUMMYFUNCTION("""COMPUTED_VALUE"""),"Intermediate")</f>
        <v>Intermediate</v>
      </c>
      <c r="N26" s="217" t="str">
        <f ca="1">IFERROR(__xludf.DUMMYFUNCTION("""COMPUTED_VALUE"""),"Fundamentos de la gestión de proyectos: Integración")</f>
        <v>Fundamentos de la gestión de proyectos: Integración</v>
      </c>
      <c r="O26" s="217"/>
      <c r="P26" s="213"/>
      <c r="Q26" s="215">
        <f ca="1">IFERROR(__xludf.DUMMYFUNCTION("""COMPUTED_VALUE"""),3156266)</f>
        <v>3156266</v>
      </c>
      <c r="R26" s="215" t="str">
        <f ca="1">IFERROR(__xludf.DUMMYFUNCTION("""COMPUTED_VALUE"""),"Intermediate")</f>
        <v>Intermediate</v>
      </c>
      <c r="S26" s="217" t="str">
        <f ca="1">IFERROR(__xludf.DUMMYFUNCTION("""COMPUTED_VALUE"""),"Microsoft 365-Rollout für Projektleiter")</f>
        <v>Microsoft 365-Rollout für Projektleiter</v>
      </c>
      <c r="T26" s="217"/>
      <c r="U26" s="213"/>
      <c r="V26" s="215"/>
      <c r="W26" s="215"/>
      <c r="X26" s="217"/>
      <c r="Y26" s="217"/>
      <c r="Z26" s="213"/>
      <c r="AA26" s="215">
        <f ca="1">IFERROR(__xludf.DUMMYFUNCTION("""COMPUTED_VALUE"""),2910527)</f>
        <v>2910527</v>
      </c>
      <c r="AB26" s="215" t="str">
        <f ca="1">IFERROR(__xludf.DUMMYFUNCTION("""COMPUTED_VALUE"""),"Intermediate")</f>
        <v>Intermediate</v>
      </c>
      <c r="AC26" s="217" t="str">
        <f ca="1">IFERROR(__xludf.DUMMYFUNCTION("""COMPUTED_VALUE"""),"Gestão Ágil de Projetos com o Microsoft Project")</f>
        <v>Gestão Ágil de Projetos com o Microsoft Project</v>
      </c>
      <c r="AD26" s="217"/>
      <c r="AE26" s="213"/>
      <c r="AF26" s="215">
        <f ca="1">IFERROR(__xludf.DUMMYFUNCTION("""COMPUTED_VALUE"""),2261445)</f>
        <v>2261445</v>
      </c>
      <c r="AG26" s="215" t="str">
        <f ca="1">IFERROR(__xludf.DUMMYFUNCTION("""COMPUTED_VALUE"""),"Intermediate")</f>
        <v>Intermediate</v>
      </c>
      <c r="AH26" s="217" t="str">
        <f ca="1">IFERROR(__xludf.DUMMYFUNCTION("""COMPUTED_VALUE"""),"项目管理基础知识：防止范围蔓延")</f>
        <v>项目管理基础知识：防止范围蔓延</v>
      </c>
      <c r="AI26" s="217"/>
      <c r="AJ26" s="213"/>
    </row>
    <row r="27" spans="1:36" ht="33.75" customHeight="1">
      <c r="A27" s="213"/>
      <c r="B27" s="214">
        <f ca="1">IFERROR(__xludf.DUMMYFUNCTION("""COMPUTED_VALUE"""),2814140)</f>
        <v>2814140</v>
      </c>
      <c r="C27" s="215" t="str">
        <f ca="1">IFERROR(__xludf.DUMMYFUNCTION("""COMPUTED_VALUE"""),"Beginner")</f>
        <v>Beginner</v>
      </c>
      <c r="D27" s="216" t="str">
        <f ca="1">IFERROR(__xludf.DUMMYFUNCTION("""COMPUTED_VALUE"""),"Project Management Simplified")</f>
        <v>Project Management Simplified</v>
      </c>
      <c r="E27" s="217"/>
      <c r="F27" s="213"/>
      <c r="G27" s="214">
        <f ca="1">IFERROR(__xludf.DUMMYFUNCTION("""COMPUTED_VALUE"""),568309)</f>
        <v>568309</v>
      </c>
      <c r="H27" s="215" t="str">
        <f ca="1">IFERROR(__xludf.DUMMYFUNCTION("""COMPUTED_VALUE"""),"Beginner")</f>
        <v>Beginner</v>
      </c>
      <c r="I27" s="217" t="str">
        <f ca="1">IFERROR(__xludf.DUMMYFUNCTION("""COMPUTED_VALUE"""),"Les fondements de la gestion de projet : Les budgets")</f>
        <v>Les fondements de la gestion de projet : Les budgets</v>
      </c>
      <c r="J27" s="217"/>
      <c r="K27" s="213"/>
      <c r="L27" s="215">
        <f ca="1">IFERROR(__xludf.DUMMYFUNCTION("""COMPUTED_VALUE"""),708556)</f>
        <v>708556</v>
      </c>
      <c r="M27" s="215" t="str">
        <f ca="1">IFERROR(__xludf.DUMMYFUNCTION("""COMPUTED_VALUE"""),"Intermediate")</f>
        <v>Intermediate</v>
      </c>
      <c r="N27" s="217" t="str">
        <f ca="1">IFERROR(__xludf.DUMMYFUNCTION("""COMPUTED_VALUE"""),"Fundamentos de la gestión de proyectos: Liderazgo")</f>
        <v>Fundamentos de la gestión de proyectos: Liderazgo</v>
      </c>
      <c r="O27" s="217"/>
      <c r="P27" s="213"/>
      <c r="Q27" s="215">
        <f ca="1">IFERROR(__xludf.DUMMYFUNCTION("""COMPUTED_VALUE"""),2808041)</f>
        <v>2808041</v>
      </c>
      <c r="R27" s="215" t="str">
        <f ca="1">IFERROR(__xludf.DUMMYFUNCTION("""COMPUTED_VALUE"""),"Beginner, Intermediate")</f>
        <v>Beginner, Intermediate</v>
      </c>
      <c r="S27" s="217" t="str">
        <f ca="1">IFERROR(__xludf.DUMMYFUNCTION("""COMPUTED_VALUE"""),"Microsoft Project 2019 und Project Online Desktop Grundkurs")</f>
        <v>Microsoft Project 2019 und Project Online Desktop Grundkurs</v>
      </c>
      <c r="T27" s="217"/>
      <c r="U27" s="213"/>
      <c r="V27" s="215"/>
      <c r="W27" s="215"/>
      <c r="X27" s="217"/>
      <c r="Y27" s="217"/>
      <c r="Z27" s="213"/>
      <c r="AA27" s="215">
        <f ca="1">IFERROR(__xludf.DUMMYFUNCTION("""COMPUTED_VALUE"""),752459)</f>
        <v>752459</v>
      </c>
      <c r="AB27" s="215" t="str">
        <f ca="1">IFERROR(__xludf.DUMMYFUNCTION("""COMPUTED_VALUE"""),"Beginner")</f>
        <v>Beginner</v>
      </c>
      <c r="AC27" s="217" t="str">
        <f ca="1">IFERROR(__xludf.DUMMYFUNCTION("""COMPUTED_VALUE"""),"Gestão de Equipes de Projetos")</f>
        <v>Gestão de Equipes de Projetos</v>
      </c>
      <c r="AD27" s="217"/>
      <c r="AE27" s="213"/>
      <c r="AF27" s="215">
        <f ca="1">IFERROR(__xludf.DUMMYFUNCTION("""COMPUTED_VALUE"""),766748)</f>
        <v>766748</v>
      </c>
      <c r="AG27" s="215" t="str">
        <f ca="1">IFERROR(__xludf.DUMMYFUNCTION("""COMPUTED_VALUE"""),"Beginner")</f>
        <v>Beginner</v>
      </c>
      <c r="AH27" s="217" t="str">
        <f ca="1">IFERROR(__xludf.DUMMYFUNCTION("""COMPUTED_VALUE"""),"项目管理基础知识：预算")</f>
        <v>项目管理基础知识：预算</v>
      </c>
      <c r="AI27" s="217"/>
      <c r="AJ27" s="213"/>
    </row>
    <row r="28" spans="1:36" ht="33.75" customHeight="1">
      <c r="A28" s="213"/>
      <c r="B28" s="214">
        <f ca="1">IFERROR(__xludf.DUMMYFUNCTION("""COMPUTED_VALUE"""),2823295)</f>
        <v>2823295</v>
      </c>
      <c r="C28" s="215" t="str">
        <f ca="1">IFERROR(__xludf.DUMMYFUNCTION("""COMPUTED_VALUE"""),"Beginner")</f>
        <v>Beginner</v>
      </c>
      <c r="D28" s="216" t="str">
        <f ca="1">IFERROR(__xludf.DUMMYFUNCTION("""COMPUTED_VALUE"""),"Hoshin Planning")</f>
        <v>Hoshin Planning</v>
      </c>
      <c r="E28" s="217"/>
      <c r="F28" s="213"/>
      <c r="G28" s="214">
        <f ca="1">IFERROR(__xludf.DUMMYFUNCTION("""COMPUTED_VALUE"""),568983)</f>
        <v>568983</v>
      </c>
      <c r="H28" s="215" t="str">
        <f ca="1">IFERROR(__xludf.DUMMYFUNCTION("""COMPUTED_VALUE"""),"Beginner")</f>
        <v>Beginner</v>
      </c>
      <c r="I28" s="217" t="str">
        <f ca="1">IFERROR(__xludf.DUMMYFUNCTION("""COMPUTED_VALUE"""),"Les fondements de la gestion de projet : Les équipes")</f>
        <v>Les fondements de la gestion de projet : Les équipes</v>
      </c>
      <c r="J28" s="217"/>
      <c r="K28" s="213"/>
      <c r="L28" s="215">
        <f ca="1">IFERROR(__xludf.DUMMYFUNCTION("""COMPUTED_VALUE"""),568991)</f>
        <v>568991</v>
      </c>
      <c r="M28" s="215" t="str">
        <f ca="1">IFERROR(__xludf.DUMMYFUNCTION("""COMPUTED_VALUE"""),"Beginner, Intermediate")</f>
        <v>Beginner, Intermediate</v>
      </c>
      <c r="N28" s="217" t="str">
        <f ca="1">IFERROR(__xludf.DUMMYFUNCTION("""COMPUTED_VALUE"""),"Fundamentos de la gestión de proyectos: Presupuestos")</f>
        <v>Fundamentos de la gestión de proyectos: Presupuestos</v>
      </c>
      <c r="O28" s="217"/>
      <c r="P28" s="213"/>
      <c r="Q28" s="215">
        <f ca="1">IFERROR(__xludf.DUMMYFUNCTION("""COMPUTED_VALUE"""),686448)</f>
        <v>686448</v>
      </c>
      <c r="R28" s="215" t="str">
        <f ca="1">IFERROR(__xludf.DUMMYFUNCTION("""COMPUTED_VALUE"""),"Intermediate")</f>
        <v>Intermediate</v>
      </c>
      <c r="S28" s="217" t="str">
        <f ca="1">IFERROR(__xludf.DUMMYFUNCTION("""COMPUTED_VALUE"""),"Office 365: Project Online in Betrieb nehmen (Microsoft 365)")</f>
        <v>Office 365: Project Online in Betrieb nehmen (Microsoft 365)</v>
      </c>
      <c r="T28" s="217"/>
      <c r="U28" s="213"/>
      <c r="V28" s="215"/>
      <c r="W28" s="215"/>
      <c r="X28" s="217"/>
      <c r="Y28" s="217"/>
      <c r="Z28" s="213"/>
      <c r="AA28" s="215">
        <f ca="1">IFERROR(__xludf.DUMMYFUNCTION("""COMPUTED_VALUE"""),752466)</f>
        <v>752466</v>
      </c>
      <c r="AB28" s="215" t="str">
        <f ca="1">IFERROR(__xludf.DUMMYFUNCTION("""COMPUTED_VALUE"""),"Beginner")</f>
        <v>Beginner</v>
      </c>
      <c r="AC28" s="217" t="str">
        <f ca="1">IFERROR(__xludf.DUMMYFUNCTION("""COMPUTED_VALUE"""),"Gestão de Orçamentos em Projetos")</f>
        <v>Gestão de Orçamentos em Projetos</v>
      </c>
      <c r="AD28" s="217"/>
      <c r="AE28" s="213"/>
      <c r="AF28" s="215">
        <f ca="1">IFERROR(__xludf.DUMMYFUNCTION("""COMPUTED_VALUE"""),5010314)</f>
        <v>5010314</v>
      </c>
      <c r="AG28" s="215" t="str">
        <f ca="1">IFERROR(__xludf.DUMMYFUNCTION("""COMPUTED_VALUE"""),"Beginner")</f>
        <v>Beginner</v>
      </c>
      <c r="AH28" s="217" t="str">
        <f ca="1">IFERROR(__xludf.DUMMYFUNCTION("""COMPUTED_VALUE"""),"项目管理基础知识：领导项目")</f>
        <v>项目管理基础知识：领导项目</v>
      </c>
      <c r="AI28" s="217"/>
      <c r="AJ28" s="213"/>
    </row>
    <row r="29" spans="1:36" ht="33.75" customHeight="1">
      <c r="A29" s="213"/>
      <c r="B29" s="214">
        <f ca="1">IFERROR(__xludf.DUMMYFUNCTION("""COMPUTED_VALUE"""),2823298)</f>
        <v>2823298</v>
      </c>
      <c r="C29" s="215" t="str">
        <f ca="1">IFERROR(__xludf.DUMMYFUNCTION("""COMPUTED_VALUE"""),"Beginner")</f>
        <v>Beginner</v>
      </c>
      <c r="D29" s="216" t="str">
        <f ca="1">IFERROR(__xludf.DUMMYFUNCTION("""COMPUTED_VALUE"""),"Implementing Lean: A Case Study")</f>
        <v>Implementing Lean: A Case Study</v>
      </c>
      <c r="E29" s="217"/>
      <c r="F29" s="213"/>
      <c r="G29" s="214">
        <f ca="1">IFERROR(__xludf.DUMMYFUNCTION("""COMPUTED_VALUE"""),480123)</f>
        <v>480123</v>
      </c>
      <c r="H29" s="215" t="str">
        <f ca="1">IFERROR(__xludf.DUMMYFUNCTION("""COMPUTED_VALUE"""),"Beginner")</f>
        <v>Beginner</v>
      </c>
      <c r="I29" s="217" t="str">
        <f ca="1">IFERROR(__xludf.DUMMYFUNCTION("""COMPUTED_VALUE"""),"Les fondements de la gestion de projet : Les petits projets")</f>
        <v>Les fondements de la gestion de projet : Les petits projets</v>
      </c>
      <c r="J29" s="217"/>
      <c r="K29" s="213"/>
      <c r="L29" s="215">
        <f ca="1">IFERROR(__xludf.DUMMYFUNCTION("""COMPUTED_VALUE"""),403570)</f>
        <v>403570</v>
      </c>
      <c r="M29" s="215" t="str">
        <f ca="1">IFERROR(__xludf.DUMMYFUNCTION("""COMPUTED_VALUE"""),"Beginner")</f>
        <v>Beginner</v>
      </c>
      <c r="N29" s="217" t="str">
        <f ca="1">IFERROR(__xludf.DUMMYFUNCTION("""COMPUTED_VALUE"""),"Fundamentos de la gestión de proyectos: Proyectos pequeños")</f>
        <v>Fundamentos de la gestión de proyectos: Proyectos pequeños</v>
      </c>
      <c r="O29" s="217"/>
      <c r="P29" s="213"/>
      <c r="Q29" s="215">
        <f ca="1">IFERROR(__xludf.DUMMYFUNCTION("""COMPUTED_VALUE"""),703238)</f>
        <v>703238</v>
      </c>
      <c r="R29" s="215" t="str">
        <f ca="1">IFERROR(__xludf.DUMMYFUNCTION("""COMPUTED_VALUE"""),"Beginner")</f>
        <v>Beginner</v>
      </c>
      <c r="S29" s="217" t="str">
        <f ca="1">IFERROR(__xludf.DUMMYFUNCTION("""COMPUTED_VALUE"""),"Programmmanagement – Grundlagen")</f>
        <v>Programmmanagement – Grundlagen</v>
      </c>
      <c r="T29" s="217"/>
      <c r="U29" s="213"/>
      <c r="V29" s="215"/>
      <c r="W29" s="215"/>
      <c r="X29" s="217"/>
      <c r="Y29" s="217"/>
      <c r="Z29" s="213"/>
      <c r="AA29" s="215">
        <f ca="1">IFERROR(__xludf.DUMMYFUNCTION("""COMPUTED_VALUE"""),2423306)</f>
        <v>2423306</v>
      </c>
      <c r="AB29" s="215" t="str">
        <f ca="1">IFERROR(__xludf.DUMMYFUNCTION("""COMPUTED_VALUE"""),"Beginner, Intermediate")</f>
        <v>Beginner, Intermediate</v>
      </c>
      <c r="AC29" s="217" t="str">
        <f ca="1">IFERROR(__xludf.DUMMYFUNCTION("""COMPUTED_VALUE"""),"Gestão de Projetos com Microsoft Teams")</f>
        <v>Gestão de Projetos com Microsoft Teams</v>
      </c>
      <c r="AD29" s="217"/>
      <c r="AE29" s="213"/>
      <c r="AF29" s="215">
        <f ca="1">IFERROR(__xludf.DUMMYFUNCTION("""COMPUTED_VALUE"""),766773)</f>
        <v>766773</v>
      </c>
      <c r="AG29" s="215" t="str">
        <f ca="1">IFERROR(__xludf.DUMMYFUNCTION("""COMPUTED_VALUE"""),"Beginner")</f>
        <v>Beginner</v>
      </c>
      <c r="AH29" s="217" t="str">
        <f ca="1">IFERROR(__xludf.DUMMYFUNCTION("""COMPUTED_VALUE"""),"项目管理基础知识：风险")</f>
        <v>项目管理基础知识：风险</v>
      </c>
      <c r="AI29" s="217"/>
      <c r="AJ29" s="213"/>
    </row>
    <row r="30" spans="1:36" ht="33.75" customHeight="1">
      <c r="A30" s="213"/>
      <c r="B30" s="214">
        <f ca="1">IFERROR(__xludf.DUMMYFUNCTION("""COMPUTED_VALUE"""),2824205)</f>
        <v>2824205</v>
      </c>
      <c r="C30" s="215" t="str">
        <f ca="1">IFERROR(__xludf.DUMMYFUNCTION("""COMPUTED_VALUE"""),"Beginner")</f>
        <v>Beginner</v>
      </c>
      <c r="D30" s="216" t="str">
        <f ca="1">IFERROR(__xludf.DUMMYFUNCTION("""COMPUTED_VALUE"""),"From Resisting to Embracing Lean: A Case Study")</f>
        <v>From Resisting to Embracing Lean: A Case Study</v>
      </c>
      <c r="E30" s="217"/>
      <c r="F30" s="213"/>
      <c r="G30" s="214">
        <f ca="1">IFERROR(__xludf.DUMMYFUNCTION("""COMPUTED_VALUE"""),575892)</f>
        <v>575892</v>
      </c>
      <c r="H30" s="215" t="str">
        <f ca="1">IFERROR(__xludf.DUMMYFUNCTION("""COMPUTED_VALUE"""),"Beginner")</f>
        <v>Beginner</v>
      </c>
      <c r="I30" s="217" t="str">
        <f ca="1">IFERROR(__xludf.DUMMYFUNCTION("""COMPUTED_VALUE"""),"Les fondements de la gestion de projet : Les questions éthiques")</f>
        <v>Les fondements de la gestion de projet : Les questions éthiques</v>
      </c>
      <c r="J30" s="217"/>
      <c r="K30" s="213"/>
      <c r="L30" s="215">
        <f ca="1">IFERROR(__xludf.DUMMYFUNCTION("""COMPUTED_VALUE"""),587142)</f>
        <v>587142</v>
      </c>
      <c r="M30" s="215" t="str">
        <f ca="1">IFERROR(__xludf.DUMMYFUNCTION("""COMPUTED_VALUE"""),"Intermediate")</f>
        <v>Intermediate</v>
      </c>
      <c r="N30" s="217" t="str">
        <f ca="1">IFERROR(__xludf.DUMMYFUNCTION("""COMPUTED_VALUE"""),"Fundamentos de la gestión de proyectos: Riesgos")</f>
        <v>Fundamentos de la gestión de proyectos: Riesgos</v>
      </c>
      <c r="O30" s="217"/>
      <c r="P30" s="213"/>
      <c r="Q30" s="215">
        <f ca="1">IFERROR(__xludf.DUMMYFUNCTION("""COMPUTED_VALUE"""),195332)</f>
        <v>195332</v>
      </c>
      <c r="R30" s="215" t="str">
        <f ca="1">IFERROR(__xludf.DUMMYFUNCTION("""COMPUTED_VALUE"""),"Beginner, Intermediate")</f>
        <v>Beginner, Intermediate</v>
      </c>
      <c r="S30" s="217" t="str">
        <f ca="1">IFERROR(__xludf.DUMMYFUNCTION("""COMPUTED_VALUE"""),"Project 2013 Grundkurs")</f>
        <v>Project 2013 Grundkurs</v>
      </c>
      <c r="T30" s="217"/>
      <c r="U30" s="213"/>
      <c r="V30" s="215"/>
      <c r="W30" s="215"/>
      <c r="X30" s="217"/>
      <c r="Y30" s="217"/>
      <c r="Z30" s="213"/>
      <c r="AA30" s="215">
        <f ca="1">IFERROR(__xludf.DUMMYFUNCTION("""COMPUTED_VALUE"""),2929563)</f>
        <v>2929563</v>
      </c>
      <c r="AB30" s="215" t="str">
        <f ca="1">IFERROR(__xludf.DUMMYFUNCTION("""COMPUTED_VALUE"""),"All levels")</f>
        <v>All levels</v>
      </c>
      <c r="AC30" s="217" t="str">
        <f ca="1">IFERROR(__xludf.DUMMYFUNCTION("""COMPUTED_VALUE"""),"Gestão de Projetos Internacionais")</f>
        <v>Gestão de Projetos Internacionais</v>
      </c>
      <c r="AD30" s="217"/>
      <c r="AE30" s="213"/>
      <c r="AF30" s="215"/>
      <c r="AG30" s="215"/>
      <c r="AH30" s="217"/>
      <c r="AI30" s="217"/>
      <c r="AJ30" s="213"/>
    </row>
    <row r="31" spans="1:36" ht="33.75" customHeight="1">
      <c r="A31" s="213"/>
      <c r="B31" s="214">
        <f ca="1">IFERROR(__xludf.DUMMYFUNCTION("""COMPUTED_VALUE"""),2825034)</f>
        <v>2825034</v>
      </c>
      <c r="C31" s="215" t="str">
        <f ca="1">IFERROR(__xludf.DUMMYFUNCTION("""COMPUTED_VALUE"""),"Beginner")</f>
        <v>Beginner</v>
      </c>
      <c r="D31" s="216" t="str">
        <f ca="1">IFERROR(__xludf.DUMMYFUNCTION("""COMPUTED_VALUE"""),"Project Management Tips")</f>
        <v>Project Management Tips</v>
      </c>
      <c r="E31" s="217"/>
      <c r="F31" s="213"/>
      <c r="G31" s="214">
        <f ca="1">IFERROR(__xludf.DUMMYFUNCTION("""COMPUTED_VALUE"""),593895)</f>
        <v>593895</v>
      </c>
      <c r="H31" s="215" t="str">
        <f ca="1">IFERROR(__xludf.DUMMYFUNCTION("""COMPUTED_VALUE"""),"Beginner")</f>
        <v>Beginner</v>
      </c>
      <c r="I31" s="217" t="str">
        <f ca="1">IFERROR(__xludf.DUMMYFUNCTION("""COMPUTED_VALUE"""),"Les fondements de la gestion de projet : Les risques")</f>
        <v>Les fondements de la gestion de projet : Les risques</v>
      </c>
      <c r="J31" s="217"/>
      <c r="K31" s="213"/>
      <c r="L31" s="215">
        <f ca="1">IFERROR(__xludf.DUMMYFUNCTION("""COMPUTED_VALUE"""),688054)</f>
        <v>688054</v>
      </c>
      <c r="M31" s="215" t="str">
        <f ca="1">IFERROR(__xludf.DUMMYFUNCTION("""COMPUTED_VALUE"""),"All levels")</f>
        <v>All levels</v>
      </c>
      <c r="N31" s="217" t="str">
        <f ca="1">IFERROR(__xludf.DUMMYFUNCTION("""COMPUTED_VALUE"""),"Fundamentos de la gestión de proyectos: Stakeholders")</f>
        <v>Fundamentos de la gestión de proyectos: Stakeholders</v>
      </c>
      <c r="O31" s="217"/>
      <c r="P31" s="213"/>
      <c r="Q31" s="215">
        <f ca="1">IFERROR(__xludf.DUMMYFUNCTION("""COMPUTED_VALUE"""),559562)</f>
        <v>559562</v>
      </c>
      <c r="R31" s="215" t="str">
        <f ca="1">IFERROR(__xludf.DUMMYFUNCTION("""COMPUTED_VALUE"""),"Beginner, Intermediate")</f>
        <v>Beginner, Intermediate</v>
      </c>
      <c r="S31" s="217" t="str">
        <f ca="1">IFERROR(__xludf.DUMMYFUNCTION("""COMPUTED_VALUE"""),"Project 2016 Grundkurs")</f>
        <v>Project 2016 Grundkurs</v>
      </c>
      <c r="T31" s="217"/>
      <c r="U31" s="213"/>
      <c r="V31" s="215"/>
      <c r="W31" s="215"/>
      <c r="X31" s="217"/>
      <c r="Y31" s="217"/>
      <c r="Z31" s="213"/>
      <c r="AA31" s="215">
        <f ca="1">IFERROR(__xludf.DUMMYFUNCTION("""COMPUTED_VALUE"""),5018005)</f>
        <v>5018005</v>
      </c>
      <c r="AB31" s="215" t="str">
        <f ca="1">IFERROR(__xludf.DUMMYFUNCTION("""COMPUTED_VALUE"""),"Beginner, Intermediate")</f>
        <v>Beginner, Intermediate</v>
      </c>
      <c r="AC31" s="217" t="str">
        <f ca="1">IFERROR(__xludf.DUMMYFUNCTION("""COMPUTED_VALUE"""),"Gestão de Projetos: Como Resolver os Problemas Mais Comuns")</f>
        <v>Gestão de Projetos: Como Resolver os Problemas Mais Comuns</v>
      </c>
      <c r="AD31" s="217"/>
      <c r="AE31" s="213"/>
      <c r="AF31" s="215"/>
      <c r="AG31" s="215"/>
      <c r="AH31" s="217"/>
      <c r="AI31" s="217"/>
      <c r="AJ31" s="213"/>
    </row>
    <row r="32" spans="1:36" ht="30">
      <c r="A32" s="213"/>
      <c r="B32" s="214">
        <f ca="1">IFERROR(__xludf.DUMMYFUNCTION("""COMPUTED_VALUE"""),2825379)</f>
        <v>2825379</v>
      </c>
      <c r="C32" s="215" t="str">
        <f ca="1">IFERROR(__xludf.DUMMYFUNCTION("""COMPUTED_VALUE"""),"Beginner")</f>
        <v>Beginner</v>
      </c>
      <c r="D32" s="216" t="str">
        <f ca="1">IFERROR(__xludf.DUMMYFUNCTION("""COMPUTED_VALUE"""),"5S Workplace Productivity")</f>
        <v>5S Workplace Productivity</v>
      </c>
      <c r="E32" s="217"/>
      <c r="F32" s="213"/>
      <c r="G32" s="214">
        <f ca="1">IFERROR(__xludf.DUMMYFUNCTION("""COMPUTED_VALUE"""),575894)</f>
        <v>575894</v>
      </c>
      <c r="H32" s="215" t="str">
        <f ca="1">IFERROR(__xludf.DUMMYFUNCTION("""COMPUTED_VALUE"""),"Intermediate")</f>
        <v>Intermediate</v>
      </c>
      <c r="I32" s="217" t="str">
        <f ca="1">IFERROR(__xludf.DUMMYFUNCTION("""COMPUTED_VALUE"""),"Les fondements de la gestion de projet : L'intégration")</f>
        <v>Les fondements de la gestion de projet : L'intégration</v>
      </c>
      <c r="J32" s="217"/>
      <c r="K32" s="213"/>
      <c r="L32" s="215">
        <f ca="1">IFERROR(__xludf.DUMMYFUNCTION("""COMPUTED_VALUE"""),5025674)</f>
        <v>5025674</v>
      </c>
      <c r="M32" s="215" t="str">
        <f ca="1">IFERROR(__xludf.DUMMYFUNCTION("""COMPUTED_VALUE"""),"Beginner")</f>
        <v>Beginner</v>
      </c>
      <c r="N32" s="217" t="str">
        <f ca="1">IFERROR(__xludf.DUMMYFUNCTION("""COMPUTED_VALUE"""),"Fundamentos de Lean Six Sigma")</f>
        <v>Fundamentos de Lean Six Sigma</v>
      </c>
      <c r="O32" s="217"/>
      <c r="P32" s="213"/>
      <c r="Q32" s="215">
        <f ca="1">IFERROR(__xludf.DUMMYFUNCTION("""COMPUTED_VALUE"""),3130118)</f>
        <v>3130118</v>
      </c>
      <c r="R32" s="215" t="str">
        <f ca="1">IFERROR(__xludf.DUMMYFUNCTION("""COMPUTED_VALUE"""),"Intermediate")</f>
        <v>Intermediate</v>
      </c>
      <c r="S32" s="217" t="str">
        <f ca="1">IFERROR(__xludf.DUMMYFUNCTION("""COMPUTED_VALUE"""),"Projekt-Kompass (Blinkist Kernaussagen)")</f>
        <v>Projekt-Kompass (Blinkist Kernaussagen)</v>
      </c>
      <c r="T32" s="217"/>
      <c r="U32" s="213"/>
      <c r="V32" s="215"/>
      <c r="W32" s="215"/>
      <c r="X32" s="217"/>
      <c r="Y32" s="217"/>
      <c r="Z32" s="213"/>
      <c r="AA32" s="215">
        <f ca="1">IFERROR(__xludf.DUMMYFUNCTION("""COMPUTED_VALUE"""),2896917)</f>
        <v>2896917</v>
      </c>
      <c r="AB32" s="215" t="str">
        <f ca="1">IFERROR(__xludf.DUMMYFUNCTION("""COMPUTED_VALUE"""),"Beginner")</f>
        <v>Beginner</v>
      </c>
      <c r="AC32" s="217" t="str">
        <f ca="1">IFERROR(__xludf.DUMMYFUNCTION("""COMPUTED_VALUE"""),"Quarta Revolução Industrial: Gestão de Projetos")</f>
        <v>Quarta Revolução Industrial: Gestão de Projetos</v>
      </c>
      <c r="AD32" s="217"/>
      <c r="AE32" s="213"/>
      <c r="AF32" s="215"/>
      <c r="AG32" s="215"/>
      <c r="AH32" s="217"/>
      <c r="AI32" s="217"/>
      <c r="AJ32" s="213"/>
    </row>
    <row r="33" spans="1:36" ht="33.75" customHeight="1">
      <c r="A33" s="213"/>
      <c r="B33" s="214">
        <f ca="1">IFERROR(__xludf.DUMMYFUNCTION("""COMPUTED_VALUE"""),2813184)</f>
        <v>2813184</v>
      </c>
      <c r="C33" s="215" t="str">
        <f ca="1">IFERROR(__xludf.DUMMYFUNCTION("""COMPUTED_VALUE"""),"Beginner")</f>
        <v>Beginner</v>
      </c>
      <c r="D33" s="216" t="str">
        <f ca="1">IFERROR(__xludf.DUMMYFUNCTION("""COMPUTED_VALUE"""),"Time Management Tips: Scheduling")</f>
        <v>Time Management Tips: Scheduling</v>
      </c>
      <c r="E33" s="217"/>
      <c r="F33" s="213"/>
      <c r="G33" s="214">
        <f ca="1">IFERROR(__xludf.DUMMYFUNCTION("""COMPUTED_VALUE"""),3103095)</f>
        <v>3103095</v>
      </c>
      <c r="H33" s="215" t="str">
        <f ca="1">IFERROR(__xludf.DUMMYFUNCTION("""COMPUTED_VALUE"""),"Beginner")</f>
        <v>Beginner</v>
      </c>
      <c r="I33" s="217" t="str">
        <f ca="1">IFERROR(__xludf.DUMMYFUNCTION("""COMPUTED_VALUE"""),"Les fondements de la gestion de projet agile")</f>
        <v>Les fondements de la gestion de projet agile</v>
      </c>
      <c r="J33" s="217"/>
      <c r="K33" s="213"/>
      <c r="L33" s="215">
        <f ca="1">IFERROR(__xludf.DUMMYFUNCTION("""COMPUTED_VALUE"""),714745)</f>
        <v>714745</v>
      </c>
      <c r="M33" s="215" t="str">
        <f ca="1">IFERROR(__xludf.DUMMYFUNCTION("""COMPUTED_VALUE"""),"Beginner, Intermediate")</f>
        <v>Beginner, Intermediate</v>
      </c>
      <c r="N33" s="217" t="str">
        <f ca="1">IFERROR(__xludf.DUMMYFUNCTION("""COMPUTED_VALUE"""),"Fundamentos de Six Sigma")</f>
        <v>Fundamentos de Six Sigma</v>
      </c>
      <c r="O33" s="217"/>
      <c r="P33" s="213"/>
      <c r="Q33" s="215">
        <f ca="1">IFERROR(__xludf.DUMMYFUNCTION("""COMPUTED_VALUE"""),2804681)</f>
        <v>2804681</v>
      </c>
      <c r="R33" s="215" t="str">
        <f ca="1">IFERROR(__xludf.DUMMYFUNCTION("""COMPUTED_VALUE"""),"Intermediate")</f>
        <v>Intermediate</v>
      </c>
      <c r="S33" s="217" t="str">
        <f ca="1">IFERROR(__xludf.DUMMYFUNCTION("""COMPUTED_VALUE"""),"Projektmanagement: Änderungsmanagement")</f>
        <v>Projektmanagement: Änderungsmanagement</v>
      </c>
      <c r="T33" s="217"/>
      <c r="U33" s="213"/>
      <c r="V33" s="215"/>
      <c r="W33" s="215"/>
      <c r="X33" s="217"/>
      <c r="Y33" s="217"/>
      <c r="Z33" s="213"/>
      <c r="AA33" s="215">
        <f ca="1">IFERROR(__xludf.DUMMYFUNCTION("""COMPUTED_VALUE"""),801469)</f>
        <v>801469</v>
      </c>
      <c r="AB33" s="215" t="str">
        <f ca="1">IFERROR(__xludf.DUMMYFUNCTION("""COMPUTED_VALUE"""),"Advanced")</f>
        <v>Advanced</v>
      </c>
      <c r="AC33" s="217" t="str">
        <f ca="1">IFERROR(__xludf.DUMMYFUNCTION("""COMPUTED_VALUE"""),"Técnicas Avançadas de Scrum")</f>
        <v>Técnicas Avançadas de Scrum</v>
      </c>
      <c r="AD33" s="217"/>
      <c r="AE33" s="213"/>
      <c r="AF33" s="215"/>
      <c r="AG33" s="215"/>
      <c r="AH33" s="217"/>
      <c r="AI33" s="217"/>
      <c r="AJ33" s="213"/>
    </row>
    <row r="34" spans="1:36" ht="33.75" customHeight="1">
      <c r="A34" s="213"/>
      <c r="B34" s="214">
        <f ca="1">IFERROR(__xludf.DUMMYFUNCTION("""COMPUTED_VALUE"""),2813277)</f>
        <v>2813277</v>
      </c>
      <c r="C34" s="215" t="str">
        <f ca="1">IFERROR(__xludf.DUMMYFUNCTION("""COMPUTED_VALUE"""),"Beginner")</f>
        <v>Beginner</v>
      </c>
      <c r="D34" s="216" t="str">
        <f ca="1">IFERROR(__xludf.DUMMYFUNCTION("""COMPUTED_VALUE"""),"Time Management Tips: Teamwork")</f>
        <v>Time Management Tips: Teamwork</v>
      </c>
      <c r="E34" s="217"/>
      <c r="F34" s="213"/>
      <c r="G34" s="214">
        <f ca="1">IFERROR(__xludf.DUMMYFUNCTION("""COMPUTED_VALUE"""),2830004)</f>
        <v>2830004</v>
      </c>
      <c r="H34" s="215" t="str">
        <f ca="1">IFERROR(__xludf.DUMMYFUNCTION("""COMPUTED_VALUE"""),"Beginner")</f>
        <v>Beginner</v>
      </c>
      <c r="I34" s="217" t="str">
        <f ca="1">IFERROR(__xludf.DUMMYFUNCTION("""COMPUTED_VALUE"""),"Les fondements de la supply chain")</f>
        <v>Les fondements de la supply chain</v>
      </c>
      <c r="J34" s="217"/>
      <c r="K34" s="213"/>
      <c r="L34" s="215">
        <f ca="1">IFERROR(__xludf.DUMMYFUNCTION("""COMPUTED_VALUE"""),5025677)</f>
        <v>5025677</v>
      </c>
      <c r="M34" s="215" t="str">
        <f ca="1">IFERROR(__xludf.DUMMYFUNCTION("""COMPUTED_VALUE"""),"Intermediate")</f>
        <v>Intermediate</v>
      </c>
      <c r="N34" s="217" t="str">
        <f ca="1">IFERROR(__xludf.DUMMYFUNCTION("""COMPUTED_VALUE"""),"Fundamentos de Six Sigma: Black Belt")</f>
        <v>Fundamentos de Six Sigma: Black Belt</v>
      </c>
      <c r="O34" s="217"/>
      <c r="P34" s="213"/>
      <c r="Q34" s="215">
        <f ca="1">IFERROR(__xludf.DUMMYFUNCTION("""COMPUTED_VALUE"""),2802356)</f>
        <v>2802356</v>
      </c>
      <c r="R34" s="215" t="str">
        <f ca="1">IFERROR(__xludf.DUMMYFUNCTION("""COMPUTED_VALUE"""),"Intermediate")</f>
        <v>Intermediate</v>
      </c>
      <c r="S34" s="217" t="str">
        <f ca="1">IFERROR(__xludf.DUMMYFUNCTION("""COMPUTED_VALUE"""),"Projektmanagement: Ethik und Compliance")</f>
        <v>Projektmanagement: Ethik und Compliance</v>
      </c>
      <c r="T34" s="217"/>
      <c r="U34" s="213"/>
      <c r="V34" s="215"/>
      <c r="W34" s="215"/>
      <c r="X34" s="217"/>
      <c r="Y34" s="217"/>
      <c r="Z34" s="213"/>
      <c r="AA34" s="215"/>
      <c r="AB34" s="215"/>
      <c r="AC34" s="217"/>
      <c r="AD34" s="217"/>
      <c r="AE34" s="213"/>
      <c r="AF34" s="215"/>
      <c r="AG34" s="215"/>
      <c r="AH34" s="217"/>
      <c r="AI34" s="217"/>
      <c r="AJ34" s="213"/>
    </row>
    <row r="35" spans="1:36" ht="33.75" customHeight="1">
      <c r="A35" s="213"/>
      <c r="B35" s="214">
        <f ca="1">IFERROR(__xludf.DUMMYFUNCTION("""COMPUTED_VALUE"""),2831005)</f>
        <v>2831005</v>
      </c>
      <c r="C35" s="215" t="str">
        <f ca="1">IFERROR(__xludf.DUMMYFUNCTION("""COMPUTED_VALUE"""),"Beginner")</f>
        <v>Beginner</v>
      </c>
      <c r="D35" s="216" t="str">
        <f ca="1">IFERROR(__xludf.DUMMYFUNCTION("""COMPUTED_VALUE"""),"Introducing the PMBOK® Guide—Seventh Edition")</f>
        <v>Introducing the PMBOK® Guide—Seventh Edition</v>
      </c>
      <c r="E35" s="217"/>
      <c r="F35" s="213"/>
      <c r="G35" s="214">
        <f ca="1">IFERROR(__xludf.DUMMYFUNCTION("""COMPUTED_VALUE"""),2952160)</f>
        <v>2952160</v>
      </c>
      <c r="H35" s="215" t="str">
        <f ca="1">IFERROR(__xludf.DUMMYFUNCTION("""COMPUTED_VALUE"""),"Intermediate")</f>
        <v>Intermediate</v>
      </c>
      <c r="I35" s="217" t="str">
        <f ca="1">IFERROR(__xludf.DUMMYFUNCTION("""COMPUTED_VALUE"""),"L'intelligence artificielle pour les chefs / cheffes de projet")</f>
        <v>L'intelligence artificielle pour les chefs / cheffes de projet</v>
      </c>
      <c r="J35" s="217"/>
      <c r="K35" s="213"/>
      <c r="L35" s="215">
        <f ca="1">IFERROR(__xludf.DUMMYFUNCTION("""COMPUTED_VALUE"""),714746)</f>
        <v>714746</v>
      </c>
      <c r="M35" s="215" t="str">
        <f ca="1">IFERROR(__xludf.DUMMYFUNCTION("""COMPUTED_VALUE"""),"Intermediate")</f>
        <v>Intermediate</v>
      </c>
      <c r="N35" s="217" t="str">
        <f ca="1">IFERROR(__xludf.DUMMYFUNCTION("""COMPUTED_VALUE"""),"Fundamentos de Six Sigma: Green Belt")</f>
        <v>Fundamentos de Six Sigma: Green Belt</v>
      </c>
      <c r="O35" s="217"/>
      <c r="P35" s="213"/>
      <c r="Q35" s="215">
        <f ca="1">IFERROR(__xludf.DUMMYFUNCTION("""COMPUTED_VALUE"""),559541)</f>
        <v>559541</v>
      </c>
      <c r="R35" s="215" t="str">
        <f ca="1">IFERROR(__xludf.DUMMYFUNCTION("""COMPUTED_VALUE"""),"Intermediate")</f>
        <v>Intermediate</v>
      </c>
      <c r="S35" s="217" t="str">
        <f ca="1">IFERROR(__xludf.DUMMYFUNCTION("""COMPUTED_VALUE"""),"Projektmanagement: Initiierung und Setup")</f>
        <v>Projektmanagement: Initiierung und Setup</v>
      </c>
      <c r="T35" s="217"/>
      <c r="U35" s="213"/>
      <c r="V35" s="215"/>
      <c r="W35" s="215"/>
      <c r="X35" s="217"/>
      <c r="Y35" s="217"/>
      <c r="Z35" s="213"/>
      <c r="AA35" s="215"/>
      <c r="AB35" s="215"/>
      <c r="AC35" s="217"/>
      <c r="AD35" s="217"/>
      <c r="AE35" s="213"/>
      <c r="AF35" s="215"/>
      <c r="AG35" s="215"/>
      <c r="AH35" s="217"/>
      <c r="AI35" s="217"/>
      <c r="AJ35" s="213"/>
    </row>
    <row r="36" spans="1:36" ht="33.75" customHeight="1">
      <c r="A36" s="213"/>
      <c r="B36" s="214">
        <f ca="1">IFERROR(__xludf.DUMMYFUNCTION("""COMPUTED_VALUE"""),2823512)</f>
        <v>2823512</v>
      </c>
      <c r="C36" s="215" t="str">
        <f ca="1">IFERROR(__xludf.DUMMYFUNCTION("""COMPUTED_VALUE"""),"Beginner")</f>
        <v>Beginner</v>
      </c>
      <c r="D36" s="216" t="str">
        <f ca="1">IFERROR(__xludf.DUMMYFUNCTION("""COMPUTED_VALUE"""),"Productivity: Prioritizing at Work")</f>
        <v>Productivity: Prioritizing at Work</v>
      </c>
      <c r="E36" s="217"/>
      <c r="F36" s="213"/>
      <c r="G36" s="214">
        <f ca="1">IFERROR(__xludf.DUMMYFUNCTION("""COMPUTED_VALUE"""),2810262)</f>
        <v>2810262</v>
      </c>
      <c r="H36" s="215" t="str">
        <f ca="1">IFERROR(__xludf.DUMMYFUNCTION("""COMPUTED_VALUE"""),"Intermediate")</f>
        <v>Intermediate</v>
      </c>
      <c r="I36" s="217" t="str">
        <f ca="1">IFERROR(__xludf.DUMMYFUNCTION("""COMPUTED_VALUE"""),"Microsoft Project : La gestion de projet agile")</f>
        <v>Microsoft Project : La gestion de projet agile</v>
      </c>
      <c r="J36" s="217"/>
      <c r="K36" s="213"/>
      <c r="L36" s="215">
        <f ca="1">IFERROR(__xludf.DUMMYFUNCTION("""COMPUTED_VALUE"""),2421341)</f>
        <v>2421341</v>
      </c>
      <c r="M36" s="215" t="str">
        <f ca="1">IFERROR(__xludf.DUMMYFUNCTION("""COMPUTED_VALUE"""),"Beginner, Intermediate")</f>
        <v>Beginner, Intermediate</v>
      </c>
      <c r="N36" s="217" t="str">
        <f ca="1">IFERROR(__xludf.DUMMYFUNCTION("""COMPUTED_VALUE"""),"Gestión de proyectos ágiles con Trello")</f>
        <v>Gestión de proyectos ágiles con Trello</v>
      </c>
      <c r="O36" s="217"/>
      <c r="P36" s="213"/>
      <c r="Q36" s="215">
        <f ca="1">IFERROR(__xludf.DUMMYFUNCTION("""COMPUTED_VALUE"""),2804683)</f>
        <v>2804683</v>
      </c>
      <c r="R36" s="215" t="str">
        <f ca="1">IFERROR(__xludf.DUMMYFUNCTION("""COMPUTED_VALUE"""),"Intermediate")</f>
        <v>Intermediate</v>
      </c>
      <c r="S36" s="217" t="str">
        <f ca="1">IFERROR(__xludf.DUMMYFUNCTION("""COMPUTED_VALUE"""),"Projektmanagement: Integration")</f>
        <v>Projektmanagement: Integration</v>
      </c>
      <c r="T36" s="217"/>
      <c r="U36" s="213"/>
      <c r="V36" s="215"/>
      <c r="W36" s="215"/>
      <c r="X36" s="217"/>
      <c r="Y36" s="217"/>
      <c r="Z36" s="213"/>
      <c r="AA36" s="215"/>
      <c r="AB36" s="215"/>
      <c r="AC36" s="217"/>
      <c r="AD36" s="217"/>
      <c r="AE36" s="213"/>
      <c r="AF36" s="215"/>
      <c r="AG36" s="215"/>
      <c r="AH36" s="217"/>
      <c r="AI36" s="217"/>
      <c r="AJ36" s="213"/>
    </row>
    <row r="37" spans="1:36" ht="33.75" customHeight="1">
      <c r="A37" s="213"/>
      <c r="B37" s="214">
        <f ca="1">IFERROR(__xludf.DUMMYFUNCTION("""COMPUTED_VALUE"""),2834000)</f>
        <v>2834000</v>
      </c>
      <c r="C37" s="215" t="str">
        <f ca="1">IFERROR(__xludf.DUMMYFUNCTION("""COMPUTED_VALUE"""),"Beginner")</f>
        <v>Beginner</v>
      </c>
      <c r="D37" s="216" t="str">
        <f ca="1">IFERROR(__xludf.DUMMYFUNCTION("""COMPUTED_VALUE"""),"Project Leadership")</f>
        <v>Project Leadership</v>
      </c>
      <c r="E37" s="217"/>
      <c r="F37" s="213"/>
      <c r="G37" s="214">
        <f ca="1">IFERROR(__xludf.DUMMYFUNCTION("""COMPUTED_VALUE"""),796904)</f>
        <v>796904</v>
      </c>
      <c r="H37" s="215" t="str">
        <f ca="1">IFERROR(__xludf.DUMMYFUNCTION("""COMPUTED_VALUE"""),"All levels")</f>
        <v>All levels</v>
      </c>
      <c r="I37" s="217" t="str">
        <f ca="1">IFERROR(__xludf.DUMMYFUNCTION("""COMPUTED_VALUE"""),"Passer de l'approche en cascade à la gestion de projet agile")</f>
        <v>Passer de l'approche en cascade à la gestion de projet agile</v>
      </c>
      <c r="J37" s="217"/>
      <c r="K37" s="213"/>
      <c r="L37" s="215">
        <f ca="1">IFERROR(__xludf.DUMMYFUNCTION("""COMPUTED_VALUE"""),2425212)</f>
        <v>2425212</v>
      </c>
      <c r="M37" s="215" t="str">
        <f ca="1">IFERROR(__xludf.DUMMYFUNCTION("""COMPUTED_VALUE"""),"Beginner, Intermediate")</f>
        <v>Beginner, Intermediate</v>
      </c>
      <c r="N37" s="217" t="str">
        <f ca="1">IFERROR(__xludf.DUMMYFUNCTION("""COMPUTED_VALUE"""),"Gestión de proyectos ágiles: Comparación de herramientas ágiles")</f>
        <v>Gestión de proyectos ágiles: Comparación de herramientas ágiles</v>
      </c>
      <c r="O37" s="217"/>
      <c r="P37" s="213"/>
      <c r="Q37" s="215">
        <f ca="1">IFERROR(__xludf.DUMMYFUNCTION("""COMPUTED_VALUE"""),593927)</f>
        <v>593927</v>
      </c>
      <c r="R37" s="215" t="str">
        <f ca="1">IFERROR(__xludf.DUMMYFUNCTION("""COMPUTED_VALUE"""),"Intermediate")</f>
        <v>Intermediate</v>
      </c>
      <c r="S37" s="217" t="str">
        <f ca="1">IFERROR(__xludf.DUMMYFUNCTION("""COMPUTED_VALUE"""),"Projektmanagement: Kommunikation")</f>
        <v>Projektmanagement: Kommunikation</v>
      </c>
      <c r="T37" s="217"/>
      <c r="U37" s="213"/>
      <c r="V37" s="215"/>
      <c r="W37" s="215"/>
      <c r="X37" s="217"/>
      <c r="Y37" s="217"/>
      <c r="Z37" s="213"/>
      <c r="AA37" s="215"/>
      <c r="AB37" s="215"/>
      <c r="AC37" s="217"/>
      <c r="AD37" s="217"/>
      <c r="AE37" s="213"/>
      <c r="AF37" s="215"/>
      <c r="AG37" s="215"/>
      <c r="AH37" s="217"/>
      <c r="AI37" s="217"/>
      <c r="AJ37" s="213"/>
    </row>
    <row r="38" spans="1:36" ht="33.75" customHeight="1">
      <c r="A38" s="213"/>
      <c r="B38" s="214">
        <f ca="1">IFERROR(__xludf.DUMMYFUNCTION("""COMPUTED_VALUE"""),2822640)</f>
        <v>2822640</v>
      </c>
      <c r="C38" s="215" t="str">
        <f ca="1">IFERROR(__xludf.DUMMYFUNCTION("""COMPUTED_VALUE"""),"Beginner")</f>
        <v>Beginner</v>
      </c>
      <c r="D38" s="216" t="str">
        <f ca="1">IFERROR(__xludf.DUMMYFUNCTION("""COMPUTED_VALUE"""),"Project Management Foundations: Quality")</f>
        <v>Project Management Foundations: Quality</v>
      </c>
      <c r="E38" s="217"/>
      <c r="F38" s="213"/>
      <c r="G38" s="214">
        <f ca="1">IFERROR(__xludf.DUMMYFUNCTION("""COMPUTED_VALUE"""),800574)</f>
        <v>800574</v>
      </c>
      <c r="H38" s="215" t="str">
        <f ca="1">IFERROR(__xludf.DUMMYFUNCTION("""COMPUTED_VALUE"""),"Intermediate")</f>
        <v>Intermediate</v>
      </c>
      <c r="I38" s="217" t="str">
        <f ca="1">IFERROR(__xludf.DUMMYFUNCTION("""COMPUTED_VALUE"""),"Résoudre les problèmes de gestion de projet les plus fréquents")</f>
        <v>Résoudre les problèmes de gestion de projet les plus fréquents</v>
      </c>
      <c r="J38" s="217"/>
      <c r="K38" s="213"/>
      <c r="L38" s="215">
        <f ca="1">IFERROR(__xludf.DUMMYFUNCTION("""COMPUTED_VALUE"""),795023)</f>
        <v>795023</v>
      </c>
      <c r="M38" s="215" t="str">
        <f ca="1">IFERROR(__xludf.DUMMYFUNCTION("""COMPUTED_VALUE"""),"Intermediate")</f>
        <v>Intermediate</v>
      </c>
      <c r="N38" s="217" t="str">
        <f ca="1">IFERROR(__xludf.DUMMYFUNCTION("""COMPUTED_VALUE"""),"Gestión de proyectos con Smartsheet")</f>
        <v>Gestión de proyectos con Smartsheet</v>
      </c>
      <c r="O38" s="217"/>
      <c r="P38" s="213"/>
      <c r="Q38" s="215">
        <f ca="1">IFERROR(__xludf.DUMMYFUNCTION("""COMPUTED_VALUE"""),575055)</f>
        <v>575055</v>
      </c>
      <c r="R38" s="215" t="str">
        <f ca="1">IFERROR(__xludf.DUMMYFUNCTION("""COMPUTED_VALUE"""),"Intermediate")</f>
        <v>Intermediate</v>
      </c>
      <c r="S38" s="217" t="str">
        <f ca="1">IFERROR(__xludf.DUMMYFUNCTION("""COMPUTED_VALUE"""),"Projektmanagement: Kosten und Nutzen")</f>
        <v>Projektmanagement: Kosten und Nutzen</v>
      </c>
      <c r="T38" s="217"/>
      <c r="U38" s="213"/>
      <c r="V38" s="215"/>
      <c r="W38" s="215"/>
      <c r="X38" s="217"/>
      <c r="Y38" s="217"/>
      <c r="Z38" s="213"/>
      <c r="AA38" s="215"/>
      <c r="AB38" s="215"/>
      <c r="AC38" s="217"/>
      <c r="AD38" s="217"/>
      <c r="AE38" s="213"/>
      <c r="AF38" s="215"/>
      <c r="AG38" s="215"/>
      <c r="AH38" s="217"/>
      <c r="AI38" s="217"/>
      <c r="AJ38" s="213"/>
    </row>
    <row r="39" spans="1:36" ht="33.75" customHeight="1">
      <c r="A39" s="213"/>
      <c r="B39" s="214">
        <f ca="1">IFERROR(__xludf.DUMMYFUNCTION("""COMPUTED_VALUE"""),2885197)</f>
        <v>2885197</v>
      </c>
      <c r="C39" s="215" t="str">
        <f ca="1">IFERROR(__xludf.DUMMYFUNCTION("""COMPUTED_VALUE"""),"Beginner")</f>
        <v>Beginner</v>
      </c>
      <c r="D39" s="216" t="str">
        <f ca="1">IFERROR(__xludf.DUMMYFUNCTION("""COMPUTED_VALUE"""),"Project Manager to Project Motivator: Unlock the Secrets of Strengths-Based Project Management")</f>
        <v>Project Manager to Project Motivator: Unlock the Secrets of Strengths-Based Project Management</v>
      </c>
      <c r="E39" s="217"/>
      <c r="F39" s="213"/>
      <c r="G39" s="214"/>
      <c r="H39" s="215"/>
      <c r="I39" s="217"/>
      <c r="J39" s="217"/>
      <c r="K39" s="213"/>
      <c r="L39" s="215">
        <f ca="1">IFERROR(__xludf.DUMMYFUNCTION("""COMPUTED_VALUE"""),561218)</f>
        <v>561218</v>
      </c>
      <c r="M39" s="215" t="str">
        <f ca="1">IFERROR(__xludf.DUMMYFUNCTION("""COMPUTED_VALUE"""),"Beginner")</f>
        <v>Beginner</v>
      </c>
      <c r="N39" s="217" t="str">
        <f ca="1">IFERROR(__xludf.DUMMYFUNCTION("""COMPUTED_VALUE"""),"Gestión de proyectos simplificada")</f>
        <v>Gestión de proyectos simplificada</v>
      </c>
      <c r="O39" s="217"/>
      <c r="P39" s="213"/>
      <c r="Q39" s="215">
        <f ca="1">IFERROR(__xludf.DUMMYFUNCTION("""COMPUTED_VALUE"""),593929)</f>
        <v>593929</v>
      </c>
      <c r="R39" s="215" t="str">
        <f ca="1">IFERROR(__xludf.DUMMYFUNCTION("""COMPUTED_VALUE"""),"Intermediate")</f>
        <v>Intermediate</v>
      </c>
      <c r="S39" s="217" t="str">
        <f ca="1">IFERROR(__xludf.DUMMYFUNCTION("""COMPUTED_VALUE"""),"Projektmanagement: Krisen und Erfolg")</f>
        <v>Projektmanagement: Krisen und Erfolg</v>
      </c>
      <c r="T39" s="217"/>
      <c r="U39" s="213"/>
      <c r="V39" s="215"/>
      <c r="W39" s="215"/>
      <c r="X39" s="217"/>
      <c r="Y39" s="217"/>
      <c r="Z39" s="213"/>
      <c r="AA39" s="215"/>
      <c r="AB39" s="215"/>
      <c r="AC39" s="217"/>
      <c r="AD39" s="217"/>
      <c r="AE39" s="213"/>
      <c r="AF39" s="215"/>
      <c r="AG39" s="215"/>
      <c r="AH39" s="217"/>
      <c r="AI39" s="217"/>
      <c r="AJ39" s="213"/>
    </row>
    <row r="40" spans="1:36" ht="33.75" customHeight="1">
      <c r="A40" s="213"/>
      <c r="B40" s="214">
        <f ca="1">IFERROR(__xludf.DUMMYFUNCTION("""COMPUTED_VALUE"""),2880278)</f>
        <v>2880278</v>
      </c>
      <c r="C40" s="215" t="str">
        <f ca="1">IFERROR(__xludf.DUMMYFUNCTION("""COMPUTED_VALUE"""),"Beginner")</f>
        <v>Beginner</v>
      </c>
      <c r="D40" s="216" t="str">
        <f ca="1">IFERROR(__xludf.DUMMYFUNCTION("""COMPUTED_VALUE"""),"Agile: It's Not Just for Software")</f>
        <v>Agile: It's Not Just for Software</v>
      </c>
      <c r="E40" s="217"/>
      <c r="F40" s="213"/>
      <c r="G40" s="214"/>
      <c r="H40" s="215"/>
      <c r="I40" s="217"/>
      <c r="J40" s="217"/>
      <c r="K40" s="213"/>
      <c r="L40" s="215">
        <f ca="1">IFERROR(__xludf.DUMMYFUNCTION("""COMPUTED_VALUE"""),5025678)</f>
        <v>5025678</v>
      </c>
      <c r="M40" s="215" t="str">
        <f ca="1">IFERROR(__xludf.DUMMYFUNCTION("""COMPUTED_VALUE"""),"Intermediate")</f>
        <v>Intermediate</v>
      </c>
      <c r="N40" s="217" t="str">
        <f ca="1">IFERROR(__xludf.DUMMYFUNCTION("""COMPUTED_VALUE"""),"Gestión de proyectos: Prevención del deslizamiento de alcance")</f>
        <v>Gestión de proyectos: Prevención del deslizamiento de alcance</v>
      </c>
      <c r="O40" s="217"/>
      <c r="P40" s="213"/>
      <c r="Q40" s="215">
        <f ca="1">IFERROR(__xludf.DUMMYFUNCTION("""COMPUTED_VALUE"""),559539)</f>
        <v>559539</v>
      </c>
      <c r="R40" s="215" t="str">
        <f ca="1">IFERROR(__xludf.DUMMYFUNCTION("""COMPUTED_VALUE"""),"Intermediate")</f>
        <v>Intermediate</v>
      </c>
      <c r="S40" s="217" t="str">
        <f ca="1">IFERROR(__xludf.DUMMYFUNCTION("""COMPUTED_VALUE"""),"Projektmanagement: Planung und Strukturierung")</f>
        <v>Projektmanagement: Planung und Strukturierung</v>
      </c>
      <c r="T40" s="217"/>
      <c r="U40" s="213"/>
      <c r="V40" s="215"/>
      <c r="W40" s="215"/>
      <c r="X40" s="217"/>
      <c r="Y40" s="217"/>
      <c r="Z40" s="213"/>
      <c r="AA40" s="215"/>
      <c r="AB40" s="215"/>
      <c r="AC40" s="217"/>
      <c r="AD40" s="217"/>
      <c r="AE40" s="213"/>
      <c r="AF40" s="215"/>
      <c r="AG40" s="215"/>
      <c r="AH40" s="217"/>
      <c r="AI40" s="217"/>
      <c r="AJ40" s="213"/>
    </row>
    <row r="41" spans="1:36" ht="33.75" customHeight="1">
      <c r="A41" s="213"/>
      <c r="B41" s="214">
        <f ca="1">IFERROR(__xludf.DUMMYFUNCTION("""COMPUTED_VALUE"""),2880241)</f>
        <v>2880241</v>
      </c>
      <c r="C41" s="215" t="str">
        <f ca="1">IFERROR(__xludf.DUMMYFUNCTION("""COMPUTED_VALUE"""),"Beginner")</f>
        <v>Beginner</v>
      </c>
      <c r="D41" s="216" t="str">
        <f ca="1">IFERROR(__xludf.DUMMYFUNCTION("""COMPUTED_VALUE"""),"Managing Projects as Offices Reopen")</f>
        <v>Managing Projects as Offices Reopen</v>
      </c>
      <c r="E41" s="217"/>
      <c r="F41" s="213"/>
      <c r="G41" s="214"/>
      <c r="H41" s="215"/>
      <c r="I41" s="217"/>
      <c r="J41" s="217"/>
      <c r="K41" s="213"/>
      <c r="L41" s="215">
        <f ca="1">IFERROR(__xludf.DUMMYFUNCTION("""COMPUTED_VALUE"""),651774)</f>
        <v>651774</v>
      </c>
      <c r="M41" s="215" t="str">
        <f ca="1">IFERROR(__xludf.DUMMYFUNCTION("""COMPUTED_VALUE"""),"Intermediate")</f>
        <v>Intermediate</v>
      </c>
      <c r="N41" s="217" t="str">
        <f ca="1">IFERROR(__xludf.DUMMYFUNCTION("""COMPUTED_VALUE"""),"Gestión de proyectos: Resolución de problemas")</f>
        <v>Gestión de proyectos: Resolución de problemas</v>
      </c>
      <c r="O41" s="217"/>
      <c r="P41" s="213"/>
      <c r="Q41" s="215">
        <f ca="1">IFERROR(__xludf.DUMMYFUNCTION("""COMPUTED_VALUE"""),593908)</f>
        <v>593908</v>
      </c>
      <c r="R41" s="215" t="str">
        <f ca="1">IFERROR(__xludf.DUMMYFUNCTION("""COMPUTED_VALUE"""),"Intermediate")</f>
        <v>Intermediate</v>
      </c>
      <c r="S41" s="217" t="str">
        <f ca="1">IFERROR(__xludf.DUMMYFUNCTION("""COMPUTED_VALUE"""),"Projektmanagement: Projektabschluss")</f>
        <v>Projektmanagement: Projektabschluss</v>
      </c>
      <c r="T41" s="217"/>
      <c r="U41" s="213"/>
      <c r="V41" s="215"/>
      <c r="W41" s="215"/>
      <c r="X41" s="217"/>
      <c r="Y41" s="217"/>
      <c r="Z41" s="213"/>
      <c r="AA41" s="215"/>
      <c r="AB41" s="215"/>
      <c r="AC41" s="217"/>
      <c r="AD41" s="217"/>
      <c r="AE41" s="213"/>
      <c r="AF41" s="215"/>
      <c r="AG41" s="215"/>
      <c r="AH41" s="217"/>
      <c r="AI41" s="217"/>
      <c r="AJ41" s="213"/>
    </row>
    <row r="42" spans="1:36" ht="33.75" customHeight="1">
      <c r="A42" s="213"/>
      <c r="B42" s="214">
        <f ca="1">IFERROR(__xludf.DUMMYFUNCTION("""COMPUTED_VALUE"""),3158741)</f>
        <v>3158741</v>
      </c>
      <c r="C42" s="215" t="str">
        <f ca="1">IFERROR(__xludf.DUMMYFUNCTION("""COMPUTED_VALUE"""),"Beginner")</f>
        <v>Beginner</v>
      </c>
      <c r="D42" s="216" t="str">
        <f ca="1">IFERROR(__xludf.DUMMYFUNCTION("""COMPUTED_VALUE"""),"Mindfulness: A Critical Skill for Project Managers")</f>
        <v>Mindfulness: A Critical Skill for Project Managers</v>
      </c>
      <c r="E42" s="217"/>
      <c r="F42" s="213"/>
      <c r="G42" s="214"/>
      <c r="H42" s="215"/>
      <c r="I42" s="217"/>
      <c r="J42" s="217"/>
      <c r="K42" s="213"/>
      <c r="L42" s="215">
        <f ca="1">IFERROR(__xludf.DUMMYFUNCTION("""COMPUTED_VALUE"""),2929105)</f>
        <v>2929105</v>
      </c>
      <c r="M42" s="215" t="str">
        <f ca="1">IFERROR(__xludf.DUMMYFUNCTION("""COMPUTED_VALUE"""),"Beginner, Intermediate")</f>
        <v>Beginner, Intermediate</v>
      </c>
      <c r="N42" s="217" t="str">
        <f ca="1">IFERROR(__xludf.DUMMYFUNCTION("""COMPUTED_VALUE"""),"Microsoft Teams esencial")</f>
        <v>Microsoft Teams esencial</v>
      </c>
      <c r="O42" s="217"/>
      <c r="P42" s="213"/>
      <c r="Q42" s="215">
        <f ca="1">IFERROR(__xludf.DUMMYFUNCTION("""COMPUTED_VALUE"""),593909)</f>
        <v>593909</v>
      </c>
      <c r="R42" s="215" t="str">
        <f ca="1">IFERROR(__xludf.DUMMYFUNCTION("""COMPUTED_VALUE"""),"Intermediate")</f>
        <v>Intermediate</v>
      </c>
      <c r="S42" s="217" t="str">
        <f ca="1">IFERROR(__xludf.DUMMYFUNCTION("""COMPUTED_VALUE"""),"Projektmanagement: Qualität")</f>
        <v>Projektmanagement: Qualität</v>
      </c>
      <c r="T42" s="217"/>
      <c r="U42" s="213"/>
      <c r="V42" s="215"/>
      <c r="W42" s="215"/>
      <c r="X42" s="217"/>
      <c r="Y42" s="217"/>
      <c r="Z42" s="213"/>
      <c r="AA42" s="215"/>
      <c r="AB42" s="215"/>
      <c r="AC42" s="217"/>
      <c r="AD42" s="217"/>
      <c r="AE42" s="213"/>
      <c r="AF42" s="215"/>
      <c r="AG42" s="215"/>
      <c r="AH42" s="217"/>
      <c r="AI42" s="217"/>
      <c r="AJ42" s="213"/>
    </row>
    <row r="43" spans="1:36" ht="33.75" customHeight="1">
      <c r="A43" s="213"/>
      <c r="B43" s="214">
        <f ca="1">IFERROR(__xludf.DUMMYFUNCTION("""COMPUTED_VALUE"""),2424510)</f>
        <v>2424510</v>
      </c>
      <c r="C43" s="215" t="str">
        <f ca="1">IFERROR(__xludf.DUMMYFUNCTION("""COMPUTED_VALUE"""),"Beginner")</f>
        <v>Beginner</v>
      </c>
      <c r="D43" s="216" t="str">
        <f ca="1">IFERROR(__xludf.DUMMYFUNCTION("""COMPUTED_VALUE"""),"Build a Successful Career in Project Management")</f>
        <v>Build a Successful Career in Project Management</v>
      </c>
      <c r="E43" s="217"/>
      <c r="F43" s="213"/>
      <c r="G43" s="214"/>
      <c r="H43" s="215"/>
      <c r="I43" s="217"/>
      <c r="J43" s="217"/>
      <c r="K43" s="213"/>
      <c r="L43" s="215">
        <f ca="1">IFERROR(__xludf.DUMMYFUNCTION("""COMPUTED_VALUE"""),2836011)</f>
        <v>2836011</v>
      </c>
      <c r="M43" s="215" t="str">
        <f ca="1">IFERROR(__xludf.DUMMYFUNCTION("""COMPUTED_VALUE"""),"All levels")</f>
        <v>All levels</v>
      </c>
      <c r="N43" s="217" t="str">
        <f ca="1">IFERROR(__xludf.DUMMYFUNCTION("""COMPUTED_VALUE"""),"Microsoft Teams: Administrar los horarios de trabajo del personal con Turnos")</f>
        <v>Microsoft Teams: Administrar los horarios de trabajo del personal con Turnos</v>
      </c>
      <c r="O43" s="217"/>
      <c r="P43" s="213"/>
      <c r="Q43" s="215">
        <f ca="1">IFERROR(__xludf.DUMMYFUNCTION("""COMPUTED_VALUE"""),593928)</f>
        <v>593928</v>
      </c>
      <c r="R43" s="215" t="str">
        <f ca="1">IFERROR(__xludf.DUMMYFUNCTION("""COMPUTED_VALUE"""),"Intermediate")</f>
        <v>Intermediate</v>
      </c>
      <c r="S43" s="217" t="str">
        <f ca="1">IFERROR(__xludf.DUMMYFUNCTION("""COMPUTED_VALUE"""),"Projektmanagement: Risiko und Unsicherheit")</f>
        <v>Projektmanagement: Risiko und Unsicherheit</v>
      </c>
      <c r="T43" s="217"/>
      <c r="U43" s="213"/>
      <c r="V43" s="215"/>
      <c r="W43" s="215"/>
      <c r="X43" s="217"/>
      <c r="Y43" s="217"/>
      <c r="Z43" s="213"/>
      <c r="AA43" s="215"/>
      <c r="AB43" s="215"/>
      <c r="AC43" s="217"/>
      <c r="AD43" s="217"/>
      <c r="AE43" s="213"/>
      <c r="AF43" s="215"/>
      <c r="AG43" s="215"/>
      <c r="AH43" s="217"/>
      <c r="AI43" s="217"/>
      <c r="AJ43" s="213"/>
    </row>
    <row r="44" spans="1:36" ht="33.75" customHeight="1">
      <c r="A44" s="213"/>
      <c r="B44" s="214">
        <f ca="1">IFERROR(__xludf.DUMMYFUNCTION("""COMPUTED_VALUE"""),2886284)</f>
        <v>2886284</v>
      </c>
      <c r="C44" s="215" t="str">
        <f ca="1">IFERROR(__xludf.DUMMYFUNCTION("""COMPUTED_VALUE"""),"Beginner")</f>
        <v>Beginner</v>
      </c>
      <c r="D44" s="216" t="str">
        <f ca="1">IFERROR(__xludf.DUMMYFUNCTION("""COMPUTED_VALUE"""),"Project Management Reinvented for Non-Project Managers")</f>
        <v>Project Management Reinvented for Non-Project Managers</v>
      </c>
      <c r="E44" s="217"/>
      <c r="F44" s="213"/>
      <c r="G44" s="214"/>
      <c r="H44" s="215"/>
      <c r="I44" s="217"/>
      <c r="J44" s="217"/>
      <c r="K44" s="213"/>
      <c r="L44" s="215">
        <f ca="1">IFERROR(__xludf.DUMMYFUNCTION("""COMPUTED_VALUE"""),2838154)</f>
        <v>2838154</v>
      </c>
      <c r="M44" s="215" t="str">
        <f ca="1">IFERROR(__xludf.DUMMYFUNCTION("""COMPUTED_VALUE"""),"Intermediate")</f>
        <v>Intermediate</v>
      </c>
      <c r="N44" s="217" t="str">
        <f ca="1">IFERROR(__xludf.DUMMYFUNCTION("""COMPUTED_VALUE"""),"Microsoft Teams: Gestión de proyectos")</f>
        <v>Microsoft Teams: Gestión de proyectos</v>
      </c>
      <c r="O44" s="217"/>
      <c r="P44" s="213"/>
      <c r="Q44" s="215">
        <f ca="1">IFERROR(__xludf.DUMMYFUNCTION("""COMPUTED_VALUE"""),593930)</f>
        <v>593930</v>
      </c>
      <c r="R44" s="215" t="str">
        <f ca="1">IFERROR(__xludf.DUMMYFUNCTION("""COMPUTED_VALUE"""),"Intermediate")</f>
        <v>Intermediate</v>
      </c>
      <c r="S44" s="217" t="str">
        <f ca="1">IFERROR(__xludf.DUMMYFUNCTION("""COMPUTED_VALUE"""),"Projektmanagement: Steuerung und Controlling")</f>
        <v>Projektmanagement: Steuerung und Controlling</v>
      </c>
      <c r="T44" s="217"/>
      <c r="U44" s="213"/>
      <c r="V44" s="215"/>
      <c r="W44" s="215"/>
      <c r="X44" s="217"/>
      <c r="Y44" s="217"/>
      <c r="Z44" s="213"/>
      <c r="AA44" s="215"/>
      <c r="AB44" s="215"/>
      <c r="AC44" s="217"/>
      <c r="AD44" s="217"/>
      <c r="AE44" s="213"/>
      <c r="AF44" s="215"/>
      <c r="AG44" s="215"/>
      <c r="AH44" s="217"/>
      <c r="AI44" s="217"/>
      <c r="AJ44" s="213"/>
    </row>
    <row r="45" spans="1:36" ht="33.75" customHeight="1">
      <c r="A45" s="213"/>
      <c r="B45" s="214">
        <f ca="1">IFERROR(__xludf.DUMMYFUNCTION("""COMPUTED_VALUE"""),2833007)</f>
        <v>2833007</v>
      </c>
      <c r="C45" s="215" t="str">
        <f ca="1">IFERROR(__xludf.DUMMYFUNCTION("""COMPUTED_VALUE"""),"Beginner + Intermediate")</f>
        <v>Beginner + Intermediate</v>
      </c>
      <c r="D45" s="216" t="str">
        <f ca="1">IFERROR(__xludf.DUMMYFUNCTION("""COMPUTED_VALUE"""),"Transition Management for Agile Environments")</f>
        <v>Transition Management for Agile Environments</v>
      </c>
      <c r="E45" s="217"/>
      <c r="F45" s="213"/>
      <c r="G45" s="214"/>
      <c r="H45" s="215"/>
      <c r="I45" s="217"/>
      <c r="J45" s="217"/>
      <c r="K45" s="213"/>
      <c r="L45" s="215">
        <f ca="1">IFERROR(__xludf.DUMMYFUNCTION("""COMPUTED_VALUE"""),593082)</f>
        <v>593082</v>
      </c>
      <c r="M45" s="215" t="str">
        <f ca="1">IFERROR(__xludf.DUMMYFUNCTION("""COMPUTED_VALUE"""),"Advanced")</f>
        <v>Advanced</v>
      </c>
      <c r="N45" s="217" t="str">
        <f ca="1">IFERROR(__xludf.DUMMYFUNCTION("""COMPUTED_VALUE"""),"Project 2016 avanzado")</f>
        <v>Project 2016 avanzado</v>
      </c>
      <c r="O45" s="217"/>
      <c r="P45" s="213"/>
      <c r="Q45" s="215">
        <f ca="1">IFERROR(__xludf.DUMMYFUNCTION("""COMPUTED_VALUE"""),559538)</f>
        <v>559538</v>
      </c>
      <c r="R45" s="215" t="str">
        <f ca="1">IFERROR(__xludf.DUMMYFUNCTION("""COMPUTED_VALUE"""),"Beginner")</f>
        <v>Beginner</v>
      </c>
      <c r="S45" s="217" t="str">
        <f ca="1">IFERROR(__xludf.DUMMYFUNCTION("""COMPUTED_VALUE"""),"Projektmanagement: Team, Führung, Zusammenarbeit")</f>
        <v>Projektmanagement: Team, Führung, Zusammenarbeit</v>
      </c>
      <c r="T45" s="217"/>
      <c r="U45" s="213"/>
      <c r="V45" s="215"/>
      <c r="W45" s="215"/>
      <c r="X45" s="217"/>
      <c r="Y45" s="217"/>
      <c r="Z45" s="213"/>
      <c r="AA45" s="215"/>
      <c r="AB45" s="215"/>
      <c r="AC45" s="217"/>
      <c r="AD45" s="217"/>
      <c r="AE45" s="213"/>
      <c r="AF45" s="215"/>
      <c r="AG45" s="215"/>
      <c r="AH45" s="217"/>
      <c r="AI45" s="217"/>
      <c r="AJ45" s="213"/>
    </row>
    <row r="46" spans="1:36" ht="33.75" customHeight="1">
      <c r="A46" s="213"/>
      <c r="B46" s="214">
        <f ca="1">IFERROR(__xludf.DUMMYFUNCTION("""COMPUTED_VALUE"""),765311)</f>
        <v>765311</v>
      </c>
      <c r="C46" s="215" t="str">
        <f ca="1">IFERROR(__xludf.DUMMYFUNCTION("""COMPUTED_VALUE"""),"Beginner + Intermediate")</f>
        <v>Beginner + Intermediate</v>
      </c>
      <c r="D46" s="216" t="str">
        <f ca="1">IFERROR(__xludf.DUMMYFUNCTION("""COMPUTED_VALUE"""),"Project Management Foundations")</f>
        <v>Project Management Foundations</v>
      </c>
      <c r="E46" s="217"/>
      <c r="F46" s="213"/>
      <c r="G46" s="214"/>
      <c r="H46" s="215"/>
      <c r="I46" s="217"/>
      <c r="J46" s="217"/>
      <c r="K46" s="213"/>
      <c r="L46" s="215">
        <f ca="1">IFERROR(__xludf.DUMMYFUNCTION("""COMPUTED_VALUE"""),593080)</f>
        <v>593080</v>
      </c>
      <c r="M46" s="215" t="str">
        <f ca="1">IFERROR(__xludf.DUMMYFUNCTION("""COMPUTED_VALUE"""),"Beginner, Intermediate")</f>
        <v>Beginner, Intermediate</v>
      </c>
      <c r="N46" s="217" t="str">
        <f ca="1">IFERROR(__xludf.DUMMYFUNCTION("""COMPUTED_VALUE"""),"Project 2016 esencial")</f>
        <v>Project 2016 esencial</v>
      </c>
      <c r="O46" s="217"/>
      <c r="P46" s="213"/>
      <c r="Q46" s="215">
        <f ca="1">IFERROR(__xludf.DUMMYFUNCTION("""COMPUTED_VALUE"""),593906)</f>
        <v>593906</v>
      </c>
      <c r="R46" s="215" t="str">
        <f ca="1">IFERROR(__xludf.DUMMYFUNCTION("""COMPUTED_VALUE"""),"Intermediate")</f>
        <v>Intermediate</v>
      </c>
      <c r="S46" s="217" t="str">
        <f ca="1">IFERROR(__xludf.DUMMYFUNCTION("""COMPUTED_VALUE"""),"Projektmanagement: Werkzeuge und Hilfsmittel")</f>
        <v>Projektmanagement: Werkzeuge und Hilfsmittel</v>
      </c>
      <c r="T46" s="217"/>
      <c r="U46" s="213"/>
      <c r="V46" s="215"/>
      <c r="W46" s="215"/>
      <c r="X46" s="217"/>
      <c r="Y46" s="217"/>
      <c r="Z46" s="213"/>
      <c r="AA46" s="215"/>
      <c r="AB46" s="215"/>
      <c r="AC46" s="217"/>
      <c r="AD46" s="217"/>
      <c r="AE46" s="213"/>
      <c r="AF46" s="215"/>
      <c r="AG46" s="215"/>
      <c r="AH46" s="217"/>
      <c r="AI46" s="217"/>
      <c r="AJ46" s="213"/>
    </row>
    <row r="47" spans="1:36" ht="33.75" customHeight="1">
      <c r="A47" s="213"/>
      <c r="B47" s="214">
        <f ca="1">IFERROR(__xludf.DUMMYFUNCTION("""COMPUTED_VALUE"""),648914)</f>
        <v>648914</v>
      </c>
      <c r="C47" s="215" t="str">
        <f ca="1">IFERROR(__xludf.DUMMYFUNCTION("""COMPUTED_VALUE"""),"Beginner + Intermediate")</f>
        <v>Beginner + Intermediate</v>
      </c>
      <c r="D47" s="216" t="str">
        <f ca="1">IFERROR(__xludf.DUMMYFUNCTION("""COMPUTED_VALUE"""),"Product Management Tips")</f>
        <v>Product Management Tips</v>
      </c>
      <c r="E47" s="217"/>
      <c r="F47" s="213"/>
      <c r="G47" s="214"/>
      <c r="H47" s="215"/>
      <c r="I47" s="217"/>
      <c r="J47" s="217"/>
      <c r="K47" s="213"/>
      <c r="L47" s="215">
        <f ca="1">IFERROR(__xludf.DUMMYFUNCTION("""COMPUTED_VALUE"""),761046)</f>
        <v>761046</v>
      </c>
      <c r="M47" s="215" t="str">
        <f ca="1">IFERROR(__xludf.DUMMYFUNCTION("""COMPUTED_VALUE"""),"Beginner, Intermediate")</f>
        <v>Beginner, Intermediate</v>
      </c>
      <c r="N47" s="217" t="str">
        <f ca="1">IFERROR(__xludf.DUMMYFUNCTION("""COMPUTED_VALUE"""),"Project 2019 y Project Online Professional esencial")</f>
        <v>Project 2019 y Project Online Professional esencial</v>
      </c>
      <c r="O47" s="217"/>
      <c r="P47" s="213"/>
      <c r="Q47" s="215">
        <f ca="1">IFERROR(__xludf.DUMMYFUNCTION("""COMPUTED_VALUE"""),2804682)</f>
        <v>2804682</v>
      </c>
      <c r="R47" s="215" t="str">
        <f ca="1">IFERROR(__xludf.DUMMYFUNCTION("""COMPUTED_VALUE"""),"Intermediate")</f>
        <v>Intermediate</v>
      </c>
      <c r="S47" s="217" t="str">
        <f ca="1">IFERROR(__xludf.DUMMYFUNCTION("""COMPUTED_VALUE"""),"Scope Creep – Schleichende Umfangserweiterungen in Projekten vermeiden")</f>
        <v>Scope Creep – Schleichende Umfangserweiterungen in Projekten vermeiden</v>
      </c>
      <c r="T47" s="217"/>
      <c r="U47" s="213"/>
      <c r="V47" s="215"/>
      <c r="W47" s="215"/>
      <c r="X47" s="217"/>
      <c r="Y47" s="217"/>
      <c r="Z47" s="213"/>
      <c r="AA47" s="215"/>
      <c r="AB47" s="215"/>
      <c r="AC47" s="217"/>
      <c r="AD47" s="217"/>
      <c r="AE47" s="213"/>
      <c r="AF47" s="215"/>
      <c r="AG47" s="215"/>
      <c r="AH47" s="217"/>
      <c r="AI47" s="217"/>
      <c r="AJ47" s="213"/>
    </row>
    <row r="48" spans="1:36" ht="33.75" customHeight="1">
      <c r="A48" s="213"/>
      <c r="B48" s="214">
        <f ca="1">IFERROR(__xludf.DUMMYFUNCTION("""COMPUTED_VALUE"""),2806198)</f>
        <v>2806198</v>
      </c>
      <c r="C48" s="215" t="str">
        <f ca="1">IFERROR(__xludf.DUMMYFUNCTION("""COMPUTED_VALUE"""),"Beginner + Intermediate")</f>
        <v>Beginner + Intermediate</v>
      </c>
      <c r="D48" s="216" t="str">
        <f ca="1">IFERROR(__xludf.DUMMYFUNCTION("""COMPUTED_VALUE"""),"Managing Project Stakeholders")</f>
        <v>Managing Project Stakeholders</v>
      </c>
      <c r="E48" s="217"/>
      <c r="F48" s="213"/>
      <c r="G48" s="214"/>
      <c r="H48" s="215"/>
      <c r="I48" s="217"/>
      <c r="J48" s="217"/>
      <c r="K48" s="213"/>
      <c r="L48" s="215">
        <f ca="1">IFERROR(__xludf.DUMMYFUNCTION("""COMPUTED_VALUE"""),2814052)</f>
        <v>2814052</v>
      </c>
      <c r="M48" s="215" t="str">
        <f ca="1">IFERROR(__xludf.DUMMYFUNCTION("""COMPUTED_VALUE"""),"Intermediate")</f>
        <v>Intermediate</v>
      </c>
      <c r="N48" s="217" t="str">
        <f ca="1">IFERROR(__xludf.DUMMYFUNCTION("""COMPUTED_VALUE"""),"Project Online Profesional: Trucos")</f>
        <v>Project Online Profesional: Trucos</v>
      </c>
      <c r="O48" s="217"/>
      <c r="P48" s="213"/>
      <c r="Q48" s="215">
        <f ca="1">IFERROR(__xludf.DUMMYFUNCTION("""COMPUTED_VALUE"""),561448)</f>
        <v>561448</v>
      </c>
      <c r="R48" s="215" t="str">
        <f ca="1">IFERROR(__xludf.DUMMYFUNCTION("""COMPUTED_VALUE"""),"Beginner, Intermediate")</f>
        <v>Beginner, Intermediate</v>
      </c>
      <c r="S48" s="217" t="str">
        <f ca="1">IFERROR(__xludf.DUMMYFUNCTION("""COMPUTED_VALUE"""),"Scrum-Grundlagen: Der Product Owner")</f>
        <v>Scrum-Grundlagen: Der Product Owner</v>
      </c>
      <c r="T48" s="217"/>
      <c r="U48" s="213"/>
      <c r="V48" s="215"/>
      <c r="W48" s="215"/>
      <c r="X48" s="217"/>
      <c r="Y48" s="217"/>
      <c r="Z48" s="213"/>
      <c r="AA48" s="215"/>
      <c r="AB48" s="215"/>
      <c r="AC48" s="217"/>
      <c r="AD48" s="217"/>
      <c r="AE48" s="213"/>
      <c r="AF48" s="215"/>
      <c r="AG48" s="215"/>
      <c r="AH48" s="217"/>
      <c r="AI48" s="217"/>
      <c r="AJ48" s="213"/>
    </row>
    <row r="49" spans="1:36" ht="33.75" customHeight="1">
      <c r="A49" s="213"/>
      <c r="B49" s="214">
        <f ca="1">IFERROR(__xludf.DUMMYFUNCTION("""COMPUTED_VALUE"""),2813142)</f>
        <v>2813142</v>
      </c>
      <c r="C49" s="215" t="str">
        <f ca="1">IFERROR(__xludf.DUMMYFUNCTION("""COMPUTED_VALUE"""),"Beginner + Intermediate")</f>
        <v>Beginner + Intermediate</v>
      </c>
      <c r="D49" s="216" t="str">
        <f ca="1">IFERROR(__xludf.DUMMYFUNCTION("""COMPUTED_VALUE"""),"Transitioning from Waterfall to Agile Project Management")</f>
        <v>Transitioning from Waterfall to Agile Project Management</v>
      </c>
      <c r="E49" s="217"/>
      <c r="F49" s="213"/>
      <c r="G49" s="214"/>
      <c r="H49" s="215"/>
      <c r="I49" s="217"/>
      <c r="J49" s="217"/>
      <c r="K49" s="213"/>
      <c r="L49" s="215">
        <f ca="1">IFERROR(__xludf.DUMMYFUNCTION("""COMPUTED_VALUE"""),795011)</f>
        <v>795011</v>
      </c>
      <c r="M49" s="215" t="str">
        <f ca="1">IFERROR(__xludf.DUMMYFUNCTION("""COMPUTED_VALUE"""),"Intermediate")</f>
        <v>Intermediate</v>
      </c>
      <c r="N49" s="217" t="str">
        <f ca="1">IFERROR(__xludf.DUMMYFUNCTION("""COMPUTED_VALUE"""),"Project: Gestión de proyectos ágiles")</f>
        <v>Project: Gestión de proyectos ágiles</v>
      </c>
      <c r="O49" s="217"/>
      <c r="P49" s="213"/>
      <c r="Q49" s="215">
        <f ca="1">IFERROR(__xludf.DUMMYFUNCTION("""COMPUTED_VALUE"""),519049)</f>
        <v>519049</v>
      </c>
      <c r="R49" s="215" t="str">
        <f ca="1">IFERROR(__xludf.DUMMYFUNCTION("""COMPUTED_VALUE"""),"Beginner, Intermediate")</f>
        <v>Beginner, Intermediate</v>
      </c>
      <c r="S49" s="217" t="str">
        <f ca="1">IFERROR(__xludf.DUMMYFUNCTION("""COMPUTED_VALUE"""),"Scrum-Grundlagen: Der Scrum Master")</f>
        <v>Scrum-Grundlagen: Der Scrum Master</v>
      </c>
      <c r="T49" s="217"/>
      <c r="U49" s="213"/>
      <c r="V49" s="215"/>
      <c r="W49" s="215"/>
      <c r="X49" s="217"/>
      <c r="Y49" s="217"/>
      <c r="Z49" s="213"/>
      <c r="AA49" s="215"/>
      <c r="AB49" s="215"/>
      <c r="AC49" s="217"/>
      <c r="AD49" s="217"/>
      <c r="AE49" s="213"/>
      <c r="AF49" s="215"/>
      <c r="AG49" s="215"/>
      <c r="AH49" s="217"/>
      <c r="AI49" s="217"/>
      <c r="AJ49" s="213"/>
    </row>
    <row r="50" spans="1:36" ht="33.75" customHeight="1">
      <c r="A50" s="213"/>
      <c r="B50" s="214">
        <f ca="1">IFERROR(__xludf.DUMMYFUNCTION("""COMPUTED_VALUE"""),2823553)</f>
        <v>2823553</v>
      </c>
      <c r="C50" s="215" t="str">
        <f ca="1">IFERROR(__xludf.DUMMYFUNCTION("""COMPUTED_VALUE"""),"Beginner + Intermediate")</f>
        <v>Beginner + Intermediate</v>
      </c>
      <c r="D50" s="216" t="str">
        <f ca="1">IFERROR(__xludf.DUMMYFUNCTION("""COMPUTED_VALUE"""),"Construction Industry: Safety")</f>
        <v>Construction Industry: Safety</v>
      </c>
      <c r="E50" s="217"/>
      <c r="F50" s="213"/>
      <c r="G50" s="214"/>
      <c r="H50" s="215"/>
      <c r="I50" s="217"/>
      <c r="J50" s="217"/>
      <c r="K50" s="213"/>
      <c r="L50" s="215">
        <f ca="1">IFERROR(__xludf.DUMMYFUNCTION("""COMPUTED_VALUE"""),5025682)</f>
        <v>5025682</v>
      </c>
      <c r="M50" s="215" t="str">
        <f ca="1">IFERROR(__xludf.DUMMYFUNCTION("""COMPUTED_VALUE"""),"Advanced")</f>
        <v>Advanced</v>
      </c>
      <c r="N50" s="217" t="str">
        <f ca="1">IFERROR(__xludf.DUMMYFUNCTION("""COMPUTED_VALUE"""),"Scrum avanzado")</f>
        <v>Scrum avanzado</v>
      </c>
      <c r="O50" s="217"/>
      <c r="P50" s="213"/>
      <c r="Q50" s="215">
        <f ca="1">IFERROR(__xludf.DUMMYFUNCTION("""COMPUTED_VALUE"""),788133)</f>
        <v>788133</v>
      </c>
      <c r="R50" s="215" t="str">
        <f ca="1">IFERROR(__xludf.DUMMYFUNCTION("""COMPUTED_VALUE"""),"Beginner, Intermediate")</f>
        <v>Beginner, Intermediate</v>
      </c>
      <c r="S50" s="217" t="str">
        <f ca="1">IFERROR(__xludf.DUMMYFUNCTION("""COMPUTED_VALUE"""),"Scrum-Projekte mit Azure DevOps")</f>
        <v>Scrum-Projekte mit Azure DevOps</v>
      </c>
      <c r="T50" s="217"/>
      <c r="U50" s="213"/>
      <c r="V50" s="215"/>
      <c r="W50" s="215"/>
      <c r="X50" s="217"/>
      <c r="Y50" s="217"/>
      <c r="Z50" s="213"/>
      <c r="AA50" s="215"/>
      <c r="AB50" s="215"/>
      <c r="AC50" s="217"/>
      <c r="AD50" s="217"/>
      <c r="AE50" s="213"/>
      <c r="AF50" s="215"/>
      <c r="AG50" s="215"/>
      <c r="AH50" s="217"/>
      <c r="AI50" s="217"/>
      <c r="AJ50" s="213"/>
    </row>
    <row r="51" spans="1:36" ht="33.75" customHeight="1">
      <c r="A51" s="213"/>
      <c r="B51" s="214">
        <f ca="1">IFERROR(__xludf.DUMMYFUNCTION("""COMPUTED_VALUE"""),3129470)</f>
        <v>3129470</v>
      </c>
      <c r="C51" s="215" t="str">
        <f ca="1">IFERROR(__xludf.DUMMYFUNCTION("""COMPUTED_VALUE"""),"Beginner + Intermediate")</f>
        <v>Beginner + Intermediate</v>
      </c>
      <c r="D51" s="216" t="str">
        <f ca="1">IFERROR(__xludf.DUMMYFUNCTION("""COMPUTED_VALUE"""),"Introduction to Disciplined Agile")</f>
        <v>Introduction to Disciplined Agile</v>
      </c>
      <c r="E51" s="217"/>
      <c r="F51" s="213"/>
      <c r="G51" s="214"/>
      <c r="H51" s="215"/>
      <c r="I51" s="217"/>
      <c r="J51" s="217"/>
      <c r="K51" s="213"/>
      <c r="L51" s="215">
        <f ca="1">IFERROR(__xludf.DUMMYFUNCTION("""COMPUTED_VALUE"""),5025570)</f>
        <v>5025570</v>
      </c>
      <c r="M51" s="215" t="str">
        <f ca="1">IFERROR(__xludf.DUMMYFUNCTION("""COMPUTED_VALUE"""),"Beginner")</f>
        <v>Beginner</v>
      </c>
      <c r="N51" s="217" t="str">
        <f ca="1">IFERROR(__xludf.DUMMYFUNCTION("""COMPUTED_VALUE"""),"Scrum con un café")</f>
        <v>Scrum con un café</v>
      </c>
      <c r="O51" s="217"/>
      <c r="P51" s="213"/>
      <c r="Q51" s="215">
        <f ca="1">IFERROR(__xludf.DUMMYFUNCTION("""COMPUTED_VALUE"""),759347)</f>
        <v>759347</v>
      </c>
      <c r="R51" s="215" t="str">
        <f ca="1">IFERROR(__xludf.DUMMYFUNCTION("""COMPUTED_VALUE"""),"Beginner")</f>
        <v>Beginner</v>
      </c>
      <c r="S51" s="217" t="str">
        <f ca="1">IFERROR(__xludf.DUMMYFUNCTION("""COMPUTED_VALUE"""),"Stakeholdermanagement")</f>
        <v>Stakeholdermanagement</v>
      </c>
      <c r="T51" s="217"/>
      <c r="U51" s="213"/>
      <c r="V51" s="215"/>
      <c r="W51" s="215"/>
      <c r="X51" s="217"/>
      <c r="Y51" s="217"/>
      <c r="Z51" s="213"/>
      <c r="AA51" s="215"/>
      <c r="AB51" s="215"/>
      <c r="AC51" s="217"/>
      <c r="AD51" s="217"/>
      <c r="AE51" s="213"/>
      <c r="AF51" s="215"/>
      <c r="AG51" s="215"/>
      <c r="AH51" s="217"/>
      <c r="AI51" s="217"/>
      <c r="AJ51" s="213"/>
    </row>
    <row r="52" spans="1:36" ht="33.75" customHeight="1">
      <c r="A52" s="213"/>
      <c r="B52" s="214">
        <f ca="1">IFERROR(__xludf.DUMMYFUNCTION("""COMPUTED_VALUE"""),774893)</f>
        <v>774893</v>
      </c>
      <c r="C52" s="215" t="str">
        <f ca="1">IFERROR(__xludf.DUMMYFUNCTION("""COMPUTED_VALUE"""),"General")</f>
        <v>General</v>
      </c>
      <c r="D52" s="216" t="str">
        <f ca="1">IFERROR(__xludf.DUMMYFUNCTION("""COMPUTED_VALUE"""),"Project Management Foundations: Communication")</f>
        <v>Project Management Foundations: Communication</v>
      </c>
      <c r="E52" s="217"/>
      <c r="F52" s="213"/>
      <c r="G52" s="214"/>
      <c r="H52" s="215"/>
      <c r="I52" s="217"/>
      <c r="J52" s="217"/>
      <c r="K52" s="213"/>
      <c r="L52" s="215">
        <f ca="1">IFERROR(__xludf.DUMMYFUNCTION("""COMPUTED_VALUE"""),2919669)</f>
        <v>2919669</v>
      </c>
      <c r="M52" s="215" t="str">
        <f ca="1">IFERROR(__xludf.DUMMYFUNCTION("""COMPUTED_VALUE"""),"Advanced")</f>
        <v>Advanced</v>
      </c>
      <c r="N52" s="217" t="str">
        <f ca="1">IFERROR(__xludf.DUMMYFUNCTION("""COMPUTED_VALUE"""),"SharePoint 2019: Trucos")</f>
        <v>SharePoint 2019: Trucos</v>
      </c>
      <c r="O52" s="217"/>
      <c r="P52" s="213"/>
      <c r="Q52" s="215">
        <f ca="1">IFERROR(__xludf.DUMMYFUNCTION("""COMPUTED_VALUE"""),2922291)</f>
        <v>2922291</v>
      </c>
      <c r="R52" s="215" t="str">
        <f ca="1">IFERROR(__xludf.DUMMYFUNCTION("""COMPUTED_VALUE"""),"Beginner")</f>
        <v>Beginner</v>
      </c>
      <c r="S52" s="217" t="str">
        <f ca="1">IFERROR(__xludf.DUMMYFUNCTION("""COMPUTED_VALUE"""),"Trello Grundkurs")</f>
        <v>Trello Grundkurs</v>
      </c>
      <c r="T52" s="217"/>
      <c r="U52" s="213"/>
      <c r="V52" s="215"/>
      <c r="W52" s="215"/>
      <c r="X52" s="217"/>
      <c r="Y52" s="217"/>
      <c r="Z52" s="213"/>
      <c r="AA52" s="215"/>
      <c r="AB52" s="215"/>
      <c r="AC52" s="217"/>
      <c r="AD52" s="217"/>
      <c r="AE52" s="213"/>
      <c r="AF52" s="215"/>
      <c r="AG52" s="215"/>
      <c r="AH52" s="217"/>
      <c r="AI52" s="217"/>
      <c r="AJ52" s="213"/>
    </row>
    <row r="53" spans="1:36" ht="33.75" customHeight="1">
      <c r="A53" s="213"/>
      <c r="B53" s="214">
        <f ca="1">IFERROR(__xludf.DUMMYFUNCTION("""COMPUTED_VALUE"""),2824220)</f>
        <v>2824220</v>
      </c>
      <c r="C53" s="215" t="str">
        <f ca="1">IFERROR(__xludf.DUMMYFUNCTION("""COMPUTED_VALUE"""),"General")</f>
        <v>General</v>
      </c>
      <c r="D53" s="216" t="str">
        <f ca="1">IFERROR(__xludf.DUMMYFUNCTION("""COMPUTED_VALUE"""),"What Is a PMO?")</f>
        <v>What Is a PMO?</v>
      </c>
      <c r="E53" s="217"/>
      <c r="F53" s="213"/>
      <c r="G53" s="214"/>
      <c r="H53" s="215"/>
      <c r="I53" s="217"/>
      <c r="J53" s="217"/>
      <c r="K53" s="213"/>
      <c r="L53" s="215">
        <f ca="1">IFERROR(__xludf.DUMMYFUNCTION("""COMPUTED_VALUE"""),2432007)</f>
        <v>2432007</v>
      </c>
      <c r="M53" s="215" t="str">
        <f ca="1">IFERROR(__xludf.DUMMYFUNCTION("""COMPUTED_VALUE"""),"All levels")</f>
        <v>All levels</v>
      </c>
      <c r="N53" s="217" t="str">
        <f ca="1">IFERROR(__xludf.DUMMYFUNCTION("""COMPUTED_VALUE"""),"Storytelling para comunicación de proyectos de ingeniería")</f>
        <v>Storytelling para comunicación de proyectos de ingeniería</v>
      </c>
      <c r="O53" s="217"/>
      <c r="P53" s="213"/>
      <c r="Q53" s="215">
        <f ca="1">IFERROR(__xludf.DUMMYFUNCTION("""COMPUTED_VALUE"""),563971)</f>
        <v>563971</v>
      </c>
      <c r="R53" s="215" t="str">
        <f ca="1">IFERROR(__xludf.DUMMYFUNCTION("""COMPUTED_VALUE"""),"Beginner")</f>
        <v>Beginner</v>
      </c>
      <c r="S53" s="217" t="str">
        <f ca="1">IFERROR(__xludf.DUMMYFUNCTION("""COMPUTED_VALUE"""),"Typische Probleme in Projekten lösen")</f>
        <v>Typische Probleme in Projekten lösen</v>
      </c>
      <c r="T53" s="217"/>
      <c r="U53" s="213"/>
      <c r="V53" s="215"/>
      <c r="W53" s="215"/>
      <c r="X53" s="217"/>
      <c r="Y53" s="217"/>
      <c r="Z53" s="213"/>
      <c r="AA53" s="215"/>
      <c r="AB53" s="215"/>
      <c r="AC53" s="217"/>
      <c r="AD53" s="217"/>
      <c r="AE53" s="213"/>
      <c r="AF53" s="215"/>
      <c r="AG53" s="215"/>
      <c r="AH53" s="217"/>
      <c r="AI53" s="217"/>
      <c r="AJ53" s="213"/>
    </row>
    <row r="54" spans="1:36" ht="33.75" customHeight="1">
      <c r="A54" s="213"/>
      <c r="B54" s="214">
        <f ca="1">IFERROR(__xludf.DUMMYFUNCTION("""COMPUTED_VALUE"""),2824219)</f>
        <v>2824219</v>
      </c>
      <c r="C54" s="215" t="str">
        <f ca="1">IFERROR(__xludf.DUMMYFUNCTION("""COMPUTED_VALUE"""),"General")</f>
        <v>General</v>
      </c>
      <c r="D54" s="216" t="str">
        <f ca="1">IFERROR(__xludf.DUMMYFUNCTION("""COMPUTED_VALUE"""),"What Is Scrum?")</f>
        <v>What Is Scrum?</v>
      </c>
      <c r="E54" s="217"/>
      <c r="F54" s="213"/>
      <c r="G54" s="214"/>
      <c r="H54" s="215"/>
      <c r="I54" s="217"/>
      <c r="J54" s="217"/>
      <c r="K54" s="213"/>
      <c r="L54" s="215">
        <f ca="1">IFERROR(__xludf.DUMMYFUNCTION("""COMPUTED_VALUE"""),2841034)</f>
        <v>2841034</v>
      </c>
      <c r="M54" s="215" t="str">
        <f ca="1">IFERROR(__xludf.DUMMYFUNCTION("""COMPUTED_VALUE"""),"Beginner")</f>
        <v>Beginner</v>
      </c>
      <c r="N54" s="217" t="str">
        <f ca="1">IFERROR(__xludf.DUMMYFUNCTION("""COMPUTED_VALUE"""),"Trabajando con computadoras y dispositivos")</f>
        <v>Trabajando con computadoras y dispositivos</v>
      </c>
      <c r="O54" s="217"/>
      <c r="P54" s="213"/>
      <c r="Q54" s="215">
        <f ca="1">IFERROR(__xludf.DUMMYFUNCTION("""COMPUTED_VALUE"""),686449)</f>
        <v>686449</v>
      </c>
      <c r="R54" s="215" t="str">
        <f ca="1">IFERROR(__xludf.DUMMYFUNCTION("""COMPUTED_VALUE"""),"Beginner")</f>
        <v>Beginner</v>
      </c>
      <c r="S54" s="217" t="str">
        <f ca="1">IFERROR(__xludf.DUMMYFUNCTION("""COMPUTED_VALUE"""),"Vereinfachtes Projektmanagement")</f>
        <v>Vereinfachtes Projektmanagement</v>
      </c>
      <c r="T54" s="217"/>
      <c r="U54" s="213"/>
      <c r="V54" s="215"/>
      <c r="W54" s="215"/>
      <c r="X54" s="217"/>
      <c r="Y54" s="217"/>
      <c r="Z54" s="213"/>
      <c r="AA54" s="215"/>
      <c r="AB54" s="215"/>
      <c r="AC54" s="217"/>
      <c r="AD54" s="217"/>
      <c r="AE54" s="213"/>
      <c r="AF54" s="215"/>
      <c r="AG54" s="215"/>
      <c r="AH54" s="217"/>
      <c r="AI54" s="217"/>
      <c r="AJ54" s="213"/>
    </row>
    <row r="55" spans="1:36" ht="33.75" customHeight="1">
      <c r="A55" s="213"/>
      <c r="B55" s="214">
        <f ca="1">IFERROR(__xludf.DUMMYFUNCTION("""COMPUTED_VALUE"""),2836016)</f>
        <v>2836016</v>
      </c>
      <c r="C55" s="215" t="str">
        <f ca="1">IFERROR(__xludf.DUMMYFUNCTION("""COMPUTED_VALUE"""),"General")</f>
        <v>General</v>
      </c>
      <c r="D55" s="216" t="str">
        <f ca="1">IFERROR(__xludf.DUMMYFUNCTION("""COMPUTED_VALUE"""),"How to Create and Run a Brilliant Remote Workshop")</f>
        <v>How to Create and Run a Brilliant Remote Workshop</v>
      </c>
      <c r="E55" s="217"/>
      <c r="F55" s="213"/>
      <c r="G55" s="214"/>
      <c r="H55" s="215"/>
      <c r="I55" s="217"/>
      <c r="J55" s="217"/>
      <c r="K55" s="213"/>
      <c r="L55" s="215">
        <f ca="1">IFERROR(__xludf.DUMMYFUNCTION("""COMPUTED_VALUE"""),2841035)</f>
        <v>2841035</v>
      </c>
      <c r="M55" s="215" t="str">
        <f ca="1">IFERROR(__xludf.DUMMYFUNCTION("""COMPUTED_VALUE"""),"Beginner")</f>
        <v>Beginner</v>
      </c>
      <c r="N55" s="217" t="str">
        <f ca="1">IFERROR(__xludf.DUMMYFUNCTION("""COMPUTED_VALUE"""),"Trabajando y colaborando online")</f>
        <v>Trabajando y colaborando online</v>
      </c>
      <c r="O55" s="217"/>
      <c r="P55" s="213"/>
      <c r="Q55" s="215"/>
      <c r="R55" s="215"/>
      <c r="S55" s="217"/>
      <c r="T55" s="217"/>
      <c r="U55" s="213"/>
      <c r="V55" s="215"/>
      <c r="W55" s="215"/>
      <c r="X55" s="217"/>
      <c r="Y55" s="217"/>
      <c r="Z55" s="213"/>
      <c r="AA55" s="215"/>
      <c r="AB55" s="215"/>
      <c r="AC55" s="217"/>
      <c r="AD55" s="217"/>
      <c r="AE55" s="213"/>
      <c r="AF55" s="215"/>
      <c r="AG55" s="215"/>
      <c r="AH55" s="217"/>
      <c r="AI55" s="217"/>
      <c r="AJ55" s="213"/>
    </row>
    <row r="56" spans="1:36" ht="33.75" customHeight="1">
      <c r="A56" s="213"/>
      <c r="B56" s="214">
        <f ca="1">IFERROR(__xludf.DUMMYFUNCTION("""COMPUTED_VALUE"""),2820009)</f>
        <v>2820009</v>
      </c>
      <c r="C56" s="215" t="str">
        <f ca="1">IFERROR(__xludf.DUMMYFUNCTION("""COMPUTED_VALUE"""),"General")</f>
        <v>General</v>
      </c>
      <c r="D56" s="216" t="str">
        <f ca="1">IFERROR(__xludf.DUMMYFUNCTION("""COMPUTED_VALUE"""),"Comparing Agile versus Waterfall Project Management")</f>
        <v>Comparing Agile versus Waterfall Project Management</v>
      </c>
      <c r="E56" s="217"/>
      <c r="F56" s="213"/>
      <c r="G56" s="214"/>
      <c r="H56" s="215"/>
      <c r="I56" s="217"/>
      <c r="J56" s="217"/>
      <c r="K56" s="213"/>
      <c r="L56" s="215">
        <f ca="1">IFERROR(__xludf.DUMMYFUNCTION("""COMPUTED_VALUE"""),3115667)</f>
        <v>3115667</v>
      </c>
      <c r="M56" s="215" t="str">
        <f ca="1">IFERROR(__xludf.DUMMYFUNCTION("""COMPUTED_VALUE"""),"Beginner, Intermediate")</f>
        <v>Beginner, Intermediate</v>
      </c>
      <c r="N56" s="217" t="str">
        <f ca="1">IFERROR(__xludf.DUMMYFUNCTION("""COMPUTED_VALUE"""),"Transición de gestión de proyectos en cascada a gestión de proyectos Agile")</f>
        <v>Transición de gestión de proyectos en cascada a gestión de proyectos Agile</v>
      </c>
      <c r="O56" s="217"/>
      <c r="P56" s="213"/>
      <c r="Q56" s="215"/>
      <c r="R56" s="215"/>
      <c r="S56" s="217"/>
      <c r="T56" s="217"/>
      <c r="U56" s="213"/>
      <c r="V56" s="215"/>
      <c r="W56" s="215"/>
      <c r="X56" s="217"/>
      <c r="Y56" s="217"/>
      <c r="Z56" s="213"/>
      <c r="AA56" s="215"/>
      <c r="AB56" s="215"/>
      <c r="AC56" s="217"/>
      <c r="AD56" s="217"/>
      <c r="AE56" s="213"/>
      <c r="AF56" s="215"/>
      <c r="AG56" s="215"/>
      <c r="AH56" s="217"/>
      <c r="AI56" s="217"/>
      <c r="AJ56" s="213"/>
    </row>
    <row r="57" spans="1:36" ht="33.75" customHeight="1">
      <c r="A57" s="213"/>
      <c r="B57" s="214">
        <f ca="1">IFERROR(__xludf.DUMMYFUNCTION("""COMPUTED_VALUE"""),2822042)</f>
        <v>2822042</v>
      </c>
      <c r="C57" s="215" t="str">
        <f ca="1">IFERROR(__xludf.DUMMYFUNCTION("""COMPUTED_VALUE"""),"General")</f>
        <v>General</v>
      </c>
      <c r="D57" s="216" t="str">
        <f ca="1">IFERROR(__xludf.DUMMYFUNCTION("""COMPUTED_VALUE"""),"LinkedIn Learning Highlights: Project Management")</f>
        <v>LinkedIn Learning Highlights: Project Management</v>
      </c>
      <c r="E57" s="217"/>
      <c r="F57" s="213"/>
      <c r="G57" s="214"/>
      <c r="H57" s="215"/>
      <c r="I57" s="217"/>
      <c r="J57" s="217"/>
      <c r="K57" s="213"/>
      <c r="L57" s="215"/>
      <c r="M57" s="215"/>
      <c r="N57" s="217"/>
      <c r="O57" s="217"/>
      <c r="P57" s="213"/>
      <c r="Q57" s="215"/>
      <c r="R57" s="215"/>
      <c r="S57" s="217"/>
      <c r="T57" s="217"/>
      <c r="U57" s="213"/>
      <c r="V57" s="215"/>
      <c r="W57" s="215"/>
      <c r="X57" s="217"/>
      <c r="Y57" s="217"/>
      <c r="Z57" s="213"/>
      <c r="AA57" s="215"/>
      <c r="AB57" s="215"/>
      <c r="AC57" s="217"/>
      <c r="AD57" s="217"/>
      <c r="AE57" s="213"/>
      <c r="AF57" s="215"/>
      <c r="AG57" s="215"/>
      <c r="AH57" s="217"/>
      <c r="AI57" s="217"/>
      <c r="AJ57" s="213"/>
    </row>
    <row r="58" spans="1:36" ht="33.75" customHeight="1">
      <c r="A58" s="213"/>
      <c r="B58" s="214">
        <f ca="1">IFERROR(__xludf.DUMMYFUNCTION("""COMPUTED_VALUE"""),2837263)</f>
        <v>2837263</v>
      </c>
      <c r="C58" s="215" t="str">
        <f ca="1">IFERROR(__xludf.DUMMYFUNCTION("""COMPUTED_VALUE"""),"General")</f>
        <v>General</v>
      </c>
      <c r="D58" s="216" t="str">
        <f ca="1">IFERROR(__xludf.DUMMYFUNCTION("""COMPUTED_VALUE"""),"Emotional Intelligence for Project Managers (Blinkist Summary)")</f>
        <v>Emotional Intelligence for Project Managers (Blinkist Summary)</v>
      </c>
      <c r="E58" s="217"/>
      <c r="F58" s="213"/>
      <c r="G58" s="214"/>
      <c r="H58" s="215"/>
      <c r="I58" s="217"/>
      <c r="J58" s="217"/>
      <c r="K58" s="213"/>
      <c r="L58" s="215"/>
      <c r="M58" s="215"/>
      <c r="N58" s="217"/>
      <c r="O58" s="217"/>
      <c r="P58" s="213"/>
      <c r="Q58" s="215"/>
      <c r="R58" s="215"/>
      <c r="S58" s="217"/>
      <c r="T58" s="217"/>
      <c r="U58" s="213"/>
      <c r="V58" s="215"/>
      <c r="W58" s="215"/>
      <c r="X58" s="217"/>
      <c r="Y58" s="217"/>
      <c r="Z58" s="213"/>
      <c r="AA58" s="215"/>
      <c r="AB58" s="215"/>
      <c r="AC58" s="217"/>
      <c r="AD58" s="217"/>
      <c r="AE58" s="213"/>
      <c r="AF58" s="215"/>
      <c r="AG58" s="215"/>
      <c r="AH58" s="217"/>
      <c r="AI58" s="217"/>
      <c r="AJ58" s="213"/>
    </row>
    <row r="59" spans="1:36" ht="33.75" customHeight="1">
      <c r="A59" s="213"/>
      <c r="B59" s="214">
        <f ca="1">IFERROR(__xludf.DUMMYFUNCTION("""COMPUTED_VALUE"""),2839078)</f>
        <v>2839078</v>
      </c>
      <c r="C59" s="215" t="str">
        <f ca="1">IFERROR(__xludf.DUMMYFUNCTION("""COMPUTED_VALUE"""),"General")</f>
        <v>General</v>
      </c>
      <c r="D59" s="216" t="str">
        <f ca="1">IFERROR(__xludf.DUMMYFUNCTION("""COMPUTED_VALUE"""),"Gemba Kaizen: A Commonsense Approach to Continuous Improvement (Blinkist Summary)")</f>
        <v>Gemba Kaizen: A Commonsense Approach to Continuous Improvement (Blinkist Summary)</v>
      </c>
      <c r="E59" s="217"/>
      <c r="F59" s="213"/>
      <c r="G59" s="214"/>
      <c r="H59" s="215"/>
      <c r="I59" s="217"/>
      <c r="J59" s="217"/>
      <c r="K59" s="213"/>
      <c r="L59" s="215"/>
      <c r="M59" s="215"/>
      <c r="N59" s="217"/>
      <c r="O59" s="217"/>
      <c r="P59" s="213"/>
      <c r="Q59" s="215"/>
      <c r="R59" s="215"/>
      <c r="S59" s="217"/>
      <c r="T59" s="217"/>
      <c r="U59" s="213"/>
      <c r="V59" s="215"/>
      <c r="W59" s="215"/>
      <c r="X59" s="217"/>
      <c r="Y59" s="217"/>
      <c r="Z59" s="213"/>
      <c r="AA59" s="215"/>
      <c r="AB59" s="215"/>
      <c r="AC59" s="217"/>
      <c r="AD59" s="217"/>
      <c r="AE59" s="213"/>
      <c r="AF59" s="215"/>
      <c r="AG59" s="215"/>
      <c r="AH59" s="217"/>
      <c r="AI59" s="217"/>
      <c r="AJ59" s="213"/>
    </row>
    <row r="60" spans="1:36" ht="33.75" customHeight="1">
      <c r="A60" s="213"/>
      <c r="B60" s="214">
        <f ca="1">IFERROR(__xludf.DUMMYFUNCTION("""COMPUTED_VALUE"""),3129471)</f>
        <v>3129471</v>
      </c>
      <c r="C60" s="215" t="str">
        <f ca="1">IFERROR(__xludf.DUMMYFUNCTION("""COMPUTED_VALUE"""),"General")</f>
        <v>General</v>
      </c>
      <c r="D60" s="216" t="str">
        <f ca="1">IFERROR(__xludf.DUMMYFUNCTION("""COMPUTED_VALUE"""),"Become a Project Management Entrepreneur")</f>
        <v>Become a Project Management Entrepreneur</v>
      </c>
      <c r="E60" s="217"/>
      <c r="F60" s="213"/>
      <c r="G60" s="214"/>
      <c r="H60" s="215"/>
      <c r="I60" s="217"/>
      <c r="J60" s="217"/>
      <c r="K60" s="213"/>
      <c r="L60" s="215"/>
      <c r="M60" s="215"/>
      <c r="N60" s="217"/>
      <c r="O60" s="217"/>
      <c r="P60" s="213"/>
      <c r="Q60" s="215"/>
      <c r="R60" s="215"/>
      <c r="S60" s="217"/>
      <c r="T60" s="217"/>
      <c r="U60" s="213"/>
      <c r="V60" s="215"/>
      <c r="W60" s="215"/>
      <c r="X60" s="217"/>
      <c r="Y60" s="217"/>
      <c r="Z60" s="213"/>
      <c r="AA60" s="215"/>
      <c r="AB60" s="215"/>
      <c r="AC60" s="217"/>
      <c r="AD60" s="217"/>
      <c r="AE60" s="213"/>
      <c r="AF60" s="215"/>
      <c r="AG60" s="215"/>
      <c r="AH60" s="217"/>
      <c r="AI60" s="217"/>
      <c r="AJ60" s="213"/>
    </row>
    <row r="61" spans="1:36" ht="33.75" customHeight="1">
      <c r="A61" s="213"/>
      <c r="B61" s="214">
        <f ca="1">IFERROR(__xludf.DUMMYFUNCTION("""COMPUTED_VALUE"""),2875306)</f>
        <v>2875306</v>
      </c>
      <c r="C61" s="215" t="str">
        <f ca="1">IFERROR(__xludf.DUMMYFUNCTION("""COMPUTED_VALUE"""),"General")</f>
        <v>General</v>
      </c>
      <c r="D61" s="216" t="str">
        <f ca="1">IFERROR(__xludf.DUMMYFUNCTION("""COMPUTED_VALUE"""),"Managing Change on an Agile Project")</f>
        <v>Managing Change on an Agile Project</v>
      </c>
      <c r="E61" s="217"/>
      <c r="F61" s="213"/>
      <c r="G61" s="214"/>
      <c r="H61" s="215"/>
      <c r="I61" s="217"/>
      <c r="J61" s="217"/>
      <c r="K61" s="213"/>
      <c r="L61" s="215"/>
      <c r="M61" s="215"/>
      <c r="N61" s="217"/>
      <c r="O61" s="217"/>
      <c r="P61" s="213"/>
      <c r="Q61" s="215"/>
      <c r="R61" s="215"/>
      <c r="S61" s="217"/>
      <c r="T61" s="217"/>
      <c r="U61" s="213"/>
      <c r="V61" s="215"/>
      <c r="W61" s="215"/>
      <c r="X61" s="217"/>
      <c r="Y61" s="217"/>
      <c r="Z61" s="213"/>
      <c r="AA61" s="215"/>
      <c r="AB61" s="215"/>
      <c r="AC61" s="217"/>
      <c r="AD61" s="217"/>
      <c r="AE61" s="213"/>
      <c r="AF61" s="215"/>
      <c r="AG61" s="215"/>
      <c r="AH61" s="217"/>
      <c r="AI61" s="217"/>
      <c r="AJ61" s="213"/>
    </row>
    <row r="62" spans="1:36" ht="33.75" customHeight="1">
      <c r="A62" s="213"/>
      <c r="B62" s="214">
        <f ca="1">IFERROR(__xludf.DUMMYFUNCTION("""COMPUTED_VALUE"""),2422738)</f>
        <v>2422738</v>
      </c>
      <c r="C62" s="215" t="str">
        <f ca="1">IFERROR(__xludf.DUMMYFUNCTION("""COMPUTED_VALUE"""),"General")</f>
        <v>General</v>
      </c>
      <c r="D62" s="216" t="str">
        <f ca="1">IFERROR(__xludf.DUMMYFUNCTION("""COMPUTED_VALUE"""),"Why Projects Fail and How to Improve Their Success")</f>
        <v>Why Projects Fail and How to Improve Their Success</v>
      </c>
      <c r="E62" s="217"/>
      <c r="F62" s="213"/>
      <c r="G62" s="214"/>
      <c r="H62" s="215"/>
      <c r="I62" s="217"/>
      <c r="J62" s="217"/>
      <c r="K62" s="213"/>
      <c r="L62" s="215"/>
      <c r="M62" s="215"/>
      <c r="N62" s="217"/>
      <c r="O62" s="217"/>
      <c r="P62" s="213"/>
      <c r="Q62" s="215"/>
      <c r="R62" s="215"/>
      <c r="S62" s="217"/>
      <c r="T62" s="217"/>
      <c r="U62" s="213"/>
      <c r="V62" s="215"/>
      <c r="W62" s="215"/>
      <c r="X62" s="217"/>
      <c r="Y62" s="217"/>
      <c r="Z62" s="213"/>
      <c r="AA62" s="215"/>
      <c r="AB62" s="215"/>
      <c r="AC62" s="217"/>
      <c r="AD62" s="217"/>
      <c r="AE62" s="213"/>
      <c r="AF62" s="215"/>
      <c r="AG62" s="215"/>
      <c r="AH62" s="217"/>
      <c r="AI62" s="217"/>
      <c r="AJ62" s="213"/>
    </row>
    <row r="63" spans="1:36" ht="33.75" customHeight="1">
      <c r="A63" s="213"/>
      <c r="B63" s="214">
        <f ca="1">IFERROR(__xludf.DUMMYFUNCTION("""COMPUTED_VALUE"""),2423501)</f>
        <v>2423501</v>
      </c>
      <c r="C63" s="215" t="str">
        <f ca="1">IFERROR(__xludf.DUMMYFUNCTION("""COMPUTED_VALUE"""),"General")</f>
        <v>General</v>
      </c>
      <c r="D63" s="216" t="str">
        <f ca="1">IFERROR(__xludf.DUMMYFUNCTION("""COMPUTED_VALUE"""),"Change Management with Limited Resources")</f>
        <v>Change Management with Limited Resources</v>
      </c>
      <c r="E63" s="217"/>
      <c r="F63" s="213"/>
      <c r="G63" s="214"/>
      <c r="H63" s="215"/>
      <c r="I63" s="217"/>
      <c r="J63" s="217"/>
      <c r="K63" s="213"/>
      <c r="L63" s="215"/>
      <c r="M63" s="215"/>
      <c r="N63" s="217"/>
      <c r="O63" s="217"/>
      <c r="P63" s="213"/>
      <c r="Q63" s="215"/>
      <c r="R63" s="215"/>
      <c r="S63" s="217"/>
      <c r="T63" s="217"/>
      <c r="U63" s="213"/>
      <c r="V63" s="215"/>
      <c r="W63" s="215"/>
      <c r="X63" s="217"/>
      <c r="Y63" s="217"/>
      <c r="Z63" s="213"/>
      <c r="AA63" s="215"/>
      <c r="AB63" s="215"/>
      <c r="AC63" s="217"/>
      <c r="AD63" s="217"/>
      <c r="AE63" s="213"/>
      <c r="AF63" s="215"/>
      <c r="AG63" s="215"/>
      <c r="AH63" s="217"/>
      <c r="AI63" s="217"/>
      <c r="AJ63" s="213"/>
    </row>
    <row r="64" spans="1:36" ht="33.75" customHeight="1">
      <c r="A64" s="213"/>
      <c r="B64" s="214">
        <f ca="1">IFERROR(__xludf.DUMMYFUNCTION("""COMPUTED_VALUE"""),2427503)</f>
        <v>2427503</v>
      </c>
      <c r="C64" s="215" t="str">
        <f ca="1">IFERROR(__xludf.DUMMYFUNCTION("""COMPUTED_VALUE"""),"Intermediate")</f>
        <v>Intermediate</v>
      </c>
      <c r="D64" s="216" t="str">
        <f ca="1">IFERROR(__xludf.DUMMYFUNCTION("""COMPUTED_VALUE"""),"Data-Driven Project Management: Project Metrics That Matter")</f>
        <v>Data-Driven Project Management: Project Metrics That Matter</v>
      </c>
      <c r="E64" s="217"/>
      <c r="F64" s="213"/>
      <c r="G64" s="214"/>
      <c r="H64" s="215"/>
      <c r="I64" s="217"/>
      <c r="J64" s="217"/>
      <c r="K64" s="213"/>
      <c r="L64" s="215"/>
      <c r="M64" s="215"/>
      <c r="N64" s="217"/>
      <c r="O64" s="217"/>
      <c r="P64" s="213"/>
      <c r="Q64" s="215"/>
      <c r="R64" s="215"/>
      <c r="S64" s="217"/>
      <c r="T64" s="217"/>
      <c r="U64" s="213"/>
      <c r="V64" s="215"/>
      <c r="W64" s="215"/>
      <c r="X64" s="217"/>
      <c r="Y64" s="217"/>
      <c r="Z64" s="213"/>
      <c r="AA64" s="215"/>
      <c r="AB64" s="215"/>
      <c r="AC64" s="217"/>
      <c r="AD64" s="217"/>
      <c r="AE64" s="213"/>
      <c r="AF64" s="215"/>
      <c r="AG64" s="215"/>
      <c r="AH64" s="217"/>
      <c r="AI64" s="217"/>
      <c r="AJ64" s="213"/>
    </row>
    <row r="65" spans="1:36" ht="33.75" customHeight="1">
      <c r="A65" s="213"/>
      <c r="B65" s="214">
        <f ca="1">IFERROR(__xludf.DUMMYFUNCTION("""COMPUTED_VALUE"""),2822422)</f>
        <v>2822422</v>
      </c>
      <c r="C65" s="215" t="str">
        <f ca="1">IFERROR(__xludf.DUMMYFUNCTION("""COMPUTED_VALUE"""),"Intermediate")</f>
        <v>Intermediate</v>
      </c>
      <c r="D65" s="216" t="str">
        <f ca="1">IFERROR(__xludf.DUMMYFUNCTION("""COMPUTED_VALUE"""),"How to Successfully Lead a PMO")</f>
        <v>How to Successfully Lead a PMO</v>
      </c>
      <c r="E65" s="217"/>
      <c r="F65" s="213"/>
      <c r="G65" s="214"/>
      <c r="H65" s="215"/>
      <c r="I65" s="217"/>
      <c r="J65" s="217"/>
      <c r="K65" s="213"/>
      <c r="L65" s="215"/>
      <c r="M65" s="215"/>
      <c r="N65" s="217"/>
      <c r="O65" s="217"/>
      <c r="P65" s="213"/>
      <c r="Q65" s="215"/>
      <c r="R65" s="215"/>
      <c r="S65" s="217"/>
      <c r="T65" s="217"/>
      <c r="U65" s="213"/>
      <c r="V65" s="215"/>
      <c r="W65" s="215"/>
      <c r="X65" s="217"/>
      <c r="Y65" s="217"/>
      <c r="Z65" s="213"/>
      <c r="AA65" s="215"/>
      <c r="AB65" s="215"/>
      <c r="AC65" s="217"/>
      <c r="AD65" s="217"/>
      <c r="AE65" s="213"/>
      <c r="AF65" s="215"/>
      <c r="AG65" s="215"/>
      <c r="AH65" s="217"/>
      <c r="AI65" s="217"/>
      <c r="AJ65" s="213"/>
    </row>
    <row r="66" spans="1:36" ht="33.75" customHeight="1">
      <c r="A66" s="213"/>
      <c r="B66" s="214">
        <f ca="1">IFERROR(__xludf.DUMMYFUNCTION("""COMPUTED_VALUE"""),2800329)</f>
        <v>2800329</v>
      </c>
      <c r="C66" s="215" t="str">
        <f ca="1">IFERROR(__xludf.DUMMYFUNCTION("""COMPUTED_VALUE"""),"Intermediate")</f>
        <v>Intermediate</v>
      </c>
      <c r="D66" s="216" t="str">
        <f ca="1">IFERROR(__xludf.DUMMYFUNCTION("""COMPUTED_VALUE"""),"Creating a Program Strategy")</f>
        <v>Creating a Program Strategy</v>
      </c>
      <c r="E66" s="217"/>
      <c r="F66" s="213"/>
      <c r="G66" s="214"/>
      <c r="H66" s="215"/>
      <c r="I66" s="217"/>
      <c r="J66" s="217"/>
      <c r="K66" s="213"/>
      <c r="L66" s="215"/>
      <c r="M66" s="215"/>
      <c r="N66" s="217"/>
      <c r="O66" s="217"/>
      <c r="P66" s="213"/>
      <c r="Q66" s="215"/>
      <c r="R66" s="215"/>
      <c r="S66" s="217"/>
      <c r="T66" s="217"/>
      <c r="U66" s="213"/>
      <c r="V66" s="215"/>
      <c r="W66" s="215"/>
      <c r="X66" s="217"/>
      <c r="Y66" s="217"/>
      <c r="Z66" s="213"/>
      <c r="AA66" s="215"/>
      <c r="AB66" s="215"/>
      <c r="AC66" s="217"/>
      <c r="AD66" s="217"/>
      <c r="AE66" s="213"/>
      <c r="AF66" s="215"/>
      <c r="AG66" s="215"/>
      <c r="AH66" s="217"/>
      <c r="AI66" s="217"/>
      <c r="AJ66" s="213"/>
    </row>
    <row r="67" spans="1:36" ht="33.75" customHeight="1">
      <c r="A67" s="213"/>
      <c r="B67" s="214">
        <f ca="1">IFERROR(__xludf.DUMMYFUNCTION("""COMPUTED_VALUE"""),699331)</f>
        <v>699331</v>
      </c>
      <c r="C67" s="215" t="str">
        <f ca="1">IFERROR(__xludf.DUMMYFUNCTION("""COMPUTED_VALUE"""),"Intermediate")</f>
        <v>Intermediate</v>
      </c>
      <c r="D67" s="216" t="str">
        <f ca="1">IFERROR(__xludf.DUMMYFUNCTION("""COMPUTED_VALUE"""),"Adaptive Project Leadership")</f>
        <v>Adaptive Project Leadership</v>
      </c>
      <c r="E67" s="217"/>
      <c r="F67" s="213"/>
      <c r="G67" s="214"/>
      <c r="H67" s="215"/>
      <c r="I67" s="217"/>
      <c r="J67" s="217"/>
      <c r="K67" s="213"/>
      <c r="L67" s="215"/>
      <c r="M67" s="215"/>
      <c r="N67" s="217"/>
      <c r="O67" s="217"/>
      <c r="P67" s="213"/>
      <c r="Q67" s="215"/>
      <c r="R67" s="215"/>
      <c r="S67" s="217"/>
      <c r="T67" s="217"/>
      <c r="U67" s="213"/>
      <c r="V67" s="215"/>
      <c r="W67" s="215"/>
      <c r="X67" s="217"/>
      <c r="Y67" s="217"/>
      <c r="Z67" s="213"/>
      <c r="AA67" s="215"/>
      <c r="AB67" s="215"/>
      <c r="AC67" s="217"/>
      <c r="AD67" s="217"/>
      <c r="AE67" s="213"/>
      <c r="AF67" s="215"/>
      <c r="AG67" s="215"/>
      <c r="AH67" s="217"/>
      <c r="AI67" s="217"/>
      <c r="AJ67" s="213"/>
    </row>
    <row r="68" spans="1:36" ht="33.75" customHeight="1">
      <c r="A68" s="213"/>
      <c r="B68" s="214">
        <f ca="1">IFERROR(__xludf.DUMMYFUNCTION("""COMPUTED_VALUE"""),5019797)</f>
        <v>5019797</v>
      </c>
      <c r="C68" s="215" t="str">
        <f ca="1">IFERROR(__xludf.DUMMYFUNCTION("""COMPUTED_VALUE"""),"Intermediate")</f>
        <v>Intermediate</v>
      </c>
      <c r="D68" s="216" t="str">
        <f ca="1">IFERROR(__xludf.DUMMYFUNCTION("""COMPUTED_VALUE"""),"Blending Project Management Methods")</f>
        <v>Blending Project Management Methods</v>
      </c>
      <c r="E68" s="217"/>
      <c r="F68" s="213"/>
      <c r="G68" s="214"/>
      <c r="H68" s="215"/>
      <c r="I68" s="217"/>
      <c r="J68" s="217"/>
      <c r="K68" s="213"/>
      <c r="L68" s="215"/>
      <c r="M68" s="215"/>
      <c r="N68" s="217"/>
      <c r="O68" s="217"/>
      <c r="P68" s="213"/>
      <c r="Q68" s="215"/>
      <c r="R68" s="215"/>
      <c r="S68" s="217"/>
      <c r="T68" s="217"/>
      <c r="U68" s="213"/>
      <c r="V68" s="215"/>
      <c r="W68" s="215"/>
      <c r="X68" s="217"/>
      <c r="Y68" s="217"/>
      <c r="Z68" s="213"/>
      <c r="AA68" s="215"/>
      <c r="AB68" s="215"/>
      <c r="AC68" s="217"/>
      <c r="AD68" s="217"/>
      <c r="AE68" s="213"/>
      <c r="AF68" s="215"/>
      <c r="AG68" s="215"/>
      <c r="AH68" s="217"/>
      <c r="AI68" s="217"/>
      <c r="AJ68" s="213"/>
    </row>
    <row r="69" spans="1:36" ht="33.75" customHeight="1">
      <c r="A69" s="213"/>
      <c r="B69" s="214">
        <f ca="1">IFERROR(__xludf.DUMMYFUNCTION("""COMPUTED_VALUE"""),604222)</f>
        <v>604222</v>
      </c>
      <c r="C69" s="215" t="str">
        <f ca="1">IFERROR(__xludf.DUMMYFUNCTION("""COMPUTED_VALUE"""),"Intermediate")</f>
        <v>Intermediate</v>
      </c>
      <c r="D69" s="216" t="str">
        <f ca="1">IFERROR(__xludf.DUMMYFUNCTION("""COMPUTED_VALUE"""),"Exam Tips: Certified Associate in Project Management (CAPM)®")</f>
        <v>Exam Tips: Certified Associate in Project Management (CAPM)®</v>
      </c>
      <c r="E69" s="217"/>
      <c r="F69" s="213"/>
      <c r="G69" s="214"/>
      <c r="H69" s="215"/>
      <c r="I69" s="217"/>
      <c r="J69" s="217"/>
      <c r="K69" s="213"/>
      <c r="L69" s="215"/>
      <c r="M69" s="215"/>
      <c r="N69" s="217"/>
      <c r="O69" s="217"/>
      <c r="P69" s="213"/>
      <c r="Q69" s="215"/>
      <c r="R69" s="215"/>
      <c r="S69" s="217"/>
      <c r="T69" s="217"/>
      <c r="U69" s="213"/>
      <c r="V69" s="215"/>
      <c r="W69" s="215"/>
      <c r="X69" s="217"/>
      <c r="Y69" s="217"/>
      <c r="Z69" s="213"/>
      <c r="AA69" s="215"/>
      <c r="AB69" s="215"/>
      <c r="AC69" s="217"/>
      <c r="AD69" s="217"/>
      <c r="AE69" s="213"/>
      <c r="AF69" s="215"/>
      <c r="AG69" s="215"/>
      <c r="AH69" s="217"/>
      <c r="AI69" s="217"/>
      <c r="AJ69" s="213"/>
    </row>
    <row r="70" spans="1:36" ht="33.75" customHeight="1">
      <c r="A70" s="213"/>
      <c r="B70" s="214">
        <f ca="1">IFERROR(__xludf.DUMMYFUNCTION("""COMPUTED_VALUE"""),483102)</f>
        <v>483102</v>
      </c>
      <c r="C70" s="215" t="str">
        <f ca="1">IFERROR(__xludf.DUMMYFUNCTION("""COMPUTED_VALUE"""),"Intermediate")</f>
        <v>Intermediate</v>
      </c>
      <c r="D70" s="216" t="str">
        <f ca="1">IFERROR(__xludf.DUMMYFUNCTION("""COMPUTED_VALUE"""),"Leading Projects")</f>
        <v>Leading Projects</v>
      </c>
      <c r="E70" s="217"/>
      <c r="F70" s="213"/>
      <c r="G70" s="214"/>
      <c r="H70" s="215"/>
      <c r="I70" s="217"/>
      <c r="J70" s="217"/>
      <c r="K70" s="213"/>
      <c r="L70" s="215"/>
      <c r="M70" s="215"/>
      <c r="N70" s="217"/>
      <c r="O70" s="217"/>
      <c r="P70" s="213"/>
      <c r="Q70" s="215"/>
      <c r="R70" s="215"/>
      <c r="S70" s="217"/>
      <c r="T70" s="217"/>
      <c r="U70" s="213"/>
      <c r="V70" s="215"/>
      <c r="W70" s="215"/>
      <c r="X70" s="217"/>
      <c r="Y70" s="217"/>
      <c r="Z70" s="213"/>
      <c r="AA70" s="215"/>
      <c r="AB70" s="215"/>
      <c r="AC70" s="217"/>
      <c r="AD70" s="217"/>
      <c r="AE70" s="213"/>
      <c r="AF70" s="215"/>
      <c r="AG70" s="215"/>
      <c r="AH70" s="217"/>
      <c r="AI70" s="217"/>
      <c r="AJ70" s="213"/>
    </row>
    <row r="71" spans="1:36" ht="33.75" customHeight="1">
      <c r="A71" s="213"/>
      <c r="B71" s="214">
        <f ca="1">IFERROR(__xludf.DUMMYFUNCTION("""COMPUTED_VALUE"""),630598)</f>
        <v>630598</v>
      </c>
      <c r="C71" s="215" t="str">
        <f ca="1">IFERROR(__xludf.DUMMYFUNCTION("""COMPUTED_VALUE"""),"Intermediate")</f>
        <v>Intermediate</v>
      </c>
      <c r="D71" s="216" t="str">
        <f ca="1">IFERROR(__xludf.DUMMYFUNCTION("""COMPUTED_VALUE"""),"Product Management: Building a Product Roadmap")</f>
        <v>Product Management: Building a Product Roadmap</v>
      </c>
      <c r="E71" s="217"/>
      <c r="F71" s="213"/>
      <c r="G71" s="214"/>
      <c r="H71" s="215"/>
      <c r="I71" s="217"/>
      <c r="J71" s="217"/>
      <c r="K71" s="213"/>
      <c r="L71" s="215"/>
      <c r="M71" s="215"/>
      <c r="N71" s="217"/>
      <c r="O71" s="217"/>
      <c r="P71" s="213"/>
      <c r="Q71" s="215"/>
      <c r="R71" s="215"/>
      <c r="S71" s="217"/>
      <c r="T71" s="217"/>
      <c r="U71" s="213"/>
      <c r="V71" s="215"/>
      <c r="W71" s="215"/>
      <c r="X71" s="217"/>
      <c r="Y71" s="217"/>
      <c r="Z71" s="213"/>
      <c r="AA71" s="215"/>
      <c r="AB71" s="215"/>
      <c r="AC71" s="217"/>
      <c r="AD71" s="217"/>
      <c r="AE71" s="213"/>
      <c r="AF71" s="215"/>
      <c r="AG71" s="215"/>
      <c r="AH71" s="217"/>
      <c r="AI71" s="217"/>
      <c r="AJ71" s="213"/>
    </row>
    <row r="72" spans="1:36" ht="33.75" customHeight="1">
      <c r="A72" s="213"/>
      <c r="B72" s="214">
        <f ca="1">IFERROR(__xludf.DUMMYFUNCTION("""COMPUTED_VALUE"""),580636)</f>
        <v>580636</v>
      </c>
      <c r="C72" s="215" t="str">
        <f ca="1">IFERROR(__xludf.DUMMYFUNCTION("""COMPUTED_VALUE"""),"Intermediate")</f>
        <v>Intermediate</v>
      </c>
      <c r="D72" s="216" t="str">
        <f ca="1">IFERROR(__xludf.DUMMYFUNCTION("""COMPUTED_VALUE"""),"Learning Program Management")</f>
        <v>Learning Program Management</v>
      </c>
      <c r="E72" s="217"/>
      <c r="F72" s="213"/>
      <c r="G72" s="214"/>
      <c r="H72" s="215"/>
      <c r="I72" s="217"/>
      <c r="J72" s="217"/>
      <c r="K72" s="213"/>
      <c r="L72" s="215"/>
      <c r="M72" s="215"/>
      <c r="N72" s="217"/>
      <c r="O72" s="217"/>
      <c r="P72" s="213"/>
      <c r="Q72" s="215"/>
      <c r="R72" s="215"/>
      <c r="S72" s="217"/>
      <c r="T72" s="217"/>
      <c r="U72" s="213"/>
      <c r="V72" s="215"/>
      <c r="W72" s="215"/>
      <c r="X72" s="217"/>
      <c r="Y72" s="217"/>
      <c r="Z72" s="213"/>
      <c r="AA72" s="215"/>
      <c r="AB72" s="215"/>
      <c r="AC72" s="217"/>
      <c r="AD72" s="217"/>
      <c r="AE72" s="213"/>
      <c r="AF72" s="215"/>
      <c r="AG72" s="215"/>
      <c r="AH72" s="217"/>
      <c r="AI72" s="217"/>
      <c r="AJ72" s="213"/>
    </row>
    <row r="73" spans="1:36" ht="33.75" customHeight="1">
      <c r="A73" s="213"/>
      <c r="B73" s="214">
        <f ca="1">IFERROR(__xludf.DUMMYFUNCTION("""COMPUTED_VALUE"""),761930)</f>
        <v>761930</v>
      </c>
      <c r="C73" s="215" t="str">
        <f ca="1">IFERROR(__xludf.DUMMYFUNCTION("""COMPUTED_VALUE"""),"Intermediate")</f>
        <v>Intermediate</v>
      </c>
      <c r="D73" s="216" t="str">
        <f ca="1">IFERROR(__xludf.DUMMYFUNCTION("""COMPUTED_VALUE"""),"Project Management Foundations: Budgets")</f>
        <v>Project Management Foundations: Budgets</v>
      </c>
      <c r="E73" s="217"/>
      <c r="F73" s="213"/>
      <c r="G73" s="214"/>
      <c r="H73" s="215"/>
      <c r="I73" s="217"/>
      <c r="J73" s="217"/>
      <c r="K73" s="213"/>
      <c r="L73" s="215"/>
      <c r="M73" s="215"/>
      <c r="N73" s="217"/>
      <c r="O73" s="217"/>
      <c r="P73" s="213"/>
      <c r="Q73" s="215"/>
      <c r="R73" s="215"/>
      <c r="S73" s="217"/>
      <c r="T73" s="217"/>
      <c r="U73" s="213"/>
      <c r="V73" s="215"/>
      <c r="W73" s="215"/>
      <c r="X73" s="217"/>
      <c r="Y73" s="217"/>
      <c r="Z73" s="213"/>
      <c r="AA73" s="215"/>
      <c r="AB73" s="215"/>
      <c r="AC73" s="217"/>
      <c r="AD73" s="217"/>
      <c r="AE73" s="213"/>
      <c r="AF73" s="215"/>
      <c r="AG73" s="215"/>
      <c r="AH73" s="217"/>
      <c r="AI73" s="217"/>
      <c r="AJ73" s="213"/>
    </row>
    <row r="74" spans="1:36" ht="33.75" customHeight="1">
      <c r="A74" s="213"/>
      <c r="B74" s="214">
        <f ca="1">IFERROR(__xludf.DUMMYFUNCTION("""COMPUTED_VALUE"""),761927)</f>
        <v>761927</v>
      </c>
      <c r="C74" s="215" t="str">
        <f ca="1">IFERROR(__xludf.DUMMYFUNCTION("""COMPUTED_VALUE"""),"Intermediate")</f>
        <v>Intermediate</v>
      </c>
      <c r="D74" s="216" t="str">
        <f ca="1">IFERROR(__xludf.DUMMYFUNCTION("""COMPUTED_VALUE"""),"Project Management Foundations: Procurement")</f>
        <v>Project Management Foundations: Procurement</v>
      </c>
      <c r="E74" s="217"/>
      <c r="F74" s="213"/>
      <c r="G74" s="214"/>
      <c r="H74" s="215"/>
      <c r="I74" s="217"/>
      <c r="J74" s="217"/>
      <c r="K74" s="213"/>
      <c r="L74" s="215"/>
      <c r="M74" s="215"/>
      <c r="N74" s="217"/>
      <c r="O74" s="217"/>
      <c r="P74" s="213"/>
      <c r="Q74" s="215"/>
      <c r="R74" s="215"/>
      <c r="S74" s="217"/>
      <c r="T74" s="217"/>
      <c r="U74" s="213"/>
      <c r="V74" s="215"/>
      <c r="W74" s="215"/>
      <c r="X74" s="217"/>
      <c r="Y74" s="217"/>
      <c r="Z74" s="213"/>
      <c r="AA74" s="215"/>
      <c r="AB74" s="215"/>
      <c r="AC74" s="217"/>
      <c r="AD74" s="217"/>
      <c r="AE74" s="213"/>
      <c r="AF74" s="215"/>
      <c r="AG74" s="215"/>
      <c r="AH74" s="217"/>
      <c r="AI74" s="217"/>
      <c r="AJ74" s="213"/>
    </row>
    <row r="75" spans="1:36" ht="33.75" customHeight="1">
      <c r="A75" s="213"/>
      <c r="B75" s="214">
        <f ca="1">IFERROR(__xludf.DUMMYFUNCTION("""COMPUTED_VALUE"""),761928)</f>
        <v>761928</v>
      </c>
      <c r="C75" s="215" t="str">
        <f ca="1">IFERROR(__xludf.DUMMYFUNCTION("""COMPUTED_VALUE"""),"Intermediate")</f>
        <v>Intermediate</v>
      </c>
      <c r="D75" s="216" t="str">
        <f ca="1">IFERROR(__xludf.DUMMYFUNCTION("""COMPUTED_VALUE"""),"Project Management Foundations: Risk")</f>
        <v>Project Management Foundations: Risk</v>
      </c>
      <c r="E75" s="217"/>
      <c r="F75" s="213"/>
      <c r="G75" s="214"/>
      <c r="H75" s="215"/>
      <c r="I75" s="217"/>
      <c r="J75" s="217"/>
      <c r="K75" s="213"/>
      <c r="L75" s="215"/>
      <c r="M75" s="215"/>
      <c r="N75" s="217"/>
      <c r="O75" s="217"/>
      <c r="P75" s="213"/>
      <c r="Q75" s="215"/>
      <c r="R75" s="215"/>
      <c r="S75" s="217"/>
      <c r="T75" s="217"/>
      <c r="U75" s="213"/>
      <c r="V75" s="215"/>
      <c r="W75" s="215"/>
      <c r="X75" s="217"/>
      <c r="Y75" s="217"/>
      <c r="Z75" s="213"/>
      <c r="AA75" s="215"/>
      <c r="AB75" s="215"/>
      <c r="AC75" s="217"/>
      <c r="AD75" s="217"/>
      <c r="AE75" s="213"/>
      <c r="AF75" s="215"/>
      <c r="AG75" s="215"/>
      <c r="AH75" s="217"/>
      <c r="AI75" s="217"/>
      <c r="AJ75" s="213"/>
    </row>
    <row r="76" spans="1:36" ht="33.75" customHeight="1">
      <c r="A76" s="213"/>
      <c r="B76" s="214">
        <f ca="1">IFERROR(__xludf.DUMMYFUNCTION("""COMPUTED_VALUE"""),2823322)</f>
        <v>2823322</v>
      </c>
      <c r="C76" s="215" t="str">
        <f ca="1">IFERROR(__xludf.DUMMYFUNCTION("""COMPUTED_VALUE"""),"Intermediate")</f>
        <v>Intermediate</v>
      </c>
      <c r="D76" s="216" t="str">
        <f ca="1">IFERROR(__xludf.DUMMYFUNCTION("""COMPUTED_VALUE"""),"The Top PMO Challenges")</f>
        <v>The Top PMO Challenges</v>
      </c>
      <c r="E76" s="217"/>
      <c r="F76" s="213"/>
      <c r="G76" s="214"/>
      <c r="H76" s="215"/>
      <c r="I76" s="217"/>
      <c r="J76" s="217"/>
      <c r="K76" s="213"/>
      <c r="L76" s="215"/>
      <c r="M76" s="215"/>
      <c r="N76" s="217"/>
      <c r="O76" s="217"/>
      <c r="P76" s="213"/>
      <c r="Q76" s="215"/>
      <c r="R76" s="215"/>
      <c r="S76" s="217"/>
      <c r="T76" s="217"/>
      <c r="U76" s="213"/>
      <c r="V76" s="215"/>
      <c r="W76" s="215"/>
      <c r="X76" s="217"/>
      <c r="Y76" s="217"/>
      <c r="Z76" s="213"/>
      <c r="AA76" s="215"/>
      <c r="AB76" s="215"/>
      <c r="AC76" s="217"/>
      <c r="AD76" s="217"/>
      <c r="AE76" s="213"/>
      <c r="AF76" s="215"/>
      <c r="AG76" s="215"/>
      <c r="AH76" s="217"/>
      <c r="AI76" s="217"/>
      <c r="AJ76" s="213"/>
    </row>
    <row r="77" spans="1:36" ht="33.75" customHeight="1">
      <c r="A77" s="213"/>
      <c r="B77" s="214">
        <f ca="1">IFERROR(__xludf.DUMMYFUNCTION("""COMPUTED_VALUE"""),2824377)</f>
        <v>2824377</v>
      </c>
      <c r="C77" s="215" t="str">
        <f ca="1">IFERROR(__xludf.DUMMYFUNCTION("""COMPUTED_VALUE"""),"Intermediate")</f>
        <v>Intermediate</v>
      </c>
      <c r="D77" s="216" t="str">
        <f ca="1">IFERROR(__xludf.DUMMYFUNCTION("""COMPUTED_VALUE"""),"Managing Projects with Microsoft Teams")</f>
        <v>Managing Projects with Microsoft Teams</v>
      </c>
      <c r="E77" s="217"/>
      <c r="F77" s="213"/>
      <c r="G77" s="214"/>
      <c r="H77" s="215"/>
      <c r="I77" s="217"/>
      <c r="J77" s="217"/>
      <c r="K77" s="213"/>
      <c r="L77" s="215"/>
      <c r="M77" s="215"/>
      <c r="N77" s="217"/>
      <c r="O77" s="217"/>
      <c r="P77" s="213"/>
      <c r="Q77" s="215"/>
      <c r="R77" s="215"/>
      <c r="S77" s="217"/>
      <c r="T77" s="217"/>
      <c r="U77" s="213"/>
      <c r="V77" s="215"/>
      <c r="W77" s="215"/>
      <c r="X77" s="217"/>
      <c r="Y77" s="217"/>
      <c r="Z77" s="213"/>
      <c r="AA77" s="215"/>
      <c r="AB77" s="215"/>
      <c r="AC77" s="217"/>
      <c r="AD77" s="217"/>
      <c r="AE77" s="213"/>
      <c r="AF77" s="215"/>
      <c r="AG77" s="215"/>
      <c r="AH77" s="217"/>
      <c r="AI77" s="217"/>
      <c r="AJ77" s="213"/>
    </row>
    <row r="78" spans="1:36" ht="33.75" customHeight="1">
      <c r="A78" s="213"/>
      <c r="B78" s="214">
        <f ca="1">IFERROR(__xludf.DUMMYFUNCTION("""COMPUTED_VALUE"""),2825693)</f>
        <v>2825693</v>
      </c>
      <c r="C78" s="215" t="str">
        <f ca="1">IFERROR(__xludf.DUMMYFUNCTION("""COMPUTED_VALUE"""),"Intermediate")</f>
        <v>Intermediate</v>
      </c>
      <c r="D78" s="216" t="str">
        <f ca="1">IFERROR(__xludf.DUMMYFUNCTION("""COMPUTED_VALUE"""),"Trello for Agile Teams")</f>
        <v>Trello for Agile Teams</v>
      </c>
      <c r="E78" s="217"/>
      <c r="F78" s="213"/>
      <c r="G78" s="214"/>
      <c r="H78" s="215"/>
      <c r="I78" s="217"/>
      <c r="J78" s="217"/>
      <c r="K78" s="213"/>
      <c r="L78" s="215"/>
      <c r="M78" s="215"/>
      <c r="N78" s="217"/>
      <c r="O78" s="217"/>
      <c r="P78" s="213"/>
      <c r="Q78" s="215"/>
      <c r="R78" s="215"/>
      <c r="S78" s="217"/>
      <c r="T78" s="217"/>
      <c r="U78" s="213"/>
      <c r="V78" s="215"/>
      <c r="W78" s="215"/>
      <c r="X78" s="217"/>
      <c r="Y78" s="217"/>
      <c r="Z78" s="213"/>
      <c r="AA78" s="215"/>
      <c r="AB78" s="215"/>
      <c r="AC78" s="217"/>
      <c r="AD78" s="217"/>
      <c r="AE78" s="213"/>
      <c r="AF78" s="215"/>
      <c r="AG78" s="215"/>
      <c r="AH78" s="217"/>
      <c r="AI78" s="217"/>
      <c r="AJ78" s="213"/>
    </row>
    <row r="79" spans="1:36" ht="33.75" customHeight="1">
      <c r="A79" s="213"/>
      <c r="B79" s="214">
        <f ca="1">IFERROR(__xludf.DUMMYFUNCTION("""COMPUTED_VALUE"""),2822664)</f>
        <v>2822664</v>
      </c>
      <c r="C79" s="215" t="str">
        <f ca="1">IFERROR(__xludf.DUMMYFUNCTION("""COMPUTED_VALUE"""),"Intermediate")</f>
        <v>Intermediate</v>
      </c>
      <c r="D79" s="216" t="str">
        <f ca="1">IFERROR(__xludf.DUMMYFUNCTION("""COMPUTED_VALUE"""),"Jira: Basic Administration")</f>
        <v>Jira: Basic Administration</v>
      </c>
      <c r="E79" s="217"/>
      <c r="F79" s="213"/>
      <c r="G79" s="214"/>
      <c r="H79" s="215"/>
      <c r="I79" s="217"/>
      <c r="J79" s="217"/>
      <c r="K79" s="213"/>
      <c r="L79" s="215"/>
      <c r="M79" s="215"/>
      <c r="N79" s="217"/>
      <c r="O79" s="217"/>
      <c r="P79" s="213"/>
      <c r="Q79" s="215"/>
      <c r="R79" s="215"/>
      <c r="S79" s="217"/>
      <c r="T79" s="217"/>
      <c r="U79" s="213"/>
      <c r="V79" s="215"/>
      <c r="W79" s="215"/>
      <c r="X79" s="217"/>
      <c r="Y79" s="217"/>
      <c r="Z79" s="213"/>
      <c r="AA79" s="215"/>
      <c r="AB79" s="215"/>
      <c r="AC79" s="217"/>
      <c r="AD79" s="217"/>
      <c r="AE79" s="213"/>
      <c r="AF79" s="215"/>
      <c r="AG79" s="215"/>
      <c r="AH79" s="217"/>
      <c r="AI79" s="217"/>
      <c r="AJ79" s="213"/>
    </row>
    <row r="80" spans="1:36" ht="33.75" customHeight="1">
      <c r="A80" s="213"/>
      <c r="B80" s="214">
        <f ca="1">IFERROR(__xludf.DUMMYFUNCTION("""COMPUTED_VALUE"""),2824427)</f>
        <v>2824427</v>
      </c>
      <c r="C80" s="215" t="str">
        <f ca="1">IFERROR(__xludf.DUMMYFUNCTION("""COMPUTED_VALUE"""),"Intermediate")</f>
        <v>Intermediate</v>
      </c>
      <c r="D80" s="216" t="str">
        <f ca="1">IFERROR(__xludf.DUMMYFUNCTION("""COMPUTED_VALUE"""),"Artificial Intelligence: How Project Managers Can Leverage AI")</f>
        <v>Artificial Intelligence: How Project Managers Can Leverage AI</v>
      </c>
      <c r="E80" s="217"/>
      <c r="F80" s="213"/>
      <c r="G80" s="214"/>
      <c r="H80" s="215"/>
      <c r="I80" s="217"/>
      <c r="J80" s="217"/>
      <c r="K80" s="213"/>
      <c r="L80" s="215"/>
      <c r="M80" s="215"/>
      <c r="N80" s="217"/>
      <c r="O80" s="217"/>
      <c r="P80" s="213"/>
      <c r="Q80" s="215"/>
      <c r="R80" s="215"/>
      <c r="S80" s="217"/>
      <c r="T80" s="217"/>
      <c r="U80" s="213"/>
      <c r="V80" s="215"/>
      <c r="W80" s="215"/>
      <c r="X80" s="217"/>
      <c r="Y80" s="217"/>
      <c r="Z80" s="213"/>
      <c r="AA80" s="215"/>
      <c r="AB80" s="215"/>
      <c r="AC80" s="217"/>
      <c r="AD80" s="217"/>
      <c r="AE80" s="213"/>
      <c r="AF80" s="215"/>
      <c r="AG80" s="215"/>
      <c r="AH80" s="217"/>
      <c r="AI80" s="217"/>
      <c r="AJ80" s="213"/>
    </row>
    <row r="81" spans="1:36" ht="33.75" customHeight="1">
      <c r="A81" s="213"/>
      <c r="B81" s="214">
        <f ca="1">IFERROR(__xludf.DUMMYFUNCTION("""COMPUTED_VALUE"""),2876175)</f>
        <v>2876175</v>
      </c>
      <c r="C81" s="215" t="str">
        <f ca="1">IFERROR(__xludf.DUMMYFUNCTION("""COMPUTED_VALUE"""),"Intermediate")</f>
        <v>Intermediate</v>
      </c>
      <c r="D81" s="216" t="str">
        <f ca="1">IFERROR(__xludf.DUMMYFUNCTION("""COMPUTED_VALUE"""),"How to Fix Bad Agile")</f>
        <v>How to Fix Bad Agile</v>
      </c>
      <c r="E81" s="217"/>
      <c r="F81" s="213"/>
      <c r="G81" s="214"/>
      <c r="H81" s="215"/>
      <c r="I81" s="217"/>
      <c r="J81" s="217"/>
      <c r="K81" s="213"/>
      <c r="L81" s="215"/>
      <c r="M81" s="215"/>
      <c r="N81" s="217"/>
      <c r="O81" s="217"/>
      <c r="P81" s="213"/>
      <c r="Q81" s="215"/>
      <c r="R81" s="215"/>
      <c r="S81" s="217"/>
      <c r="T81" s="217"/>
      <c r="U81" s="213"/>
      <c r="V81" s="215"/>
      <c r="W81" s="215"/>
      <c r="X81" s="217"/>
      <c r="Y81" s="217"/>
      <c r="Z81" s="213"/>
      <c r="AA81" s="215"/>
      <c r="AB81" s="215"/>
      <c r="AC81" s="217"/>
      <c r="AD81" s="217"/>
      <c r="AE81" s="213"/>
      <c r="AF81" s="215"/>
      <c r="AG81" s="215"/>
      <c r="AH81" s="217"/>
      <c r="AI81" s="217"/>
      <c r="AJ81" s="213"/>
    </row>
    <row r="82" spans="1:36" ht="33.75" customHeight="1">
      <c r="A82" s="213"/>
      <c r="B82" s="214">
        <f ca="1">IFERROR(__xludf.DUMMYFUNCTION("""COMPUTED_VALUE"""),2856038)</f>
        <v>2856038</v>
      </c>
      <c r="C82" s="215" t="str">
        <f ca="1">IFERROR(__xludf.DUMMYFUNCTION("""COMPUTED_VALUE"""),"Intermediate")</f>
        <v>Intermediate</v>
      </c>
      <c r="D82" s="216" t="str">
        <f ca="1">IFERROR(__xludf.DUMMYFUNCTION("""COMPUTED_VALUE"""),"Agile Rebranding")</f>
        <v>Agile Rebranding</v>
      </c>
      <c r="E82" s="217"/>
      <c r="F82" s="213"/>
      <c r="G82" s="214"/>
      <c r="H82" s="215"/>
      <c r="I82" s="217"/>
      <c r="J82" s="217"/>
      <c r="K82" s="213"/>
      <c r="L82" s="215"/>
      <c r="M82" s="215"/>
      <c r="N82" s="217"/>
      <c r="O82" s="217"/>
      <c r="P82" s="213"/>
      <c r="Q82" s="215"/>
      <c r="R82" s="215"/>
      <c r="S82" s="217"/>
      <c r="T82" s="217"/>
      <c r="U82" s="213"/>
      <c r="V82" s="215"/>
      <c r="W82" s="215"/>
      <c r="X82" s="217"/>
      <c r="Y82" s="217"/>
      <c r="Z82" s="213"/>
      <c r="AA82" s="215"/>
      <c r="AB82" s="215"/>
      <c r="AC82" s="217"/>
      <c r="AD82" s="217"/>
      <c r="AE82" s="213"/>
      <c r="AF82" s="215"/>
      <c r="AG82" s="215"/>
      <c r="AH82" s="217"/>
      <c r="AI82" s="217"/>
      <c r="AJ82" s="213"/>
    </row>
    <row r="83" spans="1:36" ht="33.75" customHeight="1">
      <c r="A83" s="213"/>
      <c r="B83" s="214">
        <f ca="1">IFERROR(__xludf.DUMMYFUNCTION("""COMPUTED_VALUE"""),2396687)</f>
        <v>2396687</v>
      </c>
      <c r="C83" s="215" t="str">
        <f ca="1">IFERROR(__xludf.DUMMYFUNCTION("""COMPUTED_VALUE"""),"Intermediate")</f>
        <v>Intermediate</v>
      </c>
      <c r="D83" s="216" t="str">
        <f ca="1">IFERROR(__xludf.DUMMYFUNCTION("""COMPUTED_VALUE"""),"What Is Disciplined Agile?")</f>
        <v>What Is Disciplined Agile?</v>
      </c>
      <c r="E83" s="217"/>
      <c r="F83" s="213"/>
      <c r="G83" s="214"/>
      <c r="H83" s="215"/>
      <c r="I83" s="217"/>
      <c r="J83" s="217"/>
      <c r="K83" s="213"/>
      <c r="L83" s="215"/>
      <c r="M83" s="215"/>
      <c r="N83" s="217"/>
      <c r="O83" s="217"/>
      <c r="P83" s="213"/>
      <c r="Q83" s="215"/>
      <c r="R83" s="215"/>
      <c r="S83" s="217"/>
      <c r="T83" s="217"/>
      <c r="U83" s="213"/>
      <c r="V83" s="215"/>
      <c r="W83" s="215"/>
      <c r="X83" s="217"/>
      <c r="Y83" s="217"/>
      <c r="Z83" s="213"/>
      <c r="AA83" s="215"/>
      <c r="AB83" s="215"/>
      <c r="AC83" s="217"/>
      <c r="AD83" s="217"/>
      <c r="AE83" s="213"/>
      <c r="AF83" s="215"/>
      <c r="AG83" s="215"/>
      <c r="AH83" s="217"/>
      <c r="AI83" s="217"/>
      <c r="AJ83" s="213"/>
    </row>
    <row r="84" spans="1:36" ht="33.75" customHeight="1">
      <c r="A84" s="213"/>
      <c r="B84" s="214">
        <f ca="1">IFERROR(__xludf.DUMMYFUNCTION("""COMPUTED_VALUE"""),2822590)</f>
        <v>2822590</v>
      </c>
      <c r="C84" s="215" t="str">
        <f ca="1">IFERROR(__xludf.DUMMYFUNCTION("""COMPUTED_VALUE"""),"Intermediate")</f>
        <v>Intermediate</v>
      </c>
      <c r="D84" s="216" t="str">
        <f ca="1">IFERROR(__xludf.DUMMYFUNCTION("""COMPUTED_VALUE"""),"Basecamp: Project Management Best Practices")</f>
        <v>Basecamp: Project Management Best Practices</v>
      </c>
      <c r="E84" s="217"/>
      <c r="F84" s="213"/>
      <c r="G84" s="214"/>
      <c r="H84" s="215"/>
      <c r="I84" s="217"/>
      <c r="J84" s="217"/>
      <c r="K84" s="213"/>
      <c r="L84" s="215"/>
      <c r="M84" s="215"/>
      <c r="N84" s="217"/>
      <c r="O84" s="217"/>
      <c r="P84" s="213"/>
      <c r="Q84" s="215"/>
      <c r="R84" s="215"/>
      <c r="S84" s="217"/>
      <c r="T84" s="217"/>
      <c r="U84" s="213"/>
      <c r="V84" s="215"/>
      <c r="W84" s="215"/>
      <c r="X84" s="217"/>
      <c r="Y84" s="217"/>
      <c r="Z84" s="213"/>
      <c r="AA84" s="215"/>
      <c r="AB84" s="215"/>
      <c r="AC84" s="217"/>
      <c r="AD84" s="217"/>
      <c r="AE84" s="213"/>
      <c r="AF84" s="215"/>
      <c r="AG84" s="215"/>
      <c r="AH84" s="217"/>
      <c r="AI84" s="217"/>
      <c r="AJ84" s="213"/>
    </row>
    <row r="85" spans="1:36" ht="33.75" customHeight="1">
      <c r="A85" s="213"/>
      <c r="B85" s="214">
        <f ca="1">IFERROR(__xludf.DUMMYFUNCTION("""COMPUTED_VALUE"""),2893046)</f>
        <v>2893046</v>
      </c>
      <c r="C85" s="215" t="str">
        <f ca="1">IFERROR(__xludf.DUMMYFUNCTION("""COMPUTED_VALUE"""),"Intermediate")</f>
        <v>Intermediate</v>
      </c>
      <c r="D85" s="216" t="str">
        <f ca="1">IFERROR(__xludf.DUMMYFUNCTION("""COMPUTED_VALUE"""),"Tailoring Project Delivery")</f>
        <v>Tailoring Project Delivery</v>
      </c>
      <c r="E85" s="217"/>
      <c r="F85" s="213"/>
      <c r="G85" s="214"/>
      <c r="H85" s="215"/>
      <c r="I85" s="217"/>
      <c r="J85" s="217"/>
      <c r="K85" s="213"/>
      <c r="L85" s="215"/>
      <c r="M85" s="215"/>
      <c r="N85" s="217"/>
      <c r="O85" s="217"/>
      <c r="P85" s="213"/>
      <c r="Q85" s="215"/>
      <c r="R85" s="215"/>
      <c r="S85" s="217"/>
      <c r="T85" s="217"/>
      <c r="U85" s="213"/>
      <c r="V85" s="215"/>
      <c r="W85" s="215"/>
      <c r="X85" s="217"/>
      <c r="Y85" s="217"/>
      <c r="Z85" s="213"/>
      <c r="AA85" s="215"/>
      <c r="AB85" s="215"/>
      <c r="AC85" s="217"/>
      <c r="AD85" s="217"/>
      <c r="AE85" s="213"/>
      <c r="AF85" s="215"/>
      <c r="AG85" s="215"/>
      <c r="AH85" s="217"/>
      <c r="AI85" s="217"/>
      <c r="AJ85" s="213"/>
    </row>
    <row r="86" spans="1:36" ht="33.75" customHeight="1">
      <c r="A86" s="213"/>
      <c r="B86" s="214">
        <f ca="1">IFERROR(__xludf.DUMMYFUNCTION("""COMPUTED_VALUE"""),2874109)</f>
        <v>2874109</v>
      </c>
      <c r="C86" s="215" t="str">
        <f ca="1">IFERROR(__xludf.DUMMYFUNCTION("""COMPUTED_VALUE"""),"Intermediate")</f>
        <v>Intermediate</v>
      </c>
      <c r="D86" s="216" t="str">
        <f ca="1">IFERROR(__xludf.DUMMYFUNCTION("""COMPUTED_VALUE"""),"Hybrid Project Management: Do What Works")</f>
        <v>Hybrid Project Management: Do What Works</v>
      </c>
      <c r="E86" s="217"/>
      <c r="F86" s="213"/>
      <c r="G86" s="214"/>
      <c r="H86" s="215"/>
      <c r="I86" s="217"/>
      <c r="J86" s="217"/>
      <c r="K86" s="213"/>
      <c r="L86" s="215"/>
      <c r="M86" s="215"/>
      <c r="N86" s="217"/>
      <c r="O86" s="217"/>
      <c r="P86" s="213"/>
      <c r="Q86" s="215"/>
      <c r="R86" s="215"/>
      <c r="S86" s="217"/>
      <c r="T86" s="217"/>
      <c r="U86" s="213"/>
      <c r="V86" s="215"/>
      <c r="W86" s="215"/>
      <c r="X86" s="217"/>
      <c r="Y86" s="217"/>
      <c r="Z86" s="213"/>
      <c r="AA86" s="215"/>
      <c r="AB86" s="215"/>
      <c r="AC86" s="217"/>
      <c r="AD86" s="217"/>
      <c r="AE86" s="213"/>
      <c r="AF86" s="215"/>
      <c r="AG86" s="215"/>
      <c r="AH86" s="217"/>
      <c r="AI86" s="217"/>
      <c r="AJ86" s="213"/>
    </row>
    <row r="87" spans="1:36" ht="33.75" customHeight="1">
      <c r="A87" s="213"/>
      <c r="B87" s="214">
        <f ca="1">IFERROR(__xludf.DUMMYFUNCTION("""COMPUTED_VALUE"""),2426686)</f>
        <v>2426686</v>
      </c>
      <c r="C87" s="215" t="str">
        <f ca="1">IFERROR(__xludf.DUMMYFUNCTION("""COMPUTED_VALUE"""),"Intermediate")</f>
        <v>Intermediate</v>
      </c>
      <c r="D87" s="216" t="str">
        <f ca="1">IFERROR(__xludf.DUMMYFUNCTION("""COMPUTED_VALUE"""),"Agile Project Management with Microsoft Project")</f>
        <v>Agile Project Management with Microsoft Project</v>
      </c>
      <c r="E87" s="217"/>
      <c r="F87" s="213"/>
      <c r="G87" s="214"/>
      <c r="H87" s="215"/>
      <c r="I87" s="217"/>
      <c r="J87" s="217"/>
      <c r="K87" s="213"/>
      <c r="L87" s="215"/>
      <c r="M87" s="215"/>
      <c r="N87" s="217"/>
      <c r="O87" s="217"/>
      <c r="P87" s="213"/>
      <c r="Q87" s="215"/>
      <c r="R87" s="215"/>
      <c r="S87" s="217"/>
      <c r="T87" s="217"/>
      <c r="U87" s="213"/>
      <c r="V87" s="215"/>
      <c r="W87" s="215"/>
      <c r="X87" s="217"/>
      <c r="Y87" s="217"/>
      <c r="Z87" s="213"/>
      <c r="AA87" s="215"/>
      <c r="AB87" s="215"/>
      <c r="AC87" s="217"/>
      <c r="AD87" s="217"/>
      <c r="AE87" s="213"/>
      <c r="AF87" s="215"/>
      <c r="AG87" s="215"/>
      <c r="AH87" s="217"/>
      <c r="AI87" s="217"/>
      <c r="AJ87" s="213"/>
    </row>
    <row r="88" spans="1:36" ht="33.75" customHeight="1">
      <c r="A88" s="213"/>
      <c r="B88" s="214">
        <f ca="1">IFERROR(__xludf.DUMMYFUNCTION("""COMPUTED_VALUE"""),2430044)</f>
        <v>2430044</v>
      </c>
      <c r="C88" s="215" t="str">
        <f ca="1">IFERROR(__xludf.DUMMYFUNCTION("""COMPUTED_VALUE"""),"Intermediate")</f>
        <v>Intermediate</v>
      </c>
      <c r="D88" s="217" t="str">
        <f ca="1">IFERROR(__xludf.DUMMYFUNCTION("""COMPUTED_VALUE"""),"Project Management: Technical Projects")</f>
        <v>Project Management: Technical Projects</v>
      </c>
      <c r="E88" s="217"/>
      <c r="F88" s="213"/>
      <c r="G88" s="214"/>
      <c r="H88" s="215"/>
      <c r="I88" s="217"/>
      <c r="J88" s="217"/>
      <c r="K88" s="213"/>
      <c r="L88" s="215"/>
      <c r="M88" s="215"/>
      <c r="N88" s="217"/>
      <c r="O88" s="217"/>
      <c r="P88" s="213"/>
      <c r="Q88" s="215"/>
      <c r="R88" s="215"/>
      <c r="S88" s="217"/>
      <c r="T88" s="217"/>
      <c r="U88" s="213"/>
      <c r="V88" s="215"/>
      <c r="W88" s="215"/>
      <c r="X88" s="217"/>
      <c r="Y88" s="217"/>
      <c r="Z88" s="213"/>
      <c r="AA88" s="215"/>
      <c r="AB88" s="215"/>
      <c r="AC88" s="217"/>
      <c r="AD88" s="217"/>
      <c r="AE88" s="213"/>
      <c r="AF88" s="215"/>
      <c r="AG88" s="215"/>
      <c r="AH88" s="217"/>
      <c r="AI88" s="217"/>
      <c r="AJ88" s="213"/>
    </row>
    <row r="89" spans="1:36" ht="16">
      <c r="A89" s="213"/>
      <c r="B89" s="214">
        <f ca="1">IFERROR(__xludf.DUMMYFUNCTION("""COMPUTED_VALUE"""),2888136)</f>
        <v>2888136</v>
      </c>
      <c r="C89" s="215" t="str">
        <f ca="1">IFERROR(__xludf.DUMMYFUNCTION("""COMPUTED_VALUE"""),"Intermediate")</f>
        <v>Intermediate</v>
      </c>
      <c r="D89" s="216" t="str">
        <f ca="1">IFERROR(__xludf.DUMMYFUNCTION("""COMPUTED_VALUE"""),"How to Manage Lean Six Sigma Projects: Part I")</f>
        <v>How to Manage Lean Six Sigma Projects: Part I</v>
      </c>
      <c r="E89" s="217"/>
      <c r="F89" s="213"/>
      <c r="G89" s="214"/>
      <c r="H89" s="215"/>
      <c r="I89" s="217"/>
      <c r="J89" s="217"/>
      <c r="K89" s="213"/>
      <c r="L89" s="215"/>
      <c r="M89" s="215"/>
      <c r="N89" s="217"/>
      <c r="O89" s="217"/>
      <c r="P89" s="213"/>
      <c r="Q89" s="215"/>
      <c r="R89" s="215"/>
      <c r="S89" s="217"/>
      <c r="T89" s="217"/>
      <c r="U89" s="213"/>
      <c r="V89" s="215"/>
      <c r="W89" s="215"/>
      <c r="X89" s="217"/>
      <c r="Y89" s="217"/>
      <c r="Z89" s="213"/>
      <c r="AA89" s="215"/>
      <c r="AB89" s="215"/>
      <c r="AC89" s="217"/>
      <c r="AD89" s="217"/>
      <c r="AE89" s="213"/>
      <c r="AF89" s="215"/>
      <c r="AG89" s="215"/>
      <c r="AH89" s="217"/>
      <c r="AI89" s="217"/>
      <c r="AJ89" s="213"/>
    </row>
    <row r="90" spans="1:36" ht="16">
      <c r="A90" s="213"/>
      <c r="B90" s="214">
        <f ca="1">IFERROR(__xludf.DUMMYFUNCTION("""COMPUTED_VALUE"""),2891047)</f>
        <v>2891047</v>
      </c>
      <c r="C90" s="215" t="str">
        <f ca="1">IFERROR(__xludf.DUMMYFUNCTION("""COMPUTED_VALUE"""),"Intermediate")</f>
        <v>Intermediate</v>
      </c>
      <c r="D90" s="216" t="str">
        <f ca="1">IFERROR(__xludf.DUMMYFUNCTION("""COMPUTED_VALUE"""),"Project Resource Management")</f>
        <v>Project Resource Management</v>
      </c>
      <c r="E90" s="217"/>
      <c r="F90" s="213"/>
      <c r="G90" s="214"/>
      <c r="H90" s="215"/>
      <c r="I90" s="217"/>
      <c r="J90" s="217"/>
      <c r="K90" s="213"/>
      <c r="L90" s="215"/>
      <c r="M90" s="215"/>
      <c r="N90" s="217"/>
      <c r="O90" s="217"/>
      <c r="P90" s="213"/>
      <c r="Q90" s="215"/>
      <c r="R90" s="215"/>
      <c r="S90" s="217"/>
      <c r="T90" s="217"/>
      <c r="U90" s="213"/>
      <c r="V90" s="215"/>
      <c r="W90" s="215"/>
      <c r="X90" s="217"/>
      <c r="Y90" s="217"/>
      <c r="Z90" s="213"/>
      <c r="AA90" s="215"/>
      <c r="AB90" s="215"/>
      <c r="AC90" s="217"/>
      <c r="AD90" s="217"/>
      <c r="AE90" s="213"/>
      <c r="AF90" s="215"/>
      <c r="AG90" s="215"/>
      <c r="AH90" s="217"/>
      <c r="AI90" s="217"/>
      <c r="AJ90" s="213"/>
    </row>
    <row r="91" spans="1:36" ht="16">
      <c r="A91" s="213"/>
      <c r="B91" s="214">
        <f ca="1">IFERROR(__xludf.DUMMYFUNCTION("""COMPUTED_VALUE"""),2893046)</f>
        <v>2893046</v>
      </c>
      <c r="C91" s="215" t="str">
        <f ca="1">IFERROR(__xludf.DUMMYFUNCTION("""COMPUTED_VALUE"""),"Intermediate")</f>
        <v>Intermediate</v>
      </c>
      <c r="D91" s="216" t="str">
        <f ca="1">IFERROR(__xludf.DUMMYFUNCTION("""COMPUTED_VALUE"""),"Tailoring Project Delivery")</f>
        <v>Tailoring Project Delivery</v>
      </c>
      <c r="E91" s="217"/>
      <c r="F91" s="213"/>
      <c r="G91" s="214"/>
      <c r="H91" s="215"/>
      <c r="I91" s="217"/>
      <c r="J91" s="217"/>
      <c r="K91" s="213"/>
      <c r="L91" s="215"/>
      <c r="M91" s="215"/>
      <c r="N91" s="217"/>
      <c r="O91" s="217"/>
      <c r="P91" s="213"/>
      <c r="Q91" s="215"/>
      <c r="R91" s="215"/>
      <c r="S91" s="217"/>
      <c r="T91" s="217"/>
      <c r="U91" s="213"/>
      <c r="V91" s="215"/>
      <c r="W91" s="215"/>
      <c r="X91" s="217"/>
      <c r="Y91" s="217"/>
      <c r="Z91" s="213"/>
      <c r="AA91" s="215"/>
      <c r="AB91" s="215"/>
      <c r="AC91" s="217"/>
      <c r="AD91" s="217"/>
      <c r="AE91" s="213"/>
      <c r="AF91" s="215"/>
      <c r="AG91" s="215"/>
      <c r="AH91" s="217"/>
      <c r="AI91" s="217"/>
      <c r="AJ91" s="213"/>
    </row>
    <row r="92" spans="1:36" ht="16">
      <c r="A92" s="213"/>
      <c r="B92" s="214">
        <f ca="1">IFERROR(__xludf.DUMMYFUNCTION("""COMPUTED_VALUE"""),3013249)</f>
        <v>3013249</v>
      </c>
      <c r="C92" s="215" t="str">
        <f ca="1">IFERROR(__xludf.DUMMYFUNCTION("""COMPUTED_VALUE"""),"Intermediate")</f>
        <v>Intermediate</v>
      </c>
      <c r="D92" s="216" t="str">
        <f ca="1">IFERROR(__xludf.DUMMYFUNCTION("""COMPUTED_VALUE"""),"Advanced Agile: The Team's Mindset")</f>
        <v>Advanced Agile: The Team's Mindset</v>
      </c>
      <c r="E92" s="217"/>
      <c r="F92" s="213"/>
      <c r="G92" s="214"/>
      <c r="H92" s="215"/>
      <c r="I92" s="217"/>
      <c r="J92" s="217"/>
      <c r="K92" s="213"/>
      <c r="L92" s="215"/>
      <c r="M92" s="215"/>
      <c r="N92" s="217"/>
      <c r="O92" s="217"/>
      <c r="P92" s="213"/>
      <c r="Q92" s="215"/>
      <c r="R92" s="215"/>
      <c r="S92" s="217"/>
      <c r="T92" s="217"/>
      <c r="U92" s="213"/>
      <c r="V92" s="215"/>
      <c r="W92" s="215"/>
      <c r="X92" s="217"/>
      <c r="Y92" s="217"/>
      <c r="Z92" s="213"/>
      <c r="AA92" s="215"/>
      <c r="AB92" s="215"/>
      <c r="AC92" s="217"/>
      <c r="AD92" s="217"/>
      <c r="AE92" s="213"/>
      <c r="AF92" s="215"/>
      <c r="AG92" s="215"/>
      <c r="AH92" s="217"/>
      <c r="AI92" s="217"/>
      <c r="AJ92" s="213"/>
    </row>
    <row r="93" spans="1:36" ht="16">
      <c r="A93" s="213"/>
      <c r="B93" s="214">
        <f ca="1">IFERROR(__xludf.DUMMYFUNCTION("""COMPUTED_VALUE"""),3158742)</f>
        <v>3158742</v>
      </c>
      <c r="C93" s="215" t="str">
        <f ca="1">IFERROR(__xludf.DUMMYFUNCTION("""COMPUTED_VALUE"""),"Intermediate")</f>
        <v>Intermediate</v>
      </c>
      <c r="D93" s="216" t="str">
        <f ca="1">IFERROR(__xludf.DUMMYFUNCTION("""COMPUTED_VALUE"""),"How to Manage Lean Six Sigma Projects: Part II")</f>
        <v>How to Manage Lean Six Sigma Projects: Part II</v>
      </c>
      <c r="E93" s="217"/>
      <c r="F93" s="213"/>
      <c r="G93" s="214"/>
      <c r="H93" s="215"/>
      <c r="I93" s="217"/>
      <c r="J93" s="217"/>
      <c r="K93" s="213"/>
      <c r="L93" s="215"/>
      <c r="M93" s="215"/>
      <c r="N93" s="217"/>
      <c r="O93" s="217"/>
      <c r="P93" s="213"/>
      <c r="Q93" s="215"/>
      <c r="R93" s="215"/>
      <c r="S93" s="217"/>
      <c r="T93" s="217"/>
      <c r="U93" s="213"/>
      <c r="V93" s="215"/>
      <c r="W93" s="215"/>
      <c r="X93" s="217"/>
      <c r="Y93" s="217"/>
      <c r="Z93" s="213"/>
      <c r="AA93" s="215"/>
      <c r="AB93" s="215"/>
      <c r="AC93" s="217"/>
      <c r="AD93" s="217"/>
      <c r="AE93" s="213"/>
      <c r="AF93" s="215"/>
      <c r="AG93" s="215"/>
      <c r="AH93" s="217"/>
      <c r="AI93" s="217"/>
      <c r="AJ93" s="213"/>
    </row>
    <row r="94" spans="1:36" ht="16">
      <c r="A94" s="213"/>
      <c r="B94" s="214"/>
      <c r="C94" s="215"/>
      <c r="D94" s="216"/>
      <c r="E94" s="217"/>
      <c r="F94" s="213"/>
      <c r="G94" s="214"/>
      <c r="H94" s="215"/>
      <c r="I94" s="217"/>
      <c r="J94" s="217"/>
      <c r="K94" s="213"/>
      <c r="L94" s="215"/>
      <c r="M94" s="215"/>
      <c r="N94" s="217"/>
      <c r="O94" s="217"/>
      <c r="P94" s="213"/>
      <c r="Q94" s="215"/>
      <c r="R94" s="215"/>
      <c r="S94" s="217"/>
      <c r="T94" s="217"/>
      <c r="U94" s="213"/>
      <c r="V94" s="215"/>
      <c r="W94" s="215"/>
      <c r="X94" s="217"/>
      <c r="Y94" s="217"/>
      <c r="Z94" s="213"/>
      <c r="AA94" s="215"/>
      <c r="AB94" s="215"/>
      <c r="AC94" s="217"/>
      <c r="AD94" s="217"/>
      <c r="AE94" s="213"/>
      <c r="AF94" s="215"/>
      <c r="AG94" s="215"/>
      <c r="AH94" s="217"/>
      <c r="AI94" s="217"/>
      <c r="AJ94" s="213"/>
    </row>
    <row r="95" spans="1:36" ht="16">
      <c r="A95" s="213"/>
      <c r="B95" s="214"/>
      <c r="C95" s="215"/>
      <c r="D95" s="216"/>
      <c r="E95" s="217"/>
      <c r="F95" s="213"/>
      <c r="G95" s="214"/>
      <c r="H95" s="215"/>
      <c r="I95" s="217"/>
      <c r="J95" s="217"/>
      <c r="K95" s="213"/>
      <c r="L95" s="215"/>
      <c r="M95" s="215"/>
      <c r="N95" s="217"/>
      <c r="O95" s="217"/>
      <c r="P95" s="213"/>
      <c r="Q95" s="215"/>
      <c r="R95" s="215"/>
      <c r="S95" s="217"/>
      <c r="T95" s="217"/>
      <c r="U95" s="213"/>
      <c r="V95" s="215"/>
      <c r="W95" s="215"/>
      <c r="X95" s="217"/>
      <c r="Y95" s="217"/>
      <c r="Z95" s="213"/>
      <c r="AA95" s="215"/>
      <c r="AB95" s="215"/>
      <c r="AC95" s="217"/>
      <c r="AD95" s="217"/>
      <c r="AE95" s="213"/>
      <c r="AF95" s="215"/>
      <c r="AG95" s="215"/>
      <c r="AH95" s="217"/>
      <c r="AI95" s="217"/>
      <c r="AJ95" s="213"/>
    </row>
    <row r="96" spans="1:36" ht="16">
      <c r="A96" s="213"/>
      <c r="B96" s="214"/>
      <c r="C96" s="215"/>
      <c r="D96" s="217"/>
      <c r="E96" s="217"/>
      <c r="F96" s="213"/>
      <c r="G96" s="214"/>
      <c r="H96" s="215"/>
      <c r="I96" s="217"/>
      <c r="J96" s="217"/>
      <c r="K96" s="213"/>
      <c r="L96" s="215"/>
      <c r="M96" s="215"/>
      <c r="N96" s="217"/>
      <c r="O96" s="217"/>
      <c r="P96" s="213"/>
      <c r="Q96" s="215"/>
      <c r="R96" s="215"/>
      <c r="S96" s="217"/>
      <c r="T96" s="217"/>
      <c r="U96" s="213"/>
      <c r="V96" s="215"/>
      <c r="W96" s="215"/>
      <c r="X96" s="217"/>
      <c r="Y96" s="217"/>
      <c r="Z96" s="213"/>
      <c r="AA96" s="215"/>
      <c r="AB96" s="215"/>
      <c r="AC96" s="217"/>
      <c r="AD96" s="217"/>
      <c r="AE96" s="213"/>
      <c r="AF96" s="215"/>
      <c r="AG96" s="215"/>
      <c r="AH96" s="217"/>
      <c r="AI96" s="217"/>
      <c r="AJ96" s="213"/>
    </row>
    <row r="97" spans="1:36" ht="16">
      <c r="A97" s="213"/>
      <c r="B97" s="214"/>
      <c r="C97" s="215"/>
      <c r="D97" s="217"/>
      <c r="E97" s="217"/>
      <c r="F97" s="213"/>
      <c r="G97" s="214"/>
      <c r="H97" s="215"/>
      <c r="I97" s="217"/>
      <c r="J97" s="217"/>
      <c r="K97" s="213"/>
      <c r="L97" s="215"/>
      <c r="M97" s="215"/>
      <c r="N97" s="217"/>
      <c r="O97" s="217"/>
      <c r="P97" s="213"/>
      <c r="Q97" s="215"/>
      <c r="R97" s="215"/>
      <c r="S97" s="217"/>
      <c r="T97" s="217"/>
      <c r="U97" s="213"/>
      <c r="V97" s="215"/>
      <c r="W97" s="215"/>
      <c r="X97" s="217"/>
      <c r="Y97" s="217"/>
      <c r="Z97" s="213"/>
      <c r="AA97" s="215"/>
      <c r="AB97" s="215"/>
      <c r="AC97" s="217"/>
      <c r="AD97" s="217"/>
      <c r="AE97" s="213"/>
      <c r="AF97" s="215"/>
      <c r="AG97" s="215"/>
      <c r="AH97" s="217"/>
      <c r="AI97" s="217"/>
      <c r="AJ97" s="213"/>
    </row>
    <row r="98" spans="1:36" ht="16">
      <c r="A98" s="213"/>
      <c r="B98" s="214"/>
      <c r="C98" s="215"/>
      <c r="D98" s="217"/>
      <c r="E98" s="217"/>
      <c r="F98" s="213"/>
      <c r="G98" s="214"/>
      <c r="H98" s="215"/>
      <c r="I98" s="217"/>
      <c r="J98" s="217"/>
      <c r="K98" s="213"/>
      <c r="L98" s="215"/>
      <c r="M98" s="215"/>
      <c r="N98" s="217"/>
      <c r="O98" s="217"/>
      <c r="P98" s="213"/>
      <c r="Q98" s="215"/>
      <c r="R98" s="215"/>
      <c r="S98" s="217"/>
      <c r="T98" s="217"/>
      <c r="U98" s="213"/>
      <c r="V98" s="215"/>
      <c r="W98" s="215"/>
      <c r="X98" s="217"/>
      <c r="Y98" s="217"/>
      <c r="Z98" s="213"/>
      <c r="AA98" s="215"/>
      <c r="AB98" s="215"/>
      <c r="AC98" s="217"/>
      <c r="AD98" s="217"/>
      <c r="AE98" s="213"/>
      <c r="AF98" s="215"/>
      <c r="AG98" s="215"/>
      <c r="AH98" s="217"/>
      <c r="AI98" s="217"/>
      <c r="AJ98" s="213"/>
    </row>
    <row r="99" spans="1:36" ht="16">
      <c r="A99" s="213"/>
      <c r="B99" s="214"/>
      <c r="C99" s="215"/>
      <c r="D99" s="217"/>
      <c r="E99" s="217"/>
      <c r="F99" s="213"/>
      <c r="G99" s="214"/>
      <c r="H99" s="215"/>
      <c r="I99" s="218"/>
      <c r="J99" s="219"/>
      <c r="K99" s="213"/>
      <c r="L99" s="215"/>
      <c r="M99" s="215"/>
      <c r="N99" s="220"/>
      <c r="O99" s="220"/>
      <c r="P99" s="213"/>
      <c r="Q99" s="215"/>
      <c r="R99" s="215"/>
      <c r="S99" s="220"/>
      <c r="T99" s="220"/>
      <c r="U99" s="213"/>
      <c r="V99" s="215"/>
      <c r="W99" s="215"/>
      <c r="X99" s="220"/>
      <c r="Y99" s="220"/>
      <c r="Z99" s="213"/>
      <c r="AA99" s="215"/>
      <c r="AB99" s="215"/>
      <c r="AC99" s="221"/>
      <c r="AD99" s="221"/>
      <c r="AE99" s="213"/>
      <c r="AF99" s="215"/>
      <c r="AG99" s="215"/>
      <c r="AH99" s="220"/>
      <c r="AI99" s="220"/>
      <c r="AJ99" s="213"/>
    </row>
  </sheetData>
  <mergeCells count="14">
    <mergeCell ref="B1:E1"/>
    <mergeCell ref="L1:O1"/>
    <mergeCell ref="V1:Y1"/>
    <mergeCell ref="AF1:AI1"/>
    <mergeCell ref="B2:E2"/>
    <mergeCell ref="L2:O2"/>
    <mergeCell ref="V2:Y2"/>
    <mergeCell ref="AF2:AI2"/>
    <mergeCell ref="G1:J1"/>
    <mergeCell ref="G2:J2"/>
    <mergeCell ref="Q1:T1"/>
    <mergeCell ref="Q2:T2"/>
    <mergeCell ref="AA1:AD1"/>
    <mergeCell ref="AA2:AD2"/>
  </mergeCells>
  <hyperlinks>
    <hyperlink ref="D4" r:id="rId1" display="https://www.linkedin.com/learning/lean-technology-strategy-economic-frameworks-for-portfolio-and-product-management?trk=ondemandfile" xr:uid="{00000000-0004-0000-1C00-000000000000}"/>
    <hyperlink ref="E4" r:id="rId2" display="https://www.linkedin.com/learning/paths/become-an-agile-project-manager?trk=ondemandfile" xr:uid="{00000000-0004-0000-1C00-000001000000}"/>
    <hyperlink ref="N4" r:id="rId3" display="https://www.linkedin.com/learning/agile-en-accion-construye-tu-equipo-agil?trk=ondemandfile" xr:uid="{00000000-0004-0000-1C00-000002000000}"/>
    <hyperlink ref="O4" r:id="rId4" display="https://www.linkedin.com/learning/paths/conviertete-en-gestor-de-proyectos?trk=ondemandfile" xr:uid="{00000000-0004-0000-1C00-000003000000}"/>
    <hyperlink ref="S4" r:id="rId5" display="https://www.linkedin.com/learning/agil-arbeiten-agile-meetings-produktiv-durchfuhren?trk=ondemandfile" xr:uid="{00000000-0004-0000-1C00-000004000000}"/>
    <hyperlink ref="T4" r:id="rId6" display="https://www.linkedin.com/learning/paths/agile-methoden-einsetzen?trk=ondemandfile" xr:uid="{00000000-0004-0000-1C00-000005000000}"/>
    <hyperlink ref="X4" r:id="rId7" display="https://www.linkedin.com/learning/microsoft-project-2013-essential-training-2?trk=ondemandfile" xr:uid="{00000000-0004-0000-1C00-000006000000}"/>
    <hyperlink ref="AD4" r:id="rId8" display="https://www.linkedin.com/learning/paths/torne-se-um-gestor-de-projetos?trk=ondemandfile" xr:uid="{00000000-0004-0000-1C00-000007000000}"/>
    <hyperlink ref="AH4" r:id="rId9" display="https://www.linkedin.com/learning/scrum-the-basics-3?trk=ondemandfile" xr:uid="{00000000-0004-0000-1C00-000008000000}"/>
    <hyperlink ref="AI4" r:id="rId10" display="https://www.linkedin.com/learning/paths/15e85c29-5b7c-3b12-a882-4bfdeb3c83c7?trk=ondemandfile" xr:uid="{00000000-0004-0000-1C00-000009000000}"/>
    <hyperlink ref="D5" r:id="rId11" display="https://www.linkedin.com/learning/how-to-be-an-effective-project-sponsor?trk=ondemandfile" xr:uid="{00000000-0004-0000-1C00-00000A000000}"/>
    <hyperlink ref="E5" r:id="rId12" display="https://www.linkedin.com/learning/paths/become-a-business-analyst?trk=ondemandfile" xr:uid="{00000000-0004-0000-1C00-00000B000000}"/>
    <hyperlink ref="N5" r:id="rId13" display="https://www.linkedin.com/learning/aprende-a-usar-la-metodologia-lean?trk=ondemandfile" xr:uid="{00000000-0004-0000-1C00-00000C000000}"/>
    <hyperlink ref="O5" r:id="rId14" display="https://www.linkedin.com/learning/paths/gestiona-tus-proyectos-con-project-2016?trk=ondemandfile" xr:uid="{00000000-0004-0000-1C00-00000D000000}"/>
    <hyperlink ref="S5" r:id="rId15" display="https://www.linkedin.com/learning/agil-arbeiten-besser-werden-mit-agilen-retrospektiven?trk=ondemandfile" xr:uid="{00000000-0004-0000-1C00-00000E000000}"/>
    <hyperlink ref="T5" r:id="rId16" display="https://www.linkedin.com/learning/paths/agile-r-projektmanager-in-werden?trk=ondemandfile" xr:uid="{00000000-0004-0000-1C00-00000F000000}"/>
    <hyperlink ref="X5" r:id="rId17" display="https://www.linkedin.com/learning/8961390d-0b7b-3ec7-ae01-12fbcac6d659?trk=ondemandfile" xr:uid="{00000000-0004-0000-1C00-000010000000}"/>
    <hyperlink ref="AH5" r:id="rId18" display="https://www.linkedin.com/learning/scrum-advanced-4?trk=ondemandfile" xr:uid="{00000000-0004-0000-1C00-000011000000}"/>
    <hyperlink ref="D6" r:id="rId19" display="https://www.linkedin.com/learning/business-analyst-foundations-babok-knowledge-areas?trk=ondemandfile" xr:uid="{00000000-0004-0000-1C00-000012000000}"/>
    <hyperlink ref="E6" r:id="rId20" display="https://www.linkedin.com/learning/paths/become-a-business-intelligence-specialist?trk=ondemandfile" xr:uid="{00000000-0004-0000-1C00-000013000000}"/>
    <hyperlink ref="N6" r:id="rId21" display="https://www.linkedin.com/learning/00-asana?trk=ondemandfile" xr:uid="{00000000-0004-0000-1C00-000014000000}"/>
    <hyperlink ref="O6" r:id="rId22" display="https://www.linkedin.com/learning/paths/mejora-tus-dotes-de-liderazgo-y-gestion-de-equipos-de-trabajo?trk=ondemandfile" xr:uid="{00000000-0004-0000-1C00-000015000000}"/>
    <hyperlink ref="S6" r:id="rId23" display="https://www.linkedin.com/learning/agil-arbeiten-ein-agiles-team-aufbauen?trk=ondemandfile" xr:uid="{00000000-0004-0000-1C00-000016000000}"/>
    <hyperlink ref="T6" r:id="rId24" display="https://www.linkedin.com/learning/paths/projektkoordinator-in-werden?trk=ondemandfile" xr:uid="{00000000-0004-0000-1C00-000017000000}"/>
    <hyperlink ref="X6" r:id="rId25" display="https://www.linkedin.com/learning/microsoft-project-2021-and-project-online-desktop-client-essential-training?trk=contentmappingfile" xr:uid="{00000000-0004-0000-1C00-000018000000}"/>
    <hyperlink ref="AH6" r:id="rId26" display="https://www.linkedin.com/learning/transitioning-from-waterfall-to-agile-project-management-4?trk=ondemandfile" xr:uid="{00000000-0004-0000-1C00-000019000000}"/>
    <hyperlink ref="D7" r:id="rId27" display="https://www.linkedin.com/learning/creating-a-culture-of-service?trk=ondemandfile" xr:uid="{00000000-0004-0000-1C00-00001A000000}"/>
    <hyperlink ref="E7" r:id="rId28" display="https://www.linkedin.com/learning/paths/become-a-government-project-manager?trk=ondemandfile" xr:uid="{00000000-0004-0000-1C00-00001B000000}"/>
    <hyperlink ref="I7" r:id="rId29" display="https://www.linkedin.com/learning/agile-au-travail-planifier-avec-des-user-stories-agiles?trk=contentmappingfile" xr:uid="{00000000-0004-0000-1C00-00001C000000}"/>
    <hyperlink ref="N7" r:id="rId30" display="https://www.linkedin.com/learning/aprende-las-bases-de-las-cadenas-de-suministro?trk=ondemandfile" xr:uid="{00000000-0004-0000-1C00-00001D000000}"/>
    <hyperlink ref="O7" r:id="rId31" display="https://www.linkedin.com/learning/paths/conviertete-en-coordinador-de-proyectos?trk=ondemandfile" xr:uid="{00000000-0004-0000-1C00-00001E000000}"/>
    <hyperlink ref="S7" r:id="rId32" display="https://www.linkedin.com/learning/agil-arbeiten-mit-user-stories-planen?trk=ondemandfile" xr:uid="{00000000-0004-0000-1C00-00001F000000}"/>
    <hyperlink ref="T7" r:id="rId33" display="https://www.linkedin.com/learning/paths/projektmanager-in-werden?trk=ondemandfile" xr:uid="{00000000-0004-0000-1C00-000020000000}"/>
    <hyperlink ref="X7" r:id="rId34" display="https://www.linkedin.com/learning/learning-microsoft-project?trk=ondemandfile" xr:uid="{00000000-0004-0000-1C00-000021000000}"/>
    <hyperlink ref="AH7" r:id="rId35" display="https://www.linkedin.com/learning/agreements-for-success-in-global-projects-2?trk=ondemandfile" xr:uid="{00000000-0004-0000-1C00-000022000000}"/>
    <hyperlink ref="D8" r:id="rId36" display="https://www.linkedin.com/learning/leading-remote-projects-and-virtual-teams?trk=ondemandfile" xr:uid="{00000000-0004-0000-1C00-000023000000}"/>
    <hyperlink ref="E8" r:id="rId37" display="https://www.linkedin.com/learning/paths/become-a-healthcare-project-manager?trk=ondemandfile" xr:uid="{00000000-0004-0000-1C00-000024000000}"/>
    <hyperlink ref="N8" r:id="rId38" display="https://www.linkedin.com/learning/bim-con-un-cafe?trk=ondemandfile" xr:uid="{00000000-0004-0000-1C00-000025000000}"/>
    <hyperlink ref="S8" r:id="rId39" display="https://www.linkedin.com/learning/agil-arbeiten-reporting-mit-agilen-boards-und-chars?trk=ondemandfile" xr:uid="{00000000-0004-0000-1C00-000026000000}"/>
    <hyperlink ref="T8" r:id="rId40" display="https://www.linkedin.com/learning/paths/six-sigma-green-belt-werden?trk=ondemandfile" xr:uid="{00000000-0004-0000-1C00-000027000000}"/>
    <hyperlink ref="X8" r:id="rId41" display="https://www.linkedin.com/learning/agile-project-management-with-microsoft-project-2?trk=ondemandfile" xr:uid="{00000000-0004-0000-1C00-000028000000}"/>
    <hyperlink ref="AC8" r:id="rId42" display="https://www.linkedin.com/learning/competencias-basicas-de-gestao-de-projetos?trk=contentmappingfile" xr:uid="{00000000-0004-0000-1C00-000029000000}"/>
    <hyperlink ref="AH8" r:id="rId43" display="https://www.linkedin.com/learning/operational-excellence-foundations-4?trk=ondemandfile" xr:uid="{00000000-0004-0000-1C00-00002A000000}"/>
    <hyperlink ref="D9" r:id="rId44" display="https://www.linkedin.com/learning/managing-in-a-matrixed-organization?trk=ondemandfile" xr:uid="{00000000-0004-0000-1C00-00002B000000}"/>
    <hyperlink ref="E9" r:id="rId45" display="https://www.linkedin.com/learning/paths/become-a-portfolio-manager?trk=ondemandfile" xr:uid="{00000000-0004-0000-1C00-00002C000000}"/>
    <hyperlink ref="N9" r:id="rId46" display="https://www.linkedin.com/learning/caracteristicas-de-un-gran-scrum-master?trk=ondemandfile" xr:uid="{00000000-0004-0000-1C00-00002D000000}"/>
    <hyperlink ref="S9" r:id="rId47" display="https://www.linkedin.com/learning/agil-arbeiten-vom-wasserfall-zum-agilen-projektmanagement?trk=ondemandfile" xr:uid="{00000000-0004-0000-1C00-00002E000000}"/>
    <hyperlink ref="T9" r:id="rId48" display="https://www.linkedin.com/learning/paths/six-sigma-black-belt-werden?trk=ondemandfile" xr:uid="{00000000-0004-0000-1C00-00002F000000}"/>
    <hyperlink ref="X9" r:id="rId49" display="https://www.linkedin.com/learning/microsoft-project-graphical-reports?trk=ondemandfile" xr:uid="{00000000-0004-0000-1C00-000030000000}"/>
    <hyperlink ref="AH9" r:id="rId50" display="https://www.linkedin.com/learning/change-management-for-projects-15870814?trk=contentmappingfile" xr:uid="{00000000-0004-0000-1C00-000031000000}"/>
    <hyperlink ref="D10" r:id="rId51" display="https://www.linkedin.com/learning/management-tips?trk=ondemandfile" xr:uid="{00000000-0004-0000-1C00-000032000000}"/>
    <hyperlink ref="E10" r:id="rId52" display="https://www.linkedin.com/learning/paths/become-an-outsourcing-specialist?trk=ondemandfile" xr:uid="{00000000-0004-0000-1C00-000033000000}"/>
    <hyperlink ref="N10" r:id="rId53" display="https://www.linkedin.com/learning/como-fijar-los-objetivos-de-la-unidad-de-negocio?trk=ondemandfile" xr:uid="{00000000-0004-0000-1C00-000034000000}"/>
    <hyperlink ref="S10" r:id="rId54" display="https://www.linkedin.com/learning/agiles-projektmanagement?trk=ondemandfile" xr:uid="{00000000-0004-0000-1C00-000035000000}"/>
    <hyperlink ref="X10" r:id="rId55" display="https://www.linkedin.com/learning/managing-actual-values-in-microsoft-project-2?trk=ondemandfile" xr:uid="{00000000-0004-0000-1C00-000036000000}"/>
    <hyperlink ref="AH10" r:id="rId56" display="https://www.linkedin.com/learning/agile-foundations-2?trk=ondemandfile" xr:uid="{00000000-0004-0000-1C00-000037000000}"/>
    <hyperlink ref="D11" r:id="rId57" display="https://www.linkedin.com/learning/agile-project-leadership?trk=ondemandfile" xr:uid="{00000000-0004-0000-1C00-000038000000}"/>
    <hyperlink ref="E11" r:id="rId58" display="https://www.linkedin.com/learning/paths/become-a-product-manager-2?trk=ondemandfile" xr:uid="{00000000-0004-0000-1C00-000039000000}"/>
    <hyperlink ref="N11" r:id="rId59" display="https://www.linkedin.com/learning/como-ser-parte-de-un-ambiente-de-trabajo-positivo?trk=ondemandfile" xr:uid="{00000000-0004-0000-1C00-00003A000000}"/>
    <hyperlink ref="S11" r:id="rId60" display="https://www.linkedin.com/learning/agiles-projektmanagement-mit-microsoft-project?trk=ondemandfile" xr:uid="{00000000-0004-0000-1C00-00003B000000}"/>
    <hyperlink ref="X11" r:id="rId61" display="https://www.linkedin.com/learning/agile-project-management-foundations-2?trk=ondemandfile" xr:uid="{00000000-0004-0000-1C00-00003C000000}"/>
    <hyperlink ref="AH11" r:id="rId62" display="https://www.linkedin.com/learning/agile-project-management-foundations-3?trk=ondemandfile" xr:uid="{00000000-0004-0000-1C00-00003D000000}"/>
    <hyperlink ref="D12" r:id="rId63" display="https://www.linkedin.com/learning/managing-and-working-with-a-technical-team-for-nontechnical-professionals?trk=ondemandfile" xr:uid="{00000000-0004-0000-1C00-00003E000000}"/>
    <hyperlink ref="E12" r:id="rId64" display="https://www.linkedin.com/learning/paths/become-a-program-manager?trk=ondemandfile" xr:uid="{00000000-0004-0000-1C00-00003F000000}"/>
    <hyperlink ref="N12" r:id="rId65" display="https://www.linkedin.com/learning/cuarta-revolucion-industrial-gestion-de-proyectos?trk=ondemandfile" xr:uid="{00000000-0004-0000-1C00-000040000000}"/>
    <hyperlink ref="S12" r:id="rId66" display="https://www.linkedin.com/learning/arduino-f-r-einsteiger?trk=ondemandfile" xr:uid="{00000000-0004-0000-1C00-000041000000}"/>
    <hyperlink ref="X12" r:id="rId67" display="https://www.linkedin.com/learning/managing-virtual-teams?trk=ondemandfile" xr:uid="{00000000-0004-0000-1C00-000042000000}"/>
    <hyperlink ref="AH12" r:id="rId68" display="https://www.linkedin.com/learning/just-ask-developing-a-career-in-project-management?trk=contentmappingfile" xr:uid="{00000000-0004-0000-1C00-000043000000}"/>
    <hyperlink ref="D13" r:id="rId69" display="https://www.linkedin.com/learning/project-management-choosing-the-right-online-too?trk=ondemandfile" xr:uid="{00000000-0004-0000-1C00-000044000000}"/>
    <hyperlink ref="E13" r:id="rId70" display="https://www.linkedin.com/learning/paths/become-a-project-coordinator?trk=ondemandfile" xr:uid="{00000000-0004-0000-1C00-000045000000}"/>
    <hyperlink ref="N13" r:id="rId71" display="https://www.linkedin.com/learning/designops-con-un-cafe?trk=ondemandfile" xr:uid="{00000000-0004-0000-1C00-000046000000}"/>
    <hyperlink ref="S13" r:id="rId72" display="https://www.linkedin.com/learning/azure-devops-grundkurs?trk=ondemandfile" xr:uid="{00000000-0004-0000-1C00-000047000000}"/>
    <hyperlink ref="X13" r:id="rId73" display="https://www.linkedin.com/learning/business-analysis-foundations?trk=ondemandfile" xr:uid="{00000000-0004-0000-1C00-000048000000}"/>
    <hyperlink ref="AH13" r:id="rId74" display="https://www.linkedin.com/learning/project-management-simplified?trk=contentmappingfile" xr:uid="{00000000-0004-0000-1C00-000049000000}"/>
    <hyperlink ref="D14" r:id="rId75" display="https://www.linkedin.com/learning/increase-effectiveness-with-lessons-learned?trk=ondemandfile" xr:uid="{00000000-0004-0000-1C00-00004A000000}"/>
    <hyperlink ref="E14" r:id="rId76" display="https://www.linkedin.com/learning/paths/become-a-project-manager?trk=ondemandfile" xr:uid="{00000000-0004-0000-1C00-00004B000000}"/>
    <hyperlink ref="N14" r:id="rId77" display="https://www.linkedin.com/learning/designops-habilidades-personales-esencial?trk=ondemandfile" xr:uid="{00000000-0004-0000-1C00-00004C000000}"/>
    <hyperlink ref="S14" r:id="rId78" display="https://www.linkedin.com/learning/berufsbild-agiler-projektmanager?trk=ondemandfile" xr:uid="{00000000-0004-0000-1C00-00004D000000}"/>
    <hyperlink ref="X14" r:id="rId79" display="https://www.linkedin.com/learning/change-management-for-projects-9618249?trk=contentmappingfile" xr:uid="{00000000-0004-0000-1C00-00004E000000}"/>
    <hyperlink ref="AH14" r:id="rId80" display="https://www.linkedin.com/learning/managing-international-projects?trk=ondemandfile" xr:uid="{00000000-0004-0000-1C00-00004F000000}"/>
    <hyperlink ref="D15" r:id="rId81" display="https://www.linkedin.com/learning/job-interview-tips-for-project-managers?trk=ondemandfile" xr:uid="{00000000-0004-0000-1C00-000050000000}"/>
    <hyperlink ref="E15" r:id="rId82" display="https://www.linkedin.com/learning/paths/become-a-project-scheduler?trk=ondemandfile" xr:uid="{00000000-0004-0000-1C00-000051000000}"/>
    <hyperlink ref="N15" r:id="rId83" display="https://www.linkedin.com/learning/disena-proyectos-de-marketing-con-business-model-canvas?trk=contentmappingfile" xr:uid="{00000000-0004-0000-1C00-000052000000}"/>
    <hyperlink ref="S15" r:id="rId84" display="https://www.linkedin.com/learning/berufsbild-projektmanagement?trk=ondemandfile" xr:uid="{00000000-0004-0000-1C00-000053000000}"/>
    <hyperlink ref="X15" r:id="rId85" display="https://www.linkedin.com/learning/project-management-foundation?trk=ondemandfile" xr:uid="{00000000-0004-0000-1C00-000054000000}"/>
    <hyperlink ref="AH15" r:id="rId86" display="https://www.linkedin.com/learning/project-management-solving-common-project-problems-3?trk=ondemandfile" xr:uid="{00000000-0004-0000-1C00-000055000000}"/>
    <hyperlink ref="D16" r:id="rId87" display="https://www.linkedin.com/learning/complex-project-tips-and-tricks?trk=ondemandfile" xr:uid="{00000000-0004-0000-1C00-000056000000}"/>
    <hyperlink ref="E16" r:id="rId88" display="https://www.linkedin.com/learning/paths/becoming-a-six-sigma-black-belt?trk=ondemandfile" xr:uid="{00000000-0004-0000-1C00-000057000000}"/>
    <hyperlink ref="N16" r:id="rId89" display="https://www.linkedin.com/learning/00-fundamentos-de-la-gestion-de-programas?trk=ondemandfile" xr:uid="{00000000-0004-0000-1C00-000058000000}"/>
    <hyperlink ref="S16" r:id="rId90" display="https://www.linkedin.com/learning/bc584969-6d6f-39e0-9c41-6ea464f2f577?trk=ondemandfile" xr:uid="{00000000-0004-0000-1C00-000059000000}"/>
    <hyperlink ref="X16" r:id="rId91" display="https://www.linkedin.com/learning/0ef59e20-2225-38cc-880e-6bd499f84bb1?trk=ondemandfile" xr:uid="{00000000-0004-0000-1C00-00005A000000}"/>
    <hyperlink ref="AH16" r:id="rId92" display="https://www.linkedin.com/learning/project-management-foundations-3?trk=ondemandfile" xr:uid="{00000000-0004-0000-1C00-00005B000000}"/>
    <hyperlink ref="D17" r:id="rId93" display="https://www.linkedin.com/learning/project-management-for-creative-projects-3?trk=ondemandfile" xr:uid="{00000000-0004-0000-1C00-00005C000000}"/>
    <hyperlink ref="E17" r:id="rId94" display="https://www.linkedin.com/learning/paths/becoming-a-six-sigma-green-belt?trk=ondemandfile" xr:uid="{00000000-0004-0000-1C00-00005D000000}"/>
    <hyperlink ref="N17" r:id="rId95" display="https://www.linkedin.com/learning/fundamentos-de-la-gestion-de-proyectos?trk=ondemandfile" xr:uid="{00000000-0004-0000-1C00-00005E000000}"/>
    <hyperlink ref="S17" r:id="rId96" display="https://www.linkedin.com/learning/design-sprint?trk=ondemandfile" xr:uid="{00000000-0004-0000-1C00-00005F000000}"/>
    <hyperlink ref="X17" r:id="rId97" display="https://www.linkedin.com/learning/3bfae77c-0d4b-3ec4-9799-44540831599e?trk=ondemandfile" xr:uid="{00000000-0004-0000-1C00-000060000000}"/>
    <hyperlink ref="AH17" r:id="rId98" display="https://www.linkedin.com/learning/project-management-foundations-stakeholders-2?trk=ondemandfile" xr:uid="{00000000-0004-0000-1C00-000061000000}"/>
    <hyperlink ref="D18" r:id="rId99" display="https://www.linkedin.com/learning/agile-coaching?trk=ondemandfile" xr:uid="{00000000-0004-0000-1C00-000062000000}"/>
    <hyperlink ref="E18" r:id="rId100" display="https://www.linkedin.com/learning/paths/become-a-six-sigma-yellow-belt?trk=ondemandfile" xr:uid="{00000000-0004-0000-1C00-000063000000}"/>
    <hyperlink ref="N18" r:id="rId101" display="https://www.linkedin.com/learning/00-agile-project-management?trk=ondemandfile" xr:uid="{00000000-0004-0000-1C00-000064000000}"/>
    <hyperlink ref="S18" r:id="rId102" display="https://www.linkedin.com/learning/design-thinking-grundlagen?trk=ondemandfile" xr:uid="{00000000-0004-0000-1C00-000065000000}"/>
    <hyperlink ref="X18" r:id="rId103" display="https://www.linkedin.com/learning/project-management-preventing-scope-creep-14372697?trk=contentmappingfile" xr:uid="{00000000-0004-0000-1C00-000066000000}"/>
    <hyperlink ref="AH18" r:id="rId104" display="https://www.linkedin.com/learning/project-management-foundations-change-2?trk=ondemandfile" xr:uid="{00000000-0004-0000-1C00-000067000000}"/>
    <hyperlink ref="D19" r:id="rId105" display="https://www.linkedin.com/learning/project-management-foundations-integration-2?trk=ondemandfile" xr:uid="{00000000-0004-0000-1C00-000068000000}"/>
    <hyperlink ref="E19" r:id="rId106" display="https://www.linkedin.com/learning/paths/become-a-software-project-manager?trk=ondemandfile" xr:uid="{00000000-0004-0000-1C00-000069000000}"/>
    <hyperlink ref="N19" r:id="rId107" display="https://www.linkedin.com/learning/00-managing-project-schedules?trk=ondemandfile" xr:uid="{00000000-0004-0000-1C00-00006A000000}"/>
    <hyperlink ref="S19" r:id="rId108" display="https://www.linkedin.com/learning/00-design-thinking?trk=ondemandfile" xr:uid="{00000000-0004-0000-1C00-00006B000000}"/>
    <hyperlink ref="X19" r:id="rId109" display="https://www.linkedin.com/learning/project-management-foundations-stakeholders?trk=ondemandfile" xr:uid="{00000000-0004-0000-1C00-00006C000000}"/>
    <hyperlink ref="AH19" r:id="rId110" display="https://www.linkedin.com/learning/project-management-foundations-teams-2?trk=ondemandfile" xr:uid="{00000000-0004-0000-1C00-00006D000000}"/>
    <hyperlink ref="D20" r:id="rId111" display="https://www.linkedin.com/learning/project-management-foundations-small-projects-2?trk=ondemandfile" xr:uid="{00000000-0004-0000-1C00-00006E000000}"/>
    <hyperlink ref="E20" r:id="rId112" location="gid=226809603?trk=ondemandfile" display="https://docs.google.com/spreadsheets/d/125lXqIcHUrmOCQ3PkPvx9WmMu_iMuq6e8fL-2NaMLiA/edit - gid=226809603?trk=ondemandfile" xr:uid="{00000000-0004-0000-1C00-00006F000000}"/>
    <hyperlink ref="N20" r:id="rId113" display="https://www.linkedin.com/learning/00-gestion-de-proyectos-calidad?trk=ondemandfile" xr:uid="{00000000-0004-0000-1C00-000070000000}"/>
    <hyperlink ref="S20" r:id="rId114" display="https://www.linkedin.com/learning/die-scrum-revolution-blinkist-kernaussagen?trk=ondemandfile" xr:uid="{00000000-0004-0000-1C00-000071000000}"/>
    <hyperlink ref="X20" r:id="rId115" display="https://www.linkedin.com/learning/82a9ac63-32a2-33be-b6e0-788f1f5d6271?trk=ondemandfile" xr:uid="{00000000-0004-0000-1C00-000072000000}"/>
    <hyperlink ref="AH20" r:id="rId116" display="https://www.linkedin.com/learning/a7988dab-5b06-3f1a-bd7c-7ac9d6c0ef18?trk=ondemandfile" xr:uid="{00000000-0004-0000-1C00-000073000000}"/>
    <hyperlink ref="D21" r:id="rId117" display="https://www.linkedin.com/learning/project-management-preventing-scope-creep-2?trk=ondemandfile" xr:uid="{00000000-0004-0000-1C00-000074000000}"/>
    <hyperlink ref="E21" r:id="rId118" display="https://www.linkedin.com/learning/paths/become-a-technical-program-manager?trk=ondemandfile" xr:uid="{00000000-0004-0000-1C00-000075000000}"/>
    <hyperlink ref="N21" r:id="rId119" display="https://www.linkedin.com/learning/00-fundamentos-de-la-gestion-de-proyectos-cambios?trk=ondemandfile" xr:uid="{00000000-0004-0000-1C00-000076000000}"/>
    <hyperlink ref="S21" r:id="rId120" display="https://www.linkedin.com/learning/ein-agiles-mindset-entwickeln?trk=ondemandfile" xr:uid="{00000000-0004-0000-1C00-000077000000}"/>
    <hyperlink ref="X21" r:id="rId121" display="https://www.linkedin.com/learning/project-management-foundations-risk-4?trk=ondemandfile" xr:uid="{00000000-0004-0000-1C00-000078000000}"/>
    <hyperlink ref="AH21" r:id="rId122" display="https://www.linkedin.com/learning/project-management-foundations-integration-3?trk=ondemandfile" xr:uid="{00000000-0004-0000-1C00-000079000000}"/>
    <hyperlink ref="D22" r:id="rId123" display="https://www.linkedin.com/learning/project-management-foundations-ethics-2?trk=ondemandfile" xr:uid="{00000000-0004-0000-1C00-00007A000000}"/>
    <hyperlink ref="E22" r:id="rId124" display="https://www.linkedin.com/learning/paths/develop-your-project-management-skills?trk=ondemandfile" xr:uid="{00000000-0004-0000-1C00-00007B000000}"/>
    <hyperlink ref="N22" r:id="rId125" display="https://www.linkedin.com/learning/00-fundamentos-de-la-gestion-de-proyectos-compras?trk=ondemandfile" xr:uid="{00000000-0004-0000-1C00-00007C000000}"/>
    <hyperlink ref="S22" r:id="rId126" display="https://www.linkedin.com/learning/00-projektmanagement-grundlagen?trk=ondemandfile" xr:uid="{00000000-0004-0000-1C00-00007D000000}"/>
    <hyperlink ref="X22" r:id="rId127" display="https://www.linkedin.com/learning/project-management-foundations-budgets-4?trk=ondemandfile" xr:uid="{00000000-0004-0000-1C00-00007E000000}"/>
    <hyperlink ref="AH22" r:id="rId128" display="https://www.linkedin.com/learning/project-management-foundations-schedules-3?trk=ondemandfile" xr:uid="{00000000-0004-0000-1C00-00007F000000}"/>
    <hyperlink ref="D23" r:id="rId129" display="https://www.linkedin.com/learning/skilled-trades-resumes-and-portfolios?trk=ondemandfile" xr:uid="{00000000-0004-0000-1C00-000080000000}"/>
    <hyperlink ref="E23" r:id="rId130" display="https://www.linkedin.com/learning/paths/improve-your-business-analysis-skills?trk=ondemandfile" xr:uid="{00000000-0004-0000-1C00-000081000000}"/>
    <hyperlink ref="N23" r:id="rId131" display="https://www.linkedin.com/learning/00-fundamentos-de-la-gestion-de-proyectos-comunicacion?trk=ondemandfile" xr:uid="{00000000-0004-0000-1C00-000082000000}"/>
    <hyperlink ref="S23" r:id="rId132" display="https://www.linkedin.com/learning/gantt-diagramme-nutzen?trk=ondemandfile" xr:uid="{00000000-0004-0000-1C00-000083000000}"/>
    <hyperlink ref="X23" r:id="rId133" display="https://www.linkedin.com/learning/managing-small-projects-2?trk=ondemandfile" xr:uid="{00000000-0004-0000-1C00-000084000000}"/>
    <hyperlink ref="AH23" r:id="rId134" display="https://www.linkedin.com/learning/779ed34b-4bd3-393b-bda7-0163601fbcc8?trk=ondemandfile" xr:uid="{00000000-0004-0000-1C00-000085000000}"/>
    <hyperlink ref="D24" r:id="rId135" display="https://www.linkedin.com/learning/project-management-foundations-requirements-2?trk=ondemandfile" xr:uid="{00000000-0004-0000-1C00-000086000000}"/>
    <hyperlink ref="E24" r:id="rId136" display="https://www.linkedin.com/learning/paths/prepare-for-the-pmi-acp-certification?trk=ondemandfile" xr:uid="{00000000-0004-0000-1C00-000087000000}"/>
    <hyperlink ref="N24" r:id="rId137" display="https://www.linkedin.com/learning/00-project-management-foundations-teams?trk=ondemandfile" xr:uid="{00000000-0004-0000-1C00-000088000000}"/>
    <hyperlink ref="S24" r:id="rId138" display="https://www.linkedin.com/learning/grundlagen-der-programmierung-agile-softwareentwicklung?trk=ondemandfile" xr:uid="{00000000-0004-0000-1C00-000089000000}"/>
    <hyperlink ref="X24" r:id="rId139" display="https://www.linkedin.com/learning/project-management-foundations-integration-9240935?trk=contentmappingfile" xr:uid="{00000000-0004-0000-1C00-00008A000000}"/>
    <hyperlink ref="AH24" r:id="rId140" display="https://www.linkedin.com/learning/project-management-foundations-ethics?trk=ondemandfile" xr:uid="{00000000-0004-0000-1C00-00008B000000}"/>
    <hyperlink ref="D25" r:id="rId141" display="https://www.linkedin.com/learning/project-management-foundations-teams-2019?trk=ondemandfile" xr:uid="{00000000-0004-0000-1C00-00008C000000}"/>
    <hyperlink ref="E25" r:id="rId142" display="https://www.linkedin.com/learning/paths/stay-ahead-in-construction-management?trk=ondemandfile" xr:uid="{00000000-0004-0000-1C00-00008D000000}"/>
    <hyperlink ref="N25" r:id="rId143" display="https://www.linkedin.com/learning/00-fundamentos-de-la-gestion-de-proyectos-etica?trk=ondemandfile" xr:uid="{00000000-0004-0000-1C00-00008E000000}"/>
    <hyperlink ref="S25" r:id="rId144" display="https://www.linkedin.com/learning/konfliktmanagement-in-projekten?trk=ondemandfile" xr:uid="{00000000-0004-0000-1C00-00008F000000}"/>
    <hyperlink ref="X25" r:id="rId145" display="https://www.linkedin.com/learning/leading-projects-2?trk=ondemandfile" xr:uid="{00000000-0004-0000-1C00-000090000000}"/>
    <hyperlink ref="AH25" r:id="rId146" display="https://www.linkedin.com/learning/project-management-foundations-quality-2?trk=ondemandfile" xr:uid="{00000000-0004-0000-1C00-000091000000}"/>
    <hyperlink ref="D26" r:id="rId147" display="https://www.linkedin.com/learning/software-project-management-foundations?trk=ondemandfile" xr:uid="{00000000-0004-0000-1C00-000092000000}"/>
    <hyperlink ref="N26" r:id="rId148" display="https://www.linkedin.com/learning/00-fundamentos-de-la-gestion-de-proyectos-integracion?trk=ondemandfile" xr:uid="{00000000-0004-0000-1C00-000093000000}"/>
    <hyperlink ref="S26" r:id="rId149" display="https://www.linkedin.com/learning/microsoft-365-rollout-fur-projektleiter?trk=contentmappingfile" xr:uid="{00000000-0004-0000-1C00-000094000000}"/>
    <hyperlink ref="AH26" r:id="rId150" display="https://www.linkedin.com/learning/project-management-preventing-scope-creep-4?trk=ondemandfile" xr:uid="{00000000-0004-0000-1C00-000095000000}"/>
    <hyperlink ref="D27" r:id="rId151" display="https://www.linkedin.com/learning/project-management-simplified-2?trk=ondemandfile" xr:uid="{00000000-0004-0000-1C00-000096000000}"/>
    <hyperlink ref="N27" r:id="rId152" display="https://www.linkedin.com/learning/00-fundamentos-de-la-gestion-de-proyectos-liderazgo?trk=ondemandfile" xr:uid="{00000000-0004-0000-1C00-000097000000}"/>
    <hyperlink ref="S27" r:id="rId153" display="https://www.linkedin.com/learning/microsoft-project-2019-und-project-online-desktop-grundkurs?trk=ondemandfile" xr:uid="{00000000-0004-0000-1C00-000098000000}"/>
    <hyperlink ref="AH27" r:id="rId154" display="https://www.linkedin.com/learning/project-management-foundations-budgets-2?trk=ondemandfile" xr:uid="{00000000-0004-0000-1C00-000099000000}"/>
    <hyperlink ref="D28" r:id="rId155" display="https://www.linkedin.com/learning/hoshin-plan-ning?trk=ondemandfile" xr:uid="{00000000-0004-0000-1C00-00009A000000}"/>
    <hyperlink ref="N28" r:id="rId156" display="https://www.linkedin.com/learning/00-gestion-de-proyectos-presupuestos?trk=ondemandfile" xr:uid="{00000000-0004-0000-1C00-00009B000000}"/>
    <hyperlink ref="S28" r:id="rId157" display="https://www.linkedin.com/learning/office-365-project?trk=ondemandfile" xr:uid="{00000000-0004-0000-1C00-00009C000000}"/>
    <hyperlink ref="AH28" r:id="rId158" display="https://www.linkedin.com/learning/project-management-foundations-leading-projects-2?trk=ondemandfile" xr:uid="{00000000-0004-0000-1C00-00009D000000}"/>
    <hyperlink ref="D29" r:id="rId159" display="https://www.linkedin.com/learning/implementing-lean-a-case-study?trk=ondemandfile" xr:uid="{00000000-0004-0000-1C00-00009E000000}"/>
    <hyperlink ref="N29" r:id="rId160" display="https://www.linkedin.com/learning/fundamentos-de-la-gestion-de-proyectos-proyectos-pequenos?trk=ondemandfile" xr:uid="{00000000-0004-0000-1C00-00009F000000}"/>
    <hyperlink ref="S29" r:id="rId161" display="https://www.linkedin.com/learning/progman?trk=ondemandfile" xr:uid="{00000000-0004-0000-1C00-0000A0000000}"/>
    <hyperlink ref="AH29" r:id="rId162" display="https://www.linkedin.com/learning/project-management-foundations-risk-2?trk=ondemandfile" xr:uid="{00000000-0004-0000-1C00-0000A1000000}"/>
    <hyperlink ref="D30" r:id="rId163" display="https://www.linkedin.com/learning/from-resisting-to-embracing-lean-a-case-study?trk=ondemandfile" xr:uid="{00000000-0004-0000-1C00-0000A2000000}"/>
    <hyperlink ref="N30" r:id="rId164" display="https://www.linkedin.com/learning/00-managing-project-risk?trk=ondemandfile" xr:uid="{00000000-0004-0000-1C00-0000A3000000}"/>
    <hyperlink ref="S30" r:id="rId165" display="https://www.linkedin.com/learning/project-2013-grundkurs?trk=ondemandfile" xr:uid="{00000000-0004-0000-1C00-0000A4000000}"/>
    <hyperlink ref="D31" r:id="rId166" display="https://www.linkedin.com/learning/project-management-tips?trk=ondemandfile" xr:uid="{00000000-0004-0000-1C00-0000A5000000}"/>
    <hyperlink ref="N31" r:id="rId167" display="https://www.linkedin.com/learning/00-transitioning-from-individual-contributor-to-manager-2?trk=ondemandfile" xr:uid="{00000000-0004-0000-1C00-0000A6000000}"/>
    <hyperlink ref="S31" r:id="rId168" display="https://www.linkedin.com/learning/00-project-2016-grundlagen?trk=ondemandfile" xr:uid="{00000000-0004-0000-1C00-0000A7000000}"/>
    <hyperlink ref="D32" r:id="rId169" display="https://www.linkedin.com/learning/5s-workplace-productivity?trk=ondemandfile" xr:uid="{00000000-0004-0000-1C00-0000A8000000}"/>
    <hyperlink ref="N32" r:id="rId170" display="https://www.linkedin.com/learning/fundamentos-de-lean-six-sigma?trk=ondemandfile" xr:uid="{00000000-0004-0000-1C00-0000A9000000}"/>
    <hyperlink ref="S32" r:id="rId171" display="https://www.linkedin.com/learning/projekt-kompass-blinkist-kernaussagen?trk=ondemandfile" xr:uid="{00000000-0004-0000-1C00-0000AA000000}"/>
    <hyperlink ref="AC32" r:id="rId172" display="https://www.linkedin.com/learning/quarta-revolucao-industrial-gestao-de-projetos?trk=contentmappingfile" xr:uid="{00000000-0004-0000-1C00-0000AB000000}"/>
    <hyperlink ref="D33" r:id="rId173" display="https://www.linkedin.com/learning/time-management-tips-2019?trk=ondemandfile" xr:uid="{00000000-0004-0000-1C00-0000AC000000}"/>
    <hyperlink ref="N33" r:id="rId174" display="https://www.linkedin.com/learning/00-fundamentos-de-six-sigma?trk=ondemandfile" xr:uid="{00000000-0004-0000-1C00-0000AD000000}"/>
    <hyperlink ref="S33" r:id="rId175" display="https://www.linkedin.com/learning/projektmanagement-anderungsmanagement?trk=ondemandfile" xr:uid="{00000000-0004-0000-1C00-0000AE000000}"/>
    <hyperlink ref="D34" r:id="rId176" display="https://www.linkedin.com/learning/time-management-tips-teamwork?trk=ondemandfile" xr:uid="{00000000-0004-0000-1C00-0000AF000000}"/>
    <hyperlink ref="N34" r:id="rId177" display="https://www.linkedin.com/learning/fundamentos-de-six-sigma-black-belt?trk=ondemandfile" xr:uid="{00000000-0004-0000-1C00-0000B0000000}"/>
    <hyperlink ref="S34" r:id="rId178" display="https://www.linkedin.com/learning/projektmanagement-ethik-und-compliance?trk=ondemandfile" xr:uid="{00000000-0004-0000-1C00-0000B1000000}"/>
    <hyperlink ref="D35" r:id="rId179" display="https://www.linkedin.com/learning/introducing-the-pmbok-guide-seventh-edition?trk=ondemandfile" xr:uid="{00000000-0004-0000-1C00-0000B2000000}"/>
    <hyperlink ref="I35" r:id="rId180" display="https://www.linkedin.com/learning/l-intelligence-artificielle-pour-les-chefs-cheffes-de-projet?trk=contentmappingfile" xr:uid="{00000000-0004-0000-1C00-0000B3000000}"/>
    <hyperlink ref="N35" r:id="rId181" display="https://www.linkedin.com/learning/00-six-sigma-green-belt?trk=ondemandfile" xr:uid="{00000000-0004-0000-1C00-0000B4000000}"/>
    <hyperlink ref="S35" r:id="rId182" display="https://www.linkedin.com/learning/00-projektmanagement-initiierung?trk=ondemandfile" xr:uid="{00000000-0004-0000-1C00-0000B5000000}"/>
    <hyperlink ref="D36" r:id="rId183" display="https://www.linkedin.com/learning/productivity-prioritizing-at-work?trk=ondemandfile" xr:uid="{00000000-0004-0000-1C00-0000B6000000}"/>
    <hyperlink ref="N36" r:id="rId184" display="https://www.linkedin.com/learning/gestion-de-proyectos-agiles-con-trello?trk=contentmappingfile" xr:uid="{00000000-0004-0000-1C00-0000B7000000}"/>
    <hyperlink ref="S36" r:id="rId185" display="https://www.linkedin.com/learning/projektmanagement-integration?trk=ondemandfile" xr:uid="{00000000-0004-0000-1C00-0000B8000000}"/>
    <hyperlink ref="D37" r:id="rId186" display="https://www.linkedin.com/learning/project-leadership?trk=ondemandfile" xr:uid="{00000000-0004-0000-1C00-0000B9000000}"/>
    <hyperlink ref="N37" r:id="rId187" display="https://www.linkedin.com/learning/gestion-de-proyectos-agiles-comparacion-de-herramientas-agiles?trk=contentmappingfile" xr:uid="{00000000-0004-0000-1C00-0000BA000000}"/>
    <hyperlink ref="S37" r:id="rId188" display="https://www.linkedin.com/learning/00-pm-komm?trk=ondemandfile" xr:uid="{00000000-0004-0000-1C00-0000BB000000}"/>
    <hyperlink ref="D38" r:id="rId189" display="https://www.linkedin.com/learning/project-management-foundations-quality-2020?trk=ondemandfile" xr:uid="{00000000-0004-0000-1C00-0000BC000000}"/>
    <hyperlink ref="N38" r:id="rId190" display="https://www.linkedin.com/learning/gestion-de-proyectos-con-smartsheet?trk=ondemandfile" xr:uid="{00000000-0004-0000-1C00-0000BD000000}"/>
    <hyperlink ref="S38" r:id="rId191" display="https://www.linkedin.com/learning/projektmanagement-kosten-und-nutzen?trk=ondemandfile" xr:uid="{00000000-0004-0000-1C00-0000BE000000}"/>
    <hyperlink ref="D39" r:id="rId192" display="https://www.linkedin.com/learning/be-a-project-motivator-unlock-the-secrets-of-strengths-based-project-management?trk=ondemandfile" xr:uid="{00000000-0004-0000-1C00-0000BF000000}"/>
    <hyperlink ref="N39" r:id="rId193" display="https://www.linkedin.com/learning/00-project-management-simplified?trk=ondemandfile" xr:uid="{00000000-0004-0000-1C00-0000C0000000}"/>
    <hyperlink ref="S39" r:id="rId194" display="https://www.linkedin.com/learning/00-pm-krisen?trk=ondemandfile" xr:uid="{00000000-0004-0000-1C00-0000C1000000}"/>
    <hyperlink ref="D40" r:id="rId195" display="https://www.linkedin.com/learning/agile-it-s-not-just-for-software?trk=ondemandfile" xr:uid="{00000000-0004-0000-1C00-0000C2000000}"/>
    <hyperlink ref="N40" r:id="rId196" display="https://www.linkedin.com/learning/gestion-de-proyectos-prevencion-del-deslizamiento-de-alcance?trk=ondemandfile" xr:uid="{00000000-0004-0000-1C00-0000C3000000}"/>
    <hyperlink ref="S40" r:id="rId197" display="https://www.linkedin.com/learning/00-projektmanagement-planung?trk=ondemandfile" xr:uid="{00000000-0004-0000-1C00-0000C4000000}"/>
    <hyperlink ref="D41" r:id="rId198" display="https://www.linkedin.com/learning/managing-projects-as-offices-reopen?trk=ondemandfile" xr:uid="{00000000-0004-0000-1C00-0000C5000000}"/>
    <hyperlink ref="N41" r:id="rId199" display="https://www.linkedin.com/learning/00-solving-common-project-problems?trk=ondemandfile" xr:uid="{00000000-0004-0000-1C00-0000C6000000}"/>
    <hyperlink ref="S41" r:id="rId200" display="https://www.linkedin.com/learning/00-pm-abschl?trk=ondemandfile" xr:uid="{00000000-0004-0000-1C00-0000C7000000}"/>
    <hyperlink ref="D42" r:id="rId201" display="https://www.linkedin.com/learning/mindfulness-a-critical-skill-for-project-managers?trk=ondemandfile" xr:uid="{00000000-0004-0000-1C00-0000C8000000}"/>
    <hyperlink ref="N42" r:id="rId202" display="https://www.linkedin.com/learning/microsoft-teams-esencial?trk=ondemandfile" xr:uid="{00000000-0004-0000-1C00-0000C9000000}"/>
    <hyperlink ref="S42" r:id="rId203" display="https://www.linkedin.com/learning/00-pm-quali?trk=ondemandfile" xr:uid="{00000000-0004-0000-1C00-0000CA000000}"/>
    <hyperlink ref="D43" r:id="rId204" display="https://www.linkedin.com/learning/build-a-successful-career-in-project-management?trk=ondemandfile" xr:uid="{00000000-0004-0000-1C00-0000CB000000}"/>
    <hyperlink ref="N43" r:id="rId205" display="https://www.linkedin.com/learning/microsoft-teams-administrar-los-horarios-de-trabajo-del-personal-con-turnos?trk=ondemandfile" xr:uid="{00000000-0004-0000-1C00-0000CC000000}"/>
    <hyperlink ref="S43" r:id="rId206" display="https://www.linkedin.com/learning/00-pm-risiko?trk=ondemandfile" xr:uid="{00000000-0004-0000-1C00-0000CD000000}"/>
    <hyperlink ref="D44" r:id="rId207" display="https://www.linkedin.com/learning/project-management-fundamentals-for-non-project-managers?trk=ondemandfile" xr:uid="{00000000-0004-0000-1C00-0000CE000000}"/>
    <hyperlink ref="N44" r:id="rId208" display="https://www.linkedin.com/learning/microsoft-teams-gestion-de-proyectos?trk=ondemandfile" xr:uid="{00000000-0004-0000-1C00-0000CF000000}"/>
    <hyperlink ref="S44" r:id="rId209" display="https://www.linkedin.com/learning/00-pm-steuer?trk=ondemandfile" xr:uid="{00000000-0004-0000-1C00-0000D0000000}"/>
    <hyperlink ref="D45" r:id="rId210" display="https://www.linkedin.com/learning/transition-management-for-agile-environments?trk=ondemandfile" xr:uid="{00000000-0004-0000-1C00-0000D1000000}"/>
    <hyperlink ref="N45" r:id="rId211" display="https://www.linkedin.com/learning/00-project-2016-avanzado?trk=ondemandfile" xr:uid="{00000000-0004-0000-1C00-0000D2000000}"/>
    <hyperlink ref="S45" r:id="rId212" display="https://www.linkedin.com/learning/00-projektmanagement-teamfuhrung?trk=ondemandfile" xr:uid="{00000000-0004-0000-1C00-0000D3000000}"/>
    <hyperlink ref="D46" r:id="rId213" display="https://www.linkedin.com/learning/project-management-foundations-2019?trk=ondemandfile" xr:uid="{00000000-0004-0000-1C00-0000D4000000}"/>
    <hyperlink ref="N46" r:id="rId214" display="https://www.linkedin.com/learning/00-project-2016-esencial?trk=ondemandfile" xr:uid="{00000000-0004-0000-1C00-0000D5000000}"/>
    <hyperlink ref="S46" r:id="rId215" display="https://www.linkedin.com/learning/00-pm-tools?trk=ondemandfile" xr:uid="{00000000-0004-0000-1C00-0000D6000000}"/>
    <hyperlink ref="D47" r:id="rId216" display="https://www.linkedin.com/learning/product-management-tips?trk=ondemandfile" xr:uid="{00000000-0004-0000-1C00-0000D7000000}"/>
    <hyperlink ref="N47" r:id="rId217" display="https://www.linkedin.com/learning/00-project-2019-esencial?trk=ondemandfile" xr:uid="{00000000-0004-0000-1C00-0000D8000000}"/>
    <hyperlink ref="S47" r:id="rId218" display="https://www.linkedin.com/learning/scope-creen-schleichende-umfangserweiterungen-in-projekten-vermeiden?trk=ondemandfile" xr:uid="{00000000-0004-0000-1C00-0000D9000000}"/>
    <hyperlink ref="D48" r:id="rId219" display="https://www.linkedin.com/learning/managing-project-stakeholders-2?trk=ondemandfile" xr:uid="{00000000-0004-0000-1C00-0000DA000000}"/>
    <hyperlink ref="N48" r:id="rId220" display="https://www.linkedin.com/learning/project-online-profesional-trucos?trk=ondemandfile" xr:uid="{00000000-0004-0000-1C00-0000DB000000}"/>
    <hyperlink ref="S48" r:id="rId221" display="https://www.linkedin.com/learning/00-product-owner?trk=ondemandfile" xr:uid="{00000000-0004-0000-1C00-0000DC000000}"/>
    <hyperlink ref="D49" r:id="rId222" display="https://www.linkedin.com/learning/transitioning-from-waterfall-to-agile-project-management-2019?trk=ondemandfile" xr:uid="{00000000-0004-0000-1C00-0000DD000000}"/>
    <hyperlink ref="N49" r:id="rId223" display="https://www.linkedin.com/learning/project-agile-project-management?trk=ondemandfile" xr:uid="{00000000-0004-0000-1C00-0000DE000000}"/>
    <hyperlink ref="S49" r:id="rId224" display="https://www.linkedin.com/learning/d469e5e3-91ef-356a-bd71-342c807fe1b6?trk=ondemandfile" xr:uid="{00000000-0004-0000-1C00-0000DF000000}"/>
    <hyperlink ref="D50" r:id="rId225" display="https://www.linkedin.com/learning/construction-industry-safety?trk=ondemandfile" xr:uid="{00000000-0004-0000-1C00-0000E0000000}"/>
    <hyperlink ref="N50" r:id="rId226" display="https://www.linkedin.com/learning/scrum-advanced-3?trk=ondemandfile" xr:uid="{00000000-0004-0000-1C00-0000E1000000}"/>
    <hyperlink ref="S50" r:id="rId227" display="https://www.linkedin.com/learning/scrum-mit-visual-studio-team-systems?trk=ondemandfile" xr:uid="{00000000-0004-0000-1C00-0000E2000000}"/>
    <hyperlink ref="D51" r:id="rId228" display="https://www.linkedin.com/learning/introduction-to-disciplined-agile?trk=ondemandfile" xr:uid="{00000000-0004-0000-1C00-0000E3000000}"/>
    <hyperlink ref="N51" r:id="rId229" display="https://www.linkedin.com/learning/scrum-con-un-cafe?trk=ondemandfile" xr:uid="{00000000-0004-0000-1C00-0000E4000000}"/>
    <hyperlink ref="S51" r:id="rId230" display="https://www.linkedin.com/learning/stakeholdermanagement?trk=ondemandfile" xr:uid="{00000000-0004-0000-1C00-0000E5000000}"/>
    <hyperlink ref="D52" r:id="rId231" display="https://www.linkedin.com/learning/project-management-foundations-communication-2019?trk=ondemandfile" xr:uid="{00000000-0004-0000-1C00-0000E6000000}"/>
    <hyperlink ref="N52" r:id="rId232" display="https://www.linkedin.com/learning/sharepoint-2019-trucos?trk=ondemandfile" xr:uid="{00000000-0004-0000-1C00-0000E7000000}"/>
    <hyperlink ref="S52" r:id="rId233" display="https://www.linkedin.com/learning/trello-grundkurs?trk=ondemandfile" xr:uid="{00000000-0004-0000-1C00-0000E8000000}"/>
    <hyperlink ref="D53" r:id="rId234" display="https://www.linkedin.com/learning/what-is-a-pmo?trk=ondemandfile" xr:uid="{00000000-0004-0000-1C00-0000E9000000}"/>
    <hyperlink ref="N53" r:id="rId235" display="https://www.linkedin.com/learning/storytelling-para-comunicacion-de-proyectos-de-ingenieria?trk=contentmappingfile" xr:uid="{00000000-0004-0000-1C00-0000EA000000}"/>
    <hyperlink ref="S53" r:id="rId236" display="https://www.linkedin.com/learning/00-projprobl?trk=ondemandfile" xr:uid="{00000000-0004-0000-1C00-0000EB000000}"/>
    <hyperlink ref="D54" r:id="rId237" display="https://www.linkedin.com/learning/what-is-scrum?trk=ondemandfile" xr:uid="{00000000-0004-0000-1C00-0000EC000000}"/>
    <hyperlink ref="N54" r:id="rId238" display="https://www.linkedin.com/learning/trabajando-con-computadoras-y-dispositivos?trk=ondemandfile" xr:uid="{00000000-0004-0000-1C00-0000ED000000}"/>
    <hyperlink ref="S54" r:id="rId239" display="https://www.linkedin.com/learning/vereinfachtes-projektmanagement?trk=ondemandfile" xr:uid="{00000000-0004-0000-1C00-0000EE000000}"/>
    <hyperlink ref="D55" r:id="rId240" display="https://www.linkedin.com/learning/how-to-create-and-run-a-brilliant-remote-workshop?trk=ondemandfile" xr:uid="{00000000-0004-0000-1C00-0000EF000000}"/>
    <hyperlink ref="N55" r:id="rId241" display="https://www.linkedin.com/learning/trabajando-y-colaborando-online?trk=ondemandfile" xr:uid="{00000000-0004-0000-1C00-0000F0000000}"/>
    <hyperlink ref="D56" r:id="rId242" display="https://www.linkedin.com/learning/comparing-agile-versus-waterfall-project-management?trk=ondemandfile" xr:uid="{00000000-0004-0000-1C00-0000F1000000}"/>
    <hyperlink ref="N56" r:id="rId243" display="https://www.linkedin.com/learning/transicion-de-gestion-de-proyectos-en-cascada-a-gestion-de-proyectos-agile?trk=ondemandfile" xr:uid="{00000000-0004-0000-1C00-0000F2000000}"/>
    <hyperlink ref="D57" r:id="rId244" display="https://www.linkedin.com/learning/linkedin-learning-highlights-project-management?trk=ondemandfile" xr:uid="{00000000-0004-0000-1C00-0000F3000000}"/>
    <hyperlink ref="D58" r:id="rId245" display="https://www.linkedin.com/learning/emotional-intelligence-for-project-managers-blinkist-summary?trk=ondemandfile" xr:uid="{00000000-0004-0000-1C00-0000F4000000}"/>
    <hyperlink ref="D59" r:id="rId246" display="https://www.linkedin.com/learning/gemba-kaizen-a-common-sense-approach-to-continuous-improvement-blinkist-summary?trk=ondemandfile" xr:uid="{00000000-0004-0000-1C00-0000F5000000}"/>
    <hyperlink ref="D60" r:id="rId247" display="https://www.linkedin.com/learning/become-a-project-management-entrepreneur?trk=ondemandfile" xr:uid="{00000000-0004-0000-1C00-0000F6000000}"/>
    <hyperlink ref="D61" r:id="rId248" display="https://www.linkedin.com/learning/managing-change-on-an-agile-project?trk=ondemandfile" xr:uid="{00000000-0004-0000-1C00-0000F7000000}"/>
    <hyperlink ref="D62" r:id="rId249" display="https://www.linkedin.com/learning/why-projects-fail-and-how-to-improve-their-success?trk=contentmappingfile" xr:uid="{00000000-0004-0000-1C00-0000F8000000}"/>
    <hyperlink ref="D63" r:id="rId250" display="https://www.linkedin.com/learning/change-management-with-limited-resources?trk=contentmappingfile" xr:uid="{00000000-0004-0000-1C00-0000F9000000}"/>
    <hyperlink ref="D64" r:id="rId251" display="https://www.linkedin.com/learning/data-driven-project-management-project-metrics-that-matter?trk=contentmappingfile" xr:uid="{00000000-0004-0000-1C00-0000FA000000}"/>
    <hyperlink ref="D65" r:id="rId252" display="https://www.linkedin.com/learning/how-to-successfully-lead-a-pmo?trk=ondemandfile" xr:uid="{00000000-0004-0000-1C00-0000FB000000}"/>
    <hyperlink ref="D66" r:id="rId253" display="https://www.linkedin.com/learning/creating-a-program-strategy?trk=ondemandfile" xr:uid="{00000000-0004-0000-1C00-0000FC000000}"/>
    <hyperlink ref="D67" r:id="rId254" display="https://www.linkedin.com/learning/adaptive-project-leadership?trk=ondemandfile" xr:uid="{00000000-0004-0000-1C00-0000FD000000}"/>
    <hyperlink ref="D68" r:id="rId255" display="https://www.linkedin.com/learning/blending-project-management-methods?trk=ondemandfile" xr:uid="{00000000-0004-0000-1C00-0000FE000000}"/>
    <hyperlink ref="D69" r:id="rId256" display="https://www.linkedin.com/learning/9367b560-3855-3d38-9d9b-4ff0d83dd4d4?trk=ondemandfile" xr:uid="{00000000-0004-0000-1C00-0000FF000000}"/>
    <hyperlink ref="D70" r:id="rId257" display="https://www.linkedin.com/learning/leading-projects?trk=ondemandfile" xr:uid="{00000000-0004-0000-1C00-000000010000}"/>
    <hyperlink ref="D71" r:id="rId258" display="https://www.linkedin.com/learning/how-to-build-a-product-roadmap?trk=ondemandfile" xr:uid="{00000000-0004-0000-1C00-000001010000}"/>
    <hyperlink ref="D72" r:id="rId259" display="https://www.linkedin.com/learning/learning-program-management?trk=ondemandfile" xr:uid="{00000000-0004-0000-1C00-000002010000}"/>
    <hyperlink ref="D73" r:id="rId260" display="https://www.linkedin.com/learning/project-management-foundations-budgets-2019?trk=ondemandfile" xr:uid="{00000000-0004-0000-1C00-000003010000}"/>
    <hyperlink ref="D74" r:id="rId261" display="https://www.linkedin.com/learning/project-management-foundations-procurement-2?trk=ondemandfile" xr:uid="{00000000-0004-0000-1C00-000004010000}"/>
    <hyperlink ref="D75" r:id="rId262" display="https://www.linkedin.com/learning/project-management-foundations-risk-2018?trk=ondemandfile" xr:uid="{00000000-0004-0000-1C00-000005010000}"/>
    <hyperlink ref="D76" r:id="rId263" display="https://www.linkedin.com/learning/the-top-pmo-challenges?trk=ondemandfile" xr:uid="{00000000-0004-0000-1C00-000006010000}"/>
    <hyperlink ref="D77" r:id="rId264" display="https://www.linkedin.com/learning/managing-projects-with-microsoft-teams?trk=ondemandfile" xr:uid="{00000000-0004-0000-1C00-000007010000}"/>
    <hyperlink ref="D78" r:id="rId265" display="https://www.linkedin.com/learning/trello-for-agile-teams?trk=ondemandfile" xr:uid="{00000000-0004-0000-1C00-000008010000}"/>
    <hyperlink ref="D79" r:id="rId266" display="https://www.linkedin.com/learning/jira-basic-administration?trk=ondemandfile" xr:uid="{00000000-0004-0000-1C00-000009010000}"/>
    <hyperlink ref="D80" r:id="rId267" display="https://www.linkedin.com/learning/artificial-intelligence-how-project-managers-can-leverage-ai?trk=ondemandfile" xr:uid="{00000000-0004-0000-1C00-00000A010000}"/>
    <hyperlink ref="D81" r:id="rId268" display="https://www.linkedin.com/learning/how-to-fix-bad-agile?trk=ondemandfile" xr:uid="{00000000-0004-0000-1C00-00000B010000}"/>
    <hyperlink ref="D82" r:id="rId269" display="https://www.linkedin.com/learning/agile-rebranding?trk=ondemandfile" xr:uid="{00000000-0004-0000-1C00-00000C010000}"/>
    <hyperlink ref="D83" r:id="rId270" display="https://www.linkedin.com/learning/what-is-disciplined-agile?trk=ondemandfile" xr:uid="{00000000-0004-0000-1C00-00000D010000}"/>
    <hyperlink ref="D84" r:id="rId271" display="https://www.linkedin.com/learning/advanced-basecamp?trk=ondemandfile" xr:uid="{00000000-0004-0000-1C00-00000E010000}"/>
    <hyperlink ref="D85" r:id="rId272" display="https://www.linkedin.com/learning/tailoring-project-delivery?trk=ondemandfile" xr:uid="{00000000-0004-0000-1C00-00000F010000}"/>
    <hyperlink ref="D86" r:id="rId273" display="https://www.linkedin.com/learning/hybrid-project-management-do-what-works?trk=ondemandfile" xr:uid="{00000000-0004-0000-1C00-000010010000}"/>
    <hyperlink ref="D87" r:id="rId274" display="https://www.linkedin.com/learning/agile-project-management-with-microsoft-project-2021?trk=ondemandfile" xr:uid="{00000000-0004-0000-1C00-000011010000}"/>
    <hyperlink ref="D88" r:id="rId275" display="https://www.linkedin.com/learning/project-management-technical-projects-2021?trk=ondemandfile" xr:uid="{00000000-0004-0000-1C00-000012010000}"/>
    <hyperlink ref="D89" r:id="rId276" display="https://www.linkedin.com/learning/how-to-manage-lean-six-sigma-projects-part-i?trk=ondemandfile" xr:uid="{00000000-0004-0000-1C00-000013010000}"/>
    <hyperlink ref="D90" r:id="rId277" display="https://www.linkedin.com/learning/project-resource-management?trk=ondemandfile" xr:uid="{00000000-0004-0000-1C00-000014010000}"/>
    <hyperlink ref="D91" r:id="rId278" display="https://www.linkedin.com/learning/tailoring-project-delivery?trk=ondemandfile" xr:uid="{00000000-0004-0000-1C00-000015010000}"/>
    <hyperlink ref="D92" r:id="rId279" display="https://www.linkedin.com/learning/advanced-agile-the-team-s-mindset?trk=ondemandfile" xr:uid="{00000000-0004-0000-1C00-000016010000}"/>
    <hyperlink ref="D93" r:id="rId280" display="https://www.linkedin.com/learning/how-to-manage-lean-six-sigma-projects-part-ii?trk=ondemandfile" xr:uid="{00000000-0004-0000-1C00-00001701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Click and enter a value from range 'Competency Titles'!A1:A27" xr:uid="{00000000-0002-0000-1C00-000000000000}">
          <x14:formula1>
            <xm:f>#REF!</xm:f>
          </x14:formula1>
          <xm:sqref>B1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8E7CC3"/>
    <outlinePr summaryBelow="0" summaryRight="0"/>
  </sheetPr>
  <dimension ref="A1:AJ105"/>
  <sheetViews>
    <sheetView showGridLines="0" workbookViewId="0">
      <pane ySplit="3" topLeftCell="A4" activePane="bottomLeft" state="frozen"/>
      <selection pane="bottomLeft" sqref="A1:XFD1048576"/>
    </sheetView>
  </sheetViews>
  <sheetFormatPr baseColWidth="10" defaultColWidth="11.1640625" defaultRowHeight="15" customHeight="1"/>
  <cols>
    <col min="1" max="1" width="1.1640625" customWidth="1"/>
    <col min="2" max="2" width="11.1640625" customWidth="1"/>
    <col min="3" max="3" width="18.5" customWidth="1"/>
    <col min="4" max="5" width="44.5" customWidth="1"/>
    <col min="6" max="6" width="1.1640625" customWidth="1"/>
    <col min="7" max="7" width="11.1640625" customWidth="1"/>
    <col min="8" max="8" width="19.33203125" customWidth="1"/>
    <col min="9" max="10" width="44.5" customWidth="1"/>
    <col min="11" max="11" width="1.1640625" customWidth="1"/>
    <col min="12" max="12" width="11.1640625" customWidth="1"/>
    <col min="13" max="13" width="20.83203125" customWidth="1"/>
    <col min="14" max="15" width="44.5" customWidth="1"/>
    <col min="16" max="16" width="1.1640625" customWidth="1"/>
    <col min="17" max="17" width="11.1640625" customWidth="1"/>
    <col min="18" max="18" width="19.6640625" customWidth="1"/>
    <col min="19" max="20" width="44.5" customWidth="1"/>
    <col min="21" max="21" width="1.1640625" customWidth="1"/>
    <col min="23" max="23" width="18.6640625" customWidth="1"/>
    <col min="24" max="25" width="44.5" customWidth="1"/>
    <col min="26" max="26" width="1.1640625" customWidth="1"/>
    <col min="27" max="27" width="11.1640625" customWidth="1"/>
    <col min="28" max="28" width="26.6640625" customWidth="1"/>
    <col min="29" max="30" width="44.5" customWidth="1"/>
    <col min="31" max="31" width="1.1640625" customWidth="1"/>
    <col min="32" max="32" width="11.1640625" customWidth="1"/>
    <col min="33" max="33" width="21" customWidth="1"/>
    <col min="34" max="35" width="44.5" customWidth="1"/>
    <col min="36" max="36" width="1.1640625" customWidth="1"/>
  </cols>
  <sheetData>
    <row r="1" spans="1:36" ht="34.5" customHeight="1">
      <c r="A1" s="208"/>
      <c r="B1" s="230" t="s">
        <v>19</v>
      </c>
      <c r="C1" s="222"/>
      <c r="D1" s="222"/>
      <c r="E1" s="222"/>
      <c r="F1" s="208"/>
      <c r="G1" s="230" t="str">
        <f ca="1">IFERROR(__xludf.DUMMYFUNCTION("IFERROR(UNIQUE(FILTER(French!B:B,French!A:A=B1)))"),"Ventes")</f>
        <v>Ventes</v>
      </c>
      <c r="H1" s="222"/>
      <c r="I1" s="222"/>
      <c r="J1" s="222"/>
      <c r="K1" s="208"/>
      <c r="L1" s="230" t="str">
        <f ca="1">IFERROR(__xludf.DUMMYFUNCTION("IFERROR((UNIQUE(FILTER(Spanish!B:B,Spanish!A:A=B1))))"),"Conocimientos y habilidades de ventas")</f>
        <v>Conocimientos y habilidades de ventas</v>
      </c>
      <c r="M1" s="222"/>
      <c r="N1" s="222"/>
      <c r="O1" s="222"/>
      <c r="P1" s="208"/>
      <c r="Q1" s="230" t="str">
        <f ca="1">IFERROR(__xludf.DUMMYFUNCTION("IFERROR(UNIQUE(FILTER(German!B:B,German!A:A=B1)))"),"Fähigkeiten in Vertrieb und Verkauf")</f>
        <v>Fähigkeiten in Vertrieb und Verkauf</v>
      </c>
      <c r="R1" s="222"/>
      <c r="S1" s="222"/>
      <c r="T1" s="222"/>
      <c r="U1" s="208"/>
      <c r="V1" s="230" t="str">
        <f ca="1">IFERROR(__xludf.DUMMYFUNCTION("IFERROR(UNIQUE(FILTER(Japanese!B:B,Japanese!A:A=B1)))"),"セールスの知識とスキル")</f>
        <v>セールスの知識とスキル</v>
      </c>
      <c r="W1" s="222"/>
      <c r="X1" s="222"/>
      <c r="Y1" s="222"/>
      <c r="Z1" s="208"/>
      <c r="AA1" s="230" t="str">
        <f ca="1">IFERROR(__xludf.DUMMYFUNCTION("IFERROR(UNIQUE(FILTER(Portuguese!B:B,Portuguese!A:A=B1)))"),"Conhecimento e competências de vendas")</f>
        <v>Conhecimento e competências de vendas</v>
      </c>
      <c r="AB1" s="222"/>
      <c r="AC1" s="222"/>
      <c r="AD1" s="222"/>
      <c r="AE1" s="208"/>
      <c r="AF1" s="230" t="str">
        <f ca="1">IFERROR(__xludf.DUMMYFUNCTION("IFERROR(UNIQUE(FILTER(Mandarin!B:B,Mandarin!A:A=B1)))"),"销售知识及技巧")</f>
        <v>销售知识及技巧</v>
      </c>
      <c r="AG1" s="222"/>
      <c r="AH1" s="222"/>
      <c r="AI1" s="222"/>
      <c r="AJ1" s="208"/>
    </row>
    <row r="2" spans="1:36" ht="28" customHeight="1">
      <c r="A2" s="209"/>
      <c r="B2" s="234" t="s">
        <v>4713</v>
      </c>
      <c r="C2" s="222"/>
      <c r="D2" s="222"/>
      <c r="E2" s="222"/>
      <c r="F2" s="209"/>
      <c r="G2" s="231" t="s">
        <v>4714</v>
      </c>
      <c r="H2" s="222"/>
      <c r="I2" s="222"/>
      <c r="J2" s="222"/>
      <c r="K2" s="209"/>
      <c r="L2" s="235" t="s">
        <v>4715</v>
      </c>
      <c r="M2" s="222"/>
      <c r="N2" s="222"/>
      <c r="O2" s="222"/>
      <c r="P2" s="209"/>
      <c r="Q2" s="232" t="s">
        <v>4716</v>
      </c>
      <c r="R2" s="222"/>
      <c r="S2" s="222"/>
      <c r="T2" s="222"/>
      <c r="U2" s="209"/>
      <c r="V2" s="236" t="s">
        <v>4717</v>
      </c>
      <c r="W2" s="222"/>
      <c r="X2" s="222"/>
      <c r="Y2" s="222"/>
      <c r="Z2" s="209"/>
      <c r="AA2" s="233" t="s">
        <v>4718</v>
      </c>
      <c r="AB2" s="222"/>
      <c r="AC2" s="222"/>
      <c r="AD2" s="222"/>
      <c r="AE2" s="209"/>
      <c r="AF2" s="237" t="s">
        <v>4719</v>
      </c>
      <c r="AG2" s="222"/>
      <c r="AH2" s="222"/>
      <c r="AI2" s="222"/>
      <c r="AJ2" s="209"/>
    </row>
    <row r="3" spans="1:36" ht="26" customHeight="1">
      <c r="A3" s="210"/>
      <c r="B3" s="211" t="str">
        <f ca="1">IFERROR(__xludf.DUMMYFUNCTION("FILTER(English!B:B,English!A:A=B1)"),"Course IDs")</f>
        <v>Course IDs</v>
      </c>
      <c r="C3" s="211" t="str">
        <f ca="1">IFERROR(__xludf.DUMMYFUNCTION("FILTER(English!C:C,English!A:A=B1)"),"Levels")</f>
        <v>Levels</v>
      </c>
      <c r="D3" s="211" t="str">
        <f ca="1">IFERROR(__xludf.DUMMYFUNCTION("FILTER(English!D:D,English!A:A=B1)"),"Courses")</f>
        <v>Courses</v>
      </c>
      <c r="E3" s="212" t="str">
        <f ca="1">IFERROR(__xludf.DUMMYFUNCTION("FILTER(English!E:E,English!A:A=B1)"),"Learning Paths")</f>
        <v>Learning Paths</v>
      </c>
      <c r="F3" s="210"/>
      <c r="G3" s="211" t="str">
        <f ca="1">IFERROR(__xludf.DUMMYFUNCTION("FILTER(French!C:C,French!B:B=G1)"),"Course IDs")</f>
        <v>Course IDs</v>
      </c>
      <c r="H3" s="211" t="str">
        <f ca="1">IFERROR(__xludf.DUMMYFUNCTION("FILTER(French!D:D,French!B:B=G1)"),"Levels")</f>
        <v>Levels</v>
      </c>
      <c r="I3" s="211" t="str">
        <f ca="1">IFERROR(__xludf.DUMMYFUNCTION("FILTER(French!E:E,French!B:B=G1)"),"Courses")</f>
        <v>Courses</v>
      </c>
      <c r="J3" s="212" t="str">
        <f ca="1">IFERROR(__xludf.DUMMYFUNCTION("FILTER(French!G:G,French!B:B=G1)"),"Learning Paths")</f>
        <v>Learning Paths</v>
      </c>
      <c r="K3" s="210"/>
      <c r="L3" s="211" t="str">
        <f ca="1">IFERROR(__xludf.DUMMYFUNCTION("FILTER(Spanish!C:C,Spanish!B:B=L1)"),"Course IDs")</f>
        <v>Course IDs</v>
      </c>
      <c r="M3" s="211" t="str">
        <f ca="1">IFERROR(__xludf.DUMMYFUNCTION("FILTER(Spanish!D:D,Spanish!B:B=L1)"),"Levels")</f>
        <v>Levels</v>
      </c>
      <c r="N3" s="211" t="str">
        <f ca="1">IFERROR(__xludf.DUMMYFUNCTION("FILTER(Spanish!E:E,Spanish!B:B=L1)"),"Courses")</f>
        <v>Courses</v>
      </c>
      <c r="O3" s="212" t="str">
        <f ca="1">IFERROR(__xludf.DUMMYFUNCTION("FILTER(Spanish!G:G,Spanish!B:B=L1)"),"Learning Paths")</f>
        <v>Learning Paths</v>
      </c>
      <c r="P3" s="210"/>
      <c r="Q3" s="211" t="str">
        <f ca="1">IFERROR(__xludf.DUMMYFUNCTION("FILTER(German!C:C,German!B:B=Q1)"),"Course IDs")</f>
        <v>Course IDs</v>
      </c>
      <c r="R3" s="211" t="str">
        <f ca="1">IFERROR(__xludf.DUMMYFUNCTION("FILTER(German!D:D,German!B:B=Q1)"),"Levels")</f>
        <v>Levels</v>
      </c>
      <c r="S3" s="211" t="str">
        <f ca="1">IFERROR(__xludf.DUMMYFUNCTION("FILTER(German!E:E,German!B:B=Q1)"),"Courses")</f>
        <v>Courses</v>
      </c>
      <c r="T3" s="212" t="str">
        <f ca="1">IFERROR(__xludf.DUMMYFUNCTION("FILTER(German!G:G,German!B:B=Q1)"),"Learning Paths")</f>
        <v>Learning Paths</v>
      </c>
      <c r="U3" s="210"/>
      <c r="V3" s="211" t="str">
        <f ca="1">IFERROR(__xludf.DUMMYFUNCTION("FILTER(Japanese!C:C,Japanese!B:B=V1)"),"Course IDs")</f>
        <v>Course IDs</v>
      </c>
      <c r="W3" s="211" t="str">
        <f ca="1">IFERROR(__xludf.DUMMYFUNCTION("FILTER(Japanese!D:D,Japanese!B:B=V1)"),"Levels")</f>
        <v>Levels</v>
      </c>
      <c r="X3" s="211" t="str">
        <f ca="1">IFERROR(__xludf.DUMMYFUNCTION("FILTER(Japanese!E:E,Japanese!B:B=V1)"),"Courses")</f>
        <v>Courses</v>
      </c>
      <c r="Y3" s="212" t="str">
        <f ca="1">IFERROR(__xludf.DUMMYFUNCTION("FILTER(Japanese!G:G,Japanese!B:B=V1)"),"Learning Paths")</f>
        <v>Learning Paths</v>
      </c>
      <c r="Z3" s="210"/>
      <c r="AA3" s="211" t="str">
        <f ca="1">IFERROR(__xludf.DUMMYFUNCTION("FILTER(Portuguese!C:C,Portuguese!B:B=AA1)"),"Course IDs")</f>
        <v>Course IDs</v>
      </c>
      <c r="AB3" s="211" t="str">
        <f ca="1">IFERROR(__xludf.DUMMYFUNCTION("FILTER(Portuguese!D:D,Portuguese!B:B=AA1)"),"Levels")</f>
        <v>Levels</v>
      </c>
      <c r="AC3" s="211" t="str">
        <f ca="1">IFERROR(__xludf.DUMMYFUNCTION("FILTER(Portuguese!E:E,Portuguese!B:B=AA1)"),"Courses")</f>
        <v>Courses</v>
      </c>
      <c r="AD3" s="212" t="str">
        <f ca="1">IFERROR(__xludf.DUMMYFUNCTION("FILTER(Portuguese!G:G,Portuguese!B:B=AA1)"),"Learning Paths")</f>
        <v>Learning Paths</v>
      </c>
      <c r="AE3" s="210"/>
      <c r="AF3" s="211" t="str">
        <f ca="1">IFERROR(__xludf.DUMMYFUNCTION("FILTER(Mandarin!C:C,Mandarin!B:B=AF1)"),"Course IDs")</f>
        <v>Course IDs</v>
      </c>
      <c r="AG3" s="211" t="str">
        <f ca="1">IFERROR(__xludf.DUMMYFUNCTION("FILTER(Mandarin!D:D,Mandarin!B:B=AF1)"),"Levels")</f>
        <v>Levels</v>
      </c>
      <c r="AH3" s="211" t="str">
        <f ca="1">IFERROR(__xludf.DUMMYFUNCTION("FILTER(Mandarin!E:E,Mandarin!B:B=AF1)"),"Courses")</f>
        <v>Courses</v>
      </c>
      <c r="AI3" s="212" t="str">
        <f ca="1">IFERROR(__xludf.DUMMYFUNCTION("FILTER(Mandarin!G:G,Mandarin!B:B=AF1)"),"Learning Paths")</f>
        <v>Learning Paths</v>
      </c>
      <c r="AJ3" s="210"/>
    </row>
    <row r="4" spans="1:36" ht="33.75" customHeight="1">
      <c r="A4" s="213"/>
      <c r="B4" s="214">
        <f ca="1">IFERROR(__xludf.DUMMYFUNCTION("""COMPUTED_VALUE"""),740417)</f>
        <v>740417</v>
      </c>
      <c r="C4" s="215" t="str">
        <f ca="1">IFERROR(__xludf.DUMMYFUNCTION("""COMPUTED_VALUE"""),"Beginner")</f>
        <v>Beginner</v>
      </c>
      <c r="D4" s="216" t="str">
        <f ca="1">IFERROR(__xludf.DUMMYFUNCTION("""COMPUTED_VALUE"""),"CMO Foundations: Measuring Marketing Effectiveness (ROI)")</f>
        <v>CMO Foundations: Measuring Marketing Effectiveness (ROI)</v>
      </c>
      <c r="E4" s="217" t="str">
        <f ca="1">IFERROR(__xludf.DUMMYFUNCTION("""COMPUTED_VALUE"""),"Become a Sales Manager")</f>
        <v>Become a Sales Manager</v>
      </c>
      <c r="F4" s="213"/>
      <c r="G4" s="214">
        <f ca="1">IFERROR(__xludf.DUMMYFUNCTION("""COMPUTED_VALUE"""),2456030)</f>
        <v>2456030</v>
      </c>
      <c r="H4" s="215" t="str">
        <f ca="1">IFERROR(__xludf.DUMMYFUNCTION("""COMPUTED_VALUE"""),"Intermediate")</f>
        <v>Intermediate</v>
      </c>
      <c r="I4" s="217" t="str">
        <f ca="1">IFERROR(__xludf.DUMMYFUNCTION("""COMPUTED_VALUE"""),"3 conseils pour avoir le bon état d’esprit lors d'une vente")</f>
        <v>3 conseils pour avoir le bon état d’esprit lors d'une vente</v>
      </c>
      <c r="J4" s="217" t="str">
        <f ca="1">IFERROR(__xludf.DUMMYFUNCTION("""COMPUTED_VALUE"""),"Devenir un représentant commercial")</f>
        <v>Devenir un représentant commercial</v>
      </c>
      <c r="K4" s="213"/>
      <c r="L4" s="215">
        <f ca="1">IFERROR(__xludf.DUMMYFUNCTION("""COMPUTED_VALUE"""),2923085)</f>
        <v>2923085</v>
      </c>
      <c r="M4" s="215" t="str">
        <f ca="1">IFERROR(__xludf.DUMMYFUNCTION("""COMPUTED_VALUE"""),"Beginner, Intermediate")</f>
        <v>Beginner, Intermediate</v>
      </c>
      <c r="N4" s="217" t="str">
        <f ca="1">IFERROR(__xludf.DUMMYFUNCTION("""COMPUTED_VALUE"""),"Aprende Microsoft Dynamics 365 Finance")</f>
        <v>Aprende Microsoft Dynamics 365 Finance</v>
      </c>
      <c r="O4" s="217" t="str">
        <f ca="1">IFERROR(__xludf.DUMMYFUNCTION("""COMPUTED_VALUE"""),"Aplica LinkedIn en tus ventas")</f>
        <v>Aplica LinkedIn en tus ventas</v>
      </c>
      <c r="P4" s="213"/>
      <c r="Q4" s="215">
        <f ca="1">IFERROR(__xludf.DUMMYFUNCTION("""COMPUTED_VALUE"""),2825415)</f>
        <v>2825415</v>
      </c>
      <c r="R4" s="215" t="str">
        <f ca="1">IFERROR(__xludf.DUMMYFUNCTION("""COMPUTED_VALUE"""),"Intermediate")</f>
        <v>Intermediate</v>
      </c>
      <c r="S4" s="217" t="str">
        <f ca="1">IFERROR(__xludf.DUMMYFUNCTION("""COMPUTED_VALUE"""),"Als Kundenservice-Manager:in die Erwartung der Kundschaft steuern")</f>
        <v>Als Kundenservice-Manager:in die Erwartung der Kundschaft steuern</v>
      </c>
      <c r="T4" s="217" t="str">
        <f ca="1">IFERROR(__xludf.DUMMYFUNCTION("""COMPUTED_VALUE"""),"Verkäufer:in werden")</f>
        <v>Verkäufer:in werden</v>
      </c>
      <c r="U4" s="213"/>
      <c r="V4" s="215">
        <f ca="1">IFERROR(__xludf.DUMMYFUNCTION("""COMPUTED_VALUE"""),2404543)</f>
        <v>2404543</v>
      </c>
      <c r="W4" s="215" t="str">
        <f ca="1">IFERROR(__xludf.DUMMYFUNCTION("""COMPUTED_VALUE"""),"Intermediate")</f>
        <v>Intermediate</v>
      </c>
      <c r="X4" s="217" t="str">
        <f ca="1">IFERROR(__xludf.DUMMYFUNCTION("""COMPUTED_VALUE"""),"ソリューション営業の極意")</f>
        <v>ソリューション営業の極意</v>
      </c>
      <c r="Y4" s="217" t="str">
        <f ca="1">IFERROR(__xludf.DUMMYFUNCTION("""COMPUTED_VALUE"""),"N/A")</f>
        <v>N/A</v>
      </c>
      <c r="Z4" s="213"/>
      <c r="AA4" s="215">
        <f ca="1">IFERROR(__xludf.DUMMYFUNCTION("""COMPUTED_VALUE"""),5013631)</f>
        <v>5013631</v>
      </c>
      <c r="AB4" s="215" t="str">
        <f ca="1">IFERROR(__xludf.DUMMYFUNCTION("""COMPUTED_VALUE"""),"Intermediate")</f>
        <v>Intermediate</v>
      </c>
      <c r="AC4" s="217" t="str">
        <f ca="1">IFERROR(__xludf.DUMMYFUNCTION("""COMPUTED_VALUE"""),"A Ciência das Vendas")</f>
        <v>A Ciência das Vendas</v>
      </c>
      <c r="AD4" s="217" t="str">
        <f ca="1">IFERROR(__xludf.DUMMYFUNCTION("""COMPUTED_VALUE"""),"Torne-se um Profissional de Vendas")</f>
        <v>Torne-se um Profissional de Vendas</v>
      </c>
      <c r="AE4" s="213"/>
      <c r="AF4" s="215">
        <f ca="1">IFERROR(__xludf.DUMMYFUNCTION("""COMPUTED_VALUE"""),2825352)</f>
        <v>2825352</v>
      </c>
      <c r="AG4" s="215" t="str">
        <f ca="1">IFERROR(__xludf.DUMMYFUNCTION("""COMPUTED_VALUE"""),"Intermediate")</f>
        <v>Intermediate</v>
      </c>
      <c r="AH4" s="217" t="str">
        <f ca="1">IFERROR(__xludf.DUMMYFUNCTION("""COMPUTED_VALUE"""),"大客户管理")</f>
        <v>大客户管理</v>
      </c>
      <c r="AI4" s="217" t="str">
        <f ca="1">IFERROR(__xludf.DUMMYFUNCTION("""COMPUTED_VALUE"""),"成为销售专员")</f>
        <v>成为销售专员</v>
      </c>
      <c r="AJ4" s="213"/>
    </row>
    <row r="5" spans="1:36" ht="30">
      <c r="A5" s="213"/>
      <c r="B5" s="214">
        <f ca="1">IFERROR(__xludf.DUMMYFUNCTION("""COMPUTED_VALUE"""),2825603)</f>
        <v>2825603</v>
      </c>
      <c r="C5" s="215" t="str">
        <f ca="1">IFERROR(__xludf.DUMMYFUNCTION("""COMPUTED_VALUE"""),"Beginner")</f>
        <v>Beginner</v>
      </c>
      <c r="D5" s="216" t="str">
        <f ca="1">IFERROR(__xludf.DUMMYFUNCTION("""COMPUTED_VALUE"""),"Business Fundamentals for Customer Success Managers")</f>
        <v>Business Fundamentals for Customer Success Managers</v>
      </c>
      <c r="E5" s="217" t="str">
        <f ca="1">IFERROR(__xludf.DUMMYFUNCTION("""COMPUTED_VALUE"""),"Become a Sales Representative")</f>
        <v>Become a Sales Representative</v>
      </c>
      <c r="F5" s="213"/>
      <c r="G5" s="214">
        <f ca="1">IFERROR(__xludf.DUMMYFUNCTION("""COMPUTED_VALUE"""),2822360)</f>
        <v>2822360</v>
      </c>
      <c r="H5" s="215" t="str">
        <f ca="1">IFERROR(__xludf.DUMMYFUNCTION("""COMPUTED_VALUE"""),"Beginner")</f>
        <v>Beginner</v>
      </c>
      <c r="I5" s="217" t="str">
        <f ca="1">IFERROR(__xludf.DUMMYFUNCTION("""COMPUTED_VALUE"""),"Annoncer une mauvaise nouvelle à un client / une cliente")</f>
        <v>Annoncer une mauvaise nouvelle à un client / une cliente</v>
      </c>
      <c r="J5" s="217" t="str">
        <f ca="1">IFERROR(__xludf.DUMMYFUNCTION("""COMPUTED_VALUE"""),"Devenir un directeur des ventes")</f>
        <v>Devenir un directeur des ventes</v>
      </c>
      <c r="K5" s="213"/>
      <c r="L5" s="215">
        <f ca="1">IFERROR(__xludf.DUMMYFUNCTION("""COMPUTED_VALUE"""),2819193)</f>
        <v>2819193</v>
      </c>
      <c r="M5" s="215" t="str">
        <f ca="1">IFERROR(__xludf.DUMMYFUNCTION("""COMPUTED_VALUE"""),"Intermediate")</f>
        <v>Intermediate</v>
      </c>
      <c r="N5" s="217" t="str">
        <f ca="1">IFERROR(__xludf.DUMMYFUNCTION("""COMPUTED_VALUE"""),"Cómo construir la lealtad del cliente")</f>
        <v>Cómo construir la lealtad del cliente</v>
      </c>
      <c r="O5" s="217" t="str">
        <f ca="1">IFERROR(__xludf.DUMMYFUNCTION("""COMPUTED_VALUE"""),"Destaca en ventas")</f>
        <v>Destaca en ventas</v>
      </c>
      <c r="P5" s="213"/>
      <c r="Q5" s="215">
        <f ca="1">IFERROR(__xludf.DUMMYFUNCTION("""COMPUTED_VALUE"""),2823328)</f>
        <v>2823328</v>
      </c>
      <c r="R5" s="215" t="str">
        <f ca="1">IFERROR(__xludf.DUMMYFUNCTION("""COMPUTED_VALUE"""),"All levels")</f>
        <v>All levels</v>
      </c>
      <c r="S5" s="217" t="str">
        <f ca="1">IFERROR(__xludf.DUMMYFUNCTION("""COMPUTED_VALUE"""),"Als Kundenservice-Mitarbeiter:in die Erwartung der Kundschaft steuern")</f>
        <v>Als Kundenservice-Mitarbeiter:in die Erwartung der Kundschaft steuern</v>
      </c>
      <c r="T5" s="217" t="str">
        <f ca="1">IFERROR(__xludf.DUMMYFUNCTION("""COMPUTED_VALUE"""),"Rechtssicher handeln im E-Commerce")</f>
        <v>Rechtssicher handeln im E-Commerce</v>
      </c>
      <c r="U5" s="213"/>
      <c r="V5" s="215">
        <f ca="1">IFERROR(__xludf.DUMMYFUNCTION("""COMPUTED_VALUE"""),643735)</f>
        <v>643735</v>
      </c>
      <c r="W5" s="215" t="str">
        <f ca="1">IFERROR(__xludf.DUMMYFUNCTION("""COMPUTED_VALUE"""),"All levels")</f>
        <v>All levels</v>
      </c>
      <c r="X5" s="217" t="str">
        <f ca="1">IFERROR(__xludf.DUMMYFUNCTION("""COMPUTED_VALUE"""),"人を動かすには")</f>
        <v>人を動かすには</v>
      </c>
      <c r="Y5" s="217"/>
      <c r="Z5" s="213"/>
      <c r="AA5" s="215">
        <f ca="1">IFERROR(__xludf.DUMMYFUNCTION("""COMPUTED_VALUE"""),2928598)</f>
        <v>2928598</v>
      </c>
      <c r="AB5" s="215" t="str">
        <f ca="1">IFERROR(__xludf.DUMMYFUNCTION("""COMPUTED_VALUE"""),"Beginner, Intermediate")</f>
        <v>Beginner, Intermediate</v>
      </c>
      <c r="AC5" s="217" t="str">
        <f ca="1">IFERROR(__xludf.DUMMYFUNCTION("""COMPUTED_VALUE"""),"Atendimento ao Cliente: Técnicas de Resolução de Problemas e Conflitos")</f>
        <v>Atendimento ao Cliente: Técnicas de Resolução de Problemas e Conflitos</v>
      </c>
      <c r="AD5" s="217"/>
      <c r="AE5" s="213"/>
      <c r="AF5" s="215">
        <f ca="1">IFERROR(__xludf.DUMMYFUNCTION("""COMPUTED_VALUE"""),730570)</f>
        <v>730570</v>
      </c>
      <c r="AG5" s="215" t="str">
        <f ca="1">IFERROR(__xludf.DUMMYFUNCTION("""COMPUTED_VALUE"""),"All levels")</f>
        <v>All levels</v>
      </c>
      <c r="AH5" s="217" t="str">
        <f ca="1">IFERROR(__xludf.DUMMYFUNCTION("""COMPUTED_VALUE"""),"影响他人")</f>
        <v>影响他人</v>
      </c>
      <c r="AI5" s="217"/>
      <c r="AJ5" s="213"/>
    </row>
    <row r="6" spans="1:36" ht="16">
      <c r="A6" s="213"/>
      <c r="B6" s="214">
        <f ca="1">IFERROR(__xludf.DUMMYFUNCTION("""COMPUTED_VALUE"""),693074)</f>
        <v>693074</v>
      </c>
      <c r="C6" s="215" t="str">
        <f ca="1">IFERROR(__xludf.DUMMYFUNCTION("""COMPUTED_VALUE"""),"Intermediate")</f>
        <v>Intermediate</v>
      </c>
      <c r="D6" s="216" t="str">
        <f ca="1">IFERROR(__xludf.DUMMYFUNCTION("""COMPUTED_VALUE"""),"Retail Sales Management")</f>
        <v>Retail Sales Management</v>
      </c>
      <c r="E6" s="217" t="str">
        <f ca="1">IFERROR(__xludf.DUMMYFUNCTION("""COMPUTED_VALUE"""),"Become a Retail Sales Associate")</f>
        <v>Become a Retail Sales Associate</v>
      </c>
      <c r="F6" s="213"/>
      <c r="G6" s="214">
        <f ca="1">IFERROR(__xludf.DUMMYFUNCTION("""COMPUTED_VALUE"""),2825465)</f>
        <v>2825465</v>
      </c>
      <c r="H6" s="215" t="str">
        <f ca="1">IFERROR(__xludf.DUMMYFUNCTION("""COMPUTED_VALUE"""),"All levels")</f>
        <v>All levels</v>
      </c>
      <c r="I6" s="217" t="str">
        <f ca="1">IFERROR(__xludf.DUMMYFUNCTION("""COMPUTED_VALUE"""),"Conduire une négociation")</f>
        <v>Conduire une négociation</v>
      </c>
      <c r="J6" s="217" t="str">
        <f ca="1">IFERROR(__xludf.DUMMYFUNCTION("""COMPUTED_VALUE"""),"Devenir un spécialiste du service client")</f>
        <v>Devenir un spécialiste du service client</v>
      </c>
      <c r="K6" s="213"/>
      <c r="L6" s="215">
        <f ca="1">IFERROR(__xludf.DUMMYFUNCTION("""COMPUTED_VALUE"""),425104)</f>
        <v>425104</v>
      </c>
      <c r="M6" s="215" t="str">
        <f ca="1">IFERROR(__xludf.DUMMYFUNCTION("""COMPUTED_VALUE"""),"All levels")</f>
        <v>All levels</v>
      </c>
      <c r="N6" s="217" t="str">
        <f ca="1">IFERROR(__xludf.DUMMYFUNCTION("""COMPUTED_VALUE"""),"Cómo desarrollar tu elevator pitch")</f>
        <v>Cómo desarrollar tu elevator pitch</v>
      </c>
      <c r="O6" s="217" t="str">
        <f ca="1">IFERROR(__xludf.DUMMYFUNCTION("""COMPUTED_VALUE"""),"Conviértete en vendedor")</f>
        <v>Conviértete en vendedor</v>
      </c>
      <c r="P6" s="213"/>
      <c r="Q6" s="215">
        <f ca="1">IFERROR(__xludf.DUMMYFUNCTION("""COMPUTED_VALUE"""),5025623)</f>
        <v>5025623</v>
      </c>
      <c r="R6" s="215" t="str">
        <f ca="1">IFERROR(__xludf.DUMMYFUNCTION("""COMPUTED_VALUE"""),"Intermediate")</f>
        <v>Intermediate</v>
      </c>
      <c r="S6" s="217" t="str">
        <f ca="1">IFERROR(__xludf.DUMMYFUNCTION("""COMPUTED_VALUE"""),"An Topmanager:innen verkaufen")</f>
        <v>An Topmanager:innen verkaufen</v>
      </c>
      <c r="T6" s="217"/>
      <c r="U6" s="213"/>
      <c r="V6" s="215">
        <f ca="1">IFERROR(__xludf.DUMMYFUNCTION("""COMPUTED_VALUE"""),2416690)</f>
        <v>2416690</v>
      </c>
      <c r="W6" s="215" t="str">
        <f ca="1">IFERROR(__xludf.DUMMYFUNCTION("""COMPUTED_VALUE"""),"Intermediate")</f>
        <v>Intermediate</v>
      </c>
      <c r="X6" s="217" t="str">
        <f ca="1">IFERROR(__xludf.DUMMYFUNCTION("""COMPUTED_VALUE"""),"営業で的確な質問をするには")</f>
        <v>営業で的確な質問をするには</v>
      </c>
      <c r="Y6" s="217"/>
      <c r="Z6" s="213"/>
      <c r="AA6" s="215">
        <f ca="1">IFERROR(__xludf.DUMMYFUNCTION("""COMPUTED_VALUE"""),2929565)</f>
        <v>2929565</v>
      </c>
      <c r="AB6" s="215" t="str">
        <f ca="1">IFERROR(__xludf.DUMMYFUNCTION("""COMPUTED_VALUE"""),"Beginner")</f>
        <v>Beginner</v>
      </c>
      <c r="AC6" s="217" t="str">
        <f ca="1">IFERROR(__xludf.DUMMYFUNCTION("""COMPUTED_VALUE"""),"Como Comunicar Más Notícias aos Clientes")</f>
        <v>Como Comunicar Más Notícias aos Clientes</v>
      </c>
      <c r="AD6" s="217"/>
      <c r="AE6" s="213"/>
      <c r="AF6" s="215">
        <f ca="1">IFERROR(__xludf.DUMMYFUNCTION("""COMPUTED_VALUE"""),5042385)</f>
        <v>5042385</v>
      </c>
      <c r="AG6" s="215" t="str">
        <f ca="1">IFERROR(__xludf.DUMMYFUNCTION("""COMPUTED_VALUE"""),"Intermediate")</f>
        <v>Intermediate</v>
      </c>
      <c r="AH6" s="217" t="str">
        <f ca="1">IFERROR(__xludf.DUMMYFUNCTION("""COMPUTED_VALUE"""),"成功销售的提问策略")</f>
        <v>成功销售的提问策略</v>
      </c>
      <c r="AI6" s="217"/>
      <c r="AJ6" s="213"/>
    </row>
    <row r="7" spans="1:36" ht="33.75" customHeight="1">
      <c r="A7" s="213"/>
      <c r="B7" s="214">
        <f ca="1">IFERROR(__xludf.DUMMYFUNCTION("""COMPUTED_VALUE"""),2887215)</f>
        <v>2887215</v>
      </c>
      <c r="C7" s="215" t="str">
        <f ca="1">IFERROR(__xludf.DUMMYFUNCTION("""COMPUTED_VALUE"""),"Intermediate")</f>
        <v>Intermediate</v>
      </c>
      <c r="D7" s="216" t="str">
        <f ca="1">IFERROR(__xludf.DUMMYFUNCTION("""COMPUTED_VALUE"""),"Sales Leadership: Building a Thriving Coaching Culture")</f>
        <v>Sales Leadership: Building a Thriving Coaching Culture</v>
      </c>
      <c r="E7" s="217" t="str">
        <f ca="1">IFERROR(__xludf.DUMMYFUNCTION("""COMPUTED_VALUE"""),"Build Your Skills in Customer Billing Support")</f>
        <v>Build Your Skills in Customer Billing Support</v>
      </c>
      <c r="F7" s="213"/>
      <c r="G7" s="214">
        <f ca="1">IFERROR(__xludf.DUMMYFUNCTION("""COMPUTED_VALUE"""),707942)</f>
        <v>707942</v>
      </c>
      <c r="H7" s="215" t="str">
        <f ca="1">IFERROR(__xludf.DUMMYFUNCTION("""COMPUTED_VALUE"""),"Beginner")</f>
        <v>Beginner</v>
      </c>
      <c r="I7" s="217" t="str">
        <f ca="1">IFERROR(__xludf.DUMMYFUNCTION("""COMPUTED_VALUE"""),"Découvrir le coaching de vente")</f>
        <v>Découvrir le coaching de vente</v>
      </c>
      <c r="J7" s="217"/>
      <c r="K7" s="213"/>
      <c r="L7" s="215">
        <f ca="1">IFERROR(__xludf.DUMMYFUNCTION("""COMPUTED_VALUE"""),561656)</f>
        <v>561656</v>
      </c>
      <c r="M7" s="215" t="str">
        <f ca="1">IFERROR(__xludf.DUMMYFUNCTION("""COMPUTED_VALUE"""),"All levels")</f>
        <v>All levels</v>
      </c>
      <c r="N7" s="217" t="str">
        <f ca="1">IFERROR(__xludf.DUMMYFUNCTION("""COMPUTED_VALUE"""),"Cómo ejercer tu influencia")</f>
        <v>Cómo ejercer tu influencia</v>
      </c>
      <c r="O7" s="217"/>
      <c r="P7" s="213"/>
      <c r="Q7" s="215">
        <f ca="1">IFERROR(__xludf.DUMMYFUNCTION("""COMPUTED_VALUE"""),703240)</f>
        <v>703240</v>
      </c>
      <c r="R7" s="215" t="str">
        <f ca="1">IFERROR(__xludf.DUMMYFUNCTION("""COMPUTED_VALUE"""),"Intermediate")</f>
        <v>Intermediate</v>
      </c>
      <c r="S7" s="217" t="str">
        <f ca="1">IFERROR(__xludf.DUMMYFUNCTION("""COMPUTED_VALUE"""),"Das Verkaufsgespräch")</f>
        <v>Das Verkaufsgespräch</v>
      </c>
      <c r="T7" s="217"/>
      <c r="U7" s="213"/>
      <c r="V7" s="215">
        <f ca="1">IFERROR(__xludf.DUMMYFUNCTION("""COMPUTED_VALUE"""),2849237)</f>
        <v>2849237</v>
      </c>
      <c r="W7" s="215" t="str">
        <f ca="1">IFERROR(__xludf.DUMMYFUNCTION("""COMPUTED_VALUE"""),"Beginner")</f>
        <v>Beginner</v>
      </c>
      <c r="X7" s="217" t="str">
        <f ca="1">IFERROR(__xludf.DUMMYFUNCTION("""COMPUTED_VALUE"""),"営業の基礎")</f>
        <v>営業の基礎</v>
      </c>
      <c r="Y7" s="217"/>
      <c r="Z7" s="213"/>
      <c r="AA7" s="215">
        <f ca="1">IFERROR(__xludf.DUMMYFUNCTION("""COMPUTED_VALUE"""),2903150)</f>
        <v>2903150</v>
      </c>
      <c r="AB7" s="215" t="str">
        <f ca="1">IFERROR(__xludf.DUMMYFUNCTION("""COMPUTED_VALUE"""),"Intermediate")</f>
        <v>Intermediate</v>
      </c>
      <c r="AC7" s="217" t="str">
        <f ca="1">IFERROR(__xludf.DUMMYFUNCTION("""COMPUTED_VALUE"""),"Como Estabelecer Padrões de Qualidade no Atendimento ao Cliente")</f>
        <v>Como Estabelecer Padrões de Qualidade no Atendimento ao Cliente</v>
      </c>
      <c r="AD7" s="217"/>
      <c r="AE7" s="213"/>
      <c r="AF7" s="215">
        <f ca="1">IFERROR(__xludf.DUMMYFUNCTION("""COMPUTED_VALUE"""),2821000)</f>
        <v>2821000</v>
      </c>
      <c r="AG7" s="215" t="str">
        <f ca="1">IFERROR(__xludf.DUMMYFUNCTION("""COMPUTED_VALUE"""),"Beginner, Intermediate")</f>
        <v>Beginner, Intermediate</v>
      </c>
      <c r="AH7" s="217" t="str">
        <f ca="1">IFERROR(__xludf.DUMMYFUNCTION("""COMPUTED_VALUE"""),"用故事销售 1：什么是好的销售故事？")</f>
        <v>用故事销售 1：什么是好的销售故事？</v>
      </c>
      <c r="AI7" s="217"/>
      <c r="AJ7" s="213"/>
    </row>
    <row r="8" spans="1:36" ht="33.75" customHeight="1">
      <c r="A8" s="213"/>
      <c r="B8" s="214">
        <f ca="1">IFERROR(__xludf.DUMMYFUNCTION("""COMPUTED_VALUE"""),2422520)</f>
        <v>2422520</v>
      </c>
      <c r="C8" s="215" t="str">
        <f ca="1">IFERROR(__xludf.DUMMYFUNCTION("""COMPUTED_VALUE"""),"Intermediate")</f>
        <v>Intermediate</v>
      </c>
      <c r="D8" s="216" t="str">
        <f ca="1">IFERROR(__xludf.DUMMYFUNCTION("""COMPUTED_VALUE"""),"Sales Coaching")</f>
        <v>Sales Coaching</v>
      </c>
      <c r="E8" s="217" t="str">
        <f ca="1">IFERROR(__xludf.DUMMYFUNCTION("""COMPUTED_VALUE"""),"Build Your Skills in Sales Development")</f>
        <v>Build Your Skills in Sales Development</v>
      </c>
      <c r="F8" s="213"/>
      <c r="G8" s="214">
        <f ca="1">IFERROR(__xludf.DUMMYFUNCTION("""COMPUTED_VALUE"""),3166463)</f>
        <v>3166463</v>
      </c>
      <c r="H8" s="215" t="str">
        <f ca="1">IFERROR(__xludf.DUMMYFUNCTION("""COMPUTED_VALUE"""),"All levels")</f>
        <v>All levels</v>
      </c>
      <c r="I8" s="217" t="str">
        <f ca="1">IFERROR(__xludf.DUMMYFUNCTION("""COMPUTED_VALUE"""),"Devenir une personne charismatique et influente")</f>
        <v>Devenir une personne charismatique et influente</v>
      </c>
      <c r="J8" s="217"/>
      <c r="K8" s="213"/>
      <c r="L8" s="215">
        <f ca="1">IFERROR(__xludf.DUMMYFUNCTION("""COMPUTED_VALUE"""),492590)</f>
        <v>492590</v>
      </c>
      <c r="M8" s="215" t="str">
        <f ca="1">IFERROR(__xludf.DUMMYFUNCTION("""COMPUTED_VALUE"""),"Intermediate")</f>
        <v>Intermediate</v>
      </c>
      <c r="N8" s="217" t="str">
        <f ca="1">IFERROR(__xludf.DUMMYFUNCTION("""COMPUTED_VALUE"""),"Cómo encontrar los mejores argumentos de venta")</f>
        <v>Cómo encontrar los mejores argumentos de venta</v>
      </c>
      <c r="O8" s="217"/>
      <c r="P8" s="213"/>
      <c r="Q8" s="215">
        <f ca="1">IFERROR(__xludf.DUMMYFUNCTION("""COMPUTED_VALUE"""),5025661)</f>
        <v>5025661</v>
      </c>
      <c r="R8" s="215" t="str">
        <f ca="1">IFERROR(__xludf.DUMMYFUNCTION("""COMPUTED_VALUE"""),"Intermediate")</f>
        <v>Intermediate</v>
      </c>
      <c r="S8" s="217" t="str">
        <f ca="1">IFERROR(__xludf.DUMMYFUNCTION("""COMPUTED_VALUE"""),"Die erfolgreiche Verkaufspräsentation")</f>
        <v>Die erfolgreiche Verkaufspräsentation</v>
      </c>
      <c r="T8" s="217"/>
      <c r="U8" s="213"/>
      <c r="V8" s="215">
        <f ca="1">IFERROR(__xludf.DUMMYFUNCTION("""COMPUTED_VALUE"""),2852008)</f>
        <v>2852008</v>
      </c>
      <c r="W8" s="215" t="str">
        <f ca="1">IFERROR(__xludf.DUMMYFUNCTION("""COMPUTED_VALUE"""),"Beginner, Intermediate")</f>
        <v>Beginner, Intermediate</v>
      </c>
      <c r="X8" s="217" t="str">
        <f ca="1">IFERROR(__xludf.DUMMYFUNCTION("""COMPUTED_VALUE"""),"営業職のためのストーリーテリング１：魅力的なセールストークとは")</f>
        <v>営業職のためのストーリーテリング１：魅力的なセールストークとは</v>
      </c>
      <c r="Y8" s="217"/>
      <c r="Z8" s="213"/>
      <c r="AA8" s="215">
        <f ca="1">IFERROR(__xludf.DUMMYFUNCTION("""COMPUTED_VALUE"""),801473)</f>
        <v>801473</v>
      </c>
      <c r="AB8" s="215" t="str">
        <f ca="1">IFERROR(__xludf.DUMMYFUNCTION("""COMPUTED_VALUE"""),"Intermediate")</f>
        <v>Intermediate</v>
      </c>
      <c r="AC8" s="217" t="str">
        <f ca="1">IFERROR(__xludf.DUMMYFUNCTION("""COMPUTED_VALUE"""),"Como Fazer Perguntas Poderosas para Vendas")</f>
        <v>Como Fazer Perguntas Poderosas para Vendas</v>
      </c>
      <c r="AD8" s="217"/>
      <c r="AE8" s="213"/>
      <c r="AF8" s="215">
        <f ca="1">IFERROR(__xludf.DUMMYFUNCTION("""COMPUTED_VALUE"""),2824425)</f>
        <v>2824425</v>
      </c>
      <c r="AG8" s="215" t="str">
        <f ca="1">IFERROR(__xludf.DUMMYFUNCTION("""COMPUTED_VALUE"""),"Intermediate")</f>
        <v>Intermediate</v>
      </c>
      <c r="AH8" s="217" t="str">
        <f ca="1">IFERROR(__xludf.DUMMYFUNCTION("""COMPUTED_VALUE"""),"用故事销售 2：优秀销售员都在讲的故事")</f>
        <v>用故事销售 2：优秀销售员都在讲的故事</v>
      </c>
      <c r="AI8" s="217"/>
      <c r="AJ8" s="213"/>
    </row>
    <row r="9" spans="1:36" ht="33.75" customHeight="1">
      <c r="A9" s="213"/>
      <c r="B9" s="214">
        <f ca="1">IFERROR(__xludf.DUMMYFUNCTION("""COMPUTED_VALUE"""),2424509)</f>
        <v>2424509</v>
      </c>
      <c r="C9" s="215" t="str">
        <f ca="1">IFERROR(__xludf.DUMMYFUNCTION("""COMPUTED_VALUE"""),"Advanced")</f>
        <v>Advanced</v>
      </c>
      <c r="D9" s="216" t="str">
        <f ca="1">IFERROR(__xludf.DUMMYFUNCTION("""COMPUTED_VALUE"""),"Inside Sales: Managing Sales Rep Personas")</f>
        <v>Inside Sales: Managing Sales Rep Personas</v>
      </c>
      <c r="E9" s="217" t="str">
        <f ca="1">IFERROR(__xludf.DUMMYFUNCTION("""COMPUTED_VALUE"""),"Create a Successful Pitch for Investors")</f>
        <v>Create a Successful Pitch for Investors</v>
      </c>
      <c r="F9" s="213"/>
      <c r="G9" s="214">
        <f ca="1">IFERROR(__xludf.DUMMYFUNCTION("""COMPUTED_VALUE"""),707938)</f>
        <v>707938</v>
      </c>
      <c r="H9" s="215" t="str">
        <f ca="1">IFERROR(__xludf.DUMMYFUNCTION("""COMPUTED_VALUE"""),"Intermediate")</f>
        <v>Intermediate</v>
      </c>
      <c r="I9" s="217" t="str">
        <f ca="1">IFERROR(__xludf.DUMMYFUNCTION("""COMPUTED_VALUE"""),"Évoluer de commercial / commerciale à responsable des ventes")</f>
        <v>Évoluer de commercial / commerciale à responsable des ventes</v>
      </c>
      <c r="J9" s="217"/>
      <c r="K9" s="213"/>
      <c r="L9" s="215">
        <f ca="1">IFERROR(__xludf.DUMMYFUNCTION("""COMPUTED_VALUE"""),2818133)</f>
        <v>2818133</v>
      </c>
      <c r="M9" s="215" t="str">
        <f ca="1">IFERROR(__xludf.DUMMYFUNCTION("""COMPUTED_VALUE"""),"Beginner")</f>
        <v>Beginner</v>
      </c>
      <c r="N9" s="217" t="str">
        <f ca="1">IFERROR(__xludf.DUMMYFUNCTION("""COMPUTED_VALUE"""),"Cómo escribir correos electrónicos de servicio al cliente")</f>
        <v>Cómo escribir correos electrónicos de servicio al cliente</v>
      </c>
      <c r="O9" s="217"/>
      <c r="P9" s="213"/>
      <c r="Q9" s="215">
        <f ca="1">IFERROR(__xludf.DUMMYFUNCTION("""COMPUTED_VALUE"""),490275)</f>
        <v>490275</v>
      </c>
      <c r="R9" s="215" t="str">
        <f ca="1">IFERROR(__xludf.DUMMYFUNCTION("""COMPUTED_VALUE"""),"All levels")</f>
        <v>All levels</v>
      </c>
      <c r="S9" s="217" t="str">
        <f ca="1">IFERROR(__xludf.DUMMYFUNCTION("""COMPUTED_VALUE"""),"Die Wissenschaft des Verkaufens")</f>
        <v>Die Wissenschaft des Verkaufens</v>
      </c>
      <c r="T9" s="217"/>
      <c r="U9" s="213"/>
      <c r="V9" s="215">
        <f ca="1">IFERROR(__xludf.DUMMYFUNCTION("""COMPUTED_VALUE"""),2848297)</f>
        <v>2848297</v>
      </c>
      <c r="W9" s="215" t="str">
        <f ca="1">IFERROR(__xludf.DUMMYFUNCTION("""COMPUTED_VALUE"""),"Intermediate")</f>
        <v>Intermediate</v>
      </c>
      <c r="X9" s="217" t="str">
        <f ca="1">IFERROR(__xludf.DUMMYFUNCTION("""COMPUTED_VALUE"""),"営業職のためのストーリーテリング２：優秀なセールスが語るストーリーとは")</f>
        <v>営業職のためのストーリーテリング２：優秀なセールスが語るストーリーとは</v>
      </c>
      <c r="Y9" s="217"/>
      <c r="Z9" s="213"/>
      <c r="AA9" s="215">
        <f ca="1">IFERROR(__xludf.DUMMYFUNCTION("""COMPUTED_VALUE"""),733879)</f>
        <v>733879</v>
      </c>
      <c r="AB9" s="215" t="str">
        <f ca="1">IFERROR(__xludf.DUMMYFUNCTION("""COMPUTED_VALUE"""),"All levels")</f>
        <v>All levels</v>
      </c>
      <c r="AC9" s="217" t="str">
        <f ca="1">IFERROR(__xludf.DUMMYFUNCTION("""COMPUTED_VALUE"""),"Como Influenciar as Pessoas")</f>
        <v>Como Influenciar as Pessoas</v>
      </c>
      <c r="AD9" s="217"/>
      <c r="AE9" s="213"/>
      <c r="AF9" s="215">
        <f ca="1">IFERROR(__xludf.DUMMYFUNCTION("""COMPUTED_VALUE"""),2802203)</f>
        <v>2802203</v>
      </c>
      <c r="AG9" s="215" t="str">
        <f ca="1">IFERROR(__xludf.DUMMYFUNCTION("""COMPUTED_VALUE"""),"Intermediate")</f>
        <v>Intermediate</v>
      </c>
      <c r="AH9" s="217" t="str">
        <f ca="1">IFERROR(__xludf.DUMMYFUNCTION("""COMPUTED_VALUE"""),"电话式客户服务")</f>
        <v>电话式客户服务</v>
      </c>
      <c r="AI9" s="217"/>
      <c r="AJ9" s="213"/>
    </row>
    <row r="10" spans="1:36" ht="33.75" customHeight="1">
      <c r="A10" s="213"/>
      <c r="B10" s="214">
        <f ca="1">IFERROR(__xludf.DUMMYFUNCTION("""COMPUTED_VALUE"""),2881016)</f>
        <v>2881016</v>
      </c>
      <c r="C10" s="215" t="str">
        <f ca="1">IFERROR(__xludf.DUMMYFUNCTION("""COMPUTED_VALUE"""),"Advanced")</f>
        <v>Advanced</v>
      </c>
      <c r="D10" s="216" t="str">
        <f ca="1">IFERROR(__xludf.DUMMYFUNCTION("""COMPUTED_VALUE"""),"The Neuroscience of Selling Remotely")</f>
        <v>The Neuroscience of Selling Remotely</v>
      </c>
      <c r="E10" s="217" t="str">
        <f ca="1">IFERROR(__xludf.DUMMYFUNCTION("""COMPUTED_VALUE"""),"Develop Your Customer Service Skills")</f>
        <v>Develop Your Customer Service Skills</v>
      </c>
      <c r="F10" s="213"/>
      <c r="G10" s="214">
        <f ca="1">IFERROR(__xludf.DUMMYFUNCTION("""COMPUTED_VALUE"""),582963)</f>
        <v>582963</v>
      </c>
      <c r="H10" s="215" t="str">
        <f ca="1">IFERROR(__xludf.DUMMYFUNCTION("""COMPUTED_VALUE"""),"Intermediate")</f>
        <v>Intermediate</v>
      </c>
      <c r="I10" s="217" t="str">
        <f ca="1">IFERROR(__xludf.DUMMYFUNCTION("""COMPUTED_VALUE"""),"Faire croître son chiffre d'affaires")</f>
        <v>Faire croître son chiffre d'affaires</v>
      </c>
      <c r="J10" s="217"/>
      <c r="K10" s="213"/>
      <c r="L10" s="215">
        <f ca="1">IFERROR(__xludf.DUMMYFUNCTION("""COMPUTED_VALUE"""),5025585)</f>
        <v>5025585</v>
      </c>
      <c r="M10" s="215" t="str">
        <f ca="1">IFERROR(__xludf.DUMMYFUNCTION("""COMPUTED_VALUE"""),"Advanced")</f>
        <v>Advanced</v>
      </c>
      <c r="N10" s="217" t="str">
        <f ca="1">IFERROR(__xludf.DUMMYFUNCTION("""COMPUTED_VALUE"""),"Cómo gestionar el enfado en la clientela")</f>
        <v>Cómo gestionar el enfado en la clientela</v>
      </c>
      <c r="O10" s="217"/>
      <c r="P10" s="213"/>
      <c r="Q10" s="215">
        <f ca="1">IFERROR(__xludf.DUMMYFUNCTION("""COMPUTED_VALUE"""),2808707)</f>
        <v>2808707</v>
      </c>
      <c r="R10" s="215" t="str">
        <f ca="1">IFERROR(__xludf.DUMMYFUNCTION("""COMPUTED_VALUE"""),"Beginner, Intermediate")</f>
        <v>Beginner, Intermediate</v>
      </c>
      <c r="S10" s="217" t="str">
        <f ca="1">IFERROR(__xludf.DUMMYFUNCTION("""COMPUTED_VALUE"""),"Digital Nudging: User Experience positiv beeinflussen")</f>
        <v>Digital Nudging: User Experience positiv beeinflussen</v>
      </c>
      <c r="T10" s="217"/>
      <c r="U10" s="213"/>
      <c r="V10" s="215">
        <f ca="1">IFERROR(__xludf.DUMMYFUNCTION("""COMPUTED_VALUE"""),2893076)</f>
        <v>2893076</v>
      </c>
      <c r="W10" s="215" t="str">
        <f ca="1">IFERROR(__xludf.DUMMYFUNCTION("""COMPUTED_VALUE"""),"Intermediate")</f>
        <v>Intermediate</v>
      </c>
      <c r="X10" s="217" t="str">
        <f ca="1">IFERROR(__xludf.DUMMYFUNCTION("""COMPUTED_VALUE"""),"潜在顧客を獲得するには")</f>
        <v>潜在顧客を獲得するには</v>
      </c>
      <c r="Y10" s="217"/>
      <c r="Z10" s="213"/>
      <c r="AA10" s="215">
        <f ca="1">IFERROR(__xludf.DUMMYFUNCTION("""COMPUTED_VALUE"""),5013109)</f>
        <v>5013109</v>
      </c>
      <c r="AB10" s="215" t="str">
        <f ca="1">IFERROR(__xludf.DUMMYFUNCTION("""COMPUTED_VALUE"""),"Intermediate")</f>
        <v>Intermediate</v>
      </c>
      <c r="AC10" s="217" t="str">
        <f ca="1">IFERROR(__xludf.DUMMYFUNCTION("""COMPUTED_VALUE"""),"Como Lidar com Clientes Insatisfeitos")</f>
        <v>Como Lidar com Clientes Insatisfeitos</v>
      </c>
      <c r="AD10" s="217"/>
      <c r="AE10" s="213"/>
      <c r="AF10" s="215">
        <f ca="1">IFERROR(__xludf.DUMMYFUNCTION("""COMPUTED_VALUE"""),2224303)</f>
        <v>2224303</v>
      </c>
      <c r="AG10" s="215" t="str">
        <f ca="1">IFERROR(__xludf.DUMMYFUNCTION("""COMPUTED_VALUE"""),"Intermediate")</f>
        <v>Intermediate</v>
      </c>
      <c r="AH10" s="217" t="str">
        <f ca="1">IFERROR(__xludf.DUMMYFUNCTION("""COMPUTED_VALUE"""),"管理客户服务团队")</f>
        <v>管理客户服务团队</v>
      </c>
      <c r="AI10" s="217"/>
      <c r="AJ10" s="213"/>
    </row>
    <row r="11" spans="1:36" ht="33.75" customHeight="1">
      <c r="A11" s="213"/>
      <c r="B11" s="214">
        <f ca="1">IFERROR(__xludf.DUMMYFUNCTION("""COMPUTED_VALUE"""),2886012)</f>
        <v>2886012</v>
      </c>
      <c r="C11" s="215" t="str">
        <f ca="1">IFERROR(__xludf.DUMMYFUNCTION("""COMPUTED_VALUE"""),"Beginner")</f>
        <v>Beginner</v>
      </c>
      <c r="D11" s="216" t="str">
        <f ca="1">IFERROR(__xludf.DUMMYFUNCTION("""COMPUTED_VALUE"""),"Microsoft Dynamics 365 Sales Essential Training")</f>
        <v>Microsoft Dynamics 365 Sales Essential Training</v>
      </c>
      <c r="E11" s="217" t="str">
        <f ca="1">IFERROR(__xludf.DUMMYFUNCTION("""COMPUTED_VALUE"""),"Develop Your Sales Knowledge and Skills ")</f>
        <v xml:space="preserve">Develop Your Sales Knowledge and Skills </v>
      </c>
      <c r="F11" s="213"/>
      <c r="G11" s="214">
        <f ca="1">IFERROR(__xludf.DUMMYFUNCTION("""COMPUTED_VALUE"""),398442)</f>
        <v>398442</v>
      </c>
      <c r="H11" s="215" t="str">
        <f ca="1">IFERROR(__xludf.DUMMYFUNCTION("""COMPUTED_VALUE"""),"All levels")</f>
        <v>All levels</v>
      </c>
      <c r="I11" s="217" t="str">
        <f ca="1">IFERROR(__xludf.DUMMYFUNCTION("""COMPUTED_VALUE"""),"Faire un bon pitch")</f>
        <v>Faire un bon pitch</v>
      </c>
      <c r="J11" s="217"/>
      <c r="K11" s="213"/>
      <c r="L11" s="215">
        <f ca="1">IFERROR(__xludf.DUMMYFUNCTION("""COMPUTED_VALUE"""),2820188)</f>
        <v>2820188</v>
      </c>
      <c r="M11" s="215" t="str">
        <f ca="1">IFERROR(__xludf.DUMMYFUNCTION("""COMPUTED_VALUE"""),"Intermediate")</f>
        <v>Intermediate</v>
      </c>
      <c r="N11" s="217" t="str">
        <f ca="1">IFERROR(__xludf.DUMMYFUNCTION("""COMPUTED_VALUE"""),"Cómo identificar oportunidades de crecimiento en las ventas")</f>
        <v>Cómo identificar oportunidades de crecimiento en las ventas</v>
      </c>
      <c r="O11" s="217"/>
      <c r="P11" s="213"/>
      <c r="Q11" s="215">
        <f ca="1">IFERROR(__xludf.DUMMYFUNCTION("""COMPUTED_VALUE"""),3107958)</f>
        <v>3107958</v>
      </c>
      <c r="R11" s="215" t="str">
        <f ca="1">IFERROR(__xludf.DUMMYFUNCTION("""COMPUTED_VALUE"""),"Beginner, Intermediate")</f>
        <v>Beginner, Intermediate</v>
      </c>
      <c r="S11" s="217" t="str">
        <f ca="1">IFERROR(__xludf.DUMMYFUNCTION("""COMPUTED_VALUE"""),"Dynamics 365 Business Central Grundkurs")</f>
        <v>Dynamics 365 Business Central Grundkurs</v>
      </c>
      <c r="T11" s="217"/>
      <c r="U11" s="213"/>
      <c r="V11" s="215"/>
      <c r="W11" s="215"/>
      <c r="X11" s="217"/>
      <c r="Y11" s="217"/>
      <c r="Z11" s="213"/>
      <c r="AA11" s="215">
        <f ca="1">IFERROR(__xludf.DUMMYFUNCTION("""COMPUTED_VALUE"""),5016088)</f>
        <v>5016088</v>
      </c>
      <c r="AB11" s="215" t="str">
        <f ca="1">IFERROR(__xludf.DUMMYFUNCTION("""COMPUTED_VALUE"""),"Intermediate")</f>
        <v>Intermediate</v>
      </c>
      <c r="AC11" s="217" t="str">
        <f ca="1">IFERROR(__xludf.DUMMYFUNCTION("""COMPUTED_VALUE"""),"Como Melhorar a Prospecção de Vendas")</f>
        <v>Como Melhorar a Prospecção de Vendas</v>
      </c>
      <c r="AD11" s="217"/>
      <c r="AE11" s="213"/>
      <c r="AF11" s="215">
        <f ca="1">IFERROR(__xludf.DUMMYFUNCTION("""COMPUTED_VALUE"""),2876172)</f>
        <v>2876172</v>
      </c>
      <c r="AG11" s="215" t="str">
        <f ca="1">IFERROR(__xludf.DUMMYFUNCTION("""COMPUTED_VALUE"""),"Intermediate")</f>
        <v>Intermediate</v>
      </c>
      <c r="AH11" s="217" t="str">
        <f ca="1">IFERROR(__xludf.DUMMYFUNCTION("""COMPUTED_VALUE"""),"解决方案销售")</f>
        <v>解决方案销售</v>
      </c>
      <c r="AI11" s="217"/>
      <c r="AJ11" s="213"/>
    </row>
    <row r="12" spans="1:36" ht="33.75" customHeight="1">
      <c r="A12" s="213"/>
      <c r="B12" s="214">
        <f ca="1">IFERROR(__xludf.DUMMYFUNCTION("""COMPUTED_VALUE"""),2870132)</f>
        <v>2870132</v>
      </c>
      <c r="C12" s="215" t="str">
        <f ca="1">IFERROR(__xludf.DUMMYFUNCTION("""COMPUTED_VALUE"""),"Beginner")</f>
        <v>Beginner</v>
      </c>
      <c r="D12" s="216" t="str">
        <f ca="1">IFERROR(__xludf.DUMMYFUNCTION("""COMPUTED_VALUE"""),"Salesforce Essential Training")</f>
        <v>Salesforce Essential Training</v>
      </c>
      <c r="E12" s="217" t="str">
        <f ca="1">IFERROR(__xludf.DUMMYFUNCTION("""COMPUTED_VALUE"""),"Succeeding in Sales During Times of Volatility")</f>
        <v>Succeeding in Sales During Times of Volatility</v>
      </c>
      <c r="F12" s="213"/>
      <c r="G12" s="214">
        <f ca="1">IFERROR(__xludf.DUMMYFUNCTION("""COMPUTED_VALUE"""),2838113)</f>
        <v>2838113</v>
      </c>
      <c r="H12" s="215" t="str">
        <f ca="1">IFERROR(__xludf.DUMMYFUNCTION("""COMPUTED_VALUE"""),"Intermediate")</f>
        <v>Intermediate</v>
      </c>
      <c r="I12" s="217" t="str">
        <f ca="1">IFERROR(__xludf.DUMMYFUNCTION("""COMPUTED_VALUE"""),"Fidéliser la clientèle")</f>
        <v>Fidéliser la clientèle</v>
      </c>
      <c r="J12" s="217"/>
      <c r="K12" s="213"/>
      <c r="L12" s="215">
        <f ca="1">IFERROR(__xludf.DUMMYFUNCTION("""COMPUTED_VALUE"""),2820174)</f>
        <v>2820174</v>
      </c>
      <c r="M12" s="215" t="str">
        <f ca="1">IFERROR(__xludf.DUMMYFUNCTION("""COMPUTED_VALUE"""),"Intermediate")</f>
        <v>Intermediate</v>
      </c>
      <c r="N12" s="217" t="str">
        <f ca="1">IFERROR(__xludf.DUMMYFUNCTION("""COMPUTED_VALUE"""),"Cómo liderar una cultura centrada en el cliente")</f>
        <v>Cómo liderar una cultura centrada en el cliente</v>
      </c>
      <c r="O12" s="217"/>
      <c r="P12" s="213"/>
      <c r="Q12" s="215">
        <f ca="1">IFERROR(__xludf.DUMMYFUNCTION("""COMPUTED_VALUE"""),782096)</f>
        <v>782096</v>
      </c>
      <c r="R12" s="215" t="str">
        <f ca="1">IFERROR(__xludf.DUMMYFUNCTION("""COMPUTED_VALUE"""),"Intermediate")</f>
        <v>Intermediate</v>
      </c>
      <c r="S12" s="217" t="str">
        <f ca="1">IFERROR(__xludf.DUMMYFUNCTION("""COMPUTED_VALUE"""),"Dynamics 365 for Sales: Anpassung")</f>
        <v>Dynamics 365 for Sales: Anpassung</v>
      </c>
      <c r="T12" s="217"/>
      <c r="U12" s="213"/>
      <c r="V12" s="215"/>
      <c r="W12" s="215"/>
      <c r="X12" s="217"/>
      <c r="Y12" s="217"/>
      <c r="Z12" s="213"/>
      <c r="AA12" s="215">
        <f ca="1">IFERROR(__xludf.DUMMYFUNCTION("""COMPUTED_VALUE"""),5020994)</f>
        <v>5020994</v>
      </c>
      <c r="AB12" s="215" t="str">
        <f ca="1">IFERROR(__xludf.DUMMYFUNCTION("""COMPUTED_VALUE"""),"Intermediate")</f>
        <v>Intermediate</v>
      </c>
      <c r="AC12" s="217" t="str">
        <f ca="1">IFERROR(__xludf.DUMMYFUNCTION("""COMPUTED_VALUE"""),"Como Potencializar o Atendimento Telefônico ao Cliente")</f>
        <v>Como Potencializar o Atendimento Telefônico ao Cliente</v>
      </c>
      <c r="AD12" s="217"/>
      <c r="AE12" s="213"/>
      <c r="AF12" s="215">
        <f ca="1">IFERROR(__xludf.DUMMYFUNCTION("""COMPUTED_VALUE"""),2825351)</f>
        <v>2825351</v>
      </c>
      <c r="AG12" s="215" t="str">
        <f ca="1">IFERROR(__xludf.DUMMYFUNCTION("""COMPUTED_VALUE"""),"Intermediate")</f>
        <v>Intermediate</v>
      </c>
      <c r="AH12" s="217" t="str">
        <f ca="1">IFERROR(__xludf.DUMMYFUNCTION("""COMPUTED_VALUE"""),"说服性销售")</f>
        <v>说服性销售</v>
      </c>
      <c r="AI12" s="217"/>
      <c r="AJ12" s="213"/>
    </row>
    <row r="13" spans="1:36" ht="33.75" customHeight="1">
      <c r="A13" s="213"/>
      <c r="B13" s="214">
        <f ca="1">IFERROR(__xludf.DUMMYFUNCTION("""COMPUTED_VALUE"""),2427402)</f>
        <v>2427402</v>
      </c>
      <c r="C13" s="215" t="str">
        <f ca="1">IFERROR(__xludf.DUMMYFUNCTION("""COMPUTED_VALUE"""),"Beginner")</f>
        <v>Beginner</v>
      </c>
      <c r="D13" s="216" t="str">
        <f ca="1">IFERROR(__xludf.DUMMYFUNCTION("""COMPUTED_VALUE"""),"Purpose-Driven Sales")</f>
        <v>Purpose-Driven Sales</v>
      </c>
      <c r="E13" s="217"/>
      <c r="F13" s="213"/>
      <c r="G13" s="214">
        <f ca="1">IFERROR(__xludf.DUMMYFUNCTION("""COMPUTED_VALUE"""),778428)</f>
        <v>778428</v>
      </c>
      <c r="H13" s="215" t="str">
        <f ca="1">IFERROR(__xludf.DUMMYFUNCTION("""COMPUTED_VALUE"""),"Intermediate")</f>
        <v>Intermediate</v>
      </c>
      <c r="I13" s="217" t="str">
        <f ca="1">IFERROR(__xludf.DUMMYFUNCTION("""COMPUTED_VALUE"""),"Gérer la force de vente pour les directeurs / directrices des ventes")</f>
        <v>Gérer la force de vente pour les directeurs / directrices des ventes</v>
      </c>
      <c r="J13" s="217"/>
      <c r="K13" s="213"/>
      <c r="L13" s="215">
        <f ca="1">IFERROR(__xludf.DUMMYFUNCTION("""COMPUTED_VALUE"""),2430143)</f>
        <v>2430143</v>
      </c>
      <c r="M13" s="215" t="str">
        <f ca="1">IFERROR(__xludf.DUMMYFUNCTION("""COMPUTED_VALUE"""),"Intermediate")</f>
        <v>Intermediate</v>
      </c>
      <c r="N13" s="217" t="str">
        <f ca="1">IFERROR(__xludf.DUMMYFUNCTION("""COMPUTED_VALUE"""),"Cómo medir la eficacia de tu fuerza de ventas")</f>
        <v>Cómo medir la eficacia de tu fuerza de ventas</v>
      </c>
      <c r="O13" s="217"/>
      <c r="P13" s="213"/>
      <c r="Q13" s="215">
        <f ca="1">IFERROR(__xludf.DUMMYFUNCTION("""COMPUTED_VALUE"""),2223112)</f>
        <v>2223112</v>
      </c>
      <c r="R13" s="215" t="str">
        <f ca="1">IFERROR(__xludf.DUMMYFUNCTION("""COMPUTED_VALUE"""),"All levels")</f>
        <v>All levels</v>
      </c>
      <c r="S13" s="217" t="str">
        <f ca="1">IFERROR(__xludf.DUMMYFUNCTION("""COMPUTED_VALUE"""),"E-Commerce-Recht - Grundlagen")</f>
        <v>E-Commerce-Recht - Grundlagen</v>
      </c>
      <c r="T13" s="217"/>
      <c r="U13" s="213"/>
      <c r="V13" s="215"/>
      <c r="W13" s="215"/>
      <c r="X13" s="217"/>
      <c r="Y13" s="217"/>
      <c r="Z13" s="213"/>
      <c r="AA13" s="215">
        <f ca="1">IFERROR(__xludf.DUMMYFUNCTION("""COMPUTED_VALUE"""),2875200)</f>
        <v>2875200</v>
      </c>
      <c r="AB13" s="215" t="str">
        <f ca="1">IFERROR(__xludf.DUMMYFUNCTION("""COMPUTED_VALUE"""),"Intermediate")</f>
        <v>Intermediate</v>
      </c>
      <c r="AC13" s="217" t="str">
        <f ca="1">IFERROR(__xludf.DUMMYFUNCTION("""COMPUTED_VALUE"""),"Como Vender Soluções para Conquistar Clientes")</f>
        <v>Como Vender Soluções para Conquistar Clientes</v>
      </c>
      <c r="AD13" s="217"/>
      <c r="AE13" s="213"/>
      <c r="AF13" s="215">
        <f ca="1">IFERROR(__xludf.DUMMYFUNCTION("""COMPUTED_VALUE"""),2824444)</f>
        <v>2824444</v>
      </c>
      <c r="AG13" s="215" t="str">
        <f ca="1">IFERROR(__xludf.DUMMYFUNCTION("""COMPUTED_VALUE"""),"All levels")</f>
        <v>All levels</v>
      </c>
      <c r="AH13" s="217" t="str">
        <f ca="1">IFERROR(__xludf.DUMMYFUNCTION("""COMPUTED_VALUE"""),"销售专家的软技能")</f>
        <v>销售专家的软技能</v>
      </c>
      <c r="AI13" s="217"/>
      <c r="AJ13" s="213"/>
    </row>
    <row r="14" spans="1:36" ht="33.75" customHeight="1">
      <c r="A14" s="213"/>
      <c r="B14" s="214">
        <f ca="1">IFERROR(__xludf.DUMMYFUNCTION("""COMPUTED_VALUE"""),2880279)</f>
        <v>2880279</v>
      </c>
      <c r="C14" s="215" t="str">
        <f ca="1">IFERROR(__xludf.DUMMYFUNCTION("""COMPUTED_VALUE"""),"Intermediate")</f>
        <v>Intermediate</v>
      </c>
      <c r="D14" s="216" t="str">
        <f ca="1">IFERROR(__xludf.DUMMYFUNCTION("""COMPUTED_VALUE"""),"Sales Strategies and Approaches in a New World of Selling")</f>
        <v>Sales Strategies and Approaches in a New World of Selling</v>
      </c>
      <c r="E14" s="217"/>
      <c r="F14" s="213"/>
      <c r="G14" s="214">
        <f ca="1">IFERROR(__xludf.DUMMYFUNCTION("""COMPUTED_VALUE"""),707940)</f>
        <v>707940</v>
      </c>
      <c r="H14" s="215" t="str">
        <f ca="1">IFERROR(__xludf.DUMMYFUNCTION("""COMPUTED_VALUE"""),"Intermediate")</f>
        <v>Intermediate</v>
      </c>
      <c r="I14" s="217" t="str">
        <f ca="1">IFERROR(__xludf.DUMMYFUNCTION("""COMPUTED_VALUE"""),"Gérer les canaux de vente")</f>
        <v>Gérer les canaux de vente</v>
      </c>
      <c r="J14" s="217"/>
      <c r="K14" s="213"/>
      <c r="L14" s="215">
        <f ca="1">IFERROR(__xludf.DUMMYFUNCTION("""COMPUTED_VALUE"""),561568)</f>
        <v>561568</v>
      </c>
      <c r="M14" s="215" t="str">
        <f ca="1">IFERROR(__xludf.DUMMYFUNCTION("""COMPUTED_VALUE"""),"Intermediate")</f>
        <v>Intermediate</v>
      </c>
      <c r="N14" s="217" t="str">
        <f ca="1">IFERROR(__xludf.DUMMYFUNCTION("""COMPUTED_VALUE"""),"Cómo potenciar tus conversaciones de ventas")</f>
        <v>Cómo potenciar tus conversaciones de ventas</v>
      </c>
      <c r="O14" s="217"/>
      <c r="P14" s="213"/>
      <c r="Q14" s="215">
        <f ca="1">IFERROR(__xludf.DUMMYFUNCTION("""COMPUTED_VALUE"""),805993)</f>
        <v>805993</v>
      </c>
      <c r="R14" s="215" t="str">
        <f ca="1">IFERROR(__xludf.DUMMYFUNCTION("""COMPUTED_VALUE"""),"Intermediate")</f>
        <v>Intermediate</v>
      </c>
      <c r="S14" s="217" t="str">
        <f ca="1">IFERROR(__xludf.DUMMYFUNCTION("""COMPUTED_VALUE"""),"Einwandbehandlung im Verkauf")</f>
        <v>Einwandbehandlung im Verkauf</v>
      </c>
      <c r="T14" s="217"/>
      <c r="U14" s="213"/>
      <c r="V14" s="215"/>
      <c r="W14" s="215"/>
      <c r="X14" s="217"/>
      <c r="Y14" s="217"/>
      <c r="Z14" s="213"/>
      <c r="AA14" s="215">
        <f ca="1">IFERROR(__xludf.DUMMYFUNCTION("""COMPUTED_VALUE"""),2928596)</f>
        <v>2928596</v>
      </c>
      <c r="AB14" s="215" t="str">
        <f ca="1">IFERROR(__xludf.DUMMYFUNCTION("""COMPUTED_VALUE"""),"All levels")</f>
        <v>All levels</v>
      </c>
      <c r="AC14" s="217" t="str">
        <f ca="1">IFERROR(__xludf.DUMMYFUNCTION("""COMPUTED_VALUE"""),"Competências Interpessoais para Profissionais de Vendas")</f>
        <v>Competências Interpessoais para Profissionais de Vendas</v>
      </c>
      <c r="AD14" s="217"/>
      <c r="AE14" s="213"/>
      <c r="AF14" s="215">
        <f ca="1">IFERROR(__xludf.DUMMYFUNCTION("""COMPUTED_VALUE"""),2700355)</f>
        <v>2700355</v>
      </c>
      <c r="AG14" s="215" t="str">
        <f ca="1">IFERROR(__xludf.DUMMYFUNCTION("""COMPUTED_VALUE"""),"Beginner")</f>
        <v>Beginner</v>
      </c>
      <c r="AH14" s="217" t="str">
        <f ca="1">IFERROR(__xludf.DUMMYFUNCTION("""COMPUTED_VALUE"""),"销售基础知识")</f>
        <v>销售基础知识</v>
      </c>
      <c r="AI14" s="217"/>
      <c r="AJ14" s="213"/>
    </row>
    <row r="15" spans="1:36" ht="33.75" customHeight="1">
      <c r="A15" s="213"/>
      <c r="B15" s="214">
        <f ca="1">IFERROR(__xludf.DUMMYFUNCTION("""COMPUTED_VALUE"""),2825692)</f>
        <v>2825692</v>
      </c>
      <c r="C15" s="215" t="str">
        <f ca="1">IFERROR(__xludf.DUMMYFUNCTION("""COMPUTED_VALUE"""),"Intermediate")</f>
        <v>Intermediate</v>
      </c>
      <c r="D15" s="216" t="str">
        <f ca="1">IFERROR(__xludf.DUMMYFUNCTION("""COMPUTED_VALUE"""),"Inclusive Selling: Selling Across Culture, Race, and Gender Differences")</f>
        <v>Inclusive Selling: Selling Across Culture, Race, and Gender Differences</v>
      </c>
      <c r="E15" s="217"/>
      <c r="F15" s="213"/>
      <c r="G15" s="214">
        <f ca="1">IFERROR(__xludf.DUMMYFUNCTION("""COMPUTED_VALUE"""),561059)</f>
        <v>561059</v>
      </c>
      <c r="H15" s="215" t="str">
        <f ca="1">IFERROR(__xludf.DUMMYFUNCTION("""COMPUTED_VALUE"""),"All levels")</f>
        <v>All levels</v>
      </c>
      <c r="I15" s="217" t="str">
        <f ca="1">IFERROR(__xludf.DUMMYFUNCTION("""COMPUTED_VALUE"""),"Influencer les autres")</f>
        <v>Influencer les autres</v>
      </c>
      <c r="J15" s="217"/>
      <c r="K15" s="213"/>
      <c r="L15" s="215">
        <f ca="1">IFERROR(__xludf.DUMMYFUNCTION("""COMPUTED_VALUE"""),5025668)</f>
        <v>5025668</v>
      </c>
      <c r="M15" s="215" t="str">
        <f ca="1">IFERROR(__xludf.DUMMYFUNCTION("""COMPUTED_VALUE"""),"Beginner, Intermediate")</f>
        <v>Beginner, Intermediate</v>
      </c>
      <c r="N15" s="217" t="str">
        <f ca="1">IFERROR(__xludf.DUMMYFUNCTION("""COMPUTED_VALUE"""),"Cómo vender con storytelling, parte 1: Los elementos de una gran historia")</f>
        <v>Cómo vender con storytelling, parte 1: Los elementos de una gran historia</v>
      </c>
      <c r="O15" s="217"/>
      <c r="P15" s="213"/>
      <c r="Q15" s="215">
        <f ca="1">IFERROR(__xludf.DUMMYFUNCTION("""COMPUTED_VALUE"""),195479)</f>
        <v>195479</v>
      </c>
      <c r="R15" s="215" t="str">
        <f ca="1">IFERROR(__xludf.DUMMYFUNCTION("""COMPUTED_VALUE"""),"Intermediate")</f>
        <v>Intermediate</v>
      </c>
      <c r="S15" s="217" t="str">
        <f ca="1">IFERROR(__xludf.DUMMYFUNCTION("""COMPUTED_VALUE"""),"Erfolgreich im Vertrieb: Bei Anruf Termin!")</f>
        <v>Erfolgreich im Vertrieb: Bei Anruf Termin!</v>
      </c>
      <c r="T15" s="217"/>
      <c r="U15" s="213"/>
      <c r="V15" s="215"/>
      <c r="W15" s="215"/>
      <c r="X15" s="217"/>
      <c r="Y15" s="217"/>
      <c r="Z15" s="213"/>
      <c r="AA15" s="215">
        <f ca="1">IFERROR(__xludf.DUMMYFUNCTION("""COMPUTED_VALUE"""),807491)</f>
        <v>807491</v>
      </c>
      <c r="AB15" s="215" t="str">
        <f ca="1">IFERROR(__xludf.DUMMYFUNCTION("""COMPUTED_VALUE"""),"Beginner")</f>
        <v>Beginner</v>
      </c>
      <c r="AC15" s="217" t="str">
        <f ca="1">IFERROR(__xludf.DUMMYFUNCTION("""COMPUTED_VALUE"""),"Fundamentos de Vendas")</f>
        <v>Fundamentos de Vendas</v>
      </c>
      <c r="AD15" s="217"/>
      <c r="AE15" s="213"/>
      <c r="AF15" s="215">
        <f ca="1">IFERROR(__xludf.DUMMYFUNCTION("""COMPUTED_VALUE"""),2801339)</f>
        <v>2801339</v>
      </c>
      <c r="AG15" s="215" t="str">
        <f ca="1">IFERROR(__xludf.DUMMYFUNCTION("""COMPUTED_VALUE"""),"Intermediate")</f>
        <v>Intermediate</v>
      </c>
      <c r="AH15" s="217" t="str">
        <f ca="1">IFERROR(__xludf.DUMMYFUNCTION("""COMPUTED_VALUE"""),"销售学：寻找潜在客户")</f>
        <v>销售学：寻找潜在客户</v>
      </c>
      <c r="AI15" s="217"/>
      <c r="AJ15" s="213"/>
    </row>
    <row r="16" spans="1:36" ht="33.75" customHeight="1">
      <c r="A16" s="213"/>
      <c r="B16" s="214">
        <f ca="1">IFERROR(__xludf.DUMMYFUNCTION("""COMPUTED_VALUE"""),2422439)</f>
        <v>2422439</v>
      </c>
      <c r="C16" s="215" t="str">
        <f ca="1">IFERROR(__xludf.DUMMYFUNCTION("""COMPUTED_VALUE"""),"Intermediate")</f>
        <v>Intermediate</v>
      </c>
      <c r="D16" s="216" t="str">
        <f ca="1">IFERROR(__xludf.DUMMYFUNCTION("""COMPUTED_VALUE"""),"Delivering a Great Virtual Sales Pitch")</f>
        <v>Delivering a Great Virtual Sales Pitch</v>
      </c>
      <c r="E16" s="217"/>
      <c r="F16" s="213"/>
      <c r="G16" s="214">
        <f ca="1">IFERROR(__xludf.DUMMYFUNCTION("""COMPUTED_VALUE"""),796900)</f>
        <v>796900</v>
      </c>
      <c r="H16" s="215" t="str">
        <f ca="1">IFERROR(__xludf.DUMMYFUNCTION("""COMPUTED_VALUE"""),"Intermediate")</f>
        <v>Intermediate</v>
      </c>
      <c r="I16" s="217" t="str">
        <f ca="1">IFERROR(__xludf.DUMMYFUNCTION("""COMPUTED_VALUE"""),"La gestion des grands comptes")</f>
        <v>La gestion des grands comptes</v>
      </c>
      <c r="J16" s="217"/>
      <c r="K16" s="213"/>
      <c r="L16" s="215">
        <f ca="1">IFERROR(__xludf.DUMMYFUNCTION("""COMPUTED_VALUE"""),3018464)</f>
        <v>3018464</v>
      </c>
      <c r="M16" s="215" t="str">
        <f ca="1">IFERROR(__xludf.DUMMYFUNCTION("""COMPUTED_VALUE"""),"Intermediate")</f>
        <v>Intermediate</v>
      </c>
      <c r="N16" s="217" t="str">
        <f ca="1">IFERROR(__xludf.DUMMYFUNCTION("""COMPUTED_VALUE"""),"Cómo vender soluciones")</f>
        <v>Cómo vender soluciones</v>
      </c>
      <c r="O16" s="217"/>
      <c r="P16" s="213"/>
      <c r="Q16" s="215">
        <f ca="1">IFERROR(__xludf.DUMMYFUNCTION("""COMPUTED_VALUE"""),195256)</f>
        <v>195256</v>
      </c>
      <c r="R16" s="215" t="str">
        <f ca="1">IFERROR(__xludf.DUMMYFUNCTION("""COMPUTED_VALUE"""),"Beginner")</f>
        <v>Beginner</v>
      </c>
      <c r="S16" s="217" t="str">
        <f ca="1">IFERROR(__xludf.DUMMYFUNCTION("""COMPUTED_VALUE"""),"Erfolgreich verkaufen")</f>
        <v>Erfolgreich verkaufen</v>
      </c>
      <c r="T16" s="217"/>
      <c r="U16" s="213"/>
      <c r="V16" s="215"/>
      <c r="W16" s="215"/>
      <c r="X16" s="217"/>
      <c r="Y16" s="217"/>
      <c r="Z16" s="213"/>
      <c r="AA16" s="215">
        <f ca="1">IFERROR(__xludf.DUMMYFUNCTION("""COMPUTED_VALUE"""),5034154)</f>
        <v>5034154</v>
      </c>
      <c r="AB16" s="215" t="str">
        <f ca="1">IFERROR(__xludf.DUMMYFUNCTION("""COMPUTED_VALUE"""),"Intermediate")</f>
        <v>Intermediate</v>
      </c>
      <c r="AC16" s="217" t="str">
        <f ca="1">IFERROR(__xludf.DUMMYFUNCTION("""COMPUTED_VALUE"""),"Gestão de Equipes de Atendimento ao Cliente")</f>
        <v>Gestão de Equipes de Atendimento ao Cliente</v>
      </c>
      <c r="AD16" s="217"/>
      <c r="AE16" s="213"/>
      <c r="AF16" s="215">
        <f ca="1">IFERROR(__xludf.DUMMYFUNCTION("""COMPUTED_VALUE"""),2822710)</f>
        <v>2822710</v>
      </c>
      <c r="AG16" s="215" t="str">
        <f ca="1">IFERROR(__xludf.DUMMYFUNCTION("""COMPUTED_VALUE"""),"Advanced")</f>
        <v>Advanced</v>
      </c>
      <c r="AH16" s="217" t="str">
        <f ca="1">IFERROR(__xludf.DUMMYFUNCTION("""COMPUTED_VALUE"""),"销售学：成交策略")</f>
        <v>销售学：成交策略</v>
      </c>
      <c r="AI16" s="217"/>
      <c r="AJ16" s="213"/>
    </row>
    <row r="17" spans="1:36" ht="33.75" customHeight="1">
      <c r="A17" s="213"/>
      <c r="B17" s="214">
        <f ca="1">IFERROR(__xludf.DUMMYFUNCTION("""COMPUTED_VALUE"""),193708)</f>
        <v>193708</v>
      </c>
      <c r="C17" s="215" t="str">
        <f ca="1">IFERROR(__xludf.DUMMYFUNCTION("""COMPUTED_VALUE"""),"Beginner")</f>
        <v>Beginner</v>
      </c>
      <c r="D17" s="216" t="str">
        <f ca="1">IFERROR(__xludf.DUMMYFUNCTION("""COMPUTED_VALUE"""),"Sales Foundations")</f>
        <v>Sales Foundations</v>
      </c>
      <c r="E17" s="217"/>
      <c r="F17" s="213"/>
      <c r="G17" s="214">
        <f ca="1">IFERROR(__xludf.DUMMYFUNCTION("""COMPUTED_VALUE"""),533141)</f>
        <v>533141</v>
      </c>
      <c r="H17" s="215" t="str">
        <f ca="1">IFERROR(__xludf.DUMMYFUNCTION("""COMPUTED_VALUE"""),"Intermediate")</f>
        <v>Intermediate</v>
      </c>
      <c r="I17" s="217" t="str">
        <f ca="1">IFERROR(__xludf.DUMMYFUNCTION("""COMPUTED_VALUE"""),"La science de la vente")</f>
        <v>La science de la vente</v>
      </c>
      <c r="J17" s="217"/>
      <c r="K17" s="213"/>
      <c r="L17" s="215">
        <f ca="1">IFERROR(__xludf.DUMMYFUNCTION("""COMPUTED_VALUE"""),2825523)</f>
        <v>2825523</v>
      </c>
      <c r="M17" s="215" t="str">
        <f ca="1">IFERROR(__xludf.DUMMYFUNCTION("""COMPUTED_VALUE"""),"Beginner")</f>
        <v>Beginner</v>
      </c>
      <c r="N17" s="217" t="str">
        <f ca="1">IFERROR(__xludf.DUMMYFUNCTION("""COMPUTED_VALUE"""),"Cuarta revolución industrial: Estrategias comerciales")</f>
        <v>Cuarta revolución industrial: Estrategias comerciales</v>
      </c>
      <c r="O17" s="217"/>
      <c r="P17" s="213"/>
      <c r="Q17" s="215">
        <f ca="1">IFERROR(__xludf.DUMMYFUNCTION("""COMPUTED_VALUE"""),574484)</f>
        <v>574484</v>
      </c>
      <c r="R17" s="215" t="str">
        <f ca="1">IFERROR(__xludf.DUMMYFUNCTION("""COMPUTED_VALUE"""),"Intermediate")</f>
        <v>Intermediate</v>
      </c>
      <c r="S17" s="217" t="str">
        <f ca="1">IFERROR(__xludf.DUMMYFUNCTION("""COMPUTED_VALUE"""),"Fragetechniken im Verkauf")</f>
        <v>Fragetechniken im Verkauf</v>
      </c>
      <c r="T17" s="217"/>
      <c r="U17" s="213"/>
      <c r="V17" s="215"/>
      <c r="W17" s="215"/>
      <c r="X17" s="217"/>
      <c r="Y17" s="217"/>
      <c r="Z17" s="213"/>
      <c r="AA17" s="215">
        <f ca="1">IFERROR(__xludf.DUMMYFUNCTION("""COMPUTED_VALUE"""),2902183)</f>
        <v>2902183</v>
      </c>
      <c r="AB17" s="215" t="str">
        <f ca="1">IFERROR(__xludf.DUMMYFUNCTION("""COMPUTED_VALUE"""),"Intermediate")</f>
        <v>Intermediate</v>
      </c>
      <c r="AC17" s="217" t="str">
        <f ca="1">IFERROR(__xludf.DUMMYFUNCTION("""COMPUTED_VALUE"""),"Gestão de Expectativas dos Clientes para Gerentes")</f>
        <v>Gestão de Expectativas dos Clientes para Gerentes</v>
      </c>
      <c r="AD17" s="217"/>
      <c r="AE17" s="213"/>
      <c r="AF17" s="215">
        <f ca="1">IFERROR(__xludf.DUMMYFUNCTION("""COMPUTED_VALUE"""),2800521)</f>
        <v>2800521</v>
      </c>
      <c r="AG17" s="215" t="str">
        <f ca="1">IFERROR(__xludf.DUMMYFUNCTION("""COMPUTED_VALUE"""),"Intermediate")</f>
        <v>Intermediate</v>
      </c>
      <c r="AH17" s="217" t="str">
        <f ca="1">IFERROR(__xludf.DUMMYFUNCTION("""COMPUTED_VALUE"""),"销售的科学")</f>
        <v>销售的科学</v>
      </c>
      <c r="AI17" s="217"/>
      <c r="AJ17" s="213"/>
    </row>
    <row r="18" spans="1:36" ht="33.75" customHeight="1">
      <c r="A18" s="213"/>
      <c r="B18" s="214">
        <f ca="1">IFERROR(__xludf.DUMMYFUNCTION("""COMPUTED_VALUE"""),371322)</f>
        <v>371322</v>
      </c>
      <c r="C18" s="215" t="str">
        <f ca="1">IFERROR(__xludf.DUMMYFUNCTION("""COMPUTED_VALUE"""),"Beginner")</f>
        <v>Beginner</v>
      </c>
      <c r="D18" s="216" t="str">
        <f ca="1">IFERROR(__xludf.DUMMYFUNCTION("""COMPUTED_VALUE"""),"Sales Management Foundations")</f>
        <v>Sales Management Foundations</v>
      </c>
      <c r="E18" s="217"/>
      <c r="F18" s="213"/>
      <c r="G18" s="214">
        <f ca="1">IFERROR(__xludf.DUMMYFUNCTION("""COMPUTED_VALUE"""),792288)</f>
        <v>792288</v>
      </c>
      <c r="H18" s="215" t="str">
        <f ca="1">IFERROR(__xludf.DUMMYFUNCTION("""COMPUTED_VALUE"""),"Intermediate")</f>
        <v>Intermediate</v>
      </c>
      <c r="I18" s="217" t="str">
        <f ca="1">IFERROR(__xludf.DUMMYFUNCTION("""COMPUTED_VALUE"""),"La vente persuasive")</f>
        <v>La vente persuasive</v>
      </c>
      <c r="J18" s="217"/>
      <c r="K18" s="213"/>
      <c r="L18" s="215">
        <f ca="1">IFERROR(__xludf.DUMMYFUNCTION("""COMPUTED_VALUE"""),2823385)</f>
        <v>2823385</v>
      </c>
      <c r="M18" s="215" t="str">
        <f ca="1">IFERROR(__xludf.DUMMYFUNCTION("""COMPUTED_VALUE"""),"Advanced")</f>
        <v>Advanced</v>
      </c>
      <c r="N18" s="217" t="str">
        <f ca="1">IFERROR(__xludf.DUMMYFUNCTION("""COMPUTED_VALUE"""),"Excel: Crear un dashboard comercial con Power Query y Power Pivot")</f>
        <v>Excel: Crear un dashboard comercial con Power Query y Power Pivot</v>
      </c>
      <c r="O18" s="217"/>
      <c r="P18" s="213"/>
      <c r="Q18" s="215">
        <f ca="1">IFERROR(__xludf.DUMMYFUNCTION("""COMPUTED_VALUE"""),703241)</f>
        <v>703241</v>
      </c>
      <c r="R18" s="215" t="str">
        <f ca="1">IFERROR(__xludf.DUMMYFUNCTION("""COMPUTED_VALUE"""),"Intermediate")</f>
        <v>Intermediate</v>
      </c>
      <c r="S18" s="217" t="str">
        <f ca="1">IFERROR(__xludf.DUMMYFUNCTION("""COMPUTED_VALUE"""),"Führung im Vertrieb – Limbecks Leadership-Lektionen")</f>
        <v>Führung im Vertrieb – Limbecks Leadership-Lektionen</v>
      </c>
      <c r="T18" s="217"/>
      <c r="U18" s="213"/>
      <c r="V18" s="215"/>
      <c r="W18" s="215"/>
      <c r="X18" s="217"/>
      <c r="Y18" s="217"/>
      <c r="Z18" s="213"/>
      <c r="AA18" s="215">
        <f ca="1">IFERROR(__xludf.DUMMYFUNCTION("""COMPUTED_VALUE"""),5039705)</f>
        <v>5039705</v>
      </c>
      <c r="AB18" s="215" t="str">
        <f ca="1">IFERROR(__xludf.DUMMYFUNCTION("""COMPUTED_VALUE"""),"All levels")</f>
        <v>All levels</v>
      </c>
      <c r="AC18" s="217" t="str">
        <f ca="1">IFERROR(__xludf.DUMMYFUNCTION("""COMPUTED_VALUE"""),"Gestão de Expectativas dos Clientes para Pessoal da Linha de Frente")</f>
        <v>Gestão de Expectativas dos Clientes para Pessoal da Linha de Frente</v>
      </c>
      <c r="AD18" s="217"/>
      <c r="AE18" s="213"/>
      <c r="AF18" s="215">
        <f ca="1">IFERROR(__xludf.DUMMYFUNCTION("""COMPUTED_VALUE"""),2887003)</f>
        <v>2887003</v>
      </c>
      <c r="AG18" s="215" t="str">
        <f ca="1">IFERROR(__xludf.DUMMYFUNCTION("""COMPUTED_VALUE"""),"Advanced")</f>
        <v>Advanced</v>
      </c>
      <c r="AH18" s="217" t="str">
        <f ca="1">IFERROR(__xludf.DUMMYFUNCTION("""COMPUTED_VALUE"""),"销售辅导")</f>
        <v>销售辅导</v>
      </c>
      <c r="AI18" s="217"/>
      <c r="AJ18" s="213"/>
    </row>
    <row r="19" spans="1:36" ht="33.75" customHeight="1">
      <c r="A19" s="213"/>
      <c r="B19" s="214">
        <f ca="1">IFERROR(__xludf.DUMMYFUNCTION("""COMPUTED_VALUE"""),651189)</f>
        <v>651189</v>
      </c>
      <c r="C19" s="215" t="str">
        <f ca="1">IFERROR(__xludf.DUMMYFUNCTION("""COMPUTED_VALUE"""),"Beginner")</f>
        <v>Beginner</v>
      </c>
      <c r="D19" s="216" t="str">
        <f ca="1">IFERROR(__xludf.DUMMYFUNCTION("""COMPUTED_VALUE"""),"Networking for Sales Professionals")</f>
        <v>Networking for Sales Professionals</v>
      </c>
      <c r="E19" s="217"/>
      <c r="F19" s="213"/>
      <c r="G19" s="214">
        <f ca="1">IFERROR(__xludf.DUMMYFUNCTION("""COMPUTED_VALUE"""),2841343)</f>
        <v>2841343</v>
      </c>
      <c r="H19" s="215" t="str">
        <f ca="1">IFERROR(__xludf.DUMMYFUNCTION("""COMPUTED_VALUE"""),"Intermediate")</f>
        <v>Intermediate</v>
      </c>
      <c r="I19" s="217" t="str">
        <f ca="1">IFERROR(__xludf.DUMMYFUNCTION("""COMPUTED_VALUE"""),"Le service client en période de crise")</f>
        <v>Le service client en période de crise</v>
      </c>
      <c r="J19" s="217"/>
      <c r="K19" s="213"/>
      <c r="L19" s="215">
        <f ca="1">IFERROR(__xludf.DUMMYFUNCTION("""COMPUTED_VALUE"""),2818138)</f>
        <v>2818138</v>
      </c>
      <c r="M19" s="215" t="str">
        <f ca="1">IFERROR(__xludf.DUMMYFUNCTION("""COMPUTED_VALUE"""),"Beginner")</f>
        <v>Beginner</v>
      </c>
      <c r="N19" s="217" t="str">
        <f ca="1">IFERROR(__xludf.DUMMYFUNCTION("""COMPUTED_VALUE"""),"Fundamentos de la gestión de ventas")</f>
        <v>Fundamentos de la gestión de ventas</v>
      </c>
      <c r="O19" s="217"/>
      <c r="P19" s="213"/>
      <c r="Q19" s="215">
        <f ca="1">IFERROR(__xludf.DUMMYFUNCTION("""COMPUTED_VALUE"""),412450)</f>
        <v>412450</v>
      </c>
      <c r="R19" s="215" t="str">
        <f ca="1">IFERROR(__xludf.DUMMYFUNCTION("""COMPUTED_VALUE"""),"All levels")</f>
        <v>All levels</v>
      </c>
      <c r="S19" s="217" t="str">
        <f ca="1">IFERROR(__xludf.DUMMYFUNCTION("""COMPUTED_VALUE"""),"Ihr persönlicher Elevator Pitch")</f>
        <v>Ihr persönlicher Elevator Pitch</v>
      </c>
      <c r="T19" s="217"/>
      <c r="U19" s="213"/>
      <c r="V19" s="215"/>
      <c r="W19" s="215"/>
      <c r="X19" s="217"/>
      <c r="Y19" s="217"/>
      <c r="Z19" s="213"/>
      <c r="AA19" s="215">
        <f ca="1">IFERROR(__xludf.DUMMYFUNCTION("""COMPUTED_VALUE"""),2903151)</f>
        <v>2903151</v>
      </c>
      <c r="AB19" s="215" t="str">
        <f ca="1">IFERROR(__xludf.DUMMYFUNCTION("""COMPUTED_VALUE"""),"Advanced")</f>
        <v>Advanced</v>
      </c>
      <c r="AC19" s="217" t="str">
        <f ca="1">IFERROR(__xludf.DUMMYFUNCTION("""COMPUTED_VALUE"""),"Liderança no Atendimento ao Cliente")</f>
        <v>Liderança no Atendimento ao Cliente</v>
      </c>
      <c r="AD19" s="217"/>
      <c r="AE19" s="213"/>
      <c r="AF19" s="215">
        <f ca="1">IFERROR(__xludf.DUMMYFUNCTION("""COMPUTED_VALUE"""),2887004)</f>
        <v>2887004</v>
      </c>
      <c r="AG19" s="215" t="str">
        <f ca="1">IFERROR(__xludf.DUMMYFUNCTION("""COMPUTED_VALUE"""),"Intermediate")</f>
        <v>Intermediate</v>
      </c>
      <c r="AH19" s="217" t="str">
        <f ca="1">IFERROR(__xludf.DUMMYFUNCTION("""COMPUTED_VALUE"""),"销售预测")</f>
        <v>销售预测</v>
      </c>
      <c r="AI19" s="217"/>
      <c r="AJ19" s="213"/>
    </row>
    <row r="20" spans="1:36" ht="33.75" customHeight="1">
      <c r="A20" s="213"/>
      <c r="B20" s="214">
        <f ca="1">IFERROR(__xludf.DUMMYFUNCTION("""COMPUTED_VALUE"""),802826)</f>
        <v>802826</v>
      </c>
      <c r="C20" s="215" t="str">
        <f ca="1">IFERROR(__xludf.DUMMYFUNCTION("""COMPUTED_VALUE"""),"Beginner")</f>
        <v>Beginner</v>
      </c>
      <c r="D20" s="216" t="str">
        <f ca="1">IFERROR(__xludf.DUMMYFUNCTION("""COMPUTED_VALUE"""),"Following Up after a Sales Meeting")</f>
        <v>Following Up after a Sales Meeting</v>
      </c>
      <c r="E20" s="217"/>
      <c r="F20" s="213"/>
      <c r="G20" s="214">
        <f ca="1">IFERROR(__xludf.DUMMYFUNCTION("""COMPUTED_VALUE"""),600068)</f>
        <v>600068</v>
      </c>
      <c r="H20" s="215" t="str">
        <f ca="1">IFERROR(__xludf.DUMMYFUNCTION("""COMPUTED_VALUE"""),"Beginner")</f>
        <v>Beginner</v>
      </c>
      <c r="I20" s="217" t="str">
        <f ca="1">IFERROR(__xludf.DUMMYFUNCTION("""COMPUTED_VALUE"""),"Les fondements de la gestion commerciale")</f>
        <v>Les fondements de la gestion commerciale</v>
      </c>
      <c r="J20" s="217"/>
      <c r="K20" s="213"/>
      <c r="L20" s="215">
        <f ca="1">IFERROR(__xludf.DUMMYFUNCTION("""COMPUTED_VALUE"""),5025590)</f>
        <v>5025590</v>
      </c>
      <c r="M20" s="215" t="str">
        <f ca="1">IFERROR(__xludf.DUMMYFUNCTION("""COMPUTED_VALUE"""),"Beginner, Intermediate")</f>
        <v>Beginner, Intermediate</v>
      </c>
      <c r="N20" s="217" t="str">
        <f ca="1">IFERROR(__xludf.DUMMYFUNCTION("""COMPUTED_VALUE"""),"Fundamentos de la previsión de ventas")</f>
        <v>Fundamentos de la previsión de ventas</v>
      </c>
      <c r="O20" s="217"/>
      <c r="P20" s="213"/>
      <c r="Q20" s="215">
        <f ca="1">IFERROR(__xludf.DUMMYFUNCTION("""COMPUTED_VALUE"""),2825486)</f>
        <v>2825486</v>
      </c>
      <c r="R20" s="215" t="str">
        <f ca="1">IFERROR(__xludf.DUMMYFUNCTION("""COMPUTED_VALUE"""),"Beginner")</f>
        <v>Beginner</v>
      </c>
      <c r="S20" s="217" t="str">
        <f ca="1">IFERROR(__xludf.DUMMYFUNCTION("""COMPUTED_VALUE"""),"Key-Account-Management")</f>
        <v>Key-Account-Management</v>
      </c>
      <c r="T20" s="217"/>
      <c r="U20" s="213"/>
      <c r="V20" s="215"/>
      <c r="W20" s="215"/>
      <c r="X20" s="217"/>
      <c r="Y20" s="217"/>
      <c r="Z20" s="213"/>
      <c r="AA20" s="215">
        <f ca="1">IFERROR(__xludf.DUMMYFUNCTION("""COMPUTED_VALUE"""),2900317)</f>
        <v>2900317</v>
      </c>
      <c r="AB20" s="215" t="str">
        <f ca="1">IFERROR(__xludf.DUMMYFUNCTION("""COMPUTED_VALUE"""),"Beginner, Intermediate")</f>
        <v>Beginner, Intermediate</v>
      </c>
      <c r="AC20" s="217" t="str">
        <f ca="1">IFERROR(__xludf.DUMMYFUNCTION("""COMPUTED_VALUE"""),"O Poder das Histórias no Contexto das Vendas")</f>
        <v>O Poder das Histórias no Contexto das Vendas</v>
      </c>
      <c r="AD20" s="217"/>
      <c r="AE20" s="213"/>
      <c r="AF20" s="215"/>
      <c r="AG20" s="215"/>
      <c r="AH20" s="217"/>
      <c r="AI20" s="217"/>
      <c r="AJ20" s="213"/>
    </row>
    <row r="21" spans="1:36" ht="33.75" customHeight="1">
      <c r="A21" s="213"/>
      <c r="B21" s="214">
        <f ca="1">IFERROR(__xludf.DUMMYFUNCTION("""COMPUTED_VALUE"""),2807101)</f>
        <v>2807101</v>
      </c>
      <c r="C21" s="215" t="str">
        <f ca="1">IFERROR(__xludf.DUMMYFUNCTION("""COMPUTED_VALUE"""),"Beginner")</f>
        <v>Beginner</v>
      </c>
      <c r="D21" s="216" t="str">
        <f ca="1">IFERROR(__xludf.DUMMYFUNCTION("""COMPUTED_VALUE"""),"Sales Discovery")</f>
        <v>Sales Discovery</v>
      </c>
      <c r="E21" s="217"/>
      <c r="F21" s="213"/>
      <c r="G21" s="214">
        <f ca="1">IFERROR(__xludf.DUMMYFUNCTION("""COMPUTED_VALUE"""),2822359)</f>
        <v>2822359</v>
      </c>
      <c r="H21" s="215" t="str">
        <f ca="1">IFERROR(__xludf.DUMMYFUNCTION("""COMPUTED_VALUE"""),"Beginner")</f>
        <v>Beginner</v>
      </c>
      <c r="I21" s="217" t="str">
        <f ca="1">IFERROR(__xludf.DUMMYFUNCTION("""COMPUTED_VALUE"""),"Les fondements de la négociation")</f>
        <v>Les fondements de la négociation</v>
      </c>
      <c r="J21" s="217"/>
      <c r="K21" s="213"/>
      <c r="L21" s="215">
        <f ca="1">IFERROR(__xludf.DUMMYFUNCTION("""COMPUTED_VALUE"""),472509)</f>
        <v>472509</v>
      </c>
      <c r="M21" s="215" t="str">
        <f ca="1">IFERROR(__xludf.DUMMYFUNCTION("""COMPUTED_VALUE"""),"Beginner")</f>
        <v>Beginner</v>
      </c>
      <c r="N21" s="217" t="str">
        <f ca="1">IFERROR(__xludf.DUMMYFUNCTION("""COMPUTED_VALUE"""),"Fundamentos de las ventas")</f>
        <v>Fundamentos de las ventas</v>
      </c>
      <c r="O21" s="217"/>
      <c r="P21" s="213"/>
      <c r="Q21" s="215">
        <f ca="1">IFERROR(__xludf.DUMMYFUNCTION("""COMPUTED_VALUE"""),3107956)</f>
        <v>3107956</v>
      </c>
      <c r="R21" s="215" t="str">
        <f ca="1">IFERROR(__xludf.DUMMYFUNCTION("""COMPUTED_VALUE"""),"Intermediate")</f>
        <v>Intermediate</v>
      </c>
      <c r="S21" s="217" t="str">
        <f ca="1">IFERROR(__xludf.DUMMYFUNCTION("""COMPUTED_VALUE"""),"Kunden gewinnen mit Online-Präsentationen")</f>
        <v>Kunden gewinnen mit Online-Präsentationen</v>
      </c>
      <c r="T21" s="217"/>
      <c r="U21" s="213"/>
      <c r="V21" s="215"/>
      <c r="W21" s="215"/>
      <c r="X21" s="217"/>
      <c r="Y21" s="217"/>
      <c r="Z21" s="213"/>
      <c r="AA21" s="215">
        <f ca="1">IFERROR(__xludf.DUMMYFUNCTION("""COMPUTED_VALUE"""),2908965)</f>
        <v>2908965</v>
      </c>
      <c r="AB21" s="215" t="str">
        <f ca="1">IFERROR(__xludf.DUMMYFUNCTION("""COMPUTED_VALUE"""),"Intermediate")</f>
        <v>Intermediate</v>
      </c>
      <c r="AC21" s="217" t="str">
        <f ca="1">IFERROR(__xludf.DUMMYFUNCTION("""COMPUTED_VALUE"""),"O Poder das Histórias no Contexto das Vendas, Parte 2: Histórias que Fazem Sucesso")</f>
        <v>O Poder das Histórias no Contexto das Vendas, Parte 2: Histórias que Fazem Sucesso</v>
      </c>
      <c r="AD21" s="217"/>
      <c r="AE21" s="213"/>
      <c r="AF21" s="215"/>
      <c r="AG21" s="215"/>
      <c r="AH21" s="217"/>
      <c r="AI21" s="217"/>
      <c r="AJ21" s="213"/>
    </row>
    <row r="22" spans="1:36" ht="33.75" customHeight="1">
      <c r="A22" s="213"/>
      <c r="B22" s="214">
        <f ca="1">IFERROR(__xludf.DUMMYFUNCTION("""COMPUTED_VALUE"""),2815116)</f>
        <v>2815116</v>
      </c>
      <c r="C22" s="215" t="str">
        <f ca="1">IFERROR(__xludf.DUMMYFUNCTION("""COMPUTED_VALUE"""),"Beginner")</f>
        <v>Beginner</v>
      </c>
      <c r="D22" s="216" t="str">
        <f ca="1">IFERROR(__xludf.DUMMYFUNCTION("""COMPUTED_VALUE"""),"Social Selling Foundations")</f>
        <v>Social Selling Foundations</v>
      </c>
      <c r="E22" s="217"/>
      <c r="F22" s="213"/>
      <c r="G22" s="214">
        <f ca="1">IFERROR(__xludf.DUMMYFUNCTION("""COMPUTED_VALUE"""),793675)</f>
        <v>793675</v>
      </c>
      <c r="H22" s="215" t="str">
        <f ca="1">IFERROR(__xludf.DUMMYFUNCTION("""COMPUTED_VALUE"""),"Beginner")</f>
        <v>Beginner</v>
      </c>
      <c r="I22" s="217" t="str">
        <f ca="1">IFERROR(__xludf.DUMMYFUNCTION("""COMPUTED_VALUE"""),"Les fondements de la prévision commerciale")</f>
        <v>Les fondements de la prévision commerciale</v>
      </c>
      <c r="J22" s="217"/>
      <c r="K22" s="213"/>
      <c r="L22" s="215">
        <f ca="1">IFERROR(__xludf.DUMMYFUNCTION("""COMPUTED_VALUE"""),2219822)</f>
        <v>2219822</v>
      </c>
      <c r="M22" s="215" t="str">
        <f ca="1">IFERROR(__xludf.DUMMYFUNCTION("""COMPUTED_VALUE"""),"Beginner")</f>
        <v>Beginner</v>
      </c>
      <c r="N22" s="217" t="str">
        <f ca="1">IFERROR(__xludf.DUMMYFUNCTION("""COMPUTED_VALUE"""),"Fundamentos de marketing B2B")</f>
        <v>Fundamentos de marketing B2B</v>
      </c>
      <c r="O22" s="217"/>
      <c r="P22" s="213"/>
      <c r="Q22" s="215">
        <f ca="1">IFERROR(__xludf.DUMMYFUNCTION("""COMPUTED_VALUE"""),612532)</f>
        <v>612532</v>
      </c>
      <c r="R22" s="215" t="str">
        <f ca="1">IFERROR(__xludf.DUMMYFUNCTION("""COMPUTED_VALUE"""),"Beginner, Intermediate")</f>
        <v>Beginner, Intermediate</v>
      </c>
      <c r="S22" s="217" t="str">
        <f ca="1">IFERROR(__xludf.DUMMYFUNCTION("""COMPUTED_VALUE"""),"Magento für Entwickler:innen")</f>
        <v>Magento für Entwickler:innen</v>
      </c>
      <c r="T22" s="217"/>
      <c r="U22" s="213"/>
      <c r="V22" s="215"/>
      <c r="W22" s="215"/>
      <c r="X22" s="217"/>
      <c r="Y22" s="217"/>
      <c r="Z22" s="213"/>
      <c r="AA22" s="215">
        <f ca="1">IFERROR(__xludf.DUMMYFUNCTION("""COMPUTED_VALUE"""),2878084)</f>
        <v>2878084</v>
      </c>
      <c r="AB22" s="215" t="str">
        <f ca="1">IFERROR(__xludf.DUMMYFUNCTION("""COMPUTED_VALUE"""),"All levels")</f>
        <v>All levels</v>
      </c>
      <c r="AC22" s="217" t="str">
        <f ca="1">IFERROR(__xludf.DUMMYFUNCTION("""COMPUTED_VALUE"""),"Quarta Revolução Industrial: Estratégias de Negócios")</f>
        <v>Quarta Revolução Industrial: Estratégias de Negócios</v>
      </c>
      <c r="AD22" s="217"/>
      <c r="AE22" s="213"/>
      <c r="AF22" s="215"/>
      <c r="AG22" s="215"/>
      <c r="AH22" s="217"/>
      <c r="AI22" s="217"/>
      <c r="AJ22" s="213"/>
    </row>
    <row r="23" spans="1:36" ht="33.75" customHeight="1">
      <c r="A23" s="213"/>
      <c r="B23" s="214">
        <f ca="1">IFERROR(__xludf.DUMMYFUNCTION("""COMPUTED_VALUE"""),2822580)</f>
        <v>2822580</v>
      </c>
      <c r="C23" s="215" t="str">
        <f ca="1">IFERROR(__xludf.DUMMYFUNCTION("""COMPUTED_VALUE"""),"Beginner")</f>
        <v>Beginner</v>
      </c>
      <c r="D23" s="216" t="str">
        <f ca="1">IFERROR(__xludf.DUMMYFUNCTION("""COMPUTED_VALUE"""),"Customer Success Management Fundamentals")</f>
        <v>Customer Success Management Fundamentals</v>
      </c>
      <c r="E23" s="217"/>
      <c r="F23" s="213"/>
      <c r="G23" s="214">
        <f ca="1">IFERROR(__xludf.DUMMYFUNCTION("""COMPUTED_VALUE"""),533122)</f>
        <v>533122</v>
      </c>
      <c r="H23" s="215" t="str">
        <f ca="1">IFERROR(__xludf.DUMMYFUNCTION("""COMPUTED_VALUE"""),"Beginner")</f>
        <v>Beginner</v>
      </c>
      <c r="I23" s="217" t="str">
        <f ca="1">IFERROR(__xludf.DUMMYFUNCTION("""COMPUTED_VALUE"""),"Les fondements de la vente")</f>
        <v>Les fondements de la vente</v>
      </c>
      <c r="J23" s="217"/>
      <c r="K23" s="213"/>
      <c r="L23" s="215">
        <f ca="1">IFERROR(__xludf.DUMMYFUNCTION("""COMPUTED_VALUE"""),800900)</f>
        <v>800900</v>
      </c>
      <c r="M23" s="215" t="str">
        <f ca="1">IFERROR(__xludf.DUMMYFUNCTION("""COMPUTED_VALUE"""),"Intermediate")</f>
        <v>Intermediate</v>
      </c>
      <c r="N23" s="217" t="str">
        <f ca="1">IFERROR(__xludf.DUMMYFUNCTION("""COMPUTED_VALUE"""),"Gestión de clientes potenciales")</f>
        <v>Gestión de clientes potenciales</v>
      </c>
      <c r="O23" s="217"/>
      <c r="P23" s="213"/>
      <c r="Q23" s="215">
        <f ca="1">IFERROR(__xludf.DUMMYFUNCTION("""COMPUTED_VALUE"""),612531)</f>
        <v>612531</v>
      </c>
      <c r="R23" s="215" t="str">
        <f ca="1">IFERROR(__xludf.DUMMYFUNCTION("""COMPUTED_VALUE"""),"Beginner")</f>
        <v>Beginner</v>
      </c>
      <c r="S23" s="217" t="str">
        <f ca="1">IFERROR(__xludf.DUMMYFUNCTION("""COMPUTED_VALUE"""),"Magento Grundkurs")</f>
        <v>Magento Grundkurs</v>
      </c>
      <c r="T23" s="217"/>
      <c r="U23" s="213"/>
      <c r="V23" s="215"/>
      <c r="W23" s="215"/>
      <c r="X23" s="217"/>
      <c r="Y23" s="217"/>
      <c r="Z23" s="213"/>
      <c r="AA23" s="215">
        <f ca="1">IFERROR(__xludf.DUMMYFUNCTION("""COMPUTED_VALUE"""),2876144)</f>
        <v>2876144</v>
      </c>
      <c r="AB23" s="215" t="str">
        <f ca="1">IFERROR(__xludf.DUMMYFUNCTION("""COMPUTED_VALUE"""),"Beginner")</f>
        <v>Beginner</v>
      </c>
      <c r="AC23" s="217" t="str">
        <f ca="1">IFERROR(__xludf.DUMMYFUNCTION("""COMPUTED_VALUE"""),"Quarta Revolução Industrial: Novos Modelos de Vendas")</f>
        <v>Quarta Revolução Industrial: Novos Modelos de Vendas</v>
      </c>
      <c r="AD23" s="217"/>
      <c r="AE23" s="213"/>
      <c r="AF23" s="215"/>
      <c r="AG23" s="215"/>
      <c r="AH23" s="217"/>
      <c r="AI23" s="217"/>
      <c r="AJ23" s="213"/>
    </row>
    <row r="24" spans="1:36" ht="33.75" customHeight="1">
      <c r="A24" s="213"/>
      <c r="B24" s="214">
        <f ca="1">IFERROR(__xludf.DUMMYFUNCTION("""COMPUTED_VALUE"""),2822581)</f>
        <v>2822581</v>
      </c>
      <c r="C24" s="215" t="str">
        <f ca="1">IFERROR(__xludf.DUMMYFUNCTION("""COMPUTED_VALUE"""),"Beginner")</f>
        <v>Beginner</v>
      </c>
      <c r="D24" s="216" t="str">
        <f ca="1">IFERROR(__xludf.DUMMYFUNCTION("""COMPUTED_VALUE"""),"Value Realization Best Practices for Customer Success Management")</f>
        <v>Value Realization Best Practices for Customer Success Management</v>
      </c>
      <c r="E24" s="217"/>
      <c r="F24" s="213"/>
      <c r="G24" s="214">
        <f ca="1">IFERROR(__xludf.DUMMYFUNCTION("""COMPUTED_VALUE"""),2824208)</f>
        <v>2824208</v>
      </c>
      <c r="H24" s="215" t="str">
        <f ca="1">IFERROR(__xludf.DUMMYFUNCTION("""COMPUTED_VALUE"""),"Intermediate")</f>
        <v>Intermediate</v>
      </c>
      <c r="I24" s="217" t="str">
        <f ca="1">IFERROR(__xludf.DUMMYFUNCTION("""COMPUTED_VALUE"""),"Les soft skills pour les commerciaux / commerciales")</f>
        <v>Les soft skills pour les commerciaux / commerciales</v>
      </c>
      <c r="J24" s="217"/>
      <c r="K24" s="213"/>
      <c r="L24" s="215">
        <f ca="1">IFERROR(__xludf.DUMMYFUNCTION("""COMPUTED_VALUE"""),5025684)</f>
        <v>5025684</v>
      </c>
      <c r="M24" s="215" t="str">
        <f ca="1">IFERROR(__xludf.DUMMYFUNCTION("""COMPUTED_VALUE"""),"Intermediate")</f>
        <v>Intermediate</v>
      </c>
      <c r="N24" s="217" t="str">
        <f ca="1">IFERROR(__xludf.DUMMYFUNCTION("""COMPUTED_VALUE"""),"Gestión de las expectativas de los clientes para gerentes")</f>
        <v>Gestión de las expectativas de los clientes para gerentes</v>
      </c>
      <c r="O24" s="217"/>
      <c r="P24" s="213"/>
      <c r="Q24" s="215">
        <f ca="1">IFERROR(__xludf.DUMMYFUNCTION("""COMPUTED_VALUE"""),2908730)</f>
        <v>2908730</v>
      </c>
      <c r="R24" s="215" t="str">
        <f ca="1">IFERROR(__xludf.DUMMYFUNCTION("""COMPUTED_VALUE"""),"Beginner, Intermediate")</f>
        <v>Beginner, Intermediate</v>
      </c>
      <c r="S24" s="217" t="str">
        <f ca="1">IFERROR(__xludf.DUMMYFUNCTION("""COMPUTED_VALUE"""),"Mehr Aufmerksamkeit in Verkauf und Vertrieb")</f>
        <v>Mehr Aufmerksamkeit in Verkauf und Vertrieb</v>
      </c>
      <c r="T24" s="217"/>
      <c r="U24" s="213"/>
      <c r="V24" s="215"/>
      <c r="W24" s="215"/>
      <c r="X24" s="217"/>
      <c r="Y24" s="217"/>
      <c r="Z24" s="213"/>
      <c r="AA24" s="215">
        <f ca="1">IFERROR(__xludf.DUMMYFUNCTION("""COMPUTED_VALUE"""),2931597)</f>
        <v>2931597</v>
      </c>
      <c r="AB24" s="215" t="str">
        <f ca="1">IFERROR(__xludf.DUMMYFUNCTION("""COMPUTED_VALUE"""),"Advanced")</f>
        <v>Advanced</v>
      </c>
      <c r="AC24" s="217" t="str">
        <f ca="1">IFERROR(__xludf.DUMMYFUNCTION("""COMPUTED_VALUE"""),"Técnicas de Fechamento de Vendas")</f>
        <v>Técnicas de Fechamento de Vendas</v>
      </c>
      <c r="AD24" s="217"/>
      <c r="AE24" s="213"/>
      <c r="AF24" s="215"/>
      <c r="AG24" s="215"/>
      <c r="AH24" s="217"/>
      <c r="AI24" s="217"/>
      <c r="AJ24" s="213"/>
    </row>
    <row r="25" spans="1:36" ht="33.75" customHeight="1">
      <c r="A25" s="213"/>
      <c r="B25" s="214">
        <f ca="1">IFERROR(__xludf.DUMMYFUNCTION("""COMPUTED_VALUE"""),2822582)</f>
        <v>2822582</v>
      </c>
      <c r="C25" s="215" t="str">
        <f ca="1">IFERROR(__xludf.DUMMYFUNCTION("""COMPUTED_VALUE"""),"Beginner")</f>
        <v>Beginner</v>
      </c>
      <c r="D25" s="216" t="str">
        <f ca="1">IFERROR(__xludf.DUMMYFUNCTION("""COMPUTED_VALUE"""),"Avoiding Common Pitfalls in Customer Success Management")</f>
        <v>Avoiding Common Pitfalls in Customer Success Management</v>
      </c>
      <c r="E25" s="217"/>
      <c r="F25" s="213"/>
      <c r="G25" s="214">
        <f ca="1">IFERROR(__xludf.DUMMYFUNCTION("""COMPUTED_VALUE"""),707941)</f>
        <v>707941</v>
      </c>
      <c r="H25" s="215" t="str">
        <f ca="1">IFERROR(__xludf.DUMMYFUNCTION("""COMPUTED_VALUE"""),"Intermediate")</f>
        <v>Intermediate</v>
      </c>
      <c r="I25" s="217" t="str">
        <f ca="1">IFERROR(__xludf.DUMMYFUNCTION("""COMPUTED_VALUE"""),"Mesurer la performance des ventes et créer des rapports")</f>
        <v>Mesurer la performance des ventes et créer des rapports</v>
      </c>
      <c r="J25" s="217"/>
      <c r="K25" s="213"/>
      <c r="L25" s="215">
        <f ca="1">IFERROR(__xludf.DUMMYFUNCTION("""COMPUTED_VALUE"""),3157237)</f>
        <v>3157237</v>
      </c>
      <c r="M25" s="215" t="str">
        <f ca="1">IFERROR(__xludf.DUMMYFUNCTION("""COMPUTED_VALUE"""),"All levels")</f>
        <v>All levels</v>
      </c>
      <c r="N25" s="217" t="str">
        <f ca="1">IFERROR(__xludf.DUMMYFUNCTION("""COMPUTED_VALUE"""),"Habilidades blandas para profesionales de las ventas")</f>
        <v>Habilidades blandas para profesionales de las ventas</v>
      </c>
      <c r="O25" s="217"/>
      <c r="P25" s="213"/>
      <c r="Q25" s="215">
        <f ca="1">IFERROR(__xludf.DUMMYFUNCTION("""COMPUTED_VALUE"""),645722)</f>
        <v>645722</v>
      </c>
      <c r="R25" s="215" t="str">
        <f ca="1">IFERROR(__xludf.DUMMYFUNCTION("""COMPUTED_VALUE"""),"Intermediate")</f>
        <v>Intermediate</v>
      </c>
      <c r="S25" s="217" t="str">
        <f ca="1">IFERROR(__xludf.DUMMYFUNCTION("""COMPUTED_VALUE"""),"Mit schwierigen Kunden umgehen")</f>
        <v>Mit schwierigen Kunden umgehen</v>
      </c>
      <c r="T25" s="217"/>
      <c r="U25" s="213"/>
      <c r="V25" s="215"/>
      <c r="W25" s="215"/>
      <c r="X25" s="217"/>
      <c r="Y25" s="217"/>
      <c r="Z25" s="213"/>
      <c r="AA25" s="215">
        <f ca="1">IFERROR(__xludf.DUMMYFUNCTION("""COMPUTED_VALUE"""),2910530)</f>
        <v>2910530</v>
      </c>
      <c r="AB25" s="215" t="str">
        <f ca="1">IFERROR(__xludf.DUMMYFUNCTION("""COMPUTED_VALUE"""),"Intermediate")</f>
        <v>Intermediate</v>
      </c>
      <c r="AC25" s="217" t="str">
        <f ca="1">IFERROR(__xludf.DUMMYFUNCTION("""COMPUTED_VALUE"""),"Técnicas de Persuasão em Vendas")</f>
        <v>Técnicas de Persuasão em Vendas</v>
      </c>
      <c r="AD25" s="217"/>
      <c r="AE25" s="213"/>
      <c r="AF25" s="215"/>
      <c r="AG25" s="215"/>
      <c r="AH25" s="217"/>
      <c r="AI25" s="217"/>
      <c r="AJ25" s="213"/>
    </row>
    <row r="26" spans="1:36" ht="33.75" customHeight="1">
      <c r="A26" s="213"/>
      <c r="B26" s="214">
        <f ca="1">IFERROR(__xludf.DUMMYFUNCTION("""COMPUTED_VALUE"""),2823488)</f>
        <v>2823488</v>
      </c>
      <c r="C26" s="215" t="str">
        <f ca="1">IFERROR(__xludf.DUMMYFUNCTION("""COMPUTED_VALUE"""),"Beginner")</f>
        <v>Beginner</v>
      </c>
      <c r="D26" s="216" t="str">
        <f ca="1">IFERROR(__xludf.DUMMYFUNCTION("""COMPUTED_VALUE"""),"Onboarding and Adoption Best Practices for Customer Success Management")</f>
        <v>Onboarding and Adoption Best Practices for Customer Success Management</v>
      </c>
      <c r="E26" s="217"/>
      <c r="F26" s="213"/>
      <c r="G26" s="214">
        <f ca="1">IFERROR(__xludf.DUMMYFUNCTION("""COMPUTED_VALUE"""),531470)</f>
        <v>531470</v>
      </c>
      <c r="H26" s="215" t="str">
        <f ca="1">IFERROR(__xludf.DUMMYFUNCTION("""COMPUTED_VALUE"""),"Intermediate")</f>
        <v>Intermediate</v>
      </c>
      <c r="I26" s="217" t="str">
        <f ca="1">IFERROR(__xludf.DUMMYFUNCTION("""COMPUTED_VALUE"""),"Négocier ses ventes")</f>
        <v>Négocier ses ventes</v>
      </c>
      <c r="J26" s="217"/>
      <c r="K26" s="213"/>
      <c r="L26" s="215">
        <f ca="1">IFERROR(__xludf.DUMMYFUNCTION("""COMPUTED_VALUE"""),477690)</f>
        <v>477690</v>
      </c>
      <c r="M26" s="215" t="str">
        <f ca="1">IFERROR(__xludf.DUMMYFUNCTION("""COMPUTED_VALUE"""),"Intermediate")</f>
        <v>Intermediate</v>
      </c>
      <c r="N26" s="217" t="str">
        <f ca="1">IFERROR(__xludf.DUMMYFUNCTION("""COMPUTED_VALUE"""),"La ciencia de las ventas")</f>
        <v>La ciencia de las ventas</v>
      </c>
      <c r="O26" s="217"/>
      <c r="P26" s="213"/>
      <c r="Q26" s="215">
        <f ca="1">IFERROR(__xludf.DUMMYFUNCTION("""COMPUTED_VALUE"""),759352)</f>
        <v>759352</v>
      </c>
      <c r="R26" s="215" t="str">
        <f ca="1">IFERROR(__xludf.DUMMYFUNCTION("""COMPUTED_VALUE"""),"Intermediate")</f>
        <v>Intermediate</v>
      </c>
      <c r="S26" s="217" t="str">
        <f ca="1">IFERROR(__xludf.DUMMYFUNCTION("""COMPUTED_VALUE"""),"Neue Kunden finden")</f>
        <v>Neue Kunden finden</v>
      </c>
      <c r="T26" s="217"/>
      <c r="U26" s="213"/>
      <c r="V26" s="215"/>
      <c r="W26" s="215"/>
      <c r="X26" s="217"/>
      <c r="Y26" s="217"/>
      <c r="Z26" s="213"/>
      <c r="AA26" s="215"/>
      <c r="AB26" s="215"/>
      <c r="AC26" s="217"/>
      <c r="AD26" s="217"/>
      <c r="AE26" s="213"/>
      <c r="AF26" s="215"/>
      <c r="AG26" s="215"/>
      <c r="AH26" s="217"/>
      <c r="AI26" s="217"/>
      <c r="AJ26" s="213"/>
    </row>
    <row r="27" spans="1:36" ht="33.75" customHeight="1">
      <c r="A27" s="213"/>
      <c r="B27" s="214">
        <f ca="1">IFERROR(__xludf.DUMMYFUNCTION("""COMPUTED_VALUE"""),2823513)</f>
        <v>2823513</v>
      </c>
      <c r="C27" s="215" t="str">
        <f ca="1">IFERROR(__xludf.DUMMYFUNCTION("""COMPUTED_VALUE"""),"Beginner")</f>
        <v>Beginner</v>
      </c>
      <c r="D27" s="216" t="str">
        <f ca="1">IFERROR(__xludf.DUMMYFUNCTION("""COMPUTED_VALUE"""),"Business Analytics: Sales Data")</f>
        <v>Business Analytics: Sales Data</v>
      </c>
      <c r="E27" s="217"/>
      <c r="F27" s="213"/>
      <c r="G27" s="214">
        <f ca="1">IFERROR(__xludf.DUMMYFUNCTION("""COMPUTED_VALUE"""),533783)</f>
        <v>533783</v>
      </c>
      <c r="H27" s="215" t="str">
        <f ca="1">IFERROR(__xludf.DUMMYFUNCTION("""COMPUTED_VALUE"""),"Intermediate")</f>
        <v>Intermediate</v>
      </c>
      <c r="I27" s="217" t="str">
        <f ca="1">IFERROR(__xludf.DUMMYFUNCTION("""COMPUTED_VALUE"""),"Perfectionner ses techniques de vente avec le SPIN Selling")</f>
        <v>Perfectionner ses techniques de vente avec le SPIN Selling</v>
      </c>
      <c r="J27" s="217"/>
      <c r="K27" s="213"/>
      <c r="L27" s="215">
        <f ca="1">IFERROR(__xludf.DUMMYFUNCTION("""COMPUTED_VALUE"""),5025689)</f>
        <v>5025689</v>
      </c>
      <c r="M27" s="215" t="str">
        <f ca="1">IFERROR(__xludf.DUMMYFUNCTION("""COMPUTED_VALUE"""),"Intermediate")</f>
        <v>Intermediate</v>
      </c>
      <c r="N27" s="217" t="str">
        <f ca="1">IFERROR(__xludf.DUMMYFUNCTION("""COMPUTED_VALUE"""),"La venta persuasiva")</f>
        <v>La venta persuasiva</v>
      </c>
      <c r="O27" s="217"/>
      <c r="P27" s="213"/>
      <c r="Q27" s="215">
        <f ca="1">IFERROR(__xludf.DUMMYFUNCTION("""COMPUTED_VALUE"""),703239)</f>
        <v>703239</v>
      </c>
      <c r="R27" s="215" t="str">
        <f ca="1">IFERROR(__xludf.DUMMYFUNCTION("""COMPUTED_VALUE"""),"Beginner, Intermediate")</f>
        <v>Beginner, Intermediate</v>
      </c>
      <c r="S27" s="217" t="str">
        <f ca="1">IFERROR(__xludf.DUMMYFUNCTION("""COMPUTED_VALUE"""),"Preisgespräche im Verkauf")</f>
        <v>Preisgespräche im Verkauf</v>
      </c>
      <c r="T27" s="217"/>
      <c r="U27" s="213"/>
      <c r="V27" s="215"/>
      <c r="W27" s="215"/>
      <c r="X27" s="217"/>
      <c r="Y27" s="217"/>
      <c r="Z27" s="213"/>
      <c r="AA27" s="215"/>
      <c r="AB27" s="215"/>
      <c r="AC27" s="217"/>
      <c r="AD27" s="217"/>
      <c r="AE27" s="213"/>
      <c r="AF27" s="215"/>
      <c r="AG27" s="215"/>
      <c r="AH27" s="217"/>
      <c r="AI27" s="217"/>
      <c r="AJ27" s="213"/>
    </row>
    <row r="28" spans="1:36" ht="33.75" customHeight="1">
      <c r="A28" s="213"/>
      <c r="B28" s="214">
        <f ca="1">IFERROR(__xludf.DUMMYFUNCTION("""COMPUTED_VALUE"""),2824204)</f>
        <v>2824204</v>
      </c>
      <c r="C28" s="215" t="str">
        <f ca="1">IFERROR(__xludf.DUMMYFUNCTION("""COMPUTED_VALUE"""),"Beginner")</f>
        <v>Beginner</v>
      </c>
      <c r="D28" s="216" t="str">
        <f ca="1">IFERROR(__xludf.DUMMYFUNCTION("""COMPUTED_VALUE"""),"Cold Calling Mastery")</f>
        <v>Cold Calling Mastery</v>
      </c>
      <c r="E28" s="217"/>
      <c r="F28" s="213"/>
      <c r="G28" s="214">
        <f ca="1">IFERROR(__xludf.DUMMYFUNCTION("""COMPUTED_VALUE"""),561046)</f>
        <v>561046</v>
      </c>
      <c r="H28" s="215" t="str">
        <f ca="1">IFERROR(__xludf.DUMMYFUNCTION("""COMPUTED_VALUE"""),"Intermediate")</f>
        <v>Intermediate</v>
      </c>
      <c r="I28" s="217" t="str">
        <f ca="1">IFERROR(__xludf.DUMMYFUNCTION("""COMPUTED_VALUE"""),"Poser des questions de vente pertinentes")</f>
        <v>Poser des questions de vente pertinentes</v>
      </c>
      <c r="J28" s="217"/>
      <c r="K28" s="213"/>
      <c r="L28" s="215">
        <f ca="1">IFERROR(__xludf.DUMMYFUNCTION("""COMPUTED_VALUE"""),2813366)</f>
        <v>2813366</v>
      </c>
      <c r="M28" s="215" t="str">
        <f ca="1">IFERROR(__xludf.DUMMYFUNCTION("""COMPUTED_VALUE"""),"Beginner")</f>
        <v>Beginner</v>
      </c>
      <c r="N28" s="217" t="str">
        <f ca="1">IFERROR(__xludf.DUMMYFUNCTION("""COMPUTED_VALUE"""),"LinkedIn para ventas")</f>
        <v>LinkedIn para ventas</v>
      </c>
      <c r="O28" s="217"/>
      <c r="P28" s="213"/>
      <c r="Q28" s="215">
        <f ca="1">IFERROR(__xludf.DUMMYFUNCTION("""COMPUTED_VALUE"""),2873327)</f>
        <v>2873327</v>
      </c>
      <c r="R28" s="215" t="str">
        <f ca="1">IFERROR(__xludf.DUMMYFUNCTION("""COMPUTED_VALUE"""),"All levels")</f>
        <v>All levels</v>
      </c>
      <c r="S28" s="217" t="str">
        <f ca="1">IFERROR(__xludf.DUMMYFUNCTION("""COMPUTED_VALUE"""),"Preisheiten: Alles, was Sie über Preise wissen müssen (Blinkist Kernaussagen)")</f>
        <v>Preisheiten: Alles, was Sie über Preise wissen müssen (Blinkist Kernaussagen)</v>
      </c>
      <c r="T28" s="217"/>
      <c r="U28" s="213"/>
      <c r="V28" s="215"/>
      <c r="W28" s="215"/>
      <c r="X28" s="217"/>
      <c r="Y28" s="217"/>
      <c r="Z28" s="213"/>
      <c r="AA28" s="215"/>
      <c r="AB28" s="215"/>
      <c r="AC28" s="217"/>
      <c r="AD28" s="217"/>
      <c r="AE28" s="213"/>
      <c r="AF28" s="215"/>
      <c r="AG28" s="215"/>
      <c r="AH28" s="217"/>
      <c r="AI28" s="217"/>
      <c r="AJ28" s="213"/>
    </row>
    <row r="29" spans="1:36" ht="33.75" customHeight="1">
      <c r="A29" s="213"/>
      <c r="B29" s="214">
        <f ca="1">IFERROR(__xludf.DUMMYFUNCTION("""COMPUTED_VALUE"""),2824265)</f>
        <v>2824265</v>
      </c>
      <c r="C29" s="215" t="str">
        <f ca="1">IFERROR(__xludf.DUMMYFUNCTION("""COMPUTED_VALUE"""),"Beginner")</f>
        <v>Beginner</v>
      </c>
      <c r="D29" s="216" t="str">
        <f ca="1">IFERROR(__xludf.DUMMYFUNCTION("""COMPUTED_VALUE"""),"Prepare Yourself for a Career in Sales")</f>
        <v>Prepare Yourself for a Career in Sales</v>
      </c>
      <c r="E29" s="217"/>
      <c r="F29" s="213"/>
      <c r="G29" s="214">
        <f ca="1">IFERROR(__xludf.DUMMYFUNCTION("""COMPUTED_VALUE"""),2841377)</f>
        <v>2841377</v>
      </c>
      <c r="H29" s="215" t="str">
        <f ca="1">IFERROR(__xludf.DUMMYFUNCTION("""COMPUTED_VALUE"""),"Intermediate")</f>
        <v>Intermediate</v>
      </c>
      <c r="I29" s="217" t="str">
        <f ca="1">IFERROR(__xludf.DUMMYFUNCTION("""COMPUTED_VALUE"""),"Prospecter sur LinkedIn")</f>
        <v>Prospecter sur LinkedIn</v>
      </c>
      <c r="J29" s="217"/>
      <c r="K29" s="213"/>
      <c r="L29" s="215">
        <f ca="1">IFERROR(__xludf.DUMMYFUNCTION("""COMPUTED_VALUE"""),2928131)</f>
        <v>2928131</v>
      </c>
      <c r="M29" s="215" t="str">
        <f ca="1">IFERROR(__xludf.DUMMYFUNCTION("""COMPUTED_VALUE"""),"Beginner, Intermediate")</f>
        <v>Beginner, Intermediate</v>
      </c>
      <c r="N29" s="217" t="str">
        <f ca="1">IFERROR(__xludf.DUMMYFUNCTION("""COMPUTED_VALUE"""),"Salesforce esencial")</f>
        <v>Salesforce esencial</v>
      </c>
      <c r="O29" s="217"/>
      <c r="P29" s="213"/>
      <c r="Q29" s="215">
        <f ca="1">IFERROR(__xludf.DUMMYFUNCTION("""COMPUTED_VALUE"""),768249)</f>
        <v>768249</v>
      </c>
      <c r="R29" s="215" t="str">
        <f ca="1">IFERROR(__xludf.DUMMYFUNCTION("""COMPUTED_VALUE"""),"All levels")</f>
        <v>All levels</v>
      </c>
      <c r="S29" s="217" t="str">
        <f ca="1">IFERROR(__xludf.DUMMYFUNCTION("""COMPUTED_VALUE"""),"Rechtsgrundlagen: E-Mail-Marketing")</f>
        <v>Rechtsgrundlagen: E-Mail-Marketing</v>
      </c>
      <c r="T29" s="217"/>
      <c r="U29" s="213"/>
      <c r="V29" s="215"/>
      <c r="W29" s="215"/>
      <c r="X29" s="217"/>
      <c r="Y29" s="217"/>
      <c r="Z29" s="213"/>
      <c r="AA29" s="215"/>
      <c r="AB29" s="215"/>
      <c r="AC29" s="217"/>
      <c r="AD29" s="217"/>
      <c r="AE29" s="213"/>
      <c r="AF29" s="215"/>
      <c r="AG29" s="215"/>
      <c r="AH29" s="217"/>
      <c r="AI29" s="217"/>
      <c r="AJ29" s="213"/>
    </row>
    <row r="30" spans="1:36" ht="33.75" customHeight="1">
      <c r="A30" s="213"/>
      <c r="B30" s="214">
        <f ca="1">IFERROR(__xludf.DUMMYFUNCTION("""COMPUTED_VALUE"""),2824356)</f>
        <v>2824356</v>
      </c>
      <c r="C30" s="215" t="str">
        <f ca="1">IFERROR(__xludf.DUMMYFUNCTION("""COMPUTED_VALUE"""),"Beginner")</f>
        <v>Beginner</v>
      </c>
      <c r="D30" s="216" t="str">
        <f ca="1">IFERROR(__xludf.DUMMYFUNCTION("""COMPUTED_VALUE"""),"Engagement Preparation Best Practices for Customer Success Management")</f>
        <v>Engagement Preparation Best Practices for Customer Success Management</v>
      </c>
      <c r="E30" s="217"/>
      <c r="F30" s="213"/>
      <c r="G30" s="214">
        <f ca="1">IFERROR(__xludf.DUMMYFUNCTION("""COMPUTED_VALUE"""),2251374)</f>
        <v>2251374</v>
      </c>
      <c r="H30" s="215" t="str">
        <f ca="1">IFERROR(__xludf.DUMMYFUNCTION("""COMPUTED_VALUE"""),"Advanced")</f>
        <v>Advanced</v>
      </c>
      <c r="I30" s="217" t="str">
        <f ca="1">IFERROR(__xludf.DUMMYFUNCTION("""COMPUTED_VALUE"""),"Réaliser des reportings et des budgets pour convaincre")</f>
        <v>Réaliser des reportings et des budgets pour convaincre</v>
      </c>
      <c r="J30" s="217"/>
      <c r="K30" s="213"/>
      <c r="L30" s="215">
        <f ca="1">IFERROR(__xludf.DUMMYFUNCTION("""COMPUTED_VALUE"""),2930087)</f>
        <v>2930087</v>
      </c>
      <c r="M30" s="215" t="str">
        <f ca="1">IFERROR(__xludf.DUMMYFUNCTION("""COMPUTED_VALUE"""),"Intermediate")</f>
        <v>Intermediate</v>
      </c>
      <c r="N30" s="217" t="str">
        <f ca="1">IFERROR(__xludf.DUMMYFUNCTION("""COMPUTED_VALUE"""),"Salesforce para administradores esencial")</f>
        <v>Salesforce para administradores esencial</v>
      </c>
      <c r="O30" s="217"/>
      <c r="P30" s="213"/>
      <c r="Q30" s="215">
        <f ca="1">IFERROR(__xludf.DUMMYFUNCTION("""COMPUTED_VALUE"""),703224)</f>
        <v>703224</v>
      </c>
      <c r="R30" s="215" t="str">
        <f ca="1">IFERROR(__xludf.DUMMYFUNCTION("""COMPUTED_VALUE"""),"Beginner")</f>
        <v>Beginner</v>
      </c>
      <c r="S30" s="217" t="str">
        <f ca="1">IFERROR(__xludf.DUMMYFUNCTION("""COMPUTED_VALUE"""),"Salesforce kennenlernen")</f>
        <v>Salesforce kennenlernen</v>
      </c>
      <c r="T30" s="217"/>
      <c r="U30" s="213"/>
      <c r="V30" s="215"/>
      <c r="W30" s="215"/>
      <c r="X30" s="217"/>
      <c r="Y30" s="217"/>
      <c r="Z30" s="213"/>
      <c r="AA30" s="215"/>
      <c r="AB30" s="215"/>
      <c r="AC30" s="217"/>
      <c r="AD30" s="217"/>
      <c r="AE30" s="213"/>
      <c r="AF30" s="215"/>
      <c r="AG30" s="215"/>
      <c r="AH30" s="217"/>
      <c r="AI30" s="217"/>
      <c r="AJ30" s="213"/>
    </row>
    <row r="31" spans="1:36" ht="33.75" customHeight="1">
      <c r="A31" s="213"/>
      <c r="B31" s="214">
        <f ca="1">IFERROR(__xludf.DUMMYFUNCTION("""COMPUTED_VALUE"""),2825375)</f>
        <v>2825375</v>
      </c>
      <c r="C31" s="215" t="str">
        <f ca="1">IFERROR(__xludf.DUMMYFUNCTION("""COMPUTED_VALUE"""),"Beginner")</f>
        <v>Beginner</v>
      </c>
      <c r="D31" s="216" t="str">
        <f ca="1">IFERROR(__xludf.DUMMYFUNCTION("""COMPUTED_VALUE"""),"Creating Your Sales Process")</f>
        <v>Creating Your Sales Process</v>
      </c>
      <c r="E31" s="217"/>
      <c r="F31" s="213"/>
      <c r="G31" s="214">
        <f ca="1">IFERROR(__xludf.DUMMYFUNCTION("""COMPUTED_VALUE"""),544966)</f>
        <v>544966</v>
      </c>
      <c r="H31" s="215" t="str">
        <f ca="1">IFERROR(__xludf.DUMMYFUNCTION("""COMPUTED_VALUE"""),"Intermediate")</f>
        <v>Intermediate</v>
      </c>
      <c r="I31" s="217" t="str">
        <f ca="1">IFERROR(__xludf.DUMMYFUNCTION("""COMPUTED_VALUE"""),"Répondre aux objections de ses clients / clientes")</f>
        <v>Répondre aux objections de ses clients / clientes</v>
      </c>
      <c r="J31" s="217"/>
      <c r="K31" s="213"/>
      <c r="L31" s="215">
        <f ca="1">IFERROR(__xludf.DUMMYFUNCTION("""COMPUTED_VALUE"""),2928132)</f>
        <v>2928132</v>
      </c>
      <c r="M31" s="215" t="str">
        <f ca="1">IFERROR(__xludf.DUMMYFUNCTION("""COMPUTED_VALUE"""),"Intermediate")</f>
        <v>Intermediate</v>
      </c>
      <c r="N31" s="217" t="str">
        <f ca="1">IFERROR(__xludf.DUMMYFUNCTION("""COMPUTED_VALUE"""),"Salesforce para gerentes de ventas")</f>
        <v>Salesforce para gerentes de ventas</v>
      </c>
      <c r="O31" s="217"/>
      <c r="P31" s="213"/>
      <c r="Q31" s="215">
        <f ca="1">IFERROR(__xludf.DUMMYFUNCTION("""COMPUTED_VALUE"""),741158)</f>
        <v>741158</v>
      </c>
      <c r="R31" s="215" t="str">
        <f ca="1">IFERROR(__xludf.DUMMYFUNCTION("""COMPUTED_VALUE"""),"Beginner")</f>
        <v>Beginner</v>
      </c>
      <c r="S31" s="217" t="str">
        <f ca="1">IFERROR(__xludf.DUMMYFUNCTION("""COMPUTED_VALUE"""),"Shopware 5 Grundkurs")</f>
        <v>Shopware 5 Grundkurs</v>
      </c>
      <c r="T31" s="217"/>
      <c r="U31" s="213"/>
      <c r="V31" s="215"/>
      <c r="W31" s="215"/>
      <c r="X31" s="217"/>
      <c r="Y31" s="217"/>
      <c r="Z31" s="213"/>
      <c r="AA31" s="215"/>
      <c r="AB31" s="215"/>
      <c r="AC31" s="217"/>
      <c r="AD31" s="217"/>
      <c r="AE31" s="213"/>
      <c r="AF31" s="215"/>
      <c r="AG31" s="215"/>
      <c r="AH31" s="217"/>
      <c r="AI31" s="217"/>
      <c r="AJ31" s="213"/>
    </row>
    <row r="32" spans="1:36" ht="30">
      <c r="A32" s="213"/>
      <c r="B32" s="214">
        <f ca="1">IFERROR(__xludf.DUMMYFUNCTION("""COMPUTED_VALUE"""),2972232)</f>
        <v>2972232</v>
      </c>
      <c r="C32" s="215" t="str">
        <f ca="1">IFERROR(__xludf.DUMMYFUNCTION("""COMPUTED_VALUE"""),"Beginner")</f>
        <v>Beginner</v>
      </c>
      <c r="D32" s="216" t="str">
        <f ca="1">IFERROR(__xludf.DUMMYFUNCTION("""COMPUTED_VALUE"""),"Sales Fundamentals")</f>
        <v>Sales Fundamentals</v>
      </c>
      <c r="E32" s="217"/>
      <c r="F32" s="213"/>
      <c r="G32" s="214">
        <f ca="1">IFERROR(__xludf.DUMMYFUNCTION("""COMPUTED_VALUE"""),542520)</f>
        <v>542520</v>
      </c>
      <c r="H32" s="215" t="str">
        <f ca="1">IFERROR(__xludf.DUMMYFUNCTION("""COMPUTED_VALUE"""),"Intermediate")</f>
        <v>Intermediate</v>
      </c>
      <c r="I32" s="217" t="str">
        <f ca="1">IFERROR(__xludf.DUMMYFUNCTION("""COMPUTED_VALUE"""),"Réussir sa prospection téléphonique")</f>
        <v>Réussir sa prospection téléphonique</v>
      </c>
      <c r="J32" s="217"/>
      <c r="K32" s="213"/>
      <c r="L32" s="215">
        <f ca="1">IFERROR(__xludf.DUMMYFUNCTION("""COMPUTED_VALUE"""),2350023)</f>
        <v>2350023</v>
      </c>
      <c r="M32" s="215" t="str">
        <f ca="1">IFERROR(__xludf.DUMMYFUNCTION("""COMPUTED_VALUE"""),"Intermediate")</f>
        <v>Intermediate</v>
      </c>
      <c r="N32" s="217" t="str">
        <f ca="1">IFERROR(__xludf.DUMMYFUNCTION("""COMPUTED_VALUE"""),"Servicio de atención al cliente: Creación de valor para el consumidor")</f>
        <v>Servicio de atención al cliente: Creación de valor para el consumidor</v>
      </c>
      <c r="O32" s="217"/>
      <c r="P32" s="213"/>
      <c r="Q32" s="215">
        <f ca="1">IFERROR(__xludf.DUMMYFUNCTION("""COMPUTED_VALUE"""),2989053)</f>
        <v>2989053</v>
      </c>
      <c r="R32" s="215" t="str">
        <f ca="1">IFERROR(__xludf.DUMMYFUNCTION("""COMPUTED_VALUE"""),"Beginner, Intermediate")</f>
        <v>Beginner, Intermediate</v>
      </c>
      <c r="S32" s="217" t="str">
        <f ca="1">IFERROR(__xludf.DUMMYFUNCTION("""COMPUTED_VALUE"""),"Social Selling mit LinkedIn Sales Navigator kennenlernen")</f>
        <v>Social Selling mit LinkedIn Sales Navigator kennenlernen</v>
      </c>
      <c r="T32" s="217"/>
      <c r="U32" s="213"/>
      <c r="V32" s="215"/>
      <c r="W32" s="215"/>
      <c r="X32" s="217"/>
      <c r="Y32" s="217"/>
      <c r="Z32" s="213"/>
      <c r="AA32" s="215"/>
      <c r="AB32" s="215"/>
      <c r="AC32" s="217"/>
      <c r="AD32" s="217"/>
      <c r="AE32" s="213"/>
      <c r="AF32" s="215"/>
      <c r="AG32" s="215"/>
      <c r="AH32" s="217"/>
      <c r="AI32" s="217"/>
      <c r="AJ32" s="213"/>
    </row>
    <row r="33" spans="1:36" ht="33.75" customHeight="1">
      <c r="A33" s="213"/>
      <c r="B33" s="214">
        <f ca="1">IFERROR(__xludf.DUMMYFUNCTION("""COMPUTED_VALUE"""),2974328)</f>
        <v>2974328</v>
      </c>
      <c r="C33" s="215" t="str">
        <f ca="1">IFERROR(__xludf.DUMMYFUNCTION("""COMPUTED_VALUE"""),"Beginner")</f>
        <v>Beginner</v>
      </c>
      <c r="D33" s="216" t="str">
        <f ca="1">IFERROR(__xludf.DUMMYFUNCTION("""COMPUTED_VALUE"""),"Cold Calling: Overcoming Sales Objections")</f>
        <v>Cold Calling: Overcoming Sales Objections</v>
      </c>
      <c r="E33" s="217"/>
      <c r="F33" s="213"/>
      <c r="G33" s="214">
        <f ca="1">IFERROR(__xludf.DUMMYFUNCTION("""COMPUTED_VALUE"""),600067)</f>
        <v>600067</v>
      </c>
      <c r="H33" s="215" t="str">
        <f ca="1">IFERROR(__xludf.DUMMYFUNCTION("""COMPUTED_VALUE"""),"Intermediate")</f>
        <v>Intermediate</v>
      </c>
      <c r="I33" s="217" t="str">
        <f ca="1">IFERROR(__xludf.DUMMYFUNCTION("""COMPUTED_VALUE"""),"Réussir ses présentations commerciales")</f>
        <v>Réussir ses présentations commerciales</v>
      </c>
      <c r="J33" s="217"/>
      <c r="K33" s="213"/>
      <c r="L33" s="215"/>
      <c r="M33" s="215"/>
      <c r="N33" s="217"/>
      <c r="O33" s="217"/>
      <c r="P33" s="213"/>
      <c r="Q33" s="215">
        <f ca="1">IFERROR(__xludf.DUMMYFUNCTION("""COMPUTED_VALUE"""),2822383)</f>
        <v>2822383</v>
      </c>
      <c r="R33" s="215" t="str">
        <f ca="1">IFERROR(__xludf.DUMMYFUNCTION("""COMPUTED_VALUE"""),"Beginner")</f>
        <v>Beginner</v>
      </c>
      <c r="S33" s="217" t="str">
        <f ca="1">IFERROR(__xludf.DUMMYFUNCTION("""COMPUTED_VALUE"""),"Storytelling für Vertrieb und Verkauf – Grundlagen")</f>
        <v>Storytelling für Vertrieb und Verkauf – Grundlagen</v>
      </c>
      <c r="T33" s="217"/>
      <c r="U33" s="213"/>
      <c r="V33" s="215"/>
      <c r="W33" s="215"/>
      <c r="X33" s="217"/>
      <c r="Y33" s="217"/>
      <c r="Z33" s="213"/>
      <c r="AA33" s="215"/>
      <c r="AB33" s="215"/>
      <c r="AC33" s="217"/>
      <c r="AD33" s="217"/>
      <c r="AE33" s="213"/>
      <c r="AF33" s="215"/>
      <c r="AG33" s="215"/>
      <c r="AH33" s="217"/>
      <c r="AI33" s="217"/>
      <c r="AJ33" s="213"/>
    </row>
    <row r="34" spans="1:36" ht="33.75" customHeight="1">
      <c r="A34" s="213"/>
      <c r="B34" s="214">
        <f ca="1">IFERROR(__xludf.DUMMYFUNCTION("""COMPUTED_VALUE"""),5016707)</f>
        <v>5016707</v>
      </c>
      <c r="C34" s="215" t="str">
        <f ca="1">IFERROR(__xludf.DUMMYFUNCTION("""COMPUTED_VALUE"""),"Beginner")</f>
        <v>Beginner</v>
      </c>
      <c r="D34" s="216" t="str">
        <f ca="1">IFERROR(__xludf.DUMMYFUNCTION("""COMPUTED_VALUE"""),"Selling with Authenticity")</f>
        <v>Selling with Authenticity</v>
      </c>
      <c r="E34" s="217"/>
      <c r="F34" s="213"/>
      <c r="G34" s="214">
        <f ca="1">IFERROR(__xludf.DUMMYFUNCTION("""COMPUTED_VALUE"""),2921392)</f>
        <v>2921392</v>
      </c>
      <c r="H34" s="215" t="str">
        <f ca="1">IFERROR(__xludf.DUMMYFUNCTION("""COMPUTED_VALUE"""),"Intermediate")</f>
        <v>Intermediate</v>
      </c>
      <c r="I34" s="217" t="str">
        <f ca="1">IFERROR(__xludf.DUMMYFUNCTION("""COMPUTED_VALUE"""),"Vendre à des cadres supérieurs / supérieures")</f>
        <v>Vendre à des cadres supérieurs / supérieures</v>
      </c>
      <c r="J34" s="217"/>
      <c r="K34" s="213"/>
      <c r="L34" s="215"/>
      <c r="M34" s="215"/>
      <c r="N34" s="217"/>
      <c r="O34" s="217"/>
      <c r="P34" s="213"/>
      <c r="Q34" s="215">
        <f ca="1">IFERROR(__xludf.DUMMYFUNCTION("""COMPUTED_VALUE"""),2825416)</f>
        <v>2825416</v>
      </c>
      <c r="R34" s="215" t="str">
        <f ca="1">IFERROR(__xludf.DUMMYFUNCTION("""COMPUTED_VALUE"""),"Intermediate")</f>
        <v>Intermediate</v>
      </c>
      <c r="S34" s="217" t="str">
        <f ca="1">IFERROR(__xludf.DUMMYFUNCTION("""COMPUTED_VALUE"""),"Storytelling für Vertrieb und Verkauf – Praxistipps")</f>
        <v>Storytelling für Vertrieb und Verkauf – Praxistipps</v>
      </c>
      <c r="T34" s="217"/>
      <c r="U34" s="213"/>
      <c r="V34" s="215"/>
      <c r="W34" s="215"/>
      <c r="X34" s="217"/>
      <c r="Y34" s="217"/>
      <c r="Z34" s="213"/>
      <c r="AA34" s="215"/>
      <c r="AB34" s="215"/>
      <c r="AC34" s="217"/>
      <c r="AD34" s="217"/>
      <c r="AE34" s="213"/>
      <c r="AF34" s="215"/>
      <c r="AG34" s="215"/>
      <c r="AH34" s="217"/>
      <c r="AI34" s="217"/>
      <c r="AJ34" s="213"/>
    </row>
    <row r="35" spans="1:36" ht="33.75" customHeight="1">
      <c r="A35" s="213"/>
      <c r="B35" s="214">
        <f ca="1">IFERROR(__xludf.DUMMYFUNCTION("""COMPUTED_VALUE"""),2837268)</f>
        <v>2837268</v>
      </c>
      <c r="C35" s="215" t="str">
        <f ca="1">IFERROR(__xludf.DUMMYFUNCTION("""COMPUTED_VALUE"""),"Beginner")</f>
        <v>Beginner</v>
      </c>
      <c r="D35" s="216" t="str">
        <f ca="1">IFERROR(__xludf.DUMMYFUNCTION("""COMPUTED_VALUE"""),"Jeffrey Gitomer’s Little Red Book of Sales Answers (getAbstract Summary)")</f>
        <v>Jeffrey Gitomer’s Little Red Book of Sales Answers (getAbstract Summary)</v>
      </c>
      <c r="E35" s="217"/>
      <c r="F35" s="213"/>
      <c r="G35" s="214">
        <f ca="1">IFERROR(__xludf.DUMMYFUNCTION("""COMPUTED_VALUE"""),792290)</f>
        <v>792290</v>
      </c>
      <c r="H35" s="215" t="str">
        <f ca="1">IFERROR(__xludf.DUMMYFUNCTION("""COMPUTED_VALUE"""),"Intermediate")</f>
        <v>Intermediate</v>
      </c>
      <c r="I35" s="217" t="str">
        <f ca="1">IFERROR(__xludf.DUMMYFUNCTION("""COMPUTED_VALUE"""),"Vendre avec des histoires")</f>
        <v>Vendre avec des histoires</v>
      </c>
      <c r="J35" s="217"/>
      <c r="K35" s="213"/>
      <c r="L35" s="215"/>
      <c r="M35" s="215"/>
      <c r="N35" s="217"/>
      <c r="O35" s="217"/>
      <c r="P35" s="213"/>
      <c r="Q35" s="215">
        <f ca="1">IFERROR(__xludf.DUMMYFUNCTION("""COMPUTED_VALUE"""),674652)</f>
        <v>674652</v>
      </c>
      <c r="R35" s="215" t="str">
        <f ca="1">IFERROR(__xludf.DUMMYFUNCTION("""COMPUTED_VALUE"""),"All levels")</f>
        <v>All levels</v>
      </c>
      <c r="S35" s="217" t="str">
        <f ca="1">IFERROR(__xludf.DUMMYFUNCTION("""COMPUTED_VALUE"""),"Strategisch verhandeln")</f>
        <v>Strategisch verhandeln</v>
      </c>
      <c r="T35" s="217"/>
      <c r="U35" s="213"/>
      <c r="V35" s="215"/>
      <c r="W35" s="215"/>
      <c r="X35" s="217"/>
      <c r="Y35" s="217"/>
      <c r="Z35" s="213"/>
      <c r="AA35" s="215"/>
      <c r="AB35" s="215"/>
      <c r="AC35" s="217"/>
      <c r="AD35" s="217"/>
      <c r="AE35" s="213"/>
      <c r="AF35" s="215"/>
      <c r="AG35" s="215"/>
      <c r="AH35" s="217"/>
      <c r="AI35" s="217"/>
      <c r="AJ35" s="213"/>
    </row>
    <row r="36" spans="1:36" ht="33.75" customHeight="1">
      <c r="A36" s="213"/>
      <c r="B36" s="214">
        <f ca="1">IFERROR(__xludf.DUMMYFUNCTION("""COMPUTED_VALUE"""),2848077)</f>
        <v>2848077</v>
      </c>
      <c r="C36" s="215" t="str">
        <f ca="1">IFERROR(__xludf.DUMMYFUNCTION("""COMPUTED_VALUE"""),"Beginner")</f>
        <v>Beginner</v>
      </c>
      <c r="D36" s="216" t="str">
        <f ca="1">IFERROR(__xludf.DUMMYFUNCTION("""COMPUTED_VALUE"""),"Cold-Calling Directors and Executives")</f>
        <v>Cold-Calling Directors and Executives</v>
      </c>
      <c r="E36" s="217"/>
      <c r="F36" s="213"/>
      <c r="G36" s="214">
        <f ca="1">IFERROR(__xludf.DUMMYFUNCTION("""COMPUTED_VALUE"""),2814175)</f>
        <v>2814175</v>
      </c>
      <c r="H36" s="215" t="str">
        <f ca="1">IFERROR(__xludf.DUMMYFUNCTION("""COMPUTED_VALUE"""),"Intermediate")</f>
        <v>Intermediate</v>
      </c>
      <c r="I36" s="217" t="str">
        <f ca="1">IFERROR(__xludf.DUMMYFUNCTION("""COMPUTED_VALUE"""),"Vendre avec des histoires : Les grandes histoires commerciales")</f>
        <v>Vendre avec des histoires : Les grandes histoires commerciales</v>
      </c>
      <c r="J36" s="217"/>
      <c r="K36" s="213"/>
      <c r="L36" s="215"/>
      <c r="M36" s="215"/>
      <c r="N36" s="217"/>
      <c r="O36" s="217"/>
      <c r="P36" s="213"/>
      <c r="Q36" s="215">
        <f ca="1">IFERROR(__xludf.DUMMYFUNCTION("""COMPUTED_VALUE"""),2923162)</f>
        <v>2923162</v>
      </c>
      <c r="R36" s="215" t="str">
        <f ca="1">IFERROR(__xludf.DUMMYFUNCTION("""COMPUTED_VALUE"""),"Intermediate")</f>
        <v>Intermediate</v>
      </c>
      <c r="S36" s="217" t="str">
        <f ca="1">IFERROR(__xludf.DUMMYFUNCTION("""COMPUTED_VALUE"""),"Überzeugendes Verkaufen")</f>
        <v>Überzeugendes Verkaufen</v>
      </c>
      <c r="T36" s="217"/>
      <c r="U36" s="213"/>
      <c r="V36" s="215"/>
      <c r="W36" s="215"/>
      <c r="X36" s="217"/>
      <c r="Y36" s="217"/>
      <c r="Z36" s="213"/>
      <c r="AA36" s="215"/>
      <c r="AB36" s="215"/>
      <c r="AC36" s="217"/>
      <c r="AD36" s="217"/>
      <c r="AE36" s="213"/>
      <c r="AF36" s="215"/>
      <c r="AG36" s="215"/>
      <c r="AH36" s="217"/>
      <c r="AI36" s="217"/>
      <c r="AJ36" s="213"/>
    </row>
    <row r="37" spans="1:36" ht="33.75" customHeight="1">
      <c r="A37" s="213"/>
      <c r="B37" s="214">
        <f ca="1">IFERROR(__xludf.DUMMYFUNCTION("""COMPUTED_VALUE"""),2882089)</f>
        <v>2882089</v>
      </c>
      <c r="C37" s="215" t="str">
        <f ca="1">IFERROR(__xludf.DUMMYFUNCTION("""COMPUTED_VALUE"""),"Beginner")</f>
        <v>Beginner</v>
      </c>
      <c r="D37" s="216" t="str">
        <f ca="1">IFERROR(__xludf.DUMMYFUNCTION("""COMPUTED_VALUE"""),"Mastering Authentic Influence for Highly Successful Sales")</f>
        <v>Mastering Authentic Influence for Highly Successful Sales</v>
      </c>
      <c r="E37" s="217"/>
      <c r="F37" s="213"/>
      <c r="G37" s="214">
        <f ca="1">IFERROR(__xludf.DUMMYFUNCTION("""COMPUTED_VALUE"""),2988445)</f>
        <v>2988445</v>
      </c>
      <c r="H37" s="215" t="str">
        <f ca="1">IFERROR(__xludf.DUMMYFUNCTION("""COMPUTED_VALUE"""),"Intermediate")</f>
        <v>Intermediate</v>
      </c>
      <c r="I37" s="217" t="str">
        <f ca="1">IFERROR(__xludf.DUMMYFUNCTION("""COMPUTED_VALUE"""),"Vendre des solutions")</f>
        <v>Vendre des solutions</v>
      </c>
      <c r="J37" s="217"/>
      <c r="K37" s="213"/>
      <c r="L37" s="215"/>
      <c r="M37" s="215"/>
      <c r="N37" s="217"/>
      <c r="O37" s="217"/>
      <c r="P37" s="213"/>
      <c r="Q37" s="215">
        <f ca="1">IFERROR(__xludf.DUMMYFUNCTION("""COMPUTED_VALUE"""),482673)</f>
        <v>482673</v>
      </c>
      <c r="R37" s="215" t="str">
        <f ca="1">IFERROR(__xludf.DUMMYFUNCTION("""COMPUTED_VALUE"""),"Beginner")</f>
        <v>Beginner</v>
      </c>
      <c r="S37" s="217" t="str">
        <f ca="1">IFERROR(__xludf.DUMMYFUNCTION("""COMPUTED_VALUE"""),"Verkaufen – Grundlagen")</f>
        <v>Verkaufen – Grundlagen</v>
      </c>
      <c r="T37" s="217"/>
      <c r="U37" s="213"/>
      <c r="V37" s="215"/>
      <c r="W37" s="215"/>
      <c r="X37" s="217"/>
      <c r="Y37" s="217"/>
      <c r="Z37" s="213"/>
      <c r="AA37" s="215"/>
      <c r="AB37" s="215"/>
      <c r="AC37" s="217"/>
      <c r="AD37" s="217"/>
      <c r="AE37" s="213"/>
      <c r="AF37" s="215"/>
      <c r="AG37" s="215"/>
      <c r="AH37" s="217"/>
      <c r="AI37" s="217"/>
      <c r="AJ37" s="213"/>
    </row>
    <row r="38" spans="1:36" ht="33.75" customHeight="1">
      <c r="A38" s="213"/>
      <c r="B38" s="214">
        <f ca="1">IFERROR(__xludf.DUMMYFUNCTION("""COMPUTED_VALUE"""),2367359)</f>
        <v>2367359</v>
      </c>
      <c r="C38" s="215" t="str">
        <f ca="1">IFERROR(__xludf.DUMMYFUNCTION("""COMPUTED_VALUE"""),"Beginner")</f>
        <v>Beginner</v>
      </c>
      <c r="D38" s="216" t="str">
        <f ca="1">IFERROR(__xludf.DUMMYFUNCTION("""COMPUTED_VALUE"""),"How to Make Work More Meaningful")</f>
        <v>How to Make Work More Meaningful</v>
      </c>
      <c r="E38" s="217"/>
      <c r="F38" s="213"/>
      <c r="G38" s="214">
        <f ca="1">IFERROR(__xludf.DUMMYFUNCTION("""COMPUTED_VALUE"""),2841047)</f>
        <v>2841047</v>
      </c>
      <c r="H38" s="215" t="str">
        <f ca="1">IFERROR(__xludf.DUMMYFUNCTION("""COMPUTED_VALUE"""),"Intermediate")</f>
        <v>Intermediate</v>
      </c>
      <c r="I38" s="217" t="str">
        <f ca="1">IFERROR(__xludf.DUMMYFUNCTION("""COMPUTED_VALUE"""),"Vendre en période de crise")</f>
        <v>Vendre en période de crise</v>
      </c>
      <c r="J38" s="217"/>
      <c r="K38" s="213"/>
      <c r="L38" s="215"/>
      <c r="M38" s="215"/>
      <c r="N38" s="217"/>
      <c r="O38" s="217"/>
      <c r="P38" s="213"/>
      <c r="Q38" s="215">
        <f ca="1">IFERROR(__xludf.DUMMYFUNCTION("""COMPUTED_VALUE"""),2832055)</f>
        <v>2832055</v>
      </c>
      <c r="R38" s="215" t="str">
        <f ca="1">IFERROR(__xludf.DUMMYFUNCTION("""COMPUTED_VALUE"""),"Intermediate")</f>
        <v>Intermediate</v>
      </c>
      <c r="S38" s="217" t="str">
        <f ca="1">IFERROR(__xludf.DUMMYFUNCTION("""COMPUTED_VALUE"""),"Verkaufsprognosen")</f>
        <v>Verkaufsprognosen</v>
      </c>
      <c r="T38" s="217"/>
      <c r="U38" s="213"/>
      <c r="V38" s="215"/>
      <c r="W38" s="215"/>
      <c r="X38" s="217"/>
      <c r="Y38" s="217"/>
      <c r="Z38" s="213"/>
      <c r="AA38" s="215"/>
      <c r="AB38" s="215"/>
      <c r="AC38" s="217"/>
      <c r="AD38" s="217"/>
      <c r="AE38" s="213"/>
      <c r="AF38" s="215"/>
      <c r="AG38" s="215"/>
      <c r="AH38" s="217"/>
      <c r="AI38" s="217"/>
      <c r="AJ38" s="213"/>
    </row>
    <row r="39" spans="1:36" ht="33.75" customHeight="1">
      <c r="A39" s="213"/>
      <c r="B39" s="214">
        <f ca="1">IFERROR(__xludf.DUMMYFUNCTION("""COMPUTED_VALUE"""),2878127)</f>
        <v>2878127</v>
      </c>
      <c r="C39" s="215" t="str">
        <f ca="1">IFERROR(__xludf.DUMMYFUNCTION("""COMPUTED_VALUE"""),"Beginner")</f>
        <v>Beginner</v>
      </c>
      <c r="D39" s="216" t="str">
        <f ca="1">IFERROR(__xludf.DUMMYFUNCTION("""COMPUTED_VALUE"""),"Mindful Productivity")</f>
        <v>Mindful Productivity</v>
      </c>
      <c r="E39" s="217"/>
      <c r="F39" s="213"/>
      <c r="G39" s="214">
        <f ca="1">IFERROR(__xludf.DUMMYFUNCTION("""COMPUTED_VALUE"""),3021094)</f>
        <v>3021094</v>
      </c>
      <c r="H39" s="215" t="str">
        <f ca="1">IFERROR(__xludf.DUMMYFUNCTION("""COMPUTED_VALUE"""),"Intermediate")</f>
        <v>Intermediate</v>
      </c>
      <c r="I39" s="217" t="str">
        <f ca="1">IFERROR(__xludf.DUMMYFUNCTION("""COMPUTED_VALUE"""),"Vendre sur les réseaux sociaux : Le social commerce")</f>
        <v>Vendre sur les réseaux sociaux : Le social commerce</v>
      </c>
      <c r="J39" s="217"/>
      <c r="K39" s="213"/>
      <c r="L39" s="215"/>
      <c r="M39" s="215"/>
      <c r="N39" s="217"/>
      <c r="O39" s="217"/>
      <c r="P39" s="213"/>
      <c r="Q39" s="215">
        <f ca="1">IFERROR(__xludf.DUMMYFUNCTION("""COMPUTED_VALUE"""),703219)</f>
        <v>703219</v>
      </c>
      <c r="R39" s="215" t="str">
        <f ca="1">IFERROR(__xludf.DUMMYFUNCTION("""COMPUTED_VALUE"""),"Beginner")</f>
        <v>Beginner</v>
      </c>
      <c r="S39" s="217" t="str">
        <f ca="1">IFERROR(__xludf.DUMMYFUNCTION("""COMPUTED_VALUE"""),"Vertrieb für Selbstständige und Freiberufler:innen")</f>
        <v>Vertrieb für Selbstständige und Freiberufler:innen</v>
      </c>
      <c r="T39" s="217"/>
      <c r="U39" s="213"/>
      <c r="V39" s="215"/>
      <c r="W39" s="215"/>
      <c r="X39" s="217"/>
      <c r="Y39" s="217"/>
      <c r="Z39" s="213"/>
      <c r="AA39" s="215"/>
      <c r="AB39" s="215"/>
      <c r="AC39" s="217"/>
      <c r="AD39" s="217"/>
      <c r="AE39" s="213"/>
      <c r="AF39" s="215"/>
      <c r="AG39" s="215"/>
      <c r="AH39" s="217"/>
      <c r="AI39" s="217"/>
      <c r="AJ39" s="213"/>
    </row>
    <row r="40" spans="1:36" ht="33.75" customHeight="1">
      <c r="A40" s="213"/>
      <c r="B40" s="214">
        <f ca="1">IFERROR(__xludf.DUMMYFUNCTION("""COMPUTED_VALUE"""),2874215)</f>
        <v>2874215</v>
      </c>
      <c r="C40" s="215" t="str">
        <f ca="1">IFERROR(__xludf.DUMMYFUNCTION("""COMPUTED_VALUE"""),"Beginner")</f>
        <v>Beginner</v>
      </c>
      <c r="D40" s="216" t="str">
        <f ca="1">IFERROR(__xludf.DUMMYFUNCTION("""COMPUTED_VALUE"""),"Embracing Change with Mindfulness")</f>
        <v>Embracing Change with Mindfulness</v>
      </c>
      <c r="E40" s="217"/>
      <c r="F40" s="213"/>
      <c r="G40" s="214"/>
      <c r="H40" s="215"/>
      <c r="I40" s="217"/>
      <c r="J40" s="217"/>
      <c r="K40" s="213"/>
      <c r="L40" s="215"/>
      <c r="M40" s="215"/>
      <c r="N40" s="217"/>
      <c r="O40" s="217"/>
      <c r="P40" s="213"/>
      <c r="Q40" s="215">
        <f ca="1">IFERROR(__xludf.DUMMYFUNCTION("""COMPUTED_VALUE"""),3130121)</f>
        <v>3130121</v>
      </c>
      <c r="R40" s="215" t="str">
        <f ca="1">IFERROR(__xludf.DUMMYFUNCTION("""COMPUTED_VALUE"""),"All levels")</f>
        <v>All levels</v>
      </c>
      <c r="S40" s="217" t="str">
        <f ca="1">IFERROR(__xludf.DUMMYFUNCTION("""COMPUTED_VALUE"""),"Vertrieb geht heute anders (Blinkist Kernaussagen)")</f>
        <v>Vertrieb geht heute anders (Blinkist Kernaussagen)</v>
      </c>
      <c r="T40" s="217"/>
      <c r="U40" s="213"/>
      <c r="V40" s="215"/>
      <c r="W40" s="215"/>
      <c r="X40" s="217"/>
      <c r="Y40" s="217"/>
      <c r="Z40" s="213"/>
      <c r="AA40" s="215"/>
      <c r="AB40" s="215"/>
      <c r="AC40" s="217"/>
      <c r="AD40" s="217"/>
      <c r="AE40" s="213"/>
      <c r="AF40" s="215"/>
      <c r="AG40" s="215"/>
      <c r="AH40" s="217"/>
      <c r="AI40" s="217"/>
      <c r="AJ40" s="213"/>
    </row>
    <row r="41" spans="1:36" ht="33.75" customHeight="1">
      <c r="A41" s="213"/>
      <c r="B41" s="214">
        <f ca="1">IFERROR(__xludf.DUMMYFUNCTION("""COMPUTED_VALUE"""),2875261)</f>
        <v>2875261</v>
      </c>
      <c r="C41" s="215" t="str">
        <f ca="1">IFERROR(__xludf.DUMMYFUNCTION("""COMPUTED_VALUE"""),"Beginner")</f>
        <v>Beginner</v>
      </c>
      <c r="D41" s="216" t="str">
        <f ca="1">IFERROR(__xludf.DUMMYFUNCTION("""COMPUTED_VALUE"""),"Winding Down: Get a Better Night’s Sleep")</f>
        <v>Winding Down: Get a Better Night’s Sleep</v>
      </c>
      <c r="E41" s="217"/>
      <c r="F41" s="213"/>
      <c r="G41" s="214"/>
      <c r="H41" s="215"/>
      <c r="I41" s="217"/>
      <c r="J41" s="217"/>
      <c r="K41" s="213"/>
      <c r="L41" s="215"/>
      <c r="M41" s="215"/>
      <c r="N41" s="217"/>
      <c r="O41" s="217"/>
      <c r="P41" s="213"/>
      <c r="Q41" s="215"/>
      <c r="R41" s="215"/>
      <c r="S41" s="217"/>
      <c r="T41" s="217"/>
      <c r="U41" s="213"/>
      <c r="V41" s="215"/>
      <c r="W41" s="215"/>
      <c r="X41" s="217"/>
      <c r="Y41" s="217"/>
      <c r="Z41" s="213"/>
      <c r="AA41" s="215"/>
      <c r="AB41" s="215"/>
      <c r="AC41" s="217"/>
      <c r="AD41" s="217"/>
      <c r="AE41" s="213"/>
      <c r="AF41" s="215"/>
      <c r="AG41" s="215"/>
      <c r="AH41" s="217"/>
      <c r="AI41" s="217"/>
      <c r="AJ41" s="213"/>
    </row>
    <row r="42" spans="1:36" ht="33.75" customHeight="1">
      <c r="A42" s="213"/>
      <c r="B42" s="214">
        <f ca="1">IFERROR(__xludf.DUMMYFUNCTION("""COMPUTED_VALUE"""),2875262)</f>
        <v>2875262</v>
      </c>
      <c r="C42" s="215" t="str">
        <f ca="1">IFERROR(__xludf.DUMMYFUNCTION("""COMPUTED_VALUE"""),"Beginner")</f>
        <v>Beginner</v>
      </c>
      <c r="D42" s="216" t="str">
        <f ca="1">IFERROR(__xludf.DUMMYFUNCTION("""COMPUTED_VALUE"""),"Mindful Stress Management")</f>
        <v>Mindful Stress Management</v>
      </c>
      <c r="E42" s="217"/>
      <c r="F42" s="213"/>
      <c r="G42" s="214"/>
      <c r="H42" s="215"/>
      <c r="I42" s="217"/>
      <c r="J42" s="217"/>
      <c r="K42" s="213"/>
      <c r="L42" s="215"/>
      <c r="M42" s="215"/>
      <c r="N42" s="217"/>
      <c r="O42" s="217"/>
      <c r="P42" s="213"/>
      <c r="Q42" s="215"/>
      <c r="R42" s="215"/>
      <c r="S42" s="217"/>
      <c r="T42" s="217"/>
      <c r="U42" s="213"/>
      <c r="V42" s="215"/>
      <c r="W42" s="215"/>
      <c r="X42" s="217"/>
      <c r="Y42" s="217"/>
      <c r="Z42" s="213"/>
      <c r="AA42" s="215"/>
      <c r="AB42" s="215"/>
      <c r="AC42" s="217"/>
      <c r="AD42" s="217"/>
      <c r="AE42" s="213"/>
      <c r="AF42" s="215"/>
      <c r="AG42" s="215"/>
      <c r="AH42" s="217"/>
      <c r="AI42" s="217"/>
      <c r="AJ42" s="213"/>
    </row>
    <row r="43" spans="1:36" ht="33.75" customHeight="1">
      <c r="A43" s="213"/>
      <c r="B43" s="214">
        <f ca="1">IFERROR(__xludf.DUMMYFUNCTION("""COMPUTED_VALUE"""),2875381)</f>
        <v>2875381</v>
      </c>
      <c r="C43" s="215" t="str">
        <f ca="1">IFERROR(__xludf.DUMMYFUNCTION("""COMPUTED_VALUE"""),"Beginner")</f>
        <v>Beginner</v>
      </c>
      <c r="D43" s="216" t="str">
        <f ca="1">IFERROR(__xludf.DUMMYFUNCTION("""COMPUTED_VALUE"""),"Introduction to Gratitude Meditation")</f>
        <v>Introduction to Gratitude Meditation</v>
      </c>
      <c r="E43" s="217"/>
      <c r="F43" s="213"/>
      <c r="G43" s="214"/>
      <c r="H43" s="215"/>
      <c r="I43" s="217"/>
      <c r="J43" s="217"/>
      <c r="K43" s="213"/>
      <c r="L43" s="215"/>
      <c r="M43" s="215"/>
      <c r="N43" s="217"/>
      <c r="O43" s="217"/>
      <c r="P43" s="213"/>
      <c r="Q43" s="215"/>
      <c r="R43" s="215"/>
      <c r="S43" s="217"/>
      <c r="T43" s="217"/>
      <c r="U43" s="213"/>
      <c r="V43" s="215"/>
      <c r="W43" s="215"/>
      <c r="X43" s="217"/>
      <c r="Y43" s="217"/>
      <c r="Z43" s="213"/>
      <c r="AA43" s="215"/>
      <c r="AB43" s="215"/>
      <c r="AC43" s="217"/>
      <c r="AD43" s="217"/>
      <c r="AE43" s="213"/>
      <c r="AF43" s="215"/>
      <c r="AG43" s="215"/>
      <c r="AH43" s="217"/>
      <c r="AI43" s="217"/>
      <c r="AJ43" s="213"/>
    </row>
    <row r="44" spans="1:36" ht="33.75" customHeight="1">
      <c r="A44" s="213"/>
      <c r="B44" s="214">
        <f ca="1">IFERROR(__xludf.DUMMYFUNCTION("""COMPUTED_VALUE"""),2875382)</f>
        <v>2875382</v>
      </c>
      <c r="C44" s="215" t="str">
        <f ca="1">IFERROR(__xludf.DUMMYFUNCTION("""COMPUTED_VALUE"""),"Beginner")</f>
        <v>Beginner</v>
      </c>
      <c r="D44" s="216" t="str">
        <f ca="1">IFERROR(__xludf.DUMMYFUNCTION("""COMPUTED_VALUE"""),"Introduction to Mind Like Sky Meditation")</f>
        <v>Introduction to Mind Like Sky Meditation</v>
      </c>
      <c r="E44" s="217"/>
      <c r="F44" s="213"/>
      <c r="G44" s="214"/>
      <c r="H44" s="215"/>
      <c r="I44" s="217"/>
      <c r="J44" s="217"/>
      <c r="K44" s="213"/>
      <c r="L44" s="215"/>
      <c r="M44" s="215"/>
      <c r="N44" s="217"/>
      <c r="O44" s="217"/>
      <c r="P44" s="213"/>
      <c r="Q44" s="215"/>
      <c r="R44" s="215"/>
      <c r="S44" s="217"/>
      <c r="T44" s="217"/>
      <c r="U44" s="213"/>
      <c r="V44" s="215"/>
      <c r="W44" s="215"/>
      <c r="X44" s="217"/>
      <c r="Y44" s="217"/>
      <c r="Z44" s="213"/>
      <c r="AA44" s="215"/>
      <c r="AB44" s="215"/>
      <c r="AC44" s="217"/>
      <c r="AD44" s="217"/>
      <c r="AE44" s="213"/>
      <c r="AF44" s="215"/>
      <c r="AG44" s="215"/>
      <c r="AH44" s="217"/>
      <c r="AI44" s="217"/>
      <c r="AJ44" s="213"/>
    </row>
    <row r="45" spans="1:36" ht="33.75" customHeight="1">
      <c r="A45" s="213"/>
      <c r="B45" s="214">
        <f ca="1">IFERROR(__xludf.DUMMYFUNCTION("""COMPUTED_VALUE"""),2876325)</f>
        <v>2876325</v>
      </c>
      <c r="C45" s="215" t="str">
        <f ca="1">IFERROR(__xludf.DUMMYFUNCTION("""COMPUTED_VALUE"""),"Beginner")</f>
        <v>Beginner</v>
      </c>
      <c r="D45" s="216" t="str">
        <f ca="1">IFERROR(__xludf.DUMMYFUNCTION("""COMPUTED_VALUE"""),"Introduction to Loving-Kindness Meditation")</f>
        <v>Introduction to Loving-Kindness Meditation</v>
      </c>
      <c r="E45" s="217"/>
      <c r="F45" s="213"/>
      <c r="G45" s="214"/>
      <c r="H45" s="215"/>
      <c r="I45" s="217"/>
      <c r="J45" s="217"/>
      <c r="K45" s="213"/>
      <c r="L45" s="215"/>
      <c r="M45" s="215"/>
      <c r="N45" s="217"/>
      <c r="O45" s="217"/>
      <c r="P45" s="213"/>
      <c r="Q45" s="215"/>
      <c r="R45" s="215"/>
      <c r="S45" s="217"/>
      <c r="T45" s="217"/>
      <c r="U45" s="213"/>
      <c r="V45" s="215"/>
      <c r="W45" s="215"/>
      <c r="X45" s="217"/>
      <c r="Y45" s="217"/>
      <c r="Z45" s="213"/>
      <c r="AA45" s="215"/>
      <c r="AB45" s="215"/>
      <c r="AC45" s="217"/>
      <c r="AD45" s="217"/>
      <c r="AE45" s="213"/>
      <c r="AF45" s="215"/>
      <c r="AG45" s="215"/>
      <c r="AH45" s="217"/>
      <c r="AI45" s="217"/>
      <c r="AJ45" s="213"/>
    </row>
    <row r="46" spans="1:36" ht="33.75" customHeight="1">
      <c r="A46" s="213"/>
      <c r="B46" s="214">
        <f ca="1">IFERROR(__xludf.DUMMYFUNCTION("""COMPUTED_VALUE"""),2876326)</f>
        <v>2876326</v>
      </c>
      <c r="C46" s="215" t="str">
        <f ca="1">IFERROR(__xludf.DUMMYFUNCTION("""COMPUTED_VALUE"""),"Beginner")</f>
        <v>Beginner</v>
      </c>
      <c r="D46" s="216" t="str">
        <f ca="1">IFERROR(__xludf.DUMMYFUNCTION("""COMPUTED_VALUE"""),"Introduction to Forgiveness Meditation")</f>
        <v>Introduction to Forgiveness Meditation</v>
      </c>
      <c r="E46" s="217"/>
      <c r="F46" s="213"/>
      <c r="G46" s="214"/>
      <c r="H46" s="215"/>
      <c r="I46" s="217"/>
      <c r="J46" s="217"/>
      <c r="K46" s="213"/>
      <c r="L46" s="215"/>
      <c r="M46" s="215"/>
      <c r="N46" s="217"/>
      <c r="O46" s="217"/>
      <c r="P46" s="213"/>
      <c r="Q46" s="215"/>
      <c r="R46" s="215"/>
      <c r="S46" s="217"/>
      <c r="T46" s="217"/>
      <c r="U46" s="213"/>
      <c r="V46" s="215"/>
      <c r="W46" s="215"/>
      <c r="X46" s="217"/>
      <c r="Y46" s="217"/>
      <c r="Z46" s="213"/>
      <c r="AA46" s="215"/>
      <c r="AB46" s="215"/>
      <c r="AC46" s="217"/>
      <c r="AD46" s="217"/>
      <c r="AE46" s="213"/>
      <c r="AF46" s="215"/>
      <c r="AG46" s="215"/>
      <c r="AH46" s="217"/>
      <c r="AI46" s="217"/>
      <c r="AJ46" s="213"/>
    </row>
    <row r="47" spans="1:36" ht="33.75" customHeight="1">
      <c r="A47" s="213"/>
      <c r="B47" s="214">
        <f ca="1">IFERROR(__xludf.DUMMYFUNCTION("""COMPUTED_VALUE"""),2877360)</f>
        <v>2877360</v>
      </c>
      <c r="C47" s="215" t="str">
        <f ca="1">IFERROR(__xludf.DUMMYFUNCTION("""COMPUTED_VALUE"""),"Beginner")</f>
        <v>Beginner</v>
      </c>
      <c r="D47" s="216" t="str">
        <f ca="1">IFERROR(__xludf.DUMMYFUNCTION("""COMPUTED_VALUE"""),"Introduction to Visualization Meditation")</f>
        <v>Introduction to Visualization Meditation</v>
      </c>
      <c r="E47" s="217"/>
      <c r="F47" s="213"/>
      <c r="G47" s="214"/>
      <c r="H47" s="215"/>
      <c r="I47" s="217"/>
      <c r="J47" s="217"/>
      <c r="K47" s="213"/>
      <c r="L47" s="215"/>
      <c r="M47" s="215"/>
      <c r="N47" s="217"/>
      <c r="O47" s="217"/>
      <c r="P47" s="213"/>
      <c r="Q47" s="215"/>
      <c r="R47" s="215"/>
      <c r="S47" s="217"/>
      <c r="T47" s="217"/>
      <c r="U47" s="213"/>
      <c r="V47" s="215"/>
      <c r="W47" s="215"/>
      <c r="X47" s="217"/>
      <c r="Y47" s="217"/>
      <c r="Z47" s="213"/>
      <c r="AA47" s="215"/>
      <c r="AB47" s="215"/>
      <c r="AC47" s="217"/>
      <c r="AD47" s="217"/>
      <c r="AE47" s="213"/>
      <c r="AF47" s="215"/>
      <c r="AG47" s="215"/>
      <c r="AH47" s="217"/>
      <c r="AI47" s="217"/>
      <c r="AJ47" s="213"/>
    </row>
    <row r="48" spans="1:36" ht="33.75" customHeight="1">
      <c r="A48" s="213"/>
      <c r="B48" s="214">
        <f ca="1">IFERROR(__xludf.DUMMYFUNCTION("""COMPUTED_VALUE"""),2874216)</f>
        <v>2874216</v>
      </c>
      <c r="C48" s="215" t="str">
        <f ca="1">IFERROR(__xludf.DUMMYFUNCTION("""COMPUTED_VALUE"""),"Beginner")</f>
        <v>Beginner</v>
      </c>
      <c r="D48" s="216" t="str">
        <f ca="1">IFERROR(__xludf.DUMMYFUNCTION("""COMPUTED_VALUE"""),"Mindful Leadership")</f>
        <v>Mindful Leadership</v>
      </c>
      <c r="E48" s="217"/>
      <c r="F48" s="213"/>
      <c r="G48" s="214"/>
      <c r="H48" s="215"/>
      <c r="I48" s="217"/>
      <c r="J48" s="217"/>
      <c r="K48" s="213"/>
      <c r="L48" s="215"/>
      <c r="M48" s="215"/>
      <c r="N48" s="217"/>
      <c r="O48" s="217"/>
      <c r="P48" s="213"/>
      <c r="Q48" s="215"/>
      <c r="R48" s="215"/>
      <c r="S48" s="217"/>
      <c r="T48" s="217"/>
      <c r="U48" s="213"/>
      <c r="V48" s="215"/>
      <c r="W48" s="215"/>
      <c r="X48" s="217"/>
      <c r="Y48" s="217"/>
      <c r="Z48" s="213"/>
      <c r="AA48" s="215"/>
      <c r="AB48" s="215"/>
      <c r="AC48" s="217"/>
      <c r="AD48" s="217"/>
      <c r="AE48" s="213"/>
      <c r="AF48" s="215"/>
      <c r="AG48" s="215"/>
      <c r="AH48" s="217"/>
      <c r="AI48" s="217"/>
      <c r="AJ48" s="213"/>
    </row>
    <row r="49" spans="1:36" ht="33.75" customHeight="1">
      <c r="A49" s="213"/>
      <c r="B49" s="214">
        <f ca="1">IFERROR(__xludf.DUMMYFUNCTION("""COMPUTED_VALUE"""),2885014)</f>
        <v>2885014</v>
      </c>
      <c r="C49" s="215" t="str">
        <f ca="1">IFERROR(__xludf.DUMMYFUNCTION("""COMPUTED_VALUE"""),"Beginner")</f>
        <v>Beginner</v>
      </c>
      <c r="D49" s="216" t="str">
        <f ca="1">IFERROR(__xludf.DUMMYFUNCTION("""COMPUTED_VALUE"""),"Creating Flow")</f>
        <v>Creating Flow</v>
      </c>
      <c r="E49" s="217"/>
      <c r="F49" s="213"/>
      <c r="G49" s="214"/>
      <c r="H49" s="215"/>
      <c r="I49" s="217"/>
      <c r="J49" s="217"/>
      <c r="K49" s="213"/>
      <c r="L49" s="215"/>
      <c r="M49" s="215"/>
      <c r="N49" s="217"/>
      <c r="O49" s="217"/>
      <c r="P49" s="213"/>
      <c r="Q49" s="215"/>
      <c r="R49" s="215"/>
      <c r="S49" s="217"/>
      <c r="T49" s="217"/>
      <c r="U49" s="213"/>
      <c r="V49" s="215"/>
      <c r="W49" s="215"/>
      <c r="X49" s="217"/>
      <c r="Y49" s="217"/>
      <c r="Z49" s="213"/>
      <c r="AA49" s="215"/>
      <c r="AB49" s="215"/>
      <c r="AC49" s="217"/>
      <c r="AD49" s="217"/>
      <c r="AE49" s="213"/>
      <c r="AF49" s="215"/>
      <c r="AG49" s="215"/>
      <c r="AH49" s="217"/>
      <c r="AI49" s="217"/>
      <c r="AJ49" s="213"/>
    </row>
    <row r="50" spans="1:36" ht="33.75" customHeight="1">
      <c r="A50" s="213"/>
      <c r="B50" s="214">
        <f ca="1">IFERROR(__xludf.DUMMYFUNCTION("""COMPUTED_VALUE"""),2878239)</f>
        <v>2878239</v>
      </c>
      <c r="C50" s="215" t="str">
        <f ca="1">IFERROR(__xludf.DUMMYFUNCTION("""COMPUTED_VALUE"""),"Beginner")</f>
        <v>Beginner</v>
      </c>
      <c r="D50" s="216" t="str">
        <f ca="1">IFERROR(__xludf.DUMMYFUNCTION("""COMPUTED_VALUE"""),"Overcoming Rejection")</f>
        <v>Overcoming Rejection</v>
      </c>
      <c r="E50" s="217"/>
      <c r="F50" s="213"/>
      <c r="G50" s="214"/>
      <c r="H50" s="215"/>
      <c r="I50" s="217"/>
      <c r="J50" s="217"/>
      <c r="K50" s="213"/>
      <c r="L50" s="215"/>
      <c r="M50" s="215"/>
      <c r="N50" s="217"/>
      <c r="O50" s="217"/>
      <c r="P50" s="213"/>
      <c r="Q50" s="215"/>
      <c r="R50" s="215"/>
      <c r="S50" s="217"/>
      <c r="T50" s="217"/>
      <c r="U50" s="213"/>
      <c r="V50" s="215"/>
      <c r="W50" s="215"/>
      <c r="X50" s="217"/>
      <c r="Y50" s="217"/>
      <c r="Z50" s="213"/>
      <c r="AA50" s="215"/>
      <c r="AB50" s="215"/>
      <c r="AC50" s="217"/>
      <c r="AD50" s="217"/>
      <c r="AE50" s="213"/>
      <c r="AF50" s="215"/>
      <c r="AG50" s="215"/>
      <c r="AH50" s="217"/>
      <c r="AI50" s="217"/>
      <c r="AJ50" s="213"/>
    </row>
    <row r="51" spans="1:36" ht="33.75" customHeight="1">
      <c r="A51" s="213"/>
      <c r="B51" s="214">
        <f ca="1">IFERROR(__xludf.DUMMYFUNCTION("""COMPUTED_VALUE"""),2880193)</f>
        <v>2880193</v>
      </c>
      <c r="C51" s="215" t="str">
        <f ca="1">IFERROR(__xludf.DUMMYFUNCTION("""COMPUTED_VALUE"""),"Beginner")</f>
        <v>Beginner</v>
      </c>
      <c r="D51" s="216" t="str">
        <f ca="1">IFERROR(__xludf.DUMMYFUNCTION("""COMPUTED_VALUE"""),"The 52 Best Sales Prospecting Tips")</f>
        <v>The 52 Best Sales Prospecting Tips</v>
      </c>
      <c r="E51" s="217"/>
      <c r="F51" s="213"/>
      <c r="G51" s="214"/>
      <c r="H51" s="215"/>
      <c r="I51" s="217"/>
      <c r="J51" s="217"/>
      <c r="K51" s="213"/>
      <c r="L51" s="215"/>
      <c r="M51" s="215"/>
      <c r="N51" s="217"/>
      <c r="O51" s="217"/>
      <c r="P51" s="213"/>
      <c r="Q51" s="215"/>
      <c r="R51" s="215"/>
      <c r="S51" s="217"/>
      <c r="T51" s="217"/>
      <c r="U51" s="213"/>
      <c r="V51" s="215"/>
      <c r="W51" s="215"/>
      <c r="X51" s="217"/>
      <c r="Y51" s="217"/>
      <c r="Z51" s="213"/>
      <c r="AA51" s="215"/>
      <c r="AB51" s="215"/>
      <c r="AC51" s="217"/>
      <c r="AD51" s="217"/>
      <c r="AE51" s="213"/>
      <c r="AF51" s="215"/>
      <c r="AG51" s="215"/>
      <c r="AH51" s="217"/>
      <c r="AI51" s="217"/>
      <c r="AJ51" s="213"/>
    </row>
    <row r="52" spans="1:36" ht="33.75" customHeight="1">
      <c r="A52" s="213"/>
      <c r="B52" s="214">
        <f ca="1">IFERROR(__xludf.DUMMYFUNCTION("""COMPUTED_VALUE"""),2886192)</f>
        <v>2886192</v>
      </c>
      <c r="C52" s="215" t="str">
        <f ca="1">IFERROR(__xludf.DUMMYFUNCTION("""COMPUTED_VALUE"""),"Beginner")</f>
        <v>Beginner</v>
      </c>
      <c r="D52" s="216" t="str">
        <f ca="1">IFERROR(__xludf.DUMMYFUNCTION("""COMPUTED_VALUE"""),"Sales Time Management")</f>
        <v>Sales Time Management</v>
      </c>
      <c r="E52" s="217"/>
      <c r="F52" s="213"/>
      <c r="G52" s="214"/>
      <c r="H52" s="215"/>
      <c r="I52" s="217"/>
      <c r="J52" s="217"/>
      <c r="K52" s="213"/>
      <c r="L52" s="215"/>
      <c r="M52" s="215"/>
      <c r="N52" s="217"/>
      <c r="O52" s="217"/>
      <c r="P52" s="213"/>
      <c r="Q52" s="215"/>
      <c r="R52" s="215"/>
      <c r="S52" s="217"/>
      <c r="T52" s="217"/>
      <c r="U52" s="213"/>
      <c r="V52" s="215"/>
      <c r="W52" s="215"/>
      <c r="X52" s="217"/>
      <c r="Y52" s="217"/>
      <c r="Z52" s="213"/>
      <c r="AA52" s="215"/>
      <c r="AB52" s="215"/>
      <c r="AC52" s="217"/>
      <c r="AD52" s="217"/>
      <c r="AE52" s="213"/>
      <c r="AF52" s="215"/>
      <c r="AG52" s="215"/>
      <c r="AH52" s="217"/>
      <c r="AI52" s="217"/>
      <c r="AJ52" s="213"/>
    </row>
    <row r="53" spans="1:36" ht="33.75" customHeight="1">
      <c r="A53" s="213"/>
      <c r="B53" s="214">
        <f ca="1">IFERROR(__xludf.DUMMYFUNCTION("""COMPUTED_VALUE"""),2883252)</f>
        <v>2883252</v>
      </c>
      <c r="C53" s="215" t="str">
        <f ca="1">IFERROR(__xludf.DUMMYFUNCTION("""COMPUTED_VALUE"""),"Beginner")</f>
        <v>Beginner</v>
      </c>
      <c r="D53" s="216" t="str">
        <f ca="1">IFERROR(__xludf.DUMMYFUNCTION("""COMPUTED_VALUE"""),"How to Prepare for Your Negotiations")</f>
        <v>How to Prepare for Your Negotiations</v>
      </c>
      <c r="E53" s="217"/>
      <c r="F53" s="213"/>
      <c r="G53" s="214"/>
      <c r="H53" s="215"/>
      <c r="I53" s="217"/>
      <c r="J53" s="217"/>
      <c r="K53" s="213"/>
      <c r="L53" s="215"/>
      <c r="M53" s="215"/>
      <c r="N53" s="217"/>
      <c r="O53" s="217"/>
      <c r="P53" s="213"/>
      <c r="Q53" s="215"/>
      <c r="R53" s="215"/>
      <c r="S53" s="217"/>
      <c r="T53" s="217"/>
      <c r="U53" s="213"/>
      <c r="V53" s="215"/>
      <c r="W53" s="215"/>
      <c r="X53" s="217"/>
      <c r="Y53" s="217"/>
      <c r="Z53" s="213"/>
      <c r="AA53" s="215"/>
      <c r="AB53" s="215"/>
      <c r="AC53" s="217"/>
      <c r="AD53" s="217"/>
      <c r="AE53" s="213"/>
      <c r="AF53" s="215"/>
      <c r="AG53" s="215"/>
      <c r="AH53" s="217"/>
      <c r="AI53" s="217"/>
      <c r="AJ53" s="213"/>
    </row>
    <row r="54" spans="1:36" ht="33.75" customHeight="1">
      <c r="A54" s="213"/>
      <c r="B54" s="214">
        <f ca="1">IFERROR(__xludf.DUMMYFUNCTION("""COMPUTED_VALUE"""),2883253)</f>
        <v>2883253</v>
      </c>
      <c r="C54" s="215" t="str">
        <f ca="1">IFERROR(__xludf.DUMMYFUNCTION("""COMPUTED_VALUE"""),"Beginner")</f>
        <v>Beginner</v>
      </c>
      <c r="D54" s="216" t="str">
        <f ca="1">IFERROR(__xludf.DUMMYFUNCTION("""COMPUTED_VALUE"""),"Three Tips for Dealing with Deception in Negotiations")</f>
        <v>Three Tips for Dealing with Deception in Negotiations</v>
      </c>
      <c r="E54" s="217"/>
      <c r="F54" s="213"/>
      <c r="G54" s="214"/>
      <c r="H54" s="215"/>
      <c r="I54" s="217"/>
      <c r="J54" s="217"/>
      <c r="K54" s="213"/>
      <c r="L54" s="215"/>
      <c r="M54" s="215"/>
      <c r="N54" s="217"/>
      <c r="O54" s="217"/>
      <c r="P54" s="213"/>
      <c r="Q54" s="215"/>
      <c r="R54" s="215"/>
      <c r="S54" s="217"/>
      <c r="T54" s="217"/>
      <c r="U54" s="213"/>
      <c r="V54" s="215"/>
      <c r="W54" s="215"/>
      <c r="X54" s="217"/>
      <c r="Y54" s="217"/>
      <c r="Z54" s="213"/>
      <c r="AA54" s="215"/>
      <c r="AB54" s="215"/>
      <c r="AC54" s="217"/>
      <c r="AD54" s="217"/>
      <c r="AE54" s="213"/>
      <c r="AF54" s="215"/>
      <c r="AG54" s="215"/>
      <c r="AH54" s="217"/>
      <c r="AI54" s="217"/>
      <c r="AJ54" s="213"/>
    </row>
    <row r="55" spans="1:36" ht="33.75" customHeight="1">
      <c r="A55" s="213"/>
      <c r="B55" s="214">
        <f ca="1">IFERROR(__xludf.DUMMYFUNCTION("""COMPUTED_VALUE"""),2886306)</f>
        <v>2886306</v>
      </c>
      <c r="C55" s="215" t="str">
        <f ca="1">IFERROR(__xludf.DUMMYFUNCTION("""COMPUTED_VALUE"""),"Beginner")</f>
        <v>Beginner</v>
      </c>
      <c r="D55" s="216" t="str">
        <f ca="1">IFERROR(__xludf.DUMMYFUNCTION("""COMPUTED_VALUE"""),"The Top Three Negotiation Myths")</f>
        <v>The Top Three Negotiation Myths</v>
      </c>
      <c r="E55" s="217"/>
      <c r="F55" s="213"/>
      <c r="G55" s="214"/>
      <c r="H55" s="215"/>
      <c r="I55" s="217"/>
      <c r="J55" s="217"/>
      <c r="K55" s="213"/>
      <c r="L55" s="215"/>
      <c r="M55" s="215"/>
      <c r="N55" s="217"/>
      <c r="O55" s="217"/>
      <c r="P55" s="213"/>
      <c r="Q55" s="215"/>
      <c r="R55" s="215"/>
      <c r="S55" s="217"/>
      <c r="T55" s="217"/>
      <c r="U55" s="213"/>
      <c r="V55" s="215"/>
      <c r="W55" s="215"/>
      <c r="X55" s="217"/>
      <c r="Y55" s="217"/>
      <c r="Z55" s="213"/>
      <c r="AA55" s="215"/>
      <c r="AB55" s="215"/>
      <c r="AC55" s="217"/>
      <c r="AD55" s="217"/>
      <c r="AE55" s="213"/>
      <c r="AF55" s="215"/>
      <c r="AG55" s="215"/>
      <c r="AH55" s="217"/>
      <c r="AI55" s="217"/>
      <c r="AJ55" s="213"/>
    </row>
    <row r="56" spans="1:36" ht="33.75" customHeight="1">
      <c r="A56" s="213"/>
      <c r="B56" s="214">
        <f ca="1">IFERROR(__xludf.DUMMYFUNCTION("""COMPUTED_VALUE"""),2887333)</f>
        <v>2887333</v>
      </c>
      <c r="C56" s="215" t="str">
        <f ca="1">IFERROR(__xludf.DUMMYFUNCTION("""COMPUTED_VALUE"""),"Beginner")</f>
        <v>Beginner</v>
      </c>
      <c r="D56" s="216" t="str">
        <f ca="1">IFERROR(__xludf.DUMMYFUNCTION("""COMPUTED_VALUE"""),"How to Save Face in a Negotiation")</f>
        <v>How to Save Face in a Negotiation</v>
      </c>
      <c r="E56" s="217"/>
      <c r="F56" s="213"/>
      <c r="G56" s="214"/>
      <c r="H56" s="215"/>
      <c r="I56" s="217"/>
      <c r="J56" s="217"/>
      <c r="K56" s="213"/>
      <c r="L56" s="215"/>
      <c r="M56" s="215"/>
      <c r="N56" s="217"/>
      <c r="O56" s="217"/>
      <c r="P56" s="213"/>
      <c r="Q56" s="215"/>
      <c r="R56" s="215"/>
      <c r="S56" s="217"/>
      <c r="T56" s="217"/>
      <c r="U56" s="213"/>
      <c r="V56" s="215"/>
      <c r="W56" s="215"/>
      <c r="X56" s="217"/>
      <c r="Y56" s="217"/>
      <c r="Z56" s="213"/>
      <c r="AA56" s="215"/>
      <c r="AB56" s="215"/>
      <c r="AC56" s="217"/>
      <c r="AD56" s="217"/>
      <c r="AE56" s="213"/>
      <c r="AF56" s="215"/>
      <c r="AG56" s="215"/>
      <c r="AH56" s="217"/>
      <c r="AI56" s="217"/>
      <c r="AJ56" s="213"/>
    </row>
    <row r="57" spans="1:36" ht="33.75" customHeight="1">
      <c r="A57" s="213"/>
      <c r="B57" s="214">
        <f ca="1">IFERROR(__xludf.DUMMYFUNCTION("""COMPUTED_VALUE"""),2887334)</f>
        <v>2887334</v>
      </c>
      <c r="C57" s="215" t="str">
        <f ca="1">IFERROR(__xludf.DUMMYFUNCTION("""COMPUTED_VALUE"""),"Beginner")</f>
        <v>Beginner</v>
      </c>
      <c r="D57" s="216" t="str">
        <f ca="1">IFERROR(__xludf.DUMMYFUNCTION("""COMPUTED_VALUE"""),"Mindsets and Strategies for Negotiation Success")</f>
        <v>Mindsets and Strategies for Negotiation Success</v>
      </c>
      <c r="E57" s="217"/>
      <c r="F57" s="213"/>
      <c r="G57" s="214"/>
      <c r="H57" s="215"/>
      <c r="I57" s="217"/>
      <c r="J57" s="217"/>
      <c r="K57" s="213"/>
      <c r="L57" s="215"/>
      <c r="M57" s="215"/>
      <c r="N57" s="217"/>
      <c r="O57" s="217"/>
      <c r="P57" s="213"/>
      <c r="Q57" s="215"/>
      <c r="R57" s="215"/>
      <c r="S57" s="217"/>
      <c r="T57" s="217"/>
      <c r="U57" s="213"/>
      <c r="V57" s="215"/>
      <c r="W57" s="215"/>
      <c r="X57" s="217"/>
      <c r="Y57" s="217"/>
      <c r="Z57" s="213"/>
      <c r="AA57" s="215"/>
      <c r="AB57" s="215"/>
      <c r="AC57" s="217"/>
      <c r="AD57" s="217"/>
      <c r="AE57" s="213"/>
      <c r="AF57" s="215"/>
      <c r="AG57" s="215"/>
      <c r="AH57" s="217"/>
      <c r="AI57" s="217"/>
      <c r="AJ57" s="213"/>
    </row>
    <row r="58" spans="1:36" ht="33.75" customHeight="1">
      <c r="A58" s="213"/>
      <c r="B58" s="214">
        <f ca="1">IFERROR(__xludf.DUMMYFUNCTION("""COMPUTED_VALUE"""),2890117)</f>
        <v>2890117</v>
      </c>
      <c r="C58" s="215" t="str">
        <f ca="1">IFERROR(__xludf.DUMMYFUNCTION("""COMPUTED_VALUE"""),"Beginner")</f>
        <v>Beginner</v>
      </c>
      <c r="D58" s="216" t="str">
        <f ca="1">IFERROR(__xludf.DUMMYFUNCTION("""COMPUTED_VALUE"""),"Sales Well-being: Managing Anxiety, Burnout, and Rejection")</f>
        <v>Sales Well-being: Managing Anxiety, Burnout, and Rejection</v>
      </c>
      <c r="E58" s="217"/>
      <c r="F58" s="213"/>
      <c r="G58" s="214"/>
      <c r="H58" s="215"/>
      <c r="I58" s="217"/>
      <c r="J58" s="217"/>
      <c r="K58" s="213"/>
      <c r="L58" s="215"/>
      <c r="M58" s="215"/>
      <c r="N58" s="217"/>
      <c r="O58" s="217"/>
      <c r="P58" s="213"/>
      <c r="Q58" s="215"/>
      <c r="R58" s="215"/>
      <c r="S58" s="217"/>
      <c r="T58" s="217"/>
      <c r="U58" s="213"/>
      <c r="V58" s="215"/>
      <c r="W58" s="215"/>
      <c r="X58" s="217"/>
      <c r="Y58" s="217"/>
      <c r="Z58" s="213"/>
      <c r="AA58" s="215"/>
      <c r="AB58" s="215"/>
      <c r="AC58" s="217"/>
      <c r="AD58" s="217"/>
      <c r="AE58" s="213"/>
      <c r="AF58" s="215"/>
      <c r="AG58" s="215"/>
      <c r="AH58" s="217"/>
      <c r="AI58" s="217"/>
      <c r="AJ58" s="213"/>
    </row>
    <row r="59" spans="1:36" ht="33.75" customHeight="1">
      <c r="A59" s="213"/>
      <c r="B59" s="214">
        <f ca="1">IFERROR(__xludf.DUMMYFUNCTION("""COMPUTED_VALUE"""),2421703)</f>
        <v>2421703</v>
      </c>
      <c r="C59" s="215" t="str">
        <f ca="1">IFERROR(__xludf.DUMMYFUNCTION("""COMPUTED_VALUE"""),"Beginner")</f>
        <v>Beginner</v>
      </c>
      <c r="D59" s="216" t="str">
        <f ca="1">IFERROR(__xludf.DUMMYFUNCTION("""COMPUTED_VALUE"""),"Startup Stories: Clothing Salesman Invents Baby Harness")</f>
        <v>Startup Stories: Clothing Salesman Invents Baby Harness</v>
      </c>
      <c r="E59" s="217"/>
      <c r="F59" s="213"/>
      <c r="G59" s="214"/>
      <c r="H59" s="215"/>
      <c r="I59" s="217"/>
      <c r="J59" s="217"/>
      <c r="K59" s="213"/>
      <c r="L59" s="215"/>
      <c r="M59" s="215"/>
      <c r="N59" s="217"/>
      <c r="O59" s="217"/>
      <c r="P59" s="213"/>
      <c r="Q59" s="215"/>
      <c r="R59" s="215"/>
      <c r="S59" s="217"/>
      <c r="T59" s="217"/>
      <c r="U59" s="213"/>
      <c r="V59" s="215"/>
      <c r="W59" s="215"/>
      <c r="X59" s="217"/>
      <c r="Y59" s="217"/>
      <c r="Z59" s="213"/>
      <c r="AA59" s="215"/>
      <c r="AB59" s="215"/>
      <c r="AC59" s="217"/>
      <c r="AD59" s="217"/>
      <c r="AE59" s="213"/>
      <c r="AF59" s="215"/>
      <c r="AG59" s="215"/>
      <c r="AH59" s="217"/>
      <c r="AI59" s="217"/>
      <c r="AJ59" s="213"/>
    </row>
    <row r="60" spans="1:36" ht="33.75" customHeight="1">
      <c r="A60" s="213"/>
      <c r="B60" s="214">
        <f ca="1">IFERROR(__xludf.DUMMYFUNCTION("""COMPUTED_VALUE"""),3157766)</f>
        <v>3157766</v>
      </c>
      <c r="C60" s="215" t="str">
        <f ca="1">IFERROR(__xludf.DUMMYFUNCTION("""COMPUTED_VALUE"""),"Beginner")</f>
        <v>Beginner</v>
      </c>
      <c r="D60" s="216" t="str">
        <f ca="1">IFERROR(__xludf.DUMMYFUNCTION("""COMPUTED_VALUE"""),"Aftersale: Maintaining Relationships")</f>
        <v>Aftersale: Maintaining Relationships</v>
      </c>
      <c r="E60" s="217"/>
      <c r="F60" s="213"/>
      <c r="G60" s="214"/>
      <c r="H60" s="215"/>
      <c r="I60" s="217"/>
      <c r="J60" s="217"/>
      <c r="K60" s="213"/>
      <c r="L60" s="215"/>
      <c r="M60" s="215"/>
      <c r="N60" s="217"/>
      <c r="O60" s="217"/>
      <c r="P60" s="213"/>
      <c r="Q60" s="215"/>
      <c r="R60" s="215"/>
      <c r="S60" s="217"/>
      <c r="T60" s="217"/>
      <c r="U60" s="213"/>
      <c r="V60" s="215"/>
      <c r="W60" s="215"/>
      <c r="X60" s="217"/>
      <c r="Y60" s="217"/>
      <c r="Z60" s="213"/>
      <c r="AA60" s="215"/>
      <c r="AB60" s="215"/>
      <c r="AC60" s="217"/>
      <c r="AD60" s="217"/>
      <c r="AE60" s="213"/>
      <c r="AF60" s="215"/>
      <c r="AG60" s="215"/>
      <c r="AH60" s="217"/>
      <c r="AI60" s="217"/>
      <c r="AJ60" s="213"/>
    </row>
    <row r="61" spans="1:36" ht="33.75" customHeight="1">
      <c r="A61" s="213"/>
      <c r="B61" s="214">
        <f ca="1">IFERROR(__xludf.DUMMYFUNCTION("""COMPUTED_VALUE"""),2896814)</f>
        <v>2896814</v>
      </c>
      <c r="C61" s="215" t="str">
        <f ca="1">IFERROR(__xludf.DUMMYFUNCTION("""COMPUTED_VALUE"""),"Beginner")</f>
        <v>Beginner</v>
      </c>
      <c r="D61" s="216" t="str">
        <f ca="1">IFERROR(__xludf.DUMMYFUNCTION("""COMPUTED_VALUE"""),"Reframing to Overcome Sales Objections")</f>
        <v>Reframing to Overcome Sales Objections</v>
      </c>
      <c r="E61" s="217"/>
      <c r="F61" s="213"/>
      <c r="G61" s="214"/>
      <c r="H61" s="215"/>
      <c r="I61" s="217"/>
      <c r="J61" s="217"/>
      <c r="K61" s="213"/>
      <c r="L61" s="215"/>
      <c r="M61" s="215"/>
      <c r="N61" s="217"/>
      <c r="O61" s="217"/>
      <c r="P61" s="213"/>
      <c r="Q61" s="215"/>
      <c r="R61" s="215"/>
      <c r="S61" s="217"/>
      <c r="T61" s="217"/>
      <c r="U61" s="213"/>
      <c r="V61" s="215"/>
      <c r="W61" s="215"/>
      <c r="X61" s="217"/>
      <c r="Y61" s="217"/>
      <c r="Z61" s="213"/>
      <c r="AA61" s="215"/>
      <c r="AB61" s="215"/>
      <c r="AC61" s="217"/>
      <c r="AD61" s="217"/>
      <c r="AE61" s="213"/>
      <c r="AF61" s="215"/>
      <c r="AG61" s="215"/>
      <c r="AH61" s="217"/>
      <c r="AI61" s="217"/>
      <c r="AJ61" s="213"/>
    </row>
    <row r="62" spans="1:36" ht="33.75" customHeight="1">
      <c r="A62" s="213"/>
      <c r="B62" s="214">
        <f ca="1">IFERROR(__xludf.DUMMYFUNCTION("""COMPUTED_VALUE"""),3002670)</f>
        <v>3002670</v>
      </c>
      <c r="C62" s="215" t="str">
        <f ca="1">IFERROR(__xludf.DUMMYFUNCTION("""COMPUTED_VALUE"""),"Beginner")</f>
        <v>Beginner</v>
      </c>
      <c r="D62" s="216" t="str">
        <f ca="1">IFERROR(__xludf.DUMMYFUNCTION("""COMPUTED_VALUE"""),"How to Overcome a Sales Slump")</f>
        <v>How to Overcome a Sales Slump</v>
      </c>
      <c r="E62" s="217"/>
      <c r="F62" s="213"/>
      <c r="G62" s="214"/>
      <c r="H62" s="215"/>
      <c r="I62" s="217"/>
      <c r="J62" s="217"/>
      <c r="K62" s="213"/>
      <c r="L62" s="215"/>
      <c r="M62" s="215"/>
      <c r="N62" s="217"/>
      <c r="O62" s="217"/>
      <c r="P62" s="213"/>
      <c r="Q62" s="215"/>
      <c r="R62" s="215"/>
      <c r="S62" s="217"/>
      <c r="T62" s="217"/>
      <c r="U62" s="213"/>
      <c r="V62" s="215"/>
      <c r="W62" s="215"/>
      <c r="X62" s="217"/>
      <c r="Y62" s="217"/>
      <c r="Z62" s="213"/>
      <c r="AA62" s="215"/>
      <c r="AB62" s="215"/>
      <c r="AC62" s="217"/>
      <c r="AD62" s="217"/>
      <c r="AE62" s="213"/>
      <c r="AF62" s="215"/>
      <c r="AG62" s="215"/>
      <c r="AH62" s="217"/>
      <c r="AI62" s="217"/>
      <c r="AJ62" s="213"/>
    </row>
    <row r="63" spans="1:36" ht="33.75" customHeight="1">
      <c r="A63" s="213"/>
      <c r="B63" s="214">
        <f ca="1">IFERROR(__xludf.DUMMYFUNCTION("""COMPUTED_VALUE"""),2863038)</f>
        <v>2863038</v>
      </c>
      <c r="C63" s="215" t="str">
        <f ca="1">IFERROR(__xludf.DUMMYFUNCTION("""COMPUTED_VALUE"""),"Beginner + Intermediate")</f>
        <v>Beginner + Intermediate</v>
      </c>
      <c r="D63" s="216" t="str">
        <f ca="1">IFERROR(__xludf.DUMMYFUNCTION("""COMPUTED_VALUE"""),"Creating Powerful Sales Proposals")</f>
        <v>Creating Powerful Sales Proposals</v>
      </c>
      <c r="E63" s="217"/>
      <c r="F63" s="213"/>
      <c r="G63" s="214"/>
      <c r="H63" s="215"/>
      <c r="I63" s="217"/>
      <c r="J63" s="217"/>
      <c r="K63" s="213"/>
      <c r="L63" s="215"/>
      <c r="M63" s="215"/>
      <c r="N63" s="217"/>
      <c r="O63" s="217"/>
      <c r="P63" s="213"/>
      <c r="Q63" s="215"/>
      <c r="R63" s="215"/>
      <c r="S63" s="217"/>
      <c r="T63" s="217"/>
      <c r="U63" s="213"/>
      <c r="V63" s="215"/>
      <c r="W63" s="215"/>
      <c r="X63" s="217"/>
      <c r="Y63" s="217"/>
      <c r="Z63" s="213"/>
      <c r="AA63" s="215"/>
      <c r="AB63" s="215"/>
      <c r="AC63" s="217"/>
      <c r="AD63" s="217"/>
      <c r="AE63" s="213"/>
      <c r="AF63" s="215"/>
      <c r="AG63" s="215"/>
      <c r="AH63" s="217"/>
      <c r="AI63" s="217"/>
      <c r="AJ63" s="213"/>
    </row>
    <row r="64" spans="1:36" ht="33.75" customHeight="1">
      <c r="A64" s="213"/>
      <c r="B64" s="214">
        <f ca="1">IFERROR(__xludf.DUMMYFUNCTION("""COMPUTED_VALUE"""),520214)</f>
        <v>520214</v>
      </c>
      <c r="C64" s="215" t="str">
        <f ca="1">IFERROR(__xludf.DUMMYFUNCTION("""COMPUTED_VALUE"""),"Beginner + Intermediate")</f>
        <v>Beginner + Intermediate</v>
      </c>
      <c r="D64" s="216" t="str">
        <f ca="1">IFERROR(__xludf.DUMMYFUNCTION("""COMPUTED_VALUE"""),"Transitioning to Management for Salespeople")</f>
        <v>Transitioning to Management for Salespeople</v>
      </c>
      <c r="E64" s="217"/>
      <c r="F64" s="213"/>
      <c r="G64" s="214"/>
      <c r="H64" s="215"/>
      <c r="I64" s="217"/>
      <c r="J64" s="217"/>
      <c r="K64" s="213"/>
      <c r="L64" s="215"/>
      <c r="M64" s="215"/>
      <c r="N64" s="217"/>
      <c r="O64" s="217"/>
      <c r="P64" s="213"/>
      <c r="Q64" s="215"/>
      <c r="R64" s="215"/>
      <c r="S64" s="217"/>
      <c r="T64" s="217"/>
      <c r="U64" s="213"/>
      <c r="V64" s="215"/>
      <c r="W64" s="215"/>
      <c r="X64" s="217"/>
      <c r="Y64" s="217"/>
      <c r="Z64" s="213"/>
      <c r="AA64" s="215"/>
      <c r="AB64" s="215"/>
      <c r="AC64" s="217"/>
      <c r="AD64" s="217"/>
      <c r="AE64" s="213"/>
      <c r="AF64" s="215"/>
      <c r="AG64" s="215"/>
      <c r="AH64" s="217"/>
      <c r="AI64" s="217"/>
      <c r="AJ64" s="213"/>
    </row>
    <row r="65" spans="1:36" ht="33.75" customHeight="1">
      <c r="A65" s="213"/>
      <c r="B65" s="214">
        <f ca="1">IFERROR(__xludf.DUMMYFUNCTION("""COMPUTED_VALUE"""),574679)</f>
        <v>574679</v>
      </c>
      <c r="C65" s="215" t="str">
        <f ca="1">IFERROR(__xludf.DUMMYFUNCTION("""COMPUTED_VALUE"""),"Beginner + Intermediate")</f>
        <v>Beginner + Intermediate</v>
      </c>
      <c r="D65" s="216" t="str">
        <f ca="1">IFERROR(__xludf.DUMMYFUNCTION("""COMPUTED_VALUE"""),"Customer Retention")</f>
        <v>Customer Retention</v>
      </c>
      <c r="E65" s="217"/>
      <c r="F65" s="213"/>
      <c r="G65" s="214"/>
      <c r="H65" s="215"/>
      <c r="I65" s="217"/>
      <c r="J65" s="217"/>
      <c r="K65" s="213"/>
      <c r="L65" s="215"/>
      <c r="M65" s="215"/>
      <c r="N65" s="217"/>
      <c r="O65" s="217"/>
      <c r="P65" s="213"/>
      <c r="Q65" s="215"/>
      <c r="R65" s="215"/>
      <c r="S65" s="217"/>
      <c r="T65" s="217"/>
      <c r="U65" s="213"/>
      <c r="V65" s="215"/>
      <c r="W65" s="215"/>
      <c r="X65" s="217"/>
      <c r="Y65" s="217"/>
      <c r="Z65" s="213"/>
      <c r="AA65" s="215"/>
      <c r="AB65" s="215"/>
      <c r="AC65" s="217"/>
      <c r="AD65" s="217"/>
      <c r="AE65" s="213"/>
      <c r="AF65" s="215"/>
      <c r="AG65" s="215"/>
      <c r="AH65" s="217"/>
      <c r="AI65" s="217"/>
      <c r="AJ65" s="213"/>
    </row>
    <row r="66" spans="1:36" ht="33.75" customHeight="1">
      <c r="A66" s="213"/>
      <c r="B66" s="214">
        <f ca="1">IFERROR(__xludf.DUMMYFUNCTION("""COMPUTED_VALUE"""),602885)</f>
        <v>602885</v>
      </c>
      <c r="C66" s="215" t="str">
        <f ca="1">IFERROR(__xludf.DUMMYFUNCTION("""COMPUTED_VALUE"""),"Beginner + Intermediate")</f>
        <v>Beginner + Intermediate</v>
      </c>
      <c r="D66" s="216" t="str">
        <f ca="1">IFERROR(__xludf.DUMMYFUNCTION("""COMPUTED_VALUE"""),"Business-to-Business Sales")</f>
        <v>Business-to-Business Sales</v>
      </c>
      <c r="E66" s="217"/>
      <c r="F66" s="213"/>
      <c r="G66" s="214"/>
      <c r="H66" s="215"/>
      <c r="I66" s="217"/>
      <c r="J66" s="217"/>
      <c r="K66" s="213"/>
      <c r="L66" s="215"/>
      <c r="M66" s="215"/>
      <c r="N66" s="217"/>
      <c r="O66" s="217"/>
      <c r="P66" s="213"/>
      <c r="Q66" s="215"/>
      <c r="R66" s="215"/>
      <c r="S66" s="217"/>
      <c r="T66" s="217"/>
      <c r="U66" s="213"/>
      <c r="V66" s="215"/>
      <c r="W66" s="215"/>
      <c r="X66" s="217"/>
      <c r="Y66" s="217"/>
      <c r="Z66" s="213"/>
      <c r="AA66" s="215"/>
      <c r="AB66" s="215"/>
      <c r="AC66" s="217"/>
      <c r="AD66" s="217"/>
      <c r="AE66" s="213"/>
      <c r="AF66" s="215"/>
      <c r="AG66" s="215"/>
      <c r="AH66" s="217"/>
      <c r="AI66" s="217"/>
      <c r="AJ66" s="213"/>
    </row>
    <row r="67" spans="1:36" ht="33.75" customHeight="1">
      <c r="A67" s="213"/>
      <c r="B67" s="214">
        <f ca="1">IFERROR(__xludf.DUMMYFUNCTION("""COMPUTED_VALUE"""),612173)</f>
        <v>612173</v>
      </c>
      <c r="C67" s="215" t="str">
        <f ca="1">IFERROR(__xludf.DUMMYFUNCTION("""COMPUTED_VALUE"""),"Beginner + Intermediate")</f>
        <v>Beginner + Intermediate</v>
      </c>
      <c r="D67" s="216" t="str">
        <f ca="1">IFERROR(__xludf.DUMMYFUNCTION("""COMPUTED_VALUE"""),"Selling to Executives")</f>
        <v>Selling to Executives</v>
      </c>
      <c r="E67" s="217"/>
      <c r="F67" s="213"/>
      <c r="G67" s="214"/>
      <c r="H67" s="215"/>
      <c r="I67" s="217"/>
      <c r="J67" s="217"/>
      <c r="K67" s="213"/>
      <c r="L67" s="215"/>
      <c r="M67" s="215"/>
      <c r="N67" s="217"/>
      <c r="O67" s="217"/>
      <c r="P67" s="213"/>
      <c r="Q67" s="215"/>
      <c r="R67" s="215"/>
      <c r="S67" s="217"/>
      <c r="T67" s="217"/>
      <c r="U67" s="213"/>
      <c r="V67" s="215"/>
      <c r="W67" s="215"/>
      <c r="X67" s="217"/>
      <c r="Y67" s="217"/>
      <c r="Z67" s="213"/>
      <c r="AA67" s="215"/>
      <c r="AB67" s="215"/>
      <c r="AC67" s="217"/>
      <c r="AD67" s="217"/>
      <c r="AE67" s="213"/>
      <c r="AF67" s="215"/>
      <c r="AG67" s="215"/>
      <c r="AH67" s="217"/>
      <c r="AI67" s="217"/>
      <c r="AJ67" s="213"/>
    </row>
    <row r="68" spans="1:36" ht="33.75" customHeight="1">
      <c r="A68" s="213"/>
      <c r="B68" s="214">
        <f ca="1">IFERROR(__xludf.DUMMYFUNCTION("""COMPUTED_VALUE"""),193711)</f>
        <v>193711</v>
      </c>
      <c r="C68" s="215" t="str">
        <f ca="1">IFERROR(__xludf.DUMMYFUNCTION("""COMPUTED_VALUE"""),"Intermediate")</f>
        <v>Intermediate</v>
      </c>
      <c r="D68" s="216" t="str">
        <f ca="1">IFERROR(__xludf.DUMMYFUNCTION("""COMPUTED_VALUE"""),"The Science of Sales")</f>
        <v>The Science of Sales</v>
      </c>
      <c r="E68" s="217"/>
      <c r="F68" s="213"/>
      <c r="G68" s="214"/>
      <c r="H68" s="215"/>
      <c r="I68" s="217"/>
      <c r="J68" s="217"/>
      <c r="K68" s="213"/>
      <c r="L68" s="215"/>
      <c r="M68" s="215"/>
      <c r="N68" s="217"/>
      <c r="O68" s="217"/>
      <c r="P68" s="213"/>
      <c r="Q68" s="215"/>
      <c r="R68" s="215"/>
      <c r="S68" s="217"/>
      <c r="T68" s="217"/>
      <c r="U68" s="213"/>
      <c r="V68" s="215"/>
      <c r="W68" s="215"/>
      <c r="X68" s="217"/>
      <c r="Y68" s="217"/>
      <c r="Z68" s="213"/>
      <c r="AA68" s="215"/>
      <c r="AB68" s="215"/>
      <c r="AC68" s="217"/>
      <c r="AD68" s="217"/>
      <c r="AE68" s="213"/>
      <c r="AF68" s="215"/>
      <c r="AG68" s="215"/>
      <c r="AH68" s="217"/>
      <c r="AI68" s="217"/>
      <c r="AJ68" s="213"/>
    </row>
    <row r="69" spans="1:36" ht="33.75" customHeight="1">
      <c r="A69" s="213"/>
      <c r="B69" s="214">
        <f ca="1">IFERROR(__xludf.DUMMYFUNCTION("""COMPUTED_VALUE"""),415358)</f>
        <v>415358</v>
      </c>
      <c r="C69" s="215" t="str">
        <f ca="1">IFERROR(__xludf.DUMMYFUNCTION("""COMPUTED_VALUE"""),"Intermediate")</f>
        <v>Intermediate</v>
      </c>
      <c r="D69" s="216" t="str">
        <f ca="1">IFERROR(__xludf.DUMMYFUNCTION("""COMPUTED_VALUE"""),"Sales Prospecting")</f>
        <v>Sales Prospecting</v>
      </c>
      <c r="E69" s="217"/>
      <c r="F69" s="213"/>
      <c r="G69" s="214"/>
      <c r="H69" s="215"/>
      <c r="I69" s="217"/>
      <c r="J69" s="217"/>
      <c r="K69" s="213"/>
      <c r="L69" s="215"/>
      <c r="M69" s="215"/>
      <c r="N69" s="217"/>
      <c r="O69" s="217"/>
      <c r="P69" s="213"/>
      <c r="Q69" s="215"/>
      <c r="R69" s="215"/>
      <c r="S69" s="217"/>
      <c r="T69" s="217"/>
      <c r="U69" s="213"/>
      <c r="V69" s="215"/>
      <c r="W69" s="215"/>
      <c r="X69" s="217"/>
      <c r="Y69" s="217"/>
      <c r="Z69" s="213"/>
      <c r="AA69" s="215"/>
      <c r="AB69" s="215"/>
      <c r="AC69" s="217"/>
      <c r="AD69" s="217"/>
      <c r="AE69" s="213"/>
      <c r="AF69" s="215"/>
      <c r="AG69" s="215"/>
      <c r="AH69" s="217"/>
      <c r="AI69" s="217"/>
      <c r="AJ69" s="213"/>
    </row>
    <row r="70" spans="1:36" ht="33.75" customHeight="1">
      <c r="A70" s="213"/>
      <c r="B70" s="214">
        <f ca="1">IFERROR(__xludf.DUMMYFUNCTION("""COMPUTED_VALUE"""),415362)</f>
        <v>415362</v>
      </c>
      <c r="C70" s="215" t="str">
        <f ca="1">IFERROR(__xludf.DUMMYFUNCTION("""COMPUTED_VALUE"""),"Intermediate")</f>
        <v>Intermediate</v>
      </c>
      <c r="D70" s="216" t="str">
        <f ca="1">IFERROR(__xludf.DUMMYFUNCTION("""COMPUTED_VALUE"""),"Making Great Sales Presentations")</f>
        <v>Making Great Sales Presentations</v>
      </c>
      <c r="E70" s="217"/>
      <c r="F70" s="213"/>
      <c r="G70" s="214"/>
      <c r="H70" s="215"/>
      <c r="I70" s="217"/>
      <c r="J70" s="217"/>
      <c r="K70" s="213"/>
      <c r="L70" s="215"/>
      <c r="M70" s="215"/>
      <c r="N70" s="217"/>
      <c r="O70" s="217"/>
      <c r="P70" s="213"/>
      <c r="Q70" s="215"/>
      <c r="R70" s="215"/>
      <c r="S70" s="217"/>
      <c r="T70" s="217"/>
      <c r="U70" s="213"/>
      <c r="V70" s="215"/>
      <c r="W70" s="215"/>
      <c r="X70" s="217"/>
      <c r="Y70" s="217"/>
      <c r="Z70" s="213"/>
      <c r="AA70" s="215"/>
      <c r="AB70" s="215"/>
      <c r="AC70" s="217"/>
      <c r="AD70" s="217"/>
      <c r="AE70" s="213"/>
      <c r="AF70" s="215"/>
      <c r="AG70" s="215"/>
      <c r="AH70" s="217"/>
      <c r="AI70" s="217"/>
      <c r="AJ70" s="213"/>
    </row>
    <row r="71" spans="1:36" ht="33.75" customHeight="1">
      <c r="A71" s="213"/>
      <c r="B71" s="214">
        <f ca="1">IFERROR(__xludf.DUMMYFUNCTION("""COMPUTED_VALUE"""),460440)</f>
        <v>460440</v>
      </c>
      <c r="C71" s="215" t="str">
        <f ca="1">IFERROR(__xludf.DUMMYFUNCTION("""COMPUTED_VALUE"""),"Intermediate")</f>
        <v>Intermediate</v>
      </c>
      <c r="D71" s="216" t="str">
        <f ca="1">IFERROR(__xludf.DUMMYFUNCTION("""COMPUTED_VALUE"""),"Identify Sales Growth Opportunities")</f>
        <v>Identify Sales Growth Opportunities</v>
      </c>
      <c r="E71" s="217"/>
      <c r="F71" s="213"/>
      <c r="G71" s="214"/>
      <c r="H71" s="215"/>
      <c r="I71" s="217"/>
      <c r="J71" s="217"/>
      <c r="K71" s="213"/>
      <c r="L71" s="215"/>
      <c r="M71" s="215"/>
      <c r="N71" s="217"/>
      <c r="O71" s="217"/>
      <c r="P71" s="213"/>
      <c r="Q71" s="215"/>
      <c r="R71" s="215"/>
      <c r="S71" s="217"/>
      <c r="T71" s="217"/>
      <c r="U71" s="213"/>
      <c r="V71" s="215"/>
      <c r="W71" s="215"/>
      <c r="X71" s="217"/>
      <c r="Y71" s="217"/>
      <c r="Z71" s="213"/>
      <c r="AA71" s="215"/>
      <c r="AB71" s="215"/>
      <c r="AC71" s="217"/>
      <c r="AD71" s="217"/>
      <c r="AE71" s="213"/>
      <c r="AF71" s="215"/>
      <c r="AG71" s="215"/>
      <c r="AH71" s="217"/>
      <c r="AI71" s="217"/>
      <c r="AJ71" s="213"/>
    </row>
    <row r="72" spans="1:36" ht="33.75" customHeight="1">
      <c r="A72" s="213"/>
      <c r="B72" s="214">
        <f ca="1">IFERROR(__xludf.DUMMYFUNCTION("""COMPUTED_VALUE"""),461911)</f>
        <v>461911</v>
      </c>
      <c r="C72" s="215" t="str">
        <f ca="1">IFERROR(__xludf.DUMMYFUNCTION("""COMPUTED_VALUE"""),"Intermediate")</f>
        <v>Intermediate</v>
      </c>
      <c r="D72" s="216" t="str">
        <f ca="1">IFERROR(__xludf.DUMMYFUNCTION("""COMPUTED_VALUE"""),"Sales Negotiation")</f>
        <v>Sales Negotiation</v>
      </c>
      <c r="E72" s="217"/>
      <c r="F72" s="213"/>
      <c r="G72" s="214"/>
      <c r="H72" s="215"/>
      <c r="I72" s="217"/>
      <c r="J72" s="217"/>
      <c r="K72" s="213"/>
      <c r="L72" s="215"/>
      <c r="M72" s="215"/>
      <c r="N72" s="217"/>
      <c r="O72" s="217"/>
      <c r="P72" s="213"/>
      <c r="Q72" s="215"/>
      <c r="R72" s="215"/>
      <c r="S72" s="217"/>
      <c r="T72" s="217"/>
      <c r="U72" s="213"/>
      <c r="V72" s="215"/>
      <c r="W72" s="215"/>
      <c r="X72" s="217"/>
      <c r="Y72" s="217"/>
      <c r="Z72" s="213"/>
      <c r="AA72" s="215"/>
      <c r="AB72" s="215"/>
      <c r="AC72" s="217"/>
      <c r="AD72" s="217"/>
      <c r="AE72" s="213"/>
      <c r="AF72" s="215"/>
      <c r="AG72" s="215"/>
      <c r="AH72" s="217"/>
      <c r="AI72" s="217"/>
      <c r="AJ72" s="213"/>
    </row>
    <row r="73" spans="1:36" ht="33.75" customHeight="1">
      <c r="A73" s="213"/>
      <c r="B73" s="214">
        <f ca="1">IFERROR(__xludf.DUMMYFUNCTION("""COMPUTED_VALUE"""),504664)</f>
        <v>504664</v>
      </c>
      <c r="C73" s="215" t="str">
        <f ca="1">IFERROR(__xludf.DUMMYFUNCTION("""COMPUTED_VALUE"""),"Intermediate")</f>
        <v>Intermediate</v>
      </c>
      <c r="D73" s="216" t="str">
        <f ca="1">IFERROR(__xludf.DUMMYFUNCTION("""COMPUTED_VALUE"""),"Persuasive Selling")</f>
        <v>Persuasive Selling</v>
      </c>
      <c r="E73" s="217"/>
      <c r="F73" s="213"/>
      <c r="G73" s="214"/>
      <c r="H73" s="215"/>
      <c r="I73" s="217"/>
      <c r="J73" s="217"/>
      <c r="K73" s="213"/>
      <c r="L73" s="215"/>
      <c r="M73" s="215"/>
      <c r="N73" s="217"/>
      <c r="O73" s="217"/>
      <c r="P73" s="213"/>
      <c r="Q73" s="215"/>
      <c r="R73" s="215"/>
      <c r="S73" s="217"/>
      <c r="T73" s="217"/>
      <c r="U73" s="213"/>
      <c r="V73" s="215"/>
      <c r="W73" s="215"/>
      <c r="X73" s="217"/>
      <c r="Y73" s="217"/>
      <c r="Z73" s="213"/>
      <c r="AA73" s="215"/>
      <c r="AB73" s="215"/>
      <c r="AC73" s="217"/>
      <c r="AD73" s="217"/>
      <c r="AE73" s="213"/>
      <c r="AF73" s="215"/>
      <c r="AG73" s="215"/>
      <c r="AH73" s="217"/>
      <c r="AI73" s="217"/>
      <c r="AJ73" s="213"/>
    </row>
    <row r="74" spans="1:36" ht="33.75" customHeight="1">
      <c r="A74" s="213"/>
      <c r="B74" s="214">
        <f ca="1">IFERROR(__xludf.DUMMYFUNCTION("""COMPUTED_VALUE"""),548711)</f>
        <v>548711</v>
      </c>
      <c r="C74" s="215" t="str">
        <f ca="1">IFERROR(__xludf.DUMMYFUNCTION("""COMPUTED_VALUE"""),"Intermediate")</f>
        <v>Intermediate</v>
      </c>
      <c r="D74" s="216" t="str">
        <f ca="1">IFERROR(__xludf.DUMMYFUNCTION("""COMPUTED_VALUE"""),"Sales Forecasting")</f>
        <v>Sales Forecasting</v>
      </c>
      <c r="E74" s="217"/>
      <c r="F74" s="213"/>
      <c r="G74" s="214"/>
      <c r="H74" s="215"/>
      <c r="I74" s="217"/>
      <c r="J74" s="217"/>
      <c r="K74" s="213"/>
      <c r="L74" s="215"/>
      <c r="M74" s="215"/>
      <c r="N74" s="217"/>
      <c r="O74" s="217"/>
      <c r="P74" s="213"/>
      <c r="Q74" s="215"/>
      <c r="R74" s="215"/>
      <c r="S74" s="217"/>
      <c r="T74" s="217"/>
      <c r="U74" s="213"/>
      <c r="V74" s="215"/>
      <c r="W74" s="215"/>
      <c r="X74" s="217"/>
      <c r="Y74" s="217"/>
      <c r="Z74" s="213"/>
      <c r="AA74" s="215"/>
      <c r="AB74" s="215"/>
      <c r="AC74" s="217"/>
      <c r="AD74" s="217"/>
      <c r="AE74" s="213"/>
      <c r="AF74" s="215"/>
      <c r="AG74" s="215"/>
      <c r="AH74" s="217"/>
      <c r="AI74" s="217"/>
      <c r="AJ74" s="213"/>
    </row>
    <row r="75" spans="1:36" ht="33.75" customHeight="1">
      <c r="A75" s="213"/>
      <c r="B75" s="214">
        <f ca="1">IFERROR(__xludf.DUMMYFUNCTION("""COMPUTED_VALUE"""),548713)</f>
        <v>548713</v>
      </c>
      <c r="C75" s="215" t="str">
        <f ca="1">IFERROR(__xludf.DUMMYFUNCTION("""COMPUTED_VALUE"""),"Intermediate")</f>
        <v>Intermediate</v>
      </c>
      <c r="D75" s="216" t="str">
        <f ca="1">IFERROR(__xludf.DUMMYFUNCTION("""COMPUTED_VALUE"""),"Key Account Management")</f>
        <v>Key Account Management</v>
      </c>
      <c r="E75" s="217"/>
      <c r="F75" s="213"/>
      <c r="G75" s="214"/>
      <c r="H75" s="215"/>
      <c r="I75" s="217"/>
      <c r="J75" s="217"/>
      <c r="K75" s="213"/>
      <c r="L75" s="215"/>
      <c r="M75" s="215"/>
      <c r="N75" s="217"/>
      <c r="O75" s="217"/>
      <c r="P75" s="213"/>
      <c r="Q75" s="215"/>
      <c r="R75" s="215"/>
      <c r="S75" s="217"/>
      <c r="T75" s="217"/>
      <c r="U75" s="213"/>
      <c r="V75" s="215"/>
      <c r="W75" s="215"/>
      <c r="X75" s="217"/>
      <c r="Y75" s="217"/>
      <c r="Z75" s="213"/>
      <c r="AA75" s="215"/>
      <c r="AB75" s="215"/>
      <c r="AC75" s="217"/>
      <c r="AD75" s="217"/>
      <c r="AE75" s="213"/>
      <c r="AF75" s="215"/>
      <c r="AG75" s="215"/>
      <c r="AH75" s="217"/>
      <c r="AI75" s="217"/>
      <c r="AJ75" s="213"/>
    </row>
    <row r="76" spans="1:36" ht="33.75" customHeight="1">
      <c r="A76" s="213"/>
      <c r="B76" s="214">
        <f ca="1">IFERROR(__xludf.DUMMYFUNCTION("""COMPUTED_VALUE"""),560125)</f>
        <v>560125</v>
      </c>
      <c r="C76" s="215" t="str">
        <f ca="1">IFERROR(__xludf.DUMMYFUNCTION("""COMPUTED_VALUE"""),"Intermediate")</f>
        <v>Intermediate</v>
      </c>
      <c r="D76" s="216" t="str">
        <f ca="1">IFERROR(__xludf.DUMMYFUNCTION("""COMPUTED_VALUE"""),"Sales Channel Management")</f>
        <v>Sales Channel Management</v>
      </c>
      <c r="E76" s="217"/>
      <c r="F76" s="213"/>
      <c r="G76" s="214"/>
      <c r="H76" s="215"/>
      <c r="I76" s="217"/>
      <c r="J76" s="217"/>
      <c r="K76" s="213"/>
      <c r="L76" s="215"/>
      <c r="M76" s="215"/>
      <c r="N76" s="217"/>
      <c r="O76" s="217"/>
      <c r="P76" s="213"/>
      <c r="Q76" s="215"/>
      <c r="R76" s="215"/>
      <c r="S76" s="217"/>
      <c r="T76" s="217"/>
      <c r="U76" s="213"/>
      <c r="V76" s="215"/>
      <c r="W76" s="215"/>
      <c r="X76" s="217"/>
      <c r="Y76" s="217"/>
      <c r="Z76" s="213"/>
      <c r="AA76" s="215"/>
      <c r="AB76" s="215"/>
      <c r="AC76" s="217"/>
      <c r="AD76" s="217"/>
      <c r="AE76" s="213"/>
      <c r="AF76" s="215"/>
      <c r="AG76" s="215"/>
      <c r="AH76" s="217"/>
      <c r="AI76" s="217"/>
      <c r="AJ76" s="213"/>
    </row>
    <row r="77" spans="1:36" ht="33.75" customHeight="1">
      <c r="A77" s="213"/>
      <c r="B77" s="214">
        <f ca="1">IFERROR(__xludf.DUMMYFUNCTION("""COMPUTED_VALUE"""),587596)</f>
        <v>587596</v>
      </c>
      <c r="C77" s="215" t="str">
        <f ca="1">IFERROR(__xludf.DUMMYFUNCTION("""COMPUTED_VALUE"""),"Intermediate")</f>
        <v>Intermediate</v>
      </c>
      <c r="D77" s="216" t="str">
        <f ca="1">IFERROR(__xludf.DUMMYFUNCTION("""COMPUTED_VALUE"""),"Sales Performance Measurement and Reporting")</f>
        <v>Sales Performance Measurement and Reporting</v>
      </c>
      <c r="E77" s="217"/>
      <c r="F77" s="213"/>
      <c r="G77" s="214"/>
      <c r="H77" s="215"/>
      <c r="I77" s="217"/>
      <c r="J77" s="217"/>
      <c r="K77" s="213"/>
      <c r="L77" s="215"/>
      <c r="M77" s="215"/>
      <c r="N77" s="217"/>
      <c r="O77" s="217"/>
      <c r="P77" s="213"/>
      <c r="Q77" s="215"/>
      <c r="R77" s="215"/>
      <c r="S77" s="217"/>
      <c r="T77" s="217"/>
      <c r="U77" s="213"/>
      <c r="V77" s="215"/>
      <c r="W77" s="215"/>
      <c r="X77" s="217"/>
      <c r="Y77" s="217"/>
      <c r="Z77" s="213"/>
      <c r="AA77" s="215"/>
      <c r="AB77" s="215"/>
      <c r="AC77" s="217"/>
      <c r="AD77" s="217"/>
      <c r="AE77" s="213"/>
      <c r="AF77" s="215"/>
      <c r="AG77" s="215"/>
      <c r="AH77" s="217"/>
      <c r="AI77" s="217"/>
      <c r="AJ77" s="213"/>
    </row>
    <row r="78" spans="1:36" ht="33.75" customHeight="1">
      <c r="A78" s="213"/>
      <c r="B78" s="214">
        <f ca="1">IFERROR(__xludf.DUMMYFUNCTION("""COMPUTED_VALUE"""),602886)</f>
        <v>602886</v>
      </c>
      <c r="C78" s="215" t="str">
        <f ca="1">IFERROR(__xludf.DUMMYFUNCTION("""COMPUTED_VALUE"""),"Intermediate")</f>
        <v>Intermediate</v>
      </c>
      <c r="D78" s="216" t="str">
        <f ca="1">IFERROR(__xludf.DUMMYFUNCTION("""COMPUTED_VALUE"""),"Develop a Service Orientation")</f>
        <v>Develop a Service Orientation</v>
      </c>
      <c r="E78" s="217"/>
      <c r="F78" s="213"/>
      <c r="G78" s="214"/>
      <c r="H78" s="215"/>
      <c r="I78" s="217"/>
      <c r="J78" s="217"/>
      <c r="K78" s="213"/>
      <c r="L78" s="215"/>
      <c r="M78" s="215"/>
      <c r="N78" s="217"/>
      <c r="O78" s="217"/>
      <c r="P78" s="213"/>
      <c r="Q78" s="215"/>
      <c r="R78" s="215"/>
      <c r="S78" s="217"/>
      <c r="T78" s="217"/>
      <c r="U78" s="213"/>
      <c r="V78" s="215"/>
      <c r="W78" s="215"/>
      <c r="X78" s="217"/>
      <c r="Y78" s="217"/>
      <c r="Z78" s="213"/>
      <c r="AA78" s="215"/>
      <c r="AB78" s="215"/>
      <c r="AC78" s="217"/>
      <c r="AD78" s="217"/>
      <c r="AE78" s="213"/>
      <c r="AF78" s="215"/>
      <c r="AG78" s="215"/>
      <c r="AH78" s="217"/>
      <c r="AI78" s="217"/>
      <c r="AJ78" s="213"/>
    </row>
    <row r="79" spans="1:36" ht="33.75" customHeight="1">
      <c r="A79" s="213"/>
      <c r="B79" s="214">
        <f ca="1">IFERROR(__xludf.DUMMYFUNCTION("""COMPUTED_VALUE"""),602887)</f>
        <v>602887</v>
      </c>
      <c r="C79" s="215" t="str">
        <f ca="1">IFERROR(__xludf.DUMMYFUNCTION("""COMPUTED_VALUE"""),"Intermediate")</f>
        <v>Intermediate</v>
      </c>
      <c r="D79" s="216" t="str">
        <f ca="1">IFERROR(__xludf.DUMMYFUNCTION("""COMPUTED_VALUE"""),"Sales: Customer Success")</f>
        <v>Sales: Customer Success</v>
      </c>
      <c r="E79" s="217"/>
      <c r="F79" s="213"/>
      <c r="G79" s="214"/>
      <c r="H79" s="215"/>
      <c r="I79" s="217"/>
      <c r="J79" s="217"/>
      <c r="K79" s="213"/>
      <c r="L79" s="215"/>
      <c r="M79" s="215"/>
      <c r="N79" s="217"/>
      <c r="O79" s="217"/>
      <c r="P79" s="213"/>
      <c r="Q79" s="215"/>
      <c r="R79" s="215"/>
      <c r="S79" s="217"/>
      <c r="T79" s="217"/>
      <c r="U79" s="213"/>
      <c r="V79" s="215"/>
      <c r="W79" s="215"/>
      <c r="X79" s="217"/>
      <c r="Y79" s="217"/>
      <c r="Z79" s="213"/>
      <c r="AA79" s="215"/>
      <c r="AB79" s="215"/>
      <c r="AC79" s="217"/>
      <c r="AD79" s="217"/>
      <c r="AE79" s="213"/>
      <c r="AF79" s="215"/>
      <c r="AG79" s="215"/>
      <c r="AH79" s="217"/>
      <c r="AI79" s="217"/>
      <c r="AJ79" s="213"/>
    </row>
    <row r="80" spans="1:36" ht="33.75" customHeight="1">
      <c r="A80" s="213"/>
      <c r="B80" s="214">
        <f ca="1">IFERROR(__xludf.DUMMYFUNCTION("""COMPUTED_VALUE"""),624264)</f>
        <v>624264</v>
      </c>
      <c r="C80" s="215" t="str">
        <f ca="1">IFERROR(__xludf.DUMMYFUNCTION("""COMPUTED_VALUE"""),"Intermediate")</f>
        <v>Intermediate</v>
      </c>
      <c r="D80" s="216" t="str">
        <f ca="1">IFERROR(__xludf.DUMMYFUNCTION("""COMPUTED_VALUE"""),"Sales: Closing a Complex Sale")</f>
        <v>Sales: Closing a Complex Sale</v>
      </c>
      <c r="E80" s="217"/>
      <c r="F80" s="213"/>
      <c r="G80" s="214"/>
      <c r="H80" s="215"/>
      <c r="I80" s="217"/>
      <c r="J80" s="217"/>
      <c r="K80" s="213"/>
      <c r="L80" s="215"/>
      <c r="M80" s="215"/>
      <c r="N80" s="217"/>
      <c r="O80" s="217"/>
      <c r="P80" s="213"/>
      <c r="Q80" s="215"/>
      <c r="R80" s="215"/>
      <c r="S80" s="217"/>
      <c r="T80" s="217"/>
      <c r="U80" s="213"/>
      <c r="V80" s="215"/>
      <c r="W80" s="215"/>
      <c r="X80" s="217"/>
      <c r="Y80" s="217"/>
      <c r="Z80" s="213"/>
      <c r="AA80" s="215"/>
      <c r="AB80" s="215"/>
      <c r="AC80" s="217"/>
      <c r="AD80" s="217"/>
      <c r="AE80" s="213"/>
      <c r="AF80" s="215"/>
      <c r="AG80" s="215"/>
      <c r="AH80" s="217"/>
      <c r="AI80" s="217"/>
      <c r="AJ80" s="213"/>
    </row>
    <row r="81" spans="1:36" ht="33.75" customHeight="1">
      <c r="A81" s="213"/>
      <c r="B81" s="214">
        <f ca="1">IFERROR(__xludf.DUMMYFUNCTION("""COMPUTED_VALUE"""),633847)</f>
        <v>633847</v>
      </c>
      <c r="C81" s="215" t="str">
        <f ca="1">IFERROR(__xludf.DUMMYFUNCTION("""COMPUTED_VALUE"""),"Intermediate")</f>
        <v>Intermediate</v>
      </c>
      <c r="D81" s="216" t="str">
        <f ca="1">IFERROR(__xludf.DUMMYFUNCTION("""COMPUTED_VALUE"""),"Sales Pipeline Management")</f>
        <v>Sales Pipeline Management</v>
      </c>
      <c r="E81" s="217"/>
      <c r="F81" s="213"/>
      <c r="G81" s="214"/>
      <c r="H81" s="215"/>
      <c r="I81" s="217"/>
      <c r="J81" s="217"/>
      <c r="K81" s="213"/>
      <c r="L81" s="215"/>
      <c r="M81" s="215"/>
      <c r="N81" s="217"/>
      <c r="O81" s="217"/>
      <c r="P81" s="213"/>
      <c r="Q81" s="215"/>
      <c r="R81" s="215"/>
      <c r="S81" s="217"/>
      <c r="T81" s="217"/>
      <c r="U81" s="213"/>
      <c r="V81" s="215"/>
      <c r="W81" s="215"/>
      <c r="X81" s="217"/>
      <c r="Y81" s="217"/>
      <c r="Z81" s="213"/>
      <c r="AA81" s="215"/>
      <c r="AB81" s="215"/>
      <c r="AC81" s="217"/>
      <c r="AD81" s="217"/>
      <c r="AE81" s="213"/>
      <c r="AF81" s="215"/>
      <c r="AG81" s="215"/>
      <c r="AH81" s="217"/>
      <c r="AI81" s="217"/>
      <c r="AJ81" s="213"/>
    </row>
    <row r="82" spans="1:36" ht="33.75" customHeight="1">
      <c r="A82" s="213"/>
      <c r="B82" s="214">
        <f ca="1">IFERROR(__xludf.DUMMYFUNCTION("""COMPUTED_VALUE"""),667359)</f>
        <v>667359</v>
      </c>
      <c r="C82" s="215" t="str">
        <f ca="1">IFERROR(__xludf.DUMMYFUNCTION("""COMPUTED_VALUE"""),"Intermediate")</f>
        <v>Intermediate</v>
      </c>
      <c r="D82" s="216" t="str">
        <f ca="1">IFERROR(__xludf.DUMMYFUNCTION("""COMPUTED_VALUE"""),"Sales: Data-Driven Sales Management")</f>
        <v>Sales: Data-Driven Sales Management</v>
      </c>
      <c r="E82" s="217"/>
      <c r="F82" s="213"/>
      <c r="G82" s="214"/>
      <c r="H82" s="215"/>
      <c r="I82" s="217"/>
      <c r="J82" s="217"/>
      <c r="K82" s="213"/>
      <c r="L82" s="215"/>
      <c r="M82" s="215"/>
      <c r="N82" s="217"/>
      <c r="O82" s="217"/>
      <c r="P82" s="213"/>
      <c r="Q82" s="215"/>
      <c r="R82" s="215"/>
      <c r="S82" s="217"/>
      <c r="T82" s="217"/>
      <c r="U82" s="213"/>
      <c r="V82" s="215"/>
      <c r="W82" s="215"/>
      <c r="X82" s="217"/>
      <c r="Y82" s="217"/>
      <c r="Z82" s="213"/>
      <c r="AA82" s="215"/>
      <c r="AB82" s="215"/>
      <c r="AC82" s="217"/>
      <c r="AD82" s="217"/>
      <c r="AE82" s="213"/>
      <c r="AF82" s="215"/>
      <c r="AG82" s="215"/>
      <c r="AH82" s="217"/>
      <c r="AI82" s="217"/>
      <c r="AJ82" s="213"/>
    </row>
    <row r="83" spans="1:36" ht="33.75" customHeight="1">
      <c r="A83" s="213"/>
      <c r="B83" s="214">
        <f ca="1">IFERROR(__xludf.DUMMYFUNCTION("""COMPUTED_VALUE"""),758619)</f>
        <v>758619</v>
      </c>
      <c r="C83" s="215" t="str">
        <f ca="1">IFERROR(__xludf.DUMMYFUNCTION("""COMPUTED_VALUE"""),"Intermediate")</f>
        <v>Intermediate</v>
      </c>
      <c r="D83" s="216" t="str">
        <f ca="1">IFERROR(__xludf.DUMMYFUNCTION("""COMPUTED_VALUE"""),"Social Selling Benchmarks and Scorecard")</f>
        <v>Social Selling Benchmarks and Scorecard</v>
      </c>
      <c r="E83" s="217"/>
      <c r="F83" s="213"/>
      <c r="G83" s="214"/>
      <c r="H83" s="215"/>
      <c r="I83" s="217"/>
      <c r="J83" s="217"/>
      <c r="K83" s="213"/>
      <c r="L83" s="215"/>
      <c r="M83" s="215"/>
      <c r="N83" s="217"/>
      <c r="O83" s="217"/>
      <c r="P83" s="213"/>
      <c r="Q83" s="215"/>
      <c r="R83" s="215"/>
      <c r="S83" s="217"/>
      <c r="T83" s="217"/>
      <c r="U83" s="213"/>
      <c r="V83" s="215"/>
      <c r="W83" s="215"/>
      <c r="X83" s="217"/>
      <c r="Y83" s="217"/>
      <c r="Z83" s="213"/>
      <c r="AA83" s="215"/>
      <c r="AB83" s="215"/>
      <c r="AC83" s="217"/>
      <c r="AD83" s="217"/>
      <c r="AE83" s="213"/>
      <c r="AF83" s="215"/>
      <c r="AG83" s="215"/>
      <c r="AH83" s="217"/>
      <c r="AI83" s="217"/>
      <c r="AJ83" s="213"/>
    </row>
    <row r="84" spans="1:36" ht="33.75" customHeight="1">
      <c r="A84" s="213"/>
      <c r="B84" s="214">
        <f ca="1">IFERROR(__xludf.DUMMYFUNCTION("""COMPUTED_VALUE"""),769275)</f>
        <v>769275</v>
      </c>
      <c r="C84" s="215" t="str">
        <f ca="1">IFERROR(__xludf.DUMMYFUNCTION("""COMPUTED_VALUE"""),"Intermediate")</f>
        <v>Intermediate</v>
      </c>
      <c r="D84" s="216" t="str">
        <f ca="1">IFERROR(__xludf.DUMMYFUNCTION("""COMPUTED_VALUE"""),"Cross-Selling")</f>
        <v>Cross-Selling</v>
      </c>
      <c r="E84" s="217"/>
      <c r="F84" s="213"/>
      <c r="G84" s="214"/>
      <c r="H84" s="215"/>
      <c r="I84" s="217"/>
      <c r="J84" s="217"/>
      <c r="K84" s="213"/>
      <c r="L84" s="215"/>
      <c r="M84" s="215"/>
      <c r="N84" s="217"/>
      <c r="O84" s="217"/>
      <c r="P84" s="213"/>
      <c r="Q84" s="215"/>
      <c r="R84" s="215"/>
      <c r="S84" s="217"/>
      <c r="T84" s="217"/>
      <c r="U84" s="213"/>
      <c r="V84" s="215"/>
      <c r="W84" s="215"/>
      <c r="X84" s="217"/>
      <c r="Y84" s="217"/>
      <c r="Z84" s="213"/>
      <c r="AA84" s="215"/>
      <c r="AB84" s="215"/>
      <c r="AC84" s="217"/>
      <c r="AD84" s="217"/>
      <c r="AE84" s="213"/>
      <c r="AF84" s="215"/>
      <c r="AG84" s="215"/>
      <c r="AH84" s="217"/>
      <c r="AI84" s="217"/>
      <c r="AJ84" s="213"/>
    </row>
    <row r="85" spans="1:36" ht="33.75" customHeight="1">
      <c r="A85" s="213"/>
      <c r="B85" s="214">
        <f ca="1">IFERROR(__xludf.DUMMYFUNCTION("""COMPUTED_VALUE"""),772320)</f>
        <v>772320</v>
      </c>
      <c r="C85" s="215" t="str">
        <f ca="1">IFERROR(__xludf.DUMMYFUNCTION("""COMPUTED_VALUE"""),"Intermediate")</f>
        <v>Intermediate</v>
      </c>
      <c r="D85" s="216" t="str">
        <f ca="1">IFERROR(__xludf.DUMMYFUNCTION("""COMPUTED_VALUE"""),"Sales: Handling Objections")</f>
        <v>Sales: Handling Objections</v>
      </c>
      <c r="E85" s="217"/>
      <c r="F85" s="213"/>
      <c r="G85" s="214"/>
      <c r="H85" s="215"/>
      <c r="I85" s="217"/>
      <c r="J85" s="217"/>
      <c r="K85" s="213"/>
      <c r="L85" s="215"/>
      <c r="M85" s="215"/>
      <c r="N85" s="217"/>
      <c r="O85" s="217"/>
      <c r="P85" s="213"/>
      <c r="Q85" s="215"/>
      <c r="R85" s="215"/>
      <c r="S85" s="217"/>
      <c r="T85" s="217"/>
      <c r="U85" s="213"/>
      <c r="V85" s="215"/>
      <c r="W85" s="215"/>
      <c r="X85" s="217"/>
      <c r="Y85" s="217"/>
      <c r="Z85" s="213"/>
      <c r="AA85" s="215"/>
      <c r="AB85" s="215"/>
      <c r="AC85" s="217"/>
      <c r="AD85" s="217"/>
      <c r="AE85" s="213"/>
      <c r="AF85" s="215"/>
      <c r="AG85" s="215"/>
      <c r="AH85" s="217"/>
      <c r="AI85" s="217"/>
      <c r="AJ85" s="213"/>
    </row>
    <row r="86" spans="1:36" ht="33.75" customHeight="1">
      <c r="A86" s="213"/>
      <c r="B86" s="214">
        <f ca="1">IFERROR(__xludf.DUMMYFUNCTION("""COMPUTED_VALUE"""),2226728)</f>
        <v>2226728</v>
      </c>
      <c r="C86" s="215" t="str">
        <f ca="1">IFERROR(__xludf.DUMMYFUNCTION("""COMPUTED_VALUE"""),"Intermediate")</f>
        <v>Intermediate</v>
      </c>
      <c r="D86" s="216" t="str">
        <f ca="1">IFERROR(__xludf.DUMMYFUNCTION("""COMPUTED_VALUE"""),"Aligning Sales and Marketing")</f>
        <v>Aligning Sales and Marketing</v>
      </c>
      <c r="E86" s="217"/>
      <c r="F86" s="213"/>
      <c r="G86" s="214"/>
      <c r="H86" s="215"/>
      <c r="I86" s="217"/>
      <c r="J86" s="217"/>
      <c r="K86" s="213"/>
      <c r="L86" s="215"/>
      <c r="M86" s="215"/>
      <c r="N86" s="217"/>
      <c r="O86" s="217"/>
      <c r="P86" s="213"/>
      <c r="Q86" s="215"/>
      <c r="R86" s="215"/>
      <c r="S86" s="217"/>
      <c r="T86" s="217"/>
      <c r="U86" s="213"/>
      <c r="V86" s="215"/>
      <c r="W86" s="215"/>
      <c r="X86" s="217"/>
      <c r="Y86" s="217"/>
      <c r="Z86" s="213"/>
      <c r="AA86" s="215"/>
      <c r="AB86" s="215"/>
      <c r="AC86" s="217"/>
      <c r="AD86" s="217"/>
      <c r="AE86" s="213"/>
      <c r="AF86" s="215"/>
      <c r="AG86" s="215"/>
      <c r="AH86" s="217"/>
      <c r="AI86" s="217"/>
      <c r="AJ86" s="213"/>
    </row>
    <row r="87" spans="1:36" ht="33.75" customHeight="1">
      <c r="A87" s="213"/>
      <c r="B87" s="214">
        <f ca="1">IFERROR(__xludf.DUMMYFUNCTION("""COMPUTED_VALUE"""),2814164)</f>
        <v>2814164</v>
      </c>
      <c r="C87" s="215" t="str">
        <f ca="1">IFERROR(__xludf.DUMMYFUNCTION("""COMPUTED_VALUE"""),"Intermediate")</f>
        <v>Intermediate</v>
      </c>
      <c r="D87" s="216" t="str">
        <f ca="1">IFERROR(__xludf.DUMMYFUNCTION("""COMPUTED_VALUE"""),"Sales Enablement")</f>
        <v>Sales Enablement</v>
      </c>
      <c r="E87" s="217"/>
      <c r="F87" s="213"/>
      <c r="G87" s="214"/>
      <c r="H87" s="215"/>
      <c r="I87" s="217"/>
      <c r="J87" s="217"/>
      <c r="K87" s="213"/>
      <c r="L87" s="215"/>
      <c r="M87" s="215"/>
      <c r="N87" s="217"/>
      <c r="O87" s="217"/>
      <c r="P87" s="213"/>
      <c r="Q87" s="215"/>
      <c r="R87" s="215"/>
      <c r="S87" s="217"/>
      <c r="T87" s="217"/>
      <c r="U87" s="213"/>
      <c r="V87" s="215"/>
      <c r="W87" s="215"/>
      <c r="X87" s="217"/>
      <c r="Y87" s="217"/>
      <c r="Z87" s="213"/>
      <c r="AA87" s="215"/>
      <c r="AB87" s="215"/>
      <c r="AC87" s="217"/>
      <c r="AD87" s="217"/>
      <c r="AE87" s="213"/>
      <c r="AF87" s="215"/>
      <c r="AG87" s="215"/>
      <c r="AH87" s="217"/>
      <c r="AI87" s="217"/>
      <c r="AJ87" s="213"/>
    </row>
    <row r="88" spans="1:36" ht="33.75" customHeight="1">
      <c r="A88" s="213"/>
      <c r="B88" s="214">
        <f ca="1">IFERROR(__xludf.DUMMYFUNCTION("""COMPUTED_VALUE"""),2822055)</f>
        <v>2822055</v>
      </c>
      <c r="C88" s="215" t="str">
        <f ca="1">IFERROR(__xludf.DUMMYFUNCTION("""COMPUTED_VALUE"""),"Intermediate")</f>
        <v>Intermediate</v>
      </c>
      <c r="D88" s="217" t="str">
        <f ca="1">IFERROR(__xludf.DUMMYFUNCTION("""COMPUTED_VALUE"""),"Empathy for Sales Professionals")</f>
        <v>Empathy for Sales Professionals</v>
      </c>
      <c r="E88" s="217"/>
      <c r="F88" s="213"/>
      <c r="G88" s="214"/>
      <c r="H88" s="215"/>
      <c r="I88" s="217"/>
      <c r="J88" s="217"/>
      <c r="K88" s="213"/>
      <c r="L88" s="215"/>
      <c r="M88" s="215"/>
      <c r="N88" s="217"/>
      <c r="O88" s="217"/>
      <c r="P88" s="213"/>
      <c r="Q88" s="215"/>
      <c r="R88" s="215"/>
      <c r="S88" s="217"/>
      <c r="T88" s="217"/>
      <c r="U88" s="213"/>
      <c r="V88" s="215"/>
      <c r="W88" s="215"/>
      <c r="X88" s="217"/>
      <c r="Y88" s="217"/>
      <c r="Z88" s="213"/>
      <c r="AA88" s="215"/>
      <c r="AB88" s="215"/>
      <c r="AC88" s="217"/>
      <c r="AD88" s="217"/>
      <c r="AE88" s="213"/>
      <c r="AF88" s="215"/>
      <c r="AG88" s="215"/>
      <c r="AH88" s="217"/>
      <c r="AI88" s="217"/>
      <c r="AJ88" s="213"/>
    </row>
    <row r="89" spans="1:36" ht="16">
      <c r="A89" s="213"/>
      <c r="B89" s="214">
        <f ca="1">IFERROR(__xludf.DUMMYFUNCTION("""COMPUTED_VALUE"""),5035799)</f>
        <v>5035799</v>
      </c>
      <c r="C89" s="215" t="str">
        <f ca="1">IFERROR(__xludf.DUMMYFUNCTION("""COMPUTED_VALUE"""),"Intermediate")</f>
        <v>Intermediate</v>
      </c>
      <c r="D89" s="216" t="str">
        <f ca="1">IFERROR(__xludf.DUMMYFUNCTION("""COMPUTED_VALUE"""),"Asking Great Sales Questions")</f>
        <v>Asking Great Sales Questions</v>
      </c>
      <c r="E89" s="217"/>
      <c r="F89" s="213"/>
      <c r="G89" s="214"/>
      <c r="H89" s="215"/>
      <c r="I89" s="217"/>
      <c r="J89" s="217"/>
      <c r="K89" s="213"/>
      <c r="L89" s="215"/>
      <c r="M89" s="215"/>
      <c r="N89" s="217"/>
      <c r="O89" s="217"/>
      <c r="P89" s="213"/>
      <c r="Q89" s="215"/>
      <c r="R89" s="215"/>
      <c r="S89" s="217"/>
      <c r="T89" s="217"/>
      <c r="U89" s="213"/>
      <c r="V89" s="215"/>
      <c r="W89" s="215"/>
      <c r="X89" s="217"/>
      <c r="Y89" s="217"/>
      <c r="Z89" s="213"/>
      <c r="AA89" s="215"/>
      <c r="AB89" s="215"/>
      <c r="AC89" s="217"/>
      <c r="AD89" s="217"/>
      <c r="AE89" s="213"/>
      <c r="AF89" s="215"/>
      <c r="AG89" s="215"/>
      <c r="AH89" s="217"/>
      <c r="AI89" s="217"/>
      <c r="AJ89" s="213"/>
    </row>
    <row r="90" spans="1:36" ht="16">
      <c r="A90" s="213"/>
      <c r="B90" s="214">
        <f ca="1">IFERROR(__xludf.DUMMYFUNCTION("""COMPUTED_VALUE"""),2846052)</f>
        <v>2846052</v>
      </c>
      <c r="C90" s="215" t="str">
        <f ca="1">IFERROR(__xludf.DUMMYFUNCTION("""COMPUTED_VALUE"""),"Intermediate")</f>
        <v>Intermediate</v>
      </c>
      <c r="D90" s="216" t="str">
        <f ca="1">IFERROR(__xludf.DUMMYFUNCTION("""COMPUTED_VALUE"""),"Selling with Empathy during Uncertain Times")</f>
        <v>Selling with Empathy during Uncertain Times</v>
      </c>
      <c r="E90" s="217"/>
      <c r="F90" s="213"/>
      <c r="G90" s="214"/>
      <c r="H90" s="215"/>
      <c r="I90" s="217"/>
      <c r="J90" s="217"/>
      <c r="K90" s="213"/>
      <c r="L90" s="215"/>
      <c r="M90" s="215"/>
      <c r="N90" s="217"/>
      <c r="O90" s="217"/>
      <c r="P90" s="213"/>
      <c r="Q90" s="215"/>
      <c r="R90" s="215"/>
      <c r="S90" s="217"/>
      <c r="T90" s="217"/>
      <c r="U90" s="213"/>
      <c r="V90" s="215"/>
      <c r="W90" s="215"/>
      <c r="X90" s="217"/>
      <c r="Y90" s="217"/>
      <c r="Z90" s="213"/>
      <c r="AA90" s="215"/>
      <c r="AB90" s="215"/>
      <c r="AC90" s="217"/>
      <c r="AD90" s="217"/>
      <c r="AE90" s="213"/>
      <c r="AF90" s="215"/>
      <c r="AG90" s="215"/>
      <c r="AH90" s="217"/>
      <c r="AI90" s="217"/>
      <c r="AJ90" s="213"/>
    </row>
    <row r="91" spans="1:36" ht="16">
      <c r="A91" s="213"/>
      <c r="B91" s="214">
        <f ca="1">IFERROR(__xludf.DUMMYFUNCTION("""COMPUTED_VALUE"""),2834042)</f>
        <v>2834042</v>
      </c>
      <c r="C91" s="215" t="str">
        <f ca="1">IFERROR(__xludf.DUMMYFUNCTION("""COMPUTED_VALUE"""),"Intermediate")</f>
        <v>Intermediate</v>
      </c>
      <c r="D91" s="216" t="str">
        <f ca="1">IFERROR(__xludf.DUMMYFUNCTION("""COMPUTED_VALUE"""),"Social Selling: Reaching Prospects")</f>
        <v>Social Selling: Reaching Prospects</v>
      </c>
      <c r="E91" s="217"/>
      <c r="F91" s="213"/>
      <c r="G91" s="214"/>
      <c r="H91" s="215"/>
      <c r="I91" s="217"/>
      <c r="J91" s="217"/>
      <c r="K91" s="213"/>
      <c r="L91" s="215"/>
      <c r="M91" s="215"/>
      <c r="N91" s="217"/>
      <c r="O91" s="217"/>
      <c r="P91" s="213"/>
      <c r="Q91" s="215"/>
      <c r="R91" s="215"/>
      <c r="S91" s="217"/>
      <c r="T91" s="217"/>
      <c r="U91" s="213"/>
      <c r="V91" s="215"/>
      <c r="W91" s="215"/>
      <c r="X91" s="217"/>
      <c r="Y91" s="217"/>
      <c r="Z91" s="213"/>
      <c r="AA91" s="215"/>
      <c r="AB91" s="215"/>
      <c r="AC91" s="217"/>
      <c r="AD91" s="217"/>
      <c r="AE91" s="213"/>
      <c r="AF91" s="215"/>
      <c r="AG91" s="215"/>
      <c r="AH91" s="217"/>
      <c r="AI91" s="217"/>
      <c r="AJ91" s="213"/>
    </row>
    <row r="92" spans="1:36" ht="16">
      <c r="A92" s="213"/>
      <c r="B92" s="214">
        <f ca="1">IFERROR(__xludf.DUMMYFUNCTION("""COMPUTED_VALUE"""),2888117)</f>
        <v>2888117</v>
      </c>
      <c r="C92" s="215" t="str">
        <f ca="1">IFERROR(__xludf.DUMMYFUNCTION("""COMPUTED_VALUE"""),"Intermediate")</f>
        <v>Intermediate</v>
      </c>
      <c r="D92" s="216" t="str">
        <f ca="1">IFERROR(__xludf.DUMMYFUNCTION("""COMPUTED_VALUE"""),"Cold Email Prospecting")</f>
        <v>Cold Email Prospecting</v>
      </c>
      <c r="E92" s="217"/>
      <c r="F92" s="213"/>
      <c r="G92" s="214"/>
      <c r="H92" s="215"/>
      <c r="I92" s="217"/>
      <c r="J92" s="217"/>
      <c r="K92" s="213"/>
      <c r="L92" s="215"/>
      <c r="M92" s="215"/>
      <c r="N92" s="217"/>
      <c r="O92" s="217"/>
      <c r="P92" s="213"/>
      <c r="Q92" s="215"/>
      <c r="R92" s="215"/>
      <c r="S92" s="217"/>
      <c r="T92" s="217"/>
      <c r="U92" s="213"/>
      <c r="V92" s="215"/>
      <c r="W92" s="215"/>
      <c r="X92" s="217"/>
      <c r="Y92" s="217"/>
      <c r="Z92" s="213"/>
      <c r="AA92" s="215"/>
      <c r="AB92" s="215"/>
      <c r="AC92" s="217"/>
      <c r="AD92" s="217"/>
      <c r="AE92" s="213"/>
      <c r="AF92" s="215"/>
      <c r="AG92" s="215"/>
      <c r="AH92" s="217"/>
      <c r="AI92" s="217"/>
      <c r="AJ92" s="213"/>
    </row>
    <row r="93" spans="1:36" ht="16">
      <c r="A93" s="213"/>
      <c r="B93" s="214">
        <f ca="1">IFERROR(__xludf.DUMMYFUNCTION("""COMPUTED_VALUE"""),2282148)</f>
        <v>2282148</v>
      </c>
      <c r="C93" s="215" t="str">
        <f ca="1">IFERROR(__xludf.DUMMYFUNCTION("""COMPUTED_VALUE"""),"Intermediate")</f>
        <v>Intermediate</v>
      </c>
      <c r="D93" s="216" t="str">
        <f ca="1">IFERROR(__xludf.DUMMYFUNCTION("""COMPUTED_VALUE"""),"Managing Your Sales Process")</f>
        <v>Managing Your Sales Process</v>
      </c>
      <c r="E93" s="217"/>
      <c r="F93" s="213"/>
      <c r="G93" s="214"/>
      <c r="H93" s="215"/>
      <c r="I93" s="217"/>
      <c r="J93" s="217"/>
      <c r="K93" s="213"/>
      <c r="L93" s="215"/>
      <c r="M93" s="215"/>
      <c r="N93" s="217"/>
      <c r="O93" s="217"/>
      <c r="P93" s="213"/>
      <c r="Q93" s="215"/>
      <c r="R93" s="215"/>
      <c r="S93" s="217"/>
      <c r="T93" s="217"/>
      <c r="U93" s="213"/>
      <c r="V93" s="215"/>
      <c r="W93" s="215"/>
      <c r="X93" s="217"/>
      <c r="Y93" s="217"/>
      <c r="Z93" s="213"/>
      <c r="AA93" s="215"/>
      <c r="AB93" s="215"/>
      <c r="AC93" s="217"/>
      <c r="AD93" s="217"/>
      <c r="AE93" s="213"/>
      <c r="AF93" s="215"/>
      <c r="AG93" s="215"/>
      <c r="AH93" s="217"/>
      <c r="AI93" s="217"/>
      <c r="AJ93" s="213"/>
    </row>
    <row r="94" spans="1:36" ht="16">
      <c r="A94" s="213"/>
      <c r="B94" s="214">
        <f ca="1">IFERROR(__xludf.DUMMYFUNCTION("""COMPUTED_VALUE"""),2825697)</f>
        <v>2825697</v>
      </c>
      <c r="C94" s="215" t="str">
        <f ca="1">IFERROR(__xludf.DUMMYFUNCTION("""COMPUTED_VALUE"""),"Intermediate")</f>
        <v>Intermediate</v>
      </c>
      <c r="D94" s="216" t="str">
        <f ca="1">IFERROR(__xludf.DUMMYFUNCTION("""COMPUTED_VALUE"""),"Sales and the Science of Trust")</f>
        <v>Sales and the Science of Trust</v>
      </c>
      <c r="E94" s="217"/>
      <c r="F94" s="213"/>
      <c r="G94" s="214"/>
      <c r="H94" s="215"/>
      <c r="I94" s="217"/>
      <c r="J94" s="217"/>
      <c r="K94" s="213"/>
      <c r="L94" s="215"/>
      <c r="M94" s="215"/>
      <c r="N94" s="217"/>
      <c r="O94" s="217"/>
      <c r="P94" s="213"/>
      <c r="Q94" s="215"/>
      <c r="R94" s="215"/>
      <c r="S94" s="217"/>
      <c r="T94" s="217"/>
      <c r="U94" s="213"/>
      <c r="V94" s="215"/>
      <c r="W94" s="215"/>
      <c r="X94" s="217"/>
      <c r="Y94" s="217"/>
      <c r="Z94" s="213"/>
      <c r="AA94" s="215"/>
      <c r="AB94" s="215"/>
      <c r="AC94" s="217"/>
      <c r="AD94" s="217"/>
      <c r="AE94" s="213"/>
      <c r="AF94" s="215"/>
      <c r="AG94" s="215"/>
      <c r="AH94" s="217"/>
      <c r="AI94" s="217"/>
      <c r="AJ94" s="213"/>
    </row>
    <row r="95" spans="1:36" ht="30">
      <c r="A95" s="213"/>
      <c r="B95" s="214">
        <f ca="1">IFERROR(__xludf.DUMMYFUNCTION("""COMPUTED_VALUE"""),777346)</f>
        <v>777346</v>
      </c>
      <c r="C95" s="215" t="str">
        <f ca="1">IFERROR(__xludf.DUMMYFUNCTION("""COMPUTED_VALUE"""),"Advanced")</f>
        <v>Advanced</v>
      </c>
      <c r="D95" s="216" t="str">
        <f ca="1">IFERROR(__xludf.DUMMYFUNCTION("""COMPUTED_VALUE"""),"The Persuasion Code: The Neuroscience of Sales")</f>
        <v>The Persuasion Code: The Neuroscience of Sales</v>
      </c>
      <c r="E95" s="217"/>
      <c r="F95" s="213"/>
      <c r="G95" s="214"/>
      <c r="H95" s="215"/>
      <c r="I95" s="217"/>
      <c r="J95" s="217"/>
      <c r="K95" s="213"/>
      <c r="L95" s="215"/>
      <c r="M95" s="215"/>
      <c r="N95" s="217"/>
      <c r="O95" s="217"/>
      <c r="P95" s="213"/>
      <c r="Q95" s="215"/>
      <c r="R95" s="215"/>
      <c r="S95" s="217"/>
      <c r="T95" s="217"/>
      <c r="U95" s="213"/>
      <c r="V95" s="215"/>
      <c r="W95" s="215"/>
      <c r="X95" s="217"/>
      <c r="Y95" s="217"/>
      <c r="Z95" s="213"/>
      <c r="AA95" s="215"/>
      <c r="AB95" s="215"/>
      <c r="AC95" s="217"/>
      <c r="AD95" s="217"/>
      <c r="AE95" s="213"/>
      <c r="AF95" s="215"/>
      <c r="AG95" s="215"/>
      <c r="AH95" s="217"/>
      <c r="AI95" s="217"/>
      <c r="AJ95" s="213"/>
    </row>
    <row r="96" spans="1:36" ht="16">
      <c r="A96" s="213"/>
      <c r="B96" s="214">
        <f ca="1">IFERROR(__xludf.DUMMYFUNCTION("""COMPUTED_VALUE"""),797727)</f>
        <v>797727</v>
      </c>
      <c r="C96" s="215" t="str">
        <f ca="1">IFERROR(__xludf.DUMMYFUNCTION("""COMPUTED_VALUE"""),"Advanced")</f>
        <v>Advanced</v>
      </c>
      <c r="D96" s="217" t="str">
        <f ca="1">IFERROR(__xludf.DUMMYFUNCTION("""COMPUTED_VALUE"""),"Sales: Closing Strategies")</f>
        <v>Sales: Closing Strategies</v>
      </c>
      <c r="E96" s="217"/>
      <c r="F96" s="213"/>
      <c r="G96" s="214"/>
      <c r="H96" s="215"/>
      <c r="I96" s="217"/>
      <c r="J96" s="217"/>
      <c r="K96" s="213"/>
      <c r="L96" s="215"/>
      <c r="M96" s="215"/>
      <c r="N96" s="217"/>
      <c r="O96" s="217"/>
      <c r="P96" s="213"/>
      <c r="Q96" s="215"/>
      <c r="R96" s="215"/>
      <c r="S96" s="217"/>
      <c r="T96" s="217"/>
      <c r="U96" s="213"/>
      <c r="V96" s="215"/>
      <c r="W96" s="215"/>
      <c r="X96" s="217"/>
      <c r="Y96" s="217"/>
      <c r="Z96" s="213"/>
      <c r="AA96" s="215"/>
      <c r="AB96" s="215"/>
      <c r="AC96" s="217"/>
      <c r="AD96" s="217"/>
      <c r="AE96" s="213"/>
      <c r="AF96" s="215"/>
      <c r="AG96" s="215"/>
      <c r="AH96" s="217"/>
      <c r="AI96" s="217"/>
      <c r="AJ96" s="213"/>
    </row>
    <row r="97" spans="1:36" ht="30">
      <c r="A97" s="213"/>
      <c r="B97" s="214">
        <f ca="1">IFERROR(__xludf.DUMMYFUNCTION("""COMPUTED_VALUE"""),2811346)</f>
        <v>2811346</v>
      </c>
      <c r="C97" s="215" t="str">
        <f ca="1">IFERROR(__xludf.DUMMYFUNCTION("""COMPUTED_VALUE"""),"Advanced")</f>
        <v>Advanced</v>
      </c>
      <c r="D97" s="217" t="str">
        <f ca="1">IFERROR(__xludf.DUMMYFUNCTION("""COMPUTED_VALUE"""),"Advanced Persuasive Selling: Persuading Different Personality Types")</f>
        <v>Advanced Persuasive Selling: Persuading Different Personality Types</v>
      </c>
      <c r="E97" s="217"/>
      <c r="F97" s="213"/>
      <c r="G97" s="214"/>
      <c r="H97" s="215"/>
      <c r="I97" s="217"/>
      <c r="J97" s="217"/>
      <c r="K97" s="213"/>
      <c r="L97" s="215"/>
      <c r="M97" s="215"/>
      <c r="N97" s="217"/>
      <c r="O97" s="217"/>
      <c r="P97" s="213"/>
      <c r="Q97" s="215"/>
      <c r="R97" s="215"/>
      <c r="S97" s="217"/>
      <c r="T97" s="217"/>
      <c r="U97" s="213"/>
      <c r="V97" s="215"/>
      <c r="W97" s="215"/>
      <c r="X97" s="217"/>
      <c r="Y97" s="217"/>
      <c r="Z97" s="213"/>
      <c r="AA97" s="215"/>
      <c r="AB97" s="215"/>
      <c r="AC97" s="217"/>
      <c r="AD97" s="217"/>
      <c r="AE97" s="213"/>
      <c r="AF97" s="215"/>
      <c r="AG97" s="215"/>
      <c r="AH97" s="217"/>
      <c r="AI97" s="217"/>
      <c r="AJ97" s="213"/>
    </row>
    <row r="98" spans="1:36" ht="16">
      <c r="A98" s="213"/>
      <c r="B98" s="214">
        <f ca="1">IFERROR(__xludf.DUMMYFUNCTION("""COMPUTED_VALUE"""),5016699)</f>
        <v>5016699</v>
      </c>
      <c r="C98" s="215" t="str">
        <f ca="1">IFERROR(__xludf.DUMMYFUNCTION("""COMPUTED_VALUE"""),"Advanced")</f>
        <v>Advanced</v>
      </c>
      <c r="D98" s="217" t="str">
        <f ca="1">IFERROR(__xludf.DUMMYFUNCTION("""COMPUTED_VALUE"""),"Selling to the C-Suite")</f>
        <v>Selling to the C-Suite</v>
      </c>
      <c r="E98" s="217"/>
      <c r="F98" s="213"/>
      <c r="G98" s="214"/>
      <c r="H98" s="215"/>
      <c r="I98" s="217"/>
      <c r="J98" s="217"/>
      <c r="K98" s="213"/>
      <c r="L98" s="215"/>
      <c r="M98" s="215"/>
      <c r="N98" s="217"/>
      <c r="O98" s="217"/>
      <c r="P98" s="213"/>
      <c r="Q98" s="215"/>
      <c r="R98" s="215"/>
      <c r="S98" s="217"/>
      <c r="T98" s="217"/>
      <c r="U98" s="213"/>
      <c r="V98" s="215"/>
      <c r="W98" s="215"/>
      <c r="X98" s="217"/>
      <c r="Y98" s="217"/>
      <c r="Z98" s="213"/>
      <c r="AA98" s="215"/>
      <c r="AB98" s="215"/>
      <c r="AC98" s="217"/>
      <c r="AD98" s="217"/>
      <c r="AE98" s="213"/>
      <c r="AF98" s="215"/>
      <c r="AG98" s="215"/>
      <c r="AH98" s="217"/>
      <c r="AI98" s="217"/>
      <c r="AJ98" s="213"/>
    </row>
    <row r="99" spans="1:36" ht="16">
      <c r="A99" s="213"/>
      <c r="B99" s="214">
        <f ca="1">IFERROR(__xludf.DUMMYFUNCTION("""COMPUTED_VALUE"""),2854002)</f>
        <v>2854002</v>
      </c>
      <c r="C99" s="215" t="str">
        <f ca="1">IFERROR(__xludf.DUMMYFUNCTION("""COMPUTED_VALUE"""),"Advanced")</f>
        <v>Advanced</v>
      </c>
      <c r="D99" s="217" t="str">
        <f ca="1">IFERROR(__xludf.DUMMYFUNCTION("""COMPUTED_VALUE"""),"Advanced Lead Generation")</f>
        <v>Advanced Lead Generation</v>
      </c>
      <c r="E99" s="217"/>
      <c r="F99" s="213"/>
      <c r="G99" s="214"/>
      <c r="H99" s="215"/>
      <c r="I99" s="218"/>
      <c r="J99" s="219"/>
      <c r="K99" s="213"/>
      <c r="L99" s="215"/>
      <c r="M99" s="215"/>
      <c r="N99" s="220"/>
      <c r="O99" s="220"/>
      <c r="P99" s="213"/>
      <c r="Q99" s="215"/>
      <c r="R99" s="215"/>
      <c r="S99" s="220"/>
      <c r="T99" s="220"/>
      <c r="U99" s="213"/>
      <c r="V99" s="215"/>
      <c r="W99" s="215"/>
      <c r="X99" s="220"/>
      <c r="Y99" s="220"/>
      <c r="Z99" s="213"/>
      <c r="AA99" s="215"/>
      <c r="AB99" s="215"/>
      <c r="AC99" s="221"/>
      <c r="AD99" s="221"/>
      <c r="AE99" s="213"/>
      <c r="AF99" s="215"/>
      <c r="AG99" s="215"/>
      <c r="AH99" s="220"/>
      <c r="AI99" s="220"/>
      <c r="AJ99" s="213"/>
    </row>
    <row r="100" spans="1:36" ht="15" customHeight="1">
      <c r="B100">
        <f ca="1">IFERROR(__xludf.DUMMYFUNCTION("""COMPUTED_VALUE"""),148625)</f>
        <v>148625</v>
      </c>
      <c r="C100" t="str">
        <f ca="1">IFERROR(__xludf.DUMMYFUNCTION("""COMPUTED_VALUE"""),"General")</f>
        <v>General</v>
      </c>
      <c r="D100" t="str">
        <f ca="1">IFERROR(__xludf.DUMMYFUNCTION("""COMPUTED_VALUE"""),"Influencing Others")</f>
        <v>Influencing Others</v>
      </c>
    </row>
    <row r="101" spans="1:36" ht="15" customHeight="1">
      <c r="B101">
        <f ca="1">IFERROR(__xludf.DUMMYFUNCTION("""COMPUTED_VALUE"""),2800332)</f>
        <v>2800332</v>
      </c>
      <c r="C101" t="str">
        <f ca="1">IFERROR(__xludf.DUMMYFUNCTION("""COMPUTED_VALUE"""),"General")</f>
        <v>General</v>
      </c>
      <c r="D101" t="str">
        <f ca="1">IFERROR(__xludf.DUMMYFUNCTION("""COMPUTED_VALUE"""),"Running a Design Business: Writing and Pricing Winning Proposals")</f>
        <v>Running a Design Business: Writing and Pricing Winning Proposals</v>
      </c>
    </row>
    <row r="102" spans="1:36" ht="15" customHeight="1">
      <c r="B102">
        <f ca="1">IFERROR(__xludf.DUMMYFUNCTION("""COMPUTED_VALUE"""),2822652)</f>
        <v>2822652</v>
      </c>
      <c r="C102" t="str">
        <f ca="1">IFERROR(__xludf.DUMMYFUNCTION("""COMPUTED_VALUE"""),"General")</f>
        <v>General</v>
      </c>
      <c r="D102" t="str">
        <f ca="1">IFERROR(__xludf.DUMMYFUNCTION("""COMPUTED_VALUE"""),"Just Ask: Dean Karrel on Sales")</f>
        <v>Just Ask: Dean Karrel on Sales</v>
      </c>
    </row>
    <row r="103" spans="1:36" ht="15" customHeight="1">
      <c r="B103">
        <f ca="1">IFERROR(__xludf.DUMMYFUNCTION("""COMPUTED_VALUE"""),2837265)</f>
        <v>2837265</v>
      </c>
      <c r="C103" t="str">
        <f ca="1">IFERROR(__xludf.DUMMYFUNCTION("""COMPUTED_VALUE"""),"General")</f>
        <v>General</v>
      </c>
      <c r="D103" t="str">
        <f ca="1">IFERROR(__xludf.DUMMYFUNCTION("""COMPUTED_VALUE"""),"Sales Management. Simplified. (Blinkist Summary)")</f>
        <v>Sales Management. Simplified. (Blinkist Summary)</v>
      </c>
    </row>
    <row r="104" spans="1:36" ht="15" customHeight="1">
      <c r="B104">
        <f ca="1">IFERROR(__xludf.DUMMYFUNCTION("""COMPUTED_VALUE"""),2839081)</f>
        <v>2839081</v>
      </c>
      <c r="C104" t="str">
        <f ca="1">IFERROR(__xludf.DUMMYFUNCTION("""COMPUTED_VALUE"""),"General")</f>
        <v>General</v>
      </c>
      <c r="D104" t="str">
        <f ca="1">IFERROR(__xludf.DUMMYFUNCTION("""COMPUTED_VALUE"""),"Flip the Script: A Toolkit for Sellers and Negotiators (Blinkist Summary)")</f>
        <v>Flip the Script: A Toolkit for Sellers and Negotiators (Blinkist Summary)</v>
      </c>
    </row>
    <row r="105" spans="1:36" ht="15" customHeight="1">
      <c r="B105">
        <f ca="1">IFERROR(__xludf.DUMMYFUNCTION("""COMPUTED_VALUE"""),3114007)</f>
        <v>3114007</v>
      </c>
      <c r="C105" t="str">
        <f ca="1">IFERROR(__xludf.DUMMYFUNCTION("""COMPUTED_VALUE"""),"General")</f>
        <v>General</v>
      </c>
      <c r="D105" t="str">
        <f ca="1">IFERROR(__xludf.DUMMYFUNCTION("""COMPUTED_VALUE"""),"How to Create a Life of Meaning and Purpose")</f>
        <v>How to Create a Life of Meaning and Purpose</v>
      </c>
    </row>
  </sheetData>
  <mergeCells count="14">
    <mergeCell ref="B1:E1"/>
    <mergeCell ref="L1:O1"/>
    <mergeCell ref="V1:Y1"/>
    <mergeCell ref="AF1:AI1"/>
    <mergeCell ref="B2:E2"/>
    <mergeCell ref="L2:O2"/>
    <mergeCell ref="V2:Y2"/>
    <mergeCell ref="AF2:AI2"/>
    <mergeCell ref="G1:J1"/>
    <mergeCell ref="G2:J2"/>
    <mergeCell ref="Q1:T1"/>
    <mergeCell ref="Q2:T2"/>
    <mergeCell ref="AA1:AD1"/>
    <mergeCell ref="AA2:AD2"/>
  </mergeCells>
  <hyperlinks>
    <hyperlink ref="D4" r:id="rId1" display="https://www.linkedin.com/learning/cmo-foundations-measuring-marketing-effectiveness-roi?trk=ondemandfile" xr:uid="{00000000-0004-0000-1D00-000000000000}"/>
    <hyperlink ref="E4" r:id="rId2" display="https://www.linkedin.com/learning/paths/become-a-sales-manager?trk=ondemandfile" xr:uid="{00000000-0004-0000-1D00-000001000000}"/>
    <hyperlink ref="I4" r:id="rId3" display="https://www.linkedin.com/learning/3-conseils-pour-avoir-le-bon-etat-d-esprit-lors-d-une-vente?trk=contentmappingfile" xr:uid="{00000000-0004-0000-1D00-000002000000}"/>
    <hyperlink ref="N4" r:id="rId4" display="https://www.linkedin.com/learning/aprende-microsoft-dynamics-365-finance?trk=contentmappingfile" xr:uid="{00000000-0004-0000-1D00-000003000000}"/>
    <hyperlink ref="O4" r:id="rId5" display="https://www.linkedin.com/learning/paths/aplica-linkedin-en-tus-ventas?trk=ondemandfile" xr:uid="{00000000-0004-0000-1D00-000004000000}"/>
    <hyperlink ref="S4" r:id="rId6" display="https://www.linkedin.com/learning/als-kundenservice-manager-in-die-erwartung-der-kundschaft-steuern?trk=ondemandfile" xr:uid="{00000000-0004-0000-1D00-000005000000}"/>
    <hyperlink ref="T4" r:id="rId7" display="https://www.linkedin.com/learning/paths/verkaufer-in-werden?trk=ondemandfile" xr:uid="{00000000-0004-0000-1D00-000006000000}"/>
    <hyperlink ref="X4" r:id="rId8" display="https://www.linkedin.com/learning/solution-sales-14173747?trk=contentmappingfile" xr:uid="{00000000-0004-0000-1D00-000007000000}"/>
    <hyperlink ref="AD4" r:id="rId9" display="https://www.linkedin.com/learning/paths/torne-se-um-profissional-de-vendas?trk=ondemandfile" xr:uid="{00000000-0004-0000-1D00-000008000000}"/>
    <hyperlink ref="AH4" r:id="rId10" display="https://www.linkedin.com/learning/key-account-management-4?trk=ondemandfile" xr:uid="{00000000-0004-0000-1D00-000009000000}"/>
    <hyperlink ref="AI4" r:id="rId11" display="https://www.linkedin.com/learning/paths/3b9c9a89-02b2-326b-a8d9-5890aa750936?trk=ondemandfile" xr:uid="{00000000-0004-0000-1D00-00000A000000}"/>
    <hyperlink ref="D5" r:id="rId12" display="https://www.linkedin.com/learning/business-fundamentals-for-customer-success-managers?trk=ondemandfile" xr:uid="{00000000-0004-0000-1D00-00000B000000}"/>
    <hyperlink ref="E5" r:id="rId13" display="https://www.linkedin.com/learning/paths/become-a-sales-representative?trk=ondemandfile" xr:uid="{00000000-0004-0000-1D00-00000C000000}"/>
    <hyperlink ref="I5" r:id="rId14" display="https://www.linkedin.com/learning/annoncer-une-mauvaise-nouvelle-a-un-client-une-cliente?trk=contentmappingfile" xr:uid="{00000000-0004-0000-1D00-00000D000000}"/>
    <hyperlink ref="N5" r:id="rId15" display="https://www.linkedin.com/learning/como-construir-la-lealtad-del-cliente?trk=ondemandfile" xr:uid="{00000000-0004-0000-1D00-00000E000000}"/>
    <hyperlink ref="O5" r:id="rId16" display="https://www.linkedin.com/learning/paths/destaca-en-ventas?trk=ondemandfile" xr:uid="{00000000-0004-0000-1D00-00000F000000}"/>
    <hyperlink ref="S5" r:id="rId17" display="https://www.linkedin.com/learning/als-kundenservice-mitarbeiter-in-die-erwartung-der-kundschaft-steuern?trk=ondemandfile" xr:uid="{00000000-0004-0000-1D00-000010000000}"/>
    <hyperlink ref="T5" r:id="rId18" display="https://www.linkedin.com/learning/paths/rechtssicher-handeln-im-e-commerce?trk=ondemandfile" xr:uid="{00000000-0004-0000-1D00-000011000000}"/>
    <hyperlink ref="X5" r:id="rId19" display="https://www.linkedin.com/learning/influencing-others-3?trk=ondemandfile" xr:uid="{00000000-0004-0000-1D00-000012000000}"/>
    <hyperlink ref="AH5" r:id="rId20" display="https://www.linkedin.com/learning/influencing-others-4?trk=ondemandfile" xr:uid="{00000000-0004-0000-1D00-000013000000}"/>
    <hyperlink ref="D6" r:id="rId21" display="https://www.linkedin.com/learning/retail-sales-management?trk=ondemandfile" xr:uid="{00000000-0004-0000-1D00-000014000000}"/>
    <hyperlink ref="E6" r:id="rId22" display="https://www.linkedin.com/learning/paths/become-a-retail-sales-associate?trk=ondemandfile" xr:uid="{00000000-0004-0000-1D00-000015000000}"/>
    <hyperlink ref="N6" r:id="rId23" display="https://www.linkedin.com/learning/como-desarrollar-tu-elevator-pitch?trk=ondemandfile" xr:uid="{00000000-0004-0000-1D00-000016000000}"/>
    <hyperlink ref="O6" r:id="rId24" display="https://www.linkedin.com/learning/paths/conviertete-en-vendedor?trk=ondemandfile" xr:uid="{00000000-0004-0000-1D00-000017000000}"/>
    <hyperlink ref="S6" r:id="rId25" display="https://www.linkedin.com/learning/an-topmanager-innen-verkaufen?trk=ondemandfile" xr:uid="{00000000-0004-0000-1D00-000018000000}"/>
    <hyperlink ref="X6" r:id="rId26" display="https://www.linkedin.com/learning/asking-great-sales-questions-14761647?trk=contentmappingfile" xr:uid="{00000000-0004-0000-1D00-000019000000}"/>
    <hyperlink ref="AC6" r:id="rId27" display="https://www.linkedin.com/learning/como-comunicar-mas-noticias-aos-clientes?trk=contentmappingfile" xr:uid="{00000000-0004-0000-1D00-00001A000000}"/>
    <hyperlink ref="AH6" r:id="rId28" display="https://www.linkedin.com/learning/asking-great-sales-questions-4?trk=ondemandfile" xr:uid="{00000000-0004-0000-1D00-00001B000000}"/>
    <hyperlink ref="D7" r:id="rId29" display="https://www.linkedin.com/learning/building-and-fostering-a-great-sales-culture?trk=ondemandfile" xr:uid="{00000000-0004-0000-1D00-00001C000000}"/>
    <hyperlink ref="E7" r:id="rId30" display="https://www.linkedin.com/learning/paths/build-your-skills-in-customer-billing-support?trk=ondemandfile" xr:uid="{00000000-0004-0000-1D00-00001D000000}"/>
    <hyperlink ref="N7" r:id="rId31" display="https://www.linkedin.com/learning/00-influencing-others?trk=ondemandfile" xr:uid="{00000000-0004-0000-1D00-00001E000000}"/>
    <hyperlink ref="S7" r:id="rId32" display="https://www.linkedin.com/learning/das-verkaufsgesprach?trk=ondemandfile" xr:uid="{00000000-0004-0000-1D00-00001F000000}"/>
    <hyperlink ref="X7" r:id="rId33" display="https://www.linkedin.com/learning/sales-foundations-4?trk=ondemandfile" xr:uid="{00000000-0004-0000-1D00-000020000000}"/>
    <hyperlink ref="AH7" r:id="rId34" display="https://www.linkedin.com/learning/6256e3ef-3b72-3835-b959-5221f45dd589?trk=ondemandfile" xr:uid="{00000000-0004-0000-1D00-000021000000}"/>
    <hyperlink ref="D8" r:id="rId35" display="https://www.linkedin.com/learning/sales-coaching-2021?trk=ondemandfile" xr:uid="{00000000-0004-0000-1D00-000022000000}"/>
    <hyperlink ref="E8" r:id="rId36" display="https://www.linkedin.com/learning/paths/build-your-skills-in-sales-development?trk=ondemandfile" xr:uid="{00000000-0004-0000-1D00-000023000000}"/>
    <hyperlink ref="I8" r:id="rId37" display="https://www.linkedin.com/learning/devenir-une-personne-charismatique-et-influente?trk=contentmappingfile" xr:uid="{00000000-0004-0000-1D00-000024000000}"/>
    <hyperlink ref="N8" r:id="rId38" display="https://www.linkedin.com/learning/como-encontrar-los-mejores-argumentos-de-venta?trk=ondemandfile" xr:uid="{00000000-0004-0000-1D00-000025000000}"/>
    <hyperlink ref="S8" r:id="rId39" display="https://www.linkedin.com/learning/die-erfolgreiche-verkaufsprasentation?trk=ondemandfile" xr:uid="{00000000-0004-0000-1D00-000026000000}"/>
    <hyperlink ref="X8" r:id="rId40" display="https://www.linkedin.com/learning/selling-with-stories-part-1-what-makes-a-great-story-3?trk=ondemandfile" xr:uid="{00000000-0004-0000-1D00-000027000000}"/>
    <hyperlink ref="AH8" r:id="rId41" display="https://www.linkedin.com/learning/selling-with-stories-part-2-stories-great-sales-people-tell-2?trk=ondemandfile" xr:uid="{00000000-0004-0000-1D00-000028000000}"/>
    <hyperlink ref="D9" r:id="rId42" display="https://www.linkedin.com/learning/inside-sales-managing-sales-rep-personas?trk=ondemandfile" xr:uid="{00000000-0004-0000-1D00-000029000000}"/>
    <hyperlink ref="E9" r:id="rId43" display="https://www.linkedin.com/learning/paths/create-a-successful-pitch-for-investors?trk=ondemandfile" xr:uid="{00000000-0004-0000-1D00-00002A000000}"/>
    <hyperlink ref="I9" r:id="rId44" display="https://www.linkedin.com/learning/evoluer-de-commercial-commerciale-a-responsable-des-ventes?trk=contentmappingfile" xr:uid="{00000000-0004-0000-1D00-00002B000000}"/>
    <hyperlink ref="N9" r:id="rId45" display="https://www.linkedin.com/learning/como-escribir-correos-electronicos-de-servicio-al-cliente?trk=ondemandfile" xr:uid="{00000000-0004-0000-1D00-00002C000000}"/>
    <hyperlink ref="S9" r:id="rId46" display="https://www.linkedin.com/learning/die-wissenschaft-des-verkaufens?trk=ondemandfile" xr:uid="{00000000-0004-0000-1D00-00002D000000}"/>
    <hyperlink ref="X9" r:id="rId47" display="https://www.linkedin.com/learning/selling-with-stories-part-2-stories-great-sales-people-tell-3?trk=ondemandfile" xr:uid="{00000000-0004-0000-1D00-00002E000000}"/>
    <hyperlink ref="AH9" r:id="rId48" display="https://www.linkedin.com/learning/phone-based-customer-service-3?trk=ondemandfile" xr:uid="{00000000-0004-0000-1D00-00002F000000}"/>
    <hyperlink ref="D10" r:id="rId49" display="https://www.linkedin.com/learning/the-neuroscience-of-selling-remotely?trk=ondemandfile" xr:uid="{00000000-0004-0000-1D00-000030000000}"/>
    <hyperlink ref="E10" r:id="rId50" display="https://www.linkedin.com/learning/paths/develop-your-customer-service-skills?trk=ondemandfile" xr:uid="{00000000-0004-0000-1D00-000031000000}"/>
    <hyperlink ref="N10" r:id="rId51" display="https://www.linkedin.com/learning/como-gestionar-el-enfado-en-la-clientela?trk=contentmappingfile" xr:uid="{00000000-0004-0000-1D00-000032000000}"/>
    <hyperlink ref="S10" r:id="rId52" display="https://www.linkedin.com/learning/digital-nudging-nutzererfahrung-und-nutzerentscheidungen-positiv-beeinflussen?trk=ondemandfile" xr:uid="{00000000-0004-0000-1D00-000033000000}"/>
    <hyperlink ref="X10" r:id="rId53" display="https://www.linkedin.com/learning/sales-prospecting-14783679?trk=contentmappingfile" xr:uid="{00000000-0004-0000-1D00-000034000000}"/>
    <hyperlink ref="AH10" r:id="rId54" display="https://www.linkedin.com/learning/managing-a-customer-service-team-4?trk=ondemandfile" xr:uid="{00000000-0004-0000-1D00-000035000000}"/>
    <hyperlink ref="D11" r:id="rId55" display="https://www.linkedin.com/learning/microsoft-dynamics-365-essential-training-2021?trk=ondemandfile" xr:uid="{00000000-0004-0000-1D00-000036000000}"/>
    <hyperlink ref="E11" r:id="rId56" display="https://www.linkedin.com/learning/paths/develop-your-sales-knowledge-and-skills?trk=ondemandfile" xr:uid="{00000000-0004-0000-1D00-000037000000}"/>
    <hyperlink ref="N11" r:id="rId57" display="https://www.linkedin.com/learning/como-identificar-oportunidades-de-crecimiento-en-las-ventas?trk=ondemandfile" xr:uid="{00000000-0004-0000-1D00-000038000000}"/>
    <hyperlink ref="S11" r:id="rId58" display="https://www.linkedin.com/learning/dynamics-365-business-central-grundkurs?trk=ondemandfile" xr:uid="{00000000-0004-0000-1D00-000039000000}"/>
    <hyperlink ref="AH11" r:id="rId59" display="https://www.linkedin.com/learning/solution-selling?trk=ondemandfile" xr:uid="{00000000-0004-0000-1D00-00003A000000}"/>
    <hyperlink ref="D12" r:id="rId60" display="https://www.linkedin.com/learning/salesforce-essential-training?trk=ondemandfile" xr:uid="{00000000-0004-0000-1D00-00003B000000}"/>
    <hyperlink ref="E12" r:id="rId61" display="https://www.linkedin.com/learning/paths/succeeding-in-sales-during-times-of-volatility?trk=ondemandfile" xr:uid="{00000000-0004-0000-1D00-00003C000000}"/>
    <hyperlink ref="N12" r:id="rId62" display="https://www.linkedin.com/learning/como-liderar-una-cultura-centrada-en-el-cliente?trk=ondemandfile" xr:uid="{00000000-0004-0000-1D00-00003D000000}"/>
    <hyperlink ref="S12" r:id="rId63" display="https://www.linkedin.com/learning/dynamics-365-for-sales-anpassung?trk=ondemandfile" xr:uid="{00000000-0004-0000-1D00-00003E000000}"/>
    <hyperlink ref="AH12" r:id="rId64" display="https://www.linkedin.com/learning/persuasive-selling-3?trk=ondemandfile" xr:uid="{00000000-0004-0000-1D00-00003F000000}"/>
    <hyperlink ref="D13" r:id="rId65" display="https://www.linkedin.com/learning/purpose-driven-sales-2021?trk=contentmappingfile" xr:uid="{00000000-0004-0000-1D00-000040000000}"/>
    <hyperlink ref="I13" r:id="rId66" display="https://www.linkedin.com/learning/gerer-la-force-de-vente-pour-les-directeurs-directrices-des-ventes?trk=contentmappingfile" xr:uid="{00000000-0004-0000-1D00-000041000000}"/>
    <hyperlink ref="N13" r:id="rId67" display="https://www.linkedin.com/learning/como-medir-la-eficacia-de-tu-fuerza-de-ventas?trk=contentmappingfile" xr:uid="{00000000-0004-0000-1D00-000042000000}"/>
    <hyperlink ref="S13" r:id="rId68" display="https://www.linkedin.com/learning/e-commerce-recht-grundlagen?trk=ondemandfile" xr:uid="{00000000-0004-0000-1D00-000043000000}"/>
    <hyperlink ref="AH13" r:id="rId69" display="https://www.linkedin.com/learning/soft-skills-for-sales-professionals-2?trk=ondemandfile" xr:uid="{00000000-0004-0000-1D00-000044000000}"/>
    <hyperlink ref="D14" r:id="rId70" display="https://www.linkedin.com/learning/sales-strategies-and-approaches-in-a-new-world-of-selling?trk=ondemandfile" xr:uid="{00000000-0004-0000-1D00-000045000000}"/>
    <hyperlink ref="N14" r:id="rId71" display="https://www.linkedin.com/learning/00-asking-great-sales-questions?trk=ondemandfile" xr:uid="{00000000-0004-0000-1D00-000046000000}"/>
    <hyperlink ref="S14" r:id="rId72" display="https://www.linkedin.com/learning/einwandbehandlung-im-verkauf?trk=ondemandfile" xr:uid="{00000000-0004-0000-1D00-000047000000}"/>
    <hyperlink ref="AH14" r:id="rId73" display="https://www.linkedin.com/learning/sales-foundations-2?trk=ondemandfile" xr:uid="{00000000-0004-0000-1D00-000048000000}"/>
    <hyperlink ref="D15" r:id="rId74" display="https://www.linkedin.com/learning/inclusive-selling-selling-across-culture-race-and-gender-differences?trk=ondemandfile" xr:uid="{00000000-0004-0000-1D00-000049000000}"/>
    <hyperlink ref="N15" r:id="rId75" display="https://www.linkedin.com/learning/como-vender-con-storytelling-parte-1-los-elementos-de-una-gran-historia?trk=ondemandfile" xr:uid="{00000000-0004-0000-1D00-00004A000000}"/>
    <hyperlink ref="S15" r:id="rId76" display="https://www.linkedin.com/learning/bei-anruf-termin?trk=ondemandfile" xr:uid="{00000000-0004-0000-1D00-00004B000000}"/>
    <hyperlink ref="AH15" r:id="rId77" display="https://www.linkedin.com/learning/sales-prospecting-3?trk=ondemandfile" xr:uid="{00000000-0004-0000-1D00-00004C000000}"/>
    <hyperlink ref="D16" r:id="rId78" display="https://www.linkedin.com/learning/delivering-a-great-sales-pitch?trk=ondemandfile" xr:uid="{00000000-0004-0000-1D00-00004D000000}"/>
    <hyperlink ref="N16" r:id="rId79" display="https://www.linkedin.com/learning/como-vender-soluciones?trk=contentmappingfile" xr:uid="{00000000-0004-0000-1D00-00004E000000}"/>
    <hyperlink ref="S16" r:id="rId80" display="https://www.linkedin.com/learning/erfolgreich-verkaufen?trk=ondemandfile" xr:uid="{00000000-0004-0000-1D00-00004F000000}"/>
    <hyperlink ref="AH16" r:id="rId81" display="https://www.linkedin.com/learning/sales-closing-strategies-2?trk=ondemandfile" xr:uid="{00000000-0004-0000-1D00-000050000000}"/>
    <hyperlink ref="D17" r:id="rId82" display="https://www.linkedin.com/learning/sales-foundations?trk=ondemandfile" xr:uid="{00000000-0004-0000-1D00-000051000000}"/>
    <hyperlink ref="N17" r:id="rId83" display="https://www.linkedin.com/learning/cuarta-revolucion-industrial-estrategias-comerciales?trk=ondemandfile" xr:uid="{00000000-0004-0000-1D00-000052000000}"/>
    <hyperlink ref="S17" r:id="rId84" display="https://www.linkedin.com/learning/00-fragen-verkauf?trk=ondemandfile" xr:uid="{00000000-0004-0000-1D00-000053000000}"/>
    <hyperlink ref="AC17" r:id="rId85" display="https://www.linkedin.com/learning/gestao-de-expectativas-dos-clientes-para-gerentes?trk=contentmappingfile" xr:uid="{00000000-0004-0000-1D00-000054000000}"/>
    <hyperlink ref="AH17" r:id="rId86" display="https://www.linkedin.com/learning/the-science-of-sales-2?trk=ondemandfile" xr:uid="{00000000-0004-0000-1D00-000055000000}"/>
    <hyperlink ref="D18" r:id="rId87" display="https://www.linkedin.com/learning/sales-management-foundations?trk=ondemandfile" xr:uid="{00000000-0004-0000-1D00-000056000000}"/>
    <hyperlink ref="N18" r:id="rId88" display="https://www.linkedin.com/learning/excel-crear-un-dashboard-comercial-con-power-query-y-power-pivot?trk=ondemandfile" xr:uid="{00000000-0004-0000-1D00-000057000000}"/>
    <hyperlink ref="S18" r:id="rId89" display="https://www.linkedin.com/learning/fuhrung-im-vertrieb-limbecks-leadership-lektionen?trk=ondemandfile" xr:uid="{00000000-0004-0000-1D00-000058000000}"/>
    <hyperlink ref="AC18" r:id="rId90" display="https://www.linkedin.com/learning/gestao-de-expectativas-dos-clientes-para-pessoal-da-linha-de-frente?trk=contentmappingfile" xr:uid="{00000000-0004-0000-1D00-000059000000}"/>
    <hyperlink ref="AH18" r:id="rId91" display="https://www.linkedin.com/learning/sales-coaching-2?trk=ondemandfile" xr:uid="{00000000-0004-0000-1D00-00005A000000}"/>
    <hyperlink ref="D19" r:id="rId92" display="https://www.linkedin.com/learning/networking-for-sales-professionals?trk=ondemandfile" xr:uid="{00000000-0004-0000-1D00-00005B000000}"/>
    <hyperlink ref="N19" r:id="rId93" display="https://www.linkedin.com/learning/fundamentos-de-la-gestion-de-ventas?trk=ondemandfile" xr:uid="{00000000-0004-0000-1D00-00005C000000}"/>
    <hyperlink ref="S19" r:id="rId94" display="https://www.linkedin.com/learning/ihr-pers-nlicher-elevator-pitch?trk=ondemandfile" xr:uid="{00000000-0004-0000-1D00-00005D000000}"/>
    <hyperlink ref="AH19" r:id="rId95" display="https://www.linkedin.com/learning/sales-forecasting-2?trk=contentmappingfile" xr:uid="{00000000-0004-0000-1D00-00005E000000}"/>
    <hyperlink ref="D20" r:id="rId96" display="https://www.linkedin.com/learning/following-up-after-a-sales-meeting?trk=ondemandfile" xr:uid="{00000000-0004-0000-1D00-00005F000000}"/>
    <hyperlink ref="N20" r:id="rId97" display="https://www.linkedin.com/learning/fundamentos-de-la-prevision-de-ventas?trk=ondemandfile" xr:uid="{00000000-0004-0000-1D00-000060000000}"/>
    <hyperlink ref="S20" r:id="rId98" display="https://www.linkedin.com/learning/key-account-management-5?trk=ondemandfile" xr:uid="{00000000-0004-0000-1D00-000061000000}"/>
    <hyperlink ref="D21" r:id="rId99" display="https://www.linkedin.com/learning/sales-discovery?trk=ondemandfile" xr:uid="{00000000-0004-0000-1D00-000062000000}"/>
    <hyperlink ref="N21" r:id="rId100" display="https://www.linkedin.com/learning/fundamentos-de-las-ventas?trk=ondemandfile" xr:uid="{00000000-0004-0000-1D00-000063000000}"/>
    <hyperlink ref="S21" r:id="rId101" display="https://www.linkedin.com/learning/kunden-gewinnen-mit-online-prasentationen?trk=ondemandfile" xr:uid="{00000000-0004-0000-1D00-000064000000}"/>
    <hyperlink ref="D22" r:id="rId102" display="https://www.linkedin.com/learning/social-selling-foundations-2?trk=ondemandfile" xr:uid="{00000000-0004-0000-1D00-000065000000}"/>
    <hyperlink ref="N22" r:id="rId103" display="https://www.linkedin.com/learning/fundamentos-de-marketing-b2b?trk=ondemandfile" xr:uid="{00000000-0004-0000-1D00-000066000000}"/>
    <hyperlink ref="S22" r:id="rId104" display="https://www.linkedin.com/learning/00-magento-entwickler?trk=ondemandfile" xr:uid="{00000000-0004-0000-1D00-000067000000}"/>
    <hyperlink ref="D23" r:id="rId105" display="https://www.linkedin.com/learning/customer-success-management-fundamentals?trk=ondemandfile" xr:uid="{00000000-0004-0000-1D00-000068000000}"/>
    <hyperlink ref="N23" r:id="rId106" display="https://www.linkedin.com/learning/gestion-de-clientes-potenciales?trk=ondemandfile" xr:uid="{00000000-0004-0000-1D00-000069000000}"/>
    <hyperlink ref="S23" r:id="rId107" display="https://www.linkedin.com/learning/magento-2-grundkurs?trk=ondemandfile" xr:uid="{00000000-0004-0000-1D00-00006A000000}"/>
    <hyperlink ref="D24" r:id="rId108" display="https://www.linkedin.com/learning/value-realization-best-practices-for-customer-success-management?trk=ondemandfile" xr:uid="{00000000-0004-0000-1D00-00006B000000}"/>
    <hyperlink ref="I24" r:id="rId109" display="https://www.linkedin.com/learning/les-soft-skills-pour-les-commerciaux-commerciales?trk=contentmappingfile" xr:uid="{00000000-0004-0000-1D00-00006C000000}"/>
    <hyperlink ref="N24" r:id="rId110" display="https://www.linkedin.com/learning/gestion-de-las-expectativas-de-los-clientes-para-gerentes?trk=ondemandfile" xr:uid="{00000000-0004-0000-1D00-00006D000000}"/>
    <hyperlink ref="S24" r:id="rId111" display="https://www.linkedin.com/learning/aufmerksamkeit-im-verkauf?trk=ondemandfile" xr:uid="{00000000-0004-0000-1D00-00006E000000}"/>
    <hyperlink ref="D25" r:id="rId112" display="https://www.linkedin.com/learning/avoiding-common-pitfalls-in-customer-success-management?trk=ondemandfile" xr:uid="{00000000-0004-0000-1D00-00006F000000}"/>
    <hyperlink ref="N25" r:id="rId113" display="https://www.linkedin.com/learning/habilidades-blandas-para-profesionales-de-las-ventas?trk=contentmappingfile" xr:uid="{00000000-0004-0000-1D00-000070000000}"/>
    <hyperlink ref="S25" r:id="rId114" display="https://www.linkedin.com/learning/mit-schwierigen-kunden-umgehen?trk=ondemandfile" xr:uid="{00000000-0004-0000-1D00-000071000000}"/>
    <hyperlink ref="D26" r:id="rId115" display="https://www.linkedin.com/learning/onboarding-and-adoption-best-practices-for-customer-success-management?trk=ondemandfile" xr:uid="{00000000-0004-0000-1D00-000072000000}"/>
    <hyperlink ref="N26" r:id="rId116" display="https://www.linkedin.com/learning/la-ciencia-de-las-ventas?trk=ondemandfile" xr:uid="{00000000-0004-0000-1D00-000073000000}"/>
    <hyperlink ref="S26" r:id="rId117" display="https://www.linkedin.com/learning/neue-kunden-finden?trk=ondemandfile" xr:uid="{00000000-0004-0000-1D00-000074000000}"/>
    <hyperlink ref="D27" r:id="rId118" display="https://www.linkedin.com/learning/business-analytics-sales-data?trk=ondemandfile" xr:uid="{00000000-0004-0000-1D00-000075000000}"/>
    <hyperlink ref="N27" r:id="rId119" display="https://www.linkedin.com/learning/la-venta-persuasiva?trk=ondemandfile" xr:uid="{00000000-0004-0000-1D00-000076000000}"/>
    <hyperlink ref="S27" r:id="rId120" display="https://www.linkedin.com/learning/preisgesprache-im-verkauf?trk=ondemandfile" xr:uid="{00000000-0004-0000-1D00-000077000000}"/>
    <hyperlink ref="D28" r:id="rId121" display="https://www.linkedin.com/learning/cold-calling-mastery?trk=ondemandfile" xr:uid="{00000000-0004-0000-1D00-000078000000}"/>
    <hyperlink ref="N28" r:id="rId122" display="https://www.linkedin.com/learning/linkedin-para-ventas-2?trk=ondemandfile" xr:uid="{00000000-0004-0000-1D00-000079000000}"/>
    <hyperlink ref="S28" r:id="rId123" display="https://www.linkedin.com/learning/preisheiten-alles-was-sie-uber-preise-wissen-mussen-blinkist-kernaussagen?trk=ondemandfile" xr:uid="{00000000-0004-0000-1D00-00007A000000}"/>
    <hyperlink ref="D29" r:id="rId124" display="https://www.linkedin.com/learning/prepare-yourself-for-a-career-in-sales-2?trk=ondemandfile" xr:uid="{00000000-0004-0000-1D00-00007B000000}"/>
    <hyperlink ref="N29" r:id="rId125" display="https://www.linkedin.com/learning/salesforce-esencial?trk=ondemandfile" xr:uid="{00000000-0004-0000-1D00-00007C000000}"/>
    <hyperlink ref="S29" r:id="rId126" display="https://www.linkedin.com/learning/rechtsgrundlagen-e-mail-marketing?trk=ondemandfile" xr:uid="{00000000-0004-0000-1D00-00007D000000}"/>
    <hyperlink ref="D30" r:id="rId127" display="https://www.linkedin.com/learning/engagement-preparation-best-practices-for-customer-success-management?trk=ondemandfile" xr:uid="{00000000-0004-0000-1D00-00007E000000}"/>
    <hyperlink ref="N30" r:id="rId128" display="https://www.linkedin.com/learning/salesforce-para-administradores-esencial?trk=ondemandfile" xr:uid="{00000000-0004-0000-1D00-00007F000000}"/>
    <hyperlink ref="S30" r:id="rId129" display="https://www.linkedin.com/learning/salesforce?trk=ondemandfile" xr:uid="{00000000-0004-0000-1D00-000080000000}"/>
    <hyperlink ref="D31" r:id="rId130" display="https://www.linkedin.com/learning/creating-your-sales-process-2?trk=ondemandfile" xr:uid="{00000000-0004-0000-1D00-000081000000}"/>
    <hyperlink ref="I31" r:id="rId131" display="https://www.linkedin.com/learning/repondre-aux-objections-de-ses-clients-clientes?trk=contentmappingfile" xr:uid="{00000000-0004-0000-1D00-000082000000}"/>
    <hyperlink ref="N31" r:id="rId132" display="https://www.linkedin.com/learning/salesforce-para-gerentes-de-ventas?trk=ondemandfile" xr:uid="{00000000-0004-0000-1D00-000083000000}"/>
    <hyperlink ref="S31" r:id="rId133" display="https://www.linkedin.com/learning/shopware?trk=ondemandfile" xr:uid="{00000000-0004-0000-1D00-000084000000}"/>
    <hyperlink ref="D32" r:id="rId134" display="https://www.linkedin.com/learning/sales-fundamentals?trk=ondemandfile" xr:uid="{00000000-0004-0000-1D00-000085000000}"/>
    <hyperlink ref="N32" r:id="rId135" display="https://www.linkedin.com/learning/servicio-de-atencion-al-cliente-creacion-de-valor-para-el-consumidor?trk=ondemandfile" xr:uid="{00000000-0004-0000-1D00-000086000000}"/>
    <hyperlink ref="S32" r:id="rId136" display="https://www.linkedin.com/learning/social-selling-mit-linkedin-sales-navigator-kennenlernen?trk=ondemandfile" xr:uid="{00000000-0004-0000-1D00-000087000000}"/>
    <hyperlink ref="D33" r:id="rId137" display="https://www.linkedin.com/learning/cold-calling-overcoming-sales-objections?trk=ondemandfile" xr:uid="{00000000-0004-0000-1D00-000088000000}"/>
    <hyperlink ref="S33" r:id="rId138" display="https://www.linkedin.com/learning/storytelling-fur-vertrieb-und-verkauf-einfuhrung-und-basics?trk=ondemandfile" xr:uid="{00000000-0004-0000-1D00-000089000000}"/>
    <hyperlink ref="D34" r:id="rId139" display="https://www.linkedin.com/learning/selling-while-human?trk=ondemandfile" xr:uid="{00000000-0004-0000-1D00-00008A000000}"/>
    <hyperlink ref="I34" r:id="rId140" display="https://www.linkedin.com/learning/vendre-a-des-cadres-superieurs-superieures?trk=contentmappingfile" xr:uid="{00000000-0004-0000-1D00-00008B000000}"/>
    <hyperlink ref="S34" r:id="rId141" display="https://www.linkedin.com/learning/storytelling-fur-vertrieb-und-verkauf-in-der-praxis?trk=ondemandfile" xr:uid="{00000000-0004-0000-1D00-00008C000000}"/>
    <hyperlink ref="D35" r:id="rId142" display="https://www.linkedin.com/learning/jeffrey-gitomer-s-little-red-book-of-sales-answers-getabstract-summary?trk=ondemandfile" xr:uid="{00000000-0004-0000-1D00-00008D000000}"/>
    <hyperlink ref="S35" r:id="rId143" display="https://www.linkedin.com/learning/strategisch-verhandeln?trk=ondemandfile" xr:uid="{00000000-0004-0000-1D00-00008E000000}"/>
    <hyperlink ref="D36" r:id="rId144" display="https://www.linkedin.com/learning/cold-calling-business-leaders?trk=ondemandfile" xr:uid="{00000000-0004-0000-1D00-00008F000000}"/>
    <hyperlink ref="I36" r:id="rId145" display="https://www.linkedin.com/learning/vendre-avec-des-histoires-les-grandes-histoires-commerciales?trk=contentmappingfile" xr:uid="{00000000-0004-0000-1D00-000090000000}"/>
    <hyperlink ref="S36" r:id="rId146" display="https://www.linkedin.com/learning/uberzeugendes-verkaufen?trk=ondemandfile" xr:uid="{00000000-0004-0000-1D00-000091000000}"/>
    <hyperlink ref="D37" r:id="rId147" display="https://www.linkedin.com/learning/mastering-authentic-influence-for-highly-successful-sales?trk=ondemandfile" xr:uid="{00000000-0004-0000-1D00-000092000000}"/>
    <hyperlink ref="S37" r:id="rId148" display="https://www.linkedin.com/learning/59fb67c0-ba5b-3770-b982-3aab3ae1262e?trk=ondemandfile" xr:uid="{00000000-0004-0000-1D00-000093000000}"/>
    <hyperlink ref="D38" r:id="rId149" display="https://www.linkedin.com/learning/how-to-make-work-more-meaningful?trk=ondemandfile" xr:uid="{00000000-0004-0000-1D00-000094000000}"/>
    <hyperlink ref="S38" r:id="rId150" display="https://www.linkedin.com/learning/verkaufsprognosen?trk=ondemandfile" xr:uid="{00000000-0004-0000-1D00-000095000000}"/>
    <hyperlink ref="D39" r:id="rId151" display="https://www.linkedin.com/learning/mindful-productivity?trk=ondemandfile" xr:uid="{00000000-0004-0000-1D00-000096000000}"/>
    <hyperlink ref="I39" r:id="rId152" display="https://www.linkedin.com/learning/vendre-sur-les-reseaux-sociaux-le-social-commerce?trk=contentmappingfile" xr:uid="{00000000-0004-0000-1D00-000097000000}"/>
    <hyperlink ref="S39" r:id="rId153" display="https://www.linkedin.com/learning/selbstvertrieb?trk=ondemandfile" xr:uid="{00000000-0004-0000-1D00-000098000000}"/>
    <hyperlink ref="D40" r:id="rId154" display="https://www.linkedin.com/learning/embracing-change-with-mindfulness?trk=ondemandfile" xr:uid="{00000000-0004-0000-1D00-000099000000}"/>
    <hyperlink ref="S40" r:id="rId155" display="https://www.linkedin.com/learning/vertrieb-geht-heute-anders-blinkist-kernaussagen?trk=ondemandfile" xr:uid="{00000000-0004-0000-1D00-00009A000000}"/>
    <hyperlink ref="D41" r:id="rId156" display="https://www.linkedin.com/learning/winding-down-get-a-better-night-s-sleep?trk=ondemandfile" xr:uid="{00000000-0004-0000-1D00-00009B000000}"/>
    <hyperlink ref="D42" r:id="rId157" display="https://www.linkedin.com/learning/mindful-stress-management?trk=ondemandfile" xr:uid="{00000000-0004-0000-1D00-00009C000000}"/>
    <hyperlink ref="D43" r:id="rId158" display="https://www.linkedin.com/learning/introduction-to-gratitude-meditation?trk=ondemandfile" xr:uid="{00000000-0004-0000-1D00-00009D000000}"/>
    <hyperlink ref="D44" r:id="rId159" display="https://www.linkedin.com/learning/introduction-to-mind-like-sky-meditation?trk=ondemandfile" xr:uid="{00000000-0004-0000-1D00-00009E000000}"/>
    <hyperlink ref="D45" r:id="rId160" display="https://www.linkedin.com/learning/introduction-to-loving-kindness-meditation?trk=ondemandfile" xr:uid="{00000000-0004-0000-1D00-00009F000000}"/>
    <hyperlink ref="D46" r:id="rId161" display="https://www.linkedin.com/learning/introduction-to-forgiveness-meditation?trk=ondemandfile" xr:uid="{00000000-0004-0000-1D00-0000A0000000}"/>
    <hyperlink ref="D47" r:id="rId162" display="https://www.linkedin.com/learning/introduction-to-visualization-meditation?trk=ondemandfile" xr:uid="{00000000-0004-0000-1D00-0000A1000000}"/>
    <hyperlink ref="D48" r:id="rId163" display="https://www.linkedin.com/learning/mindful-leadership?trk=ondemandfile" xr:uid="{00000000-0004-0000-1D00-0000A2000000}"/>
    <hyperlink ref="D49" r:id="rId164" display="https://www.linkedin.com/learning/creating-flow?trk=ondemandfile" xr:uid="{00000000-0004-0000-1D00-0000A3000000}"/>
    <hyperlink ref="D50" r:id="rId165" display="https://www.linkedin.com/learning/overcoming-rejection?trk=ondemandfile" xr:uid="{00000000-0004-0000-1D00-0000A4000000}"/>
    <hyperlink ref="D51" r:id="rId166" display="https://www.linkedin.com/learning/the-52-best-sales-prospecting-tips?trk=ondemandfile" xr:uid="{00000000-0004-0000-1D00-0000A5000000}"/>
    <hyperlink ref="D52" r:id="rId167" display="https://www.linkedin.com/learning/sales-time-management?trk=ondemandfile" xr:uid="{00000000-0004-0000-1D00-0000A6000000}"/>
    <hyperlink ref="D53" r:id="rId168" display="https://www.linkedin.com/learning/how-to-prepare-for-your-negotiations?trk=ondemandfile" xr:uid="{00000000-0004-0000-1D00-0000A7000000}"/>
    <hyperlink ref="D54" r:id="rId169" display="https://www.linkedin.com/learning/three-tips-for-dealing-with-deception-in-negotiations?trk=ondemandfile" xr:uid="{00000000-0004-0000-1D00-0000A8000000}"/>
    <hyperlink ref="D55" r:id="rId170" display="https://www.linkedin.com/learning/the-top-three-negotiation-myths?trk=ondemandfile" xr:uid="{00000000-0004-0000-1D00-0000A9000000}"/>
    <hyperlink ref="D56" r:id="rId171" display="https://www.linkedin.com/learning/how-to-save-face-in-a-negotiation?trk=ondemandfile" xr:uid="{00000000-0004-0000-1D00-0000AA000000}"/>
    <hyperlink ref="D57" r:id="rId172" display="https://www.linkedin.com/learning/mindsets-and-strategies-for-negotiation-success?trk=ondemandfile" xr:uid="{00000000-0004-0000-1D00-0000AB000000}"/>
    <hyperlink ref="D58" r:id="rId173" display="https://www.linkedin.com/learning/sales-well-being-managing-anxiety-burnout-and-rejection?trk=ondemandfile" xr:uid="{00000000-0004-0000-1D00-0000AC000000}"/>
    <hyperlink ref="D59" r:id="rId174" display="https://www.linkedin.com/learning/startup-stories-clothing-salesman-invents-baby-harness?trk=ondemandfile" xr:uid="{00000000-0004-0000-1D00-0000AD000000}"/>
    <hyperlink ref="D60" r:id="rId175" display="https://www.linkedin.com/learning/aftersale-maintaining-relationships?trk=ondemandfile" xr:uid="{00000000-0004-0000-1D00-0000AE000000}"/>
    <hyperlink ref="D61" r:id="rId176" display="https://www.linkedin.com/learning/reframing-to-overcome-sales-objections?trk=ondemandfile" xr:uid="{00000000-0004-0000-1D00-0000AF000000}"/>
    <hyperlink ref="D62" r:id="rId177" display="https://www.linkedin.com/learning/how-to-overcome-a-sales-slump?trk=ondemandfile" xr:uid="{00000000-0004-0000-1D00-0000B0000000}"/>
    <hyperlink ref="D63" r:id="rId178" display="https://www.linkedin.com/learning/creating-powerful-sales-proposals?trk=ondemandfile" xr:uid="{00000000-0004-0000-1D00-0000B1000000}"/>
    <hyperlink ref="D64" r:id="rId179" display="https://www.linkedin.com/learning/new-sales-manager-fundamentals?trk=ondemandfile" xr:uid="{00000000-0004-0000-1D00-0000B2000000}"/>
    <hyperlink ref="D65" r:id="rId180" display="https://www.linkedin.com/learning/customer-retention?trk=ondemandfile" xr:uid="{00000000-0004-0000-1D00-0000B3000000}"/>
    <hyperlink ref="D66" r:id="rId181" display="https://www.linkedin.com/learning/business-to-business-sales?trk=ondemandfile" xr:uid="{00000000-0004-0000-1D00-0000B4000000}"/>
    <hyperlink ref="D67" r:id="rId182" display="https://www.linkedin.com/learning/creating-the-ideal-sales-culture?trk=ondemandfile" xr:uid="{00000000-0004-0000-1D00-0000B5000000}"/>
    <hyperlink ref="D68" r:id="rId183" display="https://www.linkedin.com/learning/the-science-of-sales?trk=ondemandfile" xr:uid="{00000000-0004-0000-1D00-0000B6000000}"/>
    <hyperlink ref="D69" r:id="rId184" display="https://www.linkedin.com/learning/sales-prospecting?trk=ondemandfile" xr:uid="{00000000-0004-0000-1D00-0000B7000000}"/>
    <hyperlink ref="D70" r:id="rId185" display="https://www.linkedin.com/learning/making-great-sales-presentations?trk=ondemandfile" xr:uid="{00000000-0004-0000-1D00-0000B8000000}"/>
    <hyperlink ref="D71" r:id="rId186" display="https://www.linkedin.com/learning/identify-sales-growth-opportunities?trk=ondemandfile" xr:uid="{00000000-0004-0000-1D00-0000B9000000}"/>
    <hyperlink ref="D72" r:id="rId187" display="https://www.linkedin.com/learning/sales-negotiation?trk=ondemandfile" xr:uid="{00000000-0004-0000-1D00-0000BA000000}"/>
    <hyperlink ref="D73" r:id="rId188" display="https://www.linkedin.com/learning/persuasive-selling?trk=ondemandfile" xr:uid="{00000000-0004-0000-1D00-0000BB000000}"/>
    <hyperlink ref="D74" r:id="rId189" display="https://www.linkedin.com/learning/sales-forecasting?trk=ondemandfile" xr:uid="{00000000-0004-0000-1D00-0000BC000000}"/>
    <hyperlink ref="D75" r:id="rId190" display="https://www.linkedin.com/learning/key-account-management?trk=ondemandfile" xr:uid="{00000000-0004-0000-1D00-0000BD000000}"/>
    <hyperlink ref="D76" r:id="rId191" display="https://www.linkedin.com/learning/sales-channel-management?trk=ondemandfile" xr:uid="{00000000-0004-0000-1D00-0000BE000000}"/>
    <hyperlink ref="D77" r:id="rId192" display="https://www.linkedin.com/learning/sales-performance-measurement-and-reporting?trk=ondemandfile" xr:uid="{00000000-0004-0000-1D00-0000BF000000}"/>
    <hyperlink ref="D78" r:id="rId193" display="https://www.linkedin.com/learning/develop-a-service-orientation?trk=ondemandfile" xr:uid="{00000000-0004-0000-1D00-0000C0000000}"/>
    <hyperlink ref="D79" r:id="rId194" display="https://www.linkedin.com/learning/sales-customer-success?trk=ondemandfile" xr:uid="{00000000-0004-0000-1D00-0000C1000000}"/>
    <hyperlink ref="D80" r:id="rId195" display="https://www.linkedin.com/learning/closing-a-complex-sale?trk=ondemandfile" xr:uid="{00000000-0004-0000-1D00-0000C2000000}"/>
    <hyperlink ref="D81" r:id="rId196" display="https://www.linkedin.com/learning/sales-pipeline-management?trk=ondemandfile" xr:uid="{00000000-0004-0000-1D00-0000C3000000}"/>
    <hyperlink ref="D82" r:id="rId197" display="https://www.linkedin.com/learning/sales-data-driven-sales-management?trk=ondemandfile" xr:uid="{00000000-0004-0000-1D00-0000C4000000}"/>
    <hyperlink ref="D83" r:id="rId198" display="https://www.linkedin.com/learning/social-selling-benchmarks-and-scorecard?trk=ondemandfile" xr:uid="{00000000-0004-0000-1D00-0000C5000000}"/>
    <hyperlink ref="D84" r:id="rId199" display="https://www.linkedin.com/learning/cross-selling?trk=ondemandfile" xr:uid="{00000000-0004-0000-1D00-0000C6000000}"/>
    <hyperlink ref="D85" r:id="rId200" display="https://www.linkedin.com/learning/sales-handling-objections?trk=ondemandfile" xr:uid="{00000000-0004-0000-1D00-0000C7000000}"/>
    <hyperlink ref="D86" r:id="rId201" display="https://www.linkedin.com/learning/aligning-sales-and-marketing?trk=ondemandfile" xr:uid="{00000000-0004-0000-1D00-0000C8000000}"/>
    <hyperlink ref="D87" r:id="rId202" display="https://www.linkedin.com/learning/sales-enablement?trk=ondemandfile" xr:uid="{00000000-0004-0000-1D00-0000C9000000}"/>
    <hyperlink ref="D88" r:id="rId203" display="https://www.linkedin.com/learning/empathy-for-sales-professionals?trk=ondemandfile" xr:uid="{00000000-0004-0000-1D00-0000CA000000}"/>
    <hyperlink ref="D89" r:id="rId204" display="https://www.linkedin.com/learning/asking-great-sales-questions-2019?trk=ondemandfile" xr:uid="{00000000-0004-0000-1D00-0000CB000000}"/>
    <hyperlink ref="D90" r:id="rId205" display="https://www.linkedin.com/learning/selling-with-empathy-during-uncertain-times?trk=ondemandfile" xr:uid="{00000000-0004-0000-1D00-0000CC000000}"/>
    <hyperlink ref="D91" r:id="rId206" display="https://www.linkedin.com/learning/social-selling-reaching-prospects?trk=ondemandfile" xr:uid="{00000000-0004-0000-1D00-0000CD000000}"/>
    <hyperlink ref="D92" r:id="rId207" display="https://www.linkedin.com/learning/cold-email-prospecting?trk=ondemandfile" xr:uid="{00000000-0004-0000-1D00-0000CE000000}"/>
    <hyperlink ref="D93" r:id="rId208" display="https://www.linkedin.com/learning/managing-your-sales-process-2020?trk=ondemandfile" xr:uid="{00000000-0004-0000-1D00-0000CF000000}"/>
    <hyperlink ref="D94" r:id="rId209" display="https://www.linkedin.com/learning/sales-and-the-science-of-trust?trk=ondemandfile" xr:uid="{00000000-0004-0000-1D00-0000D0000000}"/>
    <hyperlink ref="D95" r:id="rId210" display="https://www.linkedin.com/learning/the-persuasion-code-the-neuroscience-of-sales?trk=ondemandfile" xr:uid="{00000000-0004-0000-1D00-0000D1000000}"/>
    <hyperlink ref="D96" r:id="rId211" display="https://www.linkedin.com/learning/sales-closing-strategies?trk=ondemandfile" xr:uid="{00000000-0004-0000-1D00-0000D2000000}"/>
    <hyperlink ref="D97" r:id="rId212" display="https://www.linkedin.com/learning/advanced-persuasive-selling-persuading-different-personality-types?trk=ondemandfile" xr:uid="{00000000-0004-0000-1D00-0000D3000000}"/>
    <hyperlink ref="D98" r:id="rId213" display="https://www.linkedin.com/learning/selling-to-the-c-suite?trk=ondemandfile" xr:uid="{00000000-0004-0000-1D00-0000D4000000}"/>
    <hyperlink ref="D99" r:id="rId214" display="https://www.linkedin.com/learning/advanced-lead-generation?trk=ondemandfile" xr:uid="{00000000-0004-0000-1D00-0000D5000000}"/>
    <hyperlink ref="D100" r:id="rId215" display="https://www.linkedin.com/learning/influencing-others?trk=ondemandfile" xr:uid="{00000000-0004-0000-1D00-0000D6000000}"/>
    <hyperlink ref="D101" r:id="rId216" display="https://www.linkedin.com/learning/running-a-design-business-writing-and-pricing-winning-proposals?trk=ondemandfile" xr:uid="{00000000-0004-0000-1D00-0000D7000000}"/>
    <hyperlink ref="D102" r:id="rId217" display="https://www.linkedin.com/learning/just-ask-dean-karrel?trk=ondemandfile" xr:uid="{00000000-0004-0000-1D00-0000D8000000}"/>
    <hyperlink ref="D103" r:id="rId218" display="https://www.linkedin.com/learning/sales-management-simplified-blinkist-summary?trk=ondemandfile" xr:uid="{00000000-0004-0000-1D00-0000D9000000}"/>
    <hyperlink ref="D104" r:id="rId219" display="https://www.linkedin.com/learning/flip-the-script-a-toolkit-for-sellers-and-negotiators-blinkist-summary?trk=ondemandfile" xr:uid="{00000000-0004-0000-1D00-0000DA000000}"/>
    <hyperlink ref="D105" r:id="rId220" display="https://www.linkedin.com/learning/how-to-create-a-life-of-meaning-and-purpose?trk=ondemandfile" xr:uid="{00000000-0004-0000-1D00-0000DB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Click and enter a value from range 'Competency Titles'!A1:A27" xr:uid="{00000000-0002-0000-1D00-000000000000}">
          <x14:formula1>
            <xm:f>#REF!</xm:f>
          </x14:formula1>
          <xm:sqref>B1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1C232"/>
  </sheetPr>
  <dimension ref="A1:H864"/>
  <sheetViews>
    <sheetView workbookViewId="0"/>
  </sheetViews>
  <sheetFormatPr baseColWidth="10" defaultColWidth="11.1640625" defaultRowHeight="15" customHeight="1"/>
  <cols>
    <col min="1" max="1" width="31.6640625" customWidth="1"/>
    <col min="2" max="2" width="32" customWidth="1"/>
    <col min="3" max="3" width="19.83203125" customWidth="1"/>
    <col min="4" max="4" width="20.83203125" customWidth="1"/>
    <col min="5" max="5" width="65" customWidth="1"/>
    <col min="6" max="6" width="36.33203125" hidden="1" customWidth="1"/>
    <col min="7" max="7" width="43.83203125" customWidth="1"/>
    <col min="8" max="8" width="22" hidden="1" customWidth="1"/>
  </cols>
  <sheetData>
    <row r="1" spans="1:8" ht="36" customHeight="1">
      <c r="A1" s="29" t="s">
        <v>59</v>
      </c>
      <c r="B1" s="30" t="s">
        <v>60</v>
      </c>
      <c r="C1" s="31" t="s">
        <v>61</v>
      </c>
      <c r="D1" s="32" t="s">
        <v>62</v>
      </c>
      <c r="E1" s="32" t="s">
        <v>63</v>
      </c>
      <c r="F1" s="33" t="s">
        <v>64</v>
      </c>
      <c r="G1" s="33" t="s">
        <v>65</v>
      </c>
      <c r="H1" s="34" t="s">
        <v>66</v>
      </c>
    </row>
    <row r="2" spans="1:8" ht="15.75" customHeight="1">
      <c r="A2" s="35" t="s">
        <v>0</v>
      </c>
      <c r="B2" s="36" t="s">
        <v>67</v>
      </c>
      <c r="C2" s="37" t="s">
        <v>68</v>
      </c>
      <c r="D2" s="38" t="s">
        <v>62</v>
      </c>
      <c r="E2" s="39" t="s">
        <v>69</v>
      </c>
      <c r="F2" s="40"/>
      <c r="G2" s="38" t="s">
        <v>70</v>
      </c>
      <c r="H2" s="41"/>
    </row>
    <row r="3" spans="1:8" ht="15.75" customHeight="1">
      <c r="A3" s="42" t="s">
        <v>0</v>
      </c>
      <c r="B3" s="1" t="s">
        <v>67</v>
      </c>
      <c r="C3" s="43">
        <v>5025693</v>
      </c>
      <c r="D3" s="44" t="s">
        <v>71</v>
      </c>
      <c r="E3" s="45" t="s">
        <v>72</v>
      </c>
      <c r="F3" s="46"/>
      <c r="G3" s="47" t="s">
        <v>73</v>
      </c>
    </row>
    <row r="4" spans="1:8" ht="15.75" customHeight="1">
      <c r="A4" s="42" t="s">
        <v>0</v>
      </c>
      <c r="B4" s="1" t="s">
        <v>67</v>
      </c>
      <c r="C4" s="43">
        <v>5025692</v>
      </c>
      <c r="D4" s="44" t="s">
        <v>71</v>
      </c>
      <c r="E4" s="45" t="s">
        <v>74</v>
      </c>
      <c r="G4" s="48" t="s">
        <v>75</v>
      </c>
    </row>
    <row r="5" spans="1:8" ht="15.75" customHeight="1">
      <c r="A5" s="42" t="s">
        <v>0</v>
      </c>
      <c r="B5" s="1" t="s">
        <v>67</v>
      </c>
      <c r="C5" s="43">
        <v>5025688</v>
      </c>
      <c r="D5" s="44" t="s">
        <v>71</v>
      </c>
      <c r="E5" s="49" t="s">
        <v>76</v>
      </c>
      <c r="G5" s="48" t="s">
        <v>77</v>
      </c>
    </row>
    <row r="6" spans="1:8" ht="15.75" customHeight="1">
      <c r="A6" s="42" t="s">
        <v>0</v>
      </c>
      <c r="B6" s="1" t="s">
        <v>67</v>
      </c>
      <c r="C6" s="43">
        <v>190327</v>
      </c>
      <c r="D6" s="44" t="s">
        <v>71</v>
      </c>
      <c r="E6" s="45" t="s">
        <v>78</v>
      </c>
      <c r="G6" s="48" t="s">
        <v>79</v>
      </c>
    </row>
    <row r="7" spans="1:8" ht="15.75" customHeight="1">
      <c r="A7" s="42" t="s">
        <v>0</v>
      </c>
      <c r="B7" s="1" t="s">
        <v>67</v>
      </c>
      <c r="C7" s="43">
        <v>3146379</v>
      </c>
      <c r="D7" s="44" t="s">
        <v>80</v>
      </c>
      <c r="E7" s="45" t="s">
        <v>81</v>
      </c>
      <c r="G7" s="48" t="s">
        <v>82</v>
      </c>
    </row>
    <row r="8" spans="1:8" ht="15.75" customHeight="1">
      <c r="A8" s="42" t="s">
        <v>0</v>
      </c>
      <c r="B8" s="1" t="s">
        <v>67</v>
      </c>
      <c r="C8" s="43">
        <v>530961</v>
      </c>
      <c r="D8" s="44" t="s">
        <v>83</v>
      </c>
      <c r="E8" s="45" t="s">
        <v>84</v>
      </c>
      <c r="G8" s="48" t="s">
        <v>85</v>
      </c>
    </row>
    <row r="9" spans="1:8" ht="15.75" customHeight="1">
      <c r="A9" s="42" t="s">
        <v>0</v>
      </c>
      <c r="B9" s="1" t="s">
        <v>67</v>
      </c>
      <c r="C9" s="43">
        <v>2926136</v>
      </c>
      <c r="D9" s="44" t="s">
        <v>71</v>
      </c>
      <c r="E9" s="45" t="s">
        <v>86</v>
      </c>
      <c r="G9" s="48" t="s">
        <v>87</v>
      </c>
    </row>
    <row r="10" spans="1:8" ht="15.75" customHeight="1">
      <c r="A10" s="42" t="s">
        <v>0</v>
      </c>
      <c r="B10" s="1" t="s">
        <v>67</v>
      </c>
      <c r="C10" s="43">
        <v>608982</v>
      </c>
      <c r="D10" s="44" t="s">
        <v>71</v>
      </c>
      <c r="E10" s="45" t="s">
        <v>88</v>
      </c>
      <c r="G10" s="48" t="s">
        <v>89</v>
      </c>
    </row>
    <row r="11" spans="1:8" ht="15.75" customHeight="1">
      <c r="A11" s="42" t="s">
        <v>0</v>
      </c>
      <c r="B11" s="1" t="s">
        <v>67</v>
      </c>
      <c r="C11" s="43">
        <v>5025679</v>
      </c>
      <c r="D11" s="44" t="s">
        <v>90</v>
      </c>
      <c r="E11" s="45" t="s">
        <v>91</v>
      </c>
      <c r="G11" s="48" t="s">
        <v>92</v>
      </c>
    </row>
    <row r="12" spans="1:8" ht="15.75" customHeight="1">
      <c r="A12" s="42" t="s">
        <v>0</v>
      </c>
      <c r="B12" s="1" t="s">
        <v>67</v>
      </c>
      <c r="C12" s="43">
        <v>608977</v>
      </c>
      <c r="D12" s="44" t="s">
        <v>71</v>
      </c>
      <c r="E12" s="45" t="s">
        <v>93</v>
      </c>
      <c r="G12" s="50"/>
    </row>
    <row r="13" spans="1:8" ht="15.75" customHeight="1">
      <c r="A13" s="42" t="s">
        <v>0</v>
      </c>
      <c r="B13" s="1" t="s">
        <v>67</v>
      </c>
      <c r="C13" s="43">
        <v>778411</v>
      </c>
      <c r="D13" s="44" t="s">
        <v>80</v>
      </c>
      <c r="E13" s="45" t="s">
        <v>94</v>
      </c>
      <c r="G13" s="50"/>
    </row>
    <row r="14" spans="1:8" ht="15.75" customHeight="1">
      <c r="A14" s="42" t="s">
        <v>0</v>
      </c>
      <c r="B14" s="1" t="s">
        <v>67</v>
      </c>
      <c r="C14" s="43">
        <v>561223</v>
      </c>
      <c r="D14" s="44" t="s">
        <v>80</v>
      </c>
      <c r="E14" s="45" t="s">
        <v>95</v>
      </c>
      <c r="G14" s="50"/>
    </row>
    <row r="15" spans="1:8" ht="15.75" customHeight="1">
      <c r="A15" s="42" t="s">
        <v>0</v>
      </c>
      <c r="B15" s="1" t="s">
        <v>67</v>
      </c>
      <c r="C15" s="43">
        <v>185303</v>
      </c>
      <c r="D15" s="44" t="s">
        <v>83</v>
      </c>
      <c r="E15" s="45" t="s">
        <v>96</v>
      </c>
      <c r="G15" s="50"/>
    </row>
    <row r="16" spans="1:8" ht="15.75" customHeight="1">
      <c r="A16" s="42" t="s">
        <v>0</v>
      </c>
      <c r="B16" s="1" t="s">
        <v>67</v>
      </c>
      <c r="C16" s="43">
        <v>2219818</v>
      </c>
      <c r="D16" s="44" t="s">
        <v>83</v>
      </c>
      <c r="E16" s="45" t="s">
        <v>97</v>
      </c>
      <c r="G16" s="50"/>
    </row>
    <row r="17" spans="1:7" ht="15.75" customHeight="1">
      <c r="A17" s="42" t="s">
        <v>0</v>
      </c>
      <c r="B17" s="1" t="s">
        <v>67</v>
      </c>
      <c r="C17" s="43">
        <v>2397438</v>
      </c>
      <c r="D17" s="44" t="s">
        <v>90</v>
      </c>
      <c r="E17" s="45" t="s">
        <v>98</v>
      </c>
      <c r="G17" s="50"/>
    </row>
    <row r="18" spans="1:7" ht="15.75" customHeight="1">
      <c r="A18" s="42" t="s">
        <v>0</v>
      </c>
      <c r="B18" s="1" t="s">
        <v>67</v>
      </c>
      <c r="C18" s="43">
        <v>2382665</v>
      </c>
      <c r="D18" s="44" t="s">
        <v>83</v>
      </c>
      <c r="E18" s="45" t="s">
        <v>99</v>
      </c>
      <c r="G18" s="50"/>
    </row>
    <row r="19" spans="1:7" ht="15.75" customHeight="1">
      <c r="A19" s="42" t="s">
        <v>0</v>
      </c>
      <c r="B19" s="1" t="s">
        <v>67</v>
      </c>
      <c r="C19" s="43">
        <v>5025626</v>
      </c>
      <c r="D19" s="44" t="s">
        <v>80</v>
      </c>
      <c r="E19" s="45" t="s">
        <v>100</v>
      </c>
      <c r="G19" s="50"/>
    </row>
    <row r="20" spans="1:7" ht="15.75" customHeight="1">
      <c r="A20" s="42" t="s">
        <v>0</v>
      </c>
      <c r="B20" s="1" t="s">
        <v>67</v>
      </c>
      <c r="C20" s="43">
        <v>3109019</v>
      </c>
      <c r="D20" s="44" t="s">
        <v>101</v>
      </c>
      <c r="E20" s="49" t="s">
        <v>102</v>
      </c>
      <c r="G20" s="50"/>
    </row>
    <row r="21" spans="1:7" ht="15.75" customHeight="1">
      <c r="A21" s="42" t="s">
        <v>0</v>
      </c>
      <c r="B21" s="1" t="s">
        <v>67</v>
      </c>
      <c r="C21" s="43">
        <v>190329</v>
      </c>
      <c r="D21" s="44" t="s">
        <v>80</v>
      </c>
      <c r="E21" s="45" t="s">
        <v>103</v>
      </c>
      <c r="G21" s="50"/>
    </row>
    <row r="22" spans="1:7" ht="15.75" customHeight="1">
      <c r="A22" s="42" t="s">
        <v>0</v>
      </c>
      <c r="B22" s="1" t="s">
        <v>67</v>
      </c>
      <c r="C22" s="43">
        <v>5025658</v>
      </c>
      <c r="D22" s="44" t="s">
        <v>71</v>
      </c>
      <c r="E22" s="49" t="s">
        <v>104</v>
      </c>
      <c r="G22" s="50"/>
    </row>
    <row r="23" spans="1:7" ht="15.75" customHeight="1">
      <c r="A23" s="42" t="s">
        <v>0</v>
      </c>
      <c r="B23" s="1" t="s">
        <v>67</v>
      </c>
      <c r="C23" s="43">
        <v>3156265</v>
      </c>
      <c r="D23" s="44" t="s">
        <v>71</v>
      </c>
      <c r="E23" s="45" t="s">
        <v>105</v>
      </c>
      <c r="G23" s="50"/>
    </row>
    <row r="24" spans="1:7" ht="15.75" customHeight="1">
      <c r="A24" s="42" t="s">
        <v>0</v>
      </c>
      <c r="B24" s="1" t="s">
        <v>67</v>
      </c>
      <c r="C24" s="43">
        <v>3153256</v>
      </c>
      <c r="D24" s="44" t="s">
        <v>71</v>
      </c>
      <c r="E24" s="45" t="s">
        <v>106</v>
      </c>
      <c r="G24" s="50"/>
    </row>
    <row r="25" spans="1:7" ht="15.75" customHeight="1">
      <c r="A25" s="42" t="s">
        <v>0</v>
      </c>
      <c r="B25" s="1" t="s">
        <v>67</v>
      </c>
      <c r="C25" s="43">
        <v>2926133</v>
      </c>
      <c r="D25" s="44" t="s">
        <v>80</v>
      </c>
      <c r="E25" s="45" t="s">
        <v>107</v>
      </c>
      <c r="G25" s="50"/>
    </row>
    <row r="26" spans="1:7" ht="15.75" customHeight="1">
      <c r="A26" s="42" t="s">
        <v>0</v>
      </c>
      <c r="B26" s="1" t="s">
        <v>67</v>
      </c>
      <c r="C26" s="43">
        <v>2926134</v>
      </c>
      <c r="D26" s="44" t="s">
        <v>101</v>
      </c>
      <c r="E26" s="45" t="s">
        <v>108</v>
      </c>
      <c r="G26" s="50"/>
    </row>
    <row r="27" spans="1:7" ht="15.75" customHeight="1">
      <c r="A27" s="42" t="s">
        <v>0</v>
      </c>
      <c r="B27" s="1" t="s">
        <v>67</v>
      </c>
      <c r="C27" s="43">
        <v>5025680</v>
      </c>
      <c r="D27" s="44" t="s">
        <v>71</v>
      </c>
      <c r="E27" s="49" t="s">
        <v>109</v>
      </c>
      <c r="G27" s="50"/>
    </row>
    <row r="28" spans="1:7" ht="15.75" customHeight="1">
      <c r="A28" s="42" t="s">
        <v>0</v>
      </c>
      <c r="B28" s="1" t="s">
        <v>67</v>
      </c>
      <c r="C28" s="43">
        <v>608984</v>
      </c>
      <c r="D28" s="44" t="s">
        <v>71</v>
      </c>
      <c r="E28" s="45" t="s">
        <v>110</v>
      </c>
      <c r="G28" s="50"/>
    </row>
    <row r="29" spans="1:7" ht="15.75" customHeight="1">
      <c r="A29" s="42" t="s">
        <v>0</v>
      </c>
      <c r="B29" s="1" t="s">
        <v>67</v>
      </c>
      <c r="C29" s="43">
        <v>2383339</v>
      </c>
      <c r="D29" s="44" t="s">
        <v>80</v>
      </c>
      <c r="E29" s="45" t="s">
        <v>111</v>
      </c>
      <c r="G29" s="50"/>
    </row>
    <row r="30" spans="1:7" ht="15.75" customHeight="1">
      <c r="A30" s="42" t="s">
        <v>0</v>
      </c>
      <c r="B30" s="1" t="s">
        <v>67</v>
      </c>
      <c r="C30" s="43">
        <v>2996869</v>
      </c>
      <c r="D30" s="44" t="s">
        <v>80</v>
      </c>
      <c r="E30" s="45" t="s">
        <v>112</v>
      </c>
      <c r="G30" s="50"/>
    </row>
    <row r="31" spans="1:7" ht="15.75" customHeight="1">
      <c r="A31" s="42" t="s">
        <v>0</v>
      </c>
      <c r="B31" s="1" t="s">
        <v>67</v>
      </c>
      <c r="C31" s="43">
        <v>506454</v>
      </c>
      <c r="D31" s="44" t="s">
        <v>83</v>
      </c>
      <c r="E31" s="45" t="s">
        <v>113</v>
      </c>
      <c r="G31" s="50"/>
    </row>
    <row r="32" spans="1:7" ht="15.75" customHeight="1">
      <c r="A32" s="42" t="s">
        <v>0</v>
      </c>
      <c r="B32" s="1" t="s">
        <v>67</v>
      </c>
      <c r="C32" s="43">
        <v>190401</v>
      </c>
      <c r="D32" s="44" t="s">
        <v>80</v>
      </c>
      <c r="E32" s="45" t="s">
        <v>114</v>
      </c>
      <c r="G32" s="50"/>
    </row>
    <row r="33" spans="1:7" ht="15.75" customHeight="1">
      <c r="A33" s="42" t="s">
        <v>0</v>
      </c>
      <c r="B33" s="1" t="s">
        <v>67</v>
      </c>
      <c r="C33" s="43">
        <v>3124065</v>
      </c>
      <c r="D33" s="44" t="s">
        <v>83</v>
      </c>
      <c r="E33" s="45" t="s">
        <v>115</v>
      </c>
      <c r="G33" s="50"/>
    </row>
    <row r="34" spans="1:7" ht="15.75" customHeight="1">
      <c r="A34" s="42" t="s">
        <v>0</v>
      </c>
      <c r="B34" s="1" t="s">
        <v>67</v>
      </c>
      <c r="C34" s="43">
        <v>714740</v>
      </c>
      <c r="D34" s="44" t="s">
        <v>83</v>
      </c>
      <c r="E34" s="45" t="s">
        <v>116</v>
      </c>
      <c r="G34" s="50"/>
    </row>
    <row r="35" spans="1:7" ht="15.75" customHeight="1">
      <c r="A35" s="42" t="s">
        <v>0</v>
      </c>
      <c r="B35" s="1" t="s">
        <v>67</v>
      </c>
      <c r="C35" s="43">
        <v>2219820</v>
      </c>
      <c r="D35" s="44" t="s">
        <v>101</v>
      </c>
      <c r="E35" s="45" t="s">
        <v>117</v>
      </c>
      <c r="G35" s="50"/>
    </row>
    <row r="36" spans="1:7" ht="15.75" customHeight="1">
      <c r="A36" s="42" t="s">
        <v>0</v>
      </c>
      <c r="B36" s="1" t="s">
        <v>67</v>
      </c>
      <c r="C36" s="43">
        <v>508725</v>
      </c>
      <c r="D36" s="44" t="s">
        <v>101</v>
      </c>
      <c r="E36" s="45" t="s">
        <v>118</v>
      </c>
      <c r="G36" s="50"/>
    </row>
    <row r="37" spans="1:7" ht="15.75" customHeight="1">
      <c r="A37" s="42" t="s">
        <v>0</v>
      </c>
      <c r="B37" s="1" t="s">
        <v>67</v>
      </c>
      <c r="C37" s="43">
        <v>2838143</v>
      </c>
      <c r="D37" s="44" t="s">
        <v>71</v>
      </c>
      <c r="E37" s="45" t="s">
        <v>119</v>
      </c>
      <c r="G37" s="50"/>
    </row>
    <row r="38" spans="1:7" ht="15.75" customHeight="1">
      <c r="A38" s="42" t="s">
        <v>0</v>
      </c>
      <c r="B38" s="1" t="s">
        <v>67</v>
      </c>
      <c r="C38" s="43">
        <v>2838142</v>
      </c>
      <c r="D38" s="44" t="s">
        <v>80</v>
      </c>
      <c r="E38" s="45" t="s">
        <v>120</v>
      </c>
      <c r="G38" s="50"/>
    </row>
    <row r="39" spans="1:7" ht="15.75" customHeight="1">
      <c r="A39" s="42" t="s">
        <v>0</v>
      </c>
      <c r="B39" s="1" t="s">
        <v>67</v>
      </c>
      <c r="C39" s="43">
        <v>2924101</v>
      </c>
      <c r="D39" s="44" t="s">
        <v>101</v>
      </c>
      <c r="E39" s="45" t="s">
        <v>121</v>
      </c>
      <c r="G39" s="50"/>
    </row>
    <row r="40" spans="1:7" ht="15.75" customHeight="1">
      <c r="A40" s="42" t="s">
        <v>0</v>
      </c>
      <c r="B40" s="1" t="s">
        <v>67</v>
      </c>
      <c r="C40" s="43">
        <v>2983328</v>
      </c>
      <c r="D40" s="44" t="s">
        <v>80</v>
      </c>
      <c r="E40" s="45" t="s">
        <v>122</v>
      </c>
      <c r="F40" s="51" t="s">
        <v>123</v>
      </c>
      <c r="G40" s="50"/>
    </row>
    <row r="41" spans="1:7" ht="15.75" customHeight="1">
      <c r="A41" s="42" t="s">
        <v>0</v>
      </c>
      <c r="B41" s="1" t="s">
        <v>67</v>
      </c>
      <c r="C41" s="43">
        <v>5025686</v>
      </c>
      <c r="D41" s="44" t="s">
        <v>71</v>
      </c>
      <c r="E41" s="45" t="s">
        <v>124</v>
      </c>
      <c r="F41" s="51"/>
      <c r="G41" s="50"/>
    </row>
    <row r="42" spans="1:7" ht="15.75" customHeight="1">
      <c r="A42" s="42" t="s">
        <v>0</v>
      </c>
      <c r="B42" s="1" t="s">
        <v>67</v>
      </c>
      <c r="C42" s="43">
        <v>778413</v>
      </c>
      <c r="D42" s="44" t="s">
        <v>83</v>
      </c>
      <c r="E42" s="45" t="s">
        <v>125</v>
      </c>
      <c r="F42" s="51"/>
      <c r="G42" s="50"/>
    </row>
    <row r="43" spans="1:7" ht="15.75" customHeight="1">
      <c r="A43" s="42" t="s">
        <v>0</v>
      </c>
      <c r="B43" s="1" t="s">
        <v>67</v>
      </c>
      <c r="C43" s="43">
        <v>5025672</v>
      </c>
      <c r="D43" s="44" t="s">
        <v>80</v>
      </c>
      <c r="E43" s="45" t="s">
        <v>126</v>
      </c>
      <c r="F43" s="51"/>
      <c r="G43" s="50"/>
    </row>
    <row r="44" spans="1:7" ht="15.75" customHeight="1">
      <c r="A44" s="42" t="s">
        <v>0</v>
      </c>
      <c r="B44" s="1" t="s">
        <v>67</v>
      </c>
      <c r="C44" s="43">
        <v>608963</v>
      </c>
      <c r="D44" s="44" t="s">
        <v>80</v>
      </c>
      <c r="E44" s="45" t="s">
        <v>127</v>
      </c>
      <c r="F44" s="51"/>
      <c r="G44" s="50"/>
    </row>
    <row r="45" spans="1:7" ht="15.75" customHeight="1">
      <c r="A45" s="42" t="s">
        <v>0</v>
      </c>
      <c r="B45" s="1" t="s">
        <v>67</v>
      </c>
      <c r="C45" s="43">
        <v>608975</v>
      </c>
      <c r="D45" s="44" t="s">
        <v>80</v>
      </c>
      <c r="E45" s="45" t="s">
        <v>128</v>
      </c>
      <c r="F45" s="51"/>
      <c r="G45" s="50"/>
    </row>
    <row r="46" spans="1:7" ht="15.75" customHeight="1">
      <c r="A46" s="42" t="s">
        <v>0</v>
      </c>
      <c r="B46" s="1" t="s">
        <v>67</v>
      </c>
      <c r="C46" s="43">
        <v>795024</v>
      </c>
      <c r="D46" s="44" t="s">
        <v>71</v>
      </c>
      <c r="E46" s="45" t="s">
        <v>129</v>
      </c>
      <c r="F46" s="51"/>
      <c r="G46" s="50"/>
    </row>
    <row r="47" spans="1:7" ht="15.75" customHeight="1">
      <c r="A47" s="42" t="s">
        <v>0</v>
      </c>
      <c r="B47" s="1" t="s">
        <v>67</v>
      </c>
      <c r="C47" s="43">
        <v>795022</v>
      </c>
      <c r="D47" s="44" t="s">
        <v>71</v>
      </c>
      <c r="E47" s="45" t="s">
        <v>130</v>
      </c>
      <c r="F47" s="51"/>
      <c r="G47" s="50"/>
    </row>
    <row r="48" spans="1:7" ht="15.75" customHeight="1">
      <c r="A48" s="42" t="s">
        <v>0</v>
      </c>
      <c r="B48" s="1" t="s">
        <v>67</v>
      </c>
      <c r="C48" s="43">
        <v>714717</v>
      </c>
      <c r="D48" s="44" t="s">
        <v>90</v>
      </c>
      <c r="E48" s="49" t="s">
        <v>131</v>
      </c>
      <c r="F48" s="51"/>
      <c r="G48" s="50"/>
    </row>
    <row r="49" spans="1:8" ht="15.75" customHeight="1">
      <c r="A49" s="42" t="s">
        <v>0</v>
      </c>
      <c r="B49" s="1" t="s">
        <v>67</v>
      </c>
      <c r="C49" s="43">
        <v>651774</v>
      </c>
      <c r="D49" s="44" t="s">
        <v>101</v>
      </c>
      <c r="E49" s="45" t="s">
        <v>132</v>
      </c>
      <c r="F49" s="51"/>
      <c r="G49" s="50"/>
    </row>
    <row r="50" spans="1:8" ht="15.75" customHeight="1">
      <c r="A50" s="42" t="s">
        <v>0</v>
      </c>
      <c r="B50" s="1" t="s">
        <v>67</v>
      </c>
      <c r="C50" s="43">
        <v>2279358</v>
      </c>
      <c r="D50" s="44" t="s">
        <v>101</v>
      </c>
      <c r="E50" s="49" t="s">
        <v>123</v>
      </c>
      <c r="F50" s="51"/>
      <c r="G50" s="50"/>
    </row>
    <row r="51" spans="1:8" ht="15.75" customHeight="1">
      <c r="A51" s="42" t="s">
        <v>0</v>
      </c>
      <c r="B51" s="1" t="s">
        <v>67</v>
      </c>
      <c r="C51" s="43">
        <v>5025624</v>
      </c>
      <c r="D51" s="44" t="s">
        <v>80</v>
      </c>
      <c r="E51" s="49" t="s">
        <v>133</v>
      </c>
      <c r="F51" s="51"/>
      <c r="G51" s="50"/>
    </row>
    <row r="52" spans="1:8" ht="15.75" customHeight="1">
      <c r="A52" s="42" t="s">
        <v>0</v>
      </c>
      <c r="B52" s="1" t="s">
        <v>67</v>
      </c>
      <c r="C52" s="43">
        <v>407975</v>
      </c>
      <c r="D52" s="44" t="s">
        <v>83</v>
      </c>
      <c r="E52" s="45" t="s">
        <v>134</v>
      </c>
      <c r="F52" s="1" t="s">
        <v>135</v>
      </c>
      <c r="G52" s="50"/>
    </row>
    <row r="53" spans="1:8" ht="15.75" customHeight="1">
      <c r="A53" s="42" t="s">
        <v>0</v>
      </c>
      <c r="B53" s="1" t="s">
        <v>67</v>
      </c>
      <c r="C53" s="43">
        <v>756689</v>
      </c>
      <c r="D53" s="44" t="s">
        <v>83</v>
      </c>
      <c r="E53" s="45" t="s">
        <v>136</v>
      </c>
      <c r="F53" s="1"/>
      <c r="G53" s="50"/>
    </row>
    <row r="54" spans="1:8" ht="15.75" customHeight="1">
      <c r="A54" s="42" t="s">
        <v>0</v>
      </c>
      <c r="B54" s="1" t="s">
        <v>67</v>
      </c>
      <c r="C54" s="43">
        <v>2874199</v>
      </c>
      <c r="D54" s="44" t="s">
        <v>80</v>
      </c>
      <c r="E54" s="45" t="s">
        <v>137</v>
      </c>
      <c r="F54" s="1"/>
      <c r="G54" s="50"/>
    </row>
    <row r="55" spans="1:8" ht="15.75" customHeight="1">
      <c r="A55" s="42" t="s">
        <v>0</v>
      </c>
      <c r="B55" s="1" t="s">
        <v>67</v>
      </c>
      <c r="C55" s="43">
        <v>651773</v>
      </c>
      <c r="D55" s="44" t="s">
        <v>83</v>
      </c>
      <c r="E55" s="45" t="s">
        <v>138</v>
      </c>
      <c r="F55" s="1"/>
      <c r="G55" s="50"/>
    </row>
    <row r="56" spans="1:8" ht="15.75" customHeight="1">
      <c r="A56" s="42" t="s">
        <v>0</v>
      </c>
      <c r="B56" s="1" t="s">
        <v>67</v>
      </c>
      <c r="C56" s="43">
        <v>449379</v>
      </c>
      <c r="D56" s="44" t="s">
        <v>83</v>
      </c>
      <c r="E56" s="45" t="s">
        <v>139</v>
      </c>
      <c r="F56" s="1"/>
      <c r="G56" s="50"/>
    </row>
    <row r="57" spans="1:8" ht="15.75" customHeight="1">
      <c r="A57" s="42" t="s">
        <v>0</v>
      </c>
      <c r="B57" s="1" t="s">
        <v>67</v>
      </c>
      <c r="C57" s="43">
        <v>2837256</v>
      </c>
      <c r="D57" s="44" t="s">
        <v>90</v>
      </c>
      <c r="E57" s="45" t="s">
        <v>140</v>
      </c>
      <c r="F57" s="1"/>
      <c r="G57" s="50"/>
    </row>
    <row r="58" spans="1:8" ht="15.75" customHeight="1">
      <c r="A58" s="42" t="s">
        <v>0</v>
      </c>
      <c r="B58" s="1" t="s">
        <v>67</v>
      </c>
      <c r="C58" s="43">
        <v>2401127</v>
      </c>
      <c r="D58" s="44" t="s">
        <v>80</v>
      </c>
      <c r="E58" s="45" t="s">
        <v>141</v>
      </c>
      <c r="F58" s="1"/>
      <c r="G58" s="50"/>
    </row>
    <row r="59" spans="1:8" ht="15.75" customHeight="1">
      <c r="A59" s="42" t="s">
        <v>0</v>
      </c>
      <c r="B59" s="1" t="s">
        <v>67</v>
      </c>
      <c r="C59" s="43">
        <v>428124</v>
      </c>
      <c r="D59" s="44" t="s">
        <v>80</v>
      </c>
      <c r="E59" s="45" t="s">
        <v>142</v>
      </c>
      <c r="F59" s="1"/>
      <c r="G59" s="50"/>
    </row>
    <row r="60" spans="1:8" ht="15.75" customHeight="1">
      <c r="A60" s="42" t="s">
        <v>0</v>
      </c>
      <c r="B60" s="1" t="s">
        <v>67</v>
      </c>
      <c r="C60" s="43">
        <v>2875067</v>
      </c>
      <c r="D60" s="44" t="s">
        <v>83</v>
      </c>
      <c r="E60" s="45" t="s">
        <v>143</v>
      </c>
      <c r="F60" s="1"/>
      <c r="G60" s="50"/>
    </row>
    <row r="61" spans="1:8" ht="15.75" customHeight="1">
      <c r="A61" s="42" t="s">
        <v>0</v>
      </c>
      <c r="B61" s="1" t="s">
        <v>67</v>
      </c>
      <c r="C61" s="43">
        <v>2810235</v>
      </c>
      <c r="D61" s="44" t="s">
        <v>80</v>
      </c>
      <c r="E61" s="45" t="s">
        <v>144</v>
      </c>
      <c r="F61" s="1"/>
      <c r="G61" s="50"/>
    </row>
    <row r="62" spans="1:8" ht="15.75" customHeight="1">
      <c r="A62" s="52" t="s">
        <v>1</v>
      </c>
      <c r="B62" s="53" t="s">
        <v>145</v>
      </c>
      <c r="C62" s="54" t="s">
        <v>68</v>
      </c>
      <c r="D62" s="55" t="s">
        <v>62</v>
      </c>
      <c r="E62" s="56" t="s">
        <v>69</v>
      </c>
      <c r="F62" s="57"/>
      <c r="G62" s="48" t="s">
        <v>70</v>
      </c>
      <c r="H62" s="58"/>
    </row>
    <row r="63" spans="1:8" ht="15.75" customHeight="1">
      <c r="A63" s="42" t="s">
        <v>1</v>
      </c>
      <c r="B63" s="1" t="s">
        <v>145</v>
      </c>
      <c r="C63" s="43">
        <v>546963</v>
      </c>
      <c r="D63" s="1" t="s">
        <v>80</v>
      </c>
      <c r="E63" s="49" t="s">
        <v>146</v>
      </c>
      <c r="G63" s="48" t="s">
        <v>147</v>
      </c>
    </row>
    <row r="64" spans="1:8" ht="15.75" customHeight="1">
      <c r="A64" s="42" t="s">
        <v>1</v>
      </c>
      <c r="B64" s="1" t="s">
        <v>145</v>
      </c>
      <c r="C64" s="43">
        <v>5024269</v>
      </c>
      <c r="D64" s="1" t="s">
        <v>80</v>
      </c>
      <c r="E64" s="45" t="s">
        <v>148</v>
      </c>
      <c r="G64" s="48" t="s">
        <v>149</v>
      </c>
    </row>
    <row r="65" spans="1:7" ht="15.75" customHeight="1">
      <c r="A65" s="42" t="s">
        <v>1</v>
      </c>
      <c r="B65" s="1" t="s">
        <v>145</v>
      </c>
      <c r="C65" s="43">
        <v>3146379</v>
      </c>
      <c r="D65" s="1" t="s">
        <v>80</v>
      </c>
      <c r="E65" s="45" t="s">
        <v>81</v>
      </c>
      <c r="G65" s="48" t="s">
        <v>150</v>
      </c>
    </row>
    <row r="66" spans="1:7" ht="15.75" customHeight="1">
      <c r="A66" s="42" t="s">
        <v>1</v>
      </c>
      <c r="B66" s="1" t="s">
        <v>145</v>
      </c>
      <c r="C66" s="43">
        <v>5041935</v>
      </c>
      <c r="D66" s="1" t="s">
        <v>80</v>
      </c>
      <c r="E66" s="45" t="s">
        <v>151</v>
      </c>
      <c r="G66" s="48" t="s">
        <v>152</v>
      </c>
    </row>
    <row r="67" spans="1:7" ht="15.75" customHeight="1">
      <c r="A67" s="42" t="s">
        <v>1</v>
      </c>
      <c r="B67" s="1" t="s">
        <v>145</v>
      </c>
      <c r="C67" s="43">
        <v>588022</v>
      </c>
      <c r="D67" s="1" t="s">
        <v>83</v>
      </c>
      <c r="E67" s="45" t="s">
        <v>153</v>
      </c>
      <c r="G67" s="48" t="s">
        <v>154</v>
      </c>
    </row>
    <row r="68" spans="1:7" ht="15.75" customHeight="1">
      <c r="A68" s="42" t="s">
        <v>1</v>
      </c>
      <c r="B68" s="1" t="s">
        <v>145</v>
      </c>
      <c r="C68" s="43">
        <v>530961</v>
      </c>
      <c r="D68" s="1" t="s">
        <v>83</v>
      </c>
      <c r="E68" s="45" t="s">
        <v>84</v>
      </c>
      <c r="G68" s="59"/>
    </row>
    <row r="69" spans="1:7" ht="15.75" customHeight="1">
      <c r="A69" s="42" t="s">
        <v>1</v>
      </c>
      <c r="B69" s="1" t="s">
        <v>145</v>
      </c>
      <c r="C69" s="43">
        <v>5025578</v>
      </c>
      <c r="D69" s="1" t="s">
        <v>80</v>
      </c>
      <c r="E69" s="45" t="s">
        <v>155</v>
      </c>
      <c r="G69" s="50"/>
    </row>
    <row r="70" spans="1:7" ht="15.75" customHeight="1">
      <c r="A70" s="42" t="s">
        <v>1</v>
      </c>
      <c r="B70" s="1" t="s">
        <v>145</v>
      </c>
      <c r="C70" s="43">
        <v>2926138</v>
      </c>
      <c r="D70" s="1" t="s">
        <v>80</v>
      </c>
      <c r="E70" s="45" t="s">
        <v>156</v>
      </c>
      <c r="G70" s="50"/>
    </row>
    <row r="71" spans="1:7" ht="15.75" customHeight="1">
      <c r="A71" s="42" t="s">
        <v>1</v>
      </c>
      <c r="B71" s="1" t="s">
        <v>145</v>
      </c>
      <c r="C71" s="43">
        <v>778411</v>
      </c>
      <c r="D71" s="1" t="s">
        <v>101</v>
      </c>
      <c r="E71" s="49" t="s">
        <v>94</v>
      </c>
      <c r="G71" s="50"/>
    </row>
    <row r="72" spans="1:7" ht="15.75" customHeight="1">
      <c r="A72" s="42" t="s">
        <v>1</v>
      </c>
      <c r="B72" s="1" t="s">
        <v>145</v>
      </c>
      <c r="C72" s="43">
        <v>2929354</v>
      </c>
      <c r="D72" s="1" t="s">
        <v>80</v>
      </c>
      <c r="E72" s="45" t="s">
        <v>157</v>
      </c>
      <c r="G72" s="50"/>
    </row>
    <row r="73" spans="1:7" ht="15.75" customHeight="1">
      <c r="A73" s="42" t="s">
        <v>1</v>
      </c>
      <c r="B73" s="1" t="s">
        <v>145</v>
      </c>
      <c r="C73" s="43">
        <v>190365</v>
      </c>
      <c r="D73" s="1" t="s">
        <v>71</v>
      </c>
      <c r="E73" s="45" t="s">
        <v>158</v>
      </c>
      <c r="G73" s="50"/>
    </row>
    <row r="74" spans="1:7" ht="15.75" customHeight="1">
      <c r="A74" s="42" t="s">
        <v>1</v>
      </c>
      <c r="B74" s="1" t="s">
        <v>145</v>
      </c>
      <c r="C74" s="43">
        <v>429636</v>
      </c>
      <c r="D74" s="1" t="s">
        <v>80</v>
      </c>
      <c r="E74" s="45" t="s">
        <v>159</v>
      </c>
      <c r="G74" s="50"/>
    </row>
    <row r="75" spans="1:7" ht="15.75" customHeight="1">
      <c r="A75" s="42" t="s">
        <v>1</v>
      </c>
      <c r="B75" s="1" t="s">
        <v>145</v>
      </c>
      <c r="C75" s="43">
        <v>5041894</v>
      </c>
      <c r="D75" s="1" t="s">
        <v>80</v>
      </c>
      <c r="E75" s="45" t="s">
        <v>160</v>
      </c>
      <c r="G75" s="50"/>
    </row>
    <row r="76" spans="1:7" ht="15.75" customHeight="1">
      <c r="A76" s="42" t="s">
        <v>1</v>
      </c>
      <c r="B76" s="1" t="s">
        <v>145</v>
      </c>
      <c r="C76" s="43">
        <v>454096</v>
      </c>
      <c r="D76" s="1" t="s">
        <v>80</v>
      </c>
      <c r="E76" s="45" t="s">
        <v>161</v>
      </c>
      <c r="G76" s="50"/>
    </row>
    <row r="77" spans="1:7" ht="15.75" customHeight="1">
      <c r="A77" s="42" t="s">
        <v>1</v>
      </c>
      <c r="B77" s="1" t="s">
        <v>145</v>
      </c>
      <c r="C77" s="43">
        <v>403839</v>
      </c>
      <c r="D77" s="1" t="s">
        <v>101</v>
      </c>
      <c r="E77" s="45" t="s">
        <v>162</v>
      </c>
      <c r="G77" s="50"/>
    </row>
    <row r="78" spans="1:7" ht="15.75" customHeight="1">
      <c r="A78" s="42" t="s">
        <v>1</v>
      </c>
      <c r="B78" s="1" t="s">
        <v>145</v>
      </c>
      <c r="C78" s="43">
        <v>5025675</v>
      </c>
      <c r="D78" s="1" t="s">
        <v>83</v>
      </c>
      <c r="E78" s="45" t="s">
        <v>163</v>
      </c>
      <c r="G78" s="50"/>
    </row>
    <row r="79" spans="1:7" ht="15.75" customHeight="1">
      <c r="A79" s="42" t="s">
        <v>1</v>
      </c>
      <c r="B79" s="1" t="s">
        <v>145</v>
      </c>
      <c r="C79" s="43">
        <v>435365</v>
      </c>
      <c r="D79" s="1" t="s">
        <v>80</v>
      </c>
      <c r="E79" s="49" t="s">
        <v>164</v>
      </c>
      <c r="G79" s="50"/>
    </row>
    <row r="80" spans="1:7" ht="15.75" customHeight="1">
      <c r="A80" s="42" t="s">
        <v>1</v>
      </c>
      <c r="B80" s="1" t="s">
        <v>145</v>
      </c>
      <c r="C80" s="43">
        <v>714740</v>
      </c>
      <c r="D80" s="1" t="s">
        <v>83</v>
      </c>
      <c r="E80" s="45" t="s">
        <v>116</v>
      </c>
      <c r="G80" s="50"/>
    </row>
    <row r="81" spans="1:7" ht="15.75" customHeight="1">
      <c r="A81" s="42" t="s">
        <v>1</v>
      </c>
      <c r="B81" s="1" t="s">
        <v>145</v>
      </c>
      <c r="C81" s="43">
        <v>714719</v>
      </c>
      <c r="D81" s="1" t="s">
        <v>71</v>
      </c>
      <c r="E81" s="45" t="s">
        <v>165</v>
      </c>
      <c r="G81" s="50"/>
    </row>
    <row r="82" spans="1:7" ht="15.75" customHeight="1">
      <c r="A82" s="42" t="s">
        <v>1</v>
      </c>
      <c r="B82" s="1" t="s">
        <v>145</v>
      </c>
      <c r="C82" s="43">
        <v>508725</v>
      </c>
      <c r="D82" s="1" t="s">
        <v>101</v>
      </c>
      <c r="E82" s="45" t="s">
        <v>118</v>
      </c>
      <c r="G82" s="50"/>
    </row>
    <row r="83" spans="1:7" ht="15.75" customHeight="1">
      <c r="A83" s="42" t="s">
        <v>1</v>
      </c>
      <c r="B83" s="1" t="s">
        <v>145</v>
      </c>
      <c r="C83" s="43">
        <v>748686</v>
      </c>
      <c r="D83" s="1" t="s">
        <v>90</v>
      </c>
      <c r="E83" s="45" t="s">
        <v>166</v>
      </c>
      <c r="G83" s="50"/>
    </row>
    <row r="84" spans="1:7" ht="15.75" customHeight="1">
      <c r="A84" s="42" t="s">
        <v>1</v>
      </c>
      <c r="B84" s="1" t="s">
        <v>145</v>
      </c>
      <c r="C84" s="43">
        <v>2838143</v>
      </c>
      <c r="D84" s="1" t="s">
        <v>71</v>
      </c>
      <c r="E84" s="45" t="s">
        <v>119</v>
      </c>
      <c r="G84" s="50"/>
    </row>
    <row r="85" spans="1:7" ht="15.75" customHeight="1">
      <c r="A85" s="42" t="s">
        <v>1</v>
      </c>
      <c r="B85" s="1" t="s">
        <v>145</v>
      </c>
      <c r="C85" s="43">
        <v>2838142</v>
      </c>
      <c r="D85" s="1" t="s">
        <v>80</v>
      </c>
      <c r="E85" s="45" t="s">
        <v>120</v>
      </c>
      <c r="G85" s="50"/>
    </row>
    <row r="86" spans="1:7" ht="15.75" customHeight="1">
      <c r="A86" s="42" t="s">
        <v>1</v>
      </c>
      <c r="B86" s="1" t="s">
        <v>145</v>
      </c>
      <c r="C86" s="43">
        <v>2983328</v>
      </c>
      <c r="D86" s="1" t="s">
        <v>80</v>
      </c>
      <c r="E86" s="45" t="s">
        <v>122</v>
      </c>
      <c r="G86" s="50"/>
    </row>
    <row r="87" spans="1:7" ht="15.75" customHeight="1">
      <c r="A87" s="42" t="s">
        <v>1</v>
      </c>
      <c r="B87" s="1" t="s">
        <v>145</v>
      </c>
      <c r="C87" s="43">
        <v>2841040</v>
      </c>
      <c r="D87" s="1" t="s">
        <v>101</v>
      </c>
      <c r="E87" s="45" t="s">
        <v>167</v>
      </c>
      <c r="G87" s="50"/>
    </row>
    <row r="88" spans="1:7" ht="15.75" customHeight="1">
      <c r="A88" s="42" t="s">
        <v>1</v>
      </c>
      <c r="B88" s="1" t="s">
        <v>145</v>
      </c>
      <c r="C88" s="43">
        <v>703866</v>
      </c>
      <c r="D88" s="1" t="s">
        <v>83</v>
      </c>
      <c r="E88" s="45" t="s">
        <v>168</v>
      </c>
      <c r="G88" s="50"/>
    </row>
    <row r="89" spans="1:7" ht="15.75" customHeight="1">
      <c r="A89" s="42" t="s">
        <v>1</v>
      </c>
      <c r="B89" s="1" t="s">
        <v>145</v>
      </c>
      <c r="C89" s="43">
        <v>608974</v>
      </c>
      <c r="D89" s="1" t="s">
        <v>71</v>
      </c>
      <c r="E89" s="45" t="s">
        <v>169</v>
      </c>
      <c r="F89" s="51" t="s">
        <v>123</v>
      </c>
      <c r="G89" s="50"/>
    </row>
    <row r="90" spans="1:7" ht="15.75" customHeight="1">
      <c r="A90" s="42" t="s">
        <v>1</v>
      </c>
      <c r="B90" s="1" t="s">
        <v>145</v>
      </c>
      <c r="C90" s="43">
        <v>3115669</v>
      </c>
      <c r="D90" s="1" t="s">
        <v>101</v>
      </c>
      <c r="E90" s="45" t="s">
        <v>170</v>
      </c>
      <c r="F90" s="51"/>
      <c r="G90" s="50"/>
    </row>
    <row r="91" spans="1:7" ht="15.75" customHeight="1">
      <c r="A91" s="42" t="s">
        <v>1</v>
      </c>
      <c r="B91" s="1" t="s">
        <v>145</v>
      </c>
      <c r="C91" s="43">
        <v>608979</v>
      </c>
      <c r="D91" s="1" t="s">
        <v>83</v>
      </c>
      <c r="E91" s="45" t="s">
        <v>171</v>
      </c>
      <c r="F91" s="51"/>
      <c r="G91" s="50"/>
    </row>
    <row r="92" spans="1:7" ht="15.75" customHeight="1">
      <c r="A92" s="42" t="s">
        <v>1</v>
      </c>
      <c r="B92" s="1" t="s">
        <v>145</v>
      </c>
      <c r="C92" s="43">
        <v>766240</v>
      </c>
      <c r="D92" s="1" t="s">
        <v>83</v>
      </c>
      <c r="E92" s="45" t="s">
        <v>172</v>
      </c>
      <c r="F92" s="51"/>
      <c r="G92" s="50"/>
    </row>
    <row r="93" spans="1:7" ht="15.75" customHeight="1">
      <c r="A93" s="42" t="s">
        <v>1</v>
      </c>
      <c r="B93" s="1" t="s">
        <v>145</v>
      </c>
      <c r="C93" s="43">
        <v>714716</v>
      </c>
      <c r="D93" s="1" t="s">
        <v>83</v>
      </c>
      <c r="E93" s="45" t="s">
        <v>173</v>
      </c>
      <c r="F93" s="51"/>
      <c r="G93" s="50"/>
    </row>
    <row r="94" spans="1:7" ht="15.75" customHeight="1">
      <c r="A94" s="42" t="s">
        <v>1</v>
      </c>
      <c r="B94" s="1" t="s">
        <v>145</v>
      </c>
      <c r="C94" s="43">
        <v>438738</v>
      </c>
      <c r="D94" s="1" t="s">
        <v>80</v>
      </c>
      <c r="E94" s="45" t="s">
        <v>174</v>
      </c>
      <c r="F94" s="51"/>
      <c r="G94" s="50"/>
    </row>
    <row r="95" spans="1:7" ht="15.75" customHeight="1">
      <c r="A95" s="42" t="s">
        <v>1</v>
      </c>
      <c r="B95" s="1" t="s">
        <v>145</v>
      </c>
      <c r="C95" s="43">
        <v>2924305</v>
      </c>
      <c r="D95" s="1" t="s">
        <v>101</v>
      </c>
      <c r="E95" s="45" t="s">
        <v>175</v>
      </c>
      <c r="F95" s="51"/>
      <c r="G95" s="50"/>
    </row>
    <row r="96" spans="1:7" ht="15.75" customHeight="1">
      <c r="A96" s="42" t="s">
        <v>1</v>
      </c>
      <c r="B96" s="1" t="s">
        <v>145</v>
      </c>
      <c r="C96" s="43">
        <v>5025653</v>
      </c>
      <c r="D96" s="1" t="s">
        <v>80</v>
      </c>
      <c r="E96" s="45" t="s">
        <v>176</v>
      </c>
      <c r="F96" s="51"/>
      <c r="G96" s="50"/>
    </row>
    <row r="97" spans="1:8" ht="15.75" customHeight="1">
      <c r="A97" s="42" t="s">
        <v>1</v>
      </c>
      <c r="B97" s="1" t="s">
        <v>145</v>
      </c>
      <c r="C97" s="43">
        <v>2837216</v>
      </c>
      <c r="D97" s="1" t="s">
        <v>80</v>
      </c>
      <c r="E97" s="45" t="s">
        <v>177</v>
      </c>
      <c r="F97" s="1"/>
      <c r="G97" s="59"/>
      <c r="H97" s="44"/>
    </row>
    <row r="98" spans="1:8" ht="15.75" customHeight="1">
      <c r="A98" s="42" t="s">
        <v>1</v>
      </c>
      <c r="B98" s="1" t="s">
        <v>145</v>
      </c>
      <c r="C98" s="43">
        <v>2401127</v>
      </c>
      <c r="D98" s="1" t="s">
        <v>80</v>
      </c>
      <c r="E98" s="45" t="s">
        <v>141</v>
      </c>
      <c r="F98" s="1"/>
      <c r="G98" s="59"/>
      <c r="H98" s="44"/>
    </row>
    <row r="99" spans="1:8" ht="15.75" customHeight="1">
      <c r="A99" s="60" t="s">
        <v>2</v>
      </c>
      <c r="B99" s="61" t="s">
        <v>178</v>
      </c>
      <c r="C99" s="62" t="s">
        <v>68</v>
      </c>
      <c r="D99" s="63" t="s">
        <v>62</v>
      </c>
      <c r="E99" s="56" t="s">
        <v>69</v>
      </c>
      <c r="F99" s="64"/>
      <c r="G99" s="48" t="s">
        <v>70</v>
      </c>
      <c r="H99" s="65"/>
    </row>
    <row r="100" spans="1:8" ht="15.75" customHeight="1">
      <c r="A100" s="42" t="s">
        <v>2</v>
      </c>
      <c r="B100" s="1" t="s">
        <v>178</v>
      </c>
      <c r="C100" s="43">
        <v>5025693</v>
      </c>
      <c r="D100" s="44" t="s">
        <v>71</v>
      </c>
      <c r="E100" s="66" t="s">
        <v>72</v>
      </c>
      <c r="G100" s="48" t="s">
        <v>179</v>
      </c>
    </row>
    <row r="101" spans="1:8" ht="15.75" customHeight="1">
      <c r="A101" s="42" t="s">
        <v>2</v>
      </c>
      <c r="B101" s="1" t="s">
        <v>178</v>
      </c>
      <c r="C101" s="43">
        <v>5025692</v>
      </c>
      <c r="D101" s="44" t="s">
        <v>101</v>
      </c>
      <c r="E101" s="66" t="s">
        <v>74</v>
      </c>
      <c r="G101" s="48" t="s">
        <v>75</v>
      </c>
    </row>
    <row r="102" spans="1:8" ht="15.75" customHeight="1">
      <c r="A102" s="42" t="s">
        <v>2</v>
      </c>
      <c r="B102" s="1" t="s">
        <v>178</v>
      </c>
      <c r="C102" s="43">
        <v>2873071</v>
      </c>
      <c r="D102" s="44" t="s">
        <v>71</v>
      </c>
      <c r="E102" s="67" t="s">
        <v>180</v>
      </c>
      <c r="G102" s="48" t="s">
        <v>77</v>
      </c>
    </row>
    <row r="103" spans="1:8" ht="15.75" customHeight="1">
      <c r="A103" s="42" t="s">
        <v>2</v>
      </c>
      <c r="B103" s="1" t="s">
        <v>178</v>
      </c>
      <c r="C103" s="43">
        <v>778412</v>
      </c>
      <c r="D103" s="44" t="s">
        <v>80</v>
      </c>
      <c r="E103" s="66" t="s">
        <v>181</v>
      </c>
      <c r="G103" s="48" t="s">
        <v>73</v>
      </c>
    </row>
    <row r="104" spans="1:8" ht="15.75" customHeight="1">
      <c r="A104" s="42" t="s">
        <v>2</v>
      </c>
      <c r="B104" s="1" t="s">
        <v>178</v>
      </c>
      <c r="C104" s="43">
        <v>5025690</v>
      </c>
      <c r="D104" s="44" t="s">
        <v>83</v>
      </c>
      <c r="E104" s="66" t="s">
        <v>182</v>
      </c>
      <c r="G104" s="48" t="s">
        <v>85</v>
      </c>
    </row>
    <row r="105" spans="1:8" ht="15.75" customHeight="1">
      <c r="A105" s="42" t="s">
        <v>2</v>
      </c>
      <c r="B105" s="1" t="s">
        <v>178</v>
      </c>
      <c r="C105" s="43">
        <v>608982</v>
      </c>
      <c r="D105" s="44" t="s">
        <v>83</v>
      </c>
      <c r="E105" s="66" t="s">
        <v>88</v>
      </c>
      <c r="G105" s="48" t="s">
        <v>149</v>
      </c>
    </row>
    <row r="106" spans="1:8" ht="15.75" customHeight="1">
      <c r="A106" s="42" t="s">
        <v>2</v>
      </c>
      <c r="B106" s="1" t="s">
        <v>178</v>
      </c>
      <c r="C106" s="43">
        <v>5025679</v>
      </c>
      <c r="D106" s="44" t="s">
        <v>90</v>
      </c>
      <c r="E106" s="66" t="s">
        <v>91</v>
      </c>
      <c r="G106" s="48" t="s">
        <v>92</v>
      </c>
    </row>
    <row r="107" spans="1:8" ht="15.75" customHeight="1">
      <c r="A107" s="42" t="s">
        <v>2</v>
      </c>
      <c r="B107" s="1" t="s">
        <v>178</v>
      </c>
      <c r="C107" s="43">
        <v>518295</v>
      </c>
      <c r="D107" s="44" t="s">
        <v>83</v>
      </c>
      <c r="E107" s="67" t="s">
        <v>183</v>
      </c>
      <c r="G107" s="48" t="s">
        <v>184</v>
      </c>
    </row>
    <row r="108" spans="1:8" ht="15.75" customHeight="1">
      <c r="A108" s="42" t="s">
        <v>2</v>
      </c>
      <c r="B108" s="1" t="s">
        <v>178</v>
      </c>
      <c r="C108" s="43">
        <v>778411</v>
      </c>
      <c r="D108" s="44" t="s">
        <v>80</v>
      </c>
      <c r="E108" s="67" t="s">
        <v>94</v>
      </c>
      <c r="G108" s="48" t="s">
        <v>185</v>
      </c>
    </row>
    <row r="109" spans="1:8" ht="15.75" customHeight="1">
      <c r="A109" s="42" t="s">
        <v>2</v>
      </c>
      <c r="B109" s="1" t="s">
        <v>178</v>
      </c>
      <c r="C109" s="43">
        <v>420457</v>
      </c>
      <c r="D109" s="44" t="s">
        <v>83</v>
      </c>
      <c r="E109" s="66" t="s">
        <v>186</v>
      </c>
      <c r="G109" s="50"/>
    </row>
    <row r="110" spans="1:8" ht="15.75" customHeight="1">
      <c r="A110" s="42" t="s">
        <v>2</v>
      </c>
      <c r="B110" s="1" t="s">
        <v>178</v>
      </c>
      <c r="C110" s="43">
        <v>5025647</v>
      </c>
      <c r="D110" s="44" t="s">
        <v>71</v>
      </c>
      <c r="E110" s="66" t="s">
        <v>187</v>
      </c>
      <c r="G110" s="50"/>
    </row>
    <row r="111" spans="1:8" ht="15.75" customHeight="1">
      <c r="A111" s="42" t="s">
        <v>2</v>
      </c>
      <c r="B111" s="1" t="s">
        <v>178</v>
      </c>
      <c r="C111" s="43">
        <v>2880103</v>
      </c>
      <c r="D111" s="44" t="s">
        <v>71</v>
      </c>
      <c r="E111" s="67" t="s">
        <v>188</v>
      </c>
      <c r="G111" s="50"/>
    </row>
    <row r="112" spans="1:8" ht="15.75" customHeight="1">
      <c r="A112" s="42" t="s">
        <v>2</v>
      </c>
      <c r="B112" s="1" t="s">
        <v>178</v>
      </c>
      <c r="C112" s="43">
        <v>5025658</v>
      </c>
      <c r="D112" s="44" t="s">
        <v>71</v>
      </c>
      <c r="E112" s="67" t="s">
        <v>104</v>
      </c>
      <c r="G112" s="50"/>
    </row>
    <row r="113" spans="1:7" ht="15.75" customHeight="1">
      <c r="A113" s="42" t="s">
        <v>2</v>
      </c>
      <c r="B113" s="1" t="s">
        <v>178</v>
      </c>
      <c r="C113" s="43">
        <v>732317</v>
      </c>
      <c r="D113" s="44" t="s">
        <v>71</v>
      </c>
      <c r="E113" s="66" t="s">
        <v>189</v>
      </c>
      <c r="G113" s="50"/>
    </row>
    <row r="114" spans="1:7" ht="15.75" customHeight="1">
      <c r="A114" s="42" t="s">
        <v>2</v>
      </c>
      <c r="B114" s="1" t="s">
        <v>178</v>
      </c>
      <c r="C114" s="43">
        <v>421140</v>
      </c>
      <c r="D114" s="44" t="s">
        <v>83</v>
      </c>
      <c r="E114" s="67" t="s">
        <v>190</v>
      </c>
      <c r="G114" s="50"/>
    </row>
    <row r="115" spans="1:7" ht="15.75" customHeight="1">
      <c r="A115" s="42" t="s">
        <v>2</v>
      </c>
      <c r="B115" s="1" t="s">
        <v>178</v>
      </c>
      <c r="C115" s="43">
        <v>2899806</v>
      </c>
      <c r="D115" s="44" t="s">
        <v>90</v>
      </c>
      <c r="E115" s="67" t="s">
        <v>191</v>
      </c>
      <c r="G115" s="50"/>
    </row>
    <row r="116" spans="1:7" ht="15.75" customHeight="1">
      <c r="A116" s="42" t="s">
        <v>2</v>
      </c>
      <c r="B116" s="1" t="s">
        <v>178</v>
      </c>
      <c r="C116" s="43">
        <v>2924306</v>
      </c>
      <c r="D116" s="44" t="s">
        <v>80</v>
      </c>
      <c r="E116" s="66" t="s">
        <v>192</v>
      </c>
      <c r="G116" s="50"/>
    </row>
    <row r="117" spans="1:7" ht="15.75" customHeight="1">
      <c r="A117" s="42" t="s">
        <v>2</v>
      </c>
      <c r="B117" s="1" t="s">
        <v>178</v>
      </c>
      <c r="C117" s="43">
        <v>2926133</v>
      </c>
      <c r="D117" s="44" t="s">
        <v>80</v>
      </c>
      <c r="E117" s="66" t="s">
        <v>107</v>
      </c>
      <c r="G117" s="50"/>
    </row>
    <row r="118" spans="1:7" ht="15.75" customHeight="1">
      <c r="A118" s="42" t="s">
        <v>2</v>
      </c>
      <c r="B118" s="1" t="s">
        <v>178</v>
      </c>
      <c r="C118" s="43">
        <v>5025680</v>
      </c>
      <c r="D118" s="44" t="s">
        <v>71</v>
      </c>
      <c r="E118" s="67" t="s">
        <v>109</v>
      </c>
      <c r="G118" s="50"/>
    </row>
    <row r="119" spans="1:7" ht="15.75" customHeight="1">
      <c r="A119" s="42" t="s">
        <v>2</v>
      </c>
      <c r="B119" s="1" t="s">
        <v>178</v>
      </c>
      <c r="C119" s="43">
        <v>5025691</v>
      </c>
      <c r="D119" s="44" t="s">
        <v>101</v>
      </c>
      <c r="E119" s="67" t="s">
        <v>193</v>
      </c>
      <c r="G119" s="50"/>
    </row>
    <row r="120" spans="1:7" ht="15.75" customHeight="1">
      <c r="A120" s="42" t="s">
        <v>2</v>
      </c>
      <c r="B120" s="1" t="s">
        <v>178</v>
      </c>
      <c r="C120" s="43">
        <v>587153</v>
      </c>
      <c r="D120" s="44" t="s">
        <v>71</v>
      </c>
      <c r="E120" s="67" t="s">
        <v>194</v>
      </c>
      <c r="G120" s="50"/>
    </row>
    <row r="121" spans="1:7" ht="15.75" customHeight="1">
      <c r="A121" s="42" t="s">
        <v>2</v>
      </c>
      <c r="B121" s="1" t="s">
        <v>178</v>
      </c>
      <c r="C121" s="43">
        <v>2996869</v>
      </c>
      <c r="D121" s="44" t="s">
        <v>80</v>
      </c>
      <c r="E121" s="66" t="s">
        <v>112</v>
      </c>
      <c r="G121" s="50"/>
    </row>
    <row r="122" spans="1:7" ht="15.75" customHeight="1">
      <c r="A122" s="42" t="s">
        <v>2</v>
      </c>
      <c r="B122" s="1" t="s">
        <v>178</v>
      </c>
      <c r="C122" s="43">
        <v>3001506</v>
      </c>
      <c r="D122" s="44" t="s">
        <v>71</v>
      </c>
      <c r="E122" s="67" t="s">
        <v>195</v>
      </c>
      <c r="G122" s="50"/>
    </row>
    <row r="123" spans="1:7" ht="15.75" customHeight="1">
      <c r="A123" s="42" t="s">
        <v>2</v>
      </c>
      <c r="B123" s="1" t="s">
        <v>178</v>
      </c>
      <c r="C123" s="43">
        <v>491893</v>
      </c>
      <c r="D123" s="44" t="s">
        <v>71</v>
      </c>
      <c r="E123" s="66" t="s">
        <v>196</v>
      </c>
      <c r="G123" s="50"/>
    </row>
    <row r="124" spans="1:7" ht="15.75" customHeight="1">
      <c r="A124" s="42" t="s">
        <v>2</v>
      </c>
      <c r="B124" s="1" t="s">
        <v>178</v>
      </c>
      <c r="C124" s="43">
        <v>748686</v>
      </c>
      <c r="D124" s="44" t="s">
        <v>90</v>
      </c>
      <c r="E124" s="66" t="s">
        <v>166</v>
      </c>
      <c r="G124" s="50"/>
    </row>
    <row r="125" spans="1:7" ht="15.75" customHeight="1">
      <c r="A125" s="42" t="s">
        <v>2</v>
      </c>
      <c r="B125" s="1" t="s">
        <v>178</v>
      </c>
      <c r="C125" s="43">
        <v>5025686</v>
      </c>
      <c r="D125" s="44" t="s">
        <v>71</v>
      </c>
      <c r="E125" s="66" t="s">
        <v>124</v>
      </c>
      <c r="G125" s="50"/>
    </row>
    <row r="126" spans="1:7" ht="15.75" customHeight="1">
      <c r="A126" s="42" t="s">
        <v>2</v>
      </c>
      <c r="B126" s="1" t="s">
        <v>178</v>
      </c>
      <c r="C126" s="43">
        <v>748685</v>
      </c>
      <c r="D126" s="44" t="s">
        <v>90</v>
      </c>
      <c r="E126" s="67" t="s">
        <v>197</v>
      </c>
      <c r="G126" s="50"/>
    </row>
    <row r="127" spans="1:7" ht="15.75" customHeight="1">
      <c r="A127" s="42" t="s">
        <v>2</v>
      </c>
      <c r="B127" s="1" t="s">
        <v>178</v>
      </c>
      <c r="C127" s="43">
        <v>5025665</v>
      </c>
      <c r="D127" s="44" t="s">
        <v>80</v>
      </c>
      <c r="E127" s="66" t="s">
        <v>198</v>
      </c>
      <c r="G127" s="50"/>
    </row>
    <row r="128" spans="1:7" ht="15.75" customHeight="1">
      <c r="A128" s="42" t="s">
        <v>2</v>
      </c>
      <c r="B128" s="1" t="s">
        <v>178</v>
      </c>
      <c r="C128" s="43">
        <v>608978</v>
      </c>
      <c r="D128" s="44" t="s">
        <v>80</v>
      </c>
      <c r="E128" s="66" t="s">
        <v>199</v>
      </c>
      <c r="G128" s="50"/>
    </row>
    <row r="129" spans="1:8" ht="15.75" customHeight="1">
      <c r="A129" s="42" t="s">
        <v>2</v>
      </c>
      <c r="B129" s="1" t="s">
        <v>178</v>
      </c>
      <c r="C129" s="43">
        <v>708556</v>
      </c>
      <c r="D129" s="44" t="s">
        <v>71</v>
      </c>
      <c r="E129" s="66" t="s">
        <v>200</v>
      </c>
      <c r="G129" s="50"/>
    </row>
    <row r="130" spans="1:8" ht="15.75" customHeight="1">
      <c r="A130" s="42" t="s">
        <v>2</v>
      </c>
      <c r="B130" s="1" t="s">
        <v>178</v>
      </c>
      <c r="C130" s="43">
        <v>795022</v>
      </c>
      <c r="D130" s="44" t="s">
        <v>71</v>
      </c>
      <c r="E130" s="66" t="s">
        <v>130</v>
      </c>
      <c r="G130" s="50"/>
    </row>
    <row r="131" spans="1:8" ht="15.75" customHeight="1">
      <c r="A131" s="42" t="s">
        <v>2</v>
      </c>
      <c r="B131" s="1" t="s">
        <v>178</v>
      </c>
      <c r="C131" s="43">
        <v>714717</v>
      </c>
      <c r="D131" s="44" t="s">
        <v>90</v>
      </c>
      <c r="E131" s="67" t="s">
        <v>131</v>
      </c>
      <c r="G131" s="50"/>
    </row>
    <row r="132" spans="1:8" ht="15.75" customHeight="1">
      <c r="A132" s="42" t="s">
        <v>2</v>
      </c>
      <c r="B132" s="1" t="s">
        <v>178</v>
      </c>
      <c r="C132" s="43">
        <v>2874199</v>
      </c>
      <c r="D132" s="44" t="s">
        <v>80</v>
      </c>
      <c r="E132" s="66" t="s">
        <v>137</v>
      </c>
      <c r="G132" s="50"/>
    </row>
    <row r="133" spans="1:8" ht="15.75" customHeight="1">
      <c r="A133" s="42" t="s">
        <v>2</v>
      </c>
      <c r="B133" s="1" t="s">
        <v>178</v>
      </c>
      <c r="C133" s="43">
        <v>2841604</v>
      </c>
      <c r="D133" s="44" t="s">
        <v>90</v>
      </c>
      <c r="E133" s="66" t="s">
        <v>201</v>
      </c>
      <c r="G133" s="50"/>
    </row>
    <row r="134" spans="1:8" ht="15.75" customHeight="1">
      <c r="A134" s="42" t="s">
        <v>2</v>
      </c>
      <c r="B134" s="1" t="s">
        <v>178</v>
      </c>
      <c r="C134" s="43">
        <v>2924305</v>
      </c>
      <c r="D134" s="44" t="s">
        <v>101</v>
      </c>
      <c r="E134" s="66" t="s">
        <v>175</v>
      </c>
      <c r="G134" s="50"/>
    </row>
    <row r="135" spans="1:8" ht="15.75" customHeight="1">
      <c r="A135" s="42" t="s">
        <v>2</v>
      </c>
      <c r="B135" s="1" t="s">
        <v>178</v>
      </c>
      <c r="C135" s="43">
        <v>608964</v>
      </c>
      <c r="D135" s="44" t="s">
        <v>80</v>
      </c>
      <c r="E135" s="66" t="s">
        <v>202</v>
      </c>
      <c r="G135" s="50"/>
    </row>
    <row r="136" spans="1:8" ht="15.75" customHeight="1">
      <c r="A136" s="42" t="s">
        <v>2</v>
      </c>
      <c r="B136" s="1" t="s">
        <v>178</v>
      </c>
      <c r="C136" s="43">
        <v>449379</v>
      </c>
      <c r="D136" s="44" t="s">
        <v>83</v>
      </c>
      <c r="E136" s="66" t="s">
        <v>139</v>
      </c>
      <c r="G136" s="50"/>
    </row>
    <row r="137" spans="1:8" ht="15.75" customHeight="1">
      <c r="A137" s="42" t="s">
        <v>2</v>
      </c>
      <c r="B137" s="1" t="s">
        <v>178</v>
      </c>
      <c r="C137" s="43">
        <v>608965</v>
      </c>
      <c r="D137" s="44" t="s">
        <v>83</v>
      </c>
      <c r="E137" s="66" t="s">
        <v>203</v>
      </c>
      <c r="G137" s="50"/>
    </row>
    <row r="138" spans="1:8" ht="15.75" customHeight="1">
      <c r="A138" s="42" t="s">
        <v>2</v>
      </c>
      <c r="B138" s="1" t="s">
        <v>178</v>
      </c>
      <c r="C138" s="43">
        <v>622424</v>
      </c>
      <c r="D138" s="44" t="s">
        <v>83</v>
      </c>
      <c r="E138" s="67" t="s">
        <v>204</v>
      </c>
      <c r="G138" s="50"/>
    </row>
    <row r="139" spans="1:8" ht="15.75" customHeight="1">
      <c r="A139" s="42" t="s">
        <v>2</v>
      </c>
      <c r="B139" s="1" t="s">
        <v>178</v>
      </c>
      <c r="C139" s="43">
        <v>2841035</v>
      </c>
      <c r="D139" s="44" t="s">
        <v>83</v>
      </c>
      <c r="E139" s="66" t="s">
        <v>205</v>
      </c>
      <c r="G139" s="50"/>
    </row>
    <row r="140" spans="1:8" ht="15.75" customHeight="1">
      <c r="A140" s="42" t="s">
        <v>2</v>
      </c>
      <c r="B140" s="1" t="s">
        <v>178</v>
      </c>
      <c r="C140" s="43">
        <v>561602</v>
      </c>
      <c r="D140" s="44" t="s">
        <v>80</v>
      </c>
      <c r="E140" s="66" t="s">
        <v>206</v>
      </c>
      <c r="G140" s="50"/>
    </row>
    <row r="141" spans="1:8" ht="15.75" customHeight="1">
      <c r="A141" s="42" t="s">
        <v>2</v>
      </c>
      <c r="B141" s="1" t="s">
        <v>178</v>
      </c>
      <c r="C141" s="43">
        <v>587154</v>
      </c>
      <c r="D141" s="44" t="s">
        <v>83</v>
      </c>
      <c r="E141" s="66" t="s">
        <v>207</v>
      </c>
      <c r="G141" s="50"/>
    </row>
    <row r="142" spans="1:8" ht="15.75" customHeight="1">
      <c r="A142" s="68" t="s">
        <v>3</v>
      </c>
      <c r="B142" s="69" t="s">
        <v>208</v>
      </c>
      <c r="C142" s="70" t="s">
        <v>68</v>
      </c>
      <c r="D142" s="71" t="s">
        <v>62</v>
      </c>
      <c r="E142" s="56" t="s">
        <v>69</v>
      </c>
      <c r="F142" s="72"/>
      <c r="G142" s="48" t="s">
        <v>70</v>
      </c>
      <c r="H142" s="73"/>
    </row>
    <row r="143" spans="1:8" ht="15.75" customHeight="1">
      <c r="A143" s="42" t="s">
        <v>3</v>
      </c>
      <c r="B143" s="1" t="s">
        <v>208</v>
      </c>
      <c r="C143" s="43">
        <v>2925067</v>
      </c>
      <c r="D143" s="44" t="s">
        <v>83</v>
      </c>
      <c r="E143" s="66" t="s">
        <v>209</v>
      </c>
      <c r="G143" s="48" t="s">
        <v>73</v>
      </c>
    </row>
    <row r="144" spans="1:8" ht="15.75" customHeight="1">
      <c r="A144" s="42" t="s">
        <v>3</v>
      </c>
      <c r="B144" s="1" t="s">
        <v>208</v>
      </c>
      <c r="C144" s="43">
        <v>2924102</v>
      </c>
      <c r="D144" s="44" t="s">
        <v>83</v>
      </c>
      <c r="E144" s="66" t="s">
        <v>210</v>
      </c>
      <c r="G144" s="48" t="s">
        <v>211</v>
      </c>
    </row>
    <row r="145" spans="1:7" ht="15.75" customHeight="1">
      <c r="A145" s="42" t="s">
        <v>3</v>
      </c>
      <c r="B145" s="1" t="s">
        <v>208</v>
      </c>
      <c r="C145" s="43">
        <v>778412</v>
      </c>
      <c r="D145" s="44" t="s">
        <v>80</v>
      </c>
      <c r="E145" s="66" t="s">
        <v>181</v>
      </c>
      <c r="G145" s="48" t="s">
        <v>212</v>
      </c>
    </row>
    <row r="146" spans="1:7" ht="15.75" customHeight="1">
      <c r="A146" s="42" t="s">
        <v>3</v>
      </c>
      <c r="B146" s="1" t="s">
        <v>208</v>
      </c>
      <c r="C146" s="43">
        <v>778411</v>
      </c>
      <c r="D146" s="44" t="s">
        <v>80</v>
      </c>
      <c r="E146" s="66" t="s">
        <v>94</v>
      </c>
      <c r="G146" s="48" t="s">
        <v>85</v>
      </c>
    </row>
    <row r="147" spans="1:7" ht="15.75" customHeight="1">
      <c r="A147" s="42" t="s">
        <v>3</v>
      </c>
      <c r="B147" s="1" t="s">
        <v>208</v>
      </c>
      <c r="C147" s="43">
        <v>587150</v>
      </c>
      <c r="D147" s="44" t="s">
        <v>83</v>
      </c>
      <c r="E147" s="66" t="s">
        <v>213</v>
      </c>
      <c r="G147" s="48" t="s">
        <v>214</v>
      </c>
    </row>
    <row r="148" spans="1:7" ht="15.75" customHeight="1">
      <c r="A148" s="42" t="s">
        <v>3</v>
      </c>
      <c r="B148" s="1" t="s">
        <v>208</v>
      </c>
      <c r="C148" s="43">
        <v>2841605</v>
      </c>
      <c r="D148" s="44" t="s">
        <v>101</v>
      </c>
      <c r="E148" s="66" t="s">
        <v>215</v>
      </c>
      <c r="G148" s="48" t="s">
        <v>87</v>
      </c>
    </row>
    <row r="149" spans="1:7" ht="15.75" customHeight="1">
      <c r="A149" s="42" t="s">
        <v>3</v>
      </c>
      <c r="B149" s="1" t="s">
        <v>208</v>
      </c>
      <c r="C149" s="43">
        <v>555153</v>
      </c>
      <c r="D149" s="44" t="s">
        <v>80</v>
      </c>
      <c r="E149" s="66" t="s">
        <v>216</v>
      </c>
      <c r="G149" s="48" t="s">
        <v>92</v>
      </c>
    </row>
    <row r="150" spans="1:7" ht="15.75" customHeight="1">
      <c r="A150" s="42" t="s">
        <v>3</v>
      </c>
      <c r="B150" s="1" t="s">
        <v>208</v>
      </c>
      <c r="C150" s="43">
        <v>646303</v>
      </c>
      <c r="D150" s="44" t="s">
        <v>80</v>
      </c>
      <c r="E150" s="67" t="s">
        <v>217</v>
      </c>
      <c r="G150" s="48" t="s">
        <v>218</v>
      </c>
    </row>
    <row r="151" spans="1:7" ht="15.75" customHeight="1">
      <c r="A151" s="42" t="s">
        <v>3</v>
      </c>
      <c r="B151" s="1" t="s">
        <v>208</v>
      </c>
      <c r="C151" s="43">
        <v>2924306</v>
      </c>
      <c r="D151" s="44" t="s">
        <v>80</v>
      </c>
      <c r="E151" s="66" t="s">
        <v>192</v>
      </c>
      <c r="G151" s="48" t="s">
        <v>185</v>
      </c>
    </row>
    <row r="152" spans="1:7" ht="15.75" customHeight="1">
      <c r="A152" s="42" t="s">
        <v>3</v>
      </c>
      <c r="B152" s="1" t="s">
        <v>208</v>
      </c>
      <c r="C152" s="43">
        <v>2926133</v>
      </c>
      <c r="D152" s="44" t="s">
        <v>80</v>
      </c>
      <c r="E152" s="66" t="s">
        <v>107</v>
      </c>
    </row>
    <row r="153" spans="1:7" ht="15.75" customHeight="1">
      <c r="A153" s="42" t="s">
        <v>3</v>
      </c>
      <c r="B153" s="1" t="s">
        <v>208</v>
      </c>
      <c r="C153" s="43">
        <v>2996869</v>
      </c>
      <c r="D153" s="44" t="s">
        <v>80</v>
      </c>
      <c r="E153" s="66" t="s">
        <v>112</v>
      </c>
      <c r="G153" s="50"/>
    </row>
    <row r="154" spans="1:7" ht="15.75" customHeight="1">
      <c r="A154" s="42" t="s">
        <v>3</v>
      </c>
      <c r="B154" s="1" t="s">
        <v>208</v>
      </c>
      <c r="C154" s="43">
        <v>2929353</v>
      </c>
      <c r="D154" s="44" t="s">
        <v>80</v>
      </c>
      <c r="E154" s="66" t="s">
        <v>219</v>
      </c>
      <c r="G154" s="50"/>
    </row>
    <row r="155" spans="1:7" ht="15.75" customHeight="1">
      <c r="A155" s="42" t="s">
        <v>3</v>
      </c>
      <c r="B155" s="1" t="s">
        <v>208</v>
      </c>
      <c r="C155" s="43">
        <v>609787</v>
      </c>
      <c r="D155" s="44" t="s">
        <v>83</v>
      </c>
      <c r="E155" s="66" t="s">
        <v>220</v>
      </c>
      <c r="G155" s="50"/>
    </row>
    <row r="156" spans="1:7" ht="15.75" customHeight="1">
      <c r="A156" s="42" t="s">
        <v>3</v>
      </c>
      <c r="B156" s="1" t="s">
        <v>208</v>
      </c>
      <c r="C156" s="43">
        <v>561639</v>
      </c>
      <c r="D156" s="44" t="s">
        <v>80</v>
      </c>
      <c r="E156" s="66" t="s">
        <v>221</v>
      </c>
      <c r="G156" s="50"/>
    </row>
    <row r="157" spans="1:7" ht="15.75" customHeight="1">
      <c r="A157" s="42" t="s">
        <v>3</v>
      </c>
      <c r="B157" s="1" t="s">
        <v>208</v>
      </c>
      <c r="C157" s="43">
        <v>544236</v>
      </c>
      <c r="D157" s="44" t="s">
        <v>80</v>
      </c>
      <c r="E157" s="66" t="s">
        <v>222</v>
      </c>
      <c r="G157" s="50"/>
    </row>
    <row r="158" spans="1:7" ht="15.75" customHeight="1">
      <c r="A158" s="42" t="s">
        <v>3</v>
      </c>
      <c r="B158" s="1" t="s">
        <v>208</v>
      </c>
      <c r="C158" s="43">
        <v>2838143</v>
      </c>
      <c r="D158" s="44" t="s">
        <v>71</v>
      </c>
      <c r="E158" s="66" t="s">
        <v>119</v>
      </c>
      <c r="G158" s="50"/>
    </row>
    <row r="159" spans="1:7" ht="15.75" customHeight="1">
      <c r="A159" s="42" t="s">
        <v>3</v>
      </c>
      <c r="B159" s="1" t="s">
        <v>208</v>
      </c>
      <c r="C159" s="43">
        <v>2838142</v>
      </c>
      <c r="D159" s="44" t="s">
        <v>90</v>
      </c>
      <c r="E159" s="66" t="s">
        <v>120</v>
      </c>
      <c r="G159" s="50"/>
    </row>
    <row r="160" spans="1:7" ht="15.75" customHeight="1">
      <c r="A160" s="42" t="s">
        <v>3</v>
      </c>
      <c r="B160" s="1" t="s">
        <v>208</v>
      </c>
      <c r="C160" s="43">
        <v>703862</v>
      </c>
      <c r="D160" s="44" t="s">
        <v>83</v>
      </c>
      <c r="E160" s="66" t="s">
        <v>223</v>
      </c>
      <c r="G160" s="50"/>
    </row>
    <row r="161" spans="1:7" ht="15.75" customHeight="1">
      <c r="A161" s="42" t="s">
        <v>3</v>
      </c>
      <c r="B161" s="1" t="s">
        <v>208</v>
      </c>
      <c r="C161" s="43">
        <v>587152</v>
      </c>
      <c r="D161" s="44" t="s">
        <v>80</v>
      </c>
      <c r="E161" s="66" t="s">
        <v>224</v>
      </c>
      <c r="G161" s="50"/>
    </row>
    <row r="162" spans="1:7" ht="15.75" customHeight="1">
      <c r="A162" s="42" t="s">
        <v>3</v>
      </c>
      <c r="B162" s="1" t="s">
        <v>208</v>
      </c>
      <c r="C162" s="43">
        <v>561118</v>
      </c>
      <c r="D162" s="44" t="s">
        <v>80</v>
      </c>
      <c r="E162" s="66" t="s">
        <v>225</v>
      </c>
      <c r="G162" s="50"/>
    </row>
    <row r="163" spans="1:7" ht="15.75" customHeight="1">
      <c r="A163" s="42" t="s">
        <v>3</v>
      </c>
      <c r="B163" s="1" t="s">
        <v>208</v>
      </c>
      <c r="C163" s="43">
        <v>5024266</v>
      </c>
      <c r="D163" s="44" t="s">
        <v>71</v>
      </c>
      <c r="E163" s="66" t="s">
        <v>226</v>
      </c>
      <c r="G163" s="50"/>
    </row>
    <row r="164" spans="1:7" ht="15.75" customHeight="1">
      <c r="A164" s="42" t="s">
        <v>3</v>
      </c>
      <c r="B164" s="1" t="s">
        <v>208</v>
      </c>
      <c r="C164" s="43">
        <v>756689</v>
      </c>
      <c r="D164" s="44" t="s">
        <v>83</v>
      </c>
      <c r="E164" s="66" t="s">
        <v>136</v>
      </c>
      <c r="G164" s="50"/>
    </row>
    <row r="165" spans="1:7" ht="15.75" customHeight="1">
      <c r="A165" s="42" t="s">
        <v>3</v>
      </c>
      <c r="B165" s="1" t="s">
        <v>208</v>
      </c>
      <c r="C165" s="43">
        <v>652639</v>
      </c>
      <c r="D165" s="44" t="s">
        <v>83</v>
      </c>
      <c r="E165" s="66" t="s">
        <v>227</v>
      </c>
      <c r="G165" s="50"/>
    </row>
    <row r="166" spans="1:7" ht="15.75" customHeight="1">
      <c r="A166" s="42" t="s">
        <v>3</v>
      </c>
      <c r="B166" s="1" t="s">
        <v>208</v>
      </c>
      <c r="C166" s="43">
        <v>2874199</v>
      </c>
      <c r="D166" s="44" t="s">
        <v>80</v>
      </c>
      <c r="E166" s="66" t="s">
        <v>137</v>
      </c>
      <c r="G166" s="50"/>
    </row>
    <row r="167" spans="1:7" ht="15.75" customHeight="1">
      <c r="A167" s="42" t="s">
        <v>3</v>
      </c>
      <c r="B167" s="1" t="s">
        <v>208</v>
      </c>
      <c r="C167" s="43">
        <v>514006</v>
      </c>
      <c r="D167" s="44" t="s">
        <v>80</v>
      </c>
      <c r="E167" s="66" t="s">
        <v>228</v>
      </c>
      <c r="G167" s="50"/>
    </row>
    <row r="168" spans="1:7" ht="15.75" customHeight="1">
      <c r="A168" s="42" t="s">
        <v>3</v>
      </c>
      <c r="B168" s="1" t="s">
        <v>208</v>
      </c>
      <c r="C168" s="43">
        <v>2841604</v>
      </c>
      <c r="D168" s="44" t="s">
        <v>90</v>
      </c>
      <c r="E168" s="66" t="s">
        <v>201</v>
      </c>
      <c r="G168" s="50"/>
    </row>
    <row r="169" spans="1:7" ht="15.75" customHeight="1">
      <c r="A169" s="42" t="s">
        <v>3</v>
      </c>
      <c r="B169" s="1" t="s">
        <v>208</v>
      </c>
      <c r="C169" s="43">
        <v>2924305</v>
      </c>
      <c r="D169" s="44" t="s">
        <v>101</v>
      </c>
      <c r="E169" s="66" t="s">
        <v>175</v>
      </c>
      <c r="G169" s="50"/>
    </row>
    <row r="170" spans="1:7" ht="15.75" customHeight="1">
      <c r="A170" s="42" t="s">
        <v>3</v>
      </c>
      <c r="B170" s="1" t="s">
        <v>208</v>
      </c>
      <c r="C170" s="43">
        <v>608964</v>
      </c>
      <c r="D170" s="44" t="s">
        <v>80</v>
      </c>
      <c r="E170" s="66" t="s">
        <v>202</v>
      </c>
      <c r="G170" s="50"/>
    </row>
    <row r="171" spans="1:7" ht="15.75" customHeight="1">
      <c r="A171" s="42" t="s">
        <v>3</v>
      </c>
      <c r="B171" s="1" t="s">
        <v>208</v>
      </c>
      <c r="C171" s="43">
        <v>5025694</v>
      </c>
      <c r="D171" s="44" t="s">
        <v>101</v>
      </c>
      <c r="E171" s="66" t="s">
        <v>229</v>
      </c>
      <c r="G171" s="50"/>
    </row>
    <row r="172" spans="1:7" ht="15.75" customHeight="1">
      <c r="A172" s="42" t="s">
        <v>3</v>
      </c>
      <c r="B172" s="1" t="s">
        <v>208</v>
      </c>
      <c r="C172" s="43">
        <v>449379</v>
      </c>
      <c r="D172" s="44" t="s">
        <v>83</v>
      </c>
      <c r="E172" s="66" t="s">
        <v>139</v>
      </c>
      <c r="G172" s="50"/>
    </row>
    <row r="173" spans="1:7" ht="15.75" customHeight="1">
      <c r="A173" s="42" t="s">
        <v>3</v>
      </c>
      <c r="B173" s="1" t="s">
        <v>208</v>
      </c>
      <c r="C173" s="43">
        <v>2929355</v>
      </c>
      <c r="D173" s="44" t="s">
        <v>71</v>
      </c>
      <c r="E173" s="66" t="s">
        <v>230</v>
      </c>
      <c r="G173" s="50"/>
    </row>
    <row r="174" spans="1:7" ht="15.75" customHeight="1">
      <c r="A174" s="42" t="s">
        <v>3</v>
      </c>
      <c r="B174" s="1" t="s">
        <v>208</v>
      </c>
      <c r="C174" s="43">
        <v>464905</v>
      </c>
      <c r="D174" s="44" t="s">
        <v>80</v>
      </c>
      <c r="E174" s="66" t="s">
        <v>231</v>
      </c>
      <c r="G174" s="50"/>
    </row>
    <row r="175" spans="1:7" ht="15.75" customHeight="1">
      <c r="A175" s="42" t="s">
        <v>3</v>
      </c>
      <c r="B175" s="1" t="s">
        <v>208</v>
      </c>
      <c r="C175" s="43">
        <v>2841035</v>
      </c>
      <c r="D175" s="44" t="s">
        <v>83</v>
      </c>
      <c r="E175" s="66" t="s">
        <v>205</v>
      </c>
      <c r="G175" s="50"/>
    </row>
    <row r="176" spans="1:7" ht="15.75" customHeight="1">
      <c r="A176" s="42" t="s">
        <v>3</v>
      </c>
      <c r="B176" s="1" t="s">
        <v>208</v>
      </c>
      <c r="C176" s="43">
        <v>561602</v>
      </c>
      <c r="D176" s="44" t="s">
        <v>80</v>
      </c>
      <c r="E176" s="66" t="s">
        <v>206</v>
      </c>
      <c r="G176" s="50"/>
    </row>
    <row r="177" spans="1:8" ht="15.75" customHeight="1">
      <c r="A177" s="74" t="s">
        <v>4</v>
      </c>
      <c r="B177" s="74" t="s">
        <v>232</v>
      </c>
      <c r="C177" s="75" t="s">
        <v>68</v>
      </c>
      <c r="D177" s="76" t="s">
        <v>62</v>
      </c>
      <c r="E177" s="56" t="s">
        <v>69</v>
      </c>
      <c r="F177" s="77"/>
      <c r="G177" s="48" t="s">
        <v>70</v>
      </c>
      <c r="H177" s="78"/>
    </row>
    <row r="178" spans="1:8" ht="15.75" customHeight="1">
      <c r="A178" s="42" t="s">
        <v>4</v>
      </c>
      <c r="B178" s="1" t="s">
        <v>232</v>
      </c>
      <c r="C178" s="43">
        <v>5025692</v>
      </c>
      <c r="D178" s="44" t="s">
        <v>101</v>
      </c>
      <c r="E178" s="66" t="s">
        <v>74</v>
      </c>
      <c r="G178" s="48" t="s">
        <v>233</v>
      </c>
    </row>
    <row r="179" spans="1:8" ht="15.75" customHeight="1">
      <c r="A179" s="42" t="s">
        <v>4</v>
      </c>
      <c r="B179" s="1" t="s">
        <v>232</v>
      </c>
      <c r="C179" s="43">
        <v>424855</v>
      </c>
      <c r="D179" s="44" t="s">
        <v>80</v>
      </c>
      <c r="E179" s="66" t="s">
        <v>234</v>
      </c>
      <c r="G179" s="48" t="s">
        <v>235</v>
      </c>
    </row>
    <row r="180" spans="1:8" ht="15.75" customHeight="1">
      <c r="A180" s="42" t="s">
        <v>4</v>
      </c>
      <c r="B180" s="1" t="s">
        <v>232</v>
      </c>
      <c r="C180" s="43">
        <v>496129</v>
      </c>
      <c r="D180" s="44" t="s">
        <v>80</v>
      </c>
      <c r="E180" s="66" t="s">
        <v>236</v>
      </c>
      <c r="G180" s="48" t="s">
        <v>211</v>
      </c>
    </row>
    <row r="181" spans="1:8" ht="15.75" customHeight="1">
      <c r="A181" s="42" t="s">
        <v>4</v>
      </c>
      <c r="B181" s="1" t="s">
        <v>232</v>
      </c>
      <c r="C181" s="43">
        <v>5025690</v>
      </c>
      <c r="D181" s="44" t="s">
        <v>83</v>
      </c>
      <c r="E181" s="66" t="s">
        <v>182</v>
      </c>
      <c r="G181" s="48" t="s">
        <v>212</v>
      </c>
    </row>
    <row r="182" spans="1:8" ht="15.75" customHeight="1">
      <c r="A182" s="42" t="s">
        <v>4</v>
      </c>
      <c r="B182" s="1" t="s">
        <v>232</v>
      </c>
      <c r="C182" s="43">
        <v>432503</v>
      </c>
      <c r="D182" s="44" t="s">
        <v>80</v>
      </c>
      <c r="E182" s="66" t="s">
        <v>237</v>
      </c>
      <c r="G182" s="48" t="s">
        <v>214</v>
      </c>
    </row>
    <row r="183" spans="1:8" ht="15.75" customHeight="1">
      <c r="A183" s="42" t="s">
        <v>4</v>
      </c>
      <c r="B183" s="1" t="s">
        <v>232</v>
      </c>
      <c r="C183" s="43">
        <v>425104</v>
      </c>
      <c r="D183" s="44" t="s">
        <v>80</v>
      </c>
      <c r="E183" s="66" t="s">
        <v>238</v>
      </c>
      <c r="G183" s="48" t="s">
        <v>239</v>
      </c>
    </row>
    <row r="184" spans="1:8" ht="15.75" customHeight="1">
      <c r="A184" s="42" t="s">
        <v>4</v>
      </c>
      <c r="B184" s="1" t="s">
        <v>232</v>
      </c>
      <c r="C184" s="43">
        <v>561656</v>
      </c>
      <c r="D184" s="44" t="s">
        <v>80</v>
      </c>
      <c r="E184" s="66" t="s">
        <v>240</v>
      </c>
      <c r="G184" s="48" t="s">
        <v>87</v>
      </c>
    </row>
    <row r="185" spans="1:8" ht="15.75" customHeight="1">
      <c r="A185" s="42" t="s">
        <v>4</v>
      </c>
      <c r="B185" s="1" t="s">
        <v>232</v>
      </c>
      <c r="C185" s="43">
        <v>555153</v>
      </c>
      <c r="D185" s="44" t="s">
        <v>80</v>
      </c>
      <c r="E185" s="66" t="s">
        <v>216</v>
      </c>
      <c r="G185" s="48" t="s">
        <v>241</v>
      </c>
    </row>
    <row r="186" spans="1:8" ht="15.75" customHeight="1">
      <c r="A186" s="42" t="s">
        <v>4</v>
      </c>
      <c r="B186" s="1" t="s">
        <v>232</v>
      </c>
      <c r="C186" s="43">
        <v>2926133</v>
      </c>
      <c r="D186" s="44" t="s">
        <v>80</v>
      </c>
      <c r="E186" s="66" t="s">
        <v>107</v>
      </c>
      <c r="G186" s="48" t="s">
        <v>242</v>
      </c>
    </row>
    <row r="187" spans="1:8" ht="15.75" customHeight="1">
      <c r="A187" s="42" t="s">
        <v>4</v>
      </c>
      <c r="B187" s="1" t="s">
        <v>232</v>
      </c>
      <c r="C187" s="43">
        <v>2926134</v>
      </c>
      <c r="D187" s="44" t="s">
        <v>101</v>
      </c>
      <c r="E187" s="66" t="s">
        <v>108</v>
      </c>
      <c r="G187" s="48" t="s">
        <v>243</v>
      </c>
    </row>
    <row r="188" spans="1:8" ht="15.75" customHeight="1">
      <c r="A188" s="42" t="s">
        <v>4</v>
      </c>
      <c r="B188" s="1" t="s">
        <v>232</v>
      </c>
      <c r="C188" s="43">
        <v>5025680</v>
      </c>
      <c r="D188" s="44" t="s">
        <v>71</v>
      </c>
      <c r="E188" s="67" t="s">
        <v>109</v>
      </c>
    </row>
    <row r="189" spans="1:8" ht="15.75" customHeight="1">
      <c r="A189" s="42" t="s">
        <v>4</v>
      </c>
      <c r="B189" s="1" t="s">
        <v>232</v>
      </c>
      <c r="C189" s="43">
        <v>2929356</v>
      </c>
      <c r="D189" s="44" t="s">
        <v>80</v>
      </c>
      <c r="E189" s="66" t="s">
        <v>244</v>
      </c>
    </row>
    <row r="190" spans="1:8" ht="15.75" customHeight="1">
      <c r="A190" s="42" t="s">
        <v>4</v>
      </c>
      <c r="B190" s="1" t="s">
        <v>232</v>
      </c>
      <c r="C190" s="43">
        <v>2929357</v>
      </c>
      <c r="D190" s="44" t="s">
        <v>71</v>
      </c>
      <c r="E190" s="66" t="s">
        <v>245</v>
      </c>
    </row>
    <row r="191" spans="1:8" ht="15.75" customHeight="1">
      <c r="A191" s="42" t="s">
        <v>4</v>
      </c>
      <c r="B191" s="1" t="s">
        <v>232</v>
      </c>
      <c r="C191" s="43">
        <v>561568</v>
      </c>
      <c r="D191" s="44" t="s">
        <v>71</v>
      </c>
      <c r="E191" s="66" t="s">
        <v>246</v>
      </c>
      <c r="G191" s="50"/>
    </row>
    <row r="192" spans="1:8" ht="15.75" customHeight="1">
      <c r="A192" s="42" t="s">
        <v>4</v>
      </c>
      <c r="B192" s="1" t="s">
        <v>232</v>
      </c>
      <c r="C192" s="43">
        <v>774932</v>
      </c>
      <c r="D192" s="44" t="s">
        <v>90</v>
      </c>
      <c r="E192" s="66" t="s">
        <v>247</v>
      </c>
      <c r="G192" s="50"/>
    </row>
    <row r="193" spans="1:7" ht="15.75" customHeight="1">
      <c r="A193" s="42" t="s">
        <v>4</v>
      </c>
      <c r="B193" s="1" t="s">
        <v>232</v>
      </c>
      <c r="C193" s="43">
        <v>2929353</v>
      </c>
      <c r="D193" s="44" t="s">
        <v>80</v>
      </c>
      <c r="E193" s="66" t="s">
        <v>219</v>
      </c>
      <c r="G193" s="50"/>
    </row>
    <row r="194" spans="1:7" ht="15.75" customHeight="1">
      <c r="A194" s="42" t="s">
        <v>4</v>
      </c>
      <c r="B194" s="1" t="s">
        <v>232</v>
      </c>
      <c r="C194" s="43">
        <v>609787</v>
      </c>
      <c r="D194" s="44" t="s">
        <v>83</v>
      </c>
      <c r="E194" s="66" t="s">
        <v>220</v>
      </c>
      <c r="G194" s="50"/>
    </row>
    <row r="195" spans="1:7" ht="15.75" customHeight="1">
      <c r="A195" s="42" t="s">
        <v>4</v>
      </c>
      <c r="B195" s="1" t="s">
        <v>232</v>
      </c>
      <c r="C195" s="43">
        <v>714719</v>
      </c>
      <c r="D195" s="44" t="s">
        <v>80</v>
      </c>
      <c r="E195" s="66" t="s">
        <v>165</v>
      </c>
      <c r="G195" s="50"/>
    </row>
    <row r="196" spans="1:7" ht="15.75" customHeight="1">
      <c r="A196" s="42" t="s">
        <v>4</v>
      </c>
      <c r="B196" s="1" t="s">
        <v>232</v>
      </c>
      <c r="C196" s="43">
        <v>561639</v>
      </c>
      <c r="D196" s="44" t="s">
        <v>80</v>
      </c>
      <c r="E196" s="66" t="s">
        <v>221</v>
      </c>
      <c r="G196" s="50"/>
    </row>
    <row r="197" spans="1:7" ht="15.75" customHeight="1">
      <c r="A197" s="42" t="s">
        <v>4</v>
      </c>
      <c r="B197" s="1" t="s">
        <v>232</v>
      </c>
      <c r="C197" s="43">
        <v>544236</v>
      </c>
      <c r="D197" s="44" t="s">
        <v>80</v>
      </c>
      <c r="E197" s="66" t="s">
        <v>222</v>
      </c>
      <c r="G197" s="50"/>
    </row>
    <row r="198" spans="1:7" ht="15.75" customHeight="1">
      <c r="A198" s="42" t="s">
        <v>4</v>
      </c>
      <c r="B198" s="1" t="s">
        <v>232</v>
      </c>
      <c r="C198" s="43">
        <v>559607</v>
      </c>
      <c r="D198" s="44" t="s">
        <v>101</v>
      </c>
      <c r="E198" s="66" t="s">
        <v>248</v>
      </c>
      <c r="G198" s="50"/>
    </row>
    <row r="199" spans="1:7" ht="15.75" customHeight="1">
      <c r="A199" s="42" t="s">
        <v>4</v>
      </c>
      <c r="B199" s="1" t="s">
        <v>232</v>
      </c>
      <c r="C199" s="43">
        <v>593068</v>
      </c>
      <c r="D199" s="44" t="s">
        <v>80</v>
      </c>
      <c r="E199" s="66" t="s">
        <v>249</v>
      </c>
      <c r="G199" s="50"/>
    </row>
    <row r="200" spans="1:7" ht="15.75" customHeight="1">
      <c r="A200" s="42" t="s">
        <v>4</v>
      </c>
      <c r="B200" s="1" t="s">
        <v>232</v>
      </c>
      <c r="C200" s="43">
        <v>5025685</v>
      </c>
      <c r="D200" s="44" t="s">
        <v>83</v>
      </c>
      <c r="E200" s="66" t="s">
        <v>250</v>
      </c>
      <c r="G200" s="50"/>
    </row>
    <row r="201" spans="1:7" ht="15.75" customHeight="1">
      <c r="A201" s="42" t="s">
        <v>4</v>
      </c>
      <c r="B201" s="1" t="s">
        <v>232</v>
      </c>
      <c r="C201" s="43">
        <v>703862</v>
      </c>
      <c r="D201" s="44" t="s">
        <v>83</v>
      </c>
      <c r="E201" s="66" t="s">
        <v>223</v>
      </c>
      <c r="G201" s="50"/>
    </row>
    <row r="202" spans="1:7" ht="15.75" customHeight="1">
      <c r="A202" s="42" t="s">
        <v>4</v>
      </c>
      <c r="B202" s="1" t="s">
        <v>232</v>
      </c>
      <c r="C202" s="43">
        <v>593066</v>
      </c>
      <c r="D202" s="44" t="s">
        <v>83</v>
      </c>
      <c r="E202" s="66" t="s">
        <v>251</v>
      </c>
      <c r="G202" s="50"/>
    </row>
    <row r="203" spans="1:7" ht="15.75" customHeight="1">
      <c r="A203" s="42" t="s">
        <v>4</v>
      </c>
      <c r="B203" s="1" t="s">
        <v>232</v>
      </c>
      <c r="C203" s="43">
        <v>2841606</v>
      </c>
      <c r="D203" s="44" t="s">
        <v>83</v>
      </c>
      <c r="E203" s="66" t="s">
        <v>252</v>
      </c>
      <c r="G203" s="50"/>
    </row>
    <row r="204" spans="1:7" ht="15.75" customHeight="1">
      <c r="A204" s="42" t="s">
        <v>4</v>
      </c>
      <c r="B204" s="1" t="s">
        <v>232</v>
      </c>
      <c r="C204" s="43">
        <v>2375090</v>
      </c>
      <c r="D204" s="44" t="s">
        <v>101</v>
      </c>
      <c r="E204" s="66" t="s">
        <v>253</v>
      </c>
      <c r="G204" s="50"/>
    </row>
    <row r="205" spans="1:7" ht="15.75" customHeight="1">
      <c r="A205" s="42" t="s">
        <v>4</v>
      </c>
      <c r="B205" s="1" t="s">
        <v>232</v>
      </c>
      <c r="C205" s="43">
        <v>514006</v>
      </c>
      <c r="D205" s="44" t="s">
        <v>80</v>
      </c>
      <c r="E205" s="66" t="s">
        <v>228</v>
      </c>
      <c r="G205" s="50"/>
    </row>
    <row r="206" spans="1:7" ht="15.75" customHeight="1">
      <c r="A206" s="42" t="s">
        <v>4</v>
      </c>
      <c r="B206" s="1" t="s">
        <v>232</v>
      </c>
      <c r="C206" s="43">
        <v>5025694</v>
      </c>
      <c r="D206" s="44" t="s">
        <v>101</v>
      </c>
      <c r="E206" s="66" t="s">
        <v>229</v>
      </c>
      <c r="G206" s="50"/>
    </row>
    <row r="207" spans="1:7" ht="15.75" customHeight="1">
      <c r="A207" s="42" t="s">
        <v>4</v>
      </c>
      <c r="B207" s="1" t="s">
        <v>232</v>
      </c>
      <c r="C207" s="43">
        <v>598072</v>
      </c>
      <c r="D207" s="44" t="s">
        <v>83</v>
      </c>
      <c r="E207" s="66" t="s">
        <v>254</v>
      </c>
      <c r="G207" s="50"/>
    </row>
    <row r="208" spans="1:7" ht="15.75" customHeight="1">
      <c r="A208" s="42" t="s">
        <v>4</v>
      </c>
      <c r="B208" s="1" t="s">
        <v>232</v>
      </c>
      <c r="C208" s="43">
        <v>680859</v>
      </c>
      <c r="D208" s="44" t="s">
        <v>83</v>
      </c>
      <c r="E208" s="66" t="s">
        <v>255</v>
      </c>
      <c r="G208" s="50"/>
    </row>
    <row r="209" spans="1:8" ht="15.75" customHeight="1">
      <c r="A209" s="42" t="s">
        <v>4</v>
      </c>
      <c r="B209" s="1" t="s">
        <v>232</v>
      </c>
      <c r="C209" s="43">
        <v>2988448</v>
      </c>
      <c r="D209" s="44" t="s">
        <v>71</v>
      </c>
      <c r="E209" s="66" t="s">
        <v>256</v>
      </c>
      <c r="F209" s="51" t="s">
        <v>257</v>
      </c>
      <c r="G209" s="50"/>
    </row>
    <row r="210" spans="1:8" ht="15.75" customHeight="1">
      <c r="A210" s="42" t="s">
        <v>4</v>
      </c>
      <c r="B210" s="1" t="s">
        <v>232</v>
      </c>
      <c r="C210" s="43">
        <v>428124</v>
      </c>
      <c r="D210" s="44" t="s">
        <v>80</v>
      </c>
      <c r="E210" s="66" t="s">
        <v>142</v>
      </c>
      <c r="F210" s="51"/>
      <c r="G210" s="50"/>
    </row>
    <row r="211" spans="1:8" ht="15.75" customHeight="1">
      <c r="A211" s="42" t="s">
        <v>4</v>
      </c>
      <c r="B211" s="1" t="s">
        <v>232</v>
      </c>
      <c r="C211" s="43">
        <v>2432007</v>
      </c>
      <c r="D211" s="44" t="s">
        <v>80</v>
      </c>
      <c r="E211" s="67" t="s">
        <v>258</v>
      </c>
      <c r="F211" s="51"/>
      <c r="G211" s="50"/>
    </row>
    <row r="212" spans="1:8" ht="15.75" customHeight="1">
      <c r="A212" s="42" t="s">
        <v>4</v>
      </c>
      <c r="B212" s="1" t="s">
        <v>232</v>
      </c>
      <c r="C212" s="43">
        <v>561602</v>
      </c>
      <c r="D212" s="44" t="s">
        <v>80</v>
      </c>
      <c r="E212" s="66" t="s">
        <v>206</v>
      </c>
      <c r="F212" s="51"/>
      <c r="G212" s="50"/>
    </row>
    <row r="213" spans="1:8" ht="15.75" customHeight="1">
      <c r="A213" s="79" t="s">
        <v>5</v>
      </c>
      <c r="B213" s="80" t="s">
        <v>259</v>
      </c>
      <c r="C213" s="81" t="s">
        <v>68</v>
      </c>
      <c r="D213" s="82" t="s">
        <v>62</v>
      </c>
      <c r="E213" s="56" t="s">
        <v>69</v>
      </c>
      <c r="F213" s="83"/>
      <c r="G213" s="48" t="s">
        <v>70</v>
      </c>
      <c r="H213" s="84"/>
    </row>
    <row r="214" spans="1:8" ht="15.75" customHeight="1">
      <c r="A214" s="42" t="s">
        <v>5</v>
      </c>
      <c r="B214" s="1" t="s">
        <v>259</v>
      </c>
      <c r="C214" s="43">
        <v>778411</v>
      </c>
      <c r="D214" s="44" t="s">
        <v>80</v>
      </c>
      <c r="E214" s="66" t="s">
        <v>94</v>
      </c>
      <c r="G214" s="48" t="s">
        <v>87</v>
      </c>
    </row>
    <row r="215" spans="1:8" ht="15.75" customHeight="1">
      <c r="A215" s="42" t="s">
        <v>5</v>
      </c>
      <c r="B215" s="1" t="s">
        <v>259</v>
      </c>
      <c r="C215" s="43">
        <v>561223</v>
      </c>
      <c r="D215" s="44" t="s">
        <v>80</v>
      </c>
      <c r="E215" s="66" t="s">
        <v>95</v>
      </c>
      <c r="G215" s="48" t="s">
        <v>75</v>
      </c>
    </row>
    <row r="216" spans="1:8" ht="15.75" customHeight="1">
      <c r="A216" s="42" t="s">
        <v>5</v>
      </c>
      <c r="B216" s="1" t="s">
        <v>259</v>
      </c>
      <c r="C216" s="43">
        <v>750060</v>
      </c>
      <c r="D216" s="44" t="s">
        <v>80</v>
      </c>
      <c r="E216" s="67" t="s">
        <v>260</v>
      </c>
      <c r="G216" s="48" t="s">
        <v>214</v>
      </c>
    </row>
    <row r="217" spans="1:8" ht="15.75" customHeight="1">
      <c r="A217" s="42" t="s">
        <v>5</v>
      </c>
      <c r="B217" s="1" t="s">
        <v>259</v>
      </c>
      <c r="C217" s="43">
        <v>2915508</v>
      </c>
      <c r="D217" s="44" t="s">
        <v>80</v>
      </c>
      <c r="E217" s="66" t="s">
        <v>261</v>
      </c>
      <c r="G217" s="50"/>
    </row>
    <row r="218" spans="1:8" ht="15.75" customHeight="1">
      <c r="A218" s="42" t="s">
        <v>5</v>
      </c>
      <c r="B218" s="1" t="s">
        <v>259</v>
      </c>
      <c r="C218" s="43">
        <v>5025585</v>
      </c>
      <c r="D218" s="44" t="s">
        <v>90</v>
      </c>
      <c r="E218" s="67" t="s">
        <v>262</v>
      </c>
      <c r="G218" s="50"/>
    </row>
    <row r="219" spans="1:8" ht="15.75" customHeight="1">
      <c r="A219" s="42" t="s">
        <v>5</v>
      </c>
      <c r="B219" s="1" t="s">
        <v>259</v>
      </c>
      <c r="C219" s="43">
        <v>5025675</v>
      </c>
      <c r="D219" s="44" t="s">
        <v>83</v>
      </c>
      <c r="E219" s="66" t="s">
        <v>163</v>
      </c>
      <c r="G219" s="50"/>
    </row>
    <row r="220" spans="1:8" ht="15.75" customHeight="1">
      <c r="A220" s="42" t="s">
        <v>5</v>
      </c>
      <c r="B220" s="1" t="s">
        <v>259</v>
      </c>
      <c r="C220" s="43">
        <v>774932</v>
      </c>
      <c r="D220" s="44" t="s">
        <v>90</v>
      </c>
      <c r="E220" s="66" t="s">
        <v>247</v>
      </c>
      <c r="G220" s="50"/>
    </row>
    <row r="221" spans="1:8" ht="15.75" customHeight="1">
      <c r="A221" s="42" t="s">
        <v>5</v>
      </c>
      <c r="B221" s="1" t="s">
        <v>259</v>
      </c>
      <c r="C221" s="43">
        <v>190401</v>
      </c>
      <c r="D221" s="44" t="s">
        <v>80</v>
      </c>
      <c r="E221" s="66" t="s">
        <v>114</v>
      </c>
      <c r="G221" s="50"/>
    </row>
    <row r="222" spans="1:8" ht="15.75" customHeight="1">
      <c r="A222" s="42" t="s">
        <v>5</v>
      </c>
      <c r="B222" s="1" t="s">
        <v>259</v>
      </c>
      <c r="C222" s="43">
        <v>435365</v>
      </c>
      <c r="D222" s="44" t="s">
        <v>80</v>
      </c>
      <c r="E222" s="67" t="s">
        <v>164</v>
      </c>
      <c r="G222" s="50"/>
    </row>
    <row r="223" spans="1:8" ht="15.75" customHeight="1">
      <c r="A223" s="42" t="s">
        <v>5</v>
      </c>
      <c r="B223" s="1" t="s">
        <v>259</v>
      </c>
      <c r="C223" s="43">
        <v>714719</v>
      </c>
      <c r="D223" s="44" t="s">
        <v>80</v>
      </c>
      <c r="E223" s="66" t="s">
        <v>165</v>
      </c>
      <c r="G223" s="50"/>
    </row>
    <row r="224" spans="1:8" ht="15.75" customHeight="1">
      <c r="A224" s="42" t="s">
        <v>5</v>
      </c>
      <c r="B224" s="1" t="s">
        <v>259</v>
      </c>
      <c r="C224" s="43">
        <v>2841040</v>
      </c>
      <c r="D224" s="44" t="s">
        <v>101</v>
      </c>
      <c r="E224" s="66" t="s">
        <v>167</v>
      </c>
      <c r="G224" s="50"/>
    </row>
    <row r="225" spans="1:8" ht="15.75" customHeight="1">
      <c r="A225" s="42" t="s">
        <v>5</v>
      </c>
      <c r="B225" s="1" t="s">
        <v>259</v>
      </c>
      <c r="C225" s="43">
        <v>502996</v>
      </c>
      <c r="D225" s="44" t="s">
        <v>80</v>
      </c>
      <c r="E225" s="66" t="s">
        <v>263</v>
      </c>
      <c r="G225" s="50"/>
    </row>
    <row r="226" spans="1:8" ht="15.75" customHeight="1">
      <c r="A226" s="42" t="s">
        <v>5</v>
      </c>
      <c r="B226" s="1" t="s">
        <v>259</v>
      </c>
      <c r="C226" s="43">
        <v>608978</v>
      </c>
      <c r="D226" s="44" t="s">
        <v>80</v>
      </c>
      <c r="E226" s="66" t="s">
        <v>199</v>
      </c>
      <c r="G226" s="50"/>
    </row>
    <row r="227" spans="1:8" ht="15.75" customHeight="1">
      <c r="A227" s="42" t="s">
        <v>5</v>
      </c>
      <c r="B227" s="1" t="s">
        <v>259</v>
      </c>
      <c r="C227" s="43">
        <v>631125</v>
      </c>
      <c r="D227" s="44" t="s">
        <v>80</v>
      </c>
      <c r="E227" s="66" t="s">
        <v>264</v>
      </c>
      <c r="G227" s="50"/>
    </row>
    <row r="228" spans="1:8" ht="15.75" customHeight="1">
      <c r="A228" s="42" t="s">
        <v>5</v>
      </c>
      <c r="B228" s="1" t="s">
        <v>259</v>
      </c>
      <c r="C228" s="43">
        <v>651774</v>
      </c>
      <c r="D228" s="44" t="s">
        <v>71</v>
      </c>
      <c r="E228" s="66" t="s">
        <v>132</v>
      </c>
      <c r="G228" s="50"/>
    </row>
    <row r="229" spans="1:8" ht="15.75" customHeight="1">
      <c r="A229" s="42" t="s">
        <v>5</v>
      </c>
      <c r="B229" s="1" t="s">
        <v>259</v>
      </c>
      <c r="C229" s="43">
        <v>3115669</v>
      </c>
      <c r="D229" s="44" t="s">
        <v>101</v>
      </c>
      <c r="E229" s="66" t="s">
        <v>170</v>
      </c>
      <c r="G229" s="50"/>
    </row>
    <row r="230" spans="1:8" ht="15.75" customHeight="1">
      <c r="A230" s="42" t="s">
        <v>5</v>
      </c>
      <c r="B230" s="1" t="s">
        <v>259</v>
      </c>
      <c r="C230" s="43">
        <v>5024266</v>
      </c>
      <c r="D230" s="44" t="s">
        <v>71</v>
      </c>
      <c r="E230" s="66" t="s">
        <v>226</v>
      </c>
      <c r="G230" s="50"/>
    </row>
    <row r="231" spans="1:8" ht="15.75" customHeight="1">
      <c r="A231" s="42" t="s">
        <v>5</v>
      </c>
      <c r="B231" s="1" t="s">
        <v>259</v>
      </c>
      <c r="C231" s="43">
        <v>588024</v>
      </c>
      <c r="D231" s="44" t="s">
        <v>80</v>
      </c>
      <c r="E231" s="66" t="s">
        <v>265</v>
      </c>
      <c r="G231" s="50"/>
    </row>
    <row r="232" spans="1:8" ht="15.75" customHeight="1">
      <c r="A232" s="42" t="s">
        <v>5</v>
      </c>
      <c r="B232" s="1" t="s">
        <v>259</v>
      </c>
      <c r="C232" s="43">
        <v>514006</v>
      </c>
      <c r="D232" s="44" t="s">
        <v>80</v>
      </c>
      <c r="E232" s="66" t="s">
        <v>228</v>
      </c>
      <c r="G232" s="50"/>
    </row>
    <row r="233" spans="1:8" ht="15.75" customHeight="1">
      <c r="A233" s="42" t="s">
        <v>5</v>
      </c>
      <c r="B233" s="1" t="s">
        <v>259</v>
      </c>
      <c r="C233" s="43">
        <v>597553</v>
      </c>
      <c r="D233" s="44" t="s">
        <v>90</v>
      </c>
      <c r="E233" s="66" t="s">
        <v>266</v>
      </c>
      <c r="G233" s="50"/>
    </row>
    <row r="234" spans="1:8" ht="15.75" customHeight="1">
      <c r="A234" s="42" t="s">
        <v>5</v>
      </c>
      <c r="B234" s="1" t="s">
        <v>259</v>
      </c>
      <c r="C234" s="43">
        <v>5025581</v>
      </c>
      <c r="D234" s="44" t="s">
        <v>90</v>
      </c>
      <c r="E234" s="66" t="s">
        <v>267</v>
      </c>
      <c r="G234" s="50"/>
    </row>
    <row r="235" spans="1:8" ht="15.75" customHeight="1">
      <c r="A235" s="42" t="s">
        <v>5</v>
      </c>
      <c r="B235" s="1" t="s">
        <v>259</v>
      </c>
      <c r="C235" s="43">
        <v>5025694</v>
      </c>
      <c r="D235" s="44" t="s">
        <v>101</v>
      </c>
      <c r="E235" s="66" t="s">
        <v>229</v>
      </c>
      <c r="G235" s="50"/>
    </row>
    <row r="236" spans="1:8" ht="15.75" customHeight="1">
      <c r="A236" s="42" t="s">
        <v>5</v>
      </c>
      <c r="B236" s="1" t="s">
        <v>259</v>
      </c>
      <c r="C236" s="43">
        <v>502982</v>
      </c>
      <c r="D236" s="44" t="s">
        <v>80</v>
      </c>
      <c r="E236" s="66" t="s">
        <v>268</v>
      </c>
      <c r="G236" s="50"/>
    </row>
    <row r="237" spans="1:8" ht="15.75" customHeight="1">
      <c r="A237" s="42" t="s">
        <v>5</v>
      </c>
      <c r="B237" s="1" t="s">
        <v>259</v>
      </c>
      <c r="C237" s="43">
        <v>2988200</v>
      </c>
      <c r="D237" s="44" t="s">
        <v>90</v>
      </c>
      <c r="E237" s="66" t="s">
        <v>269</v>
      </c>
      <c r="G237" s="50"/>
    </row>
    <row r="238" spans="1:8" ht="15.75" customHeight="1">
      <c r="A238" s="85" t="s">
        <v>6</v>
      </c>
      <c r="B238" s="86" t="s">
        <v>270</v>
      </c>
      <c r="C238" s="87" t="s">
        <v>68</v>
      </c>
      <c r="D238" s="88" t="s">
        <v>62</v>
      </c>
      <c r="E238" s="56" t="s">
        <v>69</v>
      </c>
      <c r="F238" s="89"/>
      <c r="G238" s="48" t="s">
        <v>70</v>
      </c>
      <c r="H238" s="90"/>
    </row>
    <row r="239" spans="1:8" ht="15.75" customHeight="1">
      <c r="A239" s="42" t="s">
        <v>6</v>
      </c>
      <c r="B239" s="1" t="s">
        <v>270</v>
      </c>
      <c r="C239" s="43">
        <v>751034</v>
      </c>
      <c r="D239" s="44" t="s">
        <v>80</v>
      </c>
      <c r="E239" s="66" t="s">
        <v>271</v>
      </c>
      <c r="G239" s="48" t="s">
        <v>272</v>
      </c>
    </row>
    <row r="240" spans="1:8" ht="15.75" customHeight="1">
      <c r="A240" s="42" t="s">
        <v>6</v>
      </c>
      <c r="B240" s="1" t="s">
        <v>270</v>
      </c>
      <c r="C240" s="43">
        <v>646307</v>
      </c>
      <c r="D240" s="44" t="s">
        <v>83</v>
      </c>
      <c r="E240" s="66" t="s">
        <v>273</v>
      </c>
      <c r="G240" s="48" t="s">
        <v>274</v>
      </c>
    </row>
    <row r="241" spans="1:7" ht="15.75" customHeight="1">
      <c r="A241" s="42" t="s">
        <v>6</v>
      </c>
      <c r="B241" s="1" t="s">
        <v>270</v>
      </c>
      <c r="C241" s="43">
        <v>414560</v>
      </c>
      <c r="D241" s="44" t="s">
        <v>83</v>
      </c>
      <c r="E241" s="66" t="s">
        <v>275</v>
      </c>
      <c r="G241" s="48" t="s">
        <v>276</v>
      </c>
    </row>
    <row r="242" spans="1:7" ht="15.75" customHeight="1">
      <c r="A242" s="42" t="s">
        <v>6</v>
      </c>
      <c r="B242" s="1" t="s">
        <v>270</v>
      </c>
      <c r="C242" s="43">
        <v>2820177</v>
      </c>
      <c r="D242" s="44" t="s">
        <v>83</v>
      </c>
      <c r="E242" s="66" t="s">
        <v>277</v>
      </c>
      <c r="G242" s="50"/>
    </row>
    <row r="243" spans="1:7" ht="15.75" customHeight="1">
      <c r="A243" s="42" t="s">
        <v>6</v>
      </c>
      <c r="B243" s="1" t="s">
        <v>270</v>
      </c>
      <c r="C243" s="43">
        <v>501610</v>
      </c>
      <c r="D243" s="44" t="s">
        <v>83</v>
      </c>
      <c r="E243" s="66" t="s">
        <v>278</v>
      </c>
      <c r="G243" s="50"/>
    </row>
    <row r="244" spans="1:7" ht="15.75" customHeight="1">
      <c r="A244" s="42" t="s">
        <v>6</v>
      </c>
      <c r="B244" s="1" t="s">
        <v>270</v>
      </c>
      <c r="C244" s="43">
        <v>2842004</v>
      </c>
      <c r="D244" s="44" t="s">
        <v>80</v>
      </c>
      <c r="E244" s="66" t="s">
        <v>279</v>
      </c>
      <c r="G244" s="50"/>
    </row>
    <row r="245" spans="1:7" ht="15.75" customHeight="1">
      <c r="A245" s="42" t="s">
        <v>6</v>
      </c>
      <c r="B245" s="1" t="s">
        <v>270</v>
      </c>
      <c r="C245" s="43">
        <v>559598</v>
      </c>
      <c r="D245" s="44" t="s">
        <v>71</v>
      </c>
      <c r="E245" s="66" t="s">
        <v>280</v>
      </c>
      <c r="G245" s="50"/>
    </row>
    <row r="246" spans="1:7" ht="15.75" customHeight="1">
      <c r="A246" s="42" t="s">
        <v>6</v>
      </c>
      <c r="B246" s="1" t="s">
        <v>270</v>
      </c>
      <c r="C246" s="43">
        <v>561166</v>
      </c>
      <c r="D246" s="44" t="s">
        <v>101</v>
      </c>
      <c r="E246" s="66" t="s">
        <v>281</v>
      </c>
      <c r="G246" s="50"/>
    </row>
    <row r="247" spans="1:7" ht="15.75" customHeight="1">
      <c r="A247" s="42" t="s">
        <v>6</v>
      </c>
      <c r="B247" s="1" t="s">
        <v>270</v>
      </c>
      <c r="C247" s="43">
        <v>404003</v>
      </c>
      <c r="D247" s="44" t="s">
        <v>80</v>
      </c>
      <c r="E247" s="67" t="s">
        <v>282</v>
      </c>
      <c r="G247" s="50"/>
    </row>
    <row r="248" spans="1:7" ht="15.75" customHeight="1">
      <c r="A248" s="42" t="s">
        <v>6</v>
      </c>
      <c r="B248" s="1" t="s">
        <v>270</v>
      </c>
      <c r="C248" s="43">
        <v>2922330</v>
      </c>
      <c r="D248" s="44" t="s">
        <v>71</v>
      </c>
      <c r="E248" s="66" t="s">
        <v>283</v>
      </c>
      <c r="G248" s="50"/>
    </row>
    <row r="249" spans="1:7" ht="15.75" customHeight="1">
      <c r="A249" s="42" t="s">
        <v>6</v>
      </c>
      <c r="B249" s="1" t="s">
        <v>270</v>
      </c>
      <c r="C249" s="43">
        <v>3115628</v>
      </c>
      <c r="D249" s="44" t="s">
        <v>101</v>
      </c>
      <c r="E249" s="66" t="s">
        <v>284</v>
      </c>
      <c r="G249" s="50"/>
    </row>
    <row r="250" spans="1:7" ht="15.75" customHeight="1">
      <c r="A250" s="42" t="s">
        <v>6</v>
      </c>
      <c r="B250" s="1" t="s">
        <v>270</v>
      </c>
      <c r="C250" s="43">
        <v>3107957</v>
      </c>
      <c r="D250" s="44" t="s">
        <v>101</v>
      </c>
      <c r="E250" s="66" t="s">
        <v>285</v>
      </c>
      <c r="G250" s="50"/>
    </row>
    <row r="251" spans="1:7" ht="15.75" customHeight="1">
      <c r="A251" s="42" t="s">
        <v>6</v>
      </c>
      <c r="B251" s="1" t="s">
        <v>270</v>
      </c>
      <c r="C251" s="43">
        <v>5025668</v>
      </c>
      <c r="D251" s="44" t="s">
        <v>101</v>
      </c>
      <c r="E251" s="66" t="s">
        <v>286</v>
      </c>
      <c r="G251" s="50"/>
    </row>
    <row r="252" spans="1:7" ht="15.75" customHeight="1">
      <c r="A252" s="42" t="s">
        <v>6</v>
      </c>
      <c r="B252" s="1" t="s">
        <v>270</v>
      </c>
      <c r="C252" s="43">
        <v>751037</v>
      </c>
      <c r="D252" s="44" t="s">
        <v>71</v>
      </c>
      <c r="E252" s="66" t="s">
        <v>287</v>
      </c>
      <c r="G252" s="50"/>
    </row>
    <row r="253" spans="1:7" ht="15.75" customHeight="1">
      <c r="A253" s="42" t="s">
        <v>6</v>
      </c>
      <c r="B253" s="1" t="s">
        <v>270</v>
      </c>
      <c r="C253" s="43">
        <v>647420</v>
      </c>
      <c r="D253" s="44" t="s">
        <v>101</v>
      </c>
      <c r="E253" s="66" t="s">
        <v>288</v>
      </c>
      <c r="G253" s="50"/>
    </row>
    <row r="254" spans="1:7" ht="15.75" customHeight="1">
      <c r="A254" s="42" t="s">
        <v>6</v>
      </c>
      <c r="B254" s="1" t="s">
        <v>270</v>
      </c>
      <c r="C254" s="43">
        <v>2422926</v>
      </c>
      <c r="D254" s="44" t="s">
        <v>101</v>
      </c>
      <c r="E254" s="67" t="s">
        <v>289</v>
      </c>
      <c r="G254" s="50"/>
    </row>
    <row r="255" spans="1:7" ht="15.75" customHeight="1">
      <c r="A255" s="42" t="s">
        <v>6</v>
      </c>
      <c r="B255" s="1" t="s">
        <v>270</v>
      </c>
      <c r="C255" s="43">
        <v>417811</v>
      </c>
      <c r="D255" s="44" t="s">
        <v>90</v>
      </c>
      <c r="E255" s="66" t="s">
        <v>290</v>
      </c>
      <c r="G255" s="50"/>
    </row>
    <row r="256" spans="1:7" ht="15.75" customHeight="1">
      <c r="A256" s="42" t="s">
        <v>6</v>
      </c>
      <c r="B256" s="1" t="s">
        <v>270</v>
      </c>
      <c r="C256" s="43">
        <v>2810619</v>
      </c>
      <c r="D256" s="44" t="s">
        <v>101</v>
      </c>
      <c r="E256" s="66" t="s">
        <v>291</v>
      </c>
      <c r="G256" s="50"/>
    </row>
    <row r="257" spans="1:7" ht="15.75" customHeight="1">
      <c r="A257" s="42" t="s">
        <v>6</v>
      </c>
      <c r="B257" s="1" t="s">
        <v>270</v>
      </c>
      <c r="C257" s="43">
        <v>2219822</v>
      </c>
      <c r="D257" s="44" t="s">
        <v>83</v>
      </c>
      <c r="E257" s="66" t="s">
        <v>292</v>
      </c>
      <c r="G257" s="50"/>
    </row>
    <row r="258" spans="1:7" ht="15.75" customHeight="1">
      <c r="A258" s="42" t="s">
        <v>6</v>
      </c>
      <c r="B258" s="1" t="s">
        <v>270</v>
      </c>
      <c r="C258" s="43">
        <v>2842002</v>
      </c>
      <c r="D258" s="44" t="s">
        <v>80</v>
      </c>
      <c r="E258" s="66" t="s">
        <v>293</v>
      </c>
      <c r="G258" s="50"/>
    </row>
    <row r="259" spans="1:7" ht="15.75" customHeight="1">
      <c r="A259" s="42" t="s">
        <v>6</v>
      </c>
      <c r="B259" s="1" t="s">
        <v>270</v>
      </c>
      <c r="C259" s="43">
        <v>2931138</v>
      </c>
      <c r="D259" s="44" t="s">
        <v>101</v>
      </c>
      <c r="E259" s="66" t="s">
        <v>294</v>
      </c>
      <c r="G259" s="50"/>
    </row>
    <row r="260" spans="1:7" ht="15.75" customHeight="1">
      <c r="A260" s="42" t="s">
        <v>6</v>
      </c>
      <c r="B260" s="1" t="s">
        <v>270</v>
      </c>
      <c r="C260" s="43">
        <v>778028</v>
      </c>
      <c r="D260" s="44" t="s">
        <v>83</v>
      </c>
      <c r="E260" s="66" t="s">
        <v>295</v>
      </c>
      <c r="G260" s="50"/>
    </row>
    <row r="261" spans="1:7" ht="15.75" customHeight="1">
      <c r="A261" s="42" t="s">
        <v>6</v>
      </c>
      <c r="B261" s="1" t="s">
        <v>270</v>
      </c>
      <c r="C261" s="43">
        <v>778029</v>
      </c>
      <c r="D261" s="44" t="s">
        <v>71</v>
      </c>
      <c r="E261" s="66" t="s">
        <v>296</v>
      </c>
      <c r="G261" s="50"/>
    </row>
    <row r="262" spans="1:7" ht="15.75" customHeight="1">
      <c r="A262" s="42" t="s">
        <v>6</v>
      </c>
      <c r="B262" s="1" t="s">
        <v>270</v>
      </c>
      <c r="C262" s="43">
        <v>485526</v>
      </c>
      <c r="D262" s="44" t="s">
        <v>83</v>
      </c>
      <c r="E262" s="66" t="s">
        <v>297</v>
      </c>
      <c r="G262" s="50"/>
    </row>
    <row r="263" spans="1:7" ht="15.75" customHeight="1">
      <c r="A263" s="42" t="s">
        <v>6</v>
      </c>
      <c r="B263" s="1" t="s">
        <v>270</v>
      </c>
      <c r="C263" s="43">
        <v>3141844</v>
      </c>
      <c r="D263" s="44" t="s">
        <v>101</v>
      </c>
      <c r="E263" s="66" t="s">
        <v>298</v>
      </c>
      <c r="G263" s="50"/>
    </row>
    <row r="264" spans="1:7" ht="15.75" customHeight="1">
      <c r="A264" s="42" t="s">
        <v>6</v>
      </c>
      <c r="B264" s="1" t="s">
        <v>270</v>
      </c>
      <c r="C264" s="43">
        <v>553777</v>
      </c>
      <c r="D264" s="44" t="s">
        <v>83</v>
      </c>
      <c r="E264" s="66" t="s">
        <v>299</v>
      </c>
      <c r="G264" s="50"/>
    </row>
    <row r="265" spans="1:7" ht="15.75" customHeight="1">
      <c r="A265" s="42" t="s">
        <v>6</v>
      </c>
      <c r="B265" s="1" t="s">
        <v>270</v>
      </c>
      <c r="C265" s="43">
        <v>487788</v>
      </c>
      <c r="D265" s="44" t="s">
        <v>83</v>
      </c>
      <c r="E265" s="66" t="s">
        <v>300</v>
      </c>
      <c r="G265" s="50"/>
    </row>
    <row r="266" spans="1:7" ht="15.75" customHeight="1">
      <c r="A266" s="42" t="s">
        <v>6</v>
      </c>
      <c r="B266" s="1" t="s">
        <v>270</v>
      </c>
      <c r="C266" s="43">
        <v>428504</v>
      </c>
      <c r="D266" s="44" t="s">
        <v>101</v>
      </c>
      <c r="E266" s="66" t="s">
        <v>301</v>
      </c>
      <c r="G266" s="50"/>
    </row>
    <row r="267" spans="1:7" ht="15.75" customHeight="1">
      <c r="A267" s="42" t="s">
        <v>6</v>
      </c>
      <c r="B267" s="1" t="s">
        <v>270</v>
      </c>
      <c r="C267" s="43">
        <v>475174</v>
      </c>
      <c r="D267" s="44" t="s">
        <v>83</v>
      </c>
      <c r="E267" s="66" t="s">
        <v>302</v>
      </c>
      <c r="G267" s="50"/>
    </row>
    <row r="268" spans="1:7" ht="15.75" customHeight="1">
      <c r="A268" s="42" t="s">
        <v>6</v>
      </c>
      <c r="B268" s="1" t="s">
        <v>270</v>
      </c>
      <c r="C268" s="43">
        <v>419813</v>
      </c>
      <c r="D268" s="44" t="s">
        <v>83</v>
      </c>
      <c r="E268" s="66" t="s">
        <v>303</v>
      </c>
      <c r="G268" s="50"/>
    </row>
    <row r="269" spans="1:7" ht="15.75" customHeight="1">
      <c r="A269" s="42" t="s">
        <v>6</v>
      </c>
      <c r="B269" s="1" t="s">
        <v>270</v>
      </c>
      <c r="C269" s="43">
        <v>551323</v>
      </c>
      <c r="D269" s="44" t="s">
        <v>83</v>
      </c>
      <c r="E269" s="66" t="s">
        <v>304</v>
      </c>
      <c r="G269" s="50"/>
    </row>
    <row r="270" spans="1:7" ht="15.75" customHeight="1">
      <c r="A270" s="42" t="s">
        <v>6</v>
      </c>
      <c r="B270" s="1" t="s">
        <v>270</v>
      </c>
      <c r="C270" s="43">
        <v>5030423</v>
      </c>
      <c r="D270" s="44" t="s">
        <v>90</v>
      </c>
      <c r="E270" s="66" t="s">
        <v>305</v>
      </c>
      <c r="G270" s="50"/>
    </row>
    <row r="271" spans="1:7" ht="15.75" customHeight="1">
      <c r="A271" s="42" t="s">
        <v>6</v>
      </c>
      <c r="B271" s="1" t="s">
        <v>270</v>
      </c>
      <c r="C271" s="43">
        <v>2809578</v>
      </c>
      <c r="D271" s="44" t="s">
        <v>90</v>
      </c>
      <c r="E271" s="66" t="s">
        <v>306</v>
      </c>
      <c r="G271" s="50"/>
    </row>
    <row r="272" spans="1:7" ht="15.75" customHeight="1">
      <c r="A272" s="42" t="s">
        <v>6</v>
      </c>
      <c r="B272" s="1" t="s">
        <v>270</v>
      </c>
      <c r="C272" s="43">
        <v>495811</v>
      </c>
      <c r="D272" s="44" t="s">
        <v>71</v>
      </c>
      <c r="E272" s="66" t="s">
        <v>307</v>
      </c>
      <c r="G272" s="50"/>
    </row>
    <row r="273" spans="1:7" ht="15.75" customHeight="1">
      <c r="A273" s="42" t="s">
        <v>6</v>
      </c>
      <c r="B273" s="1" t="s">
        <v>270</v>
      </c>
      <c r="C273" s="43">
        <v>2267295</v>
      </c>
      <c r="D273" s="44" t="s">
        <v>101</v>
      </c>
      <c r="E273" s="66" t="s">
        <v>308</v>
      </c>
      <c r="G273" s="50"/>
    </row>
    <row r="274" spans="1:7" ht="15.75" customHeight="1">
      <c r="A274" s="42" t="s">
        <v>6</v>
      </c>
      <c r="B274" s="1" t="s">
        <v>270</v>
      </c>
      <c r="C274" s="43">
        <v>2368466</v>
      </c>
      <c r="D274" s="44" t="s">
        <v>101</v>
      </c>
      <c r="E274" s="66" t="s">
        <v>309</v>
      </c>
      <c r="G274" s="50"/>
    </row>
    <row r="275" spans="1:7" ht="15.75" customHeight="1">
      <c r="A275" s="42" t="s">
        <v>6</v>
      </c>
      <c r="B275" s="1" t="s">
        <v>270</v>
      </c>
      <c r="C275" s="43">
        <v>2925113</v>
      </c>
      <c r="D275" s="44" t="s">
        <v>83</v>
      </c>
      <c r="E275" s="66" t="s">
        <v>310</v>
      </c>
      <c r="G275" s="50"/>
    </row>
    <row r="276" spans="1:7" ht="15.75" customHeight="1">
      <c r="A276" s="42" t="s">
        <v>6</v>
      </c>
      <c r="B276" s="1" t="s">
        <v>270</v>
      </c>
      <c r="C276" s="43">
        <v>5025689</v>
      </c>
      <c r="D276" s="44" t="s">
        <v>71</v>
      </c>
      <c r="E276" s="66" t="s">
        <v>311</v>
      </c>
      <c r="G276" s="50"/>
    </row>
    <row r="277" spans="1:7" ht="15.75" customHeight="1">
      <c r="A277" s="42" t="s">
        <v>6</v>
      </c>
      <c r="B277" s="1" t="s">
        <v>270</v>
      </c>
      <c r="C277" s="43">
        <v>2811687</v>
      </c>
      <c r="D277" s="44" t="s">
        <v>101</v>
      </c>
      <c r="E277" s="66" t="s">
        <v>312</v>
      </c>
      <c r="G277" s="50"/>
    </row>
    <row r="278" spans="1:7" ht="15.75" customHeight="1">
      <c r="A278" s="42" t="s">
        <v>6</v>
      </c>
      <c r="B278" s="1" t="s">
        <v>270</v>
      </c>
      <c r="C278" s="43">
        <v>2920373</v>
      </c>
      <c r="D278" s="44" t="s">
        <v>101</v>
      </c>
      <c r="E278" s="66" t="s">
        <v>313</v>
      </c>
      <c r="G278" s="50"/>
    </row>
    <row r="279" spans="1:7" ht="15.75" customHeight="1">
      <c r="A279" s="42" t="s">
        <v>6</v>
      </c>
      <c r="B279" s="1" t="s">
        <v>270</v>
      </c>
      <c r="C279" s="43">
        <v>2814230</v>
      </c>
      <c r="D279" s="44" t="s">
        <v>71</v>
      </c>
      <c r="E279" s="66" t="s">
        <v>314</v>
      </c>
      <c r="G279" s="50"/>
    </row>
    <row r="280" spans="1:7" ht="15.75" customHeight="1">
      <c r="A280" s="42" t="s">
        <v>6</v>
      </c>
      <c r="B280" s="1" t="s">
        <v>270</v>
      </c>
      <c r="C280" s="43">
        <v>2813366</v>
      </c>
      <c r="D280" s="44" t="s">
        <v>83</v>
      </c>
      <c r="E280" s="66" t="s">
        <v>315</v>
      </c>
      <c r="G280" s="50"/>
    </row>
    <row r="281" spans="1:7" ht="15.75" customHeight="1">
      <c r="A281" s="42" t="s">
        <v>6</v>
      </c>
      <c r="B281" s="1" t="s">
        <v>270</v>
      </c>
      <c r="C281" s="43">
        <v>597553</v>
      </c>
      <c r="D281" s="44" t="s">
        <v>90</v>
      </c>
      <c r="E281" s="66" t="s">
        <v>266</v>
      </c>
      <c r="G281" s="50"/>
    </row>
    <row r="282" spans="1:7" ht="15.75" customHeight="1">
      <c r="A282" s="42" t="s">
        <v>6</v>
      </c>
      <c r="B282" s="1" t="s">
        <v>270</v>
      </c>
      <c r="C282" s="43">
        <v>688035</v>
      </c>
      <c r="D282" s="44" t="s">
        <v>90</v>
      </c>
      <c r="E282" s="66" t="s">
        <v>316</v>
      </c>
      <c r="G282" s="50"/>
    </row>
    <row r="283" spans="1:7" ht="15.75" customHeight="1">
      <c r="A283" s="42" t="s">
        <v>6</v>
      </c>
      <c r="B283" s="1" t="s">
        <v>270</v>
      </c>
      <c r="C283" s="43">
        <v>561190</v>
      </c>
      <c r="D283" s="44" t="s">
        <v>71</v>
      </c>
      <c r="E283" s="66" t="s">
        <v>317</v>
      </c>
      <c r="G283" s="50"/>
    </row>
    <row r="284" spans="1:7" ht="15.75" customHeight="1">
      <c r="A284" s="42" t="s">
        <v>6</v>
      </c>
      <c r="B284" s="1" t="s">
        <v>270</v>
      </c>
      <c r="C284" s="43">
        <v>402822</v>
      </c>
      <c r="D284" s="44" t="s">
        <v>71</v>
      </c>
      <c r="E284" s="66" t="s">
        <v>318</v>
      </c>
      <c r="G284" s="50"/>
    </row>
    <row r="285" spans="1:7" ht="15.75" customHeight="1">
      <c r="A285" s="42" t="s">
        <v>6</v>
      </c>
      <c r="B285" s="1" t="s">
        <v>270</v>
      </c>
      <c r="C285" s="43">
        <v>2920367</v>
      </c>
      <c r="D285" s="44" t="s">
        <v>90</v>
      </c>
      <c r="E285" s="66" t="s">
        <v>319</v>
      </c>
      <c r="G285" s="50"/>
    </row>
    <row r="286" spans="1:7" ht="15.75" customHeight="1">
      <c r="A286" s="42" t="s">
        <v>6</v>
      </c>
      <c r="B286" s="1" t="s">
        <v>270</v>
      </c>
      <c r="C286" s="43">
        <v>559600</v>
      </c>
      <c r="D286" s="44" t="s">
        <v>90</v>
      </c>
      <c r="E286" s="66" t="s">
        <v>320</v>
      </c>
      <c r="G286" s="50"/>
    </row>
    <row r="287" spans="1:7" ht="15.75" customHeight="1">
      <c r="A287" s="42" t="s">
        <v>6</v>
      </c>
      <c r="B287" s="1" t="s">
        <v>270</v>
      </c>
      <c r="C287" s="43">
        <v>688036</v>
      </c>
      <c r="D287" s="44" t="s">
        <v>71</v>
      </c>
      <c r="E287" s="66" t="s">
        <v>321</v>
      </c>
      <c r="G287" s="50"/>
    </row>
    <row r="288" spans="1:7" ht="15.75" customHeight="1">
      <c r="A288" s="42" t="s">
        <v>6</v>
      </c>
      <c r="B288" s="1" t="s">
        <v>270</v>
      </c>
      <c r="C288" s="43">
        <v>494587</v>
      </c>
      <c r="D288" s="44" t="s">
        <v>83</v>
      </c>
      <c r="E288" s="66" t="s">
        <v>322</v>
      </c>
      <c r="G288" s="50"/>
    </row>
    <row r="289" spans="1:8" ht="15.75" customHeight="1">
      <c r="A289" s="42" t="s">
        <v>6</v>
      </c>
      <c r="B289" s="1" t="s">
        <v>270</v>
      </c>
      <c r="C289" s="43">
        <v>495991</v>
      </c>
      <c r="D289" s="44" t="s">
        <v>83</v>
      </c>
      <c r="E289" s="66" t="s">
        <v>323</v>
      </c>
      <c r="G289" s="50"/>
    </row>
    <row r="290" spans="1:8" ht="15.75" customHeight="1">
      <c r="A290" s="42" t="s">
        <v>6</v>
      </c>
      <c r="B290" s="1" t="s">
        <v>270</v>
      </c>
      <c r="C290" s="43">
        <v>568499</v>
      </c>
      <c r="D290" s="44" t="s">
        <v>71</v>
      </c>
      <c r="E290" s="66" t="s">
        <v>324</v>
      </c>
      <c r="G290" s="50"/>
    </row>
    <row r="291" spans="1:8" ht="15.75" customHeight="1">
      <c r="A291" s="42" t="s">
        <v>6</v>
      </c>
      <c r="B291" s="1" t="s">
        <v>270</v>
      </c>
      <c r="C291" s="43">
        <v>474527</v>
      </c>
      <c r="D291" s="44" t="s">
        <v>71</v>
      </c>
      <c r="E291" s="66" t="s">
        <v>325</v>
      </c>
      <c r="G291" s="50"/>
    </row>
    <row r="292" spans="1:8" ht="15.75" customHeight="1">
      <c r="A292" s="42" t="s">
        <v>6</v>
      </c>
      <c r="B292" s="1" t="s">
        <v>270</v>
      </c>
      <c r="C292" s="43">
        <v>561647</v>
      </c>
      <c r="D292" s="44" t="s">
        <v>90</v>
      </c>
      <c r="E292" s="66" t="s">
        <v>326</v>
      </c>
      <c r="G292" s="50"/>
    </row>
    <row r="293" spans="1:8" ht="15.75" customHeight="1">
      <c r="A293" s="42" t="s">
        <v>6</v>
      </c>
      <c r="B293" s="1" t="s">
        <v>270</v>
      </c>
      <c r="C293" s="43">
        <v>688034</v>
      </c>
      <c r="D293" s="44" t="s">
        <v>83</v>
      </c>
      <c r="E293" s="66" t="s">
        <v>327</v>
      </c>
      <c r="G293" s="50"/>
    </row>
    <row r="294" spans="1:8" ht="15.75" customHeight="1">
      <c r="A294" s="91" t="s">
        <v>7</v>
      </c>
      <c r="B294" s="92" t="s">
        <v>328</v>
      </c>
      <c r="C294" s="93" t="s">
        <v>68</v>
      </c>
      <c r="D294" s="94" t="s">
        <v>62</v>
      </c>
      <c r="E294" s="56" t="s">
        <v>69</v>
      </c>
      <c r="F294" s="95"/>
      <c r="G294" s="48" t="s">
        <v>70</v>
      </c>
      <c r="H294" s="96"/>
    </row>
    <row r="295" spans="1:8" ht="15.75" customHeight="1">
      <c r="A295" s="42" t="s">
        <v>7</v>
      </c>
      <c r="B295" s="1" t="s">
        <v>328</v>
      </c>
      <c r="C295" s="43">
        <v>5041935</v>
      </c>
      <c r="D295" s="44" t="s">
        <v>80</v>
      </c>
      <c r="E295" s="66" t="s">
        <v>151</v>
      </c>
      <c r="G295" s="48" t="s">
        <v>329</v>
      </c>
    </row>
    <row r="296" spans="1:8" ht="15.75" customHeight="1">
      <c r="A296" s="42" t="s">
        <v>7</v>
      </c>
      <c r="B296" s="1" t="s">
        <v>328</v>
      </c>
      <c r="C296" s="43">
        <v>466002</v>
      </c>
      <c r="D296" s="44" t="s">
        <v>80</v>
      </c>
      <c r="E296" s="66" t="s">
        <v>330</v>
      </c>
      <c r="G296" s="48" t="s">
        <v>331</v>
      </c>
    </row>
    <row r="297" spans="1:8" ht="15.75" customHeight="1">
      <c r="A297" s="42" t="s">
        <v>7</v>
      </c>
      <c r="B297" s="1" t="s">
        <v>328</v>
      </c>
      <c r="C297" s="43">
        <v>429636</v>
      </c>
      <c r="D297" s="44" t="s">
        <v>80</v>
      </c>
      <c r="E297" s="66" t="s">
        <v>159</v>
      </c>
      <c r="G297" s="50"/>
    </row>
    <row r="298" spans="1:8" ht="15.75" customHeight="1">
      <c r="A298" s="42" t="s">
        <v>7</v>
      </c>
      <c r="B298" s="1" t="s">
        <v>328</v>
      </c>
      <c r="C298" s="43">
        <v>429492</v>
      </c>
      <c r="D298" s="44" t="s">
        <v>80</v>
      </c>
      <c r="E298" s="66" t="s">
        <v>332</v>
      </c>
      <c r="G298" s="50"/>
    </row>
    <row r="299" spans="1:8" ht="15.75" customHeight="1">
      <c r="A299" s="42" t="s">
        <v>7</v>
      </c>
      <c r="B299" s="1" t="s">
        <v>328</v>
      </c>
      <c r="C299" s="43">
        <v>2809209</v>
      </c>
      <c r="D299" s="44" t="s">
        <v>80</v>
      </c>
      <c r="E299" s="66" t="s">
        <v>333</v>
      </c>
      <c r="G299" s="50"/>
    </row>
    <row r="300" spans="1:8" ht="15.75" customHeight="1">
      <c r="A300" s="42" t="s">
        <v>7</v>
      </c>
      <c r="B300" s="1" t="s">
        <v>328</v>
      </c>
      <c r="C300" s="43">
        <v>2344113</v>
      </c>
      <c r="D300" s="44" t="s">
        <v>71</v>
      </c>
      <c r="E300" s="66" t="s">
        <v>334</v>
      </c>
      <c r="G300" s="50"/>
    </row>
    <row r="301" spans="1:8" ht="15.75" customHeight="1">
      <c r="A301" s="42" t="s">
        <v>7</v>
      </c>
      <c r="B301" s="1" t="s">
        <v>328</v>
      </c>
      <c r="C301" s="43">
        <v>491893</v>
      </c>
      <c r="D301" s="44" t="s">
        <v>71</v>
      </c>
      <c r="E301" s="66" t="s">
        <v>196</v>
      </c>
      <c r="G301" s="50"/>
    </row>
    <row r="302" spans="1:8" ht="15.75" customHeight="1">
      <c r="A302" s="42" t="s">
        <v>7</v>
      </c>
      <c r="B302" s="1" t="s">
        <v>328</v>
      </c>
      <c r="C302" s="43">
        <v>751037</v>
      </c>
      <c r="D302" s="44" t="s">
        <v>71</v>
      </c>
      <c r="E302" s="66" t="s">
        <v>287</v>
      </c>
      <c r="G302" s="50"/>
    </row>
    <row r="303" spans="1:8" ht="15.75" customHeight="1">
      <c r="A303" s="42" t="s">
        <v>7</v>
      </c>
      <c r="B303" s="1" t="s">
        <v>328</v>
      </c>
      <c r="C303" s="43">
        <v>404375</v>
      </c>
      <c r="D303" s="44" t="s">
        <v>71</v>
      </c>
      <c r="E303" s="66" t="s">
        <v>335</v>
      </c>
      <c r="G303" s="50"/>
    </row>
    <row r="304" spans="1:8" ht="15.75" customHeight="1">
      <c r="A304" s="42" t="s">
        <v>7</v>
      </c>
      <c r="B304" s="1" t="s">
        <v>328</v>
      </c>
      <c r="C304" s="43">
        <v>708566</v>
      </c>
      <c r="D304" s="44" t="s">
        <v>71</v>
      </c>
      <c r="E304" s="66" t="s">
        <v>336</v>
      </c>
      <c r="G304" s="50"/>
    </row>
    <row r="305" spans="1:8" ht="15.75" customHeight="1">
      <c r="A305" s="42" t="s">
        <v>7</v>
      </c>
      <c r="B305" s="1" t="s">
        <v>328</v>
      </c>
      <c r="C305" s="43">
        <v>2430309</v>
      </c>
      <c r="D305" s="44" t="s">
        <v>80</v>
      </c>
      <c r="E305" s="67" t="s">
        <v>337</v>
      </c>
      <c r="G305" s="50"/>
    </row>
    <row r="306" spans="1:8" ht="15.75" customHeight="1">
      <c r="A306" s="42" t="s">
        <v>7</v>
      </c>
      <c r="B306" s="1" t="s">
        <v>328</v>
      </c>
      <c r="C306" s="43">
        <v>2817178</v>
      </c>
      <c r="D306" s="44" t="s">
        <v>101</v>
      </c>
      <c r="E306" s="66" t="s">
        <v>338</v>
      </c>
      <c r="G306" s="50"/>
    </row>
    <row r="307" spans="1:8" ht="15.75" customHeight="1">
      <c r="A307" s="42" t="s">
        <v>7</v>
      </c>
      <c r="B307" s="1" t="s">
        <v>328</v>
      </c>
      <c r="C307" s="43">
        <v>2817177</v>
      </c>
      <c r="D307" s="44" t="s">
        <v>101</v>
      </c>
      <c r="E307" s="66" t="s">
        <v>339</v>
      </c>
      <c r="G307" s="50"/>
    </row>
    <row r="308" spans="1:8" ht="15.75" customHeight="1">
      <c r="A308" s="42" t="s">
        <v>7</v>
      </c>
      <c r="B308" s="1" t="s">
        <v>328</v>
      </c>
      <c r="C308" s="43">
        <v>2834025</v>
      </c>
      <c r="D308" s="44" t="s">
        <v>83</v>
      </c>
      <c r="E308" s="66" t="s">
        <v>340</v>
      </c>
      <c r="G308" s="50"/>
    </row>
    <row r="309" spans="1:8" ht="15.75" customHeight="1">
      <c r="A309" s="42" t="s">
        <v>7</v>
      </c>
      <c r="B309" s="1" t="s">
        <v>328</v>
      </c>
      <c r="C309" s="43">
        <v>2865000</v>
      </c>
      <c r="D309" s="44" t="s">
        <v>80</v>
      </c>
      <c r="E309" s="66" t="s">
        <v>341</v>
      </c>
      <c r="G309" s="50"/>
    </row>
    <row r="310" spans="1:8" ht="15.75" customHeight="1">
      <c r="A310" s="42" t="s">
        <v>7</v>
      </c>
      <c r="B310" s="1" t="s">
        <v>328</v>
      </c>
      <c r="C310" s="43">
        <v>2861077</v>
      </c>
      <c r="D310" s="44" t="s">
        <v>83</v>
      </c>
      <c r="E310" s="66" t="s">
        <v>342</v>
      </c>
      <c r="G310" s="50"/>
    </row>
    <row r="311" spans="1:8" ht="15.75" customHeight="1">
      <c r="A311" s="42" t="s">
        <v>7</v>
      </c>
      <c r="B311" s="1" t="s">
        <v>328</v>
      </c>
      <c r="C311" s="43">
        <v>608979</v>
      </c>
      <c r="D311" s="44" t="s">
        <v>83</v>
      </c>
      <c r="E311" s="66" t="s">
        <v>171</v>
      </c>
      <c r="G311" s="50"/>
    </row>
    <row r="312" spans="1:8" ht="15.75" customHeight="1">
      <c r="A312" s="42" t="s">
        <v>7</v>
      </c>
      <c r="B312" s="1" t="s">
        <v>328</v>
      </c>
      <c r="C312" s="43">
        <v>5025621</v>
      </c>
      <c r="D312" s="44" t="s">
        <v>83</v>
      </c>
      <c r="E312" s="66" t="s">
        <v>343</v>
      </c>
      <c r="G312" s="50"/>
    </row>
    <row r="313" spans="1:8" ht="15.75" customHeight="1">
      <c r="A313" s="42" t="s">
        <v>7</v>
      </c>
      <c r="B313" s="1" t="s">
        <v>328</v>
      </c>
      <c r="C313" s="43">
        <v>2841041</v>
      </c>
      <c r="D313" s="44" t="s">
        <v>90</v>
      </c>
      <c r="E313" s="66" t="s">
        <v>344</v>
      </c>
      <c r="G313" s="50"/>
    </row>
    <row r="314" spans="1:8" ht="15.75" customHeight="1">
      <c r="A314" s="42" t="s">
        <v>7</v>
      </c>
      <c r="B314" s="1" t="s">
        <v>328</v>
      </c>
      <c r="C314" s="43">
        <v>688052</v>
      </c>
      <c r="D314" s="44" t="s">
        <v>80</v>
      </c>
      <c r="E314" s="66" t="s">
        <v>345</v>
      </c>
      <c r="G314" s="50"/>
    </row>
    <row r="315" spans="1:8" ht="15.75" customHeight="1">
      <c r="A315" s="42" t="s">
        <v>7</v>
      </c>
      <c r="B315" s="1" t="s">
        <v>328</v>
      </c>
      <c r="C315" s="43">
        <v>730897</v>
      </c>
      <c r="D315" s="44" t="s">
        <v>71</v>
      </c>
      <c r="E315" s="66" t="s">
        <v>346</v>
      </c>
      <c r="G315" s="50"/>
    </row>
    <row r="316" spans="1:8" ht="15.75" customHeight="1">
      <c r="A316" s="42" t="s">
        <v>7</v>
      </c>
      <c r="B316" s="1" t="s">
        <v>328</v>
      </c>
      <c r="C316" s="43">
        <v>703865</v>
      </c>
      <c r="D316" s="44" t="s">
        <v>80</v>
      </c>
      <c r="E316" s="66" t="s">
        <v>347</v>
      </c>
      <c r="G316" s="50"/>
    </row>
    <row r="317" spans="1:8" ht="15.75" customHeight="1">
      <c r="A317" s="42" t="s">
        <v>7</v>
      </c>
      <c r="B317" s="1" t="s">
        <v>328</v>
      </c>
      <c r="C317" s="43">
        <v>190318</v>
      </c>
      <c r="D317" s="44" t="s">
        <v>71</v>
      </c>
      <c r="E317" s="66" t="s">
        <v>348</v>
      </c>
      <c r="G317" s="50"/>
    </row>
    <row r="318" spans="1:8" ht="15.75" customHeight="1">
      <c r="A318" s="97" t="s">
        <v>8</v>
      </c>
      <c r="B318" s="98" t="s">
        <v>349</v>
      </c>
      <c r="C318" s="99" t="s">
        <v>68</v>
      </c>
      <c r="D318" s="100" t="s">
        <v>62</v>
      </c>
      <c r="E318" s="56" t="s">
        <v>69</v>
      </c>
      <c r="F318" s="101"/>
      <c r="G318" s="48" t="s">
        <v>70</v>
      </c>
      <c r="H318" s="102"/>
    </row>
    <row r="319" spans="1:8" ht="15.75" customHeight="1">
      <c r="A319" s="42" t="s">
        <v>8</v>
      </c>
      <c r="B319" s="1" t="s">
        <v>349</v>
      </c>
      <c r="C319" s="43">
        <v>588022</v>
      </c>
      <c r="D319" s="44" t="s">
        <v>83</v>
      </c>
      <c r="E319" s="66" t="s">
        <v>153</v>
      </c>
      <c r="G319" s="48" t="s">
        <v>147</v>
      </c>
    </row>
    <row r="320" spans="1:8" ht="15.75" customHeight="1">
      <c r="A320" s="42" t="s">
        <v>8</v>
      </c>
      <c r="B320" s="1" t="s">
        <v>349</v>
      </c>
      <c r="C320" s="43">
        <v>530961</v>
      </c>
      <c r="D320" s="44" t="s">
        <v>80</v>
      </c>
      <c r="E320" s="66" t="s">
        <v>84</v>
      </c>
      <c r="G320" s="48" t="s">
        <v>243</v>
      </c>
    </row>
    <row r="321" spans="1:7" ht="15.75" customHeight="1">
      <c r="A321" s="42" t="s">
        <v>8</v>
      </c>
      <c r="B321" s="1" t="s">
        <v>349</v>
      </c>
      <c r="C321" s="43">
        <v>561223</v>
      </c>
      <c r="D321" s="44" t="s">
        <v>80</v>
      </c>
      <c r="E321" s="66" t="s">
        <v>95</v>
      </c>
      <c r="G321" s="48" t="s">
        <v>350</v>
      </c>
    </row>
    <row r="322" spans="1:7" ht="15.75" customHeight="1">
      <c r="A322" s="42" t="s">
        <v>8</v>
      </c>
      <c r="B322" s="1" t="s">
        <v>349</v>
      </c>
      <c r="C322" s="43">
        <v>5025676</v>
      </c>
      <c r="D322" s="44" t="s">
        <v>80</v>
      </c>
      <c r="E322" s="66" t="s">
        <v>351</v>
      </c>
      <c r="G322" s="50"/>
    </row>
    <row r="323" spans="1:7" ht="15.75" customHeight="1">
      <c r="A323" s="42" t="s">
        <v>8</v>
      </c>
      <c r="B323" s="1" t="s">
        <v>349</v>
      </c>
      <c r="C323" s="43">
        <v>498951</v>
      </c>
      <c r="D323" s="44" t="s">
        <v>80</v>
      </c>
      <c r="E323" s="66" t="s">
        <v>352</v>
      </c>
      <c r="G323" s="50"/>
    </row>
    <row r="324" spans="1:7" ht="15.75" customHeight="1">
      <c r="A324" s="42" t="s">
        <v>8</v>
      </c>
      <c r="B324" s="1" t="s">
        <v>349</v>
      </c>
      <c r="C324" s="43">
        <v>5025675</v>
      </c>
      <c r="D324" s="44" t="s">
        <v>83</v>
      </c>
      <c r="E324" s="66" t="s">
        <v>163</v>
      </c>
      <c r="G324" s="50"/>
    </row>
    <row r="325" spans="1:7" ht="15.75" customHeight="1">
      <c r="A325" s="42" t="s">
        <v>8</v>
      </c>
      <c r="B325" s="1" t="s">
        <v>349</v>
      </c>
      <c r="C325" s="43">
        <v>190401</v>
      </c>
      <c r="D325" s="44" t="s">
        <v>80</v>
      </c>
      <c r="E325" s="66" t="s">
        <v>114</v>
      </c>
      <c r="G325" s="50"/>
    </row>
    <row r="326" spans="1:7" ht="15.75" customHeight="1">
      <c r="A326" s="42" t="s">
        <v>8</v>
      </c>
      <c r="B326" s="1" t="s">
        <v>349</v>
      </c>
      <c r="C326" s="43">
        <v>714740</v>
      </c>
      <c r="D326" s="44" t="s">
        <v>83</v>
      </c>
      <c r="E326" s="66" t="s">
        <v>116</v>
      </c>
      <c r="G326" s="50"/>
    </row>
    <row r="327" spans="1:7" ht="15.75" customHeight="1">
      <c r="A327" s="42" t="s">
        <v>8</v>
      </c>
      <c r="B327" s="1" t="s">
        <v>349</v>
      </c>
      <c r="C327" s="43">
        <v>508725</v>
      </c>
      <c r="D327" s="44" t="s">
        <v>101</v>
      </c>
      <c r="E327" s="66" t="s">
        <v>118</v>
      </c>
      <c r="G327" s="50"/>
    </row>
    <row r="328" spans="1:7" ht="15.75" customHeight="1">
      <c r="A328" s="42" t="s">
        <v>8</v>
      </c>
      <c r="B328" s="1" t="s">
        <v>349</v>
      </c>
      <c r="C328" s="43">
        <v>2841040</v>
      </c>
      <c r="D328" s="44" t="s">
        <v>101</v>
      </c>
      <c r="E328" s="66" t="s">
        <v>167</v>
      </c>
      <c r="G328" s="50"/>
    </row>
    <row r="329" spans="1:7" ht="15.75" customHeight="1">
      <c r="A329" s="42" t="s">
        <v>8</v>
      </c>
      <c r="B329" s="1" t="s">
        <v>349</v>
      </c>
      <c r="C329" s="43">
        <v>479575</v>
      </c>
      <c r="D329" s="44" t="s">
        <v>80</v>
      </c>
      <c r="E329" s="66" t="s">
        <v>353</v>
      </c>
      <c r="G329" s="50"/>
    </row>
    <row r="330" spans="1:7" ht="15.75" customHeight="1">
      <c r="A330" s="42" t="s">
        <v>8</v>
      </c>
      <c r="B330" s="1" t="s">
        <v>349</v>
      </c>
      <c r="C330" s="43">
        <v>502996</v>
      </c>
      <c r="D330" s="44" t="s">
        <v>80</v>
      </c>
      <c r="E330" s="66" t="s">
        <v>263</v>
      </c>
      <c r="G330" s="50"/>
    </row>
    <row r="331" spans="1:7" ht="15.75" customHeight="1">
      <c r="A331" s="42" t="s">
        <v>8</v>
      </c>
      <c r="B331" s="1" t="s">
        <v>349</v>
      </c>
      <c r="C331" s="43">
        <v>631125</v>
      </c>
      <c r="D331" s="44" t="s">
        <v>80</v>
      </c>
      <c r="E331" s="66" t="s">
        <v>264</v>
      </c>
      <c r="G331" s="50"/>
    </row>
    <row r="332" spans="1:7" ht="15.75" customHeight="1">
      <c r="A332" s="42" t="s">
        <v>8</v>
      </c>
      <c r="B332" s="1" t="s">
        <v>349</v>
      </c>
      <c r="C332" s="43">
        <v>651774</v>
      </c>
      <c r="D332" s="44" t="s">
        <v>71</v>
      </c>
      <c r="E332" s="66" t="s">
        <v>132</v>
      </c>
      <c r="G332" s="50"/>
    </row>
    <row r="333" spans="1:7" ht="15.75" customHeight="1">
      <c r="A333" s="42" t="s">
        <v>8</v>
      </c>
      <c r="B333" s="1" t="s">
        <v>349</v>
      </c>
      <c r="C333" s="43">
        <v>3115669</v>
      </c>
      <c r="D333" s="44" t="s">
        <v>101</v>
      </c>
      <c r="E333" s="66" t="s">
        <v>170</v>
      </c>
      <c r="G333" s="50"/>
    </row>
    <row r="334" spans="1:7" ht="15.75" customHeight="1">
      <c r="A334" s="42" t="s">
        <v>8</v>
      </c>
      <c r="B334" s="1" t="s">
        <v>349</v>
      </c>
      <c r="C334" s="43">
        <v>766240</v>
      </c>
      <c r="D334" s="44" t="s">
        <v>80</v>
      </c>
      <c r="E334" s="66" t="s">
        <v>172</v>
      </c>
      <c r="G334" s="50"/>
    </row>
    <row r="335" spans="1:7" ht="15.75" customHeight="1">
      <c r="A335" s="42" t="s">
        <v>8</v>
      </c>
      <c r="B335" s="1" t="s">
        <v>349</v>
      </c>
      <c r="C335" s="43">
        <v>5025581</v>
      </c>
      <c r="D335" s="44" t="s">
        <v>90</v>
      </c>
      <c r="E335" s="66" t="s">
        <v>267</v>
      </c>
      <c r="G335" s="50"/>
    </row>
    <row r="336" spans="1:7" ht="15.75" customHeight="1">
      <c r="A336" s="42" t="s">
        <v>8</v>
      </c>
      <c r="B336" s="1" t="s">
        <v>349</v>
      </c>
      <c r="C336" s="43">
        <v>403327</v>
      </c>
      <c r="D336" s="44" t="s">
        <v>83</v>
      </c>
      <c r="E336" s="66" t="s">
        <v>354</v>
      </c>
      <c r="G336" s="50"/>
    </row>
    <row r="337" spans="1:8" ht="15.75" customHeight="1">
      <c r="A337" s="42" t="s">
        <v>8</v>
      </c>
      <c r="B337" s="1" t="s">
        <v>349</v>
      </c>
      <c r="C337" s="43">
        <v>597560</v>
      </c>
      <c r="D337" s="44" t="s">
        <v>83</v>
      </c>
      <c r="E337" s="66" t="s">
        <v>355</v>
      </c>
      <c r="G337" s="50"/>
    </row>
    <row r="338" spans="1:8" ht="15.75" customHeight="1">
      <c r="A338" s="42" t="s">
        <v>8</v>
      </c>
      <c r="B338" s="1" t="s">
        <v>349</v>
      </c>
      <c r="C338" s="43">
        <v>5025629</v>
      </c>
      <c r="D338" s="44" t="s">
        <v>83</v>
      </c>
      <c r="E338" s="66" t="s">
        <v>356</v>
      </c>
      <c r="G338" s="50"/>
    </row>
    <row r="339" spans="1:8" ht="15.75" customHeight="1">
      <c r="A339" s="42" t="s">
        <v>8</v>
      </c>
      <c r="B339" s="1" t="s">
        <v>349</v>
      </c>
      <c r="C339" s="43">
        <v>502982</v>
      </c>
      <c r="D339" s="44" t="s">
        <v>80</v>
      </c>
      <c r="E339" s="66" t="s">
        <v>268</v>
      </c>
      <c r="G339" s="50"/>
    </row>
    <row r="340" spans="1:8" ht="15.75" customHeight="1">
      <c r="A340" s="42" t="s">
        <v>8</v>
      </c>
      <c r="B340" s="1" t="s">
        <v>349</v>
      </c>
      <c r="C340" s="43">
        <v>608983</v>
      </c>
      <c r="D340" s="44" t="s">
        <v>83</v>
      </c>
      <c r="E340" s="66" t="s">
        <v>357</v>
      </c>
      <c r="G340" s="50"/>
    </row>
    <row r="341" spans="1:8" ht="15.75" customHeight="1">
      <c r="A341" s="42" t="s">
        <v>8</v>
      </c>
      <c r="B341" s="1" t="s">
        <v>349</v>
      </c>
      <c r="C341" s="43">
        <v>2988200</v>
      </c>
      <c r="D341" s="44" t="s">
        <v>90</v>
      </c>
      <c r="E341" s="66" t="s">
        <v>269</v>
      </c>
      <c r="F341" s="51" t="s">
        <v>257</v>
      </c>
      <c r="G341" s="50"/>
    </row>
    <row r="342" spans="1:8" ht="15.75" customHeight="1">
      <c r="A342" s="103" t="s">
        <v>9</v>
      </c>
      <c r="B342" s="104" t="s">
        <v>358</v>
      </c>
      <c r="C342" s="105" t="s">
        <v>68</v>
      </c>
      <c r="D342" s="106" t="s">
        <v>62</v>
      </c>
      <c r="E342" s="56" t="s">
        <v>69</v>
      </c>
      <c r="F342" s="107"/>
      <c r="G342" s="48" t="s">
        <v>70</v>
      </c>
      <c r="H342" s="108"/>
    </row>
    <row r="343" spans="1:8" ht="15.75" customHeight="1">
      <c r="A343" s="42" t="s">
        <v>9</v>
      </c>
      <c r="B343" s="1" t="s">
        <v>358</v>
      </c>
      <c r="C343" s="43">
        <v>2842004</v>
      </c>
      <c r="D343" s="44" t="s">
        <v>80</v>
      </c>
      <c r="E343" s="66" t="s">
        <v>279</v>
      </c>
      <c r="G343" s="48" t="s">
        <v>359</v>
      </c>
    </row>
    <row r="344" spans="1:8" ht="15.75" customHeight="1">
      <c r="A344" s="42" t="s">
        <v>9</v>
      </c>
      <c r="B344" s="1" t="s">
        <v>358</v>
      </c>
      <c r="C344" s="43">
        <v>2819193</v>
      </c>
      <c r="D344" s="44" t="s">
        <v>71</v>
      </c>
      <c r="E344" s="66" t="s">
        <v>360</v>
      </c>
      <c r="G344" s="50"/>
    </row>
    <row r="345" spans="1:8" ht="15.75" customHeight="1">
      <c r="A345" s="42" t="s">
        <v>9</v>
      </c>
      <c r="B345" s="1" t="s">
        <v>358</v>
      </c>
      <c r="C345" s="43">
        <v>800894</v>
      </c>
      <c r="D345" s="44" t="s">
        <v>90</v>
      </c>
      <c r="E345" s="66" t="s">
        <v>361</v>
      </c>
      <c r="G345" s="50"/>
    </row>
    <row r="346" spans="1:8" ht="15.75" customHeight="1">
      <c r="A346" s="42" t="s">
        <v>9</v>
      </c>
      <c r="B346" s="1" t="s">
        <v>358</v>
      </c>
      <c r="C346" s="43">
        <v>2818133</v>
      </c>
      <c r="D346" s="44" t="s">
        <v>83</v>
      </c>
      <c r="E346" s="66" t="s">
        <v>362</v>
      </c>
      <c r="G346" s="50"/>
    </row>
    <row r="347" spans="1:8" ht="15.75" customHeight="1">
      <c r="A347" s="42" t="s">
        <v>9</v>
      </c>
      <c r="B347" s="1" t="s">
        <v>358</v>
      </c>
      <c r="C347" s="43">
        <v>5025585</v>
      </c>
      <c r="D347" s="44" t="s">
        <v>90</v>
      </c>
      <c r="E347" s="67" t="s">
        <v>262</v>
      </c>
      <c r="G347" s="50"/>
    </row>
    <row r="348" spans="1:8" ht="15.75" customHeight="1">
      <c r="A348" s="42" t="s">
        <v>9</v>
      </c>
      <c r="B348" s="1" t="s">
        <v>358</v>
      </c>
      <c r="C348" s="43">
        <v>800901</v>
      </c>
      <c r="D348" s="44" t="s">
        <v>80</v>
      </c>
      <c r="E348" s="66" t="s">
        <v>363</v>
      </c>
      <c r="G348" s="50"/>
    </row>
    <row r="349" spans="1:8" ht="15.75" customHeight="1">
      <c r="A349" s="42" t="s">
        <v>9</v>
      </c>
      <c r="B349" s="1" t="s">
        <v>358</v>
      </c>
      <c r="C349" s="43">
        <v>5025647</v>
      </c>
      <c r="D349" s="44" t="s">
        <v>71</v>
      </c>
      <c r="E349" s="66" t="s">
        <v>187</v>
      </c>
      <c r="G349" s="50"/>
    </row>
    <row r="350" spans="1:8" ht="15.75" customHeight="1">
      <c r="A350" s="42" t="s">
        <v>9</v>
      </c>
      <c r="B350" s="1" t="s">
        <v>358</v>
      </c>
      <c r="C350" s="43">
        <v>2820188</v>
      </c>
      <c r="D350" s="44" t="s">
        <v>71</v>
      </c>
      <c r="E350" s="66" t="s">
        <v>364</v>
      </c>
      <c r="G350" s="50"/>
    </row>
    <row r="351" spans="1:8" ht="15.75" customHeight="1">
      <c r="A351" s="42" t="s">
        <v>9</v>
      </c>
      <c r="B351" s="1" t="s">
        <v>358</v>
      </c>
      <c r="C351" s="43">
        <v>2820174</v>
      </c>
      <c r="D351" s="44" t="s">
        <v>71</v>
      </c>
      <c r="E351" s="66" t="s">
        <v>365</v>
      </c>
      <c r="G351" s="50"/>
    </row>
    <row r="352" spans="1:8" ht="15.75" customHeight="1">
      <c r="A352" s="42" t="s">
        <v>9</v>
      </c>
      <c r="B352" s="1" t="s">
        <v>358</v>
      </c>
      <c r="C352" s="43">
        <v>561568</v>
      </c>
      <c r="D352" s="44" t="s">
        <v>71</v>
      </c>
      <c r="E352" s="66" t="s">
        <v>246</v>
      </c>
      <c r="G352" s="50"/>
    </row>
    <row r="353" spans="1:7" ht="15.75" customHeight="1">
      <c r="A353" s="42" t="s">
        <v>9</v>
      </c>
      <c r="B353" s="1" t="s">
        <v>358</v>
      </c>
      <c r="C353" s="43">
        <v>5025668</v>
      </c>
      <c r="D353" s="44" t="s">
        <v>101</v>
      </c>
      <c r="E353" s="66" t="s">
        <v>286</v>
      </c>
      <c r="G353" s="50"/>
    </row>
    <row r="354" spans="1:7" ht="15.75" customHeight="1">
      <c r="A354" s="42" t="s">
        <v>9</v>
      </c>
      <c r="B354" s="1" t="s">
        <v>358</v>
      </c>
      <c r="C354" s="43">
        <v>2825523</v>
      </c>
      <c r="D354" s="44" t="s">
        <v>83</v>
      </c>
      <c r="E354" s="66" t="s">
        <v>366</v>
      </c>
      <c r="G354" s="50"/>
    </row>
    <row r="355" spans="1:7" ht="15.75" customHeight="1">
      <c r="A355" s="42" t="s">
        <v>9</v>
      </c>
      <c r="B355" s="1" t="s">
        <v>358</v>
      </c>
      <c r="C355" s="43">
        <v>593076</v>
      </c>
      <c r="D355" s="44" t="s">
        <v>101</v>
      </c>
      <c r="E355" s="66" t="s">
        <v>367</v>
      </c>
      <c r="G355" s="50"/>
    </row>
    <row r="356" spans="1:7" ht="15.75" customHeight="1">
      <c r="A356" s="42" t="s">
        <v>9</v>
      </c>
      <c r="B356" s="1" t="s">
        <v>358</v>
      </c>
      <c r="C356" s="43">
        <v>2818138</v>
      </c>
      <c r="D356" s="44" t="s">
        <v>83</v>
      </c>
      <c r="E356" s="66" t="s">
        <v>368</v>
      </c>
      <c r="G356" s="50"/>
    </row>
    <row r="357" spans="1:7" ht="15.75" customHeight="1">
      <c r="A357" s="42" t="s">
        <v>9</v>
      </c>
      <c r="B357" s="1" t="s">
        <v>358</v>
      </c>
      <c r="C357" s="43">
        <v>2219822</v>
      </c>
      <c r="D357" s="44" t="s">
        <v>83</v>
      </c>
      <c r="E357" s="66" t="s">
        <v>292</v>
      </c>
      <c r="G357" s="50"/>
    </row>
    <row r="358" spans="1:7" ht="15.75" customHeight="1">
      <c r="A358" s="42" t="s">
        <v>9</v>
      </c>
      <c r="B358" s="1" t="s">
        <v>358</v>
      </c>
      <c r="C358" s="43">
        <v>793660</v>
      </c>
      <c r="D358" s="44" t="s">
        <v>83</v>
      </c>
      <c r="E358" s="66" t="s">
        <v>369</v>
      </c>
      <c r="G358" s="50"/>
    </row>
    <row r="359" spans="1:7" ht="15.75" customHeight="1">
      <c r="A359" s="42" t="s">
        <v>9</v>
      </c>
      <c r="B359" s="1" t="s">
        <v>358</v>
      </c>
      <c r="C359" s="43">
        <v>2848011</v>
      </c>
      <c r="D359" s="44" t="s">
        <v>101</v>
      </c>
      <c r="E359" s="66" t="s">
        <v>370</v>
      </c>
      <c r="G359" s="50"/>
    </row>
    <row r="360" spans="1:7" ht="15.75" customHeight="1">
      <c r="A360" s="42" t="s">
        <v>9</v>
      </c>
      <c r="B360" s="1" t="s">
        <v>358</v>
      </c>
      <c r="C360" s="43">
        <v>800900</v>
      </c>
      <c r="D360" s="44" t="s">
        <v>71</v>
      </c>
      <c r="E360" s="66" t="s">
        <v>371</v>
      </c>
      <c r="G360" s="50"/>
    </row>
    <row r="361" spans="1:7" ht="15.75" customHeight="1">
      <c r="A361" s="42" t="s">
        <v>9</v>
      </c>
      <c r="B361" s="1" t="s">
        <v>358</v>
      </c>
      <c r="C361" s="43">
        <v>5025684</v>
      </c>
      <c r="D361" s="44" t="s">
        <v>71</v>
      </c>
      <c r="E361" s="66" t="s">
        <v>372</v>
      </c>
      <c r="G361" s="50"/>
    </row>
    <row r="362" spans="1:7" ht="15.75" customHeight="1">
      <c r="A362" s="42" t="s">
        <v>9</v>
      </c>
      <c r="B362" s="1" t="s">
        <v>358</v>
      </c>
      <c r="C362" s="43">
        <v>477690</v>
      </c>
      <c r="D362" s="44" t="s">
        <v>71</v>
      </c>
      <c r="E362" s="66" t="s">
        <v>373</v>
      </c>
      <c r="G362" s="50"/>
    </row>
    <row r="363" spans="1:7" ht="15.75" customHeight="1">
      <c r="A363" s="42" t="s">
        <v>9</v>
      </c>
      <c r="B363" s="1" t="s">
        <v>358</v>
      </c>
      <c r="C363" s="43">
        <v>5025689</v>
      </c>
      <c r="D363" s="44" t="s">
        <v>71</v>
      </c>
      <c r="E363" s="66" t="s">
        <v>311</v>
      </c>
      <c r="G363" s="50"/>
    </row>
    <row r="364" spans="1:7" ht="15.75" customHeight="1">
      <c r="A364" s="42" t="s">
        <v>9</v>
      </c>
      <c r="B364" s="1" t="s">
        <v>358</v>
      </c>
      <c r="C364" s="43">
        <v>800896</v>
      </c>
      <c r="D364" s="44" t="s">
        <v>71</v>
      </c>
      <c r="E364" s="66" t="s">
        <v>374</v>
      </c>
      <c r="G364" s="50"/>
    </row>
    <row r="365" spans="1:7" ht="15.75" customHeight="1">
      <c r="A365" s="42" t="s">
        <v>9</v>
      </c>
      <c r="B365" s="1" t="s">
        <v>358</v>
      </c>
      <c r="C365" s="43">
        <v>2928131</v>
      </c>
      <c r="D365" s="44" t="s">
        <v>101</v>
      </c>
      <c r="E365" s="66" t="s">
        <v>375</v>
      </c>
      <c r="G365" s="50"/>
    </row>
    <row r="366" spans="1:7" ht="15.75" customHeight="1">
      <c r="A366" s="42" t="s">
        <v>9</v>
      </c>
      <c r="B366" s="1" t="s">
        <v>358</v>
      </c>
      <c r="C366" s="43">
        <v>2930087</v>
      </c>
      <c r="D366" s="44" t="s">
        <v>71</v>
      </c>
      <c r="E366" s="66" t="s">
        <v>376</v>
      </c>
      <c r="G366" s="50"/>
    </row>
    <row r="367" spans="1:7" ht="15.75" customHeight="1">
      <c r="A367" s="42" t="s">
        <v>9</v>
      </c>
      <c r="B367" s="1" t="s">
        <v>358</v>
      </c>
      <c r="C367" s="43">
        <v>2928132</v>
      </c>
      <c r="D367" s="44" t="s">
        <v>71</v>
      </c>
      <c r="E367" s="66" t="s">
        <v>377</v>
      </c>
      <c r="G367" s="50"/>
    </row>
    <row r="368" spans="1:7" ht="15.75" customHeight="1">
      <c r="A368" s="42" t="s">
        <v>9</v>
      </c>
      <c r="B368" s="1" t="s">
        <v>358</v>
      </c>
      <c r="C368" s="43">
        <v>5025650</v>
      </c>
      <c r="D368" s="44" t="s">
        <v>71</v>
      </c>
      <c r="E368" s="66" t="s">
        <v>378</v>
      </c>
      <c r="G368" s="50"/>
    </row>
    <row r="369" spans="1:8" ht="15.75" customHeight="1">
      <c r="A369" s="42" t="s">
        <v>9</v>
      </c>
      <c r="B369" s="1" t="s">
        <v>358</v>
      </c>
      <c r="C369" s="43">
        <v>2350023</v>
      </c>
      <c r="D369" s="44" t="s">
        <v>71</v>
      </c>
      <c r="E369" s="66" t="s">
        <v>379</v>
      </c>
      <c r="G369" s="50"/>
    </row>
    <row r="370" spans="1:8" ht="15.75" customHeight="1">
      <c r="A370" s="42" t="s">
        <v>9</v>
      </c>
      <c r="B370" s="1" t="s">
        <v>358</v>
      </c>
      <c r="C370" s="43">
        <v>730897</v>
      </c>
      <c r="D370" s="44" t="s">
        <v>71</v>
      </c>
      <c r="E370" s="66" t="s">
        <v>346</v>
      </c>
      <c r="G370" s="50"/>
    </row>
    <row r="371" spans="1:8" ht="15.75" customHeight="1">
      <c r="A371" s="42" t="s">
        <v>9</v>
      </c>
      <c r="B371" s="1" t="s">
        <v>358</v>
      </c>
      <c r="C371" s="43">
        <v>2842003</v>
      </c>
      <c r="D371" s="44" t="s">
        <v>101</v>
      </c>
      <c r="E371" s="66" t="s">
        <v>380</v>
      </c>
      <c r="G371" s="50"/>
    </row>
    <row r="372" spans="1:8" ht="15.75" customHeight="1">
      <c r="A372" s="35" t="s">
        <v>10</v>
      </c>
      <c r="B372" s="36" t="s">
        <v>381</v>
      </c>
      <c r="C372" s="37" t="s">
        <v>68</v>
      </c>
      <c r="D372" s="38" t="s">
        <v>62</v>
      </c>
      <c r="E372" s="56" t="s">
        <v>69</v>
      </c>
      <c r="F372" s="40"/>
      <c r="G372" s="48" t="s">
        <v>70</v>
      </c>
      <c r="H372" s="41"/>
    </row>
    <row r="373" spans="1:8" ht="15.75" customHeight="1">
      <c r="A373" s="42" t="s">
        <v>10</v>
      </c>
      <c r="B373" s="1" t="s">
        <v>381</v>
      </c>
      <c r="C373" s="43">
        <v>593070</v>
      </c>
      <c r="D373" s="44" t="s">
        <v>90</v>
      </c>
      <c r="E373" s="66" t="s">
        <v>382</v>
      </c>
      <c r="G373" s="48" t="s">
        <v>383</v>
      </c>
    </row>
    <row r="374" spans="1:8" ht="15.75" customHeight="1">
      <c r="A374" s="42" t="s">
        <v>10</v>
      </c>
      <c r="B374" s="1" t="s">
        <v>381</v>
      </c>
      <c r="C374" s="43">
        <v>793655</v>
      </c>
      <c r="D374" s="44" t="s">
        <v>83</v>
      </c>
      <c r="E374" s="66" t="s">
        <v>384</v>
      </c>
      <c r="G374" s="48" t="s">
        <v>385</v>
      </c>
    </row>
    <row r="375" spans="1:8" ht="15.75" customHeight="1">
      <c r="A375" s="42" t="s">
        <v>10</v>
      </c>
      <c r="B375" s="1" t="s">
        <v>381</v>
      </c>
      <c r="C375" s="43">
        <v>2923091</v>
      </c>
      <c r="D375" s="44" t="s">
        <v>71</v>
      </c>
      <c r="E375" s="66" t="s">
        <v>386</v>
      </c>
      <c r="G375" s="48" t="s">
        <v>387</v>
      </c>
    </row>
    <row r="376" spans="1:8" ht="15.75" customHeight="1">
      <c r="A376" s="42" t="s">
        <v>10</v>
      </c>
      <c r="B376" s="1" t="s">
        <v>381</v>
      </c>
      <c r="C376" s="43">
        <v>793656</v>
      </c>
      <c r="D376" s="44" t="s">
        <v>83</v>
      </c>
      <c r="E376" s="66" t="s">
        <v>388</v>
      </c>
      <c r="G376" s="48" t="s">
        <v>389</v>
      </c>
    </row>
    <row r="377" spans="1:8" ht="15.75" customHeight="1">
      <c r="A377" s="42" t="s">
        <v>10</v>
      </c>
      <c r="B377" s="1" t="s">
        <v>381</v>
      </c>
      <c r="C377" s="43">
        <v>793657</v>
      </c>
      <c r="D377" s="44" t="s">
        <v>83</v>
      </c>
      <c r="E377" s="66" t="s">
        <v>390</v>
      </c>
      <c r="G377" s="48" t="s">
        <v>391</v>
      </c>
    </row>
    <row r="378" spans="1:8" ht="15.75" customHeight="1">
      <c r="A378" s="42" t="s">
        <v>10</v>
      </c>
      <c r="B378" s="1" t="s">
        <v>381</v>
      </c>
      <c r="C378" s="43">
        <v>784360</v>
      </c>
      <c r="D378" s="44" t="s">
        <v>83</v>
      </c>
      <c r="E378" s="66" t="s">
        <v>392</v>
      </c>
      <c r="G378" s="48" t="s">
        <v>393</v>
      </c>
    </row>
    <row r="379" spans="1:8" ht="15.75" customHeight="1">
      <c r="A379" s="42" t="s">
        <v>10</v>
      </c>
      <c r="B379" s="1" t="s">
        <v>381</v>
      </c>
      <c r="C379" s="43">
        <v>784361</v>
      </c>
      <c r="D379" s="44" t="s">
        <v>83</v>
      </c>
      <c r="E379" s="66" t="s">
        <v>394</v>
      </c>
      <c r="G379" s="48" t="s">
        <v>395</v>
      </c>
    </row>
    <row r="380" spans="1:8" ht="15.75" customHeight="1">
      <c r="A380" s="42" t="s">
        <v>10</v>
      </c>
      <c r="B380" s="1" t="s">
        <v>381</v>
      </c>
      <c r="C380" s="43">
        <v>757839</v>
      </c>
      <c r="D380" s="44" t="s">
        <v>83</v>
      </c>
      <c r="E380" s="66" t="s">
        <v>396</v>
      </c>
      <c r="G380" s="48" t="s">
        <v>397</v>
      </c>
    </row>
    <row r="381" spans="1:8" ht="15.75" customHeight="1">
      <c r="A381" s="42" t="s">
        <v>10</v>
      </c>
      <c r="B381" s="1" t="s">
        <v>381</v>
      </c>
      <c r="C381" s="43">
        <v>3152057</v>
      </c>
      <c r="D381" s="44" t="s">
        <v>83</v>
      </c>
      <c r="E381" s="66" t="s">
        <v>398</v>
      </c>
      <c r="G381" s="50"/>
    </row>
    <row r="382" spans="1:8" ht="15.75" customHeight="1">
      <c r="A382" s="42" t="s">
        <v>10</v>
      </c>
      <c r="B382" s="1" t="s">
        <v>381</v>
      </c>
      <c r="C382" s="43">
        <v>2920859</v>
      </c>
      <c r="D382" s="44" t="s">
        <v>101</v>
      </c>
      <c r="E382" s="66" t="s">
        <v>399</v>
      </c>
      <c r="G382" s="50"/>
    </row>
    <row r="383" spans="1:8" ht="15.75" customHeight="1">
      <c r="A383" s="42" t="s">
        <v>10</v>
      </c>
      <c r="B383" s="1" t="s">
        <v>381</v>
      </c>
      <c r="C383" s="43">
        <v>2920900</v>
      </c>
      <c r="D383" s="44" t="s">
        <v>80</v>
      </c>
      <c r="E383" s="66" t="s">
        <v>400</v>
      </c>
      <c r="G383" s="50"/>
    </row>
    <row r="384" spans="1:8" ht="15.75" customHeight="1">
      <c r="A384" s="42" t="s">
        <v>10</v>
      </c>
      <c r="B384" s="1" t="s">
        <v>381</v>
      </c>
      <c r="C384" s="43">
        <v>2873071</v>
      </c>
      <c r="D384" s="44" t="s">
        <v>71</v>
      </c>
      <c r="E384" s="67" t="s">
        <v>180</v>
      </c>
      <c r="G384" s="50"/>
    </row>
    <row r="385" spans="1:7" ht="15.75" customHeight="1">
      <c r="A385" s="42" t="s">
        <v>10</v>
      </c>
      <c r="B385" s="1" t="s">
        <v>381</v>
      </c>
      <c r="C385" s="43">
        <v>680867</v>
      </c>
      <c r="D385" s="44" t="s">
        <v>71</v>
      </c>
      <c r="E385" s="66" t="s">
        <v>401</v>
      </c>
      <c r="G385" s="50"/>
    </row>
    <row r="386" spans="1:7" ht="15.75" customHeight="1">
      <c r="A386" s="42" t="s">
        <v>10</v>
      </c>
      <c r="B386" s="1" t="s">
        <v>381</v>
      </c>
      <c r="C386" s="43">
        <v>680866</v>
      </c>
      <c r="D386" s="44" t="s">
        <v>71</v>
      </c>
      <c r="E386" s="66" t="s">
        <v>402</v>
      </c>
      <c r="G386" s="50"/>
    </row>
    <row r="387" spans="1:7" ht="15.75" customHeight="1">
      <c r="A387" s="42" t="s">
        <v>10</v>
      </c>
      <c r="B387" s="1" t="s">
        <v>381</v>
      </c>
      <c r="C387" s="43">
        <v>429492</v>
      </c>
      <c r="D387" s="44" t="s">
        <v>80</v>
      </c>
      <c r="E387" s="66" t="s">
        <v>332</v>
      </c>
      <c r="G387" s="50"/>
    </row>
    <row r="388" spans="1:7" ht="15.75" customHeight="1">
      <c r="A388" s="42" t="s">
        <v>10</v>
      </c>
      <c r="B388" s="1" t="s">
        <v>381</v>
      </c>
      <c r="C388" s="43">
        <v>2213347</v>
      </c>
      <c r="D388" s="44" t="s">
        <v>101</v>
      </c>
      <c r="E388" s="66" t="s">
        <v>403</v>
      </c>
      <c r="G388" s="50"/>
    </row>
    <row r="389" spans="1:7" ht="15.75" customHeight="1">
      <c r="A389" s="42" t="s">
        <v>10</v>
      </c>
      <c r="B389" s="1" t="s">
        <v>381</v>
      </c>
      <c r="C389" s="43">
        <v>2210611</v>
      </c>
      <c r="D389" s="44" t="s">
        <v>90</v>
      </c>
      <c r="E389" s="66" t="s">
        <v>404</v>
      </c>
      <c r="G389" s="50"/>
    </row>
    <row r="390" spans="1:7" ht="15.75" customHeight="1">
      <c r="A390" s="42" t="s">
        <v>10</v>
      </c>
      <c r="B390" s="1" t="s">
        <v>381</v>
      </c>
      <c r="C390" s="43">
        <v>2802015</v>
      </c>
      <c r="D390" s="44" t="s">
        <v>83</v>
      </c>
      <c r="E390" s="66" t="s">
        <v>405</v>
      </c>
      <c r="G390" s="50"/>
    </row>
    <row r="391" spans="1:7" ht="15.75" customHeight="1">
      <c r="A391" s="42" t="s">
        <v>10</v>
      </c>
      <c r="B391" s="1" t="s">
        <v>381</v>
      </c>
      <c r="C391" s="43">
        <v>2213346</v>
      </c>
      <c r="D391" s="44" t="s">
        <v>71</v>
      </c>
      <c r="E391" s="66" t="s">
        <v>406</v>
      </c>
      <c r="G391" s="50"/>
    </row>
    <row r="392" spans="1:7" ht="15.75" customHeight="1">
      <c r="A392" s="42" t="s">
        <v>10</v>
      </c>
      <c r="B392" s="1" t="s">
        <v>381</v>
      </c>
      <c r="C392" s="43">
        <v>708537</v>
      </c>
      <c r="D392" s="44" t="s">
        <v>71</v>
      </c>
      <c r="E392" s="66" t="s">
        <v>407</v>
      </c>
      <c r="G392" s="50"/>
    </row>
    <row r="393" spans="1:7" ht="15.75" customHeight="1">
      <c r="A393" s="42" t="s">
        <v>10</v>
      </c>
      <c r="B393" s="1" t="s">
        <v>381</v>
      </c>
      <c r="C393" s="43">
        <v>582470</v>
      </c>
      <c r="D393" s="44" t="s">
        <v>90</v>
      </c>
      <c r="E393" s="66" t="s">
        <v>408</v>
      </c>
      <c r="G393" s="50"/>
    </row>
    <row r="394" spans="1:7" ht="15.75" customHeight="1">
      <c r="A394" s="42" t="s">
        <v>10</v>
      </c>
      <c r="B394" s="1" t="s">
        <v>381</v>
      </c>
      <c r="C394" s="43">
        <v>546108</v>
      </c>
      <c r="D394" s="44" t="s">
        <v>71</v>
      </c>
      <c r="E394" s="66" t="s">
        <v>409</v>
      </c>
      <c r="G394" s="50"/>
    </row>
    <row r="395" spans="1:7" ht="15.75" customHeight="1">
      <c r="A395" s="42" t="s">
        <v>10</v>
      </c>
      <c r="B395" s="1" t="s">
        <v>381</v>
      </c>
      <c r="C395" s="43">
        <v>544545</v>
      </c>
      <c r="D395" s="44" t="s">
        <v>71</v>
      </c>
      <c r="E395" s="66" t="s">
        <v>410</v>
      </c>
      <c r="G395" s="50"/>
    </row>
    <row r="396" spans="1:7" ht="15.75" customHeight="1">
      <c r="A396" s="42" t="s">
        <v>10</v>
      </c>
      <c r="B396" s="1" t="s">
        <v>381</v>
      </c>
      <c r="C396" s="43">
        <v>708548</v>
      </c>
      <c r="D396" s="44" t="s">
        <v>71</v>
      </c>
      <c r="E396" s="66" t="s">
        <v>411</v>
      </c>
      <c r="G396" s="50"/>
    </row>
    <row r="397" spans="1:7" ht="15.75" customHeight="1">
      <c r="A397" s="42" t="s">
        <v>10</v>
      </c>
      <c r="B397" s="1" t="s">
        <v>381</v>
      </c>
      <c r="C397" s="43">
        <v>561501</v>
      </c>
      <c r="D397" s="44" t="s">
        <v>71</v>
      </c>
      <c r="E397" s="66" t="s">
        <v>412</v>
      </c>
      <c r="G397" s="50"/>
    </row>
    <row r="398" spans="1:7" ht="15.75" customHeight="1">
      <c r="A398" s="42" t="s">
        <v>10</v>
      </c>
      <c r="B398" s="1" t="s">
        <v>381</v>
      </c>
      <c r="C398" s="43">
        <v>751041</v>
      </c>
      <c r="D398" s="44" t="s">
        <v>71</v>
      </c>
      <c r="E398" s="67" t="s">
        <v>413</v>
      </c>
      <c r="G398" s="50"/>
    </row>
    <row r="399" spans="1:7" ht="15.75" customHeight="1">
      <c r="A399" s="42" t="s">
        <v>10</v>
      </c>
      <c r="B399" s="1" t="s">
        <v>381</v>
      </c>
      <c r="C399" s="43">
        <v>2809915</v>
      </c>
      <c r="D399" s="44" t="s">
        <v>71</v>
      </c>
      <c r="E399" s="67" t="s">
        <v>414</v>
      </c>
      <c r="G399" s="50"/>
    </row>
    <row r="400" spans="1:7" ht="15.75" customHeight="1">
      <c r="A400" s="42" t="s">
        <v>10</v>
      </c>
      <c r="B400" s="1" t="s">
        <v>381</v>
      </c>
      <c r="C400" s="43">
        <v>763852</v>
      </c>
      <c r="D400" s="44" t="s">
        <v>83</v>
      </c>
      <c r="E400" s="67" t="s">
        <v>415</v>
      </c>
      <c r="G400" s="50"/>
    </row>
    <row r="401" spans="1:7" ht="15.75" customHeight="1">
      <c r="A401" s="42" t="s">
        <v>10</v>
      </c>
      <c r="B401" s="1" t="s">
        <v>381</v>
      </c>
      <c r="C401" s="43">
        <v>2814051</v>
      </c>
      <c r="D401" s="44" t="s">
        <v>101</v>
      </c>
      <c r="E401" s="67" t="s">
        <v>416</v>
      </c>
      <c r="G401" s="50"/>
    </row>
    <row r="402" spans="1:7" ht="15.75" customHeight="1">
      <c r="A402" s="42" t="s">
        <v>10</v>
      </c>
      <c r="B402" s="1" t="s">
        <v>381</v>
      </c>
      <c r="C402" s="43">
        <v>2929110</v>
      </c>
      <c r="D402" s="44" t="s">
        <v>101</v>
      </c>
      <c r="E402" s="67" t="s">
        <v>417</v>
      </c>
      <c r="G402" s="50"/>
    </row>
    <row r="403" spans="1:7" ht="15.75" customHeight="1">
      <c r="A403" s="42" t="s">
        <v>10</v>
      </c>
      <c r="B403" s="1" t="s">
        <v>381</v>
      </c>
      <c r="C403" s="43">
        <v>2929109</v>
      </c>
      <c r="D403" s="44" t="s">
        <v>83</v>
      </c>
      <c r="E403" s="66" t="s">
        <v>418</v>
      </c>
      <c r="G403" s="50"/>
    </row>
    <row r="404" spans="1:7" ht="15.75" customHeight="1">
      <c r="A404" s="42" t="s">
        <v>10</v>
      </c>
      <c r="B404" s="1" t="s">
        <v>381</v>
      </c>
      <c r="C404" s="43">
        <v>763117</v>
      </c>
      <c r="D404" s="44" t="s">
        <v>83</v>
      </c>
      <c r="E404" s="67" t="s">
        <v>419</v>
      </c>
      <c r="G404" s="50"/>
    </row>
    <row r="405" spans="1:7" ht="15.75" customHeight="1">
      <c r="A405" s="42" t="s">
        <v>10</v>
      </c>
      <c r="B405" s="1" t="s">
        <v>381</v>
      </c>
      <c r="C405" s="43">
        <v>795012</v>
      </c>
      <c r="D405" s="44" t="s">
        <v>71</v>
      </c>
      <c r="E405" s="67" t="s">
        <v>420</v>
      </c>
      <c r="G405" s="50"/>
    </row>
    <row r="406" spans="1:7" ht="15.75" customHeight="1">
      <c r="A406" s="42" t="s">
        <v>10</v>
      </c>
      <c r="B406" s="1" t="s">
        <v>381</v>
      </c>
      <c r="C406" s="43">
        <v>2837252</v>
      </c>
      <c r="D406" s="44" t="s">
        <v>71</v>
      </c>
      <c r="E406" s="67" t="s">
        <v>421</v>
      </c>
      <c r="G406" s="50"/>
    </row>
    <row r="407" spans="1:7" ht="15.75" customHeight="1">
      <c r="A407" s="42" t="s">
        <v>10</v>
      </c>
      <c r="B407" s="1" t="s">
        <v>381</v>
      </c>
      <c r="C407" s="43">
        <v>2822599</v>
      </c>
      <c r="D407" s="44" t="s">
        <v>90</v>
      </c>
      <c r="E407" s="67" t="s">
        <v>422</v>
      </c>
      <c r="G407" s="50"/>
    </row>
    <row r="408" spans="1:7" ht="15.75" customHeight="1">
      <c r="A408" s="42" t="s">
        <v>10</v>
      </c>
      <c r="B408" s="1" t="s">
        <v>381</v>
      </c>
      <c r="C408" s="43">
        <v>2823398</v>
      </c>
      <c r="D408" s="44" t="s">
        <v>83</v>
      </c>
      <c r="E408" s="66" t="s">
        <v>423</v>
      </c>
      <c r="G408" s="50"/>
    </row>
    <row r="409" spans="1:7" ht="15.75" customHeight="1">
      <c r="A409" s="42" t="s">
        <v>10</v>
      </c>
      <c r="B409" s="1" t="s">
        <v>381</v>
      </c>
      <c r="C409" s="43">
        <v>680864</v>
      </c>
      <c r="D409" s="44" t="s">
        <v>83</v>
      </c>
      <c r="E409" s="66" t="s">
        <v>424</v>
      </c>
      <c r="G409" s="50"/>
    </row>
    <row r="410" spans="1:7" ht="15.75" customHeight="1">
      <c r="A410" s="42" t="s">
        <v>10</v>
      </c>
      <c r="B410" s="1" t="s">
        <v>381</v>
      </c>
      <c r="C410" s="43">
        <v>680865</v>
      </c>
      <c r="D410" s="44" t="s">
        <v>71</v>
      </c>
      <c r="E410" s="66" t="s">
        <v>425</v>
      </c>
      <c r="G410" s="50"/>
    </row>
    <row r="411" spans="1:7" ht="15.75" customHeight="1">
      <c r="A411" s="42" t="s">
        <v>10</v>
      </c>
      <c r="B411" s="1" t="s">
        <v>381</v>
      </c>
      <c r="C411" s="43">
        <v>784358</v>
      </c>
      <c r="D411" s="44" t="s">
        <v>83</v>
      </c>
      <c r="E411" s="66" t="s">
        <v>426</v>
      </c>
      <c r="G411" s="50"/>
    </row>
    <row r="412" spans="1:7" ht="15.75" customHeight="1">
      <c r="A412" s="42" t="s">
        <v>10</v>
      </c>
      <c r="B412" s="1" t="s">
        <v>381</v>
      </c>
      <c r="C412" s="43">
        <v>784359</v>
      </c>
      <c r="D412" s="44" t="s">
        <v>83</v>
      </c>
      <c r="E412" s="66" t="s">
        <v>427</v>
      </c>
      <c r="G412" s="50"/>
    </row>
    <row r="413" spans="1:7" ht="15.75" customHeight="1">
      <c r="A413" s="42" t="s">
        <v>10</v>
      </c>
      <c r="B413" s="1" t="s">
        <v>381</v>
      </c>
      <c r="C413" s="43">
        <v>2839031</v>
      </c>
      <c r="D413" s="44" t="s">
        <v>83</v>
      </c>
      <c r="E413" s="66" t="s">
        <v>428</v>
      </c>
      <c r="G413" s="50"/>
    </row>
    <row r="414" spans="1:7" ht="15.75" customHeight="1">
      <c r="A414" s="42" t="s">
        <v>10</v>
      </c>
      <c r="B414" s="1" t="s">
        <v>381</v>
      </c>
      <c r="C414" s="43">
        <v>5025640</v>
      </c>
      <c r="D414" s="44" t="s">
        <v>83</v>
      </c>
      <c r="E414" s="66" t="s">
        <v>429</v>
      </c>
      <c r="G414" s="50"/>
    </row>
    <row r="415" spans="1:7" ht="15.75" customHeight="1">
      <c r="A415" s="42" t="s">
        <v>10</v>
      </c>
      <c r="B415" s="1" t="s">
        <v>381</v>
      </c>
      <c r="C415" s="43">
        <v>2290226</v>
      </c>
      <c r="D415" s="44" t="s">
        <v>101</v>
      </c>
      <c r="E415" s="66" t="s">
        <v>430</v>
      </c>
      <c r="F415" s="51" t="s">
        <v>431</v>
      </c>
      <c r="G415" s="50"/>
    </row>
    <row r="416" spans="1:7" ht="15.75" customHeight="1">
      <c r="A416" s="42" t="s">
        <v>10</v>
      </c>
      <c r="B416" s="1" t="s">
        <v>381</v>
      </c>
      <c r="C416" s="43">
        <v>429812</v>
      </c>
      <c r="D416" s="44" t="s">
        <v>83</v>
      </c>
      <c r="E416" s="66" t="s">
        <v>432</v>
      </c>
      <c r="F416" s="51"/>
      <c r="G416" s="50"/>
    </row>
    <row r="417" spans="1:8" ht="15.75" customHeight="1">
      <c r="A417" s="42" t="s">
        <v>10</v>
      </c>
      <c r="B417" s="1" t="s">
        <v>381</v>
      </c>
      <c r="C417" s="43">
        <v>2930864</v>
      </c>
      <c r="D417" s="44" t="s">
        <v>101</v>
      </c>
      <c r="E417" s="66" t="s">
        <v>433</v>
      </c>
      <c r="F417" s="109"/>
      <c r="G417" s="50"/>
    </row>
    <row r="418" spans="1:8" ht="15.75" customHeight="1">
      <c r="A418" s="42" t="s">
        <v>10</v>
      </c>
      <c r="B418" s="1" t="s">
        <v>381</v>
      </c>
      <c r="C418" s="43">
        <v>2825447</v>
      </c>
      <c r="D418" s="44" t="s">
        <v>101</v>
      </c>
      <c r="E418" s="66" t="s">
        <v>434</v>
      </c>
      <c r="F418" s="109"/>
      <c r="G418" s="50"/>
    </row>
    <row r="419" spans="1:8" ht="15.75" customHeight="1">
      <c r="A419" s="42" t="s">
        <v>10</v>
      </c>
      <c r="B419" s="1" t="s">
        <v>381</v>
      </c>
      <c r="C419" s="43">
        <v>2809483</v>
      </c>
      <c r="D419" s="44" t="s">
        <v>101</v>
      </c>
      <c r="E419" s="66" t="s">
        <v>435</v>
      </c>
      <c r="F419" s="109"/>
      <c r="G419" s="50"/>
    </row>
    <row r="420" spans="1:8" ht="15.75" customHeight="1">
      <c r="A420" s="42" t="s">
        <v>10</v>
      </c>
      <c r="B420" s="1" t="s">
        <v>381</v>
      </c>
      <c r="C420" s="43">
        <v>3107600</v>
      </c>
      <c r="D420" s="44" t="s">
        <v>101</v>
      </c>
      <c r="E420" s="66" t="s">
        <v>436</v>
      </c>
      <c r="F420" s="109"/>
      <c r="G420" s="50"/>
    </row>
    <row r="421" spans="1:8" ht="15.75" customHeight="1">
      <c r="A421" s="42" t="s">
        <v>10</v>
      </c>
      <c r="B421" s="1" t="s">
        <v>381</v>
      </c>
      <c r="C421" s="43">
        <v>2815049</v>
      </c>
      <c r="D421" s="44" t="s">
        <v>83</v>
      </c>
      <c r="E421" s="66" t="s">
        <v>437</v>
      </c>
      <c r="F421" s="109"/>
      <c r="G421" s="50"/>
    </row>
    <row r="422" spans="1:8" ht="15.75" customHeight="1">
      <c r="A422" s="42" t="s">
        <v>10</v>
      </c>
      <c r="B422" s="1" t="s">
        <v>381</v>
      </c>
      <c r="C422" s="43">
        <v>2822633</v>
      </c>
      <c r="D422" s="44" t="s">
        <v>71</v>
      </c>
      <c r="E422" s="66" t="s">
        <v>438</v>
      </c>
      <c r="F422" s="109"/>
      <c r="G422" s="50"/>
    </row>
    <row r="423" spans="1:8" ht="15.75" customHeight="1">
      <c r="A423" s="42" t="s">
        <v>10</v>
      </c>
      <c r="B423" s="1" t="s">
        <v>381</v>
      </c>
      <c r="C423" s="43">
        <v>2825448</v>
      </c>
      <c r="D423" s="44" t="s">
        <v>71</v>
      </c>
      <c r="E423" s="66" t="s">
        <v>439</v>
      </c>
      <c r="F423" s="109"/>
      <c r="G423" s="50"/>
    </row>
    <row r="424" spans="1:8" ht="15.75" customHeight="1">
      <c r="A424" s="42" t="s">
        <v>10</v>
      </c>
      <c r="B424" s="1" t="s">
        <v>381</v>
      </c>
      <c r="C424" s="43">
        <v>762683</v>
      </c>
      <c r="D424" s="44" t="s">
        <v>101</v>
      </c>
      <c r="E424" s="66" t="s">
        <v>440</v>
      </c>
      <c r="F424" s="109"/>
      <c r="G424" s="50"/>
    </row>
    <row r="425" spans="1:8" ht="15.75" customHeight="1">
      <c r="A425" s="42" t="s">
        <v>10</v>
      </c>
      <c r="B425" s="1" t="s">
        <v>381</v>
      </c>
      <c r="C425" s="43">
        <v>793661</v>
      </c>
      <c r="D425" s="44" t="s">
        <v>90</v>
      </c>
      <c r="E425" s="66" t="s">
        <v>441</v>
      </c>
      <c r="F425" s="109"/>
      <c r="G425" s="50"/>
    </row>
    <row r="426" spans="1:8" ht="15.75" customHeight="1">
      <c r="A426" s="42" t="s">
        <v>10</v>
      </c>
      <c r="B426" s="1" t="s">
        <v>381</v>
      </c>
      <c r="C426" s="43">
        <v>762684</v>
      </c>
      <c r="D426" s="44" t="s">
        <v>101</v>
      </c>
      <c r="E426" s="66" t="s">
        <v>442</v>
      </c>
      <c r="F426" s="109"/>
      <c r="G426" s="50"/>
    </row>
    <row r="427" spans="1:8" ht="15.75" customHeight="1">
      <c r="A427" s="42" t="s">
        <v>10</v>
      </c>
      <c r="B427" s="1" t="s">
        <v>381</v>
      </c>
      <c r="C427" s="43">
        <v>793662</v>
      </c>
      <c r="D427" s="44" t="s">
        <v>90</v>
      </c>
      <c r="E427" s="66" t="s">
        <v>443</v>
      </c>
      <c r="F427" s="109"/>
      <c r="G427" s="50"/>
    </row>
    <row r="428" spans="1:8" ht="15.75" customHeight="1">
      <c r="A428" s="42" t="s">
        <v>10</v>
      </c>
      <c r="B428" s="1" t="s">
        <v>381</v>
      </c>
      <c r="C428" s="43">
        <v>2996868</v>
      </c>
      <c r="D428" s="44" t="s">
        <v>101</v>
      </c>
      <c r="E428" s="66" t="s">
        <v>444</v>
      </c>
      <c r="F428" s="109"/>
      <c r="G428" s="50"/>
    </row>
    <row r="429" spans="1:8" ht="15.75" customHeight="1">
      <c r="A429" s="52" t="s">
        <v>11</v>
      </c>
      <c r="B429" s="53" t="s">
        <v>445</v>
      </c>
      <c r="C429" s="54" t="s">
        <v>68</v>
      </c>
      <c r="D429" s="55" t="s">
        <v>62</v>
      </c>
      <c r="E429" s="56" t="s">
        <v>69</v>
      </c>
      <c r="F429" s="57"/>
      <c r="G429" s="48" t="s">
        <v>70</v>
      </c>
      <c r="H429" s="58"/>
    </row>
    <row r="430" spans="1:8" ht="15.75" customHeight="1">
      <c r="A430" s="42" t="s">
        <v>11</v>
      </c>
      <c r="B430" s="1" t="s">
        <v>445</v>
      </c>
      <c r="C430" s="43">
        <v>2220562</v>
      </c>
      <c r="D430" s="44" t="s">
        <v>90</v>
      </c>
      <c r="E430" s="66" t="s">
        <v>446</v>
      </c>
      <c r="G430" s="48" t="s">
        <v>447</v>
      </c>
    </row>
    <row r="431" spans="1:8" ht="15.75" customHeight="1">
      <c r="A431" s="42" t="s">
        <v>11</v>
      </c>
      <c r="B431" s="1" t="s">
        <v>445</v>
      </c>
      <c r="C431" s="43">
        <v>708545</v>
      </c>
      <c r="D431" s="44" t="s">
        <v>101</v>
      </c>
      <c r="E431" s="66" t="s">
        <v>448</v>
      </c>
      <c r="G431" s="48" t="s">
        <v>449</v>
      </c>
    </row>
    <row r="432" spans="1:8" ht="15.75" customHeight="1">
      <c r="A432" s="42" t="s">
        <v>11</v>
      </c>
      <c r="B432" s="1" t="s">
        <v>445</v>
      </c>
      <c r="C432" s="43">
        <v>2424719</v>
      </c>
      <c r="D432" s="44" t="s">
        <v>71</v>
      </c>
      <c r="E432" s="67" t="s">
        <v>450</v>
      </c>
      <c r="G432" s="48" t="s">
        <v>451</v>
      </c>
    </row>
    <row r="433" spans="1:7" ht="15.75" customHeight="1">
      <c r="A433" s="42" t="s">
        <v>11</v>
      </c>
      <c r="B433" s="1" t="s">
        <v>445</v>
      </c>
      <c r="C433" s="43">
        <v>489222</v>
      </c>
      <c r="D433" s="44" t="s">
        <v>90</v>
      </c>
      <c r="E433" s="66" t="s">
        <v>452</v>
      </c>
      <c r="G433" s="48" t="s">
        <v>453</v>
      </c>
    </row>
    <row r="434" spans="1:7" ht="15.75" customHeight="1">
      <c r="A434" s="42" t="s">
        <v>11</v>
      </c>
      <c r="B434" s="1" t="s">
        <v>445</v>
      </c>
      <c r="C434" s="43">
        <v>504435</v>
      </c>
      <c r="D434" s="44" t="s">
        <v>90</v>
      </c>
      <c r="E434" s="66" t="s">
        <v>454</v>
      </c>
      <c r="G434" s="50"/>
    </row>
    <row r="435" spans="1:7" ht="15.75" customHeight="1">
      <c r="A435" s="42" t="s">
        <v>11</v>
      </c>
      <c r="B435" s="1" t="s">
        <v>445</v>
      </c>
      <c r="C435" s="43">
        <v>498898</v>
      </c>
      <c r="D435" s="44" t="s">
        <v>90</v>
      </c>
      <c r="E435" s="66" t="s">
        <v>455</v>
      </c>
      <c r="G435" s="50"/>
    </row>
    <row r="436" spans="1:7" ht="15.75" customHeight="1">
      <c r="A436" s="42" t="s">
        <v>11</v>
      </c>
      <c r="B436" s="1" t="s">
        <v>445</v>
      </c>
      <c r="C436" s="43">
        <v>2813163</v>
      </c>
      <c r="D436" s="44" t="s">
        <v>90</v>
      </c>
      <c r="E436" s="67" t="s">
        <v>456</v>
      </c>
      <c r="G436" s="50"/>
    </row>
    <row r="437" spans="1:7" ht="15.75" customHeight="1">
      <c r="A437" s="42" t="s">
        <v>11</v>
      </c>
      <c r="B437" s="1" t="s">
        <v>445</v>
      </c>
      <c r="C437" s="43">
        <v>2822630</v>
      </c>
      <c r="D437" s="44" t="s">
        <v>90</v>
      </c>
      <c r="E437" s="66" t="s">
        <v>457</v>
      </c>
      <c r="G437" s="50"/>
    </row>
    <row r="438" spans="1:7" ht="15.75" customHeight="1">
      <c r="A438" s="42" t="s">
        <v>11</v>
      </c>
      <c r="B438" s="1" t="s">
        <v>445</v>
      </c>
      <c r="C438" s="43">
        <v>2809914</v>
      </c>
      <c r="D438" s="44" t="s">
        <v>83</v>
      </c>
      <c r="E438" s="67" t="s">
        <v>458</v>
      </c>
      <c r="G438" s="50"/>
    </row>
    <row r="439" spans="1:7" ht="15.75" customHeight="1">
      <c r="A439" s="42" t="s">
        <v>11</v>
      </c>
      <c r="B439" s="1" t="s">
        <v>445</v>
      </c>
      <c r="C439" s="43">
        <v>582455</v>
      </c>
      <c r="D439" s="44" t="s">
        <v>101</v>
      </c>
      <c r="E439" s="67" t="s">
        <v>459</v>
      </c>
      <c r="G439" s="50"/>
    </row>
    <row r="440" spans="1:7" ht="15.75" customHeight="1">
      <c r="A440" s="42" t="s">
        <v>11</v>
      </c>
      <c r="B440" s="1" t="s">
        <v>445</v>
      </c>
      <c r="C440" s="43">
        <v>482695</v>
      </c>
      <c r="D440" s="44" t="s">
        <v>83</v>
      </c>
      <c r="E440" s="66" t="s">
        <v>460</v>
      </c>
      <c r="G440" s="50"/>
    </row>
    <row r="441" spans="1:7" ht="15.75" customHeight="1">
      <c r="A441" s="42" t="s">
        <v>11</v>
      </c>
      <c r="B441" s="1" t="s">
        <v>445</v>
      </c>
      <c r="C441" s="43">
        <v>2922713</v>
      </c>
      <c r="D441" s="44" t="s">
        <v>101</v>
      </c>
      <c r="E441" s="66" t="s">
        <v>461</v>
      </c>
      <c r="G441" s="50"/>
    </row>
    <row r="442" spans="1:7" ht="15.75" customHeight="1">
      <c r="A442" s="42" t="s">
        <v>11</v>
      </c>
      <c r="B442" s="1" t="s">
        <v>445</v>
      </c>
      <c r="C442" s="43">
        <v>2923070</v>
      </c>
      <c r="D442" s="44" t="s">
        <v>90</v>
      </c>
      <c r="E442" s="66" t="s">
        <v>462</v>
      </c>
      <c r="G442" s="50"/>
    </row>
    <row r="443" spans="1:7" ht="15.75" customHeight="1">
      <c r="A443" s="42" t="s">
        <v>11</v>
      </c>
      <c r="B443" s="1" t="s">
        <v>445</v>
      </c>
      <c r="C443" s="43">
        <v>748214</v>
      </c>
      <c r="D443" s="44" t="s">
        <v>101</v>
      </c>
      <c r="E443" s="66" t="s">
        <v>463</v>
      </c>
      <c r="G443" s="50"/>
    </row>
    <row r="444" spans="1:7" ht="15.75" customHeight="1">
      <c r="A444" s="42" t="s">
        <v>11</v>
      </c>
      <c r="B444" s="1" t="s">
        <v>445</v>
      </c>
      <c r="C444" s="43">
        <v>405890</v>
      </c>
      <c r="D444" s="44" t="s">
        <v>83</v>
      </c>
      <c r="E444" s="66" t="s">
        <v>464</v>
      </c>
      <c r="G444" s="50"/>
    </row>
    <row r="445" spans="1:7" ht="15.75" customHeight="1">
      <c r="A445" s="42" t="s">
        <v>11</v>
      </c>
      <c r="B445" s="1" t="s">
        <v>445</v>
      </c>
      <c r="C445" s="43">
        <v>568991</v>
      </c>
      <c r="D445" s="44" t="s">
        <v>101</v>
      </c>
      <c r="E445" s="66" t="s">
        <v>465</v>
      </c>
      <c r="G445" s="50"/>
    </row>
    <row r="446" spans="1:7" ht="15.75" customHeight="1">
      <c r="A446" s="42" t="s">
        <v>11</v>
      </c>
      <c r="B446" s="1" t="s">
        <v>445</v>
      </c>
      <c r="C446" s="43">
        <v>190316</v>
      </c>
      <c r="D446" s="44" t="s">
        <v>83</v>
      </c>
      <c r="E446" s="66" t="s">
        <v>466</v>
      </c>
      <c r="G446" s="50"/>
    </row>
    <row r="447" spans="1:7" ht="15.75" customHeight="1">
      <c r="A447" s="42" t="s">
        <v>11</v>
      </c>
      <c r="B447" s="1" t="s">
        <v>445</v>
      </c>
      <c r="C447" s="43">
        <v>190315</v>
      </c>
      <c r="D447" s="44" t="s">
        <v>83</v>
      </c>
      <c r="E447" s="66" t="s">
        <v>467</v>
      </c>
      <c r="G447" s="50"/>
    </row>
    <row r="448" spans="1:7" ht="15.75" customHeight="1">
      <c r="A448" s="42" t="s">
        <v>11</v>
      </c>
      <c r="B448" s="1" t="s">
        <v>445</v>
      </c>
      <c r="C448" s="43">
        <v>417737</v>
      </c>
      <c r="D448" s="44" t="s">
        <v>83</v>
      </c>
      <c r="E448" s="66" t="s">
        <v>468</v>
      </c>
      <c r="G448" s="50"/>
    </row>
    <row r="449" spans="1:8" ht="15.75" customHeight="1">
      <c r="A449" s="42" t="s">
        <v>11</v>
      </c>
      <c r="B449" s="1" t="s">
        <v>445</v>
      </c>
      <c r="C449" s="43">
        <v>190317</v>
      </c>
      <c r="D449" s="44" t="s">
        <v>83</v>
      </c>
      <c r="E449" s="66" t="s">
        <v>469</v>
      </c>
      <c r="G449" s="50"/>
    </row>
    <row r="450" spans="1:8" ht="15.75" customHeight="1">
      <c r="A450" s="42" t="s">
        <v>11</v>
      </c>
      <c r="B450" s="1" t="s">
        <v>445</v>
      </c>
      <c r="C450" s="43">
        <v>408447</v>
      </c>
      <c r="D450" s="44" t="s">
        <v>83</v>
      </c>
      <c r="E450" s="66" t="s">
        <v>470</v>
      </c>
      <c r="G450" s="50"/>
    </row>
    <row r="451" spans="1:8" ht="15.75" customHeight="1">
      <c r="A451" s="42" t="s">
        <v>11</v>
      </c>
      <c r="B451" s="1" t="s">
        <v>445</v>
      </c>
      <c r="C451" s="43">
        <v>2861077</v>
      </c>
      <c r="D451" s="44" t="s">
        <v>83</v>
      </c>
      <c r="E451" s="66" t="s">
        <v>342</v>
      </c>
      <c r="G451" s="50"/>
    </row>
    <row r="452" spans="1:8" ht="15.75" customHeight="1">
      <c r="A452" s="42" t="s">
        <v>11</v>
      </c>
      <c r="B452" s="1" t="s">
        <v>445</v>
      </c>
      <c r="C452" s="43">
        <v>5025687</v>
      </c>
      <c r="D452" s="44" t="s">
        <v>71</v>
      </c>
      <c r="E452" s="66" t="s">
        <v>471</v>
      </c>
      <c r="G452" s="50"/>
    </row>
    <row r="453" spans="1:8" ht="15.75" customHeight="1">
      <c r="A453" s="42" t="s">
        <v>11</v>
      </c>
      <c r="B453" s="1" t="s">
        <v>445</v>
      </c>
      <c r="C453" s="43">
        <v>497717</v>
      </c>
      <c r="D453" s="44" t="s">
        <v>71</v>
      </c>
      <c r="E453" s="66" t="s">
        <v>472</v>
      </c>
      <c r="G453" s="50"/>
    </row>
    <row r="454" spans="1:8" ht="15.75" customHeight="1">
      <c r="A454" s="42" t="s">
        <v>11</v>
      </c>
      <c r="B454" s="1" t="s">
        <v>445</v>
      </c>
      <c r="C454" s="43">
        <v>489553</v>
      </c>
      <c r="D454" s="44" t="s">
        <v>71</v>
      </c>
      <c r="E454" s="66" t="s">
        <v>473</v>
      </c>
      <c r="G454" s="50"/>
    </row>
    <row r="455" spans="1:8" ht="15.75" customHeight="1">
      <c r="A455" s="42" t="s">
        <v>11</v>
      </c>
      <c r="B455" s="1" t="s">
        <v>445</v>
      </c>
      <c r="C455" s="43">
        <v>2841039</v>
      </c>
      <c r="D455" s="44" t="s">
        <v>71</v>
      </c>
      <c r="E455" s="66" t="s">
        <v>474</v>
      </c>
      <c r="G455" s="50"/>
    </row>
    <row r="456" spans="1:8" ht="15.75" customHeight="1">
      <c r="A456" s="42" t="s">
        <v>11</v>
      </c>
      <c r="B456" s="1" t="s">
        <v>445</v>
      </c>
      <c r="C456" s="43">
        <v>2421810</v>
      </c>
      <c r="D456" s="44" t="s">
        <v>71</v>
      </c>
      <c r="E456" s="67" t="s">
        <v>475</v>
      </c>
      <c r="G456" s="50"/>
    </row>
    <row r="457" spans="1:8" ht="15.75" customHeight="1">
      <c r="A457" s="42" t="s">
        <v>11</v>
      </c>
      <c r="B457" s="1" t="s">
        <v>445</v>
      </c>
      <c r="C457" s="43">
        <v>748683</v>
      </c>
      <c r="D457" s="44" t="s">
        <v>71</v>
      </c>
      <c r="E457" s="67" t="s">
        <v>476</v>
      </c>
      <c r="G457" s="50"/>
    </row>
    <row r="458" spans="1:8" ht="15.75" customHeight="1">
      <c r="A458" s="42" t="s">
        <v>11</v>
      </c>
      <c r="B458" s="1" t="s">
        <v>445</v>
      </c>
      <c r="C458" s="43">
        <v>2841165</v>
      </c>
      <c r="D458" s="44" t="s">
        <v>71</v>
      </c>
      <c r="E458" s="66" t="s">
        <v>477</v>
      </c>
      <c r="G458" s="50"/>
    </row>
    <row r="459" spans="1:8" ht="15.75" customHeight="1">
      <c r="A459" s="42" t="s">
        <v>11</v>
      </c>
      <c r="B459" s="1" t="s">
        <v>445</v>
      </c>
      <c r="C459" s="43">
        <v>2841163</v>
      </c>
      <c r="D459" s="44" t="s">
        <v>90</v>
      </c>
      <c r="E459" s="66" t="s">
        <v>478</v>
      </c>
      <c r="G459" s="50"/>
    </row>
    <row r="460" spans="1:8" ht="15.75" customHeight="1">
      <c r="A460" s="42" t="s">
        <v>11</v>
      </c>
      <c r="B460" s="1" t="s">
        <v>445</v>
      </c>
      <c r="C460" s="43">
        <v>2841164</v>
      </c>
      <c r="D460" s="44" t="s">
        <v>90</v>
      </c>
      <c r="E460" s="66" t="s">
        <v>479</v>
      </c>
      <c r="G460" s="50"/>
    </row>
    <row r="461" spans="1:8" ht="15.75" customHeight="1">
      <c r="A461" s="42" t="s">
        <v>11</v>
      </c>
      <c r="B461" s="1" t="s">
        <v>445</v>
      </c>
      <c r="C461" s="43">
        <v>490350</v>
      </c>
      <c r="D461" s="44" t="s">
        <v>83</v>
      </c>
      <c r="E461" s="66" t="s">
        <v>480</v>
      </c>
      <c r="G461" s="50"/>
    </row>
    <row r="462" spans="1:8" ht="15.75" customHeight="1">
      <c r="A462" s="60" t="s">
        <v>12</v>
      </c>
      <c r="B462" s="110" t="s">
        <v>481</v>
      </c>
      <c r="C462" s="62" t="s">
        <v>68</v>
      </c>
      <c r="D462" s="63" t="s">
        <v>62</v>
      </c>
      <c r="E462" s="56" t="s">
        <v>69</v>
      </c>
      <c r="F462" s="64"/>
      <c r="G462" s="48" t="s">
        <v>70</v>
      </c>
      <c r="H462" s="65"/>
    </row>
    <row r="463" spans="1:8" ht="15.75" customHeight="1">
      <c r="A463" s="42" t="s">
        <v>12</v>
      </c>
      <c r="B463" s="1" t="s">
        <v>481</v>
      </c>
      <c r="C463" s="43">
        <v>5025693</v>
      </c>
      <c r="D463" s="44" t="s">
        <v>71</v>
      </c>
      <c r="E463" s="66" t="s">
        <v>72</v>
      </c>
      <c r="G463" s="48" t="s">
        <v>482</v>
      </c>
    </row>
    <row r="464" spans="1:8" ht="15.75" customHeight="1">
      <c r="A464" s="42" t="s">
        <v>12</v>
      </c>
      <c r="B464" s="1" t="s">
        <v>481</v>
      </c>
      <c r="C464" s="43">
        <v>2873071</v>
      </c>
      <c r="D464" s="44" t="s">
        <v>71</v>
      </c>
      <c r="E464" s="67" t="s">
        <v>180</v>
      </c>
      <c r="G464" s="48" t="s">
        <v>184</v>
      </c>
    </row>
    <row r="465" spans="1:7" ht="15.75" customHeight="1">
      <c r="A465" s="42" t="s">
        <v>12</v>
      </c>
      <c r="B465" s="1" t="s">
        <v>481</v>
      </c>
      <c r="C465" s="43">
        <v>608982</v>
      </c>
      <c r="D465" s="44" t="s">
        <v>83</v>
      </c>
      <c r="E465" s="66" t="s">
        <v>88</v>
      </c>
      <c r="G465" s="48" t="s">
        <v>89</v>
      </c>
    </row>
    <row r="466" spans="1:7" ht="15.75" customHeight="1">
      <c r="A466" s="42" t="s">
        <v>12</v>
      </c>
      <c r="B466" s="1" t="s">
        <v>481</v>
      </c>
      <c r="C466" s="43">
        <v>5025679</v>
      </c>
      <c r="D466" s="44" t="s">
        <v>90</v>
      </c>
      <c r="E466" s="66" t="s">
        <v>91</v>
      </c>
      <c r="G466" s="48" t="s">
        <v>185</v>
      </c>
    </row>
    <row r="467" spans="1:7" ht="15.75" customHeight="1">
      <c r="A467" s="42" t="s">
        <v>12</v>
      </c>
      <c r="B467" s="1" t="s">
        <v>481</v>
      </c>
      <c r="C467" s="43">
        <v>2915508</v>
      </c>
      <c r="D467" s="44" t="s">
        <v>80</v>
      </c>
      <c r="E467" s="66" t="s">
        <v>261</v>
      </c>
      <c r="G467" s="50"/>
    </row>
    <row r="468" spans="1:7" ht="15.75" customHeight="1">
      <c r="A468" s="42" t="s">
        <v>12</v>
      </c>
      <c r="B468" s="1" t="s">
        <v>481</v>
      </c>
      <c r="C468" s="43">
        <v>2841605</v>
      </c>
      <c r="D468" s="44" t="s">
        <v>101</v>
      </c>
      <c r="E468" s="66" t="s">
        <v>215</v>
      </c>
      <c r="G468" s="50"/>
    </row>
    <row r="469" spans="1:7" ht="15.75" customHeight="1">
      <c r="A469" s="42" t="s">
        <v>12</v>
      </c>
      <c r="B469" s="1" t="s">
        <v>481</v>
      </c>
      <c r="C469" s="43">
        <v>2218979</v>
      </c>
      <c r="D469" s="44" t="s">
        <v>83</v>
      </c>
      <c r="E469" s="67" t="s">
        <v>483</v>
      </c>
      <c r="G469" s="50"/>
    </row>
    <row r="470" spans="1:7" ht="15.75" customHeight="1">
      <c r="A470" s="42" t="s">
        <v>12</v>
      </c>
      <c r="B470" s="1" t="s">
        <v>481</v>
      </c>
      <c r="C470" s="43">
        <v>2221544</v>
      </c>
      <c r="D470" s="44" t="s">
        <v>83</v>
      </c>
      <c r="E470" s="67" t="s">
        <v>484</v>
      </c>
      <c r="G470" s="50"/>
    </row>
    <row r="471" spans="1:7" ht="15.75" customHeight="1">
      <c r="A471" s="42" t="s">
        <v>12</v>
      </c>
      <c r="B471" s="1" t="s">
        <v>481</v>
      </c>
      <c r="C471" s="43">
        <v>5025658</v>
      </c>
      <c r="D471" s="44" t="s">
        <v>71</v>
      </c>
      <c r="E471" s="67" t="s">
        <v>104</v>
      </c>
      <c r="G471" s="50"/>
    </row>
    <row r="472" spans="1:7" ht="15.75" customHeight="1">
      <c r="A472" s="42" t="s">
        <v>12</v>
      </c>
      <c r="B472" s="1" t="s">
        <v>481</v>
      </c>
      <c r="C472" s="43">
        <v>732317</v>
      </c>
      <c r="D472" s="44" t="s">
        <v>71</v>
      </c>
      <c r="E472" s="66" t="s">
        <v>189</v>
      </c>
      <c r="G472" s="50"/>
    </row>
    <row r="473" spans="1:7" ht="15.75" customHeight="1">
      <c r="A473" s="42" t="s">
        <v>12</v>
      </c>
      <c r="B473" s="1" t="s">
        <v>481</v>
      </c>
      <c r="C473" s="43">
        <v>421140</v>
      </c>
      <c r="D473" s="44" t="s">
        <v>83</v>
      </c>
      <c r="E473" s="67" t="s">
        <v>190</v>
      </c>
      <c r="G473" s="50"/>
    </row>
    <row r="474" spans="1:7" ht="15.75" customHeight="1">
      <c r="A474" s="42" t="s">
        <v>12</v>
      </c>
      <c r="B474" s="1" t="s">
        <v>481</v>
      </c>
      <c r="C474" s="43">
        <v>2924306</v>
      </c>
      <c r="D474" s="44" t="s">
        <v>80</v>
      </c>
      <c r="E474" s="66" t="s">
        <v>192</v>
      </c>
      <c r="G474" s="50"/>
    </row>
    <row r="475" spans="1:7" ht="15.75" customHeight="1">
      <c r="A475" s="42" t="s">
        <v>12</v>
      </c>
      <c r="B475" s="1" t="s">
        <v>481</v>
      </c>
      <c r="C475" s="43">
        <v>5025680</v>
      </c>
      <c r="D475" s="44" t="s">
        <v>71</v>
      </c>
      <c r="E475" s="67" t="s">
        <v>109</v>
      </c>
      <c r="G475" s="50"/>
    </row>
    <row r="476" spans="1:7" ht="15.75" customHeight="1">
      <c r="A476" s="42" t="s">
        <v>12</v>
      </c>
      <c r="B476" s="1" t="s">
        <v>481</v>
      </c>
      <c r="C476" s="43">
        <v>5025691</v>
      </c>
      <c r="D476" s="44" t="s">
        <v>101</v>
      </c>
      <c r="E476" s="67" t="s">
        <v>193</v>
      </c>
      <c r="G476" s="50"/>
    </row>
    <row r="477" spans="1:7" ht="15.75" customHeight="1">
      <c r="A477" s="42" t="s">
        <v>12</v>
      </c>
      <c r="B477" s="1" t="s">
        <v>481</v>
      </c>
      <c r="C477" s="43">
        <v>587153</v>
      </c>
      <c r="D477" s="44" t="s">
        <v>71</v>
      </c>
      <c r="E477" s="67" t="s">
        <v>194</v>
      </c>
      <c r="G477" s="50"/>
    </row>
    <row r="478" spans="1:7" ht="15.75" customHeight="1">
      <c r="A478" s="42" t="s">
        <v>12</v>
      </c>
      <c r="B478" s="1" t="s">
        <v>481</v>
      </c>
      <c r="C478" s="43">
        <v>2996869</v>
      </c>
      <c r="D478" s="44" t="s">
        <v>80</v>
      </c>
      <c r="E478" s="66" t="s">
        <v>112</v>
      </c>
      <c r="G478" s="50"/>
    </row>
    <row r="479" spans="1:7" ht="15.75" customHeight="1">
      <c r="A479" s="42" t="s">
        <v>12</v>
      </c>
      <c r="B479" s="1" t="s">
        <v>481</v>
      </c>
      <c r="C479" s="43">
        <v>714715</v>
      </c>
      <c r="D479" s="44" t="s">
        <v>80</v>
      </c>
      <c r="E479" s="66" t="s">
        <v>485</v>
      </c>
      <c r="G479" s="50"/>
    </row>
    <row r="480" spans="1:7" ht="15.75" customHeight="1">
      <c r="A480" s="42" t="s">
        <v>12</v>
      </c>
      <c r="B480" s="1" t="s">
        <v>481</v>
      </c>
      <c r="C480" s="43">
        <v>748686</v>
      </c>
      <c r="D480" s="44" t="s">
        <v>90</v>
      </c>
      <c r="E480" s="66" t="s">
        <v>166</v>
      </c>
      <c r="G480" s="50"/>
    </row>
    <row r="481" spans="1:7" ht="15.75" customHeight="1">
      <c r="A481" s="42" t="s">
        <v>12</v>
      </c>
      <c r="B481" s="1" t="s">
        <v>481</v>
      </c>
      <c r="C481" s="43">
        <v>5025686</v>
      </c>
      <c r="D481" s="44" t="s">
        <v>71</v>
      </c>
      <c r="E481" s="66" t="s">
        <v>124</v>
      </c>
      <c r="G481" s="50"/>
    </row>
    <row r="482" spans="1:7" ht="15.75" customHeight="1">
      <c r="A482" s="42" t="s">
        <v>12</v>
      </c>
      <c r="B482" s="1" t="s">
        <v>481</v>
      </c>
      <c r="C482" s="43">
        <v>748685</v>
      </c>
      <c r="D482" s="44" t="s">
        <v>90</v>
      </c>
      <c r="E482" s="67" t="s">
        <v>197</v>
      </c>
      <c r="G482" s="50"/>
    </row>
    <row r="483" spans="1:7" ht="15.75" customHeight="1">
      <c r="A483" s="42" t="s">
        <v>12</v>
      </c>
      <c r="B483" s="1" t="s">
        <v>481</v>
      </c>
      <c r="C483" s="43">
        <v>2822449</v>
      </c>
      <c r="D483" s="44" t="s">
        <v>90</v>
      </c>
      <c r="E483" s="66" t="s">
        <v>486</v>
      </c>
      <c r="G483" s="50"/>
    </row>
    <row r="484" spans="1:7" ht="15.75" customHeight="1">
      <c r="A484" s="42" t="s">
        <v>12</v>
      </c>
      <c r="B484" s="1" t="s">
        <v>481</v>
      </c>
      <c r="C484" s="43">
        <v>5025665</v>
      </c>
      <c r="D484" s="44" t="s">
        <v>80</v>
      </c>
      <c r="E484" s="66" t="s">
        <v>198</v>
      </c>
      <c r="G484" s="50"/>
    </row>
    <row r="485" spans="1:7" ht="15.75" customHeight="1">
      <c r="A485" s="42" t="s">
        <v>12</v>
      </c>
      <c r="B485" s="1" t="s">
        <v>481</v>
      </c>
      <c r="C485" s="43">
        <v>587139</v>
      </c>
      <c r="D485" s="44" t="s">
        <v>83</v>
      </c>
      <c r="E485" s="66" t="s">
        <v>487</v>
      </c>
      <c r="G485" s="50"/>
    </row>
    <row r="486" spans="1:7" ht="15.75" customHeight="1">
      <c r="A486" s="42" t="s">
        <v>12</v>
      </c>
      <c r="B486" s="1" t="s">
        <v>481</v>
      </c>
      <c r="C486" s="43">
        <v>766236</v>
      </c>
      <c r="D486" s="44" t="s">
        <v>71</v>
      </c>
      <c r="E486" s="66" t="s">
        <v>488</v>
      </c>
      <c r="G486" s="50"/>
    </row>
    <row r="487" spans="1:7" ht="15.75" customHeight="1">
      <c r="A487" s="42" t="s">
        <v>12</v>
      </c>
      <c r="B487" s="1" t="s">
        <v>481</v>
      </c>
      <c r="C487" s="43">
        <v>714737</v>
      </c>
      <c r="D487" s="44" t="s">
        <v>71</v>
      </c>
      <c r="E487" s="66" t="s">
        <v>489</v>
      </c>
      <c r="G487" s="50"/>
    </row>
    <row r="488" spans="1:7" ht="15.75" customHeight="1">
      <c r="A488" s="42" t="s">
        <v>12</v>
      </c>
      <c r="B488" s="1" t="s">
        <v>481</v>
      </c>
      <c r="C488" s="43">
        <v>750056</v>
      </c>
      <c r="D488" s="44" t="s">
        <v>71</v>
      </c>
      <c r="E488" s="66" t="s">
        <v>490</v>
      </c>
      <c r="G488" s="50"/>
    </row>
    <row r="489" spans="1:7" ht="15.75" customHeight="1">
      <c r="A489" s="42" t="s">
        <v>12</v>
      </c>
      <c r="B489" s="1" t="s">
        <v>481</v>
      </c>
      <c r="C489" s="43">
        <v>750063</v>
      </c>
      <c r="D489" s="44" t="s">
        <v>101</v>
      </c>
      <c r="E489" s="66" t="s">
        <v>491</v>
      </c>
      <c r="G489" s="50"/>
    </row>
    <row r="490" spans="1:7" ht="15.75" customHeight="1">
      <c r="A490" s="42" t="s">
        <v>12</v>
      </c>
      <c r="B490" s="1" t="s">
        <v>481</v>
      </c>
      <c r="C490" s="43">
        <v>714717</v>
      </c>
      <c r="D490" s="44" t="s">
        <v>90</v>
      </c>
      <c r="E490" s="67" t="s">
        <v>131</v>
      </c>
      <c r="G490" s="50"/>
    </row>
    <row r="491" spans="1:7" ht="15.75" customHeight="1">
      <c r="A491" s="42" t="s">
        <v>12</v>
      </c>
      <c r="B491" s="1" t="s">
        <v>481</v>
      </c>
      <c r="C491" s="43">
        <v>587141</v>
      </c>
      <c r="D491" s="44" t="s">
        <v>80</v>
      </c>
      <c r="E491" s="66" t="s">
        <v>492</v>
      </c>
      <c r="G491" s="50"/>
    </row>
    <row r="492" spans="1:7" ht="15.75" customHeight="1">
      <c r="A492" s="42" t="s">
        <v>12</v>
      </c>
      <c r="B492" s="1" t="s">
        <v>481</v>
      </c>
      <c r="C492" s="43">
        <v>2841606</v>
      </c>
      <c r="D492" s="44" t="s">
        <v>83</v>
      </c>
      <c r="E492" s="66" t="s">
        <v>252</v>
      </c>
      <c r="G492" s="50"/>
    </row>
    <row r="493" spans="1:7" ht="15.75" customHeight="1">
      <c r="A493" s="42" t="s">
        <v>12</v>
      </c>
      <c r="B493" s="1" t="s">
        <v>481</v>
      </c>
      <c r="C493" s="43">
        <v>2422924</v>
      </c>
      <c r="D493" s="44" t="s">
        <v>90</v>
      </c>
      <c r="E493" s="67" t="s">
        <v>493</v>
      </c>
      <c r="G493" s="50"/>
    </row>
    <row r="494" spans="1:7" ht="15.75" customHeight="1">
      <c r="A494" s="42" t="s">
        <v>12</v>
      </c>
      <c r="B494" s="1" t="s">
        <v>481</v>
      </c>
      <c r="C494" s="43">
        <v>2815207</v>
      </c>
      <c r="D494" s="44" t="s">
        <v>83</v>
      </c>
      <c r="E494" s="66" t="s">
        <v>494</v>
      </c>
      <c r="G494" s="50"/>
    </row>
    <row r="495" spans="1:7" ht="15.75" customHeight="1">
      <c r="A495" s="42" t="s">
        <v>12</v>
      </c>
      <c r="B495" s="1" t="s">
        <v>481</v>
      </c>
      <c r="C495" s="43">
        <v>2925058</v>
      </c>
      <c r="D495" s="44" t="s">
        <v>101</v>
      </c>
      <c r="E495" s="66" t="s">
        <v>495</v>
      </c>
      <c r="G495" s="50"/>
    </row>
    <row r="496" spans="1:7" ht="15.75" customHeight="1">
      <c r="A496" s="42" t="s">
        <v>12</v>
      </c>
      <c r="B496" s="1" t="s">
        <v>481</v>
      </c>
      <c r="C496" s="43">
        <v>2836011</v>
      </c>
      <c r="D496" s="44" t="s">
        <v>80</v>
      </c>
      <c r="E496" s="66" t="s">
        <v>496</v>
      </c>
      <c r="G496" s="50"/>
    </row>
    <row r="497" spans="1:8" ht="15.75" customHeight="1">
      <c r="A497" s="42" t="s">
        <v>12</v>
      </c>
      <c r="B497" s="1" t="s">
        <v>481</v>
      </c>
      <c r="C497" s="43">
        <v>449379</v>
      </c>
      <c r="D497" s="44" t="s">
        <v>83</v>
      </c>
      <c r="E497" s="66" t="s">
        <v>139</v>
      </c>
      <c r="G497" s="50"/>
    </row>
    <row r="498" spans="1:8" ht="15.75" customHeight="1">
      <c r="A498" s="42" t="s">
        <v>12</v>
      </c>
      <c r="B498" s="1" t="s">
        <v>481</v>
      </c>
      <c r="C498" s="43">
        <v>2929113</v>
      </c>
      <c r="D498" s="44" t="s">
        <v>80</v>
      </c>
      <c r="E498" s="66" t="s">
        <v>497</v>
      </c>
      <c r="G498" s="50"/>
    </row>
    <row r="499" spans="1:8" ht="15.75" customHeight="1">
      <c r="A499" s="42" t="s">
        <v>12</v>
      </c>
      <c r="B499" s="1" t="s">
        <v>481</v>
      </c>
      <c r="C499" s="43">
        <v>750053</v>
      </c>
      <c r="D499" s="44" t="s">
        <v>71</v>
      </c>
      <c r="E499" s="66" t="s">
        <v>498</v>
      </c>
      <c r="G499" s="50"/>
    </row>
    <row r="500" spans="1:8" ht="15.75" customHeight="1">
      <c r="A500" s="42" t="s">
        <v>12</v>
      </c>
      <c r="B500" s="1" t="s">
        <v>481</v>
      </c>
      <c r="C500" s="43">
        <v>5024268</v>
      </c>
      <c r="D500" s="44" t="s">
        <v>101</v>
      </c>
      <c r="E500" s="67" t="s">
        <v>499</v>
      </c>
      <c r="G500" s="50"/>
    </row>
    <row r="501" spans="1:8" ht="15.75" customHeight="1">
      <c r="A501" s="42" t="s">
        <v>12</v>
      </c>
      <c r="B501" s="1" t="s">
        <v>481</v>
      </c>
      <c r="C501" s="43">
        <v>2929355</v>
      </c>
      <c r="D501" s="44" t="s">
        <v>71</v>
      </c>
      <c r="E501" s="66" t="s">
        <v>230</v>
      </c>
      <c r="G501" s="50"/>
    </row>
    <row r="502" spans="1:8" ht="15.75" customHeight="1">
      <c r="A502" s="42" t="s">
        <v>12</v>
      </c>
      <c r="B502" s="1" t="s">
        <v>481</v>
      </c>
      <c r="C502" s="43">
        <v>5036703</v>
      </c>
      <c r="D502" s="44" t="s">
        <v>101</v>
      </c>
      <c r="E502" s="67" t="s">
        <v>500</v>
      </c>
      <c r="G502" s="50"/>
    </row>
    <row r="503" spans="1:8" ht="15.75" customHeight="1">
      <c r="A503" s="42" t="s">
        <v>12</v>
      </c>
      <c r="B503" s="1" t="s">
        <v>481</v>
      </c>
      <c r="C503" s="43">
        <v>5036702</v>
      </c>
      <c r="D503" s="44" t="s">
        <v>101</v>
      </c>
      <c r="E503" s="66" t="s">
        <v>501</v>
      </c>
      <c r="G503" s="50"/>
    </row>
    <row r="504" spans="1:8" ht="15.75" customHeight="1">
      <c r="A504" s="42" t="s">
        <v>12</v>
      </c>
      <c r="B504" s="1" t="s">
        <v>481</v>
      </c>
      <c r="C504" s="43">
        <v>5024265</v>
      </c>
      <c r="D504" s="44" t="s">
        <v>71</v>
      </c>
      <c r="E504" s="66" t="s">
        <v>502</v>
      </c>
      <c r="G504" s="50"/>
    </row>
    <row r="505" spans="1:8" ht="15.75" customHeight="1">
      <c r="A505" s="42" t="s">
        <v>12</v>
      </c>
      <c r="B505" s="1" t="s">
        <v>481</v>
      </c>
      <c r="C505" s="43">
        <v>608965</v>
      </c>
      <c r="D505" s="44" t="s">
        <v>83</v>
      </c>
      <c r="E505" s="66" t="s">
        <v>203</v>
      </c>
      <c r="G505" s="50"/>
    </row>
    <row r="506" spans="1:8" ht="15.75" customHeight="1">
      <c r="A506" s="42" t="s">
        <v>12</v>
      </c>
      <c r="B506" s="1" t="s">
        <v>481</v>
      </c>
      <c r="C506" s="43">
        <v>622424</v>
      </c>
      <c r="D506" s="44" t="s">
        <v>83</v>
      </c>
      <c r="E506" s="67" t="s">
        <v>204</v>
      </c>
      <c r="G506" s="50"/>
    </row>
    <row r="507" spans="1:8" ht="15.75" customHeight="1">
      <c r="A507" s="42" t="s">
        <v>12</v>
      </c>
      <c r="B507" s="1" t="s">
        <v>481</v>
      </c>
      <c r="C507" s="43">
        <v>651777</v>
      </c>
      <c r="D507" s="44" t="s">
        <v>83</v>
      </c>
      <c r="E507" s="66" t="s">
        <v>503</v>
      </c>
      <c r="G507" s="50"/>
    </row>
    <row r="508" spans="1:8" ht="15.75" customHeight="1">
      <c r="A508" s="68" t="s">
        <v>13</v>
      </c>
      <c r="B508" s="68" t="s">
        <v>504</v>
      </c>
      <c r="C508" s="70" t="s">
        <v>68</v>
      </c>
      <c r="D508" s="71" t="s">
        <v>62</v>
      </c>
      <c r="E508" s="56" t="s">
        <v>69</v>
      </c>
      <c r="F508" s="72"/>
      <c r="G508" s="48" t="s">
        <v>70</v>
      </c>
      <c r="H508" s="73"/>
    </row>
    <row r="509" spans="1:8" ht="15.75" customHeight="1">
      <c r="A509" s="42" t="s">
        <v>13</v>
      </c>
      <c r="B509" s="1" t="s">
        <v>504</v>
      </c>
      <c r="C509" s="43">
        <v>766239</v>
      </c>
      <c r="D509" s="44" t="s">
        <v>90</v>
      </c>
      <c r="E509" s="66" t="s">
        <v>505</v>
      </c>
      <c r="G509" s="48" t="s">
        <v>149</v>
      </c>
    </row>
    <row r="510" spans="1:8" ht="15.75" customHeight="1">
      <c r="A510" s="42" t="s">
        <v>13</v>
      </c>
      <c r="B510" s="1" t="s">
        <v>504</v>
      </c>
      <c r="C510" s="43">
        <v>778412</v>
      </c>
      <c r="D510" s="44" t="s">
        <v>80</v>
      </c>
      <c r="E510" s="66" t="s">
        <v>181</v>
      </c>
      <c r="G510" s="48" t="s">
        <v>506</v>
      </c>
    </row>
    <row r="511" spans="1:8" ht="15.75" customHeight="1">
      <c r="A511" s="42" t="s">
        <v>13</v>
      </c>
      <c r="B511" s="1" t="s">
        <v>504</v>
      </c>
      <c r="C511" s="43">
        <v>5025676</v>
      </c>
      <c r="D511" s="44" t="s">
        <v>80</v>
      </c>
      <c r="E511" s="66" t="s">
        <v>351</v>
      </c>
      <c r="G511" s="48" t="s">
        <v>152</v>
      </c>
    </row>
    <row r="512" spans="1:8" ht="15.75" customHeight="1">
      <c r="A512" s="42" t="s">
        <v>13</v>
      </c>
      <c r="B512" s="1" t="s">
        <v>504</v>
      </c>
      <c r="C512" s="43">
        <v>454096</v>
      </c>
      <c r="D512" s="44" t="s">
        <v>80</v>
      </c>
      <c r="E512" s="66" t="s">
        <v>161</v>
      </c>
      <c r="G512" s="48" t="s">
        <v>243</v>
      </c>
    </row>
    <row r="513" spans="1:7" ht="15.75" customHeight="1">
      <c r="A513" s="42" t="s">
        <v>13</v>
      </c>
      <c r="B513" s="1" t="s">
        <v>504</v>
      </c>
      <c r="C513" s="43">
        <v>2899806</v>
      </c>
      <c r="D513" s="44" t="s">
        <v>90</v>
      </c>
      <c r="E513" s="67" t="s">
        <v>191</v>
      </c>
      <c r="G513" s="48" t="s">
        <v>331</v>
      </c>
    </row>
    <row r="514" spans="1:7" ht="15.75" customHeight="1">
      <c r="A514" s="42" t="s">
        <v>13</v>
      </c>
      <c r="B514" s="1" t="s">
        <v>504</v>
      </c>
      <c r="C514" s="43">
        <v>2926133</v>
      </c>
      <c r="D514" s="44" t="s">
        <v>80</v>
      </c>
      <c r="E514" s="66" t="s">
        <v>107</v>
      </c>
      <c r="G514" s="48" t="s">
        <v>185</v>
      </c>
    </row>
    <row r="515" spans="1:7" ht="15.75" customHeight="1">
      <c r="A515" s="42" t="s">
        <v>13</v>
      </c>
      <c r="B515" s="1" t="s">
        <v>504</v>
      </c>
      <c r="C515" s="43">
        <v>714719</v>
      </c>
      <c r="D515" s="44" t="s">
        <v>80</v>
      </c>
      <c r="E515" s="66" t="s">
        <v>165</v>
      </c>
      <c r="G515" s="48" t="s">
        <v>507</v>
      </c>
    </row>
    <row r="516" spans="1:7" ht="15.75" customHeight="1">
      <c r="A516" s="42" t="s">
        <v>13</v>
      </c>
      <c r="B516" s="1" t="s">
        <v>504</v>
      </c>
      <c r="C516" s="43">
        <v>708566</v>
      </c>
      <c r="D516" s="44" t="s">
        <v>71</v>
      </c>
      <c r="E516" s="66" t="s">
        <v>336</v>
      </c>
      <c r="G516" s="50"/>
    </row>
    <row r="517" spans="1:7" ht="15.75" customHeight="1">
      <c r="A517" s="42" t="s">
        <v>13</v>
      </c>
      <c r="B517" s="1" t="s">
        <v>504</v>
      </c>
      <c r="C517" s="43">
        <v>2381564</v>
      </c>
      <c r="D517" s="44" t="s">
        <v>83</v>
      </c>
      <c r="E517" s="67" t="s">
        <v>508</v>
      </c>
      <c r="G517" s="50"/>
    </row>
    <row r="518" spans="1:7" ht="15.75" customHeight="1">
      <c r="A518" s="42" t="s">
        <v>13</v>
      </c>
      <c r="B518" s="1" t="s">
        <v>504</v>
      </c>
      <c r="C518" s="43">
        <v>2841040</v>
      </c>
      <c r="D518" s="44" t="s">
        <v>101</v>
      </c>
      <c r="E518" s="66" t="s">
        <v>167</v>
      </c>
      <c r="G518" s="50"/>
    </row>
    <row r="519" spans="1:7" ht="15.75" customHeight="1">
      <c r="A519" s="42" t="s">
        <v>13</v>
      </c>
      <c r="B519" s="1" t="s">
        <v>504</v>
      </c>
      <c r="C519" s="43">
        <v>703866</v>
      </c>
      <c r="D519" s="44" t="s">
        <v>83</v>
      </c>
      <c r="E519" s="66" t="s">
        <v>168</v>
      </c>
      <c r="G519" s="50"/>
    </row>
    <row r="520" spans="1:7" ht="15.75" customHeight="1">
      <c r="A520" s="42" t="s">
        <v>13</v>
      </c>
      <c r="B520" s="1" t="s">
        <v>504</v>
      </c>
      <c r="C520" s="43">
        <v>708556</v>
      </c>
      <c r="D520" s="44" t="s">
        <v>71</v>
      </c>
      <c r="E520" s="66" t="s">
        <v>200</v>
      </c>
      <c r="G520" s="50"/>
    </row>
    <row r="521" spans="1:7" ht="15.75" customHeight="1">
      <c r="A521" s="42" t="s">
        <v>13</v>
      </c>
      <c r="B521" s="1" t="s">
        <v>504</v>
      </c>
      <c r="C521" s="43">
        <v>3115669</v>
      </c>
      <c r="D521" s="44" t="s">
        <v>101</v>
      </c>
      <c r="E521" s="66" t="s">
        <v>170</v>
      </c>
      <c r="G521" s="50"/>
    </row>
    <row r="522" spans="1:7" ht="15.75" customHeight="1">
      <c r="A522" s="42" t="s">
        <v>13</v>
      </c>
      <c r="B522" s="1" t="s">
        <v>504</v>
      </c>
      <c r="C522" s="43">
        <v>608979</v>
      </c>
      <c r="D522" s="44" t="s">
        <v>83</v>
      </c>
      <c r="E522" s="66" t="s">
        <v>171</v>
      </c>
      <c r="G522" s="50"/>
    </row>
    <row r="523" spans="1:7" ht="15.75" customHeight="1">
      <c r="A523" s="42" t="s">
        <v>13</v>
      </c>
      <c r="B523" s="1" t="s">
        <v>504</v>
      </c>
      <c r="C523" s="43">
        <v>748215</v>
      </c>
      <c r="D523" s="44" t="s">
        <v>71</v>
      </c>
      <c r="E523" s="66" t="s">
        <v>509</v>
      </c>
      <c r="G523" s="50"/>
    </row>
    <row r="524" spans="1:7" ht="15.75" customHeight="1">
      <c r="A524" s="42" t="s">
        <v>13</v>
      </c>
      <c r="B524" s="1" t="s">
        <v>504</v>
      </c>
      <c r="C524" s="43">
        <v>766240</v>
      </c>
      <c r="D524" s="44" t="s">
        <v>80</v>
      </c>
      <c r="E524" s="66" t="s">
        <v>172</v>
      </c>
      <c r="G524" s="50"/>
    </row>
    <row r="525" spans="1:7" ht="15.75" customHeight="1">
      <c r="A525" s="42" t="s">
        <v>13</v>
      </c>
      <c r="B525" s="1" t="s">
        <v>504</v>
      </c>
      <c r="C525" s="43">
        <v>2841604</v>
      </c>
      <c r="D525" s="44" t="s">
        <v>90</v>
      </c>
      <c r="E525" s="66" t="s">
        <v>201</v>
      </c>
      <c r="G525" s="50"/>
    </row>
    <row r="526" spans="1:7" ht="15.75" customHeight="1">
      <c r="A526" s="42" t="s">
        <v>13</v>
      </c>
      <c r="B526" s="1" t="s">
        <v>504</v>
      </c>
      <c r="C526" s="43">
        <v>5025621</v>
      </c>
      <c r="D526" s="44" t="s">
        <v>83</v>
      </c>
      <c r="E526" s="66" t="s">
        <v>343</v>
      </c>
      <c r="G526" s="50"/>
    </row>
    <row r="527" spans="1:7" ht="15.75" customHeight="1">
      <c r="A527" s="42" t="s">
        <v>13</v>
      </c>
      <c r="B527" s="1" t="s">
        <v>504</v>
      </c>
      <c r="C527" s="43">
        <v>438738</v>
      </c>
      <c r="D527" s="44" t="s">
        <v>80</v>
      </c>
      <c r="E527" s="66" t="s">
        <v>174</v>
      </c>
      <c r="G527" s="50"/>
    </row>
    <row r="528" spans="1:7" ht="15.75" customHeight="1">
      <c r="A528" s="42" t="s">
        <v>13</v>
      </c>
      <c r="B528" s="1" t="s">
        <v>504</v>
      </c>
      <c r="C528" s="43">
        <v>2841043</v>
      </c>
      <c r="D528" s="44" t="s">
        <v>90</v>
      </c>
      <c r="E528" s="66" t="s">
        <v>510</v>
      </c>
      <c r="G528" s="50"/>
    </row>
    <row r="529" spans="1:8" ht="15.75" customHeight="1">
      <c r="A529" s="42" t="s">
        <v>13</v>
      </c>
      <c r="B529" s="1" t="s">
        <v>504</v>
      </c>
      <c r="C529" s="43">
        <v>2221545</v>
      </c>
      <c r="D529" s="44" t="s">
        <v>71</v>
      </c>
      <c r="E529" s="66" t="s">
        <v>511</v>
      </c>
      <c r="G529" s="50"/>
    </row>
    <row r="530" spans="1:8" ht="15.75" customHeight="1">
      <c r="A530" s="42" t="s">
        <v>13</v>
      </c>
      <c r="B530" s="1" t="s">
        <v>504</v>
      </c>
      <c r="C530" s="43">
        <v>2924305</v>
      </c>
      <c r="D530" s="44" t="s">
        <v>101</v>
      </c>
      <c r="E530" s="66" t="s">
        <v>175</v>
      </c>
      <c r="G530" s="50"/>
    </row>
    <row r="531" spans="1:8" ht="15.75" customHeight="1">
      <c r="A531" s="42" t="s">
        <v>13</v>
      </c>
      <c r="B531" s="1" t="s">
        <v>504</v>
      </c>
      <c r="C531" s="43">
        <v>609788</v>
      </c>
      <c r="D531" s="44" t="s">
        <v>83</v>
      </c>
      <c r="E531" s="66" t="s">
        <v>512</v>
      </c>
      <c r="G531" s="50"/>
    </row>
    <row r="532" spans="1:8" ht="15.75" customHeight="1">
      <c r="A532" s="42" t="s">
        <v>13</v>
      </c>
      <c r="B532" s="1" t="s">
        <v>504</v>
      </c>
      <c r="C532" s="43">
        <v>2422924</v>
      </c>
      <c r="D532" s="44" t="s">
        <v>90</v>
      </c>
      <c r="E532" s="67" t="s">
        <v>493</v>
      </c>
      <c r="G532" s="50"/>
    </row>
    <row r="533" spans="1:8" ht="15.75" customHeight="1">
      <c r="A533" s="42" t="s">
        <v>13</v>
      </c>
      <c r="B533" s="1" t="s">
        <v>504</v>
      </c>
      <c r="C533" s="43">
        <v>608964</v>
      </c>
      <c r="D533" s="44" t="s">
        <v>80</v>
      </c>
      <c r="E533" s="66" t="s">
        <v>202</v>
      </c>
      <c r="G533" s="50"/>
    </row>
    <row r="534" spans="1:8" ht="15.75" customHeight="1">
      <c r="A534" s="42" t="s">
        <v>13</v>
      </c>
      <c r="B534" s="1" t="s">
        <v>504</v>
      </c>
      <c r="C534" s="43">
        <v>798439</v>
      </c>
      <c r="D534" s="44" t="s">
        <v>71</v>
      </c>
      <c r="E534" s="67" t="s">
        <v>513</v>
      </c>
      <c r="G534" s="50"/>
    </row>
    <row r="535" spans="1:8" ht="15.75" customHeight="1">
      <c r="A535" s="74" t="s">
        <v>14</v>
      </c>
      <c r="B535" s="111" t="s">
        <v>514</v>
      </c>
      <c r="C535" s="75" t="s">
        <v>68</v>
      </c>
      <c r="D535" s="76" t="s">
        <v>62</v>
      </c>
      <c r="E535" s="56" t="s">
        <v>69</v>
      </c>
      <c r="F535" s="77"/>
      <c r="G535" s="48" t="s">
        <v>70</v>
      </c>
      <c r="H535" s="78"/>
    </row>
    <row r="536" spans="1:8" ht="15.75" customHeight="1">
      <c r="A536" s="42" t="s">
        <v>14</v>
      </c>
      <c r="B536" s="1" t="s">
        <v>514</v>
      </c>
      <c r="C536" s="43">
        <v>5025693</v>
      </c>
      <c r="D536" s="44" t="s">
        <v>71</v>
      </c>
      <c r="E536" s="66" t="s">
        <v>72</v>
      </c>
      <c r="G536" s="48" t="s">
        <v>75</v>
      </c>
    </row>
    <row r="537" spans="1:8" ht="15.75" customHeight="1">
      <c r="A537" s="42" t="s">
        <v>14</v>
      </c>
      <c r="B537" s="1" t="s">
        <v>514</v>
      </c>
      <c r="C537" s="43">
        <v>778412</v>
      </c>
      <c r="D537" s="44" t="s">
        <v>80</v>
      </c>
      <c r="E537" s="66" t="s">
        <v>181</v>
      </c>
      <c r="G537" s="48" t="s">
        <v>243</v>
      </c>
    </row>
    <row r="538" spans="1:8" ht="15.75" customHeight="1">
      <c r="A538" s="42" t="s">
        <v>14</v>
      </c>
      <c r="B538" s="1" t="s">
        <v>514</v>
      </c>
      <c r="C538" s="43">
        <v>778411</v>
      </c>
      <c r="D538" s="44" t="s">
        <v>80</v>
      </c>
      <c r="E538" s="67" t="s">
        <v>94</v>
      </c>
      <c r="G538" s="48" t="s">
        <v>506</v>
      </c>
    </row>
    <row r="539" spans="1:8" ht="15.75" customHeight="1">
      <c r="A539" s="42" t="s">
        <v>14</v>
      </c>
      <c r="B539" s="1" t="s">
        <v>514</v>
      </c>
      <c r="C539" s="43">
        <v>2218979</v>
      </c>
      <c r="D539" s="44" t="s">
        <v>83</v>
      </c>
      <c r="E539" s="67" t="s">
        <v>483</v>
      </c>
      <c r="G539" s="48" t="s">
        <v>515</v>
      </c>
    </row>
    <row r="540" spans="1:8" ht="15.75" customHeight="1">
      <c r="A540" s="42" t="s">
        <v>14</v>
      </c>
      <c r="B540" s="1" t="s">
        <v>514</v>
      </c>
      <c r="C540" s="43">
        <v>2221544</v>
      </c>
      <c r="D540" s="44" t="s">
        <v>83</v>
      </c>
      <c r="E540" s="67" t="s">
        <v>484</v>
      </c>
      <c r="G540" s="48" t="s">
        <v>516</v>
      </c>
    </row>
    <row r="541" spans="1:8" ht="15.75" customHeight="1">
      <c r="A541" s="42" t="s">
        <v>14</v>
      </c>
      <c r="B541" s="1" t="s">
        <v>514</v>
      </c>
      <c r="C541" s="43">
        <v>5025676</v>
      </c>
      <c r="D541" s="44" t="s">
        <v>80</v>
      </c>
      <c r="E541" s="66" t="s">
        <v>351</v>
      </c>
      <c r="G541" s="48" t="s">
        <v>185</v>
      </c>
    </row>
    <row r="542" spans="1:8" ht="15.75" customHeight="1">
      <c r="A542" s="42" t="s">
        <v>14</v>
      </c>
      <c r="B542" s="1" t="s">
        <v>514</v>
      </c>
      <c r="C542" s="43">
        <v>5025664</v>
      </c>
      <c r="D542" s="44" t="s">
        <v>71</v>
      </c>
      <c r="E542" s="66" t="s">
        <v>517</v>
      </c>
      <c r="G542" s="48" t="s">
        <v>507</v>
      </c>
    </row>
    <row r="543" spans="1:8" ht="15.75" customHeight="1">
      <c r="A543" s="42" t="s">
        <v>14</v>
      </c>
      <c r="B543" s="1" t="s">
        <v>514</v>
      </c>
      <c r="C543" s="43">
        <v>454096</v>
      </c>
      <c r="D543" s="44" t="s">
        <v>80</v>
      </c>
      <c r="E543" s="66" t="s">
        <v>161</v>
      </c>
      <c r="G543" s="50"/>
    </row>
    <row r="544" spans="1:8" ht="15.75" customHeight="1">
      <c r="A544" s="42" t="s">
        <v>14</v>
      </c>
      <c r="B544" s="1" t="s">
        <v>514</v>
      </c>
      <c r="C544" s="43">
        <v>2899806</v>
      </c>
      <c r="D544" s="44" t="s">
        <v>90</v>
      </c>
      <c r="E544" s="67" t="s">
        <v>191</v>
      </c>
      <c r="G544" s="50"/>
    </row>
    <row r="545" spans="1:7" ht="15.75" customHeight="1">
      <c r="A545" s="42" t="s">
        <v>14</v>
      </c>
      <c r="B545" s="1" t="s">
        <v>514</v>
      </c>
      <c r="C545" s="43">
        <v>2924306</v>
      </c>
      <c r="D545" s="44" t="s">
        <v>80</v>
      </c>
      <c r="E545" s="66" t="s">
        <v>192</v>
      </c>
      <c r="G545" s="50"/>
    </row>
    <row r="546" spans="1:7" ht="15.75" customHeight="1">
      <c r="A546" s="42" t="s">
        <v>14</v>
      </c>
      <c r="B546" s="1" t="s">
        <v>514</v>
      </c>
      <c r="C546" s="43">
        <v>2926133</v>
      </c>
      <c r="D546" s="44" t="s">
        <v>80</v>
      </c>
      <c r="E546" s="66" t="s">
        <v>107</v>
      </c>
      <c r="G546" s="50"/>
    </row>
    <row r="547" spans="1:7" ht="15.75" customHeight="1">
      <c r="A547" s="42" t="s">
        <v>14</v>
      </c>
      <c r="B547" s="1" t="s">
        <v>514</v>
      </c>
      <c r="C547" s="43">
        <v>800902</v>
      </c>
      <c r="D547" s="44" t="s">
        <v>71</v>
      </c>
      <c r="E547" s="66" t="s">
        <v>518</v>
      </c>
      <c r="G547" s="50"/>
    </row>
    <row r="548" spans="1:7" ht="15.75" customHeight="1">
      <c r="A548" s="42" t="s">
        <v>14</v>
      </c>
      <c r="B548" s="1" t="s">
        <v>514</v>
      </c>
      <c r="C548" s="43">
        <v>5025680</v>
      </c>
      <c r="D548" s="44" t="s">
        <v>71</v>
      </c>
      <c r="E548" s="67" t="s">
        <v>109</v>
      </c>
      <c r="G548" s="50"/>
    </row>
    <row r="549" spans="1:7" ht="15.75" customHeight="1">
      <c r="A549" s="42" t="s">
        <v>14</v>
      </c>
      <c r="B549" s="1" t="s">
        <v>514</v>
      </c>
      <c r="C549" s="43">
        <v>5025691</v>
      </c>
      <c r="D549" s="44" t="s">
        <v>101</v>
      </c>
      <c r="E549" s="67" t="s">
        <v>193</v>
      </c>
      <c r="G549" s="50"/>
    </row>
    <row r="550" spans="1:7" ht="15.75" customHeight="1">
      <c r="A550" s="42" t="s">
        <v>14</v>
      </c>
      <c r="B550" s="1" t="s">
        <v>514</v>
      </c>
      <c r="C550" s="43">
        <v>508725</v>
      </c>
      <c r="D550" s="44" t="s">
        <v>101</v>
      </c>
      <c r="E550" s="66" t="s">
        <v>118</v>
      </c>
      <c r="G550" s="50"/>
    </row>
    <row r="551" spans="1:7" ht="15.75" customHeight="1">
      <c r="A551" s="42" t="s">
        <v>14</v>
      </c>
      <c r="B551" s="1" t="s">
        <v>514</v>
      </c>
      <c r="C551" s="43">
        <v>598071</v>
      </c>
      <c r="D551" s="44" t="s">
        <v>83</v>
      </c>
      <c r="E551" s="66" t="s">
        <v>519</v>
      </c>
      <c r="G551" s="50"/>
    </row>
    <row r="552" spans="1:7" ht="15.75" customHeight="1">
      <c r="A552" s="42" t="s">
        <v>14</v>
      </c>
      <c r="B552" s="1" t="s">
        <v>514</v>
      </c>
      <c r="C552" s="43">
        <v>2381564</v>
      </c>
      <c r="D552" s="44" t="s">
        <v>83</v>
      </c>
      <c r="E552" s="67" t="s">
        <v>508</v>
      </c>
      <c r="G552" s="50"/>
    </row>
    <row r="553" spans="1:7" ht="15.75" customHeight="1">
      <c r="A553" s="42" t="s">
        <v>14</v>
      </c>
      <c r="B553" s="1" t="s">
        <v>514</v>
      </c>
      <c r="C553" s="43">
        <v>5025686</v>
      </c>
      <c r="D553" s="44" t="s">
        <v>71</v>
      </c>
      <c r="E553" s="66" t="s">
        <v>124</v>
      </c>
      <c r="G553" s="50"/>
    </row>
    <row r="554" spans="1:7" ht="15.75" customHeight="1">
      <c r="A554" s="42" t="s">
        <v>14</v>
      </c>
      <c r="B554" s="1" t="s">
        <v>514</v>
      </c>
      <c r="C554" s="43">
        <v>778413</v>
      </c>
      <c r="D554" s="44" t="s">
        <v>80</v>
      </c>
      <c r="E554" s="66" t="s">
        <v>125</v>
      </c>
      <c r="G554" s="50"/>
    </row>
    <row r="555" spans="1:7" ht="15.75" customHeight="1">
      <c r="A555" s="42" t="s">
        <v>14</v>
      </c>
      <c r="B555" s="1" t="s">
        <v>514</v>
      </c>
      <c r="C555" s="43">
        <v>708556</v>
      </c>
      <c r="D555" s="44" t="s">
        <v>71</v>
      </c>
      <c r="E555" s="66" t="s">
        <v>200</v>
      </c>
      <c r="G555" s="50"/>
    </row>
    <row r="556" spans="1:7" ht="15.75" customHeight="1">
      <c r="A556" s="42" t="s">
        <v>14</v>
      </c>
      <c r="B556" s="1" t="s">
        <v>514</v>
      </c>
      <c r="C556" s="43">
        <v>452713</v>
      </c>
      <c r="D556" s="44" t="s">
        <v>83</v>
      </c>
      <c r="E556" s="67" t="s">
        <v>520</v>
      </c>
      <c r="G556" s="50"/>
    </row>
    <row r="557" spans="1:7" ht="15.75" customHeight="1">
      <c r="A557" s="42" t="s">
        <v>14</v>
      </c>
      <c r="B557" s="1" t="s">
        <v>514</v>
      </c>
      <c r="C557" s="43">
        <v>748215</v>
      </c>
      <c r="D557" s="44" t="s">
        <v>71</v>
      </c>
      <c r="E557" s="66" t="s">
        <v>509</v>
      </c>
      <c r="G557" s="50"/>
    </row>
    <row r="558" spans="1:7" ht="15.75" customHeight="1">
      <c r="A558" s="42" t="s">
        <v>14</v>
      </c>
      <c r="B558" s="1" t="s">
        <v>514</v>
      </c>
      <c r="C558" s="43">
        <v>588024</v>
      </c>
      <c r="D558" s="44" t="s">
        <v>80</v>
      </c>
      <c r="E558" s="66" t="s">
        <v>265</v>
      </c>
      <c r="G558" s="50"/>
    </row>
    <row r="559" spans="1:7" ht="15.75" customHeight="1">
      <c r="A559" s="42" t="s">
        <v>14</v>
      </c>
      <c r="B559" s="1" t="s">
        <v>514</v>
      </c>
      <c r="C559" s="43">
        <v>5025621</v>
      </c>
      <c r="D559" s="44" t="s">
        <v>83</v>
      </c>
      <c r="E559" s="66" t="s">
        <v>343</v>
      </c>
      <c r="G559" s="50"/>
    </row>
    <row r="560" spans="1:7" ht="15.75" customHeight="1">
      <c r="A560" s="42" t="s">
        <v>14</v>
      </c>
      <c r="B560" s="1" t="s">
        <v>514</v>
      </c>
      <c r="C560" s="43">
        <v>2841041</v>
      </c>
      <c r="D560" s="44" t="s">
        <v>90</v>
      </c>
      <c r="E560" s="66" t="s">
        <v>344</v>
      </c>
      <c r="G560" s="50"/>
    </row>
    <row r="561" spans="1:8" ht="15.75" customHeight="1">
      <c r="A561" s="42" t="s">
        <v>14</v>
      </c>
      <c r="B561" s="1" t="s">
        <v>514</v>
      </c>
      <c r="C561" s="43">
        <v>2841043</v>
      </c>
      <c r="D561" s="44" t="s">
        <v>90</v>
      </c>
      <c r="E561" s="66" t="s">
        <v>510</v>
      </c>
      <c r="G561" s="50"/>
    </row>
    <row r="562" spans="1:8" ht="15.75" customHeight="1">
      <c r="A562" s="42" t="s">
        <v>14</v>
      </c>
      <c r="B562" s="1" t="s">
        <v>514</v>
      </c>
      <c r="C562" s="43">
        <v>2221545</v>
      </c>
      <c r="D562" s="44" t="s">
        <v>71</v>
      </c>
      <c r="E562" s="66" t="s">
        <v>511</v>
      </c>
      <c r="G562" s="50"/>
    </row>
    <row r="563" spans="1:8" ht="15.75" customHeight="1">
      <c r="A563" s="42" t="s">
        <v>14</v>
      </c>
      <c r="B563" s="1" t="s">
        <v>514</v>
      </c>
      <c r="C563" s="43">
        <v>609788</v>
      </c>
      <c r="D563" s="44" t="s">
        <v>83</v>
      </c>
      <c r="E563" s="66" t="s">
        <v>512</v>
      </c>
      <c r="G563" s="50"/>
    </row>
    <row r="564" spans="1:8" ht="15.75" customHeight="1">
      <c r="A564" s="42" t="s">
        <v>14</v>
      </c>
      <c r="B564" s="1" t="s">
        <v>514</v>
      </c>
      <c r="C564" s="43">
        <v>2422924</v>
      </c>
      <c r="D564" s="44" t="s">
        <v>90</v>
      </c>
      <c r="E564" s="67" t="s">
        <v>493</v>
      </c>
      <c r="G564" s="50"/>
    </row>
    <row r="565" spans="1:8" ht="15.75" customHeight="1">
      <c r="A565" s="42" t="s">
        <v>14</v>
      </c>
      <c r="B565" s="1" t="s">
        <v>514</v>
      </c>
      <c r="C565" s="43">
        <v>608964</v>
      </c>
      <c r="D565" s="44" t="s">
        <v>80</v>
      </c>
      <c r="E565" s="66" t="s">
        <v>202</v>
      </c>
      <c r="G565" s="50"/>
    </row>
    <row r="566" spans="1:8" ht="15.75" customHeight="1">
      <c r="A566" s="42" t="s">
        <v>14</v>
      </c>
      <c r="B566" s="1" t="s">
        <v>514</v>
      </c>
      <c r="C566" s="43">
        <v>449379</v>
      </c>
      <c r="D566" s="44" t="s">
        <v>83</v>
      </c>
      <c r="E566" s="66" t="s">
        <v>139</v>
      </c>
      <c r="G566" s="50"/>
    </row>
    <row r="567" spans="1:8" ht="15.75" customHeight="1">
      <c r="A567" s="42" t="s">
        <v>14</v>
      </c>
      <c r="B567" s="1" t="s">
        <v>514</v>
      </c>
      <c r="C567" s="43">
        <v>798439</v>
      </c>
      <c r="D567" s="44" t="s">
        <v>71</v>
      </c>
      <c r="E567" s="67" t="s">
        <v>513</v>
      </c>
      <c r="G567" s="50"/>
    </row>
    <row r="568" spans="1:8" ht="15.75" customHeight="1">
      <c r="A568" s="42" t="s">
        <v>14</v>
      </c>
      <c r="B568" s="1" t="s">
        <v>514</v>
      </c>
      <c r="C568" s="43">
        <v>608983</v>
      </c>
      <c r="D568" s="44" t="s">
        <v>83</v>
      </c>
      <c r="E568" s="66" t="s">
        <v>357</v>
      </c>
      <c r="G568" s="50"/>
    </row>
    <row r="569" spans="1:8" ht="15.75" customHeight="1">
      <c r="A569" s="42" t="s">
        <v>14</v>
      </c>
      <c r="B569" s="1" t="s">
        <v>514</v>
      </c>
      <c r="C569" s="43">
        <v>608980</v>
      </c>
      <c r="D569" s="44" t="s">
        <v>80</v>
      </c>
      <c r="E569" s="67" t="s">
        <v>521</v>
      </c>
      <c r="G569" s="50"/>
    </row>
    <row r="570" spans="1:8" ht="15.75" customHeight="1">
      <c r="A570" s="79" t="s">
        <v>15</v>
      </c>
      <c r="B570" s="80" t="s">
        <v>522</v>
      </c>
      <c r="C570" s="81" t="s">
        <v>68</v>
      </c>
      <c r="D570" s="82" t="s">
        <v>62</v>
      </c>
      <c r="E570" s="56" t="s">
        <v>69</v>
      </c>
      <c r="F570" s="83"/>
      <c r="G570" s="48" t="s">
        <v>70</v>
      </c>
      <c r="H570" s="84"/>
    </row>
    <row r="571" spans="1:8" ht="15.75" customHeight="1">
      <c r="A571" s="42" t="s">
        <v>15</v>
      </c>
      <c r="B571" s="1" t="s">
        <v>522</v>
      </c>
      <c r="C571" s="43">
        <v>561447</v>
      </c>
      <c r="D571" s="44" t="s">
        <v>71</v>
      </c>
      <c r="E571" s="66" t="s">
        <v>523</v>
      </c>
      <c r="G571" s="48" t="s">
        <v>75</v>
      </c>
    </row>
    <row r="572" spans="1:8" ht="15.75" customHeight="1">
      <c r="A572" s="42" t="s">
        <v>15</v>
      </c>
      <c r="B572" s="1" t="s">
        <v>522</v>
      </c>
      <c r="C572" s="43">
        <v>5025679</v>
      </c>
      <c r="D572" s="44" t="s">
        <v>90</v>
      </c>
      <c r="E572" s="66" t="s">
        <v>91</v>
      </c>
      <c r="G572" s="48" t="s">
        <v>85</v>
      </c>
    </row>
    <row r="573" spans="1:8" ht="15.75" customHeight="1">
      <c r="A573" s="42" t="s">
        <v>15</v>
      </c>
      <c r="B573" s="1" t="s">
        <v>522</v>
      </c>
      <c r="C573" s="43">
        <v>778411</v>
      </c>
      <c r="D573" s="44" t="s">
        <v>80</v>
      </c>
      <c r="E573" s="67" t="s">
        <v>94</v>
      </c>
      <c r="G573" s="48" t="s">
        <v>73</v>
      </c>
    </row>
    <row r="574" spans="1:8" ht="15.75" customHeight="1">
      <c r="A574" s="42" t="s">
        <v>15</v>
      </c>
      <c r="B574" s="1" t="s">
        <v>522</v>
      </c>
      <c r="C574" s="43">
        <v>793663</v>
      </c>
      <c r="D574" s="44" t="s">
        <v>71</v>
      </c>
      <c r="E574" s="66" t="s">
        <v>524</v>
      </c>
      <c r="G574" s="50"/>
    </row>
    <row r="575" spans="1:8" ht="15.75" customHeight="1">
      <c r="A575" s="42" t="s">
        <v>15</v>
      </c>
      <c r="B575" s="1" t="s">
        <v>522</v>
      </c>
      <c r="C575" s="43">
        <v>2218979</v>
      </c>
      <c r="D575" s="44" t="s">
        <v>83</v>
      </c>
      <c r="E575" s="67" t="s">
        <v>483</v>
      </c>
      <c r="G575" s="50"/>
    </row>
    <row r="576" spans="1:8" ht="15.75" customHeight="1">
      <c r="A576" s="42" t="s">
        <v>15</v>
      </c>
      <c r="B576" s="1" t="s">
        <v>522</v>
      </c>
      <c r="C576" s="43">
        <v>2221544</v>
      </c>
      <c r="D576" s="44" t="s">
        <v>83</v>
      </c>
      <c r="E576" s="67" t="s">
        <v>484</v>
      </c>
      <c r="G576" s="50"/>
    </row>
    <row r="577" spans="1:7" ht="15.75" customHeight="1">
      <c r="A577" s="42" t="s">
        <v>15</v>
      </c>
      <c r="B577" s="1" t="s">
        <v>522</v>
      </c>
      <c r="C577" s="43">
        <v>420457</v>
      </c>
      <c r="D577" s="44" t="s">
        <v>83</v>
      </c>
      <c r="E577" s="66" t="s">
        <v>186</v>
      </c>
      <c r="G577" s="50"/>
    </row>
    <row r="578" spans="1:7" ht="15.75" customHeight="1">
      <c r="A578" s="42" t="s">
        <v>15</v>
      </c>
      <c r="B578" s="1" t="s">
        <v>522</v>
      </c>
      <c r="C578" s="43">
        <v>5025676</v>
      </c>
      <c r="D578" s="44" t="s">
        <v>80</v>
      </c>
      <c r="E578" s="66" t="s">
        <v>351</v>
      </c>
      <c r="G578" s="50"/>
    </row>
    <row r="579" spans="1:7" ht="15.75" customHeight="1">
      <c r="A579" s="42" t="s">
        <v>15</v>
      </c>
      <c r="B579" s="1" t="s">
        <v>522</v>
      </c>
      <c r="C579" s="43">
        <v>2880103</v>
      </c>
      <c r="D579" s="44" t="s">
        <v>71</v>
      </c>
      <c r="E579" s="67" t="s">
        <v>188</v>
      </c>
      <c r="G579" s="50"/>
    </row>
    <row r="580" spans="1:7" ht="15.75" customHeight="1">
      <c r="A580" s="42" t="s">
        <v>15</v>
      </c>
      <c r="B580" s="1" t="s">
        <v>522</v>
      </c>
      <c r="C580" s="43">
        <v>2924306</v>
      </c>
      <c r="D580" s="44" t="s">
        <v>80</v>
      </c>
      <c r="E580" s="66" t="s">
        <v>192</v>
      </c>
      <c r="G580" s="50"/>
    </row>
    <row r="581" spans="1:7" ht="15.75" customHeight="1">
      <c r="A581" s="42" t="s">
        <v>15</v>
      </c>
      <c r="B581" s="1" t="s">
        <v>522</v>
      </c>
      <c r="C581" s="43">
        <v>2926133</v>
      </c>
      <c r="D581" s="44" t="s">
        <v>80</v>
      </c>
      <c r="E581" s="66" t="s">
        <v>107</v>
      </c>
      <c r="G581" s="50"/>
    </row>
    <row r="582" spans="1:7" ht="15.75" customHeight="1">
      <c r="A582" s="42" t="s">
        <v>15</v>
      </c>
      <c r="B582" s="1" t="s">
        <v>522</v>
      </c>
      <c r="C582" s="43">
        <v>5025691</v>
      </c>
      <c r="D582" s="44" t="s">
        <v>101</v>
      </c>
      <c r="E582" s="67" t="s">
        <v>193</v>
      </c>
      <c r="G582" s="50"/>
    </row>
    <row r="583" spans="1:7" ht="15.75" customHeight="1">
      <c r="A583" s="42" t="s">
        <v>15</v>
      </c>
      <c r="B583" s="1" t="s">
        <v>522</v>
      </c>
      <c r="C583" s="43">
        <v>587153</v>
      </c>
      <c r="D583" s="44" t="s">
        <v>71</v>
      </c>
      <c r="E583" s="67" t="s">
        <v>194</v>
      </c>
      <c r="G583" s="50"/>
    </row>
    <row r="584" spans="1:7" ht="15.75" customHeight="1">
      <c r="A584" s="42" t="s">
        <v>15</v>
      </c>
      <c r="B584" s="1" t="s">
        <v>522</v>
      </c>
      <c r="C584" s="43">
        <v>5025686</v>
      </c>
      <c r="D584" s="44" t="s">
        <v>71</v>
      </c>
      <c r="E584" s="66" t="s">
        <v>124</v>
      </c>
      <c r="G584" s="50"/>
    </row>
    <row r="585" spans="1:7" ht="15.75" customHeight="1">
      <c r="A585" s="42" t="s">
        <v>15</v>
      </c>
      <c r="B585" s="1" t="s">
        <v>522</v>
      </c>
      <c r="C585" s="43">
        <v>5025665</v>
      </c>
      <c r="D585" s="44" t="s">
        <v>80</v>
      </c>
      <c r="E585" s="66" t="s">
        <v>198</v>
      </c>
      <c r="G585" s="50"/>
    </row>
    <row r="586" spans="1:7" ht="15.75" customHeight="1">
      <c r="A586" s="42" t="s">
        <v>15</v>
      </c>
      <c r="B586" s="1" t="s">
        <v>522</v>
      </c>
      <c r="C586" s="43">
        <v>587139</v>
      </c>
      <c r="D586" s="44" t="s">
        <v>83</v>
      </c>
      <c r="E586" s="66" t="s">
        <v>487</v>
      </c>
      <c r="G586" s="50"/>
    </row>
    <row r="587" spans="1:7" ht="15.75" customHeight="1">
      <c r="A587" s="42" t="s">
        <v>15</v>
      </c>
      <c r="B587" s="1" t="s">
        <v>522</v>
      </c>
      <c r="C587" s="43">
        <v>404770</v>
      </c>
      <c r="D587" s="44" t="s">
        <v>83</v>
      </c>
      <c r="E587" s="66" t="s">
        <v>525</v>
      </c>
      <c r="G587" s="50"/>
    </row>
    <row r="588" spans="1:7" ht="15.75" customHeight="1">
      <c r="A588" s="42" t="s">
        <v>15</v>
      </c>
      <c r="B588" s="1" t="s">
        <v>522</v>
      </c>
      <c r="C588" s="43">
        <v>452713</v>
      </c>
      <c r="D588" s="44" t="s">
        <v>83</v>
      </c>
      <c r="E588" s="67" t="s">
        <v>520</v>
      </c>
      <c r="G588" s="50"/>
    </row>
    <row r="589" spans="1:7" ht="15.75" customHeight="1">
      <c r="A589" s="42" t="s">
        <v>15</v>
      </c>
      <c r="B589" s="1" t="s">
        <v>522</v>
      </c>
      <c r="C589" s="43">
        <v>714717</v>
      </c>
      <c r="D589" s="44" t="s">
        <v>90</v>
      </c>
      <c r="E589" s="67" t="s">
        <v>131</v>
      </c>
      <c r="G589" s="50"/>
    </row>
    <row r="590" spans="1:7" ht="15.75" customHeight="1">
      <c r="A590" s="42" t="s">
        <v>15</v>
      </c>
      <c r="B590" s="1" t="s">
        <v>522</v>
      </c>
      <c r="C590" s="43">
        <v>587141</v>
      </c>
      <c r="D590" s="44" t="s">
        <v>80</v>
      </c>
      <c r="E590" s="66" t="s">
        <v>492</v>
      </c>
      <c r="G590" s="50"/>
    </row>
    <row r="591" spans="1:7" ht="15.75" customHeight="1">
      <c r="A591" s="42" t="s">
        <v>15</v>
      </c>
      <c r="B591" s="1" t="s">
        <v>522</v>
      </c>
      <c r="C591" s="43">
        <v>5025624</v>
      </c>
      <c r="D591" s="44" t="s">
        <v>80</v>
      </c>
      <c r="E591" s="67" t="s">
        <v>133</v>
      </c>
      <c r="G591" s="50"/>
    </row>
    <row r="592" spans="1:7" ht="15.75" customHeight="1">
      <c r="A592" s="42" t="s">
        <v>15</v>
      </c>
      <c r="B592" s="1" t="s">
        <v>522</v>
      </c>
      <c r="C592" s="43">
        <v>608964</v>
      </c>
      <c r="D592" s="44" t="s">
        <v>80</v>
      </c>
      <c r="E592" s="66" t="s">
        <v>202</v>
      </c>
      <c r="G592" s="50"/>
    </row>
    <row r="593" spans="1:8" ht="15.75" customHeight="1">
      <c r="A593" s="42" t="s">
        <v>15</v>
      </c>
      <c r="B593" s="1" t="s">
        <v>522</v>
      </c>
      <c r="C593" s="43">
        <v>2925058</v>
      </c>
      <c r="D593" s="44" t="s">
        <v>101</v>
      </c>
      <c r="E593" s="66" t="s">
        <v>495</v>
      </c>
      <c r="G593" s="50"/>
    </row>
    <row r="594" spans="1:8" ht="15.75" customHeight="1">
      <c r="A594" s="42" t="s">
        <v>15</v>
      </c>
      <c r="B594" s="1" t="s">
        <v>522</v>
      </c>
      <c r="C594" s="43">
        <v>449379</v>
      </c>
      <c r="D594" s="44" t="s">
        <v>83</v>
      </c>
      <c r="E594" s="66" t="s">
        <v>139</v>
      </c>
      <c r="G594" s="50"/>
    </row>
    <row r="595" spans="1:8" ht="15.75" customHeight="1">
      <c r="A595" s="42" t="s">
        <v>15</v>
      </c>
      <c r="B595" s="1" t="s">
        <v>522</v>
      </c>
      <c r="C595" s="43">
        <v>688053</v>
      </c>
      <c r="D595" s="44" t="s">
        <v>83</v>
      </c>
      <c r="E595" s="67" t="s">
        <v>526</v>
      </c>
      <c r="G595" s="50"/>
    </row>
    <row r="596" spans="1:8" ht="15.75" customHeight="1">
      <c r="A596" s="97" t="s">
        <v>16</v>
      </c>
      <c r="B596" s="112" t="s">
        <v>527</v>
      </c>
      <c r="C596" s="99" t="s">
        <v>68</v>
      </c>
      <c r="D596" s="100" t="s">
        <v>62</v>
      </c>
      <c r="E596" s="56" t="s">
        <v>69</v>
      </c>
      <c r="F596" s="101"/>
      <c r="G596" s="48" t="s">
        <v>70</v>
      </c>
      <c r="H596" s="102"/>
    </row>
    <row r="597" spans="1:8" ht="15.75" customHeight="1">
      <c r="A597" s="42" t="s">
        <v>16</v>
      </c>
      <c r="B597" s="1" t="s">
        <v>527</v>
      </c>
      <c r="C597" s="43">
        <v>5025693</v>
      </c>
      <c r="D597" s="44" t="s">
        <v>71</v>
      </c>
      <c r="E597" s="66" t="s">
        <v>72</v>
      </c>
      <c r="G597" s="48" t="s">
        <v>528</v>
      </c>
    </row>
    <row r="598" spans="1:8" ht="15.75" customHeight="1">
      <c r="A598" s="42" t="s">
        <v>16</v>
      </c>
      <c r="B598" s="1" t="s">
        <v>527</v>
      </c>
      <c r="C598" s="43">
        <v>404104</v>
      </c>
      <c r="D598" s="44" t="s">
        <v>83</v>
      </c>
      <c r="E598" s="66" t="s">
        <v>529</v>
      </c>
      <c r="G598" s="50"/>
    </row>
    <row r="599" spans="1:8" ht="15.75" customHeight="1">
      <c r="A599" s="42" t="s">
        <v>16</v>
      </c>
      <c r="B599" s="1" t="s">
        <v>527</v>
      </c>
      <c r="C599" s="43">
        <v>2996655</v>
      </c>
      <c r="D599" s="44" t="s">
        <v>80</v>
      </c>
      <c r="E599" s="66" t="s">
        <v>530</v>
      </c>
      <c r="G599" s="50"/>
    </row>
    <row r="600" spans="1:8" ht="15.75" customHeight="1">
      <c r="A600" s="42" t="s">
        <v>16</v>
      </c>
      <c r="B600" s="1" t="s">
        <v>527</v>
      </c>
      <c r="C600" s="43">
        <v>5025679</v>
      </c>
      <c r="D600" s="44" t="s">
        <v>90</v>
      </c>
      <c r="E600" s="66" t="s">
        <v>91</v>
      </c>
      <c r="G600" s="50"/>
    </row>
    <row r="601" spans="1:8" ht="15.75" customHeight="1">
      <c r="A601" s="42" t="s">
        <v>16</v>
      </c>
      <c r="B601" s="1" t="s">
        <v>527</v>
      </c>
      <c r="C601" s="43">
        <v>5025691</v>
      </c>
      <c r="D601" s="44" t="s">
        <v>101</v>
      </c>
      <c r="E601" s="67" t="s">
        <v>193</v>
      </c>
      <c r="G601" s="50"/>
    </row>
    <row r="602" spans="1:8" ht="15.75" customHeight="1">
      <c r="A602" s="42" t="s">
        <v>16</v>
      </c>
      <c r="B602" s="1" t="s">
        <v>527</v>
      </c>
      <c r="C602" s="43">
        <v>2996869</v>
      </c>
      <c r="D602" s="44" t="s">
        <v>80</v>
      </c>
      <c r="E602" s="66" t="s">
        <v>112</v>
      </c>
      <c r="G602" s="50"/>
    </row>
    <row r="603" spans="1:8" ht="15.75" customHeight="1">
      <c r="A603" s="42" t="s">
        <v>16</v>
      </c>
      <c r="B603" s="1" t="s">
        <v>527</v>
      </c>
      <c r="C603" s="43">
        <v>2924101</v>
      </c>
      <c r="D603" s="44" t="s">
        <v>101</v>
      </c>
      <c r="E603" s="66" t="s">
        <v>121</v>
      </c>
      <c r="G603" s="50"/>
    </row>
    <row r="604" spans="1:8" ht="15.75" customHeight="1">
      <c r="A604" s="42" t="s">
        <v>16</v>
      </c>
      <c r="B604" s="1" t="s">
        <v>527</v>
      </c>
      <c r="C604" s="43">
        <v>680863</v>
      </c>
      <c r="D604" s="44" t="s">
        <v>101</v>
      </c>
      <c r="E604" s="66" t="s">
        <v>531</v>
      </c>
      <c r="G604" s="50"/>
    </row>
    <row r="605" spans="1:8" ht="15.75" customHeight="1">
      <c r="A605" s="42" t="s">
        <v>16</v>
      </c>
      <c r="B605" s="1" t="s">
        <v>527</v>
      </c>
      <c r="C605" s="43">
        <v>5025686</v>
      </c>
      <c r="D605" s="44" t="s">
        <v>71</v>
      </c>
      <c r="E605" s="66" t="s">
        <v>124</v>
      </c>
      <c r="G605" s="50"/>
    </row>
    <row r="606" spans="1:8" ht="15.75" customHeight="1">
      <c r="A606" s="42" t="s">
        <v>16</v>
      </c>
      <c r="B606" s="1" t="s">
        <v>527</v>
      </c>
      <c r="C606" s="43">
        <v>2891127</v>
      </c>
      <c r="D606" s="44" t="s">
        <v>71</v>
      </c>
      <c r="E606" s="67" t="s">
        <v>532</v>
      </c>
      <c r="G606" s="50"/>
    </row>
    <row r="607" spans="1:8" ht="15.75" customHeight="1">
      <c r="A607" s="42" t="s">
        <v>16</v>
      </c>
      <c r="B607" s="1" t="s">
        <v>527</v>
      </c>
      <c r="C607" s="43">
        <v>5025672</v>
      </c>
      <c r="D607" s="44" t="s">
        <v>80</v>
      </c>
      <c r="E607" s="66" t="s">
        <v>126</v>
      </c>
      <c r="G607" s="50"/>
    </row>
    <row r="608" spans="1:8" ht="15.75" customHeight="1">
      <c r="A608" s="42" t="s">
        <v>16</v>
      </c>
      <c r="B608" s="1" t="s">
        <v>527</v>
      </c>
      <c r="C608" s="43">
        <v>5025632</v>
      </c>
      <c r="D608" s="44" t="s">
        <v>83</v>
      </c>
      <c r="E608" s="66" t="s">
        <v>533</v>
      </c>
      <c r="G608" s="50"/>
    </row>
    <row r="609" spans="1:8" ht="15.75" customHeight="1">
      <c r="A609" s="42" t="s">
        <v>16</v>
      </c>
      <c r="B609" s="1" t="s">
        <v>527</v>
      </c>
      <c r="C609" s="43">
        <v>608975</v>
      </c>
      <c r="D609" s="44" t="s">
        <v>80</v>
      </c>
      <c r="E609" s="66" t="s">
        <v>128</v>
      </c>
      <c r="G609" s="50"/>
    </row>
    <row r="610" spans="1:8" ht="15.75" customHeight="1">
      <c r="A610" s="42" t="s">
        <v>16</v>
      </c>
      <c r="B610" s="1" t="s">
        <v>527</v>
      </c>
      <c r="C610" s="43">
        <v>5025674</v>
      </c>
      <c r="D610" s="44" t="s">
        <v>83</v>
      </c>
      <c r="E610" s="66" t="s">
        <v>534</v>
      </c>
      <c r="G610" s="50"/>
    </row>
    <row r="611" spans="1:8" ht="15.75" customHeight="1">
      <c r="A611" s="42" t="s">
        <v>16</v>
      </c>
      <c r="B611" s="1" t="s">
        <v>527</v>
      </c>
      <c r="C611" s="43">
        <v>714745</v>
      </c>
      <c r="D611" s="44" t="s">
        <v>101</v>
      </c>
      <c r="E611" s="66" t="s">
        <v>535</v>
      </c>
      <c r="G611" s="50"/>
    </row>
    <row r="612" spans="1:8" ht="15.75" customHeight="1">
      <c r="A612" s="42" t="s">
        <v>16</v>
      </c>
      <c r="B612" s="1" t="s">
        <v>527</v>
      </c>
      <c r="C612" s="43">
        <v>5025677</v>
      </c>
      <c r="D612" s="44" t="s">
        <v>71</v>
      </c>
      <c r="E612" s="66" t="s">
        <v>536</v>
      </c>
      <c r="G612" s="50"/>
    </row>
    <row r="613" spans="1:8" ht="15.75" customHeight="1">
      <c r="A613" s="42" t="s">
        <v>16</v>
      </c>
      <c r="B613" s="1" t="s">
        <v>527</v>
      </c>
      <c r="C613" s="43">
        <v>714746</v>
      </c>
      <c r="D613" s="44" t="s">
        <v>71</v>
      </c>
      <c r="E613" s="66" t="s">
        <v>537</v>
      </c>
      <c r="G613" s="50"/>
    </row>
    <row r="614" spans="1:8" ht="15.75" customHeight="1">
      <c r="A614" s="42" t="s">
        <v>16</v>
      </c>
      <c r="B614" s="1" t="s">
        <v>527</v>
      </c>
      <c r="C614" s="43">
        <v>2848011</v>
      </c>
      <c r="D614" s="44" t="s">
        <v>101</v>
      </c>
      <c r="E614" s="66" t="s">
        <v>370</v>
      </c>
      <c r="G614" s="50"/>
    </row>
    <row r="615" spans="1:8" ht="15.75" customHeight="1">
      <c r="A615" s="42" t="s">
        <v>16</v>
      </c>
      <c r="B615" s="1" t="s">
        <v>527</v>
      </c>
      <c r="C615" s="43">
        <v>3161641</v>
      </c>
      <c r="D615" s="44" t="s">
        <v>101</v>
      </c>
      <c r="E615" s="67" t="s">
        <v>538</v>
      </c>
      <c r="G615" s="50"/>
    </row>
    <row r="616" spans="1:8" ht="15.75" customHeight="1">
      <c r="A616" s="42" t="s">
        <v>16</v>
      </c>
      <c r="B616" s="1" t="s">
        <v>527</v>
      </c>
      <c r="C616" s="43">
        <v>2427023</v>
      </c>
      <c r="D616" s="44" t="s">
        <v>71</v>
      </c>
      <c r="E616" s="67" t="s">
        <v>539</v>
      </c>
      <c r="G616" s="50"/>
    </row>
    <row r="617" spans="1:8" ht="15.75" customHeight="1">
      <c r="A617" s="42" t="s">
        <v>16</v>
      </c>
      <c r="B617" s="1" t="s">
        <v>527</v>
      </c>
      <c r="C617" s="43">
        <v>5025682</v>
      </c>
      <c r="D617" s="44" t="s">
        <v>90</v>
      </c>
      <c r="E617" s="66" t="s">
        <v>540</v>
      </c>
      <c r="G617" s="50"/>
    </row>
    <row r="618" spans="1:8" ht="15.75" customHeight="1">
      <c r="A618" s="42" t="s">
        <v>16</v>
      </c>
      <c r="B618" s="1" t="s">
        <v>527</v>
      </c>
      <c r="C618" s="43">
        <v>5025570</v>
      </c>
      <c r="D618" s="44" t="s">
        <v>83</v>
      </c>
      <c r="E618" s="66" t="s">
        <v>541</v>
      </c>
      <c r="G618" s="50"/>
    </row>
    <row r="619" spans="1:8" ht="15.75" customHeight="1">
      <c r="A619" s="52" t="s">
        <v>17</v>
      </c>
      <c r="B619" s="53" t="s">
        <v>542</v>
      </c>
      <c r="C619" s="54" t="s">
        <v>68</v>
      </c>
      <c r="D619" s="55" t="s">
        <v>62</v>
      </c>
      <c r="E619" s="56" t="s">
        <v>69</v>
      </c>
      <c r="F619" s="57"/>
      <c r="G619" s="48" t="s">
        <v>70</v>
      </c>
      <c r="H619" s="58"/>
    </row>
    <row r="620" spans="1:8" ht="15.75" customHeight="1">
      <c r="A620" s="42" t="s">
        <v>17</v>
      </c>
      <c r="B620" s="1" t="s">
        <v>542</v>
      </c>
      <c r="C620" s="43">
        <v>5025692</v>
      </c>
      <c r="D620" s="44" t="s">
        <v>101</v>
      </c>
      <c r="E620" s="66" t="s">
        <v>74</v>
      </c>
      <c r="F620" s="113"/>
      <c r="G620" s="48" t="s">
        <v>233</v>
      </c>
      <c r="H620" s="113"/>
    </row>
    <row r="621" spans="1:8" ht="15.75" customHeight="1">
      <c r="A621" s="42" t="s">
        <v>17</v>
      </c>
      <c r="B621" s="1" t="s">
        <v>542</v>
      </c>
      <c r="C621" s="43">
        <v>793670</v>
      </c>
      <c r="D621" s="44" t="s">
        <v>83</v>
      </c>
      <c r="E621" s="67" t="s">
        <v>543</v>
      </c>
      <c r="G621" s="48" t="s">
        <v>235</v>
      </c>
    </row>
    <row r="622" spans="1:8" ht="15.75" customHeight="1">
      <c r="A622" s="42" t="s">
        <v>17</v>
      </c>
      <c r="B622" s="1" t="s">
        <v>542</v>
      </c>
      <c r="C622" s="43">
        <v>664852</v>
      </c>
      <c r="D622" s="44" t="s">
        <v>83</v>
      </c>
      <c r="E622" s="66" t="s">
        <v>544</v>
      </c>
      <c r="G622" s="48" t="s">
        <v>212</v>
      </c>
    </row>
    <row r="623" spans="1:8" ht="15.75" customHeight="1">
      <c r="A623" s="42" t="s">
        <v>17</v>
      </c>
      <c r="B623" s="1" t="s">
        <v>542</v>
      </c>
      <c r="C623" s="43">
        <v>425104</v>
      </c>
      <c r="D623" s="44" t="s">
        <v>80</v>
      </c>
      <c r="E623" s="66" t="s">
        <v>238</v>
      </c>
      <c r="G623" s="50"/>
    </row>
    <row r="624" spans="1:8" ht="15.75" customHeight="1">
      <c r="A624" s="42" t="s">
        <v>17</v>
      </c>
      <c r="B624" s="1" t="s">
        <v>542</v>
      </c>
      <c r="C624" s="43">
        <v>417770</v>
      </c>
      <c r="D624" s="44" t="s">
        <v>80</v>
      </c>
      <c r="E624" s="66" t="s">
        <v>545</v>
      </c>
      <c r="G624" s="50"/>
    </row>
    <row r="625" spans="1:7" ht="15.75" customHeight="1">
      <c r="A625" s="42" t="s">
        <v>17</v>
      </c>
      <c r="B625" s="1" t="s">
        <v>542</v>
      </c>
      <c r="C625" s="43">
        <v>2926133</v>
      </c>
      <c r="D625" s="44" t="s">
        <v>80</v>
      </c>
      <c r="E625" s="66" t="s">
        <v>107</v>
      </c>
      <c r="G625" s="50"/>
    </row>
    <row r="626" spans="1:7" ht="15.75" customHeight="1">
      <c r="A626" s="42" t="s">
        <v>17</v>
      </c>
      <c r="B626" s="1" t="s">
        <v>542</v>
      </c>
      <c r="C626" s="43">
        <v>2926134</v>
      </c>
      <c r="D626" s="44" t="s">
        <v>101</v>
      </c>
      <c r="E626" s="66" t="s">
        <v>108</v>
      </c>
      <c r="G626" s="50"/>
    </row>
    <row r="627" spans="1:7" ht="15.75" customHeight="1">
      <c r="A627" s="42" t="s">
        <v>17</v>
      </c>
      <c r="B627" s="1" t="s">
        <v>542</v>
      </c>
      <c r="C627" s="43">
        <v>2428812</v>
      </c>
      <c r="D627" s="44" t="s">
        <v>101</v>
      </c>
      <c r="E627" s="67" t="s">
        <v>546</v>
      </c>
      <c r="G627" s="50"/>
    </row>
    <row r="628" spans="1:7" ht="15.75" customHeight="1">
      <c r="A628" s="42" t="s">
        <v>17</v>
      </c>
      <c r="B628" s="1" t="s">
        <v>542</v>
      </c>
      <c r="C628" s="43">
        <v>457501</v>
      </c>
      <c r="D628" s="44" t="s">
        <v>80</v>
      </c>
      <c r="E628" s="66" t="s">
        <v>547</v>
      </c>
      <c r="G628" s="50"/>
    </row>
    <row r="629" spans="1:7" ht="15.75" customHeight="1">
      <c r="A629" s="42" t="s">
        <v>17</v>
      </c>
      <c r="B629" s="1" t="s">
        <v>542</v>
      </c>
      <c r="C629" s="43">
        <v>609787</v>
      </c>
      <c r="D629" s="44" t="s">
        <v>83</v>
      </c>
      <c r="E629" s="66" t="s">
        <v>220</v>
      </c>
      <c r="G629" s="50"/>
    </row>
    <row r="630" spans="1:7" ht="15.75" customHeight="1">
      <c r="A630" s="42" t="s">
        <v>17</v>
      </c>
      <c r="B630" s="1" t="s">
        <v>542</v>
      </c>
      <c r="C630" s="43">
        <v>2423948</v>
      </c>
      <c r="D630" s="44" t="s">
        <v>80</v>
      </c>
      <c r="E630" s="67" t="s">
        <v>548</v>
      </c>
      <c r="G630" s="50"/>
    </row>
    <row r="631" spans="1:7" ht="15.75" customHeight="1">
      <c r="A631" s="42" t="s">
        <v>17</v>
      </c>
      <c r="B631" s="1" t="s">
        <v>542</v>
      </c>
      <c r="C631" s="43">
        <v>762663</v>
      </c>
      <c r="D631" s="44" t="s">
        <v>101</v>
      </c>
      <c r="E631" s="66" t="s">
        <v>549</v>
      </c>
      <c r="G631" s="50"/>
    </row>
    <row r="632" spans="1:7" ht="15.75" customHeight="1">
      <c r="A632" s="42" t="s">
        <v>17</v>
      </c>
      <c r="B632" s="1" t="s">
        <v>542</v>
      </c>
      <c r="C632" s="43">
        <v>714744</v>
      </c>
      <c r="D632" s="44" t="s">
        <v>101</v>
      </c>
      <c r="E632" s="66" t="s">
        <v>550</v>
      </c>
      <c r="G632" s="50"/>
    </row>
    <row r="633" spans="1:7" ht="15.75" customHeight="1">
      <c r="A633" s="42" t="s">
        <v>17</v>
      </c>
      <c r="B633" s="1" t="s">
        <v>542</v>
      </c>
      <c r="C633" s="43">
        <v>2841606</v>
      </c>
      <c r="D633" s="44" t="s">
        <v>83</v>
      </c>
      <c r="E633" s="66" t="s">
        <v>252</v>
      </c>
      <c r="G633" s="50"/>
    </row>
    <row r="634" spans="1:7" ht="15.75" customHeight="1">
      <c r="A634" s="42" t="s">
        <v>17</v>
      </c>
      <c r="B634" s="1" t="s">
        <v>542</v>
      </c>
      <c r="C634" s="43">
        <v>714743</v>
      </c>
      <c r="D634" s="44" t="s">
        <v>101</v>
      </c>
      <c r="E634" s="67" t="s">
        <v>551</v>
      </c>
      <c r="G634" s="50"/>
    </row>
    <row r="635" spans="1:7" ht="15.75" customHeight="1">
      <c r="A635" s="42" t="s">
        <v>17</v>
      </c>
      <c r="B635" s="1" t="s">
        <v>542</v>
      </c>
      <c r="C635" s="43">
        <v>2879008</v>
      </c>
      <c r="D635" s="44" t="s">
        <v>80</v>
      </c>
      <c r="E635" s="66" t="s">
        <v>552</v>
      </c>
      <c r="G635" s="50"/>
    </row>
    <row r="636" spans="1:7" ht="15.75" customHeight="1">
      <c r="A636" s="42" t="s">
        <v>17</v>
      </c>
      <c r="B636" s="1" t="s">
        <v>542</v>
      </c>
      <c r="C636" s="43">
        <v>582462</v>
      </c>
      <c r="D636" s="44" t="s">
        <v>90</v>
      </c>
      <c r="E636" s="66" t="s">
        <v>553</v>
      </c>
      <c r="G636" s="50"/>
    </row>
    <row r="637" spans="1:7" ht="15.75" customHeight="1">
      <c r="A637" s="42" t="s">
        <v>17</v>
      </c>
      <c r="B637" s="1" t="s">
        <v>542</v>
      </c>
      <c r="C637" s="43">
        <v>497105</v>
      </c>
      <c r="D637" s="44" t="s">
        <v>90</v>
      </c>
      <c r="E637" s="66" t="s">
        <v>554</v>
      </c>
      <c r="G637" s="50"/>
    </row>
    <row r="638" spans="1:7" ht="15.75" customHeight="1">
      <c r="A638" s="42" t="s">
        <v>17</v>
      </c>
      <c r="B638" s="1" t="s">
        <v>542</v>
      </c>
      <c r="C638" s="43">
        <v>507216</v>
      </c>
      <c r="D638" s="44" t="s">
        <v>83</v>
      </c>
      <c r="E638" s="66" t="s">
        <v>555</v>
      </c>
      <c r="G638" s="50"/>
    </row>
    <row r="639" spans="1:7" ht="15.75" customHeight="1">
      <c r="A639" s="42" t="s">
        <v>17</v>
      </c>
      <c r="B639" s="1" t="s">
        <v>542</v>
      </c>
      <c r="C639" s="43">
        <v>664846</v>
      </c>
      <c r="D639" s="44" t="s">
        <v>101</v>
      </c>
      <c r="E639" s="66" t="s">
        <v>556</v>
      </c>
      <c r="G639" s="50"/>
    </row>
    <row r="640" spans="1:7" ht="15.75" customHeight="1">
      <c r="A640" s="42" t="s">
        <v>17</v>
      </c>
      <c r="B640" s="1" t="s">
        <v>542</v>
      </c>
      <c r="C640" s="43">
        <v>708547</v>
      </c>
      <c r="D640" s="44" t="s">
        <v>71</v>
      </c>
      <c r="E640" s="66" t="s">
        <v>557</v>
      </c>
      <c r="G640" s="50"/>
    </row>
    <row r="641" spans="1:8" ht="15.75" customHeight="1">
      <c r="A641" s="42" t="s">
        <v>17</v>
      </c>
      <c r="B641" s="1" t="s">
        <v>542</v>
      </c>
      <c r="C641" s="43">
        <v>761272</v>
      </c>
      <c r="D641" s="44" t="s">
        <v>101</v>
      </c>
      <c r="E641" s="66" t="s">
        <v>558</v>
      </c>
      <c r="G641" s="50"/>
    </row>
    <row r="642" spans="1:8" ht="15.75" customHeight="1">
      <c r="A642" s="42" t="s">
        <v>17</v>
      </c>
      <c r="B642" s="1" t="s">
        <v>542</v>
      </c>
      <c r="C642" s="43">
        <v>761045</v>
      </c>
      <c r="D642" s="44" t="s">
        <v>101</v>
      </c>
      <c r="E642" s="66" t="s">
        <v>559</v>
      </c>
      <c r="G642" s="50"/>
    </row>
    <row r="643" spans="1:8" ht="15.75" customHeight="1">
      <c r="A643" s="42" t="s">
        <v>17</v>
      </c>
      <c r="B643" s="1" t="s">
        <v>542</v>
      </c>
      <c r="C643" s="43">
        <v>761269</v>
      </c>
      <c r="D643" s="44" t="s">
        <v>101</v>
      </c>
      <c r="E643" s="67" t="s">
        <v>560</v>
      </c>
      <c r="G643" s="50"/>
    </row>
    <row r="644" spans="1:8" ht="15.75" customHeight="1">
      <c r="A644" s="42" t="s">
        <v>17</v>
      </c>
      <c r="B644" s="1" t="s">
        <v>542</v>
      </c>
      <c r="C644" s="43">
        <v>763854</v>
      </c>
      <c r="D644" s="44" t="s">
        <v>83</v>
      </c>
      <c r="E644" s="67" t="s">
        <v>561</v>
      </c>
      <c r="G644" s="50"/>
    </row>
    <row r="645" spans="1:8" ht="15.75" customHeight="1">
      <c r="A645" s="42" t="s">
        <v>17</v>
      </c>
      <c r="B645" s="1" t="s">
        <v>542</v>
      </c>
      <c r="C645" s="43">
        <v>2838168</v>
      </c>
      <c r="D645" s="44" t="s">
        <v>71</v>
      </c>
      <c r="E645" s="66" t="s">
        <v>562</v>
      </c>
      <c r="G645" s="50"/>
    </row>
    <row r="646" spans="1:8" ht="15.75" customHeight="1">
      <c r="A646" s="42" t="s">
        <v>17</v>
      </c>
      <c r="B646" s="1" t="s">
        <v>542</v>
      </c>
      <c r="C646" s="43">
        <v>2813300</v>
      </c>
      <c r="D646" s="44" t="s">
        <v>71</v>
      </c>
      <c r="E646" s="67" t="s">
        <v>563</v>
      </c>
      <c r="G646" s="50"/>
    </row>
    <row r="647" spans="1:8" ht="15.75" customHeight="1">
      <c r="A647" s="42" t="s">
        <v>17</v>
      </c>
      <c r="B647" s="1" t="s">
        <v>542</v>
      </c>
      <c r="C647" s="43">
        <v>190228</v>
      </c>
      <c r="D647" s="44" t="s">
        <v>83</v>
      </c>
      <c r="E647" s="66" t="s">
        <v>564</v>
      </c>
      <c r="G647" s="50"/>
    </row>
    <row r="648" spans="1:8" ht="15.75" customHeight="1">
      <c r="A648" s="42" t="s">
        <v>17</v>
      </c>
      <c r="B648" s="1" t="s">
        <v>542</v>
      </c>
      <c r="C648" s="43">
        <v>428124</v>
      </c>
      <c r="D648" s="44" t="s">
        <v>80</v>
      </c>
      <c r="E648" s="67" t="s">
        <v>142</v>
      </c>
      <c r="G648" s="50"/>
    </row>
    <row r="649" spans="1:8" ht="15.75" customHeight="1">
      <c r="A649" s="60" t="s">
        <v>18</v>
      </c>
      <c r="B649" s="60" t="s">
        <v>565</v>
      </c>
      <c r="C649" s="62" t="s">
        <v>68</v>
      </c>
      <c r="D649" s="63" t="s">
        <v>62</v>
      </c>
      <c r="E649" s="56" t="s">
        <v>69</v>
      </c>
      <c r="F649" s="64"/>
      <c r="G649" s="48" t="s">
        <v>70</v>
      </c>
      <c r="H649" s="65"/>
    </row>
    <row r="650" spans="1:8" ht="15.75" customHeight="1">
      <c r="A650" s="42" t="s">
        <v>18</v>
      </c>
      <c r="B650" s="1" t="s">
        <v>565</v>
      </c>
      <c r="C650" s="43">
        <v>5025693</v>
      </c>
      <c r="D650" s="44" t="s">
        <v>71</v>
      </c>
      <c r="E650" s="66" t="s">
        <v>72</v>
      </c>
      <c r="G650" s="48" t="s">
        <v>566</v>
      </c>
    </row>
    <row r="651" spans="1:8" ht="15.75" customHeight="1">
      <c r="A651" s="42" t="s">
        <v>18</v>
      </c>
      <c r="B651" s="1" t="s">
        <v>565</v>
      </c>
      <c r="C651" s="43">
        <v>404104</v>
      </c>
      <c r="D651" s="44" t="s">
        <v>83</v>
      </c>
      <c r="E651" s="66" t="s">
        <v>529</v>
      </c>
      <c r="G651" s="48" t="s">
        <v>567</v>
      </c>
    </row>
    <row r="652" spans="1:8" ht="15.75" customHeight="1">
      <c r="A652" s="42" t="s">
        <v>18</v>
      </c>
      <c r="B652" s="1" t="s">
        <v>565</v>
      </c>
      <c r="C652" s="43">
        <v>565190</v>
      </c>
      <c r="D652" s="44" t="s">
        <v>83</v>
      </c>
      <c r="E652" s="66" t="s">
        <v>568</v>
      </c>
      <c r="G652" s="48" t="s">
        <v>75</v>
      </c>
    </row>
    <row r="653" spans="1:8" ht="15.75" customHeight="1">
      <c r="A653" s="42" t="s">
        <v>18</v>
      </c>
      <c r="B653" s="1" t="s">
        <v>565</v>
      </c>
      <c r="C653" s="43">
        <v>2996655</v>
      </c>
      <c r="D653" s="44" t="s">
        <v>80</v>
      </c>
      <c r="E653" s="66" t="s">
        <v>530</v>
      </c>
      <c r="G653" s="48" t="s">
        <v>569</v>
      </c>
    </row>
    <row r="654" spans="1:8" ht="15.75" customHeight="1">
      <c r="A654" s="42" t="s">
        <v>18</v>
      </c>
      <c r="B654" s="1" t="s">
        <v>565</v>
      </c>
      <c r="C654" s="43">
        <v>2823335</v>
      </c>
      <c r="D654" s="44" t="s">
        <v>80</v>
      </c>
      <c r="E654" s="66" t="s">
        <v>570</v>
      </c>
      <c r="G654" s="50"/>
    </row>
    <row r="655" spans="1:8" ht="15.75" customHeight="1">
      <c r="A655" s="42" t="s">
        <v>18</v>
      </c>
      <c r="B655" s="1" t="s">
        <v>565</v>
      </c>
      <c r="C655" s="43">
        <v>2926135</v>
      </c>
      <c r="D655" s="44" t="s">
        <v>101</v>
      </c>
      <c r="E655" s="66" t="s">
        <v>571</v>
      </c>
      <c r="G655" s="50"/>
    </row>
    <row r="656" spans="1:8" ht="15.75" customHeight="1">
      <c r="A656" s="42" t="s">
        <v>18</v>
      </c>
      <c r="B656" s="1" t="s">
        <v>565</v>
      </c>
      <c r="C656" s="43">
        <v>3109019</v>
      </c>
      <c r="D656" s="44" t="s">
        <v>101</v>
      </c>
      <c r="E656" s="66" t="s">
        <v>102</v>
      </c>
      <c r="G656" s="50"/>
    </row>
    <row r="657" spans="1:7" ht="15.75" customHeight="1">
      <c r="A657" s="42" t="s">
        <v>18</v>
      </c>
      <c r="B657" s="1" t="s">
        <v>565</v>
      </c>
      <c r="C657" s="43">
        <v>2996869</v>
      </c>
      <c r="D657" s="44" t="s">
        <v>80</v>
      </c>
      <c r="E657" s="66" t="s">
        <v>112</v>
      </c>
      <c r="G657" s="50"/>
    </row>
    <row r="658" spans="1:7" ht="15.75" customHeight="1">
      <c r="A658" s="42" t="s">
        <v>18</v>
      </c>
      <c r="B658" s="1" t="s">
        <v>565</v>
      </c>
      <c r="C658" s="43">
        <v>2826000</v>
      </c>
      <c r="D658" s="44" t="s">
        <v>83</v>
      </c>
      <c r="E658" s="66" t="s">
        <v>572</v>
      </c>
      <c r="G658" s="50"/>
    </row>
    <row r="659" spans="1:7" ht="15.75" customHeight="1">
      <c r="A659" s="42" t="s">
        <v>18</v>
      </c>
      <c r="B659" s="1" t="s">
        <v>565</v>
      </c>
      <c r="C659" s="43">
        <v>2837243</v>
      </c>
      <c r="D659" s="44" t="s">
        <v>80</v>
      </c>
      <c r="E659" s="66" t="s">
        <v>573</v>
      </c>
      <c r="G659" s="50"/>
    </row>
    <row r="660" spans="1:7" ht="15.75" customHeight="1">
      <c r="A660" s="42" t="s">
        <v>18</v>
      </c>
      <c r="B660" s="1" t="s">
        <v>565</v>
      </c>
      <c r="C660" s="43">
        <v>2924101</v>
      </c>
      <c r="D660" s="44" t="s">
        <v>101</v>
      </c>
      <c r="E660" s="66" t="s">
        <v>121</v>
      </c>
      <c r="G660" s="50"/>
    </row>
    <row r="661" spans="1:7" ht="15.75" customHeight="1">
      <c r="A661" s="42" t="s">
        <v>18</v>
      </c>
      <c r="B661" s="1" t="s">
        <v>565</v>
      </c>
      <c r="C661" s="43">
        <v>2422926</v>
      </c>
      <c r="D661" s="44" t="s">
        <v>101</v>
      </c>
      <c r="E661" s="67" t="s">
        <v>289</v>
      </c>
      <c r="G661" s="50"/>
    </row>
    <row r="662" spans="1:7" ht="15.75" customHeight="1">
      <c r="A662" s="42" t="s">
        <v>18</v>
      </c>
      <c r="B662" s="1" t="s">
        <v>565</v>
      </c>
      <c r="C662" s="43">
        <v>750058</v>
      </c>
      <c r="D662" s="44" t="s">
        <v>83</v>
      </c>
      <c r="E662" s="66" t="s">
        <v>574</v>
      </c>
      <c r="G662" s="50"/>
    </row>
    <row r="663" spans="1:7" ht="15.75" customHeight="1">
      <c r="A663" s="42" t="s">
        <v>18</v>
      </c>
      <c r="B663" s="1" t="s">
        <v>565</v>
      </c>
      <c r="C663" s="43">
        <v>561380</v>
      </c>
      <c r="D663" s="44" t="s">
        <v>83</v>
      </c>
      <c r="E663" s="66" t="s">
        <v>575</v>
      </c>
      <c r="G663" s="50"/>
    </row>
    <row r="664" spans="1:7" ht="15.75" customHeight="1">
      <c r="A664" s="42" t="s">
        <v>18</v>
      </c>
      <c r="B664" s="1" t="s">
        <v>565</v>
      </c>
      <c r="C664" s="43">
        <v>587140</v>
      </c>
      <c r="D664" s="44" t="s">
        <v>83</v>
      </c>
      <c r="E664" s="66" t="s">
        <v>576</v>
      </c>
      <c r="G664" s="50"/>
    </row>
    <row r="665" spans="1:7" ht="15.75" customHeight="1">
      <c r="A665" s="42" t="s">
        <v>18</v>
      </c>
      <c r="B665" s="1" t="s">
        <v>565</v>
      </c>
      <c r="C665" s="43">
        <v>605150</v>
      </c>
      <c r="D665" s="44" t="s">
        <v>71</v>
      </c>
      <c r="E665" s="66" t="s">
        <v>577</v>
      </c>
      <c r="G665" s="50"/>
    </row>
    <row r="666" spans="1:7" ht="15.75" customHeight="1">
      <c r="A666" s="42" t="s">
        <v>18</v>
      </c>
      <c r="B666" s="1" t="s">
        <v>565</v>
      </c>
      <c r="C666" s="43">
        <v>568990</v>
      </c>
      <c r="D666" s="44" t="s">
        <v>101</v>
      </c>
      <c r="E666" s="66" t="s">
        <v>578</v>
      </c>
      <c r="G666" s="50"/>
    </row>
    <row r="667" spans="1:7" ht="15.75" customHeight="1">
      <c r="A667" s="42" t="s">
        <v>18</v>
      </c>
      <c r="B667" s="1" t="s">
        <v>565</v>
      </c>
      <c r="C667" s="43">
        <v>703866</v>
      </c>
      <c r="D667" s="44" t="s">
        <v>83</v>
      </c>
      <c r="E667" s="66" t="s">
        <v>168</v>
      </c>
      <c r="G667" s="50"/>
    </row>
    <row r="668" spans="1:7" ht="15.75" customHeight="1">
      <c r="A668" s="42" t="s">
        <v>18</v>
      </c>
      <c r="B668" s="1" t="s">
        <v>565</v>
      </c>
      <c r="C668" s="43">
        <v>656482</v>
      </c>
      <c r="D668" s="44" t="s">
        <v>101</v>
      </c>
      <c r="E668" s="66" t="s">
        <v>579</v>
      </c>
      <c r="G668" s="50"/>
    </row>
    <row r="669" spans="1:7" ht="15.75" customHeight="1">
      <c r="A669" s="42" t="s">
        <v>18</v>
      </c>
      <c r="B669" s="1" t="s">
        <v>565</v>
      </c>
      <c r="C669" s="43">
        <v>703862</v>
      </c>
      <c r="D669" s="44" t="s">
        <v>83</v>
      </c>
      <c r="E669" s="66" t="s">
        <v>223</v>
      </c>
      <c r="G669" s="50"/>
    </row>
    <row r="670" spans="1:7" ht="15.75" customHeight="1">
      <c r="A670" s="42" t="s">
        <v>18</v>
      </c>
      <c r="B670" s="1" t="s">
        <v>565</v>
      </c>
      <c r="C670" s="43">
        <v>608978</v>
      </c>
      <c r="D670" s="44" t="s">
        <v>80</v>
      </c>
      <c r="E670" s="66" t="s">
        <v>199</v>
      </c>
      <c r="G670" s="50"/>
    </row>
    <row r="671" spans="1:7" ht="15.75" customHeight="1">
      <c r="A671" s="42" t="s">
        <v>18</v>
      </c>
      <c r="B671" s="1" t="s">
        <v>565</v>
      </c>
      <c r="C671" s="43">
        <v>708546</v>
      </c>
      <c r="D671" s="44" t="s">
        <v>83</v>
      </c>
      <c r="E671" s="66" t="s">
        <v>580</v>
      </c>
      <c r="G671" s="50"/>
    </row>
    <row r="672" spans="1:7" ht="15.75" customHeight="1">
      <c r="A672" s="42" t="s">
        <v>18</v>
      </c>
      <c r="B672" s="1" t="s">
        <v>565</v>
      </c>
      <c r="C672" s="43">
        <v>708535</v>
      </c>
      <c r="D672" s="44" t="s">
        <v>71</v>
      </c>
      <c r="E672" s="66" t="s">
        <v>581</v>
      </c>
      <c r="G672" s="50"/>
    </row>
    <row r="673" spans="1:7" ht="15.75" customHeight="1">
      <c r="A673" s="42" t="s">
        <v>18</v>
      </c>
      <c r="B673" s="1" t="s">
        <v>565</v>
      </c>
      <c r="C673" s="43">
        <v>708556</v>
      </c>
      <c r="D673" s="44" t="s">
        <v>71</v>
      </c>
      <c r="E673" s="66" t="s">
        <v>200</v>
      </c>
      <c r="G673" s="50"/>
    </row>
    <row r="674" spans="1:7" ht="15.75" customHeight="1">
      <c r="A674" s="42" t="s">
        <v>18</v>
      </c>
      <c r="B674" s="1" t="s">
        <v>565</v>
      </c>
      <c r="C674" s="43">
        <v>568991</v>
      </c>
      <c r="D674" s="44" t="s">
        <v>101</v>
      </c>
      <c r="E674" s="66" t="s">
        <v>465</v>
      </c>
      <c r="G674" s="50"/>
    </row>
    <row r="675" spans="1:7" ht="15.75" customHeight="1">
      <c r="A675" s="42" t="s">
        <v>18</v>
      </c>
      <c r="B675" s="1" t="s">
        <v>565</v>
      </c>
      <c r="C675" s="43">
        <v>403570</v>
      </c>
      <c r="D675" s="44" t="s">
        <v>83</v>
      </c>
      <c r="E675" s="66" t="s">
        <v>582</v>
      </c>
      <c r="G675" s="50"/>
    </row>
    <row r="676" spans="1:7" ht="15.75" customHeight="1">
      <c r="A676" s="42" t="s">
        <v>18</v>
      </c>
      <c r="B676" s="1" t="s">
        <v>565</v>
      </c>
      <c r="C676" s="43">
        <v>587142</v>
      </c>
      <c r="D676" s="44" t="s">
        <v>71</v>
      </c>
      <c r="E676" s="66" t="s">
        <v>583</v>
      </c>
      <c r="G676" s="50"/>
    </row>
    <row r="677" spans="1:7" ht="15.75" customHeight="1">
      <c r="A677" s="42" t="s">
        <v>18</v>
      </c>
      <c r="B677" s="1" t="s">
        <v>565</v>
      </c>
      <c r="C677" s="43">
        <v>688054</v>
      </c>
      <c r="D677" s="44" t="s">
        <v>80</v>
      </c>
      <c r="E677" s="66" t="s">
        <v>584</v>
      </c>
      <c r="G677" s="50"/>
    </row>
    <row r="678" spans="1:7" ht="15.75" customHeight="1">
      <c r="A678" s="42" t="s">
        <v>18</v>
      </c>
      <c r="B678" s="1" t="s">
        <v>565</v>
      </c>
      <c r="C678" s="43">
        <v>5025674</v>
      </c>
      <c r="D678" s="44" t="s">
        <v>83</v>
      </c>
      <c r="E678" s="66" t="s">
        <v>534</v>
      </c>
      <c r="G678" s="50"/>
    </row>
    <row r="679" spans="1:7" ht="15.75" customHeight="1">
      <c r="A679" s="42" t="s">
        <v>18</v>
      </c>
      <c r="B679" s="1" t="s">
        <v>565</v>
      </c>
      <c r="C679" s="43">
        <v>714745</v>
      </c>
      <c r="D679" s="44" t="s">
        <v>101</v>
      </c>
      <c r="E679" s="66" t="s">
        <v>535</v>
      </c>
      <c r="G679" s="50"/>
    </row>
    <row r="680" spans="1:7" ht="15.75" customHeight="1">
      <c r="A680" s="42" t="s">
        <v>18</v>
      </c>
      <c r="B680" s="1" t="s">
        <v>565</v>
      </c>
      <c r="C680" s="43">
        <v>5025677</v>
      </c>
      <c r="D680" s="44" t="s">
        <v>71</v>
      </c>
      <c r="E680" s="66" t="s">
        <v>536</v>
      </c>
      <c r="G680" s="50"/>
    </row>
    <row r="681" spans="1:7" ht="15.75" customHeight="1">
      <c r="A681" s="42" t="s">
        <v>18</v>
      </c>
      <c r="B681" s="1" t="s">
        <v>565</v>
      </c>
      <c r="C681" s="43">
        <v>714746</v>
      </c>
      <c r="D681" s="44" t="s">
        <v>71</v>
      </c>
      <c r="E681" s="66" t="s">
        <v>537</v>
      </c>
      <c r="G681" s="50"/>
    </row>
    <row r="682" spans="1:7" ht="15.75" customHeight="1">
      <c r="A682" s="42" t="s">
        <v>18</v>
      </c>
      <c r="B682" s="1" t="s">
        <v>565</v>
      </c>
      <c r="C682" s="43">
        <v>2421341</v>
      </c>
      <c r="D682" s="44" t="s">
        <v>101</v>
      </c>
      <c r="E682" s="67" t="s">
        <v>585</v>
      </c>
      <c r="G682" s="50"/>
    </row>
    <row r="683" spans="1:7" ht="15.75" customHeight="1">
      <c r="A683" s="42" t="s">
        <v>18</v>
      </c>
      <c r="B683" s="1" t="s">
        <v>565</v>
      </c>
      <c r="C683" s="43">
        <v>2425212</v>
      </c>
      <c r="D683" s="44" t="s">
        <v>101</v>
      </c>
      <c r="E683" s="67" t="s">
        <v>586</v>
      </c>
      <c r="G683" s="50"/>
    </row>
    <row r="684" spans="1:7" ht="15.75" customHeight="1">
      <c r="A684" s="42" t="s">
        <v>18</v>
      </c>
      <c r="B684" s="1" t="s">
        <v>565</v>
      </c>
      <c r="C684" s="43">
        <v>795023</v>
      </c>
      <c r="D684" s="44" t="s">
        <v>71</v>
      </c>
      <c r="E684" s="66" t="s">
        <v>587</v>
      </c>
      <c r="G684" s="50"/>
    </row>
    <row r="685" spans="1:7" ht="15.75" customHeight="1">
      <c r="A685" s="42" t="s">
        <v>18</v>
      </c>
      <c r="B685" s="1" t="s">
        <v>565</v>
      </c>
      <c r="C685" s="43">
        <v>561218</v>
      </c>
      <c r="D685" s="44" t="s">
        <v>83</v>
      </c>
      <c r="E685" s="66" t="s">
        <v>588</v>
      </c>
      <c r="G685" s="50"/>
    </row>
    <row r="686" spans="1:7" ht="15.75" customHeight="1">
      <c r="A686" s="42" t="s">
        <v>18</v>
      </c>
      <c r="B686" s="1" t="s">
        <v>565</v>
      </c>
      <c r="C686" s="43">
        <v>5025678</v>
      </c>
      <c r="D686" s="44" t="s">
        <v>71</v>
      </c>
      <c r="E686" s="66" t="s">
        <v>589</v>
      </c>
      <c r="G686" s="50"/>
    </row>
    <row r="687" spans="1:7" ht="15.75" customHeight="1">
      <c r="A687" s="42" t="s">
        <v>18</v>
      </c>
      <c r="B687" s="1" t="s">
        <v>565</v>
      </c>
      <c r="C687" s="43">
        <v>651774</v>
      </c>
      <c r="D687" s="44" t="s">
        <v>71</v>
      </c>
      <c r="E687" s="66" t="s">
        <v>132</v>
      </c>
      <c r="G687" s="50"/>
    </row>
    <row r="688" spans="1:7" ht="15.75" customHeight="1">
      <c r="A688" s="42" t="s">
        <v>18</v>
      </c>
      <c r="B688" s="1" t="s">
        <v>565</v>
      </c>
      <c r="C688" s="43">
        <v>2929105</v>
      </c>
      <c r="D688" s="44" t="s">
        <v>101</v>
      </c>
      <c r="E688" s="66" t="s">
        <v>590</v>
      </c>
      <c r="G688" s="50"/>
    </row>
    <row r="689" spans="1:8" ht="15.75" customHeight="1">
      <c r="A689" s="42" t="s">
        <v>18</v>
      </c>
      <c r="B689" s="1" t="s">
        <v>565</v>
      </c>
      <c r="C689" s="43">
        <v>2836011</v>
      </c>
      <c r="D689" s="44" t="s">
        <v>80</v>
      </c>
      <c r="E689" s="66" t="s">
        <v>496</v>
      </c>
      <c r="G689" s="50"/>
    </row>
    <row r="690" spans="1:8" ht="15.75" customHeight="1">
      <c r="A690" s="42" t="s">
        <v>18</v>
      </c>
      <c r="B690" s="1" t="s">
        <v>565</v>
      </c>
      <c r="C690" s="43">
        <v>2838154</v>
      </c>
      <c r="D690" s="44" t="s">
        <v>71</v>
      </c>
      <c r="E690" s="66" t="s">
        <v>591</v>
      </c>
      <c r="G690" s="50"/>
    </row>
    <row r="691" spans="1:8" ht="15.75" customHeight="1">
      <c r="A691" s="42" t="s">
        <v>18</v>
      </c>
      <c r="B691" s="1" t="s">
        <v>565</v>
      </c>
      <c r="C691" s="43">
        <v>593082</v>
      </c>
      <c r="D691" s="44" t="s">
        <v>90</v>
      </c>
      <c r="E691" s="66" t="s">
        <v>592</v>
      </c>
      <c r="G691" s="50"/>
    </row>
    <row r="692" spans="1:8" ht="15.75" customHeight="1">
      <c r="A692" s="42" t="s">
        <v>18</v>
      </c>
      <c r="B692" s="1" t="s">
        <v>565</v>
      </c>
      <c r="C692" s="43">
        <v>593080</v>
      </c>
      <c r="D692" s="44" t="s">
        <v>101</v>
      </c>
      <c r="E692" s="66" t="s">
        <v>593</v>
      </c>
      <c r="G692" s="50"/>
    </row>
    <row r="693" spans="1:8" ht="15.75" customHeight="1">
      <c r="A693" s="42" t="s">
        <v>18</v>
      </c>
      <c r="B693" s="1" t="s">
        <v>565</v>
      </c>
      <c r="C693" s="43">
        <v>761046</v>
      </c>
      <c r="D693" s="44" t="s">
        <v>101</v>
      </c>
      <c r="E693" s="66" t="s">
        <v>594</v>
      </c>
      <c r="G693" s="50"/>
    </row>
    <row r="694" spans="1:8" ht="15.75" customHeight="1">
      <c r="A694" s="42" t="s">
        <v>18</v>
      </c>
      <c r="B694" s="1" t="s">
        <v>565</v>
      </c>
      <c r="C694" s="43">
        <v>2814052</v>
      </c>
      <c r="D694" s="44" t="s">
        <v>71</v>
      </c>
      <c r="E694" s="66" t="s">
        <v>595</v>
      </c>
      <c r="G694" s="50"/>
    </row>
    <row r="695" spans="1:8" ht="15.75" customHeight="1">
      <c r="A695" s="42" t="s">
        <v>18</v>
      </c>
      <c r="B695" s="1" t="s">
        <v>565</v>
      </c>
      <c r="C695" s="43">
        <v>795011</v>
      </c>
      <c r="D695" s="44" t="s">
        <v>71</v>
      </c>
      <c r="E695" s="66" t="s">
        <v>596</v>
      </c>
      <c r="G695" s="50"/>
    </row>
    <row r="696" spans="1:8" ht="15.75" customHeight="1">
      <c r="A696" s="42" t="s">
        <v>18</v>
      </c>
      <c r="B696" s="1" t="s">
        <v>565</v>
      </c>
      <c r="C696" s="43">
        <v>5025682</v>
      </c>
      <c r="D696" s="44" t="s">
        <v>90</v>
      </c>
      <c r="E696" s="66" t="s">
        <v>540</v>
      </c>
      <c r="G696" s="50"/>
    </row>
    <row r="697" spans="1:8" ht="15.75" customHeight="1">
      <c r="A697" s="42" t="s">
        <v>18</v>
      </c>
      <c r="B697" s="1" t="s">
        <v>565</v>
      </c>
      <c r="C697" s="43">
        <v>5025570</v>
      </c>
      <c r="D697" s="44" t="s">
        <v>83</v>
      </c>
      <c r="E697" s="66" t="s">
        <v>541</v>
      </c>
      <c r="G697" s="50"/>
    </row>
    <row r="698" spans="1:8" ht="15.75" customHeight="1">
      <c r="A698" s="42" t="s">
        <v>18</v>
      </c>
      <c r="B698" s="1" t="s">
        <v>565</v>
      </c>
      <c r="C698" s="43">
        <v>2919669</v>
      </c>
      <c r="D698" s="44" t="s">
        <v>90</v>
      </c>
      <c r="E698" s="66" t="s">
        <v>597</v>
      </c>
      <c r="G698" s="50"/>
    </row>
    <row r="699" spans="1:8" ht="15.75" customHeight="1">
      <c r="A699" s="42" t="s">
        <v>18</v>
      </c>
      <c r="B699" s="1" t="s">
        <v>565</v>
      </c>
      <c r="C699" s="43">
        <v>2432007</v>
      </c>
      <c r="D699" s="44" t="s">
        <v>80</v>
      </c>
      <c r="E699" s="67" t="s">
        <v>258</v>
      </c>
      <c r="G699" s="50"/>
    </row>
    <row r="700" spans="1:8" ht="15.75" customHeight="1">
      <c r="A700" s="42" t="s">
        <v>18</v>
      </c>
      <c r="B700" s="1" t="s">
        <v>565</v>
      </c>
      <c r="C700" s="43">
        <v>2841034</v>
      </c>
      <c r="D700" s="44" t="s">
        <v>83</v>
      </c>
      <c r="E700" s="66" t="s">
        <v>598</v>
      </c>
      <c r="G700" s="50"/>
    </row>
    <row r="701" spans="1:8" ht="15.75" customHeight="1">
      <c r="A701" s="42" t="s">
        <v>18</v>
      </c>
      <c r="B701" s="1" t="s">
        <v>565</v>
      </c>
      <c r="C701" s="43">
        <v>2841035</v>
      </c>
      <c r="D701" s="44" t="s">
        <v>83</v>
      </c>
      <c r="E701" s="66" t="s">
        <v>205</v>
      </c>
      <c r="G701" s="50"/>
    </row>
    <row r="702" spans="1:8" ht="15.75" customHeight="1">
      <c r="A702" s="42" t="s">
        <v>18</v>
      </c>
      <c r="B702" s="1" t="s">
        <v>565</v>
      </c>
      <c r="C702" s="43">
        <v>3115667</v>
      </c>
      <c r="D702" s="44" t="s">
        <v>101</v>
      </c>
      <c r="E702" s="66" t="s">
        <v>599</v>
      </c>
      <c r="G702" s="50"/>
    </row>
    <row r="703" spans="1:8" ht="15.75" customHeight="1">
      <c r="A703" s="68" t="s">
        <v>19</v>
      </c>
      <c r="B703" s="114" t="s">
        <v>600</v>
      </c>
      <c r="C703" s="70" t="s">
        <v>68</v>
      </c>
      <c r="D703" s="71" t="s">
        <v>62</v>
      </c>
      <c r="E703" s="56" t="s">
        <v>69</v>
      </c>
      <c r="F703" s="72"/>
      <c r="G703" s="48" t="s">
        <v>70</v>
      </c>
      <c r="H703" s="73"/>
    </row>
    <row r="704" spans="1:8" ht="15.75" customHeight="1">
      <c r="A704" s="42" t="s">
        <v>19</v>
      </c>
      <c r="B704" s="1" t="s">
        <v>600</v>
      </c>
      <c r="C704" s="43">
        <v>2923085</v>
      </c>
      <c r="D704" s="44" t="s">
        <v>101</v>
      </c>
      <c r="E704" s="67" t="s">
        <v>601</v>
      </c>
      <c r="G704" s="48" t="s">
        <v>602</v>
      </c>
    </row>
    <row r="705" spans="1:7" ht="15.75" customHeight="1">
      <c r="A705" s="42" t="s">
        <v>19</v>
      </c>
      <c r="B705" s="1" t="s">
        <v>600</v>
      </c>
      <c r="C705" s="43">
        <v>2819193</v>
      </c>
      <c r="D705" s="44" t="s">
        <v>71</v>
      </c>
      <c r="E705" s="66" t="s">
        <v>360</v>
      </c>
      <c r="G705" s="48" t="s">
        <v>603</v>
      </c>
    </row>
    <row r="706" spans="1:7" ht="15.75" customHeight="1">
      <c r="A706" s="42" t="s">
        <v>19</v>
      </c>
      <c r="B706" s="1" t="s">
        <v>600</v>
      </c>
      <c r="C706" s="43">
        <v>425104</v>
      </c>
      <c r="D706" s="44" t="s">
        <v>80</v>
      </c>
      <c r="E706" s="66" t="s">
        <v>238</v>
      </c>
      <c r="G706" s="48" t="s">
        <v>359</v>
      </c>
    </row>
    <row r="707" spans="1:7" ht="15.75" customHeight="1">
      <c r="A707" s="42" t="s">
        <v>19</v>
      </c>
      <c r="B707" s="1" t="s">
        <v>600</v>
      </c>
      <c r="C707" s="43">
        <v>561656</v>
      </c>
      <c r="D707" s="44" t="s">
        <v>80</v>
      </c>
      <c r="E707" s="66" t="s">
        <v>240</v>
      </c>
      <c r="G707" s="50"/>
    </row>
    <row r="708" spans="1:7" ht="15.75" customHeight="1">
      <c r="A708" s="42" t="s">
        <v>19</v>
      </c>
      <c r="B708" s="1" t="s">
        <v>600</v>
      </c>
      <c r="C708" s="43">
        <v>492590</v>
      </c>
      <c r="D708" s="44" t="s">
        <v>71</v>
      </c>
      <c r="E708" s="66" t="s">
        <v>604</v>
      </c>
      <c r="G708" s="50"/>
    </row>
    <row r="709" spans="1:7" ht="15.75" customHeight="1">
      <c r="A709" s="42" t="s">
        <v>19</v>
      </c>
      <c r="B709" s="1" t="s">
        <v>600</v>
      </c>
      <c r="C709" s="43">
        <v>2818133</v>
      </c>
      <c r="D709" s="44" t="s">
        <v>83</v>
      </c>
      <c r="E709" s="66" t="s">
        <v>362</v>
      </c>
      <c r="G709" s="50"/>
    </row>
    <row r="710" spans="1:7" ht="15.75" customHeight="1">
      <c r="A710" s="42" t="s">
        <v>19</v>
      </c>
      <c r="B710" s="1" t="s">
        <v>600</v>
      </c>
      <c r="C710" s="43">
        <v>5025585</v>
      </c>
      <c r="D710" s="44" t="s">
        <v>90</v>
      </c>
      <c r="E710" s="67" t="s">
        <v>262</v>
      </c>
      <c r="G710" s="50"/>
    </row>
    <row r="711" spans="1:7" ht="15.75" customHeight="1">
      <c r="A711" s="42" t="s">
        <v>19</v>
      </c>
      <c r="B711" s="1" t="s">
        <v>600</v>
      </c>
      <c r="C711" s="43">
        <v>2820188</v>
      </c>
      <c r="D711" s="44" t="s">
        <v>71</v>
      </c>
      <c r="E711" s="66" t="s">
        <v>364</v>
      </c>
      <c r="G711" s="50"/>
    </row>
    <row r="712" spans="1:7" ht="15.75" customHeight="1">
      <c r="A712" s="42" t="s">
        <v>19</v>
      </c>
      <c r="B712" s="1" t="s">
        <v>600</v>
      </c>
      <c r="C712" s="43">
        <v>2820174</v>
      </c>
      <c r="D712" s="44" t="s">
        <v>71</v>
      </c>
      <c r="E712" s="66" t="s">
        <v>365</v>
      </c>
      <c r="G712" s="50"/>
    </row>
    <row r="713" spans="1:7" ht="15.75" customHeight="1">
      <c r="A713" s="42" t="s">
        <v>19</v>
      </c>
      <c r="B713" s="1" t="s">
        <v>600</v>
      </c>
      <c r="C713" s="43">
        <v>2430143</v>
      </c>
      <c r="D713" s="44" t="s">
        <v>71</v>
      </c>
      <c r="E713" s="67" t="s">
        <v>605</v>
      </c>
      <c r="G713" s="50"/>
    </row>
    <row r="714" spans="1:7" ht="15.75" customHeight="1">
      <c r="A714" s="42" t="s">
        <v>19</v>
      </c>
      <c r="B714" s="1" t="s">
        <v>600</v>
      </c>
      <c r="C714" s="43">
        <v>561568</v>
      </c>
      <c r="D714" s="44" t="s">
        <v>71</v>
      </c>
      <c r="E714" s="66" t="s">
        <v>246</v>
      </c>
      <c r="G714" s="50"/>
    </row>
    <row r="715" spans="1:7" ht="15.75" customHeight="1">
      <c r="A715" s="42" t="s">
        <v>19</v>
      </c>
      <c r="B715" s="1" t="s">
        <v>600</v>
      </c>
      <c r="C715" s="43">
        <v>5025668</v>
      </c>
      <c r="D715" s="44" t="s">
        <v>101</v>
      </c>
      <c r="E715" s="66" t="s">
        <v>286</v>
      </c>
      <c r="G715" s="50"/>
    </row>
    <row r="716" spans="1:7" ht="15.75" customHeight="1">
      <c r="A716" s="42" t="s">
        <v>19</v>
      </c>
      <c r="B716" s="1" t="s">
        <v>600</v>
      </c>
      <c r="C716" s="43">
        <v>3018464</v>
      </c>
      <c r="D716" s="44" t="s">
        <v>71</v>
      </c>
      <c r="E716" s="67" t="s">
        <v>606</v>
      </c>
      <c r="G716" s="50"/>
    </row>
    <row r="717" spans="1:7" ht="15.75" customHeight="1">
      <c r="A717" s="42" t="s">
        <v>19</v>
      </c>
      <c r="B717" s="1" t="s">
        <v>600</v>
      </c>
      <c r="C717" s="43">
        <v>2825523</v>
      </c>
      <c r="D717" s="44" t="s">
        <v>83</v>
      </c>
      <c r="E717" s="66" t="s">
        <v>366</v>
      </c>
      <c r="G717" s="50"/>
    </row>
    <row r="718" spans="1:7" ht="15.75" customHeight="1">
      <c r="A718" s="42" t="s">
        <v>19</v>
      </c>
      <c r="B718" s="1" t="s">
        <v>600</v>
      </c>
      <c r="C718" s="43">
        <v>2823385</v>
      </c>
      <c r="D718" s="44" t="s">
        <v>90</v>
      </c>
      <c r="E718" s="66" t="s">
        <v>607</v>
      </c>
      <c r="G718" s="50"/>
    </row>
    <row r="719" spans="1:7" ht="15.75" customHeight="1">
      <c r="A719" s="42" t="s">
        <v>19</v>
      </c>
      <c r="B719" s="1" t="s">
        <v>600</v>
      </c>
      <c r="C719" s="43">
        <v>2818138</v>
      </c>
      <c r="D719" s="44" t="s">
        <v>83</v>
      </c>
      <c r="E719" s="66" t="s">
        <v>368</v>
      </c>
      <c r="G719" s="50"/>
    </row>
    <row r="720" spans="1:7" ht="15.75" customHeight="1">
      <c r="A720" s="42" t="s">
        <v>19</v>
      </c>
      <c r="B720" s="1" t="s">
        <v>600</v>
      </c>
      <c r="C720" s="43">
        <v>5025590</v>
      </c>
      <c r="D720" s="44" t="s">
        <v>101</v>
      </c>
      <c r="E720" s="66" t="s">
        <v>608</v>
      </c>
      <c r="G720" s="50"/>
    </row>
    <row r="721" spans="1:8" ht="15.75" customHeight="1">
      <c r="A721" s="42" t="s">
        <v>19</v>
      </c>
      <c r="B721" s="1" t="s">
        <v>600</v>
      </c>
      <c r="C721" s="43">
        <v>472509</v>
      </c>
      <c r="D721" s="44" t="s">
        <v>83</v>
      </c>
      <c r="E721" s="66" t="s">
        <v>609</v>
      </c>
      <c r="G721" s="50"/>
    </row>
    <row r="722" spans="1:8" ht="15.75" customHeight="1">
      <c r="A722" s="42" t="s">
        <v>19</v>
      </c>
      <c r="B722" s="1" t="s">
        <v>600</v>
      </c>
      <c r="C722" s="43">
        <v>2219822</v>
      </c>
      <c r="D722" s="44" t="s">
        <v>83</v>
      </c>
      <c r="E722" s="66" t="s">
        <v>292</v>
      </c>
      <c r="G722" s="50"/>
    </row>
    <row r="723" spans="1:8" ht="15.75" customHeight="1">
      <c r="A723" s="42" t="s">
        <v>19</v>
      </c>
      <c r="B723" s="1" t="s">
        <v>600</v>
      </c>
      <c r="C723" s="43">
        <v>800900</v>
      </c>
      <c r="D723" s="44" t="s">
        <v>71</v>
      </c>
      <c r="E723" s="66" t="s">
        <v>371</v>
      </c>
      <c r="G723" s="50"/>
    </row>
    <row r="724" spans="1:8" ht="15.75" customHeight="1">
      <c r="A724" s="42" t="s">
        <v>19</v>
      </c>
      <c r="B724" s="1" t="s">
        <v>600</v>
      </c>
      <c r="C724" s="43">
        <v>5025684</v>
      </c>
      <c r="D724" s="44" t="s">
        <v>71</v>
      </c>
      <c r="E724" s="66" t="s">
        <v>372</v>
      </c>
      <c r="G724" s="50"/>
    </row>
    <row r="725" spans="1:8" ht="15.75" customHeight="1">
      <c r="A725" s="42" t="s">
        <v>19</v>
      </c>
      <c r="B725" s="1" t="s">
        <v>600</v>
      </c>
      <c r="C725" s="43">
        <v>3157237</v>
      </c>
      <c r="D725" s="44" t="s">
        <v>80</v>
      </c>
      <c r="E725" s="67" t="s">
        <v>610</v>
      </c>
      <c r="G725" s="50"/>
    </row>
    <row r="726" spans="1:8" ht="15.75" customHeight="1">
      <c r="A726" s="42" t="s">
        <v>19</v>
      </c>
      <c r="B726" s="1" t="s">
        <v>600</v>
      </c>
      <c r="C726" s="43">
        <v>477690</v>
      </c>
      <c r="D726" s="44" t="s">
        <v>71</v>
      </c>
      <c r="E726" s="66" t="s">
        <v>373</v>
      </c>
      <c r="G726" s="50"/>
    </row>
    <row r="727" spans="1:8" ht="15.75" customHeight="1">
      <c r="A727" s="42" t="s">
        <v>19</v>
      </c>
      <c r="B727" s="1" t="s">
        <v>600</v>
      </c>
      <c r="C727" s="43">
        <v>5025689</v>
      </c>
      <c r="D727" s="44" t="s">
        <v>71</v>
      </c>
      <c r="E727" s="66" t="s">
        <v>311</v>
      </c>
      <c r="G727" s="50"/>
    </row>
    <row r="728" spans="1:8" ht="15.75" customHeight="1">
      <c r="A728" s="42" t="s">
        <v>19</v>
      </c>
      <c r="B728" s="1" t="s">
        <v>600</v>
      </c>
      <c r="C728" s="43">
        <v>2813366</v>
      </c>
      <c r="D728" s="44" t="s">
        <v>83</v>
      </c>
      <c r="E728" s="66" t="s">
        <v>315</v>
      </c>
      <c r="G728" s="50"/>
    </row>
    <row r="729" spans="1:8" ht="15.75" customHeight="1">
      <c r="A729" s="42" t="s">
        <v>19</v>
      </c>
      <c r="B729" s="1" t="s">
        <v>600</v>
      </c>
      <c r="C729" s="43">
        <v>2928131</v>
      </c>
      <c r="D729" s="44" t="s">
        <v>101</v>
      </c>
      <c r="E729" s="66" t="s">
        <v>375</v>
      </c>
      <c r="G729" s="50"/>
    </row>
    <row r="730" spans="1:8" ht="15.75" customHeight="1">
      <c r="A730" s="42" t="s">
        <v>19</v>
      </c>
      <c r="B730" s="1" t="s">
        <v>600</v>
      </c>
      <c r="C730" s="43">
        <v>2930087</v>
      </c>
      <c r="D730" s="44" t="s">
        <v>71</v>
      </c>
      <c r="E730" s="66" t="s">
        <v>376</v>
      </c>
      <c r="G730" s="50"/>
    </row>
    <row r="731" spans="1:8" ht="15.75" customHeight="1">
      <c r="A731" s="42" t="s">
        <v>19</v>
      </c>
      <c r="B731" s="1" t="s">
        <v>600</v>
      </c>
      <c r="C731" s="43">
        <v>2928132</v>
      </c>
      <c r="D731" s="44" t="s">
        <v>71</v>
      </c>
      <c r="E731" s="66" t="s">
        <v>377</v>
      </c>
      <c r="G731" s="50"/>
    </row>
    <row r="732" spans="1:8" ht="15.75" customHeight="1">
      <c r="A732" s="42" t="s">
        <v>19</v>
      </c>
      <c r="B732" s="1" t="s">
        <v>600</v>
      </c>
      <c r="C732" s="43">
        <v>2350023</v>
      </c>
      <c r="D732" s="44" t="s">
        <v>71</v>
      </c>
      <c r="E732" s="66" t="s">
        <v>379</v>
      </c>
      <c r="G732" s="50"/>
    </row>
    <row r="733" spans="1:8" ht="15.75" customHeight="1">
      <c r="A733" s="79" t="s">
        <v>20</v>
      </c>
      <c r="B733" s="115" t="s">
        <v>611</v>
      </c>
      <c r="C733" s="81" t="s">
        <v>68</v>
      </c>
      <c r="D733" s="82" t="s">
        <v>62</v>
      </c>
      <c r="E733" s="56" t="s">
        <v>69</v>
      </c>
      <c r="F733" s="83"/>
      <c r="G733" s="48" t="s">
        <v>70</v>
      </c>
      <c r="H733" s="84"/>
    </row>
    <row r="734" spans="1:8" ht="15.75" customHeight="1">
      <c r="A734" s="42" t="s">
        <v>20</v>
      </c>
      <c r="B734" s="1" t="s">
        <v>611</v>
      </c>
      <c r="C734" s="43">
        <v>766239</v>
      </c>
      <c r="D734" s="44" t="s">
        <v>90</v>
      </c>
      <c r="E734" s="66" t="s">
        <v>505</v>
      </c>
      <c r="G734" s="48" t="s">
        <v>516</v>
      </c>
    </row>
    <row r="735" spans="1:8" ht="15.75" customHeight="1">
      <c r="A735" s="42" t="s">
        <v>20</v>
      </c>
      <c r="B735" s="1" t="s">
        <v>611</v>
      </c>
      <c r="C735" s="43">
        <v>2926138</v>
      </c>
      <c r="D735" s="44" t="s">
        <v>80</v>
      </c>
      <c r="E735" s="66" t="s">
        <v>156</v>
      </c>
      <c r="G735" s="50"/>
    </row>
    <row r="736" spans="1:8" ht="15.75" customHeight="1">
      <c r="A736" s="42" t="s">
        <v>20</v>
      </c>
      <c r="B736" s="1" t="s">
        <v>611</v>
      </c>
      <c r="C736" s="43">
        <v>498951</v>
      </c>
      <c r="D736" s="44" t="s">
        <v>80</v>
      </c>
      <c r="E736" s="66" t="s">
        <v>352</v>
      </c>
      <c r="G736" s="50"/>
    </row>
    <row r="737" spans="1:8" ht="15.75" customHeight="1">
      <c r="A737" s="42" t="s">
        <v>20</v>
      </c>
      <c r="B737" s="1" t="s">
        <v>611</v>
      </c>
      <c r="C737" s="43">
        <v>5025675</v>
      </c>
      <c r="D737" s="44" t="s">
        <v>83</v>
      </c>
      <c r="E737" s="66" t="s">
        <v>163</v>
      </c>
      <c r="G737" s="50"/>
    </row>
    <row r="738" spans="1:8" ht="15.75" customHeight="1">
      <c r="A738" s="42" t="s">
        <v>20</v>
      </c>
      <c r="B738" s="1" t="s">
        <v>611</v>
      </c>
      <c r="C738" s="43">
        <v>776158</v>
      </c>
      <c r="D738" s="44" t="s">
        <v>71</v>
      </c>
      <c r="E738" s="66" t="s">
        <v>612</v>
      </c>
      <c r="G738" s="50"/>
    </row>
    <row r="739" spans="1:8" ht="15.75" customHeight="1">
      <c r="A739" s="42" t="s">
        <v>20</v>
      </c>
      <c r="B739" s="1" t="s">
        <v>611</v>
      </c>
      <c r="C739" s="43">
        <v>609786</v>
      </c>
      <c r="D739" s="44" t="s">
        <v>83</v>
      </c>
      <c r="E739" s="66" t="s">
        <v>613</v>
      </c>
      <c r="G739" s="50"/>
    </row>
    <row r="740" spans="1:8" ht="15.75" customHeight="1">
      <c r="A740" s="42" t="s">
        <v>20</v>
      </c>
      <c r="B740" s="1" t="s">
        <v>611</v>
      </c>
      <c r="C740" s="43">
        <v>2841040</v>
      </c>
      <c r="D740" s="44" t="s">
        <v>101</v>
      </c>
      <c r="E740" s="66" t="s">
        <v>167</v>
      </c>
      <c r="G740" s="50"/>
    </row>
    <row r="741" spans="1:8" ht="15.75" customHeight="1">
      <c r="A741" s="42" t="s">
        <v>20</v>
      </c>
      <c r="B741" s="1" t="s">
        <v>611</v>
      </c>
      <c r="C741" s="43">
        <v>479575</v>
      </c>
      <c r="D741" s="44" t="s">
        <v>80</v>
      </c>
      <c r="E741" s="66" t="s">
        <v>353</v>
      </c>
      <c r="G741" s="50"/>
    </row>
    <row r="742" spans="1:8" ht="15.75" customHeight="1">
      <c r="A742" s="42" t="s">
        <v>20</v>
      </c>
      <c r="B742" s="1" t="s">
        <v>611</v>
      </c>
      <c r="C742" s="43">
        <v>478330</v>
      </c>
      <c r="D742" s="44" t="s">
        <v>71</v>
      </c>
      <c r="E742" s="66" t="s">
        <v>614</v>
      </c>
      <c r="G742" s="50"/>
    </row>
    <row r="743" spans="1:8" ht="15.75" customHeight="1">
      <c r="A743" s="42" t="s">
        <v>20</v>
      </c>
      <c r="B743" s="1" t="s">
        <v>611</v>
      </c>
      <c r="C743" s="43">
        <v>588023</v>
      </c>
      <c r="D743" s="44" t="s">
        <v>80</v>
      </c>
      <c r="E743" s="66" t="s">
        <v>615</v>
      </c>
      <c r="G743" s="50"/>
    </row>
    <row r="744" spans="1:8" ht="15.75" customHeight="1">
      <c r="A744" s="42" t="s">
        <v>20</v>
      </c>
      <c r="B744" s="1" t="s">
        <v>611</v>
      </c>
      <c r="C744" s="43">
        <v>597560</v>
      </c>
      <c r="D744" s="44" t="s">
        <v>83</v>
      </c>
      <c r="E744" s="66" t="s">
        <v>355</v>
      </c>
      <c r="G744" s="50"/>
    </row>
    <row r="745" spans="1:8" ht="15.75" customHeight="1">
      <c r="A745" s="42" t="s">
        <v>20</v>
      </c>
      <c r="B745" s="1" t="s">
        <v>611</v>
      </c>
      <c r="C745" s="43">
        <v>5025629</v>
      </c>
      <c r="D745" s="44" t="s">
        <v>83</v>
      </c>
      <c r="E745" s="66" t="s">
        <v>356</v>
      </c>
      <c r="G745" s="50"/>
    </row>
    <row r="746" spans="1:8" ht="15.75" customHeight="1">
      <c r="A746" s="42" t="s">
        <v>20</v>
      </c>
      <c r="B746" s="1" t="s">
        <v>611</v>
      </c>
      <c r="C746" s="43">
        <v>750053</v>
      </c>
      <c r="D746" s="44" t="s">
        <v>71</v>
      </c>
      <c r="E746" s="66" t="s">
        <v>498</v>
      </c>
      <c r="G746" s="50"/>
    </row>
    <row r="747" spans="1:8" ht="15.75" customHeight="1">
      <c r="A747" s="42" t="s">
        <v>20</v>
      </c>
      <c r="B747" s="1" t="s">
        <v>611</v>
      </c>
      <c r="C747" s="43">
        <v>608983</v>
      </c>
      <c r="D747" s="44" t="s">
        <v>83</v>
      </c>
      <c r="E747" s="66" t="s">
        <v>357</v>
      </c>
      <c r="G747" s="50"/>
    </row>
    <row r="748" spans="1:8" ht="15.75" customHeight="1">
      <c r="A748" s="85" t="s">
        <v>21</v>
      </c>
      <c r="B748" s="116" t="s">
        <v>616</v>
      </c>
      <c r="C748" s="87" t="s">
        <v>68</v>
      </c>
      <c r="D748" s="88" t="s">
        <v>62</v>
      </c>
      <c r="E748" s="56" t="s">
        <v>69</v>
      </c>
      <c r="F748" s="89"/>
      <c r="G748" s="48" t="s">
        <v>70</v>
      </c>
      <c r="H748" s="90"/>
    </row>
    <row r="749" spans="1:8" ht="15.75" customHeight="1">
      <c r="A749" s="42" t="s">
        <v>21</v>
      </c>
      <c r="B749" s="1" t="s">
        <v>616</v>
      </c>
      <c r="C749" s="43">
        <v>3165114</v>
      </c>
      <c r="D749" s="44" t="s">
        <v>80</v>
      </c>
      <c r="E749" s="67" t="s">
        <v>617</v>
      </c>
      <c r="G749" s="48" t="s">
        <v>179</v>
      </c>
    </row>
    <row r="750" spans="1:8" ht="15.75" customHeight="1">
      <c r="A750" s="42" t="s">
        <v>21</v>
      </c>
      <c r="B750" s="1" t="s">
        <v>616</v>
      </c>
      <c r="C750" s="43">
        <v>608982</v>
      </c>
      <c r="D750" s="44" t="s">
        <v>83</v>
      </c>
      <c r="E750" s="66" t="s">
        <v>88</v>
      </c>
      <c r="G750" s="50"/>
    </row>
    <row r="751" spans="1:8" ht="15.75" customHeight="1">
      <c r="A751" s="42" t="s">
        <v>21</v>
      </c>
      <c r="B751" s="1" t="s">
        <v>616</v>
      </c>
      <c r="C751" s="43">
        <v>5025679</v>
      </c>
      <c r="D751" s="44" t="s">
        <v>90</v>
      </c>
      <c r="E751" s="66" t="s">
        <v>91</v>
      </c>
      <c r="G751" s="50"/>
    </row>
    <row r="752" spans="1:8" ht="15.75" customHeight="1">
      <c r="A752" s="42" t="s">
        <v>21</v>
      </c>
      <c r="B752" s="1" t="s">
        <v>616</v>
      </c>
      <c r="C752" s="43">
        <v>518295</v>
      </c>
      <c r="D752" s="44" t="s">
        <v>83</v>
      </c>
      <c r="E752" s="67" t="s">
        <v>183</v>
      </c>
      <c r="G752" s="50"/>
    </row>
    <row r="753" spans="1:7" ht="15.75" customHeight="1">
      <c r="A753" s="42" t="s">
        <v>21</v>
      </c>
      <c r="B753" s="1" t="s">
        <v>616</v>
      </c>
      <c r="C753" s="43">
        <v>778411</v>
      </c>
      <c r="D753" s="44" t="s">
        <v>80</v>
      </c>
      <c r="E753" s="66" t="s">
        <v>94</v>
      </c>
      <c r="G753" s="50"/>
    </row>
    <row r="754" spans="1:7" ht="15.75" customHeight="1">
      <c r="A754" s="42" t="s">
        <v>21</v>
      </c>
      <c r="B754" s="1" t="s">
        <v>616</v>
      </c>
      <c r="C754" s="43">
        <v>2218979</v>
      </c>
      <c r="D754" s="44" t="s">
        <v>83</v>
      </c>
      <c r="E754" s="67" t="s">
        <v>483</v>
      </c>
      <c r="G754" s="50"/>
    </row>
    <row r="755" spans="1:7" ht="15.75" customHeight="1">
      <c r="A755" s="42" t="s">
        <v>21</v>
      </c>
      <c r="B755" s="1" t="s">
        <v>616</v>
      </c>
      <c r="C755" s="43">
        <v>2221544</v>
      </c>
      <c r="D755" s="44" t="s">
        <v>83</v>
      </c>
      <c r="E755" s="67" t="s">
        <v>484</v>
      </c>
      <c r="G755" s="50"/>
    </row>
    <row r="756" spans="1:7" ht="15.75" customHeight="1">
      <c r="A756" s="42" t="s">
        <v>21</v>
      </c>
      <c r="B756" s="1" t="s">
        <v>616</v>
      </c>
      <c r="C756" s="43">
        <v>5025658</v>
      </c>
      <c r="D756" s="44" t="s">
        <v>71</v>
      </c>
      <c r="E756" s="67" t="s">
        <v>104</v>
      </c>
      <c r="G756" s="50"/>
    </row>
    <row r="757" spans="1:7" ht="15.75" customHeight="1">
      <c r="A757" s="42" t="s">
        <v>21</v>
      </c>
      <c r="B757" s="1" t="s">
        <v>616</v>
      </c>
      <c r="C757" s="43">
        <v>732317</v>
      </c>
      <c r="D757" s="44" t="s">
        <v>71</v>
      </c>
      <c r="E757" s="66" t="s">
        <v>189</v>
      </c>
      <c r="G757" s="50"/>
    </row>
    <row r="758" spans="1:7" ht="15.75" customHeight="1">
      <c r="A758" s="42" t="s">
        <v>21</v>
      </c>
      <c r="B758" s="1" t="s">
        <v>616</v>
      </c>
      <c r="C758" s="43">
        <v>2899806</v>
      </c>
      <c r="D758" s="44" t="s">
        <v>90</v>
      </c>
      <c r="E758" s="67" t="s">
        <v>191</v>
      </c>
      <c r="G758" s="50"/>
    </row>
    <row r="759" spans="1:7" ht="15.75" customHeight="1">
      <c r="A759" s="42" t="s">
        <v>21</v>
      </c>
      <c r="B759" s="1" t="s">
        <v>616</v>
      </c>
      <c r="C759" s="43">
        <v>5025680</v>
      </c>
      <c r="D759" s="44" t="s">
        <v>71</v>
      </c>
      <c r="E759" s="67" t="s">
        <v>109</v>
      </c>
      <c r="G759" s="50"/>
    </row>
    <row r="760" spans="1:7" ht="15.75" customHeight="1">
      <c r="A760" s="42" t="s">
        <v>21</v>
      </c>
      <c r="B760" s="1" t="s">
        <v>616</v>
      </c>
      <c r="C760" s="43">
        <v>5025691</v>
      </c>
      <c r="D760" s="44" t="s">
        <v>101</v>
      </c>
      <c r="E760" s="67" t="s">
        <v>193</v>
      </c>
      <c r="G760" s="50"/>
    </row>
    <row r="761" spans="1:7" ht="15.75" customHeight="1">
      <c r="A761" s="42" t="s">
        <v>21</v>
      </c>
      <c r="B761" s="1" t="s">
        <v>616</v>
      </c>
      <c r="C761" s="43">
        <v>587153</v>
      </c>
      <c r="D761" s="44" t="s">
        <v>71</v>
      </c>
      <c r="E761" s="67" t="s">
        <v>194</v>
      </c>
      <c r="G761" s="50"/>
    </row>
    <row r="762" spans="1:7" ht="15.75" customHeight="1">
      <c r="A762" s="42" t="s">
        <v>21</v>
      </c>
      <c r="B762" s="1" t="s">
        <v>616</v>
      </c>
      <c r="C762" s="43">
        <v>3001506</v>
      </c>
      <c r="D762" s="44" t="s">
        <v>71</v>
      </c>
      <c r="E762" s="67" t="s">
        <v>195</v>
      </c>
      <c r="G762" s="50"/>
    </row>
    <row r="763" spans="1:7" ht="15.75" customHeight="1">
      <c r="A763" s="42" t="s">
        <v>21</v>
      </c>
      <c r="B763" s="1" t="s">
        <v>616</v>
      </c>
      <c r="C763" s="43">
        <v>2430309</v>
      </c>
      <c r="D763" s="44" t="s">
        <v>80</v>
      </c>
      <c r="E763" s="67" t="s">
        <v>337</v>
      </c>
      <c r="G763" s="50"/>
    </row>
    <row r="764" spans="1:7" ht="15.75" customHeight="1">
      <c r="A764" s="42" t="s">
        <v>21</v>
      </c>
      <c r="B764" s="1" t="s">
        <v>616</v>
      </c>
      <c r="C764" s="43">
        <v>748685</v>
      </c>
      <c r="D764" s="44" t="s">
        <v>90</v>
      </c>
      <c r="E764" s="67" t="s">
        <v>197</v>
      </c>
      <c r="G764" s="50"/>
    </row>
    <row r="765" spans="1:7" ht="15.75" customHeight="1">
      <c r="A765" s="42" t="s">
        <v>21</v>
      </c>
      <c r="B765" s="1" t="s">
        <v>616</v>
      </c>
      <c r="C765" s="43">
        <v>452713</v>
      </c>
      <c r="D765" s="44" t="s">
        <v>83</v>
      </c>
      <c r="E765" s="67" t="s">
        <v>520</v>
      </c>
      <c r="G765" s="50"/>
    </row>
    <row r="766" spans="1:7" ht="15.75" customHeight="1">
      <c r="A766" s="42" t="s">
        <v>21</v>
      </c>
      <c r="B766" s="1" t="s">
        <v>616</v>
      </c>
      <c r="C766" s="43">
        <v>714717</v>
      </c>
      <c r="D766" s="44" t="s">
        <v>90</v>
      </c>
      <c r="E766" s="67" t="s">
        <v>131</v>
      </c>
      <c r="G766" s="50"/>
    </row>
    <row r="767" spans="1:7" ht="15.75" customHeight="1">
      <c r="A767" s="42" t="s">
        <v>21</v>
      </c>
      <c r="B767" s="1" t="s">
        <v>616</v>
      </c>
      <c r="C767" s="43">
        <v>587141</v>
      </c>
      <c r="D767" s="44" t="s">
        <v>80</v>
      </c>
      <c r="E767" s="66" t="s">
        <v>492</v>
      </c>
      <c r="G767" s="50"/>
    </row>
    <row r="768" spans="1:7" ht="15.75" customHeight="1">
      <c r="A768" s="42" t="s">
        <v>21</v>
      </c>
      <c r="B768" s="1" t="s">
        <v>616</v>
      </c>
      <c r="C768" s="43">
        <v>587149</v>
      </c>
      <c r="D768" s="44" t="s">
        <v>83</v>
      </c>
      <c r="E768" s="66" t="s">
        <v>618</v>
      </c>
      <c r="G768" s="50"/>
    </row>
    <row r="769" spans="1:8" ht="15.75" customHeight="1">
      <c r="A769" s="91" t="s">
        <v>22</v>
      </c>
      <c r="B769" s="117" t="s">
        <v>619</v>
      </c>
      <c r="C769" s="93" t="s">
        <v>68</v>
      </c>
      <c r="D769" s="94" t="s">
        <v>62</v>
      </c>
      <c r="E769" s="56" t="s">
        <v>69</v>
      </c>
      <c r="F769" s="95"/>
      <c r="G769" s="48" t="s">
        <v>70</v>
      </c>
      <c r="H769" s="96"/>
    </row>
    <row r="770" spans="1:8" ht="15.75" customHeight="1">
      <c r="A770" s="42" t="s">
        <v>22</v>
      </c>
      <c r="B770" s="1" t="s">
        <v>619</v>
      </c>
      <c r="C770" s="43">
        <v>561447</v>
      </c>
      <c r="D770" s="44" t="s">
        <v>71</v>
      </c>
      <c r="E770" s="66" t="s">
        <v>523</v>
      </c>
      <c r="G770" s="48" t="s">
        <v>184</v>
      </c>
    </row>
    <row r="771" spans="1:8" ht="15.75" customHeight="1">
      <c r="A771" s="42" t="s">
        <v>22</v>
      </c>
      <c r="B771" s="1" t="s">
        <v>619</v>
      </c>
      <c r="C771" s="43">
        <v>5025679</v>
      </c>
      <c r="D771" s="44" t="s">
        <v>90</v>
      </c>
      <c r="E771" s="66" t="s">
        <v>91</v>
      </c>
      <c r="G771" s="48" t="s">
        <v>482</v>
      </c>
    </row>
    <row r="772" spans="1:8" ht="15.75" customHeight="1">
      <c r="A772" s="42" t="s">
        <v>22</v>
      </c>
      <c r="B772" s="1" t="s">
        <v>619</v>
      </c>
      <c r="C772" s="43">
        <v>2926138</v>
      </c>
      <c r="D772" s="44" t="s">
        <v>80</v>
      </c>
      <c r="E772" s="66" t="s">
        <v>156</v>
      </c>
      <c r="G772" s="48" t="s">
        <v>179</v>
      </c>
    </row>
    <row r="773" spans="1:8" ht="15.75" customHeight="1">
      <c r="A773" s="42" t="s">
        <v>22</v>
      </c>
      <c r="B773" s="1" t="s">
        <v>619</v>
      </c>
      <c r="C773" s="43">
        <v>2218979</v>
      </c>
      <c r="D773" s="44" t="s">
        <v>83</v>
      </c>
      <c r="E773" s="67" t="s">
        <v>483</v>
      </c>
      <c r="G773" s="50"/>
    </row>
    <row r="774" spans="1:8" ht="15.75" customHeight="1">
      <c r="A774" s="42" t="s">
        <v>22</v>
      </c>
      <c r="B774" s="1" t="s">
        <v>619</v>
      </c>
      <c r="C774" s="43">
        <v>2221544</v>
      </c>
      <c r="D774" s="44" t="s">
        <v>83</v>
      </c>
      <c r="E774" s="67" t="s">
        <v>484</v>
      </c>
      <c r="G774" s="50"/>
    </row>
    <row r="775" spans="1:8" ht="15.75" customHeight="1">
      <c r="A775" s="42" t="s">
        <v>22</v>
      </c>
      <c r="B775" s="1" t="s">
        <v>619</v>
      </c>
      <c r="C775" s="43">
        <v>2880103</v>
      </c>
      <c r="D775" s="44" t="s">
        <v>71</v>
      </c>
      <c r="E775" s="67" t="s">
        <v>188</v>
      </c>
      <c r="G775" s="50"/>
    </row>
    <row r="776" spans="1:8" ht="15.75" customHeight="1">
      <c r="A776" s="42" t="s">
        <v>22</v>
      </c>
      <c r="B776" s="1" t="s">
        <v>619</v>
      </c>
      <c r="C776" s="43">
        <v>5025658</v>
      </c>
      <c r="D776" s="44" t="s">
        <v>71</v>
      </c>
      <c r="E776" s="67" t="s">
        <v>104</v>
      </c>
      <c r="G776" s="50"/>
    </row>
    <row r="777" spans="1:8" ht="15.75" customHeight="1">
      <c r="A777" s="42" t="s">
        <v>22</v>
      </c>
      <c r="B777" s="1" t="s">
        <v>619</v>
      </c>
      <c r="C777" s="43">
        <v>732317</v>
      </c>
      <c r="D777" s="44" t="s">
        <v>71</v>
      </c>
      <c r="E777" s="66" t="s">
        <v>189</v>
      </c>
      <c r="G777" s="50"/>
    </row>
    <row r="778" spans="1:8" ht="15.75" customHeight="1">
      <c r="A778" s="42" t="s">
        <v>22</v>
      </c>
      <c r="B778" s="1" t="s">
        <v>619</v>
      </c>
      <c r="C778" s="43">
        <v>2899806</v>
      </c>
      <c r="D778" s="44" t="s">
        <v>90</v>
      </c>
      <c r="E778" s="67" t="s">
        <v>191</v>
      </c>
      <c r="G778" s="50"/>
    </row>
    <row r="779" spans="1:8" ht="15.75" customHeight="1">
      <c r="A779" s="42" t="s">
        <v>22</v>
      </c>
      <c r="B779" s="1" t="s">
        <v>619</v>
      </c>
      <c r="C779" s="43">
        <v>5025680</v>
      </c>
      <c r="D779" s="44" t="s">
        <v>71</v>
      </c>
      <c r="E779" s="67" t="s">
        <v>109</v>
      </c>
      <c r="G779" s="50"/>
    </row>
    <row r="780" spans="1:8" ht="15.75" customHeight="1">
      <c r="A780" s="42" t="s">
        <v>22</v>
      </c>
      <c r="B780" s="1" t="s">
        <v>619</v>
      </c>
      <c r="C780" s="43">
        <v>5025691</v>
      </c>
      <c r="D780" s="44" t="s">
        <v>101</v>
      </c>
      <c r="E780" s="67" t="s">
        <v>193</v>
      </c>
      <c r="G780" s="50"/>
    </row>
    <row r="781" spans="1:8" ht="15.75" customHeight="1">
      <c r="A781" s="42" t="s">
        <v>22</v>
      </c>
      <c r="B781" s="1" t="s">
        <v>619</v>
      </c>
      <c r="C781" s="43">
        <v>587153</v>
      </c>
      <c r="D781" s="44" t="s">
        <v>71</v>
      </c>
      <c r="E781" s="67" t="s">
        <v>194</v>
      </c>
      <c r="G781" s="50"/>
    </row>
    <row r="782" spans="1:8" ht="15.75" customHeight="1">
      <c r="A782" s="42" t="s">
        <v>22</v>
      </c>
      <c r="B782" s="1" t="s">
        <v>619</v>
      </c>
      <c r="C782" s="43">
        <v>5025686</v>
      </c>
      <c r="D782" s="44" t="s">
        <v>71</v>
      </c>
      <c r="E782" s="66" t="s">
        <v>124</v>
      </c>
      <c r="G782" s="50"/>
    </row>
    <row r="783" spans="1:8" ht="15.75" customHeight="1">
      <c r="A783" s="42" t="s">
        <v>22</v>
      </c>
      <c r="B783" s="1" t="s">
        <v>619</v>
      </c>
      <c r="C783" s="43">
        <v>748685</v>
      </c>
      <c r="D783" s="44" t="s">
        <v>90</v>
      </c>
      <c r="E783" s="67" t="s">
        <v>197</v>
      </c>
      <c r="G783" s="50"/>
    </row>
    <row r="784" spans="1:8" ht="15.75" customHeight="1">
      <c r="A784" s="42" t="s">
        <v>22</v>
      </c>
      <c r="B784" s="1" t="s">
        <v>619</v>
      </c>
      <c r="C784" s="43">
        <v>587139</v>
      </c>
      <c r="D784" s="44" t="s">
        <v>83</v>
      </c>
      <c r="E784" s="66" t="s">
        <v>487</v>
      </c>
      <c r="G784" s="50"/>
    </row>
    <row r="785" spans="1:8" ht="15.75" customHeight="1">
      <c r="A785" s="42" t="s">
        <v>22</v>
      </c>
      <c r="B785" s="1" t="s">
        <v>619</v>
      </c>
      <c r="C785" s="43">
        <v>404770</v>
      </c>
      <c r="D785" s="44" t="s">
        <v>83</v>
      </c>
      <c r="E785" s="66" t="s">
        <v>525</v>
      </c>
      <c r="G785" s="50"/>
    </row>
    <row r="786" spans="1:8" ht="15.75" customHeight="1">
      <c r="A786" s="42" t="s">
        <v>22</v>
      </c>
      <c r="B786" s="1" t="s">
        <v>619</v>
      </c>
      <c r="C786" s="43">
        <v>714717</v>
      </c>
      <c r="D786" s="44" t="s">
        <v>90</v>
      </c>
      <c r="E786" s="67" t="s">
        <v>131</v>
      </c>
      <c r="G786" s="50"/>
    </row>
    <row r="787" spans="1:8" ht="15.75" customHeight="1">
      <c r="A787" s="42" t="s">
        <v>22</v>
      </c>
      <c r="B787" s="1" t="s">
        <v>619</v>
      </c>
      <c r="C787" s="43">
        <v>587141</v>
      </c>
      <c r="D787" s="44" t="s">
        <v>80</v>
      </c>
      <c r="E787" s="66" t="s">
        <v>492</v>
      </c>
      <c r="G787" s="50"/>
    </row>
    <row r="788" spans="1:8" ht="15.75" customHeight="1">
      <c r="A788" s="42" t="s">
        <v>22</v>
      </c>
      <c r="B788" s="1" t="s">
        <v>619</v>
      </c>
      <c r="C788" s="43">
        <v>2918503</v>
      </c>
      <c r="D788" s="44" t="s">
        <v>71</v>
      </c>
      <c r="E788" s="66" t="s">
        <v>620</v>
      </c>
      <c r="G788" s="50"/>
    </row>
    <row r="789" spans="1:8" ht="15.75" customHeight="1">
      <c r="A789" s="42" t="s">
        <v>22</v>
      </c>
      <c r="B789" s="1" t="s">
        <v>619</v>
      </c>
      <c r="C789" s="43">
        <v>588023</v>
      </c>
      <c r="D789" s="44" t="s">
        <v>80</v>
      </c>
      <c r="E789" s="66" t="s">
        <v>615</v>
      </c>
      <c r="G789" s="50"/>
    </row>
    <row r="790" spans="1:8" ht="15.75" customHeight="1">
      <c r="A790" s="42" t="s">
        <v>22</v>
      </c>
      <c r="B790" s="1" t="s">
        <v>619</v>
      </c>
      <c r="C790" s="43">
        <v>2925058</v>
      </c>
      <c r="D790" s="44" t="s">
        <v>101</v>
      </c>
      <c r="E790" s="66" t="s">
        <v>495</v>
      </c>
      <c r="G790" s="50"/>
    </row>
    <row r="791" spans="1:8" ht="15.75" customHeight="1">
      <c r="A791" s="42" t="s">
        <v>22</v>
      </c>
      <c r="B791" s="1" t="s">
        <v>619</v>
      </c>
      <c r="C791" s="43">
        <v>449379</v>
      </c>
      <c r="D791" s="44" t="s">
        <v>83</v>
      </c>
      <c r="E791" s="66" t="s">
        <v>139</v>
      </c>
      <c r="G791" s="50"/>
    </row>
    <row r="792" spans="1:8" ht="15.75" customHeight="1">
      <c r="A792" s="42" t="s">
        <v>22</v>
      </c>
      <c r="B792" s="1" t="s">
        <v>619</v>
      </c>
      <c r="C792" s="43">
        <v>622424</v>
      </c>
      <c r="D792" s="44" t="s">
        <v>83</v>
      </c>
      <c r="E792" s="67" t="s">
        <v>204</v>
      </c>
      <c r="G792" s="50"/>
    </row>
    <row r="793" spans="1:8" ht="15.75" customHeight="1">
      <c r="A793" s="97" t="s">
        <v>23</v>
      </c>
      <c r="B793" s="118" t="s">
        <v>621</v>
      </c>
      <c r="C793" s="99" t="s">
        <v>68</v>
      </c>
      <c r="D793" s="100" t="s">
        <v>62</v>
      </c>
      <c r="E793" s="56" t="s">
        <v>69</v>
      </c>
      <c r="F793" s="101"/>
      <c r="G793" s="48" t="s">
        <v>70</v>
      </c>
      <c r="H793" s="102"/>
    </row>
    <row r="794" spans="1:8" ht="15.75" customHeight="1">
      <c r="A794" s="42" t="s">
        <v>23</v>
      </c>
      <c r="B794" s="1" t="s">
        <v>621</v>
      </c>
      <c r="C794" s="43">
        <v>3130004</v>
      </c>
      <c r="D794" s="44" t="s">
        <v>101</v>
      </c>
      <c r="E794" s="66" t="s">
        <v>622</v>
      </c>
      <c r="G794" s="48" t="s">
        <v>507</v>
      </c>
    </row>
    <row r="795" spans="1:8" ht="15.75" customHeight="1">
      <c r="A795" s="42" t="s">
        <v>23</v>
      </c>
      <c r="B795" s="1" t="s">
        <v>621</v>
      </c>
      <c r="C795" s="43">
        <v>2928369</v>
      </c>
      <c r="D795" s="44" t="s">
        <v>101</v>
      </c>
      <c r="E795" s="66" t="s">
        <v>623</v>
      </c>
      <c r="G795" s="48" t="s">
        <v>515</v>
      </c>
    </row>
    <row r="796" spans="1:8" ht="15.75" customHeight="1">
      <c r="A796" s="42" t="s">
        <v>23</v>
      </c>
      <c r="B796" s="1" t="s">
        <v>621</v>
      </c>
      <c r="C796" s="43">
        <v>2839066</v>
      </c>
      <c r="D796" s="44" t="s">
        <v>80</v>
      </c>
      <c r="E796" s="66" t="s">
        <v>624</v>
      </c>
      <c r="G796" s="50"/>
    </row>
    <row r="797" spans="1:8" ht="15.75" customHeight="1">
      <c r="A797" s="42" t="s">
        <v>23</v>
      </c>
      <c r="B797" s="1" t="s">
        <v>621</v>
      </c>
      <c r="C797" s="43">
        <v>608977</v>
      </c>
      <c r="D797" s="44" t="s">
        <v>71</v>
      </c>
      <c r="E797" s="66" t="s">
        <v>93</v>
      </c>
      <c r="G797" s="50"/>
    </row>
    <row r="798" spans="1:8" ht="15.75" customHeight="1">
      <c r="A798" s="42" t="s">
        <v>23</v>
      </c>
      <c r="B798" s="1" t="s">
        <v>621</v>
      </c>
      <c r="C798" s="43">
        <v>3129463</v>
      </c>
      <c r="D798" s="44" t="s">
        <v>80</v>
      </c>
      <c r="E798" s="66" t="s">
        <v>625</v>
      </c>
      <c r="G798" s="50"/>
    </row>
    <row r="799" spans="1:8" ht="15.75" customHeight="1">
      <c r="A799" s="42" t="s">
        <v>23</v>
      </c>
      <c r="B799" s="1" t="s">
        <v>621</v>
      </c>
      <c r="C799" s="43">
        <v>3146621</v>
      </c>
      <c r="D799" s="44" t="s">
        <v>90</v>
      </c>
      <c r="E799" s="66" t="s">
        <v>626</v>
      </c>
      <c r="G799" s="50"/>
    </row>
    <row r="800" spans="1:8" ht="15.75" customHeight="1">
      <c r="A800" s="42" t="s">
        <v>23</v>
      </c>
      <c r="B800" s="1" t="s">
        <v>621</v>
      </c>
      <c r="C800" s="43">
        <v>608973</v>
      </c>
      <c r="D800" s="44" t="s">
        <v>80</v>
      </c>
      <c r="E800" s="66" t="s">
        <v>627</v>
      </c>
      <c r="G800" s="50"/>
    </row>
    <row r="801" spans="1:7" ht="15.75" customHeight="1">
      <c r="A801" s="42" t="s">
        <v>23</v>
      </c>
      <c r="B801" s="1" t="s">
        <v>621</v>
      </c>
      <c r="C801" s="43">
        <v>3129464</v>
      </c>
      <c r="D801" s="44" t="s">
        <v>71</v>
      </c>
      <c r="E801" s="66" t="s">
        <v>628</v>
      </c>
      <c r="G801" s="50"/>
    </row>
    <row r="802" spans="1:7" ht="15.75" customHeight="1">
      <c r="A802" s="42" t="s">
        <v>23</v>
      </c>
      <c r="B802" s="1" t="s">
        <v>621</v>
      </c>
      <c r="C802" s="43">
        <v>800903</v>
      </c>
      <c r="D802" s="44" t="s">
        <v>71</v>
      </c>
      <c r="E802" s="66" t="s">
        <v>629</v>
      </c>
      <c r="G802" s="50"/>
    </row>
    <row r="803" spans="1:7" ht="15.75" customHeight="1">
      <c r="A803" s="42" t="s">
        <v>23</v>
      </c>
      <c r="B803" s="1" t="s">
        <v>621</v>
      </c>
      <c r="C803" s="43">
        <v>2874023</v>
      </c>
      <c r="D803" s="44" t="s">
        <v>80</v>
      </c>
      <c r="E803" s="66" t="s">
        <v>630</v>
      </c>
      <c r="G803" s="50"/>
    </row>
    <row r="804" spans="1:7" ht="15.75" customHeight="1">
      <c r="A804" s="42" t="s">
        <v>23</v>
      </c>
      <c r="B804" s="1" t="s">
        <v>621</v>
      </c>
      <c r="C804" s="43">
        <v>2931444</v>
      </c>
      <c r="D804" s="44" t="s">
        <v>71</v>
      </c>
      <c r="E804" s="66" t="s">
        <v>631</v>
      </c>
      <c r="G804" s="50"/>
    </row>
    <row r="805" spans="1:7" ht="15.75" customHeight="1">
      <c r="A805" s="42" t="s">
        <v>23</v>
      </c>
      <c r="B805" s="1" t="s">
        <v>621</v>
      </c>
      <c r="C805" s="43">
        <v>2880103</v>
      </c>
      <c r="D805" s="44" t="s">
        <v>71</v>
      </c>
      <c r="E805" s="67" t="s">
        <v>188</v>
      </c>
      <c r="G805" s="50"/>
    </row>
    <row r="806" spans="1:7" ht="15.75" customHeight="1">
      <c r="A806" s="42" t="s">
        <v>23</v>
      </c>
      <c r="B806" s="1" t="s">
        <v>621</v>
      </c>
      <c r="C806" s="43">
        <v>2880069</v>
      </c>
      <c r="D806" s="44" t="s">
        <v>80</v>
      </c>
      <c r="E806" s="66" t="s">
        <v>632</v>
      </c>
      <c r="G806" s="50"/>
    </row>
    <row r="807" spans="1:7" ht="15.75" customHeight="1">
      <c r="A807" s="42" t="s">
        <v>23</v>
      </c>
      <c r="B807" s="1" t="s">
        <v>621</v>
      </c>
      <c r="C807" s="43">
        <v>587151</v>
      </c>
      <c r="D807" s="44" t="s">
        <v>71</v>
      </c>
      <c r="E807" s="67" t="s">
        <v>633</v>
      </c>
      <c r="G807" s="50"/>
    </row>
    <row r="808" spans="1:7" ht="15.75" customHeight="1">
      <c r="A808" s="42" t="s">
        <v>23</v>
      </c>
      <c r="B808" s="1" t="s">
        <v>621</v>
      </c>
      <c r="C808" s="43">
        <v>2924306</v>
      </c>
      <c r="D808" s="44" t="s">
        <v>80</v>
      </c>
      <c r="E808" s="66" t="s">
        <v>192</v>
      </c>
      <c r="G808" s="50"/>
    </row>
    <row r="809" spans="1:7" ht="15.75" customHeight="1">
      <c r="A809" s="42" t="s">
        <v>23</v>
      </c>
      <c r="B809" s="1" t="s">
        <v>621</v>
      </c>
      <c r="C809" s="43">
        <v>2996869</v>
      </c>
      <c r="D809" s="44" t="s">
        <v>80</v>
      </c>
      <c r="E809" s="66" t="s">
        <v>112</v>
      </c>
      <c r="G809" s="50"/>
    </row>
    <row r="810" spans="1:7" ht="15.75" customHeight="1">
      <c r="A810" s="42" t="s">
        <v>23</v>
      </c>
      <c r="B810" s="1" t="s">
        <v>621</v>
      </c>
      <c r="C810" s="43">
        <v>5025675</v>
      </c>
      <c r="D810" s="44" t="s">
        <v>83</v>
      </c>
      <c r="E810" s="66" t="s">
        <v>163</v>
      </c>
      <c r="G810" s="50"/>
    </row>
    <row r="811" spans="1:7" ht="15.75" customHeight="1">
      <c r="A811" s="42" t="s">
        <v>23</v>
      </c>
      <c r="B811" s="1" t="s">
        <v>621</v>
      </c>
      <c r="C811" s="43">
        <v>2877037</v>
      </c>
      <c r="D811" s="44" t="s">
        <v>71</v>
      </c>
      <c r="E811" s="66" t="s">
        <v>634</v>
      </c>
      <c r="G811" s="50"/>
    </row>
    <row r="812" spans="1:7" ht="15.75" customHeight="1">
      <c r="A812" s="42" t="s">
        <v>23</v>
      </c>
      <c r="B812" s="1" t="s">
        <v>621</v>
      </c>
      <c r="C812" s="43">
        <v>561639</v>
      </c>
      <c r="D812" s="44" t="s">
        <v>80</v>
      </c>
      <c r="E812" s="66" t="s">
        <v>221</v>
      </c>
      <c r="G812" s="50"/>
    </row>
    <row r="813" spans="1:7" ht="15.75" customHeight="1">
      <c r="A813" s="42" t="s">
        <v>23</v>
      </c>
      <c r="B813" s="1" t="s">
        <v>621</v>
      </c>
      <c r="C813" s="43">
        <v>5025681</v>
      </c>
      <c r="D813" s="44" t="s">
        <v>90</v>
      </c>
      <c r="E813" s="66" t="s">
        <v>635</v>
      </c>
      <c r="G813" s="50"/>
    </row>
    <row r="814" spans="1:7" ht="15.75" customHeight="1">
      <c r="A814" s="42" t="s">
        <v>23</v>
      </c>
      <c r="B814" s="1" t="s">
        <v>621</v>
      </c>
      <c r="C814" s="43">
        <v>3103621</v>
      </c>
      <c r="D814" s="44" t="s">
        <v>83</v>
      </c>
      <c r="E814" s="66" t="s">
        <v>636</v>
      </c>
      <c r="G814" s="50"/>
    </row>
    <row r="815" spans="1:7" ht="15.75" customHeight="1">
      <c r="A815" s="42" t="s">
        <v>23</v>
      </c>
      <c r="B815" s="1" t="s">
        <v>621</v>
      </c>
      <c r="C815" s="43">
        <v>800897</v>
      </c>
      <c r="D815" s="44" t="s">
        <v>101</v>
      </c>
      <c r="E815" s="66" t="s">
        <v>637</v>
      </c>
      <c r="G815" s="50"/>
    </row>
    <row r="816" spans="1:7" ht="15.75" customHeight="1">
      <c r="A816" s="42" t="s">
        <v>23</v>
      </c>
      <c r="B816" s="1" t="s">
        <v>621</v>
      </c>
      <c r="C816" s="43">
        <v>2375090</v>
      </c>
      <c r="D816" s="44" t="s">
        <v>101</v>
      </c>
      <c r="E816" s="66" t="s">
        <v>253</v>
      </c>
      <c r="G816" s="50"/>
    </row>
    <row r="817" spans="1:8" ht="15.75" customHeight="1">
      <c r="A817" s="42" t="s">
        <v>23</v>
      </c>
      <c r="B817" s="1" t="s">
        <v>621</v>
      </c>
      <c r="C817" s="43">
        <v>3002365</v>
      </c>
      <c r="D817" s="44" t="s">
        <v>90</v>
      </c>
      <c r="E817" s="67" t="s">
        <v>638</v>
      </c>
      <c r="G817" s="50"/>
    </row>
    <row r="818" spans="1:8" ht="15.75" customHeight="1">
      <c r="A818" s="42" t="s">
        <v>23</v>
      </c>
      <c r="B818" s="1" t="s">
        <v>621</v>
      </c>
      <c r="C818" s="43">
        <v>3129462</v>
      </c>
      <c r="D818" s="44" t="s">
        <v>80</v>
      </c>
      <c r="E818" s="66" t="s">
        <v>639</v>
      </c>
      <c r="G818" s="50"/>
    </row>
    <row r="819" spans="1:8" ht="15.75" customHeight="1">
      <c r="A819" s="42" t="s">
        <v>23</v>
      </c>
      <c r="B819" s="1" t="s">
        <v>621</v>
      </c>
      <c r="C819" s="43">
        <v>588023</v>
      </c>
      <c r="D819" s="44" t="s">
        <v>80</v>
      </c>
      <c r="E819" s="66" t="s">
        <v>615</v>
      </c>
      <c r="G819" s="50"/>
    </row>
    <row r="820" spans="1:8" ht="15.75" customHeight="1">
      <c r="A820" s="42" t="s">
        <v>23</v>
      </c>
      <c r="B820" s="1" t="s">
        <v>621</v>
      </c>
      <c r="C820" s="43">
        <v>2924307</v>
      </c>
      <c r="D820" s="44" t="s">
        <v>80</v>
      </c>
      <c r="E820" s="66" t="s">
        <v>640</v>
      </c>
      <c r="G820" s="50"/>
    </row>
    <row r="821" spans="1:8" ht="15.75" customHeight="1">
      <c r="A821" s="42" t="s">
        <v>23</v>
      </c>
      <c r="B821" s="1" t="s">
        <v>621</v>
      </c>
      <c r="C821" s="43">
        <v>2841036</v>
      </c>
      <c r="D821" s="44" t="s">
        <v>80</v>
      </c>
      <c r="E821" s="66" t="s">
        <v>641</v>
      </c>
      <c r="G821" s="50"/>
    </row>
    <row r="822" spans="1:8" ht="15.75" customHeight="1">
      <c r="A822" s="42" t="s">
        <v>23</v>
      </c>
      <c r="B822" s="1" t="s">
        <v>621</v>
      </c>
      <c r="C822" s="43">
        <v>2841033</v>
      </c>
      <c r="D822" s="44" t="s">
        <v>80</v>
      </c>
      <c r="E822" s="66" t="s">
        <v>642</v>
      </c>
      <c r="G822" s="50"/>
    </row>
    <row r="823" spans="1:8" ht="15.75" customHeight="1">
      <c r="A823" s="42" t="s">
        <v>23</v>
      </c>
      <c r="B823" s="1" t="s">
        <v>621</v>
      </c>
      <c r="C823" s="43">
        <v>2221545</v>
      </c>
      <c r="D823" s="44" t="s">
        <v>71</v>
      </c>
      <c r="E823" s="66" t="s">
        <v>511</v>
      </c>
      <c r="G823" s="50"/>
    </row>
    <row r="824" spans="1:8" ht="15.75" customHeight="1">
      <c r="A824" s="42" t="s">
        <v>23</v>
      </c>
      <c r="B824" s="1" t="s">
        <v>621</v>
      </c>
      <c r="C824" s="43">
        <v>800904</v>
      </c>
      <c r="D824" s="44" t="s">
        <v>71</v>
      </c>
      <c r="E824" s="66" t="s">
        <v>643</v>
      </c>
      <c r="G824" s="50"/>
    </row>
    <row r="825" spans="1:8" ht="15.75" customHeight="1">
      <c r="A825" s="42" t="s">
        <v>23</v>
      </c>
      <c r="B825" s="1" t="s">
        <v>621</v>
      </c>
      <c r="C825" s="43">
        <v>2372096</v>
      </c>
      <c r="D825" s="44" t="s">
        <v>80</v>
      </c>
      <c r="E825" s="66" t="s">
        <v>644</v>
      </c>
      <c r="G825" s="50"/>
    </row>
    <row r="826" spans="1:8" ht="15.75" customHeight="1">
      <c r="A826" s="103" t="s">
        <v>24</v>
      </c>
      <c r="B826" s="119" t="s">
        <v>645</v>
      </c>
      <c r="C826" s="105" t="s">
        <v>68</v>
      </c>
      <c r="D826" s="106" t="s">
        <v>62</v>
      </c>
      <c r="E826" s="56" t="s">
        <v>69</v>
      </c>
      <c r="F826" s="107"/>
      <c r="G826" s="48" t="s">
        <v>70</v>
      </c>
      <c r="H826" s="108"/>
    </row>
    <row r="827" spans="1:8" ht="15.75" customHeight="1">
      <c r="A827" s="42" t="s">
        <v>24</v>
      </c>
      <c r="B827" s="1" t="s">
        <v>645</v>
      </c>
      <c r="C827" s="43">
        <v>2817202</v>
      </c>
      <c r="D827" s="44" t="s">
        <v>80</v>
      </c>
      <c r="E827" s="66" t="s">
        <v>646</v>
      </c>
      <c r="G827" s="48" t="s">
        <v>647</v>
      </c>
    </row>
    <row r="828" spans="1:8" ht="15.75" customHeight="1">
      <c r="A828" s="42" t="s">
        <v>24</v>
      </c>
      <c r="B828" s="1" t="s">
        <v>645</v>
      </c>
      <c r="C828" s="43">
        <v>496129</v>
      </c>
      <c r="D828" s="44" t="s">
        <v>80</v>
      </c>
      <c r="E828" s="66" t="s">
        <v>236</v>
      </c>
      <c r="G828" s="48" t="s">
        <v>239</v>
      </c>
    </row>
    <row r="829" spans="1:8" ht="15.75" customHeight="1">
      <c r="A829" s="42" t="s">
        <v>24</v>
      </c>
      <c r="B829" s="1" t="s">
        <v>645</v>
      </c>
      <c r="C829" s="43">
        <v>2924140</v>
      </c>
      <c r="D829" s="44" t="s">
        <v>80</v>
      </c>
      <c r="E829" s="66" t="s">
        <v>648</v>
      </c>
      <c r="G829" s="48" t="s">
        <v>649</v>
      </c>
    </row>
    <row r="830" spans="1:8" ht="15.75" customHeight="1">
      <c r="A830" s="42" t="s">
        <v>24</v>
      </c>
      <c r="B830" s="1" t="s">
        <v>645</v>
      </c>
      <c r="C830" s="43">
        <v>2818133</v>
      </c>
      <c r="D830" s="44" t="s">
        <v>83</v>
      </c>
      <c r="E830" s="66" t="s">
        <v>362</v>
      </c>
      <c r="G830" s="48" t="s">
        <v>242</v>
      </c>
    </row>
    <row r="831" spans="1:8" ht="15.75" customHeight="1">
      <c r="A831" s="42" t="s">
        <v>24</v>
      </c>
      <c r="B831" s="1" t="s">
        <v>645</v>
      </c>
      <c r="C831" s="43">
        <v>680879</v>
      </c>
      <c r="D831" s="44" t="s">
        <v>101</v>
      </c>
      <c r="E831" s="66" t="s">
        <v>650</v>
      </c>
      <c r="G831" s="48" t="s">
        <v>651</v>
      </c>
    </row>
    <row r="832" spans="1:8" ht="15.75" customHeight="1">
      <c r="A832" s="42" t="s">
        <v>24</v>
      </c>
      <c r="B832" s="1" t="s">
        <v>645</v>
      </c>
      <c r="C832" s="43">
        <v>762663</v>
      </c>
      <c r="D832" s="44" t="s">
        <v>101</v>
      </c>
      <c r="E832" s="66" t="s">
        <v>549</v>
      </c>
      <c r="G832" s="50"/>
    </row>
    <row r="833" spans="1:7" ht="15.75" customHeight="1">
      <c r="A833" s="42" t="s">
        <v>24</v>
      </c>
      <c r="B833" s="1" t="s">
        <v>645</v>
      </c>
      <c r="C833" s="43">
        <v>652638</v>
      </c>
      <c r="D833" s="44" t="s">
        <v>83</v>
      </c>
      <c r="E833" s="66" t="s">
        <v>652</v>
      </c>
      <c r="G833" s="50"/>
    </row>
    <row r="834" spans="1:7" ht="15.75" customHeight="1">
      <c r="A834" s="42" t="s">
        <v>24</v>
      </c>
      <c r="B834" s="1" t="s">
        <v>645</v>
      </c>
      <c r="C834" s="43">
        <v>778028</v>
      </c>
      <c r="D834" s="44" t="s">
        <v>83</v>
      </c>
      <c r="E834" s="66" t="s">
        <v>295</v>
      </c>
      <c r="G834" s="50"/>
    </row>
    <row r="835" spans="1:7" ht="15.75" customHeight="1">
      <c r="A835" s="42" t="s">
        <v>24</v>
      </c>
      <c r="B835" s="1" t="s">
        <v>645</v>
      </c>
      <c r="C835" s="43">
        <v>778029</v>
      </c>
      <c r="D835" s="44" t="s">
        <v>71</v>
      </c>
      <c r="E835" s="66" t="s">
        <v>296</v>
      </c>
      <c r="G835" s="50"/>
    </row>
    <row r="836" spans="1:7" ht="15.75" customHeight="1">
      <c r="A836" s="42" t="s">
        <v>24</v>
      </c>
      <c r="B836" s="1" t="s">
        <v>645</v>
      </c>
      <c r="C836" s="43">
        <v>2423442</v>
      </c>
      <c r="D836" s="44" t="s">
        <v>71</v>
      </c>
      <c r="E836" s="66" t="s">
        <v>653</v>
      </c>
      <c r="G836" s="50"/>
    </row>
    <row r="837" spans="1:7" ht="15.75" customHeight="1">
      <c r="A837" s="42" t="s">
        <v>24</v>
      </c>
      <c r="B837" s="1" t="s">
        <v>645</v>
      </c>
      <c r="C837" s="43">
        <v>2887060</v>
      </c>
      <c r="D837" s="44" t="s">
        <v>80</v>
      </c>
      <c r="E837" s="67" t="s">
        <v>654</v>
      </c>
      <c r="G837" s="50"/>
    </row>
    <row r="838" spans="1:7" ht="15.75" customHeight="1">
      <c r="A838" s="42" t="s">
        <v>24</v>
      </c>
      <c r="B838" s="1" t="s">
        <v>645</v>
      </c>
      <c r="C838" s="43">
        <v>2988448</v>
      </c>
      <c r="D838" s="44" t="s">
        <v>71</v>
      </c>
      <c r="E838" s="66" t="s">
        <v>256</v>
      </c>
      <c r="G838" s="50"/>
    </row>
    <row r="839" spans="1:7" ht="15.75" customHeight="1">
      <c r="A839" s="42" t="s">
        <v>24</v>
      </c>
      <c r="B839" s="1" t="s">
        <v>645</v>
      </c>
      <c r="C839" s="43">
        <v>762662</v>
      </c>
      <c r="D839" s="44" t="s">
        <v>71</v>
      </c>
      <c r="E839" s="67" t="s">
        <v>655</v>
      </c>
      <c r="G839" s="50"/>
    </row>
    <row r="840" spans="1:7" ht="15.75" customHeight="1">
      <c r="A840" s="42" t="s">
        <v>24</v>
      </c>
      <c r="B840" s="1" t="s">
        <v>645</v>
      </c>
      <c r="C840" s="43">
        <v>651772</v>
      </c>
      <c r="D840" s="44" t="s">
        <v>83</v>
      </c>
      <c r="E840" s="66" t="s">
        <v>656</v>
      </c>
      <c r="G840" s="50"/>
    </row>
    <row r="841" spans="1:7" ht="15.75" customHeight="1">
      <c r="A841" s="119" t="s">
        <v>25</v>
      </c>
      <c r="B841" s="119" t="s">
        <v>657</v>
      </c>
      <c r="C841" s="105" t="s">
        <v>68</v>
      </c>
      <c r="D841" s="106" t="s">
        <v>62</v>
      </c>
      <c r="E841" s="56" t="s">
        <v>69</v>
      </c>
      <c r="F841" s="107"/>
      <c r="G841" s="48" t="s">
        <v>70</v>
      </c>
    </row>
    <row r="842" spans="1:7" ht="15.75" customHeight="1">
      <c r="A842" s="120" t="s">
        <v>25</v>
      </c>
      <c r="B842" s="1" t="s">
        <v>657</v>
      </c>
      <c r="C842" s="43">
        <v>3159317</v>
      </c>
      <c r="D842" s="44" t="s">
        <v>80</v>
      </c>
      <c r="E842" s="67" t="s">
        <v>658</v>
      </c>
      <c r="G842" s="121"/>
    </row>
    <row r="843" spans="1:7" ht="15.75" customHeight="1">
      <c r="A843" s="120" t="s">
        <v>25</v>
      </c>
      <c r="B843" s="1" t="s">
        <v>657</v>
      </c>
      <c r="C843" s="43">
        <v>3163261</v>
      </c>
      <c r="D843" s="44" t="s">
        <v>80</v>
      </c>
      <c r="E843" s="67" t="s">
        <v>659</v>
      </c>
      <c r="G843" s="121"/>
    </row>
    <row r="844" spans="1:7" ht="15.75" customHeight="1">
      <c r="A844" s="120" t="s">
        <v>25</v>
      </c>
      <c r="B844" s="1" t="s">
        <v>657</v>
      </c>
      <c r="C844" s="43">
        <v>3160293</v>
      </c>
      <c r="D844" s="44" t="s">
        <v>80</v>
      </c>
      <c r="E844" s="67" t="s">
        <v>660</v>
      </c>
      <c r="G844" s="121"/>
    </row>
    <row r="845" spans="1:7" ht="15.75" customHeight="1">
      <c r="A845" s="120" t="s">
        <v>25</v>
      </c>
      <c r="B845" s="1" t="s">
        <v>657</v>
      </c>
      <c r="C845" s="43">
        <v>3166190</v>
      </c>
      <c r="D845" s="44" t="s">
        <v>80</v>
      </c>
      <c r="E845" s="67" t="s">
        <v>661</v>
      </c>
      <c r="G845" s="121"/>
    </row>
    <row r="846" spans="1:7" ht="15.75" customHeight="1">
      <c r="A846" s="120" t="s">
        <v>25</v>
      </c>
      <c r="B846" s="1" t="s">
        <v>657</v>
      </c>
      <c r="C846" s="43">
        <v>3165260</v>
      </c>
      <c r="D846" s="44" t="s">
        <v>80</v>
      </c>
      <c r="E846" s="67" t="s">
        <v>662</v>
      </c>
      <c r="G846" s="121"/>
    </row>
    <row r="847" spans="1:7" ht="15.75" customHeight="1">
      <c r="A847" s="120" t="s">
        <v>25</v>
      </c>
      <c r="B847" s="1" t="s">
        <v>657</v>
      </c>
      <c r="C847" s="43">
        <v>3165261</v>
      </c>
      <c r="D847" s="44" t="s">
        <v>80</v>
      </c>
      <c r="E847" s="67" t="s">
        <v>663</v>
      </c>
      <c r="G847" s="121"/>
    </row>
    <row r="848" spans="1:7" ht="15.75" customHeight="1">
      <c r="A848" s="120" t="s">
        <v>25</v>
      </c>
      <c r="B848" s="1" t="s">
        <v>657</v>
      </c>
      <c r="C848" s="43">
        <v>3115668</v>
      </c>
      <c r="D848" s="44" t="s">
        <v>101</v>
      </c>
      <c r="E848" s="66" t="s">
        <v>664</v>
      </c>
      <c r="G848" s="121"/>
    </row>
    <row r="849" spans="1:7" ht="15.75" customHeight="1">
      <c r="A849" s="120" t="s">
        <v>25</v>
      </c>
      <c r="B849" s="1" t="s">
        <v>657</v>
      </c>
      <c r="C849" s="43">
        <v>748687</v>
      </c>
      <c r="D849" s="44" t="s">
        <v>90</v>
      </c>
      <c r="E849" s="66" t="s">
        <v>665</v>
      </c>
      <c r="G849" s="121"/>
    </row>
    <row r="850" spans="1:7" ht="15.75" customHeight="1">
      <c r="A850" s="120" t="s">
        <v>25</v>
      </c>
      <c r="B850" s="1" t="s">
        <v>657</v>
      </c>
      <c r="C850" s="43">
        <v>3163262</v>
      </c>
      <c r="D850" s="44" t="s">
        <v>80</v>
      </c>
      <c r="E850" s="67" t="s">
        <v>666</v>
      </c>
      <c r="G850" s="121"/>
    </row>
    <row r="851" spans="1:7" ht="15.75" customHeight="1">
      <c r="A851" s="120" t="s">
        <v>25</v>
      </c>
      <c r="B851" s="1" t="s">
        <v>657</v>
      </c>
      <c r="C851" s="43">
        <v>3164285</v>
      </c>
      <c r="D851" s="44" t="s">
        <v>80</v>
      </c>
      <c r="E851" s="67" t="s">
        <v>667</v>
      </c>
      <c r="G851" s="121"/>
    </row>
    <row r="852" spans="1:7" ht="15.75" customHeight="1">
      <c r="A852" s="120" t="s">
        <v>25</v>
      </c>
      <c r="B852" s="1" t="s">
        <v>657</v>
      </c>
      <c r="C852" s="43">
        <v>3164284</v>
      </c>
      <c r="D852" s="44" t="s">
        <v>80</v>
      </c>
      <c r="E852" s="67" t="s">
        <v>668</v>
      </c>
      <c r="G852" s="121"/>
    </row>
    <row r="853" spans="1:7" ht="15.75" customHeight="1">
      <c r="A853" s="120" t="s">
        <v>25</v>
      </c>
      <c r="B853" s="1" t="s">
        <v>657</v>
      </c>
      <c r="C853" s="43">
        <v>3161308</v>
      </c>
      <c r="D853" s="44" t="s">
        <v>80</v>
      </c>
      <c r="E853" s="67" t="s">
        <v>669</v>
      </c>
      <c r="G853" s="121"/>
    </row>
    <row r="854" spans="1:7" ht="15.75" customHeight="1">
      <c r="A854" s="120" t="s">
        <v>25</v>
      </c>
      <c r="B854" s="1" t="s">
        <v>657</v>
      </c>
      <c r="C854" s="43">
        <v>3163259</v>
      </c>
      <c r="D854" s="44" t="s">
        <v>80</v>
      </c>
      <c r="E854" s="67" t="s">
        <v>670</v>
      </c>
      <c r="G854" s="121"/>
    </row>
    <row r="855" spans="1:7" ht="15.75" customHeight="1">
      <c r="A855" s="120" t="s">
        <v>25</v>
      </c>
      <c r="B855" s="1" t="s">
        <v>657</v>
      </c>
      <c r="C855" s="43">
        <v>3166188</v>
      </c>
      <c r="D855" s="44" t="s">
        <v>80</v>
      </c>
      <c r="E855" s="67" t="s">
        <v>671</v>
      </c>
      <c r="G855" s="121"/>
    </row>
    <row r="856" spans="1:7" ht="15.75" customHeight="1">
      <c r="A856" s="120" t="s">
        <v>25</v>
      </c>
      <c r="B856" s="1" t="s">
        <v>657</v>
      </c>
      <c r="C856" s="43">
        <v>5041935</v>
      </c>
      <c r="D856" s="44" t="s">
        <v>80</v>
      </c>
      <c r="E856" s="66" t="s">
        <v>151</v>
      </c>
      <c r="G856" s="121"/>
    </row>
    <row r="857" spans="1:7" ht="15.75" customHeight="1">
      <c r="A857" s="120" t="s">
        <v>25</v>
      </c>
      <c r="B857" s="1" t="s">
        <v>657</v>
      </c>
      <c r="C857" s="43">
        <v>5025578</v>
      </c>
      <c r="D857" s="44" t="s">
        <v>80</v>
      </c>
      <c r="E857" s="66" t="s">
        <v>155</v>
      </c>
      <c r="G857" s="121"/>
    </row>
    <row r="858" spans="1:7" ht="15.75" customHeight="1">
      <c r="A858" s="120" t="s">
        <v>25</v>
      </c>
      <c r="B858" s="1" t="s">
        <v>657</v>
      </c>
      <c r="C858" s="43">
        <v>2838141</v>
      </c>
      <c r="D858" s="44" t="s">
        <v>80</v>
      </c>
      <c r="E858" s="66" t="s">
        <v>672</v>
      </c>
      <c r="G858" s="121"/>
    </row>
    <row r="859" spans="1:7" ht="15.75" customHeight="1">
      <c r="A859" s="120" t="s">
        <v>25</v>
      </c>
      <c r="B859" s="1" t="s">
        <v>657</v>
      </c>
      <c r="C859" s="43">
        <v>5041894</v>
      </c>
      <c r="D859" s="44" t="s">
        <v>80</v>
      </c>
      <c r="E859" s="66" t="s">
        <v>160</v>
      </c>
      <c r="G859" s="121"/>
    </row>
    <row r="860" spans="1:7" ht="15.75" customHeight="1">
      <c r="A860" s="120" t="s">
        <v>25</v>
      </c>
      <c r="B860" s="1" t="s">
        <v>657</v>
      </c>
      <c r="C860" s="43">
        <v>403839</v>
      </c>
      <c r="D860" s="44" t="s">
        <v>80</v>
      </c>
      <c r="E860" s="66" t="s">
        <v>162</v>
      </c>
      <c r="G860" s="121"/>
    </row>
    <row r="861" spans="1:7" ht="15.75" customHeight="1">
      <c r="A861" s="120" t="s">
        <v>25</v>
      </c>
      <c r="B861" s="1" t="s">
        <v>657</v>
      </c>
      <c r="C861" s="43">
        <v>3115669</v>
      </c>
      <c r="D861" s="44" t="s">
        <v>101</v>
      </c>
      <c r="E861" s="66" t="s">
        <v>170</v>
      </c>
      <c r="G861" s="121"/>
    </row>
    <row r="862" spans="1:7" ht="15.75" customHeight="1">
      <c r="A862" s="120" t="s">
        <v>25</v>
      </c>
      <c r="B862" s="1" t="s">
        <v>657</v>
      </c>
      <c r="C862" s="43">
        <v>2841033</v>
      </c>
      <c r="D862" s="44" t="s">
        <v>80</v>
      </c>
      <c r="E862" s="66" t="s">
        <v>642</v>
      </c>
      <c r="G862" s="121"/>
    </row>
    <row r="863" spans="1:7" ht="15.75" customHeight="1">
      <c r="A863" s="120" t="s">
        <v>25</v>
      </c>
      <c r="B863" s="1" t="s">
        <v>657</v>
      </c>
      <c r="C863" s="43">
        <v>5025653</v>
      </c>
      <c r="D863" s="44" t="s">
        <v>80</v>
      </c>
      <c r="E863" s="66" t="s">
        <v>176</v>
      </c>
      <c r="G863" s="121"/>
    </row>
    <row r="864" spans="1:7" ht="15.75" customHeight="1">
      <c r="A864" s="120" t="s">
        <v>25</v>
      </c>
      <c r="B864" s="1" t="s">
        <v>657</v>
      </c>
      <c r="C864" s="43">
        <v>2988200</v>
      </c>
      <c r="D864" s="44" t="s">
        <v>90</v>
      </c>
      <c r="E864" s="66" t="s">
        <v>269</v>
      </c>
      <c r="G864" s="121"/>
    </row>
  </sheetData>
  <autoFilter ref="A1:H864" xr:uid="{00000000-0009-0000-0000-000003000000}"/>
  <customSheetViews>
    <customSheetView guid="{D0839D6B-E9D3-479A-BF66-345DE0E2B05F}" filter="1" showAutoFilter="1">
      <pageMargins left="0.7" right="0.7" top="0.75" bottom="0.75" header="0.3" footer="0.3"/>
      <autoFilter ref="A1:H864" xr:uid="{A55045A5-1684-3544-8388-AF90244F7D18}">
        <filterColumn colId="4">
          <filters>
            <filter val="Activa el cuerpo: Ejercicios fáciles y simples para tonificar el cuerpo entero"/>
            <filter val="Activa el cuerpo: Entrena tus glúteos, abdominales y piernas de forma divertida y sencilla"/>
            <filter val="Activa el cuerpo: Entrenamiento divertido y completo"/>
            <filter val="Activa el cuerpo: Entrenamiento fácil y sencillo de cardio y fuerza"/>
            <filter val="Activa el cuerpo: Mejora tu coordinación y agilidad con este entrenamiento"/>
            <filter val="Activa el cuerpo: Rutina de entrenamiento de cardio fácil y divertida"/>
            <filter val="Agile en acción: Mejorar con retrospectivas ágiles"/>
            <filter val="Aprende las claves de la asertividad"/>
            <filter val="Aprende Microsoft Dynamics 365 Finance"/>
            <filter val="Aprende PowerPoint (Office 365/Microsoft 365)"/>
            <filter val="Big data, recursos humanos y gestión del bienestar laboral"/>
            <filter val="C.C. Chapman, creador de marketing de contenido"/>
            <filter val="Cervicales saludables: Alivia la tensión con ejercicios fáciles y divertidos"/>
            <filter val="Cervicales saludables: Alivia las molestias del cuello con ejercicios sencillos"/>
            <filter val="Cervicales saludables: Entrenamiento para aliviar el dolor cervical"/>
            <filter val="Cervicales saludables: Entrenamiento para aliviar la tensión en el cuello"/>
            <filter val="Cervicales saludables: Entrenamiento para liberar tensión de los pies a la cabeza"/>
            <filter val="Cervicales saludables: Rutina de ejercicios para liberar tensiones en la espalda"/>
            <filter val="Cómo construir hábitos para el éxito"/>
            <filter val="Cómo dar feedback a tu personal"/>
            <filter val="Cómo despedir a tu personal"/>
            <filter val="Cómo gestionar a personas con alto potencial"/>
            <filter val="Cómo gestionar a tu superior"/>
            <filter val="Cómo gestionar al personal de alto rendimiento"/>
            <filter val="Cómo gestionar el enfado en la clientela"/>
            <filter val="Cómo gestionar un equipo multigeneracional"/>
            <filter val="Cómo hacer coaching a tu personal para obtener resultados"/>
            <filter val="Cómo integrar a personas nuevas en la empresa"/>
            <filter val="Cómo liderar a la generación Y"/>
            <filter val="Cómo liderar equipos de alto potencial"/>
            <filter val="Cómo medir la eficacia de tu fuerza de ventas"/>
            <filter val="Cómo mejorar el rendimiento de tu personal"/>
            <filter val="Cómo orientar y desarrollar a tu personal"/>
            <filter val="Cómo prepararse para presentar en público"/>
            <filter val="Cómo ser un miembro eficaz del equipo"/>
            <filter val="Cómo trabajar con gerentes difíciles"/>
            <filter val="Cómo vender soluciones"/>
            <filter val="Desbloquea la creatividad de tu equipo"/>
            <filter val="Diseña proyectos de marketing con «Business Model Canvas»"/>
            <filter val="Economía de la empresa"/>
            <filter val="El arte de presentar en público: Presencial, online e híbrido"/>
            <filter val="El camino hacia el liderazgo femenino"/>
            <filter val="Empodera a tu equipo"/>
            <filter val="Excel Business Intelligence 1: Obtener y Transformar (Power Query) (365/2019)"/>
            <filter val="Excel Business Intelligence 2: Modelado de datos (365/2019)"/>
            <filter val="Excel para análisis financiero y finanzas corporativas (Office 365/Microsoft 365)"/>
            <filter val="Excel para principiantes: Análisis de datos (365/2019)"/>
            <filter val="Excel para principiantes: Buscar datos (365/2019)"/>
            <filter val="Excel para principiantes: Crear y gestionar facturas (365/2019)"/>
            <filter val="Excel para principiantes: Cuadros de mando con fuente de datos externa (365/2019)"/>
            <filter val="Excel para principiantes: Ingresar datos correctamente (365/2019)"/>
            <filter val="Excel: Análisis, gestión y validación de datos (Office 365/Microsoft 365)"/>
            <filter val="Excel: Limpieza de datos"/>
            <filter val="Excel: Recursos de análisis en la economía de empresa (Office 365/Microsoft 365)"/>
            <filter val="Facilitación de la excelencia operativa y Kaizen"/>
            <filter val="Finanzas para dirigentes no especialistas en finanzas"/>
            <filter val="Fundamentos y consejos para gerentes principiantes"/>
            <filter val="Gestión de equipos mediante OKR's o misiones, objetivos y resultados clave"/>
            <filter val="Gestión de proyectos ágiles con Trello"/>
            <filter val="Gestión de proyectos ágiles: Comparación de herramientas ágiles"/>
            <filter val="Gestión del tiempo para líderes"/>
            <filter val="Google Presentaciones esencial (2018)"/>
            <filter val="Guía corporativa a la sostenibilidad y al impacto empresarial positivo"/>
            <filter val="Habilidades blandas para profesionales de las ventas"/>
            <filter val="Integrar personas con diversidad funcional en la empresa"/>
            <filter val="Lean Six Sigma: Herramientas de las fases Definición y Medición"/>
            <filter val="Liderazgo y recursos humanos: Estrategia de ubicación para una fuerza de trabajo híbrida"/>
            <filter val="Modelización financiera y previsión de estados financieros"/>
            <filter val="Plan de viabilidad económico financiero para el emprendimiento"/>
            <filter val="PowerPoint esencial (Office 365/Microsoft 365)"/>
            <filter val="PowerPoint para principiantes: Preparar una presentación (365/2019)"/>
            <filter val="PowerPoint: Trucos (Office 365/Microsoft 365)"/>
            <filter val="Primeros pasos en el liderazgo de equipos"/>
            <filter val="Recursos humanos: Cómo entrevistar aspirantes"/>
            <filter val="Recursos humanos: Contratación de perfiles de desarrollo"/>
            <filter val="Refresca tus conocimientos de la lengua española: Estilo y arquitectura de las frases"/>
            <filter val="Storytelling para comunicación de proyectos de ingeniería"/>
            <filter val="Storytelling para el liderazgo"/>
            <filter val="Técnicas de escritura creativa para negocios: Trucos"/>
            <filter val="Teletrabajo y gestión de equipos remotos"/>
            <filter val="Transición de responsable a líder"/>
          </filters>
        </filterColumn>
        <filterColumn colId="6">
          <filters blank="1">
            <filter val="Amplía tus competencias como líder para la transformación digital"/>
            <filter val="Amplía tus competencias de trabajo en equipo colaborativo y digital"/>
            <filter val="Aplica LinkedIn en tus ventas"/>
            <filter val="Conviértete en asistente administrativo"/>
            <filter val="Conviértete en asistente de contabilidad"/>
            <filter val="Conviértete en coordinador de proyectos"/>
            <filter val="Conviértete en data analyst"/>
            <filter val="Conviértete en editor de e-books"/>
            <filter val="Conviértete en especialista en Excel 216 para Mac"/>
            <filter val="Conviértete en experto de Big Data para los negocios"/>
            <filter val="Conviértete en experto en Excel 216"/>
            <filter val="Conviértete en experto en marketing en social media"/>
            <filter val="Conviértete en gestor de proyectos"/>
            <filter val="Conviértete en jefe de equipo"/>
            <filter val="Conviértete en líder"/>
            <filter val="Conviértete en reclutador de talentos"/>
            <filter val="Conviértete en responsable financiero"/>
            <filter val="Conviértete en un especialista en Big Data para IT"/>
            <filter val="Conviértete en vendedor"/>
            <filter val="Crea informes usando Microsoft Excel"/>
            <filter val="Crea una atmósfera de trabajo productiva"/>
            <filter val="Crea y gestiona tablas dinámicas en Excel"/>
            <filter val="Destaca en marketing digital en tiempos de transformación digital"/>
            <filter val="Destaca en ventas"/>
            <filter val="Domina el arte de las presentaciones con PowerPoint 216"/>
            <filter val="Domina el arte del email con Outlook 216"/>
            <filter val="Domina el arte del email con Outlook 216 para Mac"/>
            <filter val="Domina el trabajo remoto"/>
            <filter val="Domina Excel 216"/>
            <filter val="Domina las habilidades de vida a nivel de liderazgo"/>
            <filter val="Domina las habilidades de vida personales"/>
            <filter val="Domina las habilidades de vida sociales"/>
            <filter val="Domina las herramientas de trabajo en equipo colaborativo y digital"/>
            <filter val="Fomenta el cambio cultural en tu empresa"/>
            <filter val="Fomenta la colaboración en tu equipo"/>
            <filter val="Fomenta la innovación"/>
            <filter val="Gestiona el rendimiento"/>
            <filter val="Gestiona los cambios"/>
            <filter val="Gestiona tus proyectos con Project 216"/>
            <filter val="Learning Paths"/>
            <filter val="Liderazgo en tiempos de transformación digital"/>
            <filter val="Mejora la comunicación en el ámbito empresarial"/>
            <filter val="Mejora tu capacidad para comunicar con las personas"/>
            <filter val="Mejora tu gestión de tiempo y productividad"/>
            <filter val="Mejora tu productividad con estas metodologías"/>
            <filter val="Mejora tus dotes de liderazgo y gestión de equipos de trabajo"/>
            <filter val="Mejora tus dotes de presentación orales en público"/>
            <filter val="Mejora tus habilidades para resolver problemas"/>
            <filter val="Mujeres en el liderazgo"/>
            <filter val="N/A"/>
            <filter val="Optimiza tu gestión financiera"/>
            <filter val="Profundiza en la búsqueda, selección y retención de talentos"/>
            <filter val="Profundiza en tus habilidades de comunicación en la empresa"/>
            <filter val="Profundiza la gestión de documentos digitales con Adobe Acrobat DC"/>
            <filter val="Profundiza la gestión de documentos digitales con Adobe Acrobat XI"/>
            <filter val="Profundiza tu capacidad estratégica"/>
            <filter val="Profundiza tu capacidad para superar el desempleo"/>
            <filter val="Profundiza tus competencias en metodologías ágiles y Design Thinking"/>
            <filter val="Trabajo a distancia: Preparándote a ti mismo y a tus equipos para el éxito"/>
          </filters>
        </filterColumn>
      </autoFilter>
    </customSheetView>
  </customSheetViews>
  <hyperlinks>
    <hyperlink ref="E3" r:id="rId1" xr:uid="{00000000-0004-0000-0300-000000000000}"/>
    <hyperlink ref="G3" r:id="rId2" xr:uid="{00000000-0004-0000-0300-000001000000}"/>
    <hyperlink ref="E4" r:id="rId3" xr:uid="{00000000-0004-0000-0300-000002000000}"/>
    <hyperlink ref="G4" r:id="rId4" xr:uid="{00000000-0004-0000-0300-000003000000}"/>
    <hyperlink ref="E5" r:id="rId5" xr:uid="{00000000-0004-0000-0300-000004000000}"/>
    <hyperlink ref="G5" r:id="rId6" xr:uid="{00000000-0004-0000-0300-000005000000}"/>
    <hyperlink ref="E6" r:id="rId7" xr:uid="{00000000-0004-0000-0300-000006000000}"/>
    <hyperlink ref="G6" r:id="rId8" xr:uid="{00000000-0004-0000-0300-000007000000}"/>
    <hyperlink ref="E7" r:id="rId9" xr:uid="{00000000-0004-0000-0300-000008000000}"/>
    <hyperlink ref="G7" r:id="rId10" xr:uid="{00000000-0004-0000-0300-000009000000}"/>
    <hyperlink ref="E8" r:id="rId11" xr:uid="{00000000-0004-0000-0300-00000A000000}"/>
    <hyperlink ref="G8" r:id="rId12" xr:uid="{00000000-0004-0000-0300-00000B000000}"/>
    <hyperlink ref="E9" r:id="rId13" xr:uid="{00000000-0004-0000-0300-00000C000000}"/>
    <hyperlink ref="G9" r:id="rId14" xr:uid="{00000000-0004-0000-0300-00000D000000}"/>
    <hyperlink ref="E10" r:id="rId15" xr:uid="{00000000-0004-0000-0300-00000E000000}"/>
    <hyperlink ref="G10" r:id="rId16" xr:uid="{00000000-0004-0000-0300-00000F000000}"/>
    <hyperlink ref="E11" r:id="rId17" xr:uid="{00000000-0004-0000-0300-000010000000}"/>
    <hyperlink ref="G11" r:id="rId18" xr:uid="{00000000-0004-0000-0300-000011000000}"/>
    <hyperlink ref="E12" r:id="rId19" xr:uid="{00000000-0004-0000-0300-000012000000}"/>
    <hyperlink ref="E13" r:id="rId20" xr:uid="{00000000-0004-0000-0300-000013000000}"/>
    <hyperlink ref="E14" r:id="rId21" xr:uid="{00000000-0004-0000-0300-000014000000}"/>
    <hyperlink ref="E15" r:id="rId22" xr:uid="{00000000-0004-0000-0300-000015000000}"/>
    <hyperlink ref="E16" r:id="rId23" xr:uid="{00000000-0004-0000-0300-000016000000}"/>
    <hyperlink ref="E17" r:id="rId24" xr:uid="{00000000-0004-0000-0300-000017000000}"/>
    <hyperlink ref="E18" r:id="rId25" xr:uid="{00000000-0004-0000-0300-000018000000}"/>
    <hyperlink ref="E19" r:id="rId26" xr:uid="{00000000-0004-0000-0300-000019000000}"/>
    <hyperlink ref="E20" r:id="rId27" xr:uid="{00000000-0004-0000-0300-00001A000000}"/>
    <hyperlink ref="E21" r:id="rId28" xr:uid="{00000000-0004-0000-0300-00001B000000}"/>
    <hyperlink ref="E22" r:id="rId29" xr:uid="{00000000-0004-0000-0300-00001C000000}"/>
    <hyperlink ref="E23" r:id="rId30" xr:uid="{00000000-0004-0000-0300-00001D000000}"/>
    <hyperlink ref="E24" r:id="rId31" xr:uid="{00000000-0004-0000-0300-00001E000000}"/>
    <hyperlink ref="E25" r:id="rId32" xr:uid="{00000000-0004-0000-0300-00001F000000}"/>
    <hyperlink ref="E26" r:id="rId33" xr:uid="{00000000-0004-0000-0300-000020000000}"/>
    <hyperlink ref="E27" r:id="rId34" xr:uid="{00000000-0004-0000-0300-000021000000}"/>
    <hyperlink ref="E28" r:id="rId35" xr:uid="{00000000-0004-0000-0300-000022000000}"/>
    <hyperlink ref="E29" r:id="rId36" xr:uid="{00000000-0004-0000-0300-000023000000}"/>
    <hyperlink ref="E30" r:id="rId37" xr:uid="{00000000-0004-0000-0300-000024000000}"/>
    <hyperlink ref="E31" r:id="rId38" xr:uid="{00000000-0004-0000-0300-000025000000}"/>
    <hyperlink ref="E32" r:id="rId39" xr:uid="{00000000-0004-0000-0300-000026000000}"/>
    <hyperlink ref="E33" r:id="rId40" xr:uid="{00000000-0004-0000-0300-000027000000}"/>
    <hyperlink ref="E34" r:id="rId41" xr:uid="{00000000-0004-0000-0300-000028000000}"/>
    <hyperlink ref="E35" r:id="rId42" xr:uid="{00000000-0004-0000-0300-000029000000}"/>
    <hyperlink ref="E36" r:id="rId43" xr:uid="{00000000-0004-0000-0300-00002A000000}"/>
    <hyperlink ref="E37" r:id="rId44" xr:uid="{00000000-0004-0000-0300-00002B000000}"/>
    <hyperlink ref="E38" r:id="rId45" xr:uid="{00000000-0004-0000-0300-00002C000000}"/>
    <hyperlink ref="E39" r:id="rId46" xr:uid="{00000000-0004-0000-0300-00002D000000}"/>
    <hyperlink ref="E40" r:id="rId47" xr:uid="{00000000-0004-0000-0300-00002E000000}"/>
    <hyperlink ref="E41" r:id="rId48" xr:uid="{00000000-0004-0000-0300-00002F000000}"/>
    <hyperlink ref="E42" r:id="rId49" xr:uid="{00000000-0004-0000-0300-000030000000}"/>
    <hyperlink ref="E43" r:id="rId50" xr:uid="{00000000-0004-0000-0300-000031000000}"/>
    <hyperlink ref="E44" r:id="rId51" xr:uid="{00000000-0004-0000-0300-000032000000}"/>
    <hyperlink ref="E45" r:id="rId52" xr:uid="{00000000-0004-0000-0300-000033000000}"/>
    <hyperlink ref="E46" r:id="rId53" xr:uid="{00000000-0004-0000-0300-000034000000}"/>
    <hyperlink ref="E47" r:id="rId54" xr:uid="{00000000-0004-0000-0300-000035000000}"/>
    <hyperlink ref="E48" r:id="rId55" xr:uid="{00000000-0004-0000-0300-000036000000}"/>
    <hyperlink ref="E49" r:id="rId56" xr:uid="{00000000-0004-0000-0300-000037000000}"/>
    <hyperlink ref="E50" r:id="rId57" xr:uid="{00000000-0004-0000-0300-000038000000}"/>
    <hyperlink ref="E51" r:id="rId58" xr:uid="{00000000-0004-0000-0300-000039000000}"/>
    <hyperlink ref="E52" r:id="rId59" xr:uid="{00000000-0004-0000-0300-00003A000000}"/>
    <hyperlink ref="E53" r:id="rId60" xr:uid="{00000000-0004-0000-0300-00003B000000}"/>
    <hyperlink ref="E54" r:id="rId61" xr:uid="{00000000-0004-0000-0300-00003C000000}"/>
    <hyperlink ref="E55" r:id="rId62" xr:uid="{00000000-0004-0000-0300-00003D000000}"/>
    <hyperlink ref="E56" r:id="rId63" xr:uid="{00000000-0004-0000-0300-00003E000000}"/>
    <hyperlink ref="E57" r:id="rId64" xr:uid="{00000000-0004-0000-0300-00003F000000}"/>
    <hyperlink ref="E58" r:id="rId65" xr:uid="{00000000-0004-0000-0300-000040000000}"/>
    <hyperlink ref="E59" r:id="rId66" xr:uid="{00000000-0004-0000-0300-000041000000}"/>
    <hyperlink ref="E60" r:id="rId67" xr:uid="{00000000-0004-0000-0300-000042000000}"/>
    <hyperlink ref="E61" r:id="rId68" xr:uid="{00000000-0004-0000-0300-000043000000}"/>
    <hyperlink ref="E63" r:id="rId69" xr:uid="{00000000-0004-0000-0300-000044000000}"/>
    <hyperlink ref="G63" r:id="rId70" xr:uid="{00000000-0004-0000-0300-000045000000}"/>
    <hyperlink ref="E64" r:id="rId71" xr:uid="{00000000-0004-0000-0300-000046000000}"/>
    <hyperlink ref="G64" r:id="rId72" xr:uid="{00000000-0004-0000-0300-000047000000}"/>
    <hyperlink ref="E65" r:id="rId73" xr:uid="{00000000-0004-0000-0300-000048000000}"/>
    <hyperlink ref="G65" r:id="rId74" xr:uid="{00000000-0004-0000-0300-000049000000}"/>
    <hyperlink ref="E66" r:id="rId75" xr:uid="{00000000-0004-0000-0300-00004A000000}"/>
    <hyperlink ref="G66" r:id="rId76" xr:uid="{00000000-0004-0000-0300-00004B000000}"/>
    <hyperlink ref="E67" r:id="rId77" xr:uid="{00000000-0004-0000-0300-00004C000000}"/>
    <hyperlink ref="G67" r:id="rId78" xr:uid="{00000000-0004-0000-0300-00004D000000}"/>
    <hyperlink ref="E68" r:id="rId79" xr:uid="{00000000-0004-0000-0300-00004E000000}"/>
    <hyperlink ref="E69" r:id="rId80" xr:uid="{00000000-0004-0000-0300-00004F000000}"/>
    <hyperlink ref="E70" r:id="rId81" xr:uid="{00000000-0004-0000-0300-000050000000}"/>
    <hyperlink ref="E71" r:id="rId82" xr:uid="{00000000-0004-0000-0300-000051000000}"/>
    <hyperlink ref="E72" r:id="rId83" xr:uid="{00000000-0004-0000-0300-000052000000}"/>
    <hyperlink ref="E73" r:id="rId84" xr:uid="{00000000-0004-0000-0300-000053000000}"/>
    <hyperlink ref="E74" r:id="rId85" xr:uid="{00000000-0004-0000-0300-000054000000}"/>
    <hyperlink ref="E75" r:id="rId86" xr:uid="{00000000-0004-0000-0300-000055000000}"/>
    <hyperlink ref="E76" r:id="rId87" xr:uid="{00000000-0004-0000-0300-000056000000}"/>
    <hyperlink ref="E77" r:id="rId88" xr:uid="{00000000-0004-0000-0300-000057000000}"/>
    <hyperlink ref="E78" r:id="rId89" xr:uid="{00000000-0004-0000-0300-000058000000}"/>
    <hyperlink ref="E79" r:id="rId90" xr:uid="{00000000-0004-0000-0300-000059000000}"/>
    <hyperlink ref="E80" r:id="rId91" xr:uid="{00000000-0004-0000-0300-00005A000000}"/>
    <hyperlink ref="E81" r:id="rId92" xr:uid="{00000000-0004-0000-0300-00005B000000}"/>
    <hyperlink ref="E82" r:id="rId93" xr:uid="{00000000-0004-0000-0300-00005C000000}"/>
    <hyperlink ref="E83" r:id="rId94" xr:uid="{00000000-0004-0000-0300-00005D000000}"/>
    <hyperlink ref="E84" r:id="rId95" xr:uid="{00000000-0004-0000-0300-00005E000000}"/>
    <hyperlink ref="E85" r:id="rId96" xr:uid="{00000000-0004-0000-0300-00005F000000}"/>
    <hyperlink ref="E86" r:id="rId97" xr:uid="{00000000-0004-0000-0300-000060000000}"/>
    <hyperlink ref="E87" r:id="rId98" xr:uid="{00000000-0004-0000-0300-000061000000}"/>
    <hyperlink ref="E88" r:id="rId99" xr:uid="{00000000-0004-0000-0300-000062000000}"/>
    <hyperlink ref="E89" r:id="rId100" xr:uid="{00000000-0004-0000-0300-000063000000}"/>
    <hyperlink ref="E90" r:id="rId101" xr:uid="{00000000-0004-0000-0300-000064000000}"/>
    <hyperlink ref="E91" r:id="rId102" xr:uid="{00000000-0004-0000-0300-000065000000}"/>
    <hyperlink ref="E92" r:id="rId103" xr:uid="{00000000-0004-0000-0300-000066000000}"/>
    <hyperlink ref="E93" r:id="rId104" xr:uid="{00000000-0004-0000-0300-000067000000}"/>
    <hyperlink ref="E94" r:id="rId105" xr:uid="{00000000-0004-0000-0300-000068000000}"/>
    <hyperlink ref="E95" r:id="rId106" xr:uid="{00000000-0004-0000-0300-000069000000}"/>
    <hyperlink ref="E96" r:id="rId107" xr:uid="{00000000-0004-0000-0300-00006A000000}"/>
    <hyperlink ref="E97" r:id="rId108" xr:uid="{00000000-0004-0000-0300-00006B000000}"/>
    <hyperlink ref="E98" r:id="rId109" xr:uid="{00000000-0004-0000-0300-00006C000000}"/>
    <hyperlink ref="E100" r:id="rId110" xr:uid="{00000000-0004-0000-0300-00006D000000}"/>
    <hyperlink ref="G100" r:id="rId111" xr:uid="{00000000-0004-0000-0300-00006E000000}"/>
    <hyperlink ref="E101" r:id="rId112" xr:uid="{00000000-0004-0000-0300-00006F000000}"/>
    <hyperlink ref="G101" r:id="rId113" xr:uid="{00000000-0004-0000-0300-000070000000}"/>
    <hyperlink ref="E102" r:id="rId114" xr:uid="{00000000-0004-0000-0300-000071000000}"/>
    <hyperlink ref="G102" r:id="rId115" xr:uid="{00000000-0004-0000-0300-000072000000}"/>
    <hyperlink ref="E103" r:id="rId116" xr:uid="{00000000-0004-0000-0300-000073000000}"/>
    <hyperlink ref="G103" r:id="rId117" xr:uid="{00000000-0004-0000-0300-000074000000}"/>
    <hyperlink ref="E104" r:id="rId118" xr:uid="{00000000-0004-0000-0300-000075000000}"/>
    <hyperlink ref="G104" r:id="rId119" xr:uid="{00000000-0004-0000-0300-000076000000}"/>
    <hyperlink ref="E105" r:id="rId120" xr:uid="{00000000-0004-0000-0300-000077000000}"/>
    <hyperlink ref="G105" r:id="rId121" xr:uid="{00000000-0004-0000-0300-000078000000}"/>
    <hyperlink ref="E106" r:id="rId122" xr:uid="{00000000-0004-0000-0300-000079000000}"/>
    <hyperlink ref="G106" r:id="rId123" xr:uid="{00000000-0004-0000-0300-00007A000000}"/>
    <hyperlink ref="E107" r:id="rId124" xr:uid="{00000000-0004-0000-0300-00007B000000}"/>
    <hyperlink ref="G107" r:id="rId125" xr:uid="{00000000-0004-0000-0300-00007C000000}"/>
    <hyperlink ref="E108" r:id="rId126" xr:uid="{00000000-0004-0000-0300-00007D000000}"/>
    <hyperlink ref="G108" r:id="rId127" xr:uid="{00000000-0004-0000-0300-00007E000000}"/>
    <hyperlink ref="E109" r:id="rId128" xr:uid="{00000000-0004-0000-0300-00007F000000}"/>
    <hyperlink ref="E110" r:id="rId129" xr:uid="{00000000-0004-0000-0300-000080000000}"/>
    <hyperlink ref="E111" r:id="rId130" xr:uid="{00000000-0004-0000-0300-000081000000}"/>
    <hyperlink ref="E112" r:id="rId131" xr:uid="{00000000-0004-0000-0300-000082000000}"/>
    <hyperlink ref="E113" r:id="rId132" xr:uid="{00000000-0004-0000-0300-000083000000}"/>
    <hyperlink ref="E114" r:id="rId133" xr:uid="{00000000-0004-0000-0300-000084000000}"/>
    <hyperlink ref="E115" r:id="rId134" xr:uid="{00000000-0004-0000-0300-000085000000}"/>
    <hyperlink ref="E116" r:id="rId135" xr:uid="{00000000-0004-0000-0300-000086000000}"/>
    <hyperlink ref="E117" r:id="rId136" xr:uid="{00000000-0004-0000-0300-000087000000}"/>
    <hyperlink ref="E118" r:id="rId137" xr:uid="{00000000-0004-0000-0300-000088000000}"/>
    <hyperlink ref="E119" r:id="rId138" xr:uid="{00000000-0004-0000-0300-000089000000}"/>
    <hyperlink ref="E120" r:id="rId139" xr:uid="{00000000-0004-0000-0300-00008A000000}"/>
    <hyperlink ref="E121" r:id="rId140" xr:uid="{00000000-0004-0000-0300-00008B000000}"/>
    <hyperlink ref="E122" r:id="rId141" xr:uid="{00000000-0004-0000-0300-00008C000000}"/>
    <hyperlink ref="E123" r:id="rId142" xr:uid="{00000000-0004-0000-0300-00008D000000}"/>
    <hyperlink ref="E124" r:id="rId143" xr:uid="{00000000-0004-0000-0300-00008E000000}"/>
    <hyperlink ref="E125" r:id="rId144" xr:uid="{00000000-0004-0000-0300-00008F000000}"/>
    <hyperlink ref="E126" r:id="rId145" xr:uid="{00000000-0004-0000-0300-000090000000}"/>
    <hyperlink ref="E127" r:id="rId146" xr:uid="{00000000-0004-0000-0300-000091000000}"/>
    <hyperlink ref="E128" r:id="rId147" xr:uid="{00000000-0004-0000-0300-000092000000}"/>
    <hyperlink ref="E129" r:id="rId148" xr:uid="{00000000-0004-0000-0300-000093000000}"/>
    <hyperlink ref="E130" r:id="rId149" xr:uid="{00000000-0004-0000-0300-000094000000}"/>
    <hyperlink ref="E131" r:id="rId150" xr:uid="{00000000-0004-0000-0300-000095000000}"/>
    <hyperlink ref="E132" r:id="rId151" xr:uid="{00000000-0004-0000-0300-000096000000}"/>
    <hyperlink ref="E133" r:id="rId152" xr:uid="{00000000-0004-0000-0300-000097000000}"/>
    <hyperlink ref="E134" r:id="rId153" xr:uid="{00000000-0004-0000-0300-000098000000}"/>
    <hyperlink ref="E135" r:id="rId154" xr:uid="{00000000-0004-0000-0300-000099000000}"/>
    <hyperlink ref="E136" r:id="rId155" xr:uid="{00000000-0004-0000-0300-00009A000000}"/>
    <hyperlink ref="E137" r:id="rId156" xr:uid="{00000000-0004-0000-0300-00009B000000}"/>
    <hyperlink ref="E138" r:id="rId157" xr:uid="{00000000-0004-0000-0300-00009C000000}"/>
    <hyperlink ref="E139" r:id="rId158" xr:uid="{00000000-0004-0000-0300-00009D000000}"/>
    <hyperlink ref="E140" r:id="rId159" xr:uid="{00000000-0004-0000-0300-00009E000000}"/>
    <hyperlink ref="E141" r:id="rId160" xr:uid="{00000000-0004-0000-0300-00009F000000}"/>
    <hyperlink ref="E143" r:id="rId161" xr:uid="{00000000-0004-0000-0300-0000A0000000}"/>
    <hyperlink ref="G143" r:id="rId162" xr:uid="{00000000-0004-0000-0300-0000A1000000}"/>
    <hyperlink ref="E144" r:id="rId163" xr:uid="{00000000-0004-0000-0300-0000A2000000}"/>
    <hyperlink ref="G144" r:id="rId164" xr:uid="{00000000-0004-0000-0300-0000A3000000}"/>
    <hyperlink ref="E145" r:id="rId165" xr:uid="{00000000-0004-0000-0300-0000A4000000}"/>
    <hyperlink ref="G145" r:id="rId166" xr:uid="{00000000-0004-0000-0300-0000A5000000}"/>
    <hyperlink ref="E146" r:id="rId167" xr:uid="{00000000-0004-0000-0300-0000A6000000}"/>
    <hyperlink ref="G146" r:id="rId168" xr:uid="{00000000-0004-0000-0300-0000A7000000}"/>
    <hyperlink ref="E147" r:id="rId169" xr:uid="{00000000-0004-0000-0300-0000A8000000}"/>
    <hyperlink ref="G147" r:id="rId170" xr:uid="{00000000-0004-0000-0300-0000A9000000}"/>
    <hyperlink ref="E148" r:id="rId171" xr:uid="{00000000-0004-0000-0300-0000AA000000}"/>
    <hyperlink ref="G148" r:id="rId172" xr:uid="{00000000-0004-0000-0300-0000AB000000}"/>
    <hyperlink ref="E149" r:id="rId173" xr:uid="{00000000-0004-0000-0300-0000AC000000}"/>
    <hyperlink ref="G149" r:id="rId174" xr:uid="{00000000-0004-0000-0300-0000AD000000}"/>
    <hyperlink ref="E150" r:id="rId175" xr:uid="{00000000-0004-0000-0300-0000AE000000}"/>
    <hyperlink ref="G150" r:id="rId176" xr:uid="{00000000-0004-0000-0300-0000AF000000}"/>
    <hyperlink ref="E151" r:id="rId177" xr:uid="{00000000-0004-0000-0300-0000B0000000}"/>
    <hyperlink ref="G151" r:id="rId178" xr:uid="{00000000-0004-0000-0300-0000B1000000}"/>
    <hyperlink ref="E152" r:id="rId179" xr:uid="{00000000-0004-0000-0300-0000B2000000}"/>
    <hyperlink ref="E153" r:id="rId180" xr:uid="{00000000-0004-0000-0300-0000B3000000}"/>
    <hyperlink ref="E154" r:id="rId181" xr:uid="{00000000-0004-0000-0300-0000B4000000}"/>
    <hyperlink ref="E155" r:id="rId182" xr:uid="{00000000-0004-0000-0300-0000B5000000}"/>
    <hyperlink ref="E156" r:id="rId183" xr:uid="{00000000-0004-0000-0300-0000B6000000}"/>
    <hyperlink ref="E157" r:id="rId184" xr:uid="{00000000-0004-0000-0300-0000B7000000}"/>
    <hyperlink ref="E158" r:id="rId185" xr:uid="{00000000-0004-0000-0300-0000B8000000}"/>
    <hyperlink ref="E159" r:id="rId186" xr:uid="{00000000-0004-0000-0300-0000B9000000}"/>
    <hyperlink ref="E160" r:id="rId187" xr:uid="{00000000-0004-0000-0300-0000BA000000}"/>
    <hyperlink ref="E161" r:id="rId188" xr:uid="{00000000-0004-0000-0300-0000BB000000}"/>
    <hyperlink ref="E162" r:id="rId189" xr:uid="{00000000-0004-0000-0300-0000BC000000}"/>
    <hyperlink ref="E163" r:id="rId190" xr:uid="{00000000-0004-0000-0300-0000BD000000}"/>
    <hyperlink ref="E164" r:id="rId191" xr:uid="{00000000-0004-0000-0300-0000BE000000}"/>
    <hyperlink ref="E165" r:id="rId192" xr:uid="{00000000-0004-0000-0300-0000BF000000}"/>
    <hyperlink ref="E166" r:id="rId193" xr:uid="{00000000-0004-0000-0300-0000C0000000}"/>
    <hyperlink ref="E167" r:id="rId194" xr:uid="{00000000-0004-0000-0300-0000C1000000}"/>
    <hyperlink ref="E168" r:id="rId195" xr:uid="{00000000-0004-0000-0300-0000C2000000}"/>
    <hyperlink ref="E169" r:id="rId196" xr:uid="{00000000-0004-0000-0300-0000C3000000}"/>
    <hyperlink ref="E170" r:id="rId197" xr:uid="{00000000-0004-0000-0300-0000C4000000}"/>
    <hyperlink ref="E171" r:id="rId198" xr:uid="{00000000-0004-0000-0300-0000C5000000}"/>
    <hyperlink ref="E172" r:id="rId199" xr:uid="{00000000-0004-0000-0300-0000C6000000}"/>
    <hyperlink ref="E173" r:id="rId200" xr:uid="{00000000-0004-0000-0300-0000C7000000}"/>
    <hyperlink ref="E174" r:id="rId201" xr:uid="{00000000-0004-0000-0300-0000C8000000}"/>
    <hyperlink ref="E175" r:id="rId202" xr:uid="{00000000-0004-0000-0300-0000C9000000}"/>
    <hyperlink ref="E176" r:id="rId203" xr:uid="{00000000-0004-0000-0300-0000CA000000}"/>
    <hyperlink ref="E178" r:id="rId204" xr:uid="{00000000-0004-0000-0300-0000CB000000}"/>
    <hyperlink ref="G178" r:id="rId205" xr:uid="{00000000-0004-0000-0300-0000CC000000}"/>
    <hyperlink ref="E179" r:id="rId206" xr:uid="{00000000-0004-0000-0300-0000CD000000}"/>
    <hyperlink ref="G179" r:id="rId207" xr:uid="{00000000-0004-0000-0300-0000CE000000}"/>
    <hyperlink ref="E180" r:id="rId208" xr:uid="{00000000-0004-0000-0300-0000CF000000}"/>
    <hyperlink ref="G180" r:id="rId209" xr:uid="{00000000-0004-0000-0300-0000D0000000}"/>
    <hyperlink ref="E181" r:id="rId210" xr:uid="{00000000-0004-0000-0300-0000D1000000}"/>
    <hyperlink ref="G181" r:id="rId211" xr:uid="{00000000-0004-0000-0300-0000D2000000}"/>
    <hyperlink ref="E182" r:id="rId212" xr:uid="{00000000-0004-0000-0300-0000D3000000}"/>
    <hyperlink ref="G182" r:id="rId213" xr:uid="{00000000-0004-0000-0300-0000D4000000}"/>
    <hyperlink ref="E183" r:id="rId214" xr:uid="{00000000-0004-0000-0300-0000D5000000}"/>
    <hyperlink ref="G183" r:id="rId215" xr:uid="{00000000-0004-0000-0300-0000D6000000}"/>
    <hyperlink ref="E184" r:id="rId216" xr:uid="{00000000-0004-0000-0300-0000D7000000}"/>
    <hyperlink ref="G184" r:id="rId217" xr:uid="{00000000-0004-0000-0300-0000D8000000}"/>
    <hyperlink ref="E185" r:id="rId218" xr:uid="{00000000-0004-0000-0300-0000D9000000}"/>
    <hyperlink ref="G185" r:id="rId219" xr:uid="{00000000-0004-0000-0300-0000DA000000}"/>
    <hyperlink ref="E186" r:id="rId220" xr:uid="{00000000-0004-0000-0300-0000DB000000}"/>
    <hyperlink ref="G186" r:id="rId221" xr:uid="{00000000-0004-0000-0300-0000DC000000}"/>
    <hyperlink ref="E187" r:id="rId222" xr:uid="{00000000-0004-0000-0300-0000DD000000}"/>
    <hyperlink ref="G187" r:id="rId223" xr:uid="{00000000-0004-0000-0300-0000DE000000}"/>
    <hyperlink ref="E188" r:id="rId224" xr:uid="{00000000-0004-0000-0300-0000DF000000}"/>
    <hyperlink ref="E189" r:id="rId225" xr:uid="{00000000-0004-0000-0300-0000E0000000}"/>
    <hyperlink ref="E190" r:id="rId226" xr:uid="{00000000-0004-0000-0300-0000E1000000}"/>
    <hyperlink ref="E191" r:id="rId227" xr:uid="{00000000-0004-0000-0300-0000E2000000}"/>
    <hyperlink ref="E192" r:id="rId228" xr:uid="{00000000-0004-0000-0300-0000E3000000}"/>
    <hyperlink ref="E193" r:id="rId229" xr:uid="{00000000-0004-0000-0300-0000E4000000}"/>
    <hyperlink ref="E194" r:id="rId230" xr:uid="{00000000-0004-0000-0300-0000E5000000}"/>
    <hyperlink ref="E195" r:id="rId231" xr:uid="{00000000-0004-0000-0300-0000E6000000}"/>
    <hyperlink ref="E196" r:id="rId232" xr:uid="{00000000-0004-0000-0300-0000E7000000}"/>
    <hyperlink ref="E197" r:id="rId233" xr:uid="{00000000-0004-0000-0300-0000E8000000}"/>
    <hyperlink ref="E198" r:id="rId234" xr:uid="{00000000-0004-0000-0300-0000E9000000}"/>
    <hyperlink ref="E199" r:id="rId235" xr:uid="{00000000-0004-0000-0300-0000EA000000}"/>
    <hyperlink ref="E200" r:id="rId236" xr:uid="{00000000-0004-0000-0300-0000EB000000}"/>
    <hyperlink ref="E201" r:id="rId237" xr:uid="{00000000-0004-0000-0300-0000EC000000}"/>
    <hyperlink ref="E202" r:id="rId238" xr:uid="{00000000-0004-0000-0300-0000ED000000}"/>
    <hyperlink ref="E203" r:id="rId239" xr:uid="{00000000-0004-0000-0300-0000EE000000}"/>
    <hyperlink ref="E204" r:id="rId240" xr:uid="{00000000-0004-0000-0300-0000EF000000}"/>
    <hyperlink ref="E205" r:id="rId241" xr:uid="{00000000-0004-0000-0300-0000F0000000}"/>
    <hyperlink ref="E206" r:id="rId242" xr:uid="{00000000-0004-0000-0300-0000F1000000}"/>
    <hyperlink ref="E207" r:id="rId243" xr:uid="{00000000-0004-0000-0300-0000F2000000}"/>
    <hyperlink ref="E208" r:id="rId244" xr:uid="{00000000-0004-0000-0300-0000F3000000}"/>
    <hyperlink ref="E209" r:id="rId245" xr:uid="{00000000-0004-0000-0300-0000F4000000}"/>
    <hyperlink ref="E210" r:id="rId246" xr:uid="{00000000-0004-0000-0300-0000F5000000}"/>
    <hyperlink ref="E211" r:id="rId247" xr:uid="{00000000-0004-0000-0300-0000F6000000}"/>
    <hyperlink ref="E212" r:id="rId248" xr:uid="{00000000-0004-0000-0300-0000F7000000}"/>
    <hyperlink ref="E214" r:id="rId249" xr:uid="{00000000-0004-0000-0300-0000F8000000}"/>
    <hyperlink ref="G214" r:id="rId250" xr:uid="{00000000-0004-0000-0300-0000F9000000}"/>
    <hyperlink ref="E215" r:id="rId251" xr:uid="{00000000-0004-0000-0300-0000FA000000}"/>
    <hyperlink ref="G215" r:id="rId252" xr:uid="{00000000-0004-0000-0300-0000FB000000}"/>
    <hyperlink ref="E216" r:id="rId253" xr:uid="{00000000-0004-0000-0300-0000FC000000}"/>
    <hyperlink ref="G216" r:id="rId254" xr:uid="{00000000-0004-0000-0300-0000FD000000}"/>
    <hyperlink ref="E217" r:id="rId255" xr:uid="{00000000-0004-0000-0300-0000FE000000}"/>
    <hyperlink ref="E218" r:id="rId256" xr:uid="{00000000-0004-0000-0300-0000FF000000}"/>
    <hyperlink ref="E219" r:id="rId257" xr:uid="{00000000-0004-0000-0300-000000010000}"/>
    <hyperlink ref="E220" r:id="rId258" xr:uid="{00000000-0004-0000-0300-000001010000}"/>
    <hyperlink ref="E221" r:id="rId259" xr:uid="{00000000-0004-0000-0300-000002010000}"/>
    <hyperlink ref="E222" r:id="rId260" xr:uid="{00000000-0004-0000-0300-000003010000}"/>
    <hyperlink ref="E223" r:id="rId261" xr:uid="{00000000-0004-0000-0300-000004010000}"/>
    <hyperlink ref="E224" r:id="rId262" xr:uid="{00000000-0004-0000-0300-000005010000}"/>
    <hyperlink ref="E225" r:id="rId263" xr:uid="{00000000-0004-0000-0300-000006010000}"/>
    <hyperlink ref="E226" r:id="rId264" xr:uid="{00000000-0004-0000-0300-000007010000}"/>
    <hyperlink ref="E227" r:id="rId265" xr:uid="{00000000-0004-0000-0300-000008010000}"/>
    <hyperlink ref="E228" r:id="rId266" xr:uid="{00000000-0004-0000-0300-000009010000}"/>
    <hyperlink ref="E229" r:id="rId267" xr:uid="{00000000-0004-0000-0300-00000A010000}"/>
    <hyperlink ref="E230" r:id="rId268" xr:uid="{00000000-0004-0000-0300-00000B010000}"/>
    <hyperlink ref="E231" r:id="rId269" xr:uid="{00000000-0004-0000-0300-00000C010000}"/>
    <hyperlink ref="E232" r:id="rId270" xr:uid="{00000000-0004-0000-0300-00000D010000}"/>
    <hyperlink ref="E233" r:id="rId271" xr:uid="{00000000-0004-0000-0300-00000E010000}"/>
    <hyperlink ref="E234" r:id="rId272" xr:uid="{00000000-0004-0000-0300-00000F010000}"/>
    <hyperlink ref="E235" r:id="rId273" xr:uid="{00000000-0004-0000-0300-000010010000}"/>
    <hyperlink ref="E236" r:id="rId274" xr:uid="{00000000-0004-0000-0300-000011010000}"/>
    <hyperlink ref="E237" r:id="rId275" xr:uid="{00000000-0004-0000-0300-000012010000}"/>
    <hyperlink ref="E239" r:id="rId276" xr:uid="{00000000-0004-0000-0300-000013010000}"/>
    <hyperlink ref="G239" r:id="rId277" xr:uid="{00000000-0004-0000-0300-000014010000}"/>
    <hyperlink ref="E240" r:id="rId278" xr:uid="{00000000-0004-0000-0300-000015010000}"/>
    <hyperlink ref="G240" r:id="rId279" xr:uid="{00000000-0004-0000-0300-000016010000}"/>
    <hyperlink ref="E241" r:id="rId280" xr:uid="{00000000-0004-0000-0300-000017010000}"/>
    <hyperlink ref="G241" r:id="rId281" xr:uid="{00000000-0004-0000-0300-000018010000}"/>
    <hyperlink ref="E242" r:id="rId282" xr:uid="{00000000-0004-0000-0300-000019010000}"/>
    <hyperlink ref="E243" r:id="rId283" xr:uid="{00000000-0004-0000-0300-00001A010000}"/>
    <hyperlink ref="E244" r:id="rId284" xr:uid="{00000000-0004-0000-0300-00001B010000}"/>
    <hyperlink ref="E245" r:id="rId285" xr:uid="{00000000-0004-0000-0300-00001C010000}"/>
    <hyperlink ref="E246" r:id="rId286" xr:uid="{00000000-0004-0000-0300-00001D010000}"/>
    <hyperlink ref="E247" r:id="rId287" xr:uid="{00000000-0004-0000-0300-00001E010000}"/>
    <hyperlink ref="E248" r:id="rId288" xr:uid="{00000000-0004-0000-0300-00001F010000}"/>
    <hyperlink ref="E249" r:id="rId289" xr:uid="{00000000-0004-0000-0300-000020010000}"/>
    <hyperlink ref="E250" r:id="rId290" xr:uid="{00000000-0004-0000-0300-000021010000}"/>
    <hyperlink ref="E251" r:id="rId291" xr:uid="{00000000-0004-0000-0300-000022010000}"/>
    <hyperlink ref="E252" r:id="rId292" xr:uid="{00000000-0004-0000-0300-000023010000}"/>
    <hyperlink ref="E253" r:id="rId293" xr:uid="{00000000-0004-0000-0300-000024010000}"/>
    <hyperlink ref="E254" r:id="rId294" xr:uid="{00000000-0004-0000-0300-000025010000}"/>
    <hyperlink ref="E255" r:id="rId295" xr:uid="{00000000-0004-0000-0300-000026010000}"/>
    <hyperlink ref="E256" r:id="rId296" xr:uid="{00000000-0004-0000-0300-000027010000}"/>
    <hyperlink ref="E257" r:id="rId297" xr:uid="{00000000-0004-0000-0300-000028010000}"/>
    <hyperlink ref="E258" r:id="rId298" xr:uid="{00000000-0004-0000-0300-000029010000}"/>
    <hyperlink ref="E259" r:id="rId299" xr:uid="{00000000-0004-0000-0300-00002A010000}"/>
    <hyperlink ref="E260" r:id="rId300" xr:uid="{00000000-0004-0000-0300-00002B010000}"/>
    <hyperlink ref="E261" r:id="rId301" xr:uid="{00000000-0004-0000-0300-00002C010000}"/>
    <hyperlink ref="E262" r:id="rId302" xr:uid="{00000000-0004-0000-0300-00002D010000}"/>
    <hyperlink ref="E263" r:id="rId303" xr:uid="{00000000-0004-0000-0300-00002E010000}"/>
    <hyperlink ref="E264" r:id="rId304" xr:uid="{00000000-0004-0000-0300-00002F010000}"/>
    <hyperlink ref="E265" r:id="rId305" xr:uid="{00000000-0004-0000-0300-000030010000}"/>
    <hyperlink ref="E266" r:id="rId306" xr:uid="{00000000-0004-0000-0300-000031010000}"/>
    <hyperlink ref="E267" r:id="rId307" xr:uid="{00000000-0004-0000-0300-000032010000}"/>
    <hyperlink ref="E268" r:id="rId308" xr:uid="{00000000-0004-0000-0300-000033010000}"/>
    <hyperlink ref="E269" r:id="rId309" xr:uid="{00000000-0004-0000-0300-000034010000}"/>
    <hyperlink ref="E270" r:id="rId310" xr:uid="{00000000-0004-0000-0300-000035010000}"/>
    <hyperlink ref="E271" r:id="rId311" xr:uid="{00000000-0004-0000-0300-000036010000}"/>
    <hyperlink ref="E272" r:id="rId312" xr:uid="{00000000-0004-0000-0300-000037010000}"/>
    <hyperlink ref="E273" r:id="rId313" xr:uid="{00000000-0004-0000-0300-000038010000}"/>
    <hyperlink ref="E274" r:id="rId314" xr:uid="{00000000-0004-0000-0300-000039010000}"/>
    <hyperlink ref="E275" r:id="rId315" xr:uid="{00000000-0004-0000-0300-00003A010000}"/>
    <hyperlink ref="E276" r:id="rId316" xr:uid="{00000000-0004-0000-0300-00003B010000}"/>
    <hyperlink ref="E277" r:id="rId317" xr:uid="{00000000-0004-0000-0300-00003C010000}"/>
    <hyperlink ref="E278" r:id="rId318" xr:uid="{00000000-0004-0000-0300-00003D010000}"/>
    <hyperlink ref="E279" r:id="rId319" xr:uid="{00000000-0004-0000-0300-00003E010000}"/>
    <hyperlink ref="E280" r:id="rId320" xr:uid="{00000000-0004-0000-0300-00003F010000}"/>
    <hyperlink ref="E281" r:id="rId321" xr:uid="{00000000-0004-0000-0300-000040010000}"/>
    <hyperlink ref="E282" r:id="rId322" xr:uid="{00000000-0004-0000-0300-000041010000}"/>
    <hyperlink ref="E283" r:id="rId323" xr:uid="{00000000-0004-0000-0300-000042010000}"/>
    <hyperlink ref="E284" r:id="rId324" xr:uid="{00000000-0004-0000-0300-000043010000}"/>
    <hyperlink ref="E285" r:id="rId325" xr:uid="{00000000-0004-0000-0300-000044010000}"/>
    <hyperlink ref="E286" r:id="rId326" xr:uid="{00000000-0004-0000-0300-000045010000}"/>
    <hyperlink ref="E287" r:id="rId327" xr:uid="{00000000-0004-0000-0300-000046010000}"/>
    <hyperlink ref="E288" r:id="rId328" xr:uid="{00000000-0004-0000-0300-000047010000}"/>
    <hyperlink ref="E289" r:id="rId329" xr:uid="{00000000-0004-0000-0300-000048010000}"/>
    <hyperlink ref="E290" r:id="rId330" xr:uid="{00000000-0004-0000-0300-000049010000}"/>
    <hyperlink ref="E291" r:id="rId331" xr:uid="{00000000-0004-0000-0300-00004A010000}"/>
    <hyperlink ref="E292" r:id="rId332" xr:uid="{00000000-0004-0000-0300-00004B010000}"/>
    <hyperlink ref="E293" r:id="rId333" xr:uid="{00000000-0004-0000-0300-00004C010000}"/>
    <hyperlink ref="E295" r:id="rId334" xr:uid="{00000000-0004-0000-0300-00004D010000}"/>
    <hyperlink ref="G295" r:id="rId335" xr:uid="{00000000-0004-0000-0300-00004E010000}"/>
    <hyperlink ref="E296" r:id="rId336" xr:uid="{00000000-0004-0000-0300-00004F010000}"/>
    <hyperlink ref="G296" r:id="rId337" xr:uid="{00000000-0004-0000-0300-000050010000}"/>
    <hyperlink ref="E297" r:id="rId338" xr:uid="{00000000-0004-0000-0300-000051010000}"/>
    <hyperlink ref="E298" r:id="rId339" xr:uid="{00000000-0004-0000-0300-000052010000}"/>
    <hyperlink ref="E299" r:id="rId340" xr:uid="{00000000-0004-0000-0300-000053010000}"/>
    <hyperlink ref="E300" r:id="rId341" xr:uid="{00000000-0004-0000-0300-000054010000}"/>
    <hyperlink ref="E301" r:id="rId342" xr:uid="{00000000-0004-0000-0300-000055010000}"/>
    <hyperlink ref="E302" r:id="rId343" xr:uid="{00000000-0004-0000-0300-000056010000}"/>
    <hyperlink ref="E303" r:id="rId344" xr:uid="{00000000-0004-0000-0300-000057010000}"/>
    <hyperlink ref="E304" r:id="rId345" xr:uid="{00000000-0004-0000-0300-000058010000}"/>
    <hyperlink ref="E305" r:id="rId346" xr:uid="{00000000-0004-0000-0300-000059010000}"/>
    <hyperlink ref="E306" r:id="rId347" xr:uid="{00000000-0004-0000-0300-00005A010000}"/>
    <hyperlink ref="E307" r:id="rId348" xr:uid="{00000000-0004-0000-0300-00005B010000}"/>
    <hyperlink ref="E308" r:id="rId349" xr:uid="{00000000-0004-0000-0300-00005C010000}"/>
    <hyperlink ref="E309" r:id="rId350" xr:uid="{00000000-0004-0000-0300-00005D010000}"/>
    <hyperlink ref="E310" r:id="rId351" xr:uid="{00000000-0004-0000-0300-00005E010000}"/>
    <hyperlink ref="E311" r:id="rId352" xr:uid="{00000000-0004-0000-0300-00005F010000}"/>
    <hyperlink ref="E312" r:id="rId353" xr:uid="{00000000-0004-0000-0300-000060010000}"/>
    <hyperlink ref="E313" r:id="rId354" xr:uid="{00000000-0004-0000-0300-000061010000}"/>
    <hyperlink ref="E314" r:id="rId355" xr:uid="{00000000-0004-0000-0300-000062010000}"/>
    <hyperlink ref="E315" r:id="rId356" xr:uid="{00000000-0004-0000-0300-000063010000}"/>
    <hyperlink ref="E316" r:id="rId357" xr:uid="{00000000-0004-0000-0300-000064010000}"/>
    <hyperlink ref="E317" r:id="rId358" xr:uid="{00000000-0004-0000-0300-000065010000}"/>
    <hyperlink ref="E319" r:id="rId359" xr:uid="{00000000-0004-0000-0300-000066010000}"/>
    <hyperlink ref="G319" r:id="rId360" xr:uid="{00000000-0004-0000-0300-000067010000}"/>
    <hyperlink ref="E320" r:id="rId361" xr:uid="{00000000-0004-0000-0300-000068010000}"/>
    <hyperlink ref="G320" r:id="rId362" xr:uid="{00000000-0004-0000-0300-000069010000}"/>
    <hyperlink ref="E321" r:id="rId363" xr:uid="{00000000-0004-0000-0300-00006A010000}"/>
    <hyperlink ref="G321" r:id="rId364" xr:uid="{00000000-0004-0000-0300-00006B010000}"/>
    <hyperlink ref="E322" r:id="rId365" xr:uid="{00000000-0004-0000-0300-00006C010000}"/>
    <hyperlink ref="E323" r:id="rId366" xr:uid="{00000000-0004-0000-0300-00006D010000}"/>
    <hyperlink ref="E324" r:id="rId367" xr:uid="{00000000-0004-0000-0300-00006E010000}"/>
    <hyperlink ref="E325" r:id="rId368" xr:uid="{00000000-0004-0000-0300-00006F010000}"/>
    <hyperlink ref="E326" r:id="rId369" xr:uid="{00000000-0004-0000-0300-000070010000}"/>
    <hyperlink ref="E327" r:id="rId370" xr:uid="{00000000-0004-0000-0300-000071010000}"/>
    <hyperlink ref="E328" r:id="rId371" xr:uid="{00000000-0004-0000-0300-000072010000}"/>
    <hyperlink ref="E329" r:id="rId372" xr:uid="{00000000-0004-0000-0300-000073010000}"/>
    <hyperlink ref="E330" r:id="rId373" xr:uid="{00000000-0004-0000-0300-000074010000}"/>
    <hyperlink ref="E331" r:id="rId374" xr:uid="{00000000-0004-0000-0300-000075010000}"/>
    <hyperlink ref="E332" r:id="rId375" xr:uid="{00000000-0004-0000-0300-000076010000}"/>
    <hyperlink ref="E333" r:id="rId376" xr:uid="{00000000-0004-0000-0300-000077010000}"/>
    <hyperlink ref="E334" r:id="rId377" xr:uid="{00000000-0004-0000-0300-000078010000}"/>
    <hyperlink ref="E335" r:id="rId378" xr:uid="{00000000-0004-0000-0300-000079010000}"/>
    <hyperlink ref="E336" r:id="rId379" xr:uid="{00000000-0004-0000-0300-00007A010000}"/>
    <hyperlink ref="E337" r:id="rId380" xr:uid="{00000000-0004-0000-0300-00007B010000}"/>
    <hyperlink ref="E338" r:id="rId381" xr:uid="{00000000-0004-0000-0300-00007C010000}"/>
    <hyperlink ref="E339" r:id="rId382" xr:uid="{00000000-0004-0000-0300-00007D010000}"/>
    <hyperlink ref="E340" r:id="rId383" xr:uid="{00000000-0004-0000-0300-00007E010000}"/>
    <hyperlink ref="E341" r:id="rId384" xr:uid="{00000000-0004-0000-0300-00007F010000}"/>
    <hyperlink ref="E343" r:id="rId385" xr:uid="{00000000-0004-0000-0300-000080010000}"/>
    <hyperlink ref="G343" r:id="rId386" xr:uid="{00000000-0004-0000-0300-000081010000}"/>
    <hyperlink ref="E344" r:id="rId387" xr:uid="{00000000-0004-0000-0300-000082010000}"/>
    <hyperlink ref="E345" r:id="rId388" xr:uid="{00000000-0004-0000-0300-000083010000}"/>
    <hyperlink ref="E346" r:id="rId389" xr:uid="{00000000-0004-0000-0300-000084010000}"/>
    <hyperlink ref="E347" r:id="rId390" xr:uid="{00000000-0004-0000-0300-000085010000}"/>
    <hyperlink ref="E348" r:id="rId391" xr:uid="{00000000-0004-0000-0300-000086010000}"/>
    <hyperlink ref="E349" r:id="rId392" xr:uid="{00000000-0004-0000-0300-000087010000}"/>
    <hyperlink ref="E350" r:id="rId393" xr:uid="{00000000-0004-0000-0300-000088010000}"/>
    <hyperlink ref="E351" r:id="rId394" xr:uid="{00000000-0004-0000-0300-000089010000}"/>
    <hyperlink ref="E352" r:id="rId395" xr:uid="{00000000-0004-0000-0300-00008A010000}"/>
    <hyperlink ref="E353" r:id="rId396" xr:uid="{00000000-0004-0000-0300-00008B010000}"/>
    <hyperlink ref="E354" r:id="rId397" xr:uid="{00000000-0004-0000-0300-00008C010000}"/>
    <hyperlink ref="E355" r:id="rId398" xr:uid="{00000000-0004-0000-0300-00008D010000}"/>
    <hyperlink ref="E356" r:id="rId399" xr:uid="{00000000-0004-0000-0300-00008E010000}"/>
    <hyperlink ref="E357" r:id="rId400" xr:uid="{00000000-0004-0000-0300-00008F010000}"/>
    <hyperlink ref="E358" r:id="rId401" xr:uid="{00000000-0004-0000-0300-000090010000}"/>
    <hyperlink ref="E359" r:id="rId402" xr:uid="{00000000-0004-0000-0300-000091010000}"/>
    <hyperlink ref="E360" r:id="rId403" xr:uid="{00000000-0004-0000-0300-000092010000}"/>
    <hyperlink ref="E361" r:id="rId404" xr:uid="{00000000-0004-0000-0300-000093010000}"/>
    <hyperlink ref="E362" r:id="rId405" xr:uid="{00000000-0004-0000-0300-000094010000}"/>
    <hyperlink ref="E363" r:id="rId406" xr:uid="{00000000-0004-0000-0300-000095010000}"/>
    <hyperlink ref="E364" r:id="rId407" xr:uid="{00000000-0004-0000-0300-000096010000}"/>
    <hyperlink ref="E365" r:id="rId408" xr:uid="{00000000-0004-0000-0300-000097010000}"/>
    <hyperlink ref="E366" r:id="rId409" xr:uid="{00000000-0004-0000-0300-000098010000}"/>
    <hyperlink ref="E367" r:id="rId410" xr:uid="{00000000-0004-0000-0300-000099010000}"/>
    <hyperlink ref="E368" r:id="rId411" xr:uid="{00000000-0004-0000-0300-00009A010000}"/>
    <hyperlink ref="E369" r:id="rId412" xr:uid="{00000000-0004-0000-0300-00009B010000}"/>
    <hyperlink ref="E370" r:id="rId413" xr:uid="{00000000-0004-0000-0300-00009C010000}"/>
    <hyperlink ref="E371" r:id="rId414" xr:uid="{00000000-0004-0000-0300-00009D010000}"/>
    <hyperlink ref="E373" r:id="rId415" xr:uid="{00000000-0004-0000-0300-00009E010000}"/>
    <hyperlink ref="G373" r:id="rId416" xr:uid="{00000000-0004-0000-0300-00009F010000}"/>
    <hyperlink ref="E374" r:id="rId417" xr:uid="{00000000-0004-0000-0300-0000A0010000}"/>
    <hyperlink ref="G374" r:id="rId418" xr:uid="{00000000-0004-0000-0300-0000A1010000}"/>
    <hyperlink ref="E375" r:id="rId419" xr:uid="{00000000-0004-0000-0300-0000A2010000}"/>
    <hyperlink ref="G375" r:id="rId420" xr:uid="{00000000-0004-0000-0300-0000A3010000}"/>
    <hyperlink ref="E376" r:id="rId421" xr:uid="{00000000-0004-0000-0300-0000A4010000}"/>
    <hyperlink ref="G376" r:id="rId422" xr:uid="{00000000-0004-0000-0300-0000A5010000}"/>
    <hyperlink ref="E377" r:id="rId423" xr:uid="{00000000-0004-0000-0300-0000A6010000}"/>
    <hyperlink ref="G377" r:id="rId424" xr:uid="{00000000-0004-0000-0300-0000A7010000}"/>
    <hyperlink ref="E378" r:id="rId425" xr:uid="{00000000-0004-0000-0300-0000A8010000}"/>
    <hyperlink ref="G378" r:id="rId426" xr:uid="{00000000-0004-0000-0300-0000A9010000}"/>
    <hyperlink ref="E379" r:id="rId427" xr:uid="{00000000-0004-0000-0300-0000AA010000}"/>
    <hyperlink ref="G379" r:id="rId428" xr:uid="{00000000-0004-0000-0300-0000AB010000}"/>
    <hyperlink ref="E380" r:id="rId429" xr:uid="{00000000-0004-0000-0300-0000AC010000}"/>
    <hyperlink ref="G380" r:id="rId430" xr:uid="{00000000-0004-0000-0300-0000AD010000}"/>
    <hyperlink ref="E381" r:id="rId431" xr:uid="{00000000-0004-0000-0300-0000AE010000}"/>
    <hyperlink ref="E382" r:id="rId432" xr:uid="{00000000-0004-0000-0300-0000AF010000}"/>
    <hyperlink ref="E383" r:id="rId433" xr:uid="{00000000-0004-0000-0300-0000B0010000}"/>
    <hyperlink ref="E384" r:id="rId434" xr:uid="{00000000-0004-0000-0300-0000B1010000}"/>
    <hyperlink ref="E385" r:id="rId435" xr:uid="{00000000-0004-0000-0300-0000B2010000}"/>
    <hyperlink ref="E386" r:id="rId436" xr:uid="{00000000-0004-0000-0300-0000B3010000}"/>
    <hyperlink ref="E387" r:id="rId437" xr:uid="{00000000-0004-0000-0300-0000B4010000}"/>
    <hyperlink ref="E388" r:id="rId438" xr:uid="{00000000-0004-0000-0300-0000B5010000}"/>
    <hyperlink ref="E389" r:id="rId439" xr:uid="{00000000-0004-0000-0300-0000B6010000}"/>
    <hyperlink ref="E390" r:id="rId440" xr:uid="{00000000-0004-0000-0300-0000B7010000}"/>
    <hyperlink ref="E391" r:id="rId441" xr:uid="{00000000-0004-0000-0300-0000B8010000}"/>
    <hyperlink ref="E392" r:id="rId442" xr:uid="{00000000-0004-0000-0300-0000B9010000}"/>
    <hyperlink ref="E393" r:id="rId443" xr:uid="{00000000-0004-0000-0300-0000BA010000}"/>
    <hyperlink ref="E394" r:id="rId444" xr:uid="{00000000-0004-0000-0300-0000BB010000}"/>
    <hyperlink ref="E395" r:id="rId445" xr:uid="{00000000-0004-0000-0300-0000BC010000}"/>
    <hyperlink ref="E396" r:id="rId446" xr:uid="{00000000-0004-0000-0300-0000BD010000}"/>
    <hyperlink ref="E397" r:id="rId447" xr:uid="{00000000-0004-0000-0300-0000BE010000}"/>
    <hyperlink ref="E398" r:id="rId448" xr:uid="{00000000-0004-0000-0300-0000BF010000}"/>
    <hyperlink ref="E399" r:id="rId449" xr:uid="{00000000-0004-0000-0300-0000C0010000}"/>
    <hyperlink ref="E400" r:id="rId450" xr:uid="{00000000-0004-0000-0300-0000C1010000}"/>
    <hyperlink ref="E401" r:id="rId451" xr:uid="{00000000-0004-0000-0300-0000C2010000}"/>
    <hyperlink ref="E402" r:id="rId452" xr:uid="{00000000-0004-0000-0300-0000C3010000}"/>
    <hyperlink ref="E403" r:id="rId453" xr:uid="{00000000-0004-0000-0300-0000C4010000}"/>
    <hyperlink ref="E404" r:id="rId454" xr:uid="{00000000-0004-0000-0300-0000C5010000}"/>
    <hyperlink ref="E405" r:id="rId455" xr:uid="{00000000-0004-0000-0300-0000C6010000}"/>
    <hyperlink ref="E406" r:id="rId456" xr:uid="{00000000-0004-0000-0300-0000C7010000}"/>
    <hyperlink ref="E407" r:id="rId457" xr:uid="{00000000-0004-0000-0300-0000C8010000}"/>
    <hyperlink ref="E408" r:id="rId458" xr:uid="{00000000-0004-0000-0300-0000C9010000}"/>
    <hyperlink ref="E409" r:id="rId459" xr:uid="{00000000-0004-0000-0300-0000CA010000}"/>
    <hyperlink ref="E410" r:id="rId460" xr:uid="{00000000-0004-0000-0300-0000CB010000}"/>
    <hyperlink ref="E411" r:id="rId461" xr:uid="{00000000-0004-0000-0300-0000CC010000}"/>
    <hyperlink ref="E412" r:id="rId462" xr:uid="{00000000-0004-0000-0300-0000CD010000}"/>
    <hyperlink ref="E413" r:id="rId463" xr:uid="{00000000-0004-0000-0300-0000CE010000}"/>
    <hyperlink ref="E414" r:id="rId464" xr:uid="{00000000-0004-0000-0300-0000CF010000}"/>
    <hyperlink ref="E415" r:id="rId465" xr:uid="{00000000-0004-0000-0300-0000D0010000}"/>
    <hyperlink ref="E416" r:id="rId466" xr:uid="{00000000-0004-0000-0300-0000D1010000}"/>
    <hyperlink ref="E417" r:id="rId467" xr:uid="{00000000-0004-0000-0300-0000D2010000}"/>
    <hyperlink ref="E418" r:id="rId468" xr:uid="{00000000-0004-0000-0300-0000D3010000}"/>
    <hyperlink ref="E419" r:id="rId469" xr:uid="{00000000-0004-0000-0300-0000D4010000}"/>
    <hyperlink ref="E420" r:id="rId470" xr:uid="{00000000-0004-0000-0300-0000D5010000}"/>
    <hyperlink ref="E421" r:id="rId471" xr:uid="{00000000-0004-0000-0300-0000D6010000}"/>
    <hyperlink ref="E422" r:id="rId472" xr:uid="{00000000-0004-0000-0300-0000D7010000}"/>
    <hyperlink ref="E423" r:id="rId473" xr:uid="{00000000-0004-0000-0300-0000D8010000}"/>
    <hyperlink ref="E424" r:id="rId474" xr:uid="{00000000-0004-0000-0300-0000D9010000}"/>
    <hyperlink ref="E425" r:id="rId475" xr:uid="{00000000-0004-0000-0300-0000DA010000}"/>
    <hyperlink ref="E426" r:id="rId476" xr:uid="{00000000-0004-0000-0300-0000DB010000}"/>
    <hyperlink ref="E427" r:id="rId477" xr:uid="{00000000-0004-0000-0300-0000DC010000}"/>
    <hyperlink ref="E428" r:id="rId478" xr:uid="{00000000-0004-0000-0300-0000DD010000}"/>
    <hyperlink ref="E430" r:id="rId479" xr:uid="{00000000-0004-0000-0300-0000DE010000}"/>
    <hyperlink ref="G430" r:id="rId480" xr:uid="{00000000-0004-0000-0300-0000DF010000}"/>
    <hyperlink ref="E431" r:id="rId481" xr:uid="{00000000-0004-0000-0300-0000E0010000}"/>
    <hyperlink ref="G431" r:id="rId482" xr:uid="{00000000-0004-0000-0300-0000E1010000}"/>
    <hyperlink ref="E432" r:id="rId483" xr:uid="{00000000-0004-0000-0300-0000E2010000}"/>
    <hyperlink ref="G432" r:id="rId484" xr:uid="{00000000-0004-0000-0300-0000E3010000}"/>
    <hyperlink ref="E433" r:id="rId485" xr:uid="{00000000-0004-0000-0300-0000E4010000}"/>
    <hyperlink ref="G433" r:id="rId486" xr:uid="{00000000-0004-0000-0300-0000E5010000}"/>
    <hyperlink ref="E434" r:id="rId487" xr:uid="{00000000-0004-0000-0300-0000E6010000}"/>
    <hyperlink ref="E435" r:id="rId488" xr:uid="{00000000-0004-0000-0300-0000E7010000}"/>
    <hyperlink ref="E436" r:id="rId489" xr:uid="{00000000-0004-0000-0300-0000E8010000}"/>
    <hyperlink ref="E437" r:id="rId490" xr:uid="{00000000-0004-0000-0300-0000E9010000}"/>
    <hyperlink ref="E438" r:id="rId491" xr:uid="{00000000-0004-0000-0300-0000EA010000}"/>
    <hyperlink ref="E439" r:id="rId492" xr:uid="{00000000-0004-0000-0300-0000EB010000}"/>
    <hyperlink ref="E440" r:id="rId493" xr:uid="{00000000-0004-0000-0300-0000EC010000}"/>
    <hyperlink ref="E441" r:id="rId494" xr:uid="{00000000-0004-0000-0300-0000ED010000}"/>
    <hyperlink ref="E442" r:id="rId495" xr:uid="{00000000-0004-0000-0300-0000EE010000}"/>
    <hyperlink ref="E443" r:id="rId496" xr:uid="{00000000-0004-0000-0300-0000EF010000}"/>
    <hyperlink ref="E444" r:id="rId497" xr:uid="{00000000-0004-0000-0300-0000F0010000}"/>
    <hyperlink ref="E445" r:id="rId498" xr:uid="{00000000-0004-0000-0300-0000F1010000}"/>
    <hyperlink ref="E446" r:id="rId499" xr:uid="{00000000-0004-0000-0300-0000F2010000}"/>
    <hyperlink ref="E447" r:id="rId500" xr:uid="{00000000-0004-0000-0300-0000F3010000}"/>
    <hyperlink ref="E448" r:id="rId501" xr:uid="{00000000-0004-0000-0300-0000F4010000}"/>
    <hyperlink ref="E449" r:id="rId502" xr:uid="{00000000-0004-0000-0300-0000F5010000}"/>
    <hyperlink ref="E450" r:id="rId503" xr:uid="{00000000-0004-0000-0300-0000F6010000}"/>
    <hyperlink ref="E451" r:id="rId504" xr:uid="{00000000-0004-0000-0300-0000F7010000}"/>
    <hyperlink ref="E452" r:id="rId505" xr:uid="{00000000-0004-0000-0300-0000F8010000}"/>
    <hyperlink ref="E453" r:id="rId506" xr:uid="{00000000-0004-0000-0300-0000F9010000}"/>
    <hyperlink ref="E454" r:id="rId507" xr:uid="{00000000-0004-0000-0300-0000FA010000}"/>
    <hyperlink ref="E455" r:id="rId508" xr:uid="{00000000-0004-0000-0300-0000FB010000}"/>
    <hyperlink ref="E456" r:id="rId509" xr:uid="{00000000-0004-0000-0300-0000FC010000}"/>
    <hyperlink ref="E457" r:id="rId510" xr:uid="{00000000-0004-0000-0300-0000FD010000}"/>
    <hyperlink ref="E458" r:id="rId511" xr:uid="{00000000-0004-0000-0300-0000FE010000}"/>
    <hyperlink ref="E459" r:id="rId512" xr:uid="{00000000-0004-0000-0300-0000FF010000}"/>
    <hyperlink ref="E460" r:id="rId513" xr:uid="{00000000-0004-0000-0300-000000020000}"/>
    <hyperlink ref="E461" r:id="rId514" xr:uid="{00000000-0004-0000-0300-000001020000}"/>
    <hyperlink ref="E463" r:id="rId515" xr:uid="{00000000-0004-0000-0300-000002020000}"/>
    <hyperlink ref="G463" r:id="rId516" xr:uid="{00000000-0004-0000-0300-000003020000}"/>
    <hyperlink ref="E464" r:id="rId517" xr:uid="{00000000-0004-0000-0300-000004020000}"/>
    <hyperlink ref="G464" r:id="rId518" xr:uid="{00000000-0004-0000-0300-000005020000}"/>
    <hyperlink ref="E465" r:id="rId519" xr:uid="{00000000-0004-0000-0300-000006020000}"/>
    <hyperlink ref="G465" r:id="rId520" xr:uid="{00000000-0004-0000-0300-000007020000}"/>
    <hyperlink ref="E466" r:id="rId521" xr:uid="{00000000-0004-0000-0300-000008020000}"/>
    <hyperlink ref="G466" r:id="rId522" xr:uid="{00000000-0004-0000-0300-000009020000}"/>
    <hyperlink ref="E467" r:id="rId523" xr:uid="{00000000-0004-0000-0300-00000A020000}"/>
    <hyperlink ref="E468" r:id="rId524" xr:uid="{00000000-0004-0000-0300-00000B020000}"/>
    <hyperlink ref="E469" r:id="rId525" xr:uid="{00000000-0004-0000-0300-00000C020000}"/>
    <hyperlink ref="E470" r:id="rId526" xr:uid="{00000000-0004-0000-0300-00000D020000}"/>
    <hyperlink ref="E471" r:id="rId527" xr:uid="{00000000-0004-0000-0300-00000E020000}"/>
    <hyperlink ref="E472" r:id="rId528" xr:uid="{00000000-0004-0000-0300-00000F020000}"/>
    <hyperlink ref="E473" r:id="rId529" xr:uid="{00000000-0004-0000-0300-000010020000}"/>
    <hyperlink ref="E474" r:id="rId530" xr:uid="{00000000-0004-0000-0300-000011020000}"/>
    <hyperlink ref="E475" r:id="rId531" xr:uid="{00000000-0004-0000-0300-000012020000}"/>
    <hyperlink ref="E476" r:id="rId532" xr:uid="{00000000-0004-0000-0300-000013020000}"/>
    <hyperlink ref="E477" r:id="rId533" xr:uid="{00000000-0004-0000-0300-000014020000}"/>
    <hyperlink ref="E478" r:id="rId534" xr:uid="{00000000-0004-0000-0300-000015020000}"/>
    <hyperlink ref="E479" r:id="rId535" xr:uid="{00000000-0004-0000-0300-000016020000}"/>
    <hyperlink ref="E480" r:id="rId536" xr:uid="{00000000-0004-0000-0300-000017020000}"/>
    <hyperlink ref="E481" r:id="rId537" xr:uid="{00000000-0004-0000-0300-000018020000}"/>
    <hyperlink ref="E482" r:id="rId538" xr:uid="{00000000-0004-0000-0300-000019020000}"/>
    <hyperlink ref="E483" r:id="rId539" xr:uid="{00000000-0004-0000-0300-00001A020000}"/>
    <hyperlink ref="E484" r:id="rId540" xr:uid="{00000000-0004-0000-0300-00001B020000}"/>
    <hyperlink ref="E485" r:id="rId541" xr:uid="{00000000-0004-0000-0300-00001C020000}"/>
    <hyperlink ref="E486" r:id="rId542" xr:uid="{00000000-0004-0000-0300-00001D020000}"/>
    <hyperlink ref="E487" r:id="rId543" xr:uid="{00000000-0004-0000-0300-00001E020000}"/>
    <hyperlink ref="E488" r:id="rId544" xr:uid="{00000000-0004-0000-0300-00001F020000}"/>
    <hyperlink ref="E489" r:id="rId545" xr:uid="{00000000-0004-0000-0300-000020020000}"/>
    <hyperlink ref="E490" r:id="rId546" xr:uid="{00000000-0004-0000-0300-000021020000}"/>
    <hyperlink ref="E491" r:id="rId547" xr:uid="{00000000-0004-0000-0300-000022020000}"/>
    <hyperlink ref="E492" r:id="rId548" xr:uid="{00000000-0004-0000-0300-000023020000}"/>
    <hyperlink ref="E493" r:id="rId549" xr:uid="{00000000-0004-0000-0300-000024020000}"/>
    <hyperlink ref="E494" r:id="rId550" xr:uid="{00000000-0004-0000-0300-000025020000}"/>
    <hyperlink ref="E495" r:id="rId551" xr:uid="{00000000-0004-0000-0300-000026020000}"/>
    <hyperlink ref="E496" r:id="rId552" xr:uid="{00000000-0004-0000-0300-000027020000}"/>
    <hyperlink ref="E497" r:id="rId553" xr:uid="{00000000-0004-0000-0300-000028020000}"/>
    <hyperlink ref="E498" r:id="rId554" xr:uid="{00000000-0004-0000-0300-000029020000}"/>
    <hyperlink ref="E499" r:id="rId555" xr:uid="{00000000-0004-0000-0300-00002A020000}"/>
    <hyperlink ref="E500" r:id="rId556" xr:uid="{00000000-0004-0000-0300-00002B020000}"/>
    <hyperlink ref="E501" r:id="rId557" xr:uid="{00000000-0004-0000-0300-00002C020000}"/>
    <hyperlink ref="E502" r:id="rId558" xr:uid="{00000000-0004-0000-0300-00002D020000}"/>
    <hyperlink ref="E503" r:id="rId559" xr:uid="{00000000-0004-0000-0300-00002E020000}"/>
    <hyperlink ref="E504" r:id="rId560" xr:uid="{00000000-0004-0000-0300-00002F020000}"/>
    <hyperlink ref="E505" r:id="rId561" xr:uid="{00000000-0004-0000-0300-000030020000}"/>
    <hyperlink ref="E506" r:id="rId562" xr:uid="{00000000-0004-0000-0300-000031020000}"/>
    <hyperlink ref="E507" r:id="rId563" xr:uid="{00000000-0004-0000-0300-000032020000}"/>
    <hyperlink ref="E509" r:id="rId564" xr:uid="{00000000-0004-0000-0300-000033020000}"/>
    <hyperlink ref="G509" r:id="rId565" xr:uid="{00000000-0004-0000-0300-000034020000}"/>
    <hyperlink ref="E510" r:id="rId566" xr:uid="{00000000-0004-0000-0300-000035020000}"/>
    <hyperlink ref="G510" r:id="rId567" xr:uid="{00000000-0004-0000-0300-000036020000}"/>
    <hyperlink ref="E511" r:id="rId568" xr:uid="{00000000-0004-0000-0300-000037020000}"/>
    <hyperlink ref="G511" r:id="rId569" xr:uid="{00000000-0004-0000-0300-000038020000}"/>
    <hyperlink ref="E512" r:id="rId570" xr:uid="{00000000-0004-0000-0300-000039020000}"/>
    <hyperlink ref="G512" r:id="rId571" xr:uid="{00000000-0004-0000-0300-00003A020000}"/>
    <hyperlink ref="E513" r:id="rId572" xr:uid="{00000000-0004-0000-0300-00003B020000}"/>
    <hyperlink ref="G513" r:id="rId573" xr:uid="{00000000-0004-0000-0300-00003C020000}"/>
    <hyperlink ref="E514" r:id="rId574" xr:uid="{00000000-0004-0000-0300-00003D020000}"/>
    <hyperlink ref="G514" r:id="rId575" xr:uid="{00000000-0004-0000-0300-00003E020000}"/>
    <hyperlink ref="E515" r:id="rId576" xr:uid="{00000000-0004-0000-0300-00003F020000}"/>
    <hyperlink ref="G515" r:id="rId577" xr:uid="{00000000-0004-0000-0300-000040020000}"/>
    <hyperlink ref="E516" r:id="rId578" xr:uid="{00000000-0004-0000-0300-000041020000}"/>
    <hyperlink ref="E517" r:id="rId579" xr:uid="{00000000-0004-0000-0300-000042020000}"/>
    <hyperlink ref="E518" r:id="rId580" xr:uid="{00000000-0004-0000-0300-000043020000}"/>
    <hyperlink ref="E519" r:id="rId581" xr:uid="{00000000-0004-0000-0300-000044020000}"/>
    <hyperlink ref="E520" r:id="rId582" xr:uid="{00000000-0004-0000-0300-000045020000}"/>
    <hyperlink ref="E521" r:id="rId583" xr:uid="{00000000-0004-0000-0300-000046020000}"/>
    <hyperlink ref="E522" r:id="rId584" xr:uid="{00000000-0004-0000-0300-000047020000}"/>
    <hyperlink ref="E523" r:id="rId585" xr:uid="{00000000-0004-0000-0300-000048020000}"/>
    <hyperlink ref="E524" r:id="rId586" xr:uid="{00000000-0004-0000-0300-000049020000}"/>
    <hyperlink ref="E525" r:id="rId587" xr:uid="{00000000-0004-0000-0300-00004A020000}"/>
    <hyperlink ref="E526" r:id="rId588" xr:uid="{00000000-0004-0000-0300-00004B020000}"/>
    <hyperlink ref="E527" r:id="rId589" xr:uid="{00000000-0004-0000-0300-00004C020000}"/>
    <hyperlink ref="E528" r:id="rId590" xr:uid="{00000000-0004-0000-0300-00004D020000}"/>
    <hyperlink ref="E529" r:id="rId591" xr:uid="{00000000-0004-0000-0300-00004E020000}"/>
    <hyperlink ref="E530" r:id="rId592" xr:uid="{00000000-0004-0000-0300-00004F020000}"/>
    <hyperlink ref="E531" r:id="rId593" xr:uid="{00000000-0004-0000-0300-000050020000}"/>
    <hyperlink ref="E532" r:id="rId594" xr:uid="{00000000-0004-0000-0300-000051020000}"/>
    <hyperlink ref="E533" r:id="rId595" xr:uid="{00000000-0004-0000-0300-000052020000}"/>
    <hyperlink ref="E534" r:id="rId596" xr:uid="{00000000-0004-0000-0300-000053020000}"/>
    <hyperlink ref="E536" r:id="rId597" xr:uid="{00000000-0004-0000-0300-000054020000}"/>
    <hyperlink ref="G536" r:id="rId598" xr:uid="{00000000-0004-0000-0300-000055020000}"/>
    <hyperlink ref="E537" r:id="rId599" xr:uid="{00000000-0004-0000-0300-000056020000}"/>
    <hyperlink ref="G537" r:id="rId600" xr:uid="{00000000-0004-0000-0300-000057020000}"/>
    <hyperlink ref="E538" r:id="rId601" xr:uid="{00000000-0004-0000-0300-000058020000}"/>
    <hyperlink ref="G538" r:id="rId602" xr:uid="{00000000-0004-0000-0300-000059020000}"/>
    <hyperlink ref="E539" r:id="rId603" xr:uid="{00000000-0004-0000-0300-00005A020000}"/>
    <hyperlink ref="G539" r:id="rId604" xr:uid="{00000000-0004-0000-0300-00005B020000}"/>
    <hyperlink ref="E540" r:id="rId605" xr:uid="{00000000-0004-0000-0300-00005C020000}"/>
    <hyperlink ref="G540" r:id="rId606" xr:uid="{00000000-0004-0000-0300-00005D020000}"/>
    <hyperlink ref="E541" r:id="rId607" xr:uid="{00000000-0004-0000-0300-00005E020000}"/>
    <hyperlink ref="G541" r:id="rId608" xr:uid="{00000000-0004-0000-0300-00005F020000}"/>
    <hyperlink ref="E542" r:id="rId609" xr:uid="{00000000-0004-0000-0300-000060020000}"/>
    <hyperlink ref="G542" r:id="rId610" xr:uid="{00000000-0004-0000-0300-000061020000}"/>
    <hyperlink ref="E543" r:id="rId611" xr:uid="{00000000-0004-0000-0300-000062020000}"/>
    <hyperlink ref="E544" r:id="rId612" xr:uid="{00000000-0004-0000-0300-000063020000}"/>
    <hyperlink ref="E545" r:id="rId613" xr:uid="{00000000-0004-0000-0300-000064020000}"/>
    <hyperlink ref="E546" r:id="rId614" xr:uid="{00000000-0004-0000-0300-000065020000}"/>
    <hyperlink ref="E547" r:id="rId615" xr:uid="{00000000-0004-0000-0300-000066020000}"/>
    <hyperlink ref="E548" r:id="rId616" xr:uid="{00000000-0004-0000-0300-000067020000}"/>
    <hyperlink ref="E549" r:id="rId617" xr:uid="{00000000-0004-0000-0300-000068020000}"/>
    <hyperlink ref="E550" r:id="rId618" xr:uid="{00000000-0004-0000-0300-000069020000}"/>
    <hyperlink ref="E551" r:id="rId619" xr:uid="{00000000-0004-0000-0300-00006A020000}"/>
    <hyperlink ref="E552" r:id="rId620" xr:uid="{00000000-0004-0000-0300-00006B020000}"/>
    <hyperlink ref="E553" r:id="rId621" xr:uid="{00000000-0004-0000-0300-00006C020000}"/>
    <hyperlink ref="E554" r:id="rId622" xr:uid="{00000000-0004-0000-0300-00006D020000}"/>
    <hyperlink ref="E555" r:id="rId623" xr:uid="{00000000-0004-0000-0300-00006E020000}"/>
    <hyperlink ref="E556" r:id="rId624" xr:uid="{00000000-0004-0000-0300-00006F020000}"/>
    <hyperlink ref="E557" r:id="rId625" xr:uid="{00000000-0004-0000-0300-000070020000}"/>
    <hyperlink ref="E558" r:id="rId626" xr:uid="{00000000-0004-0000-0300-000071020000}"/>
    <hyperlink ref="E559" r:id="rId627" xr:uid="{00000000-0004-0000-0300-000072020000}"/>
    <hyperlink ref="E560" r:id="rId628" xr:uid="{00000000-0004-0000-0300-000073020000}"/>
    <hyperlink ref="E561" r:id="rId629" xr:uid="{00000000-0004-0000-0300-000074020000}"/>
    <hyperlink ref="E562" r:id="rId630" xr:uid="{00000000-0004-0000-0300-000075020000}"/>
    <hyperlink ref="E563" r:id="rId631" xr:uid="{00000000-0004-0000-0300-000076020000}"/>
    <hyperlink ref="E564" r:id="rId632" xr:uid="{00000000-0004-0000-0300-000077020000}"/>
    <hyperlink ref="E565" r:id="rId633" xr:uid="{00000000-0004-0000-0300-000078020000}"/>
    <hyperlink ref="E566" r:id="rId634" xr:uid="{00000000-0004-0000-0300-000079020000}"/>
    <hyperlink ref="E567" r:id="rId635" xr:uid="{00000000-0004-0000-0300-00007A020000}"/>
    <hyperlink ref="E568" r:id="rId636" xr:uid="{00000000-0004-0000-0300-00007B020000}"/>
    <hyperlink ref="E569" r:id="rId637" xr:uid="{00000000-0004-0000-0300-00007C020000}"/>
    <hyperlink ref="E571" r:id="rId638" xr:uid="{00000000-0004-0000-0300-00007D020000}"/>
    <hyperlink ref="G571" r:id="rId639" xr:uid="{00000000-0004-0000-0300-00007E020000}"/>
    <hyperlink ref="E572" r:id="rId640" xr:uid="{00000000-0004-0000-0300-00007F020000}"/>
    <hyperlink ref="G572" r:id="rId641" xr:uid="{00000000-0004-0000-0300-000080020000}"/>
    <hyperlink ref="E573" r:id="rId642" xr:uid="{00000000-0004-0000-0300-000081020000}"/>
    <hyperlink ref="G573" r:id="rId643" xr:uid="{00000000-0004-0000-0300-000082020000}"/>
    <hyperlink ref="E574" r:id="rId644" xr:uid="{00000000-0004-0000-0300-000083020000}"/>
    <hyperlink ref="E575" r:id="rId645" xr:uid="{00000000-0004-0000-0300-000084020000}"/>
    <hyperlink ref="E576" r:id="rId646" xr:uid="{00000000-0004-0000-0300-000085020000}"/>
    <hyperlink ref="E577" r:id="rId647" xr:uid="{00000000-0004-0000-0300-000086020000}"/>
    <hyperlink ref="E578" r:id="rId648" xr:uid="{00000000-0004-0000-0300-000087020000}"/>
    <hyperlink ref="E579" r:id="rId649" xr:uid="{00000000-0004-0000-0300-000088020000}"/>
    <hyperlink ref="E580" r:id="rId650" xr:uid="{00000000-0004-0000-0300-000089020000}"/>
    <hyperlink ref="E581" r:id="rId651" xr:uid="{00000000-0004-0000-0300-00008A020000}"/>
    <hyperlink ref="E582" r:id="rId652" xr:uid="{00000000-0004-0000-0300-00008B020000}"/>
    <hyperlink ref="E583" r:id="rId653" xr:uid="{00000000-0004-0000-0300-00008C020000}"/>
    <hyperlink ref="E584" r:id="rId654" xr:uid="{00000000-0004-0000-0300-00008D020000}"/>
    <hyperlink ref="E585" r:id="rId655" xr:uid="{00000000-0004-0000-0300-00008E020000}"/>
    <hyperlink ref="E586" r:id="rId656" xr:uid="{00000000-0004-0000-0300-00008F020000}"/>
    <hyperlink ref="E587" r:id="rId657" xr:uid="{00000000-0004-0000-0300-000090020000}"/>
    <hyperlink ref="E588" r:id="rId658" xr:uid="{00000000-0004-0000-0300-000091020000}"/>
    <hyperlink ref="E589" r:id="rId659" xr:uid="{00000000-0004-0000-0300-000092020000}"/>
    <hyperlink ref="E590" r:id="rId660" xr:uid="{00000000-0004-0000-0300-000093020000}"/>
    <hyperlink ref="E591" r:id="rId661" xr:uid="{00000000-0004-0000-0300-000094020000}"/>
    <hyperlink ref="E592" r:id="rId662" xr:uid="{00000000-0004-0000-0300-000095020000}"/>
    <hyperlink ref="E593" r:id="rId663" xr:uid="{00000000-0004-0000-0300-000096020000}"/>
    <hyperlink ref="E594" r:id="rId664" xr:uid="{00000000-0004-0000-0300-000097020000}"/>
    <hyperlink ref="E595" r:id="rId665" xr:uid="{00000000-0004-0000-0300-000098020000}"/>
    <hyperlink ref="E597" r:id="rId666" xr:uid="{00000000-0004-0000-0300-000099020000}"/>
    <hyperlink ref="E598" r:id="rId667" xr:uid="{00000000-0004-0000-0300-00009A020000}"/>
    <hyperlink ref="E599" r:id="rId668" xr:uid="{00000000-0004-0000-0300-00009B020000}"/>
    <hyperlink ref="E600" r:id="rId669" xr:uid="{00000000-0004-0000-0300-00009C020000}"/>
    <hyperlink ref="E601" r:id="rId670" xr:uid="{00000000-0004-0000-0300-00009D020000}"/>
    <hyperlink ref="E602" r:id="rId671" xr:uid="{00000000-0004-0000-0300-00009E020000}"/>
    <hyperlink ref="E603" r:id="rId672" xr:uid="{00000000-0004-0000-0300-00009F020000}"/>
    <hyperlink ref="E604" r:id="rId673" xr:uid="{00000000-0004-0000-0300-0000A0020000}"/>
    <hyperlink ref="E605" r:id="rId674" xr:uid="{00000000-0004-0000-0300-0000A1020000}"/>
    <hyperlink ref="E606" r:id="rId675" xr:uid="{00000000-0004-0000-0300-0000A2020000}"/>
    <hyperlink ref="E607" r:id="rId676" xr:uid="{00000000-0004-0000-0300-0000A3020000}"/>
    <hyperlink ref="E608" r:id="rId677" xr:uid="{00000000-0004-0000-0300-0000A4020000}"/>
    <hyperlink ref="E609" r:id="rId678" xr:uid="{00000000-0004-0000-0300-0000A5020000}"/>
    <hyperlink ref="E610" r:id="rId679" xr:uid="{00000000-0004-0000-0300-0000A6020000}"/>
    <hyperlink ref="E611" r:id="rId680" xr:uid="{00000000-0004-0000-0300-0000A7020000}"/>
    <hyperlink ref="E612" r:id="rId681" xr:uid="{00000000-0004-0000-0300-0000A8020000}"/>
    <hyperlink ref="E613" r:id="rId682" xr:uid="{00000000-0004-0000-0300-0000A9020000}"/>
    <hyperlink ref="E614" r:id="rId683" xr:uid="{00000000-0004-0000-0300-0000AA020000}"/>
    <hyperlink ref="E615" r:id="rId684" xr:uid="{00000000-0004-0000-0300-0000AB020000}"/>
    <hyperlink ref="E616" r:id="rId685" xr:uid="{00000000-0004-0000-0300-0000AC020000}"/>
    <hyperlink ref="E617" r:id="rId686" xr:uid="{00000000-0004-0000-0300-0000AD020000}"/>
    <hyperlink ref="E618" r:id="rId687" xr:uid="{00000000-0004-0000-0300-0000AE020000}"/>
    <hyperlink ref="E620" r:id="rId688" xr:uid="{00000000-0004-0000-0300-0000AF020000}"/>
    <hyperlink ref="G620" r:id="rId689" xr:uid="{00000000-0004-0000-0300-0000B0020000}"/>
    <hyperlink ref="E621" r:id="rId690" xr:uid="{00000000-0004-0000-0300-0000B1020000}"/>
    <hyperlink ref="G621" r:id="rId691" xr:uid="{00000000-0004-0000-0300-0000B2020000}"/>
    <hyperlink ref="E622" r:id="rId692" xr:uid="{00000000-0004-0000-0300-0000B3020000}"/>
    <hyperlink ref="G622" r:id="rId693" xr:uid="{00000000-0004-0000-0300-0000B4020000}"/>
    <hyperlink ref="E623" r:id="rId694" xr:uid="{00000000-0004-0000-0300-0000B5020000}"/>
    <hyperlink ref="E624" r:id="rId695" xr:uid="{00000000-0004-0000-0300-0000B6020000}"/>
    <hyperlink ref="E625" r:id="rId696" xr:uid="{00000000-0004-0000-0300-0000B7020000}"/>
    <hyperlink ref="E626" r:id="rId697" xr:uid="{00000000-0004-0000-0300-0000B8020000}"/>
    <hyperlink ref="E627" r:id="rId698" xr:uid="{00000000-0004-0000-0300-0000B9020000}"/>
    <hyperlink ref="E628" r:id="rId699" xr:uid="{00000000-0004-0000-0300-0000BA020000}"/>
    <hyperlink ref="E629" r:id="rId700" xr:uid="{00000000-0004-0000-0300-0000BB020000}"/>
    <hyperlink ref="E630" r:id="rId701" xr:uid="{00000000-0004-0000-0300-0000BC020000}"/>
    <hyperlink ref="E631" r:id="rId702" xr:uid="{00000000-0004-0000-0300-0000BD020000}"/>
    <hyperlink ref="E632" r:id="rId703" xr:uid="{00000000-0004-0000-0300-0000BE020000}"/>
    <hyperlink ref="E633" r:id="rId704" xr:uid="{00000000-0004-0000-0300-0000BF020000}"/>
    <hyperlink ref="E634" r:id="rId705" xr:uid="{00000000-0004-0000-0300-0000C0020000}"/>
    <hyperlink ref="E635" r:id="rId706" xr:uid="{00000000-0004-0000-0300-0000C1020000}"/>
    <hyperlink ref="E636" r:id="rId707" xr:uid="{00000000-0004-0000-0300-0000C2020000}"/>
    <hyperlink ref="E637" r:id="rId708" xr:uid="{00000000-0004-0000-0300-0000C3020000}"/>
    <hyperlink ref="E638" r:id="rId709" xr:uid="{00000000-0004-0000-0300-0000C4020000}"/>
    <hyperlink ref="E639" r:id="rId710" xr:uid="{00000000-0004-0000-0300-0000C5020000}"/>
    <hyperlink ref="E640" r:id="rId711" xr:uid="{00000000-0004-0000-0300-0000C6020000}"/>
    <hyperlink ref="E641" r:id="rId712" xr:uid="{00000000-0004-0000-0300-0000C7020000}"/>
    <hyperlink ref="E642" r:id="rId713" xr:uid="{00000000-0004-0000-0300-0000C8020000}"/>
    <hyperlink ref="E643" r:id="rId714" xr:uid="{00000000-0004-0000-0300-0000C9020000}"/>
    <hyperlink ref="E644" r:id="rId715" xr:uid="{00000000-0004-0000-0300-0000CA020000}"/>
    <hyperlink ref="E645" r:id="rId716" xr:uid="{00000000-0004-0000-0300-0000CB020000}"/>
    <hyperlink ref="E646" r:id="rId717" xr:uid="{00000000-0004-0000-0300-0000CC020000}"/>
    <hyperlink ref="E647" r:id="rId718" xr:uid="{00000000-0004-0000-0300-0000CD020000}"/>
    <hyperlink ref="E648" r:id="rId719" xr:uid="{00000000-0004-0000-0300-0000CE020000}"/>
    <hyperlink ref="E650" r:id="rId720" xr:uid="{00000000-0004-0000-0300-0000CF020000}"/>
    <hyperlink ref="G650" r:id="rId721" xr:uid="{00000000-0004-0000-0300-0000D0020000}"/>
    <hyperlink ref="E651" r:id="rId722" xr:uid="{00000000-0004-0000-0300-0000D1020000}"/>
    <hyperlink ref="G651" r:id="rId723" xr:uid="{00000000-0004-0000-0300-0000D2020000}"/>
    <hyperlink ref="E652" r:id="rId724" xr:uid="{00000000-0004-0000-0300-0000D3020000}"/>
    <hyperlink ref="G652" r:id="rId725" xr:uid="{00000000-0004-0000-0300-0000D4020000}"/>
    <hyperlink ref="E653" r:id="rId726" xr:uid="{00000000-0004-0000-0300-0000D5020000}"/>
    <hyperlink ref="G653" r:id="rId727" xr:uid="{00000000-0004-0000-0300-0000D6020000}"/>
    <hyperlink ref="E654" r:id="rId728" xr:uid="{00000000-0004-0000-0300-0000D7020000}"/>
    <hyperlink ref="E655" r:id="rId729" xr:uid="{00000000-0004-0000-0300-0000D8020000}"/>
    <hyperlink ref="E656" r:id="rId730" xr:uid="{00000000-0004-0000-0300-0000D9020000}"/>
    <hyperlink ref="E657" r:id="rId731" xr:uid="{00000000-0004-0000-0300-0000DA020000}"/>
    <hyperlink ref="E658" r:id="rId732" xr:uid="{00000000-0004-0000-0300-0000DB020000}"/>
    <hyperlink ref="E659" r:id="rId733" xr:uid="{00000000-0004-0000-0300-0000DC020000}"/>
    <hyperlink ref="E660" r:id="rId734" xr:uid="{00000000-0004-0000-0300-0000DD020000}"/>
    <hyperlink ref="E661" r:id="rId735" xr:uid="{00000000-0004-0000-0300-0000DE020000}"/>
    <hyperlink ref="E662" r:id="rId736" xr:uid="{00000000-0004-0000-0300-0000DF020000}"/>
    <hyperlink ref="E663" r:id="rId737" xr:uid="{00000000-0004-0000-0300-0000E0020000}"/>
    <hyperlink ref="E664" r:id="rId738" xr:uid="{00000000-0004-0000-0300-0000E1020000}"/>
    <hyperlink ref="E665" r:id="rId739" xr:uid="{00000000-0004-0000-0300-0000E2020000}"/>
    <hyperlink ref="E666" r:id="rId740" xr:uid="{00000000-0004-0000-0300-0000E3020000}"/>
    <hyperlink ref="E667" r:id="rId741" xr:uid="{00000000-0004-0000-0300-0000E4020000}"/>
    <hyperlink ref="E668" r:id="rId742" xr:uid="{00000000-0004-0000-0300-0000E5020000}"/>
    <hyperlink ref="E669" r:id="rId743" xr:uid="{00000000-0004-0000-0300-0000E6020000}"/>
    <hyperlink ref="E670" r:id="rId744" xr:uid="{00000000-0004-0000-0300-0000E7020000}"/>
    <hyperlink ref="E671" r:id="rId745" xr:uid="{00000000-0004-0000-0300-0000E8020000}"/>
    <hyperlink ref="E672" r:id="rId746" xr:uid="{00000000-0004-0000-0300-0000E9020000}"/>
    <hyperlink ref="E673" r:id="rId747" xr:uid="{00000000-0004-0000-0300-0000EA020000}"/>
    <hyperlink ref="E674" r:id="rId748" xr:uid="{00000000-0004-0000-0300-0000EB020000}"/>
    <hyperlink ref="E675" r:id="rId749" xr:uid="{00000000-0004-0000-0300-0000EC020000}"/>
    <hyperlink ref="E676" r:id="rId750" xr:uid="{00000000-0004-0000-0300-0000ED020000}"/>
    <hyperlink ref="E677" r:id="rId751" xr:uid="{00000000-0004-0000-0300-0000EE020000}"/>
    <hyperlink ref="E678" r:id="rId752" xr:uid="{00000000-0004-0000-0300-0000EF020000}"/>
    <hyperlink ref="E679" r:id="rId753" xr:uid="{00000000-0004-0000-0300-0000F0020000}"/>
    <hyperlink ref="E680" r:id="rId754" xr:uid="{00000000-0004-0000-0300-0000F1020000}"/>
    <hyperlink ref="E681" r:id="rId755" xr:uid="{00000000-0004-0000-0300-0000F2020000}"/>
    <hyperlink ref="E682" r:id="rId756" xr:uid="{00000000-0004-0000-0300-0000F3020000}"/>
    <hyperlink ref="E683" r:id="rId757" xr:uid="{00000000-0004-0000-0300-0000F4020000}"/>
    <hyperlink ref="E684" r:id="rId758" xr:uid="{00000000-0004-0000-0300-0000F5020000}"/>
    <hyperlink ref="E685" r:id="rId759" xr:uid="{00000000-0004-0000-0300-0000F6020000}"/>
    <hyperlink ref="E686" r:id="rId760" xr:uid="{00000000-0004-0000-0300-0000F7020000}"/>
    <hyperlink ref="E687" r:id="rId761" xr:uid="{00000000-0004-0000-0300-0000F8020000}"/>
    <hyperlink ref="E688" r:id="rId762" xr:uid="{00000000-0004-0000-0300-0000F9020000}"/>
    <hyperlink ref="E689" r:id="rId763" xr:uid="{00000000-0004-0000-0300-0000FA020000}"/>
    <hyperlink ref="E690" r:id="rId764" xr:uid="{00000000-0004-0000-0300-0000FB020000}"/>
    <hyperlink ref="E691" r:id="rId765" xr:uid="{00000000-0004-0000-0300-0000FC020000}"/>
    <hyperlink ref="E692" r:id="rId766" xr:uid="{00000000-0004-0000-0300-0000FD020000}"/>
    <hyperlink ref="E693" r:id="rId767" xr:uid="{00000000-0004-0000-0300-0000FE020000}"/>
    <hyperlink ref="E694" r:id="rId768" xr:uid="{00000000-0004-0000-0300-0000FF020000}"/>
    <hyperlink ref="E695" r:id="rId769" xr:uid="{00000000-0004-0000-0300-000000030000}"/>
    <hyperlink ref="E696" r:id="rId770" xr:uid="{00000000-0004-0000-0300-000001030000}"/>
    <hyperlink ref="E697" r:id="rId771" xr:uid="{00000000-0004-0000-0300-000002030000}"/>
    <hyperlink ref="E698" r:id="rId772" xr:uid="{00000000-0004-0000-0300-000003030000}"/>
    <hyperlink ref="E699" r:id="rId773" xr:uid="{00000000-0004-0000-0300-000004030000}"/>
    <hyperlink ref="E700" r:id="rId774" xr:uid="{00000000-0004-0000-0300-000005030000}"/>
    <hyperlink ref="E701" r:id="rId775" xr:uid="{00000000-0004-0000-0300-000006030000}"/>
    <hyperlink ref="E702" r:id="rId776" xr:uid="{00000000-0004-0000-0300-000007030000}"/>
    <hyperlink ref="E704" r:id="rId777" xr:uid="{00000000-0004-0000-0300-000008030000}"/>
    <hyperlink ref="G704" r:id="rId778" xr:uid="{00000000-0004-0000-0300-000009030000}"/>
    <hyperlink ref="E705" r:id="rId779" xr:uid="{00000000-0004-0000-0300-00000A030000}"/>
    <hyperlink ref="G705" r:id="rId780" xr:uid="{00000000-0004-0000-0300-00000B030000}"/>
    <hyperlink ref="E706" r:id="rId781" xr:uid="{00000000-0004-0000-0300-00000C030000}"/>
    <hyperlink ref="G706" r:id="rId782" xr:uid="{00000000-0004-0000-0300-00000D030000}"/>
    <hyperlink ref="E707" r:id="rId783" xr:uid="{00000000-0004-0000-0300-00000E030000}"/>
    <hyperlink ref="E708" r:id="rId784" xr:uid="{00000000-0004-0000-0300-00000F030000}"/>
    <hyperlink ref="E709" r:id="rId785" xr:uid="{00000000-0004-0000-0300-000010030000}"/>
    <hyperlink ref="E710" r:id="rId786" xr:uid="{00000000-0004-0000-0300-000011030000}"/>
    <hyperlink ref="E711" r:id="rId787" xr:uid="{00000000-0004-0000-0300-000012030000}"/>
    <hyperlink ref="E712" r:id="rId788" xr:uid="{00000000-0004-0000-0300-000013030000}"/>
    <hyperlink ref="E713" r:id="rId789" xr:uid="{00000000-0004-0000-0300-000014030000}"/>
    <hyperlink ref="E714" r:id="rId790" xr:uid="{00000000-0004-0000-0300-000015030000}"/>
    <hyperlink ref="E715" r:id="rId791" xr:uid="{00000000-0004-0000-0300-000016030000}"/>
    <hyperlink ref="E716" r:id="rId792" xr:uid="{00000000-0004-0000-0300-000017030000}"/>
    <hyperlink ref="E717" r:id="rId793" xr:uid="{00000000-0004-0000-0300-000018030000}"/>
    <hyperlink ref="E718" r:id="rId794" xr:uid="{00000000-0004-0000-0300-000019030000}"/>
    <hyperlink ref="E719" r:id="rId795" xr:uid="{00000000-0004-0000-0300-00001A030000}"/>
    <hyperlink ref="E720" r:id="rId796" xr:uid="{00000000-0004-0000-0300-00001B030000}"/>
    <hyperlink ref="E721" r:id="rId797" xr:uid="{00000000-0004-0000-0300-00001C030000}"/>
    <hyperlink ref="E722" r:id="rId798" xr:uid="{00000000-0004-0000-0300-00001D030000}"/>
    <hyperlink ref="E723" r:id="rId799" xr:uid="{00000000-0004-0000-0300-00001E030000}"/>
    <hyperlink ref="E724" r:id="rId800" xr:uid="{00000000-0004-0000-0300-00001F030000}"/>
    <hyperlink ref="E725" r:id="rId801" xr:uid="{00000000-0004-0000-0300-000020030000}"/>
    <hyperlink ref="E726" r:id="rId802" xr:uid="{00000000-0004-0000-0300-000021030000}"/>
    <hyperlink ref="E727" r:id="rId803" xr:uid="{00000000-0004-0000-0300-000022030000}"/>
    <hyperlink ref="E728" r:id="rId804" xr:uid="{00000000-0004-0000-0300-000023030000}"/>
    <hyperlink ref="E729" r:id="rId805" xr:uid="{00000000-0004-0000-0300-000024030000}"/>
    <hyperlink ref="E730" r:id="rId806" xr:uid="{00000000-0004-0000-0300-000025030000}"/>
    <hyperlink ref="E731" r:id="rId807" xr:uid="{00000000-0004-0000-0300-000026030000}"/>
    <hyperlink ref="E732" r:id="rId808" xr:uid="{00000000-0004-0000-0300-000027030000}"/>
    <hyperlink ref="E734" r:id="rId809" xr:uid="{00000000-0004-0000-0300-000028030000}"/>
    <hyperlink ref="G734" r:id="rId810" xr:uid="{00000000-0004-0000-0300-000029030000}"/>
    <hyperlink ref="E735" r:id="rId811" xr:uid="{00000000-0004-0000-0300-00002A030000}"/>
    <hyperlink ref="E736" r:id="rId812" xr:uid="{00000000-0004-0000-0300-00002B030000}"/>
    <hyperlink ref="E737" r:id="rId813" xr:uid="{00000000-0004-0000-0300-00002C030000}"/>
    <hyperlink ref="E738" r:id="rId814" xr:uid="{00000000-0004-0000-0300-00002D030000}"/>
    <hyperlink ref="E739" r:id="rId815" xr:uid="{00000000-0004-0000-0300-00002E030000}"/>
    <hyperlink ref="E740" r:id="rId816" xr:uid="{00000000-0004-0000-0300-00002F030000}"/>
    <hyperlink ref="E741" r:id="rId817" xr:uid="{00000000-0004-0000-0300-000030030000}"/>
    <hyperlink ref="E742" r:id="rId818" xr:uid="{00000000-0004-0000-0300-000031030000}"/>
    <hyperlink ref="E743" r:id="rId819" xr:uid="{00000000-0004-0000-0300-000032030000}"/>
    <hyperlink ref="E744" r:id="rId820" xr:uid="{00000000-0004-0000-0300-000033030000}"/>
    <hyperlink ref="E745" r:id="rId821" xr:uid="{00000000-0004-0000-0300-000034030000}"/>
    <hyperlink ref="E746" r:id="rId822" xr:uid="{00000000-0004-0000-0300-000035030000}"/>
    <hyperlink ref="E747" r:id="rId823" xr:uid="{00000000-0004-0000-0300-000036030000}"/>
    <hyperlink ref="E749" r:id="rId824" xr:uid="{00000000-0004-0000-0300-000037030000}"/>
    <hyperlink ref="G749" r:id="rId825" xr:uid="{00000000-0004-0000-0300-000038030000}"/>
    <hyperlink ref="E750" r:id="rId826" xr:uid="{00000000-0004-0000-0300-000039030000}"/>
    <hyperlink ref="E751" r:id="rId827" xr:uid="{00000000-0004-0000-0300-00003A030000}"/>
    <hyperlink ref="E752" r:id="rId828" xr:uid="{00000000-0004-0000-0300-00003B030000}"/>
    <hyperlink ref="E753" r:id="rId829" xr:uid="{00000000-0004-0000-0300-00003C030000}"/>
    <hyperlink ref="E754" r:id="rId830" xr:uid="{00000000-0004-0000-0300-00003D030000}"/>
    <hyperlink ref="E755" r:id="rId831" xr:uid="{00000000-0004-0000-0300-00003E030000}"/>
    <hyperlink ref="E756" r:id="rId832" xr:uid="{00000000-0004-0000-0300-00003F030000}"/>
    <hyperlink ref="E757" r:id="rId833" xr:uid="{00000000-0004-0000-0300-000040030000}"/>
    <hyperlink ref="E758" r:id="rId834" xr:uid="{00000000-0004-0000-0300-000041030000}"/>
    <hyperlink ref="E759" r:id="rId835" xr:uid="{00000000-0004-0000-0300-000042030000}"/>
    <hyperlink ref="E760" r:id="rId836" xr:uid="{00000000-0004-0000-0300-000043030000}"/>
    <hyperlink ref="E761" r:id="rId837" xr:uid="{00000000-0004-0000-0300-000044030000}"/>
    <hyperlink ref="E762" r:id="rId838" xr:uid="{00000000-0004-0000-0300-000045030000}"/>
    <hyperlink ref="E763" r:id="rId839" xr:uid="{00000000-0004-0000-0300-000046030000}"/>
    <hyperlink ref="E764" r:id="rId840" xr:uid="{00000000-0004-0000-0300-000047030000}"/>
    <hyperlink ref="E765" r:id="rId841" xr:uid="{00000000-0004-0000-0300-000048030000}"/>
    <hyperlink ref="E766" r:id="rId842" xr:uid="{00000000-0004-0000-0300-000049030000}"/>
    <hyperlink ref="E767" r:id="rId843" xr:uid="{00000000-0004-0000-0300-00004A030000}"/>
    <hyperlink ref="E768" r:id="rId844" xr:uid="{00000000-0004-0000-0300-00004B030000}"/>
    <hyperlink ref="E770" r:id="rId845" xr:uid="{00000000-0004-0000-0300-00004C030000}"/>
    <hyperlink ref="G770" r:id="rId846" xr:uid="{00000000-0004-0000-0300-00004D030000}"/>
    <hyperlink ref="E771" r:id="rId847" xr:uid="{00000000-0004-0000-0300-00004E030000}"/>
    <hyperlink ref="G771" r:id="rId848" xr:uid="{00000000-0004-0000-0300-00004F030000}"/>
    <hyperlink ref="E772" r:id="rId849" xr:uid="{00000000-0004-0000-0300-000050030000}"/>
    <hyperlink ref="G772" r:id="rId850" xr:uid="{00000000-0004-0000-0300-000051030000}"/>
    <hyperlink ref="E773" r:id="rId851" xr:uid="{00000000-0004-0000-0300-000052030000}"/>
    <hyperlink ref="E774" r:id="rId852" xr:uid="{00000000-0004-0000-0300-000053030000}"/>
    <hyperlink ref="E775" r:id="rId853" xr:uid="{00000000-0004-0000-0300-000054030000}"/>
    <hyperlink ref="E776" r:id="rId854" xr:uid="{00000000-0004-0000-0300-000055030000}"/>
    <hyperlink ref="E777" r:id="rId855" xr:uid="{00000000-0004-0000-0300-000056030000}"/>
    <hyperlink ref="E778" r:id="rId856" xr:uid="{00000000-0004-0000-0300-000057030000}"/>
    <hyperlink ref="E779" r:id="rId857" xr:uid="{00000000-0004-0000-0300-000058030000}"/>
    <hyperlink ref="E780" r:id="rId858" xr:uid="{00000000-0004-0000-0300-000059030000}"/>
    <hyperlink ref="E781" r:id="rId859" xr:uid="{00000000-0004-0000-0300-00005A030000}"/>
    <hyperlink ref="E782" r:id="rId860" xr:uid="{00000000-0004-0000-0300-00005B030000}"/>
    <hyperlink ref="E783" r:id="rId861" xr:uid="{00000000-0004-0000-0300-00005C030000}"/>
    <hyperlink ref="E784" r:id="rId862" xr:uid="{00000000-0004-0000-0300-00005D030000}"/>
    <hyperlink ref="E785" r:id="rId863" xr:uid="{00000000-0004-0000-0300-00005E030000}"/>
    <hyperlink ref="E786" r:id="rId864" xr:uid="{00000000-0004-0000-0300-00005F030000}"/>
    <hyperlink ref="E787" r:id="rId865" xr:uid="{00000000-0004-0000-0300-000060030000}"/>
    <hyperlink ref="E788" r:id="rId866" xr:uid="{00000000-0004-0000-0300-000061030000}"/>
    <hyperlink ref="E789" r:id="rId867" xr:uid="{00000000-0004-0000-0300-000062030000}"/>
    <hyperlink ref="E790" r:id="rId868" xr:uid="{00000000-0004-0000-0300-000063030000}"/>
    <hyperlink ref="E791" r:id="rId869" xr:uid="{00000000-0004-0000-0300-000064030000}"/>
    <hyperlink ref="E792" r:id="rId870" xr:uid="{00000000-0004-0000-0300-000065030000}"/>
    <hyperlink ref="E794" r:id="rId871" xr:uid="{00000000-0004-0000-0300-000066030000}"/>
    <hyperlink ref="G794" r:id="rId872" xr:uid="{00000000-0004-0000-0300-000067030000}"/>
    <hyperlink ref="E795" r:id="rId873" xr:uid="{00000000-0004-0000-0300-000068030000}"/>
    <hyperlink ref="G795" r:id="rId874" xr:uid="{00000000-0004-0000-0300-000069030000}"/>
    <hyperlink ref="E796" r:id="rId875" xr:uid="{00000000-0004-0000-0300-00006A030000}"/>
    <hyperlink ref="E797" r:id="rId876" xr:uid="{00000000-0004-0000-0300-00006B030000}"/>
    <hyperlink ref="E798" r:id="rId877" xr:uid="{00000000-0004-0000-0300-00006C030000}"/>
    <hyperlink ref="E799" r:id="rId878" xr:uid="{00000000-0004-0000-0300-00006D030000}"/>
    <hyperlink ref="E800" r:id="rId879" xr:uid="{00000000-0004-0000-0300-00006E030000}"/>
    <hyperlink ref="E801" r:id="rId880" xr:uid="{00000000-0004-0000-0300-00006F030000}"/>
    <hyperlink ref="E802" r:id="rId881" xr:uid="{00000000-0004-0000-0300-000070030000}"/>
    <hyperlink ref="E803" r:id="rId882" xr:uid="{00000000-0004-0000-0300-000071030000}"/>
    <hyperlink ref="E804" r:id="rId883" xr:uid="{00000000-0004-0000-0300-000072030000}"/>
    <hyperlink ref="E805" r:id="rId884" xr:uid="{00000000-0004-0000-0300-000073030000}"/>
    <hyperlink ref="E806" r:id="rId885" xr:uid="{00000000-0004-0000-0300-000074030000}"/>
    <hyperlink ref="E807" r:id="rId886" xr:uid="{00000000-0004-0000-0300-000075030000}"/>
    <hyperlink ref="E808" r:id="rId887" xr:uid="{00000000-0004-0000-0300-000076030000}"/>
    <hyperlink ref="E809" r:id="rId888" xr:uid="{00000000-0004-0000-0300-000077030000}"/>
    <hyperlink ref="E810" r:id="rId889" xr:uid="{00000000-0004-0000-0300-000078030000}"/>
    <hyperlink ref="E811" r:id="rId890" xr:uid="{00000000-0004-0000-0300-000079030000}"/>
    <hyperlink ref="E812" r:id="rId891" xr:uid="{00000000-0004-0000-0300-00007A030000}"/>
    <hyperlink ref="E813" r:id="rId892" xr:uid="{00000000-0004-0000-0300-00007B030000}"/>
    <hyperlink ref="E814" r:id="rId893" xr:uid="{00000000-0004-0000-0300-00007C030000}"/>
    <hyperlink ref="E815" r:id="rId894" xr:uid="{00000000-0004-0000-0300-00007D030000}"/>
    <hyperlink ref="E816" r:id="rId895" xr:uid="{00000000-0004-0000-0300-00007E030000}"/>
    <hyperlink ref="E817" r:id="rId896" xr:uid="{00000000-0004-0000-0300-00007F030000}"/>
    <hyperlink ref="E818" r:id="rId897" xr:uid="{00000000-0004-0000-0300-000080030000}"/>
    <hyperlink ref="E819" r:id="rId898" xr:uid="{00000000-0004-0000-0300-000081030000}"/>
    <hyperlink ref="E820" r:id="rId899" xr:uid="{00000000-0004-0000-0300-000082030000}"/>
    <hyperlink ref="E821" r:id="rId900" xr:uid="{00000000-0004-0000-0300-000083030000}"/>
    <hyperlink ref="E822" r:id="rId901" xr:uid="{00000000-0004-0000-0300-000084030000}"/>
    <hyperlink ref="E823" r:id="rId902" xr:uid="{00000000-0004-0000-0300-000085030000}"/>
    <hyperlink ref="E824" r:id="rId903" xr:uid="{00000000-0004-0000-0300-000086030000}"/>
    <hyperlink ref="E825" r:id="rId904" xr:uid="{00000000-0004-0000-0300-000087030000}"/>
    <hyperlink ref="E827" r:id="rId905" xr:uid="{00000000-0004-0000-0300-000088030000}"/>
    <hyperlink ref="G827" r:id="rId906" xr:uid="{00000000-0004-0000-0300-000089030000}"/>
    <hyperlink ref="E828" r:id="rId907" xr:uid="{00000000-0004-0000-0300-00008A030000}"/>
    <hyperlink ref="G828" r:id="rId908" xr:uid="{00000000-0004-0000-0300-00008B030000}"/>
    <hyperlink ref="E829" r:id="rId909" xr:uid="{00000000-0004-0000-0300-00008C030000}"/>
    <hyperlink ref="G829" r:id="rId910" xr:uid="{00000000-0004-0000-0300-00008D030000}"/>
    <hyperlink ref="E830" r:id="rId911" xr:uid="{00000000-0004-0000-0300-00008E030000}"/>
    <hyperlink ref="G830" r:id="rId912" xr:uid="{00000000-0004-0000-0300-00008F030000}"/>
    <hyperlink ref="E831" r:id="rId913" xr:uid="{00000000-0004-0000-0300-000090030000}"/>
    <hyperlink ref="G831" r:id="rId914" xr:uid="{00000000-0004-0000-0300-000091030000}"/>
    <hyperlink ref="E832" r:id="rId915" xr:uid="{00000000-0004-0000-0300-000092030000}"/>
    <hyperlink ref="E833" r:id="rId916" xr:uid="{00000000-0004-0000-0300-000093030000}"/>
    <hyperlink ref="E834" r:id="rId917" xr:uid="{00000000-0004-0000-0300-000094030000}"/>
    <hyperlink ref="E835" r:id="rId918" xr:uid="{00000000-0004-0000-0300-000095030000}"/>
    <hyperlink ref="E836" r:id="rId919" xr:uid="{00000000-0004-0000-0300-000096030000}"/>
    <hyperlink ref="E837" r:id="rId920" xr:uid="{00000000-0004-0000-0300-000097030000}"/>
    <hyperlink ref="E838" r:id="rId921" xr:uid="{00000000-0004-0000-0300-000098030000}"/>
    <hyperlink ref="E839" r:id="rId922" xr:uid="{00000000-0004-0000-0300-000099030000}"/>
    <hyperlink ref="E840" r:id="rId923" xr:uid="{00000000-0004-0000-0300-00009A030000}"/>
    <hyperlink ref="E842" r:id="rId924" xr:uid="{00000000-0004-0000-0300-00009B030000}"/>
    <hyperlink ref="E848" r:id="rId925" xr:uid="{00000000-0004-0000-0300-00009C030000}"/>
    <hyperlink ref="E849" r:id="rId926" xr:uid="{00000000-0004-0000-0300-00009D030000}"/>
    <hyperlink ref="E856" r:id="rId927" xr:uid="{00000000-0004-0000-0300-00009E030000}"/>
    <hyperlink ref="E857" r:id="rId928" xr:uid="{00000000-0004-0000-0300-00009F030000}"/>
    <hyperlink ref="E858" r:id="rId929" xr:uid="{00000000-0004-0000-0300-0000A0030000}"/>
    <hyperlink ref="E859" r:id="rId930" xr:uid="{00000000-0004-0000-0300-0000A1030000}"/>
    <hyperlink ref="E860" r:id="rId931" xr:uid="{00000000-0004-0000-0300-0000A2030000}"/>
    <hyperlink ref="E861" r:id="rId932" xr:uid="{00000000-0004-0000-0300-0000A3030000}"/>
    <hyperlink ref="E862" r:id="rId933" xr:uid="{00000000-0004-0000-0300-0000A4030000}"/>
    <hyperlink ref="E863" r:id="rId934" xr:uid="{00000000-0004-0000-0300-0000A5030000}"/>
    <hyperlink ref="E864" r:id="rId935" xr:uid="{00000000-0004-0000-0300-0000A6030000}"/>
  </hyperlink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6FA8DC"/>
    <outlinePr summaryBelow="0" summaryRight="0"/>
  </sheetPr>
  <dimension ref="A1:AJ99"/>
  <sheetViews>
    <sheetView showGridLines="0" workbookViewId="0">
      <pane ySplit="3" topLeftCell="A4" activePane="bottomLeft" state="frozen"/>
      <selection pane="bottomLeft" sqref="A1:XFD1048576"/>
    </sheetView>
  </sheetViews>
  <sheetFormatPr baseColWidth="10" defaultColWidth="11.1640625" defaultRowHeight="15" customHeight="1"/>
  <cols>
    <col min="1" max="1" width="1.1640625" customWidth="1"/>
    <col min="2" max="2" width="11.1640625" customWidth="1"/>
    <col min="3" max="3" width="18.5" customWidth="1"/>
    <col min="4" max="5" width="44.5" customWidth="1"/>
    <col min="6" max="6" width="1.1640625" customWidth="1"/>
    <col min="7" max="7" width="11.1640625" customWidth="1"/>
    <col min="8" max="8" width="19.33203125" customWidth="1"/>
    <col min="9" max="10" width="44.5" customWidth="1"/>
    <col min="11" max="11" width="1.1640625" customWidth="1"/>
    <col min="12" max="12" width="11.1640625" customWidth="1"/>
    <col min="13" max="13" width="20.83203125" customWidth="1"/>
    <col min="14" max="15" width="44.5" customWidth="1"/>
    <col min="16" max="16" width="1.1640625" customWidth="1"/>
    <col min="17" max="17" width="11.1640625" customWidth="1"/>
    <col min="18" max="18" width="19.6640625" customWidth="1"/>
    <col min="19" max="20" width="44.5" customWidth="1"/>
    <col min="21" max="21" width="1.1640625" customWidth="1"/>
    <col min="23" max="23" width="18.6640625" customWidth="1"/>
    <col min="24" max="25" width="44.5" customWidth="1"/>
    <col min="26" max="26" width="1.1640625" customWidth="1"/>
    <col min="27" max="27" width="11.1640625" customWidth="1"/>
    <col min="28" max="28" width="26.6640625" customWidth="1"/>
    <col min="29" max="30" width="44.5" customWidth="1"/>
    <col min="31" max="31" width="1.1640625" customWidth="1"/>
    <col min="32" max="32" width="11.1640625" customWidth="1"/>
    <col min="33" max="33" width="21" customWidth="1"/>
    <col min="34" max="35" width="44.5" customWidth="1"/>
    <col min="36" max="36" width="1.1640625" customWidth="1"/>
  </cols>
  <sheetData>
    <row r="1" spans="1:36" ht="34.5" customHeight="1">
      <c r="A1" s="208"/>
      <c r="B1" s="230" t="s">
        <v>20</v>
      </c>
      <c r="C1" s="222"/>
      <c r="D1" s="222"/>
      <c r="E1" s="222"/>
      <c r="F1" s="208"/>
      <c r="G1" s="230" t="str">
        <f ca="1">IFERROR(__xludf.DUMMYFUNCTION("IFERROR(UNIQUE(FILTER(French!B:B,French!A:A=B1)))"),"Planification stratégique et pensée stratégique")</f>
        <v>Planification stratégique et pensée stratégique</v>
      </c>
      <c r="H1" s="222"/>
      <c r="I1" s="222"/>
      <c r="J1" s="222"/>
      <c r="K1" s="208"/>
      <c r="L1" s="230" t="str">
        <f ca="1">IFERROR(__xludf.DUMMYFUNCTION("IFERROR((UNIQUE(FILTER(Spanish!B:B,Spanish!A:A=B1))))"),"Planificación y pensamiento estratégico")</f>
        <v>Planificación y pensamiento estratégico</v>
      </c>
      <c r="M1" s="222"/>
      <c r="N1" s="222"/>
      <c r="O1" s="222"/>
      <c r="P1" s="208"/>
      <c r="Q1" s="230" t="str">
        <f ca="1">IFERROR(__xludf.DUMMYFUNCTION("IFERROR(UNIQUE(FILTER(German!B:B,German!A:A=B1)))"),"Strategische Planung und Strategisches Denken")</f>
        <v>Strategische Planung und Strategisches Denken</v>
      </c>
      <c r="R1" s="222"/>
      <c r="S1" s="222"/>
      <c r="T1" s="222"/>
      <c r="U1" s="208"/>
      <c r="V1" s="230" t="str">
        <f ca="1">IFERROR(__xludf.DUMMYFUNCTION("IFERROR(UNIQUE(FILTER(Japanese!B:B,Japanese!A:A=B1)))"),"戦略的な計画立案")</f>
        <v>戦略的な計画立案</v>
      </c>
      <c r="W1" s="222"/>
      <c r="X1" s="222"/>
      <c r="Y1" s="222"/>
      <c r="Z1" s="208"/>
      <c r="AA1" s="230" t="str">
        <f ca="1">IFERROR(__xludf.DUMMYFUNCTION("IFERROR(UNIQUE(FILTER(Portuguese!B:B,Portuguese!A:A=B1)))"),"Planejamento e pensamento estratégico")</f>
        <v>Planejamento e pensamento estratégico</v>
      </c>
      <c r="AB1" s="222"/>
      <c r="AC1" s="222"/>
      <c r="AD1" s="222"/>
      <c r="AE1" s="208"/>
      <c r="AF1" s="230" t="str">
        <f ca="1">IFERROR(__xludf.DUMMYFUNCTION("IFERROR(UNIQUE(FILTER(Mandarin!B:B,Mandarin!A:A=B1)))"),"战略规划和战略思维")</f>
        <v>战略规划和战略思维</v>
      </c>
      <c r="AG1" s="222"/>
      <c r="AH1" s="222"/>
      <c r="AI1" s="222"/>
      <c r="AJ1" s="208"/>
    </row>
    <row r="2" spans="1:36" ht="28" customHeight="1">
      <c r="A2" s="209"/>
      <c r="B2" s="234" t="s">
        <v>4713</v>
      </c>
      <c r="C2" s="222"/>
      <c r="D2" s="222"/>
      <c r="E2" s="222"/>
      <c r="F2" s="209"/>
      <c r="G2" s="231" t="s">
        <v>4714</v>
      </c>
      <c r="H2" s="222"/>
      <c r="I2" s="222"/>
      <c r="J2" s="222"/>
      <c r="K2" s="209"/>
      <c r="L2" s="235" t="s">
        <v>4715</v>
      </c>
      <c r="M2" s="222"/>
      <c r="N2" s="222"/>
      <c r="O2" s="222"/>
      <c r="P2" s="209"/>
      <c r="Q2" s="232" t="s">
        <v>4716</v>
      </c>
      <c r="R2" s="222"/>
      <c r="S2" s="222"/>
      <c r="T2" s="222"/>
      <c r="U2" s="209"/>
      <c r="V2" s="236" t="s">
        <v>4717</v>
      </c>
      <c r="W2" s="222"/>
      <c r="X2" s="222"/>
      <c r="Y2" s="222"/>
      <c r="Z2" s="209"/>
      <c r="AA2" s="233" t="s">
        <v>4718</v>
      </c>
      <c r="AB2" s="222"/>
      <c r="AC2" s="222"/>
      <c r="AD2" s="222"/>
      <c r="AE2" s="209"/>
      <c r="AF2" s="237" t="s">
        <v>4719</v>
      </c>
      <c r="AG2" s="222"/>
      <c r="AH2" s="222"/>
      <c r="AI2" s="222"/>
      <c r="AJ2" s="209"/>
    </row>
    <row r="3" spans="1:36" ht="26" customHeight="1">
      <c r="A3" s="210"/>
      <c r="B3" s="211" t="str">
        <f ca="1">IFERROR(__xludf.DUMMYFUNCTION("FILTER(English!B:B,English!A:A=B1)"),"Course IDs")</f>
        <v>Course IDs</v>
      </c>
      <c r="C3" s="211" t="str">
        <f ca="1">IFERROR(__xludf.DUMMYFUNCTION("FILTER(English!C:C,English!A:A=B1)"),"Levels")</f>
        <v>Levels</v>
      </c>
      <c r="D3" s="211" t="str">
        <f ca="1">IFERROR(__xludf.DUMMYFUNCTION("FILTER(English!D:D,English!A:A=B1)"),"Courses")</f>
        <v>Courses</v>
      </c>
      <c r="E3" s="212" t="str">
        <f ca="1">IFERROR(__xludf.DUMMYFUNCTION("FILTER(English!E:E,English!A:A=B1)"),"Learning Paths")</f>
        <v>Learning Paths</v>
      </c>
      <c r="F3" s="210"/>
      <c r="G3" s="211" t="str">
        <f ca="1">IFERROR(__xludf.DUMMYFUNCTION("FILTER(French!C:C,French!B:B=G1)"),"Course IDs")</f>
        <v>Course IDs</v>
      </c>
      <c r="H3" s="211" t="str">
        <f ca="1">IFERROR(__xludf.DUMMYFUNCTION("FILTER(French!D:D,French!B:B=G1)"),"Levels")</f>
        <v>Levels</v>
      </c>
      <c r="I3" s="211" t="str">
        <f ca="1">IFERROR(__xludf.DUMMYFUNCTION("FILTER(French!E:E,French!B:B=G1)"),"Courses")</f>
        <v>Courses</v>
      </c>
      <c r="J3" s="212" t="str">
        <f ca="1">IFERROR(__xludf.DUMMYFUNCTION("FILTER(French!G:G,French!B:B=G1)"),"Learning Paths")</f>
        <v>Learning Paths</v>
      </c>
      <c r="K3" s="210"/>
      <c r="L3" s="211" t="str">
        <f ca="1">IFERROR(__xludf.DUMMYFUNCTION("FILTER(Spanish!C:C,Spanish!B:B=L1)"),"Course IDs")</f>
        <v>Course IDs</v>
      </c>
      <c r="M3" s="211" t="str">
        <f ca="1">IFERROR(__xludf.DUMMYFUNCTION("FILTER(Spanish!D:D,Spanish!B:B=L1)"),"Levels")</f>
        <v>Levels</v>
      </c>
      <c r="N3" s="211" t="str">
        <f ca="1">IFERROR(__xludf.DUMMYFUNCTION("FILTER(Spanish!E:E,Spanish!B:B=L1)"),"Courses")</f>
        <v>Courses</v>
      </c>
      <c r="O3" s="212" t="str">
        <f ca="1">IFERROR(__xludf.DUMMYFUNCTION("FILTER(Spanish!G:G,Spanish!B:B=L1)"),"Learning Paths")</f>
        <v>Learning Paths</v>
      </c>
      <c r="P3" s="210"/>
      <c r="Q3" s="211" t="str">
        <f ca="1">IFERROR(__xludf.DUMMYFUNCTION("FILTER(German!C:C,German!B:B=Q1)"),"Course IDs")</f>
        <v>Course IDs</v>
      </c>
      <c r="R3" s="211" t="str">
        <f ca="1">IFERROR(__xludf.DUMMYFUNCTION("FILTER(German!D:D,German!B:B=Q1)"),"Levels")</f>
        <v>Levels</v>
      </c>
      <c r="S3" s="211" t="str">
        <f ca="1">IFERROR(__xludf.DUMMYFUNCTION("FILTER(German!E:E,German!B:B=Q1)"),"Courses")</f>
        <v>Courses</v>
      </c>
      <c r="T3" s="212" t="str">
        <f ca="1">IFERROR(__xludf.DUMMYFUNCTION("FILTER(German!G:G,German!B:B=Q1)"),"Learning Paths")</f>
        <v>Learning Paths</v>
      </c>
      <c r="U3" s="210"/>
      <c r="V3" s="211" t="str">
        <f ca="1">IFERROR(__xludf.DUMMYFUNCTION("FILTER(Japanese!C:C,Japanese!B:B=V1)"),"Course IDs")</f>
        <v>Course IDs</v>
      </c>
      <c r="W3" s="211" t="str">
        <f ca="1">IFERROR(__xludf.DUMMYFUNCTION("FILTER(Japanese!D:D,Japanese!B:B=V1)"),"Levels")</f>
        <v>Levels</v>
      </c>
      <c r="X3" s="211" t="str">
        <f ca="1">IFERROR(__xludf.DUMMYFUNCTION("FILTER(Japanese!E:E,Japanese!B:B=V1)"),"Courses")</f>
        <v>Courses</v>
      </c>
      <c r="Y3" s="212" t="str">
        <f ca="1">IFERROR(__xludf.DUMMYFUNCTION("FILTER(Japanese!G:G,Japanese!B:B=V1)"),"Learning Paths")</f>
        <v>Learning Paths</v>
      </c>
      <c r="Z3" s="210"/>
      <c r="AA3" s="211" t="str">
        <f ca="1">IFERROR(__xludf.DUMMYFUNCTION("FILTER(Portuguese!C:C,Portuguese!B:B=AA1)"),"Course IDs")</f>
        <v>Course IDs</v>
      </c>
      <c r="AB3" s="211" t="str">
        <f ca="1">IFERROR(__xludf.DUMMYFUNCTION("FILTER(Portuguese!D:D,Portuguese!B:B=AA1)"),"Levels")</f>
        <v>Levels</v>
      </c>
      <c r="AC3" s="211" t="str">
        <f ca="1">IFERROR(__xludf.DUMMYFUNCTION("FILTER(Portuguese!E:E,Portuguese!B:B=AA1)"),"Courses")</f>
        <v>Courses</v>
      </c>
      <c r="AD3" s="212" t="str">
        <f ca="1">IFERROR(__xludf.DUMMYFUNCTION("FILTER(Portuguese!G:G,Portuguese!B:B=AA1)"),"Learning Paths")</f>
        <v>Learning Paths</v>
      </c>
      <c r="AE3" s="210"/>
      <c r="AF3" s="211" t="str">
        <f ca="1">IFERROR(__xludf.DUMMYFUNCTION("FILTER(Mandarin!C:C,Mandarin!B:B=AF1)"),"Course IDs")</f>
        <v>Course IDs</v>
      </c>
      <c r="AG3" s="211" t="str">
        <f ca="1">IFERROR(__xludf.DUMMYFUNCTION("FILTER(Mandarin!D:D,Mandarin!B:B=AF1)"),"Levels")</f>
        <v>Levels</v>
      </c>
      <c r="AH3" s="211" t="str">
        <f ca="1">IFERROR(__xludf.DUMMYFUNCTION("FILTER(Mandarin!E:E,Mandarin!B:B=AF1)"),"Courses")</f>
        <v>Courses</v>
      </c>
      <c r="AI3" s="212" t="str">
        <f ca="1">IFERROR(__xludf.DUMMYFUNCTION("FILTER(Mandarin!G:G,Mandarin!B:B=AF1)"),"Learning Paths")</f>
        <v>Learning Paths</v>
      </c>
      <c r="AJ3" s="210"/>
    </row>
    <row r="4" spans="1:36" ht="33.75" customHeight="1">
      <c r="A4" s="213"/>
      <c r="B4" s="214">
        <f ca="1">IFERROR(__xludf.DUMMYFUNCTION("""COMPUTED_VALUE"""),689761)</f>
        <v>689761</v>
      </c>
      <c r="C4" s="215" t="str">
        <f ca="1">IFERROR(__xludf.DUMMYFUNCTION("""COMPUTED_VALUE"""),"Advanced")</f>
        <v>Advanced</v>
      </c>
      <c r="D4" s="216" t="str">
        <f ca="1">IFERROR(__xludf.DUMMYFUNCTION("""COMPUTED_VALUE"""),"Creating a Culture of Change")</f>
        <v>Creating a Culture of Change</v>
      </c>
      <c r="E4" s="217" t="str">
        <f ca="1">IFERROR(__xludf.DUMMYFUNCTION("""COMPUTED_VALUE"""),"Applying Lean, DevOps, and Agile to Your IT Organization")</f>
        <v>Applying Lean, DevOps, and Agile to Your IT Organization</v>
      </c>
      <c r="F4" s="213"/>
      <c r="G4" s="214">
        <f ca="1">IFERROR(__xludf.DUMMYFUNCTION("""COMPUTED_VALUE"""),724143)</f>
        <v>724143</v>
      </c>
      <c r="H4" s="215" t="str">
        <f ca="1">IFERROR(__xludf.DUMMYFUNCTION("""COMPUTED_VALUE"""),"Intermediate")</f>
        <v>Intermediate</v>
      </c>
      <c r="I4" s="217" t="str">
        <f ca="1">IFERROR(__xludf.DUMMYFUNCTION("""COMPUTED_VALUE"""),"Concevoir des stratégies de développement")</f>
        <v>Concevoir des stratégies de développement</v>
      </c>
      <c r="J4" s="217" t="str">
        <f ca="1">IFERROR(__xludf.DUMMYFUNCTION("""COMPUTED_VALUE"""),"Exécuter sa stratégie")</f>
        <v>Exécuter sa stratégie</v>
      </c>
      <c r="K4" s="213"/>
      <c r="L4" s="215">
        <f ca="1">IFERROR(__xludf.DUMMYFUNCTION("""COMPUTED_VALUE"""),766239)</f>
        <v>766239</v>
      </c>
      <c r="M4" s="215" t="str">
        <f ca="1">IFERROR(__xludf.DUMMYFUNCTION("""COMPUTED_VALUE"""),"Advanced")</f>
        <v>Advanced</v>
      </c>
      <c r="N4" s="217" t="str">
        <f ca="1">IFERROR(__xludf.DUMMYFUNCTION("""COMPUTED_VALUE"""),"Agilidad estratégica")</f>
        <v>Agilidad estratégica</v>
      </c>
      <c r="O4" s="217" t="str">
        <f ca="1">IFERROR(__xludf.DUMMYFUNCTION("""COMPUTED_VALUE"""),"Profundiza tu capacidad estratégica")</f>
        <v>Profundiza tu capacidad estratégica</v>
      </c>
      <c r="P4" s="213"/>
      <c r="Q4" s="215">
        <f ca="1">IFERROR(__xludf.DUMMYFUNCTION("""COMPUTED_VALUE"""),5025608)</f>
        <v>5025608</v>
      </c>
      <c r="R4" s="215" t="str">
        <f ca="1">IFERROR(__xludf.DUMMYFUNCTION("""COMPUTED_VALUE"""),"Intermediate")</f>
        <v>Intermediate</v>
      </c>
      <c r="S4" s="217" t="str">
        <f ca="1">IFERROR(__xludf.DUMMYFUNCTION("""COMPUTED_VALUE"""),"Agile und digitale Transformation")</f>
        <v>Agile und digitale Transformation</v>
      </c>
      <c r="T4" s="217" t="str">
        <f ca="1">IFERROR(__xludf.DUMMYFUNCTION("""COMPUTED_VALUE"""),"Ins strategische Controlling einsteigen")</f>
        <v>Ins strategische Controlling einsteigen</v>
      </c>
      <c r="U4" s="213"/>
      <c r="V4" s="215">
        <f ca="1">IFERROR(__xludf.DUMMYFUNCTION("""COMPUTED_VALUE"""),2404542)</f>
        <v>2404542</v>
      </c>
      <c r="W4" s="215" t="str">
        <f ca="1">IFERROR(__xludf.DUMMYFUNCTION("""COMPUTED_VALUE"""),"Advanced")</f>
        <v>Advanced</v>
      </c>
      <c r="X4" s="217" t="str">
        <f ca="1">IFERROR(__xludf.DUMMYFUNCTION("""COMPUTED_VALUE"""),"すぐに変われる組織になるには")</f>
        <v>すぐに変われる組織になるには</v>
      </c>
      <c r="Y4" s="217" t="str">
        <f ca="1">IFERROR(__xludf.DUMMYFUNCTION("""COMPUTED_VALUE"""),"N/A")</f>
        <v>N/A</v>
      </c>
      <c r="Z4" s="213"/>
      <c r="AA4" s="215">
        <f ca="1">IFERROR(__xludf.DUMMYFUNCTION("""COMPUTED_VALUE"""),2908955)</f>
        <v>2908955</v>
      </c>
      <c r="AB4" s="215" t="str">
        <f ca="1">IFERROR(__xludf.DUMMYFUNCTION("""COMPUTED_VALUE"""),"All levels")</f>
        <v>All levels</v>
      </c>
      <c r="AC4" s="217" t="str">
        <f ca="1">IFERROR(__xludf.DUMMYFUNCTION("""COMPUTED_VALUE"""),"A Linguagem Corporal da Liderança")</f>
        <v>A Linguagem Corporal da Liderança</v>
      </c>
      <c r="AD4" s="217" t="str">
        <f ca="1">IFERROR(__xludf.DUMMYFUNCTION("""COMPUTED_VALUE"""),"N/A")</f>
        <v>N/A</v>
      </c>
      <c r="AE4" s="213"/>
      <c r="AF4" s="215">
        <f ca="1">IFERROR(__xludf.DUMMYFUNCTION("""COMPUTED_VALUE"""),780076)</f>
        <v>780076</v>
      </c>
      <c r="AG4" s="215" t="str">
        <f ca="1">IFERROR(__xludf.DUMMYFUNCTION("""COMPUTED_VALUE"""),"All levels")</f>
        <v>All levels</v>
      </c>
      <c r="AH4" s="217" t="str">
        <f ca="1">IFERROR(__xludf.DUMMYFUNCTION("""COMPUTED_VALUE"""),"业务创新基础知识")</f>
        <v>业务创新基础知识</v>
      </c>
      <c r="AI4" s="217" t="str">
        <f ca="1">IFERROR(__xludf.DUMMYFUNCTION("""COMPUTED_VALUE"""),"N/A")</f>
        <v>N/A</v>
      </c>
      <c r="AJ4" s="213"/>
    </row>
    <row r="5" spans="1:36" ht="16">
      <c r="A5" s="213"/>
      <c r="B5" s="214">
        <f ca="1">IFERROR(__xludf.DUMMYFUNCTION("""COMPUTED_VALUE"""),592487)</f>
        <v>592487</v>
      </c>
      <c r="C5" s="215" t="str">
        <f ca="1">IFERROR(__xludf.DUMMYFUNCTION("""COMPUTED_VALUE"""),"Advanced")</f>
        <v>Advanced</v>
      </c>
      <c r="D5" s="216" t="str">
        <f ca="1">IFERROR(__xludf.DUMMYFUNCTION("""COMPUTED_VALUE"""),"Creating a Culture of Strategy Execution")</f>
        <v>Creating a Culture of Strategy Execution</v>
      </c>
      <c r="E5" s="217" t="str">
        <f ca="1">IFERROR(__xludf.DUMMYFUNCTION("""COMPUTED_VALUE"""),"Become a Business Analyst")</f>
        <v>Become a Business Analyst</v>
      </c>
      <c r="F5" s="213"/>
      <c r="G5" s="214">
        <f ca="1">IFERROR(__xludf.DUMMYFUNCTION("""COMPUTED_VALUE"""),792281)</f>
        <v>792281</v>
      </c>
      <c r="H5" s="215" t="str">
        <f ca="1">IFERROR(__xludf.DUMMYFUNCTION("""COMPUTED_VALUE"""),"All levels")</f>
        <v>All levels</v>
      </c>
      <c r="I5" s="217" t="str">
        <f ca="1">IFERROR(__xludf.DUMMYFUNCTION("""COMPUTED_VALUE"""),"Créer un business plan")</f>
        <v>Créer un business plan</v>
      </c>
      <c r="J5" s="217"/>
      <c r="K5" s="213"/>
      <c r="L5" s="215">
        <f ca="1">IFERROR(__xludf.DUMMYFUNCTION("""COMPUTED_VALUE"""),2926138)</f>
        <v>2926138</v>
      </c>
      <c r="M5" s="215" t="str">
        <f ca="1">IFERROR(__xludf.DUMMYFUNCTION("""COMPUTED_VALUE"""),"All levels")</f>
        <v>All levels</v>
      </c>
      <c r="N5" s="217" t="str">
        <f ca="1">IFERROR(__xludf.DUMMYFUNCTION("""COMPUTED_VALUE"""),"Cómo cultivar una mentalidad de crecimiento")</f>
        <v>Cómo cultivar una mentalidad de crecimiento</v>
      </c>
      <c r="O5" s="217"/>
      <c r="P5" s="213"/>
      <c r="Q5" s="215">
        <f ca="1">IFERROR(__xludf.DUMMYFUNCTION("""COMPUTED_VALUE"""),5018537)</f>
        <v>5018537</v>
      </c>
      <c r="R5" s="215" t="str">
        <f ca="1">IFERROR(__xludf.DUMMYFUNCTION("""COMPUTED_VALUE"""),"Advanced")</f>
        <v>Advanced</v>
      </c>
      <c r="S5" s="217" t="str">
        <f ca="1">IFERROR(__xludf.DUMMYFUNCTION("""COMPUTED_VALUE"""),"Agilität mit Strategie")</f>
        <v>Agilität mit Strategie</v>
      </c>
      <c r="T5" s="217" t="str">
        <f ca="1">IFERROR(__xludf.DUMMYFUNCTION("""COMPUTED_VALUE"""),"Innovation fördern")</f>
        <v>Innovation fördern</v>
      </c>
      <c r="U5" s="213"/>
      <c r="V5" s="215">
        <f ca="1">IFERROR(__xludf.DUMMYFUNCTION("""COMPUTED_VALUE"""),2849240)</f>
        <v>2849240</v>
      </c>
      <c r="W5" s="215" t="str">
        <f ca="1">IFERROR(__xludf.DUMMYFUNCTION("""COMPUTED_VALUE"""),"Advanced")</f>
        <v>Advanced</v>
      </c>
      <c r="X5" s="217" t="str">
        <f ca="1">IFERROR(__xludf.DUMMYFUNCTION("""COMPUTED_VALUE"""),"デジタルトランスフォーメーション")</f>
        <v>デジタルトランスフォーメーション</v>
      </c>
      <c r="Y5" s="217"/>
      <c r="Z5" s="213"/>
      <c r="AA5" s="215">
        <f ca="1">IFERROR(__xludf.DUMMYFUNCTION("""COMPUTED_VALUE"""),753080)</f>
        <v>753080</v>
      </c>
      <c r="AB5" s="215" t="str">
        <f ca="1">IFERROR(__xludf.DUMMYFUNCTION("""COMPUTED_VALUE"""),"Intermediate")</f>
        <v>Intermediate</v>
      </c>
      <c r="AC5" s="217" t="str">
        <f ca="1">IFERROR(__xludf.DUMMYFUNCTION("""COMPUTED_VALUE"""),"Avaliação do Desempenho Empresarial")</f>
        <v>Avaliação do Desempenho Empresarial</v>
      </c>
      <c r="AD5" s="217"/>
      <c r="AE5" s="213"/>
      <c r="AF5" s="215">
        <f ca="1">IFERROR(__xludf.DUMMYFUNCTION("""COMPUTED_VALUE"""),802146)</f>
        <v>802146</v>
      </c>
      <c r="AG5" s="215" t="str">
        <f ca="1">IFERROR(__xludf.DUMMYFUNCTION("""COMPUTED_VALUE"""),"All levels")</f>
        <v>All levels</v>
      </c>
      <c r="AH5" s="217" t="str">
        <f ca="1">IFERROR(__xludf.DUMMYFUNCTION("""COMPUTED_VALUE"""),"发展竞争策略")</f>
        <v>发展竞争策略</v>
      </c>
      <c r="AI5" s="217"/>
      <c r="AJ5" s="213"/>
    </row>
    <row r="6" spans="1:36" ht="30">
      <c r="A6" s="213"/>
      <c r="B6" s="214">
        <f ca="1">IFERROR(__xludf.DUMMYFUNCTION("""COMPUTED_VALUE"""),373562)</f>
        <v>373562</v>
      </c>
      <c r="C6" s="215" t="str">
        <f ca="1">IFERROR(__xludf.DUMMYFUNCTION("""COMPUTED_VALUE"""),"Advanced")</f>
        <v>Advanced</v>
      </c>
      <c r="D6" s="216" t="str">
        <f ca="1">IFERROR(__xludf.DUMMYFUNCTION("""COMPUTED_VALUE"""),"Global Strategy")</f>
        <v>Global Strategy</v>
      </c>
      <c r="E6" s="217" t="str">
        <f ca="1">IFERROR(__xludf.DUMMYFUNCTION("""COMPUTED_VALUE"""),"Become a Business Operations Associate")</f>
        <v>Become a Business Operations Associate</v>
      </c>
      <c r="F6" s="213"/>
      <c r="G6" s="214">
        <f ca="1">IFERROR(__xludf.DUMMYFUNCTION("""COMPUTED_VALUE"""),771787)</f>
        <v>771787</v>
      </c>
      <c r="H6" s="215" t="str">
        <f ca="1">IFERROR(__xludf.DUMMYFUNCTION("""COMPUTED_VALUE"""),"Advanced")</f>
        <v>Advanced</v>
      </c>
      <c r="I6" s="217" t="str">
        <f ca="1">IFERROR(__xludf.DUMMYFUNCTION("""COMPUTED_VALUE"""),"Créer une culture d’exécution de la stratégie")</f>
        <v>Créer une culture d’exécution de la stratégie</v>
      </c>
      <c r="J6" s="217"/>
      <c r="K6" s="213"/>
      <c r="L6" s="215">
        <f ca="1">IFERROR(__xludf.DUMMYFUNCTION("""COMPUTED_VALUE"""),498951)</f>
        <v>498951</v>
      </c>
      <c r="M6" s="215" t="str">
        <f ca="1">IFERROR(__xludf.DUMMYFUNCTION("""COMPUTED_VALUE"""),"All levels")</f>
        <v>All levels</v>
      </c>
      <c r="N6" s="217" t="str">
        <f ca="1">IFERROR(__xludf.DUMMYFUNCTION("""COMPUTED_VALUE"""),"Cómo mejorar tu capacidad de toma de decisiones")</f>
        <v>Cómo mejorar tu capacidad de toma de decisiones</v>
      </c>
      <c r="O6" s="217"/>
      <c r="P6" s="213"/>
      <c r="Q6" s="215">
        <f ca="1">IFERROR(__xludf.DUMMYFUNCTION("""COMPUTED_VALUE"""),689456)</f>
        <v>689456</v>
      </c>
      <c r="R6" s="215" t="str">
        <f ca="1">IFERROR(__xludf.DUMMYFUNCTION("""COMPUTED_VALUE"""),"Intermediate")</f>
        <v>Intermediate</v>
      </c>
      <c r="S6" s="217" t="str">
        <f ca="1">IFERROR(__xludf.DUMMYFUNCTION("""COMPUTED_VALUE"""),"Als Führungskraft Risiken eingehen")</f>
        <v>Als Führungskraft Risiken eingehen</v>
      </c>
      <c r="T6" s="217"/>
      <c r="U6" s="213"/>
      <c r="V6" s="215">
        <f ca="1">IFERROR(__xludf.DUMMYFUNCTION("""COMPUTED_VALUE"""),737787)</f>
        <v>737787</v>
      </c>
      <c r="W6" s="215" t="str">
        <f ca="1">IFERROR(__xludf.DUMMYFUNCTION("""COMPUTED_VALUE"""),"Beginner")</f>
        <v>Beginner</v>
      </c>
      <c r="X6" s="217" t="str">
        <f ca="1">IFERROR(__xludf.DUMMYFUNCTION("""COMPUTED_VALUE"""),"ビジネスセンスの磨き方")</f>
        <v>ビジネスセンスの磨き方</v>
      </c>
      <c r="Y6" s="217"/>
      <c r="Z6" s="213"/>
      <c r="AA6" s="215">
        <f ca="1">IFERROR(__xludf.DUMMYFUNCTION("""COMPUTED_VALUE"""),801474)</f>
        <v>801474</v>
      </c>
      <c r="AB6" s="215" t="str">
        <f ca="1">IFERROR(__xludf.DUMMYFUNCTION("""COMPUTED_VALUE"""),"Advanced")</f>
        <v>Advanced</v>
      </c>
      <c r="AC6" s="217" t="str">
        <f ca="1">IFERROR(__xludf.DUMMYFUNCTION("""COMPUTED_VALUE"""),"Como Criar Estratégias de Crescimento")</f>
        <v>Como Criar Estratégias de Crescimento</v>
      </c>
      <c r="AD6" s="217"/>
      <c r="AE6" s="213"/>
      <c r="AF6" s="215">
        <f ca="1">IFERROR(__xludf.DUMMYFUNCTION("""COMPUTED_VALUE"""),767693)</f>
        <v>767693</v>
      </c>
      <c r="AG6" s="215" t="str">
        <f ca="1">IFERROR(__xludf.DUMMYFUNCTION("""COMPUTED_VALUE"""),"All levels")</f>
        <v>All levels</v>
      </c>
      <c r="AH6" s="217" t="str">
        <f ca="1">IFERROR(__xludf.DUMMYFUNCTION("""COMPUTED_VALUE"""),"培养你的商业头脑")</f>
        <v>培养你的商业头脑</v>
      </c>
      <c r="AI6" s="217"/>
      <c r="AJ6" s="213"/>
    </row>
    <row r="7" spans="1:36" ht="33.75" customHeight="1">
      <c r="A7" s="213"/>
      <c r="B7" s="214">
        <f ca="1">IFERROR(__xludf.DUMMYFUNCTION("""COMPUTED_VALUE"""),2817142)</f>
        <v>2817142</v>
      </c>
      <c r="C7" s="215" t="str">
        <f ca="1">IFERROR(__xludf.DUMMYFUNCTION("""COMPUTED_VALUE"""),"Advanced")</f>
        <v>Advanced</v>
      </c>
      <c r="D7" s="216" t="str">
        <f ca="1">IFERROR(__xludf.DUMMYFUNCTION("""COMPUTED_VALUE"""),"Digital Strategy")</f>
        <v>Digital Strategy</v>
      </c>
      <c r="E7" s="217" t="str">
        <f ca="1">IFERROR(__xludf.DUMMYFUNCTION("""COMPUTED_VALUE"""),"Become a Business Unit Manager")</f>
        <v>Become a Business Unit Manager</v>
      </c>
      <c r="F7" s="213"/>
      <c r="G7" s="214">
        <f ca="1">IFERROR(__xludf.DUMMYFUNCTION("""COMPUTED_VALUE"""),2834036)</f>
        <v>2834036</v>
      </c>
      <c r="H7" s="215" t="str">
        <f ca="1">IFERROR(__xludf.DUMMYFUNCTION("""COMPUTED_VALUE"""),"All levels")</f>
        <v>All levels</v>
      </c>
      <c r="I7" s="217" t="str">
        <f ca="1">IFERROR(__xludf.DUMMYFUNCTION("""COMPUTED_VALUE"""),"Cultiver une perspective de développement")</f>
        <v>Cultiver une perspective de développement</v>
      </c>
      <c r="J7" s="217"/>
      <c r="K7" s="213"/>
      <c r="L7" s="215">
        <f ca="1">IFERROR(__xludf.DUMMYFUNCTION("""COMPUTED_VALUE"""),5025675)</f>
        <v>5025675</v>
      </c>
      <c r="M7" s="215" t="str">
        <f ca="1">IFERROR(__xludf.DUMMYFUNCTION("""COMPUTED_VALUE"""),"Beginner")</f>
        <v>Beginner</v>
      </c>
      <c r="N7" s="217" t="str">
        <f ca="1">IFERROR(__xludf.DUMMYFUNCTION("""COMPUTED_VALUE"""),"Cómo superar los sesgos cognitivos")</f>
        <v>Cómo superar los sesgos cognitivos</v>
      </c>
      <c r="O7" s="217"/>
      <c r="P7" s="213"/>
      <c r="Q7" s="215">
        <f ca="1">IFERROR(__xludf.DUMMYFUNCTION("""COMPUTED_VALUE"""),195615)</f>
        <v>195615</v>
      </c>
      <c r="R7" s="215" t="str">
        <f ca="1">IFERROR(__xludf.DUMMYFUNCTION("""COMPUTED_VALUE"""),"Beginner")</f>
        <v>Beginner</v>
      </c>
      <c r="S7" s="217" t="str">
        <f ca="1">IFERROR(__xludf.DUMMYFUNCTION("""COMPUTED_VALUE"""),"Businessplan für Ihr Unternehmen")</f>
        <v>Businessplan für Ihr Unternehmen</v>
      </c>
      <c r="T7" s="217"/>
      <c r="U7" s="213"/>
      <c r="V7" s="215">
        <f ca="1">IFERROR(__xludf.DUMMYFUNCTION("""COMPUTED_VALUE"""),2909721)</f>
        <v>2909721</v>
      </c>
      <c r="W7" s="215" t="str">
        <f ca="1">IFERROR(__xludf.DUMMYFUNCTION("""COMPUTED_VALUE"""),"All levels")</f>
        <v>All levels</v>
      </c>
      <c r="X7" s="217" t="str">
        <f ca="1">IFERROR(__xludf.DUMMYFUNCTION("""COMPUTED_VALUE"""),"戦略的な交渉術")</f>
        <v>戦略的な交渉術</v>
      </c>
      <c r="Y7" s="217"/>
      <c r="Z7" s="213"/>
      <c r="AA7" s="215">
        <f ca="1">IFERROR(__xludf.DUMMYFUNCTION("""COMPUTED_VALUE"""),2909978)</f>
        <v>2909978</v>
      </c>
      <c r="AB7" s="215" t="str">
        <f ca="1">IFERROR(__xludf.DUMMYFUNCTION("""COMPUTED_VALUE"""),"Intermediate")</f>
        <v>Intermediate</v>
      </c>
      <c r="AC7" s="217" t="str">
        <f ca="1">IFERROR(__xludf.DUMMYFUNCTION("""COMPUTED_VALUE"""),"Como Identificar os Pontos Cegos da Liderança")</f>
        <v>Como Identificar os Pontos Cegos da Liderança</v>
      </c>
      <c r="AD7" s="217"/>
      <c r="AE7" s="213"/>
      <c r="AF7" s="215">
        <f ca="1">IFERROR(__xludf.DUMMYFUNCTION("""COMPUTED_VALUE"""),2822716)</f>
        <v>2822716</v>
      </c>
      <c r="AG7" s="215" t="str">
        <f ca="1">IFERROR(__xludf.DUMMYFUNCTION("""COMPUTED_VALUE"""),"Beginner")</f>
        <v>Beginner</v>
      </c>
      <c r="AH7" s="217" t="str">
        <f ca="1">IFERROR(__xludf.DUMMYFUNCTION("""COMPUTED_VALUE"""),"培养学习型思维")</f>
        <v>培养学习型思维</v>
      </c>
      <c r="AI7" s="217"/>
      <c r="AJ7" s="213"/>
    </row>
    <row r="8" spans="1:36" ht="33.75" customHeight="1">
      <c r="A8" s="213"/>
      <c r="B8" s="214">
        <f ca="1">IFERROR(__xludf.DUMMYFUNCTION("""COMPUTED_VALUE"""),418270)</f>
        <v>418270</v>
      </c>
      <c r="C8" s="215" t="str">
        <f ca="1">IFERROR(__xludf.DUMMYFUNCTION("""COMPUTED_VALUE"""),"Advanced")</f>
        <v>Advanced</v>
      </c>
      <c r="D8" s="216" t="str">
        <f ca="1">IFERROR(__xludf.DUMMYFUNCTION("""COMPUTED_VALUE"""),"Creating Your IT Strategy")</f>
        <v>Creating Your IT Strategy</v>
      </c>
      <c r="E8" s="217" t="str">
        <f ca="1">IFERROR(__xludf.DUMMYFUNCTION("""COMPUTED_VALUE"""),"Become a Corporate Financial Planning Analyst")</f>
        <v>Become a Corporate Financial Planning Analyst</v>
      </c>
      <c r="F8" s="213"/>
      <c r="G8" s="214">
        <f ca="1">IFERROR(__xludf.DUMMYFUNCTION("""COMPUTED_VALUE"""),707934)</f>
        <v>707934</v>
      </c>
      <c r="H8" s="215" t="str">
        <f ca="1">IFERROR(__xludf.DUMMYFUNCTION("""COMPUTED_VALUE"""),"All levels")</f>
        <v>All levels</v>
      </c>
      <c r="I8" s="217" t="str">
        <f ca="1">IFERROR(__xludf.DUMMYFUNCTION("""COMPUTED_VALUE"""),"Développer son leadership de manager")</f>
        <v>Développer son leadership de manager</v>
      </c>
      <c r="J8" s="217"/>
      <c r="K8" s="213"/>
      <c r="L8" s="215">
        <f ca="1">IFERROR(__xludf.DUMMYFUNCTION("""COMPUTED_VALUE"""),776158)</f>
        <v>776158</v>
      </c>
      <c r="M8" s="215" t="str">
        <f ca="1">IFERROR(__xludf.DUMMYFUNCTION("""COMPUTED_VALUE"""),"Intermediate")</f>
        <v>Intermediate</v>
      </c>
      <c r="N8" s="217" t="str">
        <f ca="1">IFERROR(__xludf.DUMMYFUNCTION("""COMPUTED_VALUE"""),"Diseño de estrategias de crecimiento")</f>
        <v>Diseño de estrategias de crecimiento</v>
      </c>
      <c r="O8" s="217"/>
      <c r="P8" s="213"/>
      <c r="Q8" s="215">
        <f ca="1">IFERROR(__xludf.DUMMYFUNCTION("""COMPUTED_VALUE"""),759349)</f>
        <v>759349</v>
      </c>
      <c r="R8" s="215" t="str">
        <f ca="1">IFERROR(__xludf.DUMMYFUNCTION("""COMPUTED_VALUE"""),"Intermediate")</f>
        <v>Intermediate</v>
      </c>
      <c r="S8" s="217" t="str">
        <f ca="1">IFERROR(__xludf.DUMMYFUNCTION("""COMPUTED_VALUE"""),"Das Personal der Zukunft")</f>
        <v>Das Personal der Zukunft</v>
      </c>
      <c r="T8" s="217"/>
      <c r="U8" s="213"/>
      <c r="V8" s="215">
        <f ca="1">IFERROR(__xludf.DUMMYFUNCTION("""COMPUTED_VALUE"""),2213780)</f>
        <v>2213780</v>
      </c>
      <c r="W8" s="215" t="str">
        <f ca="1">IFERROR(__xludf.DUMMYFUNCTION("""COMPUTED_VALUE"""),"Intermediate")</f>
        <v>Intermediate</v>
      </c>
      <c r="X8" s="217" t="str">
        <f ca="1">IFERROR(__xludf.DUMMYFUNCTION("""COMPUTED_VALUE"""),"戦略的に計画を立てるには")</f>
        <v>戦略的に計画を立てるには</v>
      </c>
      <c r="Y8" s="217"/>
      <c r="Z8" s="213"/>
      <c r="AA8" s="215">
        <f ca="1">IFERROR(__xludf.DUMMYFUNCTION("""COMPUTED_VALUE"""),801456)</f>
        <v>801456</v>
      </c>
      <c r="AB8" s="215" t="str">
        <f ca="1">IFERROR(__xludf.DUMMYFUNCTION("""COMPUTED_VALUE"""),"Advanced")</f>
        <v>Advanced</v>
      </c>
      <c r="AC8" s="217" t="str">
        <f ca="1">IFERROR(__xludf.DUMMYFUNCTION("""COMPUTED_VALUE"""),"Como Usar a Agilidade Estratégica")</f>
        <v>Como Usar a Agilidade Estratégica</v>
      </c>
      <c r="AD8" s="217"/>
      <c r="AE8" s="213"/>
      <c r="AF8" s="215">
        <f ca="1">IFERROR(__xludf.DUMMYFUNCTION("""COMPUTED_VALUE"""),2825717)</f>
        <v>2825717</v>
      </c>
      <c r="AG8" s="215" t="str">
        <f ca="1">IFERROR(__xludf.DUMMYFUNCTION("""COMPUTED_VALUE"""),"All levels")</f>
        <v>All levels</v>
      </c>
      <c r="AH8" s="217" t="str">
        <f ca="1">IFERROR(__xludf.DUMMYFUNCTION("""COMPUTED_VALUE"""),"培养成长型思维")</f>
        <v>培养成长型思维</v>
      </c>
      <c r="AI8" s="217"/>
      <c r="AJ8" s="213"/>
    </row>
    <row r="9" spans="1:36" ht="33.75" customHeight="1">
      <c r="A9" s="213"/>
      <c r="B9" s="214">
        <f ca="1">IFERROR(__xludf.DUMMYFUNCTION("""COMPUTED_VALUE"""),598478)</f>
        <v>598478</v>
      </c>
      <c r="C9" s="215" t="str">
        <f ca="1">IFERROR(__xludf.DUMMYFUNCTION("""COMPUTED_VALUE"""),"Advanced")</f>
        <v>Advanced</v>
      </c>
      <c r="D9" s="216" t="str">
        <f ca="1">IFERROR(__xludf.DUMMYFUNCTION("""COMPUTED_VALUE"""),"Implementing Your IT Strategy")</f>
        <v>Implementing Your IT Strategy</v>
      </c>
      <c r="E9" s="217" t="str">
        <f ca="1">IFERROR(__xludf.DUMMYFUNCTION("""COMPUTED_VALUE"""),"Become a Content Strategist")</f>
        <v>Become a Content Strategist</v>
      </c>
      <c r="F9" s="213"/>
      <c r="G9" s="214">
        <f ca="1">IFERROR(__xludf.DUMMYFUNCTION("""COMPUTED_VALUE"""),769373)</f>
        <v>769373</v>
      </c>
      <c r="H9" s="215" t="str">
        <f ca="1">IFERROR(__xludf.DUMMYFUNCTION("""COMPUTED_VALUE"""),"Intermediate")</f>
        <v>Intermediate</v>
      </c>
      <c r="I9" s="217" t="str">
        <f ca="1">IFERROR(__xludf.DUMMYFUNCTION("""COMPUTED_VALUE"""),"Évaluer et améliorer un plan stratégique")</f>
        <v>Évaluer et améliorer un plan stratégique</v>
      </c>
      <c r="J9" s="217"/>
      <c r="K9" s="213"/>
      <c r="L9" s="215">
        <f ca="1">IFERROR(__xludf.DUMMYFUNCTION("""COMPUTED_VALUE"""),609786)</f>
        <v>609786</v>
      </c>
      <c r="M9" s="215" t="str">
        <f ca="1">IFERROR(__xludf.DUMMYFUNCTION("""COMPUTED_VALUE"""),"Beginner")</f>
        <v>Beginner</v>
      </c>
      <c r="N9" s="217" t="str">
        <f ca="1">IFERROR(__xludf.DUMMYFUNCTION("""COMPUTED_VALUE"""),"Estrategia competitiva")</f>
        <v>Estrategia competitiva</v>
      </c>
      <c r="O9" s="217"/>
      <c r="P9" s="213"/>
      <c r="Q9" s="215">
        <f ca="1">IFERROR(__xludf.DUMMYFUNCTION("""COMPUTED_VALUE"""),2383448)</f>
        <v>2383448</v>
      </c>
      <c r="R9" s="215" t="str">
        <f ca="1">IFERROR(__xludf.DUMMYFUNCTION("""COMPUTED_VALUE"""),"All levels")</f>
        <v>All levels</v>
      </c>
      <c r="S9" s="217" t="str">
        <f ca="1">IFERROR(__xludf.DUMMYFUNCTION("""COMPUTED_VALUE"""),"Der Weg zu den Besten (Blinkist Kernaussagen)")</f>
        <v>Der Weg zu den Besten (Blinkist Kernaussagen)</v>
      </c>
      <c r="T9" s="217"/>
      <c r="U9" s="213"/>
      <c r="V9" s="215">
        <f ca="1">IFERROR(__xludf.DUMMYFUNCTION("""COMPUTED_VALUE"""),2915392)</f>
        <v>2915392</v>
      </c>
      <c r="W9" s="215" t="str">
        <f ca="1">IFERROR(__xludf.DUMMYFUNCTION("""COMPUTED_VALUE"""),"Intermediate")</f>
        <v>Intermediate</v>
      </c>
      <c r="X9" s="217" t="str">
        <f ca="1">IFERROR(__xludf.DUMMYFUNCTION("""COMPUTED_VALUE"""),"業績評価を行うには")</f>
        <v>業績評価を行うには</v>
      </c>
      <c r="Y9" s="217"/>
      <c r="Z9" s="213"/>
      <c r="AA9" s="215">
        <f ca="1">IFERROR(__xludf.DUMMYFUNCTION("""COMPUTED_VALUE"""),753212)</f>
        <v>753212</v>
      </c>
      <c r="AB9" s="215" t="str">
        <f ca="1">IFERROR(__xludf.DUMMYFUNCTION("""COMPUTED_VALUE"""),"All levels")</f>
        <v>All levels</v>
      </c>
      <c r="AC9" s="217" t="str">
        <f ca="1">IFERROR(__xludf.DUMMYFUNCTION("""COMPUTED_VALUE"""),"Desenvolvimento da Estratégia Competitiva")</f>
        <v>Desenvolvimento da Estratégia Competitiva</v>
      </c>
      <c r="AD9" s="217"/>
      <c r="AE9" s="213"/>
      <c r="AF9" s="215">
        <f ca="1">IFERROR(__xludf.DUMMYFUNCTION("""COMPUTED_VALUE"""),2818044)</f>
        <v>2818044</v>
      </c>
      <c r="AG9" s="215" t="str">
        <f ca="1">IFERROR(__xludf.DUMMYFUNCTION("""COMPUTED_VALUE"""),"Intermediate")</f>
        <v>Intermediate</v>
      </c>
      <c r="AH9" s="217" t="str">
        <f ca="1">IFERROR(__xludf.DUMMYFUNCTION("""COMPUTED_VALUE"""),"培养领导气质")</f>
        <v>培养领导气质</v>
      </c>
      <c r="AI9" s="217"/>
      <c r="AJ9" s="213"/>
    </row>
    <row r="10" spans="1:36" ht="33.75" customHeight="1">
      <c r="A10" s="213"/>
      <c r="B10" s="214">
        <f ca="1">IFERROR(__xludf.DUMMYFUNCTION("""COMPUTED_VALUE"""),667354)</f>
        <v>667354</v>
      </c>
      <c r="C10" s="215" t="str">
        <f ca="1">IFERROR(__xludf.DUMMYFUNCTION("""COMPUTED_VALUE"""),"Advanced")</f>
        <v>Advanced</v>
      </c>
      <c r="D10" s="216" t="str">
        <f ca="1">IFERROR(__xludf.DUMMYFUNCTION("""COMPUTED_VALUE"""),"Digital Transformation")</f>
        <v>Digital Transformation</v>
      </c>
      <c r="E10" s="217" t="str">
        <f ca="1">IFERROR(__xludf.DUMMYFUNCTION("""COMPUTED_VALUE"""),"Build Essential Data Skills")</f>
        <v>Build Essential Data Skills</v>
      </c>
      <c r="F10" s="213"/>
      <c r="G10" s="214">
        <f ca="1">IFERROR(__xludf.DUMMYFUNCTION("""COMPUTED_VALUE"""),604072)</f>
        <v>604072</v>
      </c>
      <c r="H10" s="215" t="str">
        <f ca="1">IFERROR(__xludf.DUMMYFUNCTION("""COMPUTED_VALUE"""),"All levels")</f>
        <v>All levels</v>
      </c>
      <c r="I10" s="217" t="str">
        <f ca="1">IFERROR(__xludf.DUMMYFUNCTION("""COMPUTED_VALUE"""),"Jeff Weiner – Définir une culture et un plan d'évolution")</f>
        <v>Jeff Weiner – Définir une culture et un plan d'évolution</v>
      </c>
      <c r="J10" s="217"/>
      <c r="K10" s="213"/>
      <c r="L10" s="215">
        <f ca="1">IFERROR(__xludf.DUMMYFUNCTION("""COMPUTED_VALUE"""),2841040)</f>
        <v>2841040</v>
      </c>
      <c r="M10" s="215" t="str">
        <f ca="1">IFERROR(__xludf.DUMMYFUNCTION("""COMPUTED_VALUE"""),"Beginner, Intermediate")</f>
        <v>Beginner, Intermediate</v>
      </c>
      <c r="N10" s="217" t="str">
        <f ca="1">IFERROR(__xludf.DUMMYFUNCTION("""COMPUTED_VALUE"""),"Estrategias para salir de una crisis empresarial")</f>
        <v>Estrategias para salir de una crisis empresarial</v>
      </c>
      <c r="O10" s="217"/>
      <c r="P10" s="213"/>
      <c r="Q10" s="215">
        <f ca="1">IFERROR(__xludf.DUMMYFUNCTION("""COMPUTED_VALUE"""),3130122)</f>
        <v>3130122</v>
      </c>
      <c r="R10" s="215" t="str">
        <f ca="1">IFERROR(__xludf.DUMMYFUNCTION("""COMPUTED_VALUE"""),"All levels")</f>
        <v>All levels</v>
      </c>
      <c r="S10" s="217" t="str">
        <f ca="1">IFERROR(__xludf.DUMMYFUNCTION("""COMPUTED_VALUE"""),"Die Orbit-Organisation (Blinkist Kernaussagen)")</f>
        <v>Die Orbit-Organisation (Blinkist Kernaussagen)</v>
      </c>
      <c r="T10" s="217"/>
      <c r="U10" s="213"/>
      <c r="V10" s="215">
        <f ca="1">IFERROR(__xludf.DUMMYFUNCTION("""COMPUTED_VALUE"""),2918220)</f>
        <v>2918220</v>
      </c>
      <c r="W10" s="215" t="str">
        <f ca="1">IFERROR(__xludf.DUMMYFUNCTION("""COMPUTED_VALUE"""),"All levels")</f>
        <v>All levels</v>
      </c>
      <c r="X10" s="217" t="str">
        <f ca="1">IFERROR(__xludf.DUMMYFUNCTION("""COMPUTED_VALUE"""),"競争戦略を立てるには")</f>
        <v>競争戦略を立てるには</v>
      </c>
      <c r="Y10" s="217"/>
      <c r="Z10" s="213"/>
      <c r="AA10" s="215">
        <f ca="1">IFERROR(__xludf.DUMMYFUNCTION("""COMPUTED_VALUE"""),753078)</f>
        <v>753078</v>
      </c>
      <c r="AB10" s="215" t="str">
        <f ca="1">IFERROR(__xludf.DUMMYFUNCTION("""COMPUTED_VALUE"""),"All levels")</f>
        <v>All levels</v>
      </c>
      <c r="AC10" s="217" t="str">
        <f ca="1">IFERROR(__xludf.DUMMYFUNCTION("""COMPUTED_VALUE"""),"Fundamentos de Inovação Empresarial")</f>
        <v>Fundamentos de Inovação Empresarial</v>
      </c>
      <c r="AD10" s="217"/>
      <c r="AE10" s="213"/>
      <c r="AF10" s="215">
        <f ca="1">IFERROR(__xludf.DUMMYFUNCTION("""COMPUTED_VALUE"""),2252268)</f>
        <v>2252268</v>
      </c>
      <c r="AG10" s="215" t="str">
        <f ca="1">IFERROR(__xludf.DUMMYFUNCTION("""COMPUTED_VALUE"""),"Beginner")</f>
        <v>Beginner</v>
      </c>
      <c r="AH10" s="217" t="str">
        <f ca="1">IFERROR(__xludf.DUMMYFUNCTION("""COMPUTED_VALUE"""),"战略思维")</f>
        <v>战略思维</v>
      </c>
      <c r="AI10" s="217"/>
      <c r="AJ10" s="213"/>
    </row>
    <row r="11" spans="1:36" ht="33.75" customHeight="1">
      <c r="A11" s="213"/>
      <c r="B11" s="214">
        <f ca="1">IFERROR(__xludf.DUMMYFUNCTION("""COMPUTED_VALUE"""),772319)</f>
        <v>772319</v>
      </c>
      <c r="C11" s="215" t="str">
        <f ca="1">IFERROR(__xludf.DUMMYFUNCTION("""COMPUTED_VALUE"""),"Advanced")</f>
        <v>Advanced</v>
      </c>
      <c r="D11" s="216" t="str">
        <f ca="1">IFERROR(__xludf.DUMMYFUNCTION("""COMPUTED_VALUE"""),"Assessing Digital Maturity")</f>
        <v>Assessing Digital Maturity</v>
      </c>
      <c r="E11" s="217" t="str">
        <f ca="1">IFERROR(__xludf.DUMMYFUNCTION("""COMPUTED_VALUE"""),"Develop Your Strategic Planning Skills ")</f>
        <v xml:space="preserve">Develop Your Strategic Planning Skills </v>
      </c>
      <c r="F11" s="213"/>
      <c r="G11" s="214">
        <f ca="1">IFERROR(__xludf.DUMMYFUNCTION("""COMPUTED_VALUE"""),778437)</f>
        <v>778437</v>
      </c>
      <c r="H11" s="215" t="str">
        <f ca="1">IFERROR(__xludf.DUMMYFUNCTION("""COMPUTED_VALUE"""),"Advanced")</f>
        <v>Advanced</v>
      </c>
      <c r="I11" s="217" t="str">
        <f ca="1">IFERROR(__xludf.DUMMYFUNCTION("""COMPUTED_VALUE"""),"L’agilité stratégique")</f>
        <v>L’agilité stratégique</v>
      </c>
      <c r="J11" s="217"/>
      <c r="K11" s="213"/>
      <c r="L11" s="215">
        <f ca="1">IFERROR(__xludf.DUMMYFUNCTION("""COMPUTED_VALUE"""),479575)</f>
        <v>479575</v>
      </c>
      <c r="M11" s="215" t="str">
        <f ca="1">IFERROR(__xludf.DUMMYFUNCTION("""COMPUTED_VALUE"""),"All levels")</f>
        <v>All levels</v>
      </c>
      <c r="N11" s="217" t="str">
        <f ca="1">IFERROR(__xludf.DUMMYFUNCTION("""COMPUTED_VALUE"""),"Estrategias para tomar decisiones")</f>
        <v>Estrategias para tomar decisiones</v>
      </c>
      <c r="O11" s="217"/>
      <c r="P11" s="213"/>
      <c r="Q11" s="215">
        <f ca="1">IFERROR(__xludf.DUMMYFUNCTION("""COMPUTED_VALUE"""),703235)</f>
        <v>703235</v>
      </c>
      <c r="R11" s="215" t="str">
        <f ca="1">IFERROR(__xludf.DUMMYFUNCTION("""COMPUTED_VALUE"""),"Intermediate")</f>
        <v>Intermediate</v>
      </c>
      <c r="S11" s="217" t="str">
        <f ca="1">IFERROR(__xludf.DUMMYFUNCTION("""COMPUTED_VALUE"""),"Die Unternehmensleistung messen")</f>
        <v>Die Unternehmensleistung messen</v>
      </c>
      <c r="T11" s="217"/>
      <c r="U11" s="213"/>
      <c r="V11" s="215">
        <f ca="1">IFERROR(__xludf.DUMMYFUNCTION("""COMPUTED_VALUE"""),2205133)</f>
        <v>2205133</v>
      </c>
      <c r="W11" s="215" t="str">
        <f ca="1">IFERROR(__xludf.DUMMYFUNCTION("""COMPUTED_VALUE"""),"Intermediate")</f>
        <v>Intermediate</v>
      </c>
      <c r="X11" s="217" t="str">
        <f ca="1">IFERROR(__xludf.DUMMYFUNCTION("""COMPUTED_VALUE"""),"経営幹部として意思決定を行うには")</f>
        <v>経営幹部として意思決定を行うには</v>
      </c>
      <c r="Y11" s="217"/>
      <c r="Z11" s="213"/>
      <c r="AA11" s="215">
        <f ca="1">IFERROR(__xludf.DUMMYFUNCTION("""COMPUTED_VALUE"""),2931593)</f>
        <v>2931593</v>
      </c>
      <c r="AB11" s="215" t="str">
        <f ca="1">IFERROR(__xludf.DUMMYFUNCTION("""COMPUTED_VALUE"""),"Beginner, Intermediate")</f>
        <v>Beginner, Intermediate</v>
      </c>
      <c r="AC11" s="217" t="str">
        <f ca="1">IFERROR(__xludf.DUMMYFUNCTION("""COMPUTED_VALUE"""),"Fundamentos de Negociação")</f>
        <v>Fundamentos de Negociação</v>
      </c>
      <c r="AD11" s="217"/>
      <c r="AE11" s="213"/>
      <c r="AF11" s="215">
        <f ca="1">IFERROR(__xludf.DUMMYFUNCTION("""COMPUTED_VALUE"""),5015332)</f>
        <v>5015332</v>
      </c>
      <c r="AG11" s="215" t="str">
        <f ca="1">IFERROR(__xludf.DUMMYFUNCTION("""COMPUTED_VALUE"""),"Advanced")</f>
        <v>Advanced</v>
      </c>
      <c r="AH11" s="217" t="str">
        <f ca="1">IFERROR(__xludf.DUMMYFUNCTION("""COMPUTED_VALUE"""),"战略灵活性")</f>
        <v>战略灵活性</v>
      </c>
      <c r="AI11" s="217"/>
      <c r="AJ11" s="213"/>
    </row>
    <row r="12" spans="1:36" ht="33.75" customHeight="1">
      <c r="A12" s="213"/>
      <c r="B12" s="214">
        <f ca="1">IFERROR(__xludf.DUMMYFUNCTION("""COMPUTED_VALUE"""),2895588)</f>
        <v>2895588</v>
      </c>
      <c r="C12" s="215" t="str">
        <f ca="1">IFERROR(__xludf.DUMMYFUNCTION("""COMPUTED_VALUE"""),"Advanced")</f>
        <v>Advanced</v>
      </c>
      <c r="D12" s="216" t="str">
        <f ca="1">IFERROR(__xludf.DUMMYFUNCTION("""COMPUTED_VALUE"""),"Data Strategy")</f>
        <v>Data Strategy</v>
      </c>
      <c r="E12" s="217" t="str">
        <f ca="1">IFERROR(__xludf.DUMMYFUNCTION("""COMPUTED_VALUE"""),"Digital Transformation for Leaders")</f>
        <v>Digital Transformation for Leaders</v>
      </c>
      <c r="F12" s="213"/>
      <c r="G12" s="214">
        <f ca="1">IFERROR(__xludf.DUMMYFUNCTION("""COMPUTED_VALUE"""),2391136)</f>
        <v>2391136</v>
      </c>
      <c r="H12" s="215" t="str">
        <f ca="1">IFERROR(__xludf.DUMMYFUNCTION("""COMPUTED_VALUE"""),"Intermediate")</f>
        <v>Intermediate</v>
      </c>
      <c r="I12" s="217" t="str">
        <f ca="1">IFERROR(__xludf.DUMMYFUNCTION("""COMPUTED_VALUE"""),"La minute de formation : La planification stratégique")</f>
        <v>La minute de formation : La planification stratégique</v>
      </c>
      <c r="J12" s="217"/>
      <c r="K12" s="213"/>
      <c r="L12" s="215">
        <f ca="1">IFERROR(__xludf.DUMMYFUNCTION("""COMPUTED_VALUE"""),478330)</f>
        <v>478330</v>
      </c>
      <c r="M12" s="215" t="str">
        <f ca="1">IFERROR(__xludf.DUMMYFUNCTION("""COMPUTED_VALUE"""),"Intermediate")</f>
        <v>Intermediate</v>
      </c>
      <c r="N12" s="217" t="str">
        <f ca="1">IFERROR(__xludf.DUMMYFUNCTION("""COMPUTED_VALUE"""),"Fundamentos de la planificación estratégica")</f>
        <v>Fundamentos de la planificación estratégica</v>
      </c>
      <c r="O12" s="217"/>
      <c r="P12" s="213"/>
      <c r="Q12" s="215">
        <f ca="1">IFERROR(__xludf.DUMMYFUNCTION("""COMPUTED_VALUE"""),703217)</f>
        <v>703217</v>
      </c>
      <c r="R12" s="215" t="str">
        <f ca="1">IFERROR(__xludf.DUMMYFUNCTION("""COMPUTED_VALUE"""),"Intermediate")</f>
        <v>Intermediate</v>
      </c>
      <c r="S12" s="217" t="str">
        <f ca="1">IFERROR(__xludf.DUMMYFUNCTION("""COMPUTED_VALUE"""),"Digitale Transformation im Publishing")</f>
        <v>Digitale Transformation im Publishing</v>
      </c>
      <c r="T12" s="217"/>
      <c r="U12" s="213"/>
      <c r="V12" s="215">
        <f ca="1">IFERROR(__xludf.DUMMYFUNCTION("""COMPUTED_VALUE"""),5029082)</f>
        <v>5029082</v>
      </c>
      <c r="W12" s="215" t="str">
        <f ca="1">IFERROR(__xludf.DUMMYFUNCTION("""COMPUTED_VALUE"""),"All levels")</f>
        <v>All levels</v>
      </c>
      <c r="X12" s="217" t="str">
        <f ca="1">IFERROR(__xludf.DUMMYFUNCTION("""COMPUTED_VALUE"""),"適切な意思決定をするには")</f>
        <v>適切な意思決定をするには</v>
      </c>
      <c r="Y12" s="217"/>
      <c r="Z12" s="213"/>
      <c r="AA12" s="215">
        <f ca="1">IFERROR(__xludf.DUMMYFUNCTION("""COMPUTED_VALUE"""),753150)</f>
        <v>753150</v>
      </c>
      <c r="AB12" s="215" t="str">
        <f ca="1">IFERROR(__xludf.DUMMYFUNCTION("""COMPUTED_VALUE"""),"Intermediate")</f>
        <v>Intermediate</v>
      </c>
      <c r="AC12" s="217" t="str">
        <f ca="1">IFERROR(__xludf.DUMMYFUNCTION("""COMPUTED_VALUE"""),"Fundamentos do Planejamento Estratégico")</f>
        <v>Fundamentos do Planejamento Estratégico</v>
      </c>
      <c r="AD12" s="217"/>
      <c r="AE12" s="213"/>
      <c r="AF12" s="215">
        <f ca="1">IFERROR(__xludf.DUMMYFUNCTION("""COMPUTED_VALUE"""),779388)</f>
        <v>779388</v>
      </c>
      <c r="AG12" s="215" t="str">
        <f ca="1">IFERROR(__xludf.DUMMYFUNCTION("""COMPUTED_VALUE"""),"Intermediate")</f>
        <v>Intermediate</v>
      </c>
      <c r="AH12" s="217" t="str">
        <f ca="1">IFERROR(__xludf.DUMMYFUNCTION("""COMPUTED_VALUE"""),"战略规划基础知识")</f>
        <v>战略规划基础知识</v>
      </c>
      <c r="AI12" s="217"/>
      <c r="AJ12" s="213"/>
    </row>
    <row r="13" spans="1:36" ht="33.75" customHeight="1">
      <c r="A13" s="213"/>
      <c r="B13" s="214">
        <f ca="1">IFERROR(__xludf.DUMMYFUNCTION("""COMPUTED_VALUE"""),2846000)</f>
        <v>2846000</v>
      </c>
      <c r="C13" s="215" t="str">
        <f ca="1">IFERROR(__xludf.DUMMYFUNCTION("""COMPUTED_VALUE"""),"Beginner")</f>
        <v>Beginner</v>
      </c>
      <c r="D13" s="216" t="str">
        <f ca="1">IFERROR(__xludf.DUMMYFUNCTION("""COMPUTED_VALUE"""),"Privacy for Executives and Aspiring Executives")</f>
        <v>Privacy for Executives and Aspiring Executives</v>
      </c>
      <c r="E13" s="217" t="str">
        <f ca="1">IFERROR(__xludf.DUMMYFUNCTION("""COMPUTED_VALUE"""),"Managing Change")</f>
        <v>Managing Change</v>
      </c>
      <c r="F13" s="213"/>
      <c r="G13" s="214">
        <f ca="1">IFERROR(__xludf.DUMMYFUNCTION("""COMPUTED_VALUE"""),796895)</f>
        <v>796895</v>
      </c>
      <c r="H13" s="215" t="str">
        <f ca="1">IFERROR(__xludf.DUMMYFUNCTION("""COMPUTED_VALUE"""),"Intermediate")</f>
        <v>Intermediate</v>
      </c>
      <c r="I13" s="217" t="str">
        <f ca="1">IFERROR(__xludf.DUMMYFUNCTION("""COMPUTED_VALUE"""),"La réflexion stratégique")</f>
        <v>La réflexion stratégique</v>
      </c>
      <c r="J13" s="217"/>
      <c r="K13" s="213"/>
      <c r="L13" s="215">
        <f ca="1">IFERROR(__xludf.DUMMYFUNCTION("""COMPUTED_VALUE"""),588023)</f>
        <v>588023</v>
      </c>
      <c r="M13" s="215" t="str">
        <f ca="1">IFERROR(__xludf.DUMMYFUNCTION("""COMPUTED_VALUE"""),"All levels")</f>
        <v>All levels</v>
      </c>
      <c r="N13" s="217" t="str">
        <f ca="1">IFERROR(__xludf.DUMMYFUNCTION("""COMPUTED_VALUE"""),"Jeff Weiner y cómo establecer una cultura y un plan de crecimiento")</f>
        <v>Jeff Weiner y cómo establecer una cultura y un plan de crecimiento</v>
      </c>
      <c r="O13" s="217"/>
      <c r="P13" s="213"/>
      <c r="Q13" s="215">
        <f ca="1">IFERROR(__xludf.DUMMYFUNCTION("""COMPUTED_VALUE"""),678927)</f>
        <v>678927</v>
      </c>
      <c r="R13" s="215" t="str">
        <f ca="1">IFERROR(__xludf.DUMMYFUNCTION("""COMPUTED_VALUE"""),"All levels")</f>
        <v>All levels</v>
      </c>
      <c r="S13" s="217" t="str">
        <f ca="1">IFERROR(__xludf.DUMMYFUNCTION("""COMPUTED_VALUE"""),"Disrupt yourself – Erfinden Sie sich neu")</f>
        <v>Disrupt yourself – Erfinden Sie sich neu</v>
      </c>
      <c r="T13" s="217"/>
      <c r="U13" s="213"/>
      <c r="V13" s="215"/>
      <c r="W13" s="215"/>
      <c r="X13" s="217"/>
      <c r="Y13" s="217"/>
      <c r="Z13" s="213"/>
      <c r="AA13" s="215">
        <f ca="1">IFERROR(__xludf.DUMMYFUNCTION("""COMPUTED_VALUE"""),753209)</f>
        <v>753209</v>
      </c>
      <c r="AB13" s="215" t="str">
        <f ca="1">IFERROR(__xludf.DUMMYFUNCTION("""COMPUTED_VALUE"""),"All levels")</f>
        <v>All levels</v>
      </c>
      <c r="AC13" s="217" t="str">
        <f ca="1">IFERROR(__xludf.DUMMYFUNCTION("""COMPUTED_VALUE"""),"Negociação Estratégica")</f>
        <v>Negociação Estratégica</v>
      </c>
      <c r="AD13" s="217"/>
      <c r="AE13" s="213"/>
      <c r="AF13" s="215">
        <f ca="1">IFERROR(__xludf.DUMMYFUNCTION("""COMPUTED_VALUE"""),2876276)</f>
        <v>2876276</v>
      </c>
      <c r="AG13" s="215" t="str">
        <f ca="1">IFERROR(__xludf.DUMMYFUNCTION("""COMPUTED_VALUE"""),"Beginner")</f>
        <v>Beginner</v>
      </c>
      <c r="AH13" s="217" t="str">
        <f ca="1">IFERROR(__xludf.DUMMYFUNCTION("""COMPUTED_VALUE"""),"打造学习型文化")</f>
        <v>打造学习型文化</v>
      </c>
      <c r="AI13" s="217"/>
      <c r="AJ13" s="213"/>
    </row>
    <row r="14" spans="1:36" ht="33.75" customHeight="1">
      <c r="A14" s="213"/>
      <c r="B14" s="214">
        <f ca="1">IFERROR(__xludf.DUMMYFUNCTION("""COMPUTED_VALUE"""),737754)</f>
        <v>737754</v>
      </c>
      <c r="C14" s="215" t="str">
        <f ca="1">IFERROR(__xludf.DUMMYFUNCTION("""COMPUTED_VALUE"""),"Beginner")</f>
        <v>Beginner</v>
      </c>
      <c r="D14" s="216" t="str">
        <f ca="1">IFERROR(__xludf.DUMMYFUNCTION("""COMPUTED_VALUE"""),"Mergers &amp; Acquisitions")</f>
        <v>Mergers &amp; Acquisitions</v>
      </c>
      <c r="E14" s="217"/>
      <c r="F14" s="213"/>
      <c r="G14" s="214">
        <f ca="1">IFERROR(__xludf.DUMMYFUNCTION("""COMPUTED_VALUE"""),2890358)</f>
        <v>2890358</v>
      </c>
      <c r="H14" s="215" t="str">
        <f ca="1">IFERROR(__xludf.DUMMYFUNCTION("""COMPUTED_VALUE"""),"Intermediate")</f>
        <v>Intermediate</v>
      </c>
      <c r="I14" s="217" t="str">
        <f ca="1">IFERROR(__xludf.DUMMYFUNCTION("""COMPUTED_VALUE"""),"Le marketing éthique : Doter l'entreprise d'une stratégie responsable")</f>
        <v>Le marketing éthique : Doter l'entreprise d'une stratégie responsable</v>
      </c>
      <c r="J14" s="217"/>
      <c r="K14" s="213"/>
      <c r="L14" s="215">
        <f ca="1">IFERROR(__xludf.DUMMYFUNCTION("""COMPUTED_VALUE"""),597560)</f>
        <v>597560</v>
      </c>
      <c r="M14" s="215" t="str">
        <f ca="1">IFERROR(__xludf.DUMMYFUNCTION("""COMPUTED_VALUE"""),"Beginner")</f>
        <v>Beginner</v>
      </c>
      <c r="N14" s="217" t="str">
        <f ca="1">IFERROR(__xludf.DUMMYFUNCTION("""COMPUTED_VALUE"""),"Pensamiento crítico")</f>
        <v>Pensamiento crítico</v>
      </c>
      <c r="O14" s="217"/>
      <c r="P14" s="213"/>
      <c r="Q14" s="215">
        <f ca="1">IFERROR(__xludf.DUMMYFUNCTION("""COMPUTED_VALUE"""),2929657)</f>
        <v>2929657</v>
      </c>
      <c r="R14" s="215" t="str">
        <f ca="1">IFERROR(__xludf.DUMMYFUNCTION("""COMPUTED_VALUE"""),"All levels")</f>
        <v>All levels</v>
      </c>
      <c r="S14" s="217" t="str">
        <f ca="1">IFERROR(__xludf.DUMMYFUNCTION("""COMPUTED_VALUE"""),"Ein agiles Mindset entwickeln")</f>
        <v>Ein agiles Mindset entwickeln</v>
      </c>
      <c r="T14" s="217"/>
      <c r="U14" s="213"/>
      <c r="V14" s="215"/>
      <c r="W14" s="215"/>
      <c r="X14" s="217"/>
      <c r="Y14" s="217"/>
      <c r="Z14" s="213"/>
      <c r="AA14" s="215">
        <f ca="1">IFERROR(__xludf.DUMMYFUNCTION("""COMPUTED_VALUE"""),778027)</f>
        <v>778027</v>
      </c>
      <c r="AB14" s="215" t="str">
        <f ca="1">IFERROR(__xludf.DUMMYFUNCTION("""COMPUTED_VALUE"""),"Beginner")</f>
        <v>Beginner</v>
      </c>
      <c r="AC14" s="217" t="str">
        <f ca="1">IFERROR(__xludf.DUMMYFUNCTION("""COMPUTED_VALUE"""),"Pensamento Estratégico")</f>
        <v>Pensamento Estratégico</v>
      </c>
      <c r="AD14" s="217"/>
      <c r="AE14" s="213"/>
      <c r="AF14" s="215">
        <f ca="1">IFERROR(__xludf.DUMMYFUNCTION("""COMPUTED_VALUE"""),2824434)</f>
        <v>2824434</v>
      </c>
      <c r="AG14" s="215" t="str">
        <f ca="1">IFERROR(__xludf.DUMMYFUNCTION("""COMPUTED_VALUE"""),"Intermediate")</f>
        <v>Intermediate</v>
      </c>
      <c r="AH14" s="217" t="str">
        <f ca="1">IFERROR(__xludf.DUMMYFUNCTION("""COMPUTED_VALUE"""),"敏捷式工作：通过敏捷的用户故事进行规划")</f>
        <v>敏捷式工作：通过敏捷的用户故事进行规划</v>
      </c>
      <c r="AI14" s="217"/>
      <c r="AJ14" s="213"/>
    </row>
    <row r="15" spans="1:36" ht="33.75" customHeight="1">
      <c r="A15" s="213"/>
      <c r="B15" s="214">
        <f ca="1">IFERROR(__xludf.DUMMYFUNCTION("""COMPUTED_VALUE"""),182403)</f>
        <v>182403</v>
      </c>
      <c r="C15" s="215" t="str">
        <f ca="1">IFERROR(__xludf.DUMMYFUNCTION("""COMPUTED_VALUE"""),"Intermediate")</f>
        <v>Intermediate</v>
      </c>
      <c r="D15" s="216" t="str">
        <f ca="1">IFERROR(__xludf.DUMMYFUNCTION("""COMPUTED_VALUE"""),"Developing a Competitive Strategy")</f>
        <v>Developing a Competitive Strategy</v>
      </c>
      <c r="E15" s="217"/>
      <c r="F15" s="213"/>
      <c r="G15" s="214">
        <f ca="1">IFERROR(__xludf.DUMMYFUNCTION("""COMPUTED_VALUE"""),639270)</f>
        <v>639270</v>
      </c>
      <c r="H15" s="215" t="str">
        <f ca="1">IFERROR(__xludf.DUMMYFUNCTION("""COMPUTED_VALUE"""),"Intermediate")</f>
        <v>Intermediate</v>
      </c>
      <c r="I15" s="217" t="str">
        <f ca="1">IFERROR(__xludf.DUMMYFUNCTION("""COMPUTED_VALUE"""),"Les fondements de la planification stratégique")</f>
        <v>Les fondements de la planification stratégique</v>
      </c>
      <c r="J15" s="217"/>
      <c r="K15" s="213"/>
      <c r="L15" s="215">
        <f ca="1">IFERROR(__xludf.DUMMYFUNCTION("""COMPUTED_VALUE"""),5025629)</f>
        <v>5025629</v>
      </c>
      <c r="M15" s="215" t="str">
        <f ca="1">IFERROR(__xludf.DUMMYFUNCTION("""COMPUTED_VALUE"""),"Beginner")</f>
        <v>Beginner</v>
      </c>
      <c r="N15" s="217" t="str">
        <f ca="1">IFERROR(__xludf.DUMMYFUNCTION("""COMPUTED_VALUE"""),"Pensamiento estratégico")</f>
        <v>Pensamiento estratégico</v>
      </c>
      <c r="O15" s="217"/>
      <c r="P15" s="213"/>
      <c r="Q15" s="215">
        <f ca="1">IFERROR(__xludf.DUMMYFUNCTION("""COMPUTED_VALUE"""),686936)</f>
        <v>686936</v>
      </c>
      <c r="R15" s="215" t="str">
        <f ca="1">IFERROR(__xludf.DUMMYFUNCTION("""COMPUTED_VALUE"""),"All levels")</f>
        <v>All levels</v>
      </c>
      <c r="S15" s="217" t="str">
        <f ca="1">IFERROR(__xludf.DUMMYFUNCTION("""COMPUTED_VALUE"""),"Eine Wettbewerbsstrategie entwickeln")</f>
        <v>Eine Wettbewerbsstrategie entwickeln</v>
      </c>
      <c r="T15" s="217"/>
      <c r="U15" s="213"/>
      <c r="V15" s="215"/>
      <c r="W15" s="215"/>
      <c r="X15" s="217"/>
      <c r="Y15" s="217"/>
      <c r="Z15" s="213"/>
      <c r="AA15" s="215">
        <f ca="1">IFERROR(__xludf.DUMMYFUNCTION("""COMPUTED_VALUE"""),753083)</f>
        <v>753083</v>
      </c>
      <c r="AB15" s="215" t="str">
        <f ca="1">IFERROR(__xludf.DUMMYFUNCTION("""COMPUTED_VALUE"""),"Intermediate")</f>
        <v>Intermediate</v>
      </c>
      <c r="AC15" s="217" t="str">
        <f ca="1">IFERROR(__xludf.DUMMYFUNCTION("""COMPUTED_VALUE"""),"Tomada de Decisões Executivas")</f>
        <v>Tomada de Decisões Executivas</v>
      </c>
      <c r="AD15" s="217"/>
      <c r="AE15" s="213"/>
      <c r="AF15" s="215">
        <f ca="1">IFERROR(__xludf.DUMMYFUNCTION("""COMPUTED_VALUE"""),2822700)</f>
        <v>2822700</v>
      </c>
      <c r="AG15" s="215" t="str">
        <f ca="1">IFERROR(__xludf.DUMMYFUNCTION("""COMPUTED_VALUE"""),"Beginner, Intermediate")</f>
        <v>Beginner, Intermediate</v>
      </c>
      <c r="AH15" s="217" t="str">
        <f ca="1">IFERROR(__xludf.DUMMYFUNCTION("""COMPUTED_VALUE"""),"绩效管理：进行绩效评估")</f>
        <v>绩效管理：进行绩效评估</v>
      </c>
      <c r="AI15" s="217"/>
      <c r="AJ15" s="213"/>
    </row>
    <row r="16" spans="1:36" ht="33.75" customHeight="1">
      <c r="A16" s="213"/>
      <c r="B16" s="214">
        <f ca="1">IFERROR(__xludf.DUMMYFUNCTION("""COMPUTED_VALUE"""),373563)</f>
        <v>373563</v>
      </c>
      <c r="C16" s="215" t="str">
        <f ca="1">IFERROR(__xludf.DUMMYFUNCTION("""COMPUTED_VALUE"""),"Intermediate")</f>
        <v>Intermediate</v>
      </c>
      <c r="D16" s="216" t="str">
        <f ca="1">IFERROR(__xludf.DUMMYFUNCTION("""COMPUTED_VALUE"""),"Designing Growth Strategies")</f>
        <v>Designing Growth Strategies</v>
      </c>
      <c r="E16" s="217"/>
      <c r="F16" s="213"/>
      <c r="G16" s="214">
        <f ca="1">IFERROR(__xludf.DUMMYFUNCTION("""COMPUTED_VALUE"""),699915)</f>
        <v>699915</v>
      </c>
      <c r="H16" s="215" t="str">
        <f ca="1">IFERROR(__xludf.DUMMYFUNCTION("""COMPUTED_VALUE"""),"Advanced")</f>
        <v>Advanced</v>
      </c>
      <c r="I16" s="217" t="str">
        <f ca="1">IFERROR(__xludf.DUMMYFUNCTION("""COMPUTED_VALUE"""),"Les fondements de la prise de risque pour les dirigeants / dirigeantes")</f>
        <v>Les fondements de la prise de risque pour les dirigeants / dirigeantes</v>
      </c>
      <c r="J16" s="217"/>
      <c r="K16" s="213"/>
      <c r="L16" s="215">
        <f ca="1">IFERROR(__xludf.DUMMYFUNCTION("""COMPUTED_VALUE"""),750053)</f>
        <v>750053</v>
      </c>
      <c r="M16" s="215" t="str">
        <f ca="1">IFERROR(__xludf.DUMMYFUNCTION("""COMPUTED_VALUE"""),"Intermediate")</f>
        <v>Intermediate</v>
      </c>
      <c r="N16" s="217" t="str">
        <f ca="1">IFERROR(__xludf.DUMMYFUNCTION("""COMPUTED_VALUE"""),"Recursos humanos estratégicos")</f>
        <v>Recursos humanos estratégicos</v>
      </c>
      <c r="O16" s="217"/>
      <c r="P16" s="213"/>
      <c r="Q16" s="215">
        <f ca="1">IFERROR(__xludf.DUMMYFUNCTION("""COMPUTED_VALUE"""),561066)</f>
        <v>561066</v>
      </c>
      <c r="R16" s="215" t="str">
        <f ca="1">IFERROR(__xludf.DUMMYFUNCTION("""COMPUTED_VALUE"""),"Beginner")</f>
        <v>Beginner</v>
      </c>
      <c r="S16" s="217" t="str">
        <f ca="1">IFERROR(__xludf.DUMMYFUNCTION("""COMPUTED_VALUE"""),"Einen Marketingplan schreiben")</f>
        <v>Einen Marketingplan schreiben</v>
      </c>
      <c r="T16" s="217"/>
      <c r="U16" s="213"/>
      <c r="V16" s="215"/>
      <c r="W16" s="215"/>
      <c r="X16" s="217"/>
      <c r="Y16" s="217"/>
      <c r="Z16" s="213"/>
      <c r="AA16" s="215">
        <f ca="1">IFERROR(__xludf.DUMMYFUNCTION("""COMPUTED_VALUE"""),753208)</f>
        <v>753208</v>
      </c>
      <c r="AB16" s="215" t="str">
        <f ca="1">IFERROR(__xludf.DUMMYFUNCTION("""COMPUTED_VALUE"""),"Intermediate")</f>
        <v>Intermediate</v>
      </c>
      <c r="AC16" s="217" t="str">
        <f ca="1">IFERROR(__xludf.DUMMYFUNCTION("""COMPUTED_VALUE"""),"Tomada de Riscos para Líderes")</f>
        <v>Tomada de Riscos para Líderes</v>
      </c>
      <c r="AD16" s="217"/>
      <c r="AE16" s="213"/>
      <c r="AF16" s="215">
        <f ca="1">IFERROR(__xludf.DUMMYFUNCTION("""COMPUTED_VALUE"""),2700211)</f>
        <v>2700211</v>
      </c>
      <c r="AG16" s="215" t="str">
        <f ca="1">IFERROR(__xludf.DUMMYFUNCTION("""COMPUTED_VALUE"""),"Advanced")</f>
        <v>Advanced</v>
      </c>
      <c r="AH16" s="217" t="str">
        <f ca="1">IFERROR(__xludf.DUMMYFUNCTION("""COMPUTED_VALUE"""),"设计成长策略")</f>
        <v>设计成长策略</v>
      </c>
      <c r="AI16" s="217"/>
      <c r="AJ16" s="213"/>
    </row>
    <row r="17" spans="1:36" ht="33.75" customHeight="1">
      <c r="A17" s="213"/>
      <c r="B17" s="214">
        <f ca="1">IFERROR(__xludf.DUMMYFUNCTION("""COMPUTED_VALUE"""),431182)</f>
        <v>431182</v>
      </c>
      <c r="C17" s="215" t="str">
        <f ca="1">IFERROR(__xludf.DUMMYFUNCTION("""COMPUTED_VALUE"""),"Intermediate")</f>
        <v>Intermediate</v>
      </c>
      <c r="D17" s="216" t="str">
        <f ca="1">IFERROR(__xludf.DUMMYFUNCTION("""COMPUTED_VALUE"""),"Sustainability Strategies")</f>
        <v>Sustainability Strategies</v>
      </c>
      <c r="E17" s="217"/>
      <c r="F17" s="213"/>
      <c r="G17" s="214">
        <f ca="1">IFERROR(__xludf.DUMMYFUNCTION("""COMPUTED_VALUE"""),2830004)</f>
        <v>2830004</v>
      </c>
      <c r="H17" s="215" t="str">
        <f ca="1">IFERROR(__xludf.DUMMYFUNCTION("""COMPUTED_VALUE"""),"Beginner")</f>
        <v>Beginner</v>
      </c>
      <c r="I17" s="217" t="str">
        <f ca="1">IFERROR(__xludf.DUMMYFUNCTION("""COMPUTED_VALUE"""),"Les fondements de la supply chain")</f>
        <v>Les fondements de la supply chain</v>
      </c>
      <c r="J17" s="217"/>
      <c r="K17" s="213"/>
      <c r="L17" s="215">
        <f ca="1">IFERROR(__xludf.DUMMYFUNCTION("""COMPUTED_VALUE"""),608983)</f>
        <v>608983</v>
      </c>
      <c r="M17" s="215" t="str">
        <f ca="1">IFERROR(__xludf.DUMMYFUNCTION("""COMPUTED_VALUE"""),"Beginner")</f>
        <v>Beginner</v>
      </c>
      <c r="N17" s="217" t="str">
        <f ca="1">IFERROR(__xludf.DUMMYFUNCTION("""COMPUTED_VALUE"""),"Toma de decisiones ejecutivas")</f>
        <v>Toma de decisiones ejecutivas</v>
      </c>
      <c r="O17" s="217"/>
      <c r="P17" s="213"/>
      <c r="Q17" s="215">
        <f ca="1">IFERROR(__xludf.DUMMYFUNCTION("""COMPUTED_VALUE"""),690407)</f>
        <v>690407</v>
      </c>
      <c r="R17" s="215" t="str">
        <f ca="1">IFERROR(__xludf.DUMMYFUNCTION("""COMPUTED_VALUE"""),"Intermediate")</f>
        <v>Intermediate</v>
      </c>
      <c r="S17" s="217" t="str">
        <f ca="1">IFERROR(__xludf.DUMMYFUNCTION("""COMPUTED_VALUE"""),"Entscheidungen auf Führungsebene treffen")</f>
        <v>Entscheidungen auf Führungsebene treffen</v>
      </c>
      <c r="T17" s="217"/>
      <c r="U17" s="213"/>
      <c r="V17" s="215"/>
      <c r="W17" s="215"/>
      <c r="X17" s="217"/>
      <c r="Y17" s="217"/>
      <c r="Z17" s="213"/>
      <c r="AA17" s="215">
        <f ca="1">IFERROR(__xludf.DUMMYFUNCTION("""COMPUTED_VALUE"""),2908958)</f>
        <v>2908958</v>
      </c>
      <c r="AB17" s="215" t="str">
        <f ca="1">IFERROR(__xludf.DUMMYFUNCTION("""COMPUTED_VALUE"""),"Beginner")</f>
        <v>Beginner</v>
      </c>
      <c r="AC17" s="217" t="str">
        <f ca="1">IFERROR(__xludf.DUMMYFUNCTION("""COMPUTED_VALUE"""),"Vieses Inconscientes na Tomada de Decisão")</f>
        <v>Vieses Inconscientes na Tomada de Decisão</v>
      </c>
      <c r="AD17" s="217"/>
      <c r="AE17" s="213"/>
      <c r="AF17" s="215">
        <f ca="1">IFERROR(__xludf.DUMMYFUNCTION("""COMPUTED_VALUE"""),780518)</f>
        <v>780518</v>
      </c>
      <c r="AG17" s="215" t="str">
        <f ca="1">IFERROR(__xludf.DUMMYFUNCTION("""COMPUTED_VALUE"""),"Intermediate")</f>
        <v>Intermediate</v>
      </c>
      <c r="AH17" s="217" t="str">
        <f ca="1">IFERROR(__xludf.DUMMYFUNCTION("""COMPUTED_VALUE"""),"评估企业绩效")</f>
        <v>评估企业绩效</v>
      </c>
      <c r="AI17" s="217"/>
      <c r="AJ17" s="213"/>
    </row>
    <row r="18" spans="1:36" ht="33.75" customHeight="1">
      <c r="A18" s="213"/>
      <c r="B18" s="214">
        <f ca="1">IFERROR(__xludf.DUMMYFUNCTION("""COMPUTED_VALUE"""),2811712)</f>
        <v>2811712</v>
      </c>
      <c r="C18" s="215" t="str">
        <f ca="1">IFERROR(__xludf.DUMMYFUNCTION("""COMPUTED_VALUE"""),"General")</f>
        <v>General</v>
      </c>
      <c r="D18" s="216" t="str">
        <f ca="1">IFERROR(__xludf.DUMMYFUNCTION("""COMPUTED_VALUE"""),"Aaron Dignan on Transformational Change")</f>
        <v>Aaron Dignan on Transformational Change</v>
      </c>
      <c r="E18" s="217"/>
      <c r="F18" s="213"/>
      <c r="G18" s="214">
        <f ca="1">IFERROR(__xludf.DUMMYFUNCTION("""COMPUTED_VALUE"""),605125)</f>
        <v>605125</v>
      </c>
      <c r="H18" s="215" t="str">
        <f ca="1">IFERROR(__xludf.DUMMYFUNCTION("""COMPUTED_VALUE"""),"All levels")</f>
        <v>All levels</v>
      </c>
      <c r="I18" s="217" t="str">
        <f ca="1">IFERROR(__xludf.DUMMYFUNCTION("""COMPUTED_VALUE"""),"Les fondements de l'innovation commerciale")</f>
        <v>Les fondements de l'innovation commerciale</v>
      </c>
      <c r="J18" s="217"/>
      <c r="K18" s="213"/>
      <c r="L18" s="215"/>
      <c r="M18" s="215"/>
      <c r="N18" s="217"/>
      <c r="O18" s="217"/>
      <c r="P18" s="213"/>
      <c r="Q18" s="215">
        <f ca="1">IFERROR(__xludf.DUMMYFUNCTION("""COMPUTED_VALUE"""),496630)</f>
        <v>496630</v>
      </c>
      <c r="R18" s="215" t="str">
        <f ca="1">IFERROR(__xludf.DUMMYFUNCTION("""COMPUTED_VALUE"""),"All levels")</f>
        <v>All levels</v>
      </c>
      <c r="S18" s="217" t="str">
        <f ca="1">IFERROR(__xludf.DUMMYFUNCTION("""COMPUTED_VALUE"""),"Entscheidungsfindung im Businessumfeld")</f>
        <v>Entscheidungsfindung im Businessumfeld</v>
      </c>
      <c r="T18" s="217"/>
      <c r="U18" s="213"/>
      <c r="V18" s="215"/>
      <c r="W18" s="215"/>
      <c r="X18" s="217"/>
      <c r="Y18" s="217"/>
      <c r="Z18" s="213"/>
      <c r="AA18" s="215"/>
      <c r="AB18" s="215"/>
      <c r="AC18" s="217"/>
      <c r="AD18" s="217"/>
      <c r="AE18" s="213"/>
      <c r="AF18" s="215">
        <f ca="1">IFERROR(__xludf.DUMMYFUNCTION("""COMPUTED_VALUE"""),797750)</f>
        <v>797750</v>
      </c>
      <c r="AG18" s="215" t="str">
        <f ca="1">IFERROR(__xludf.DUMMYFUNCTION("""COMPUTED_VALUE"""),"Intermediate")</f>
        <v>Intermediate</v>
      </c>
      <c r="AH18" s="217" t="str">
        <f ca="1">IFERROR(__xludf.DUMMYFUNCTION("""COMPUTED_VALUE"""),"领导者的冒险精神")</f>
        <v>领导者的冒险精神</v>
      </c>
      <c r="AI18" s="217"/>
      <c r="AJ18" s="213"/>
    </row>
    <row r="19" spans="1:36" ht="33.75" customHeight="1">
      <c r="A19" s="213"/>
      <c r="B19" s="214">
        <f ca="1">IFERROR(__xludf.DUMMYFUNCTION("""COMPUTED_VALUE"""),782126)</f>
        <v>782126</v>
      </c>
      <c r="C19" s="215" t="str">
        <f ca="1">IFERROR(__xludf.DUMMYFUNCTION("""COMPUTED_VALUE"""),"General")</f>
        <v>General</v>
      </c>
      <c r="D19" s="216" t="str">
        <f ca="1">IFERROR(__xludf.DUMMYFUNCTION("""COMPUTED_VALUE"""),"Reid Hoffman and Chris Yeh on Blitzscaling")</f>
        <v>Reid Hoffman and Chris Yeh on Blitzscaling</v>
      </c>
      <c r="E19" s="217"/>
      <c r="F19" s="213"/>
      <c r="G19" s="214">
        <f ca="1">IFERROR(__xludf.DUMMYFUNCTION("""COMPUTED_VALUE"""),778436)</f>
        <v>778436</v>
      </c>
      <c r="H19" s="215" t="str">
        <f ca="1">IFERROR(__xludf.DUMMYFUNCTION("""COMPUTED_VALUE"""),"Beginner")</f>
        <v>Beginner</v>
      </c>
      <c r="I19" s="217" t="str">
        <f ca="1">IFERROR(__xludf.DUMMYFUNCTION("""COMPUTED_VALUE"""),"Les fondements du leadership exécutif")</f>
        <v>Les fondements du leadership exécutif</v>
      </c>
      <c r="J19" s="217"/>
      <c r="K19" s="213"/>
      <c r="L19" s="215"/>
      <c r="M19" s="215"/>
      <c r="N19" s="217"/>
      <c r="O19" s="217"/>
      <c r="P19" s="213"/>
      <c r="Q19" s="215">
        <f ca="1">IFERROR(__xludf.DUMMYFUNCTION("""COMPUTED_VALUE"""),3130119)</f>
        <v>3130119</v>
      </c>
      <c r="R19" s="215" t="str">
        <f ca="1">IFERROR(__xludf.DUMMYFUNCTION("""COMPUTED_VALUE"""),"All levels")</f>
        <v>All levels</v>
      </c>
      <c r="S19" s="217" t="str">
        <f ca="1">IFERROR(__xludf.DUMMYFUNCTION("""COMPUTED_VALUE"""),"Fit für die Geschäftsführung im digitalen Zeitalter (Blinkist Kernaussagen)")</f>
        <v>Fit für die Geschäftsführung im digitalen Zeitalter (Blinkist Kernaussagen)</v>
      </c>
      <c r="T19" s="217"/>
      <c r="U19" s="213"/>
      <c r="V19" s="215"/>
      <c r="W19" s="215"/>
      <c r="X19" s="217"/>
      <c r="Y19" s="217"/>
      <c r="Z19" s="213"/>
      <c r="AA19" s="215"/>
      <c r="AB19" s="215"/>
      <c r="AC19" s="217"/>
      <c r="AD19" s="217"/>
      <c r="AE19" s="213"/>
      <c r="AF19" s="215">
        <f ca="1">IFERROR(__xludf.DUMMYFUNCTION("""COMPUTED_VALUE"""),773669)</f>
        <v>773669</v>
      </c>
      <c r="AG19" s="215" t="str">
        <f ca="1">IFERROR(__xludf.DUMMYFUNCTION("""COMPUTED_VALUE"""),"Intermediate")</f>
        <v>Intermediate</v>
      </c>
      <c r="AH19" s="217" t="str">
        <f ca="1">IFERROR(__xludf.DUMMYFUNCTION("""COMPUTED_VALUE"""),"高层决策的制定")</f>
        <v>高层决策的制定</v>
      </c>
      <c r="AI19" s="217"/>
      <c r="AJ19" s="213"/>
    </row>
    <row r="20" spans="1:36" ht="33.75" customHeight="1">
      <c r="A20" s="213"/>
      <c r="B20" s="214">
        <f ca="1">IFERROR(__xludf.DUMMYFUNCTION("""COMPUTED_VALUE"""),685023)</f>
        <v>685023</v>
      </c>
      <c r="C20" s="215" t="str">
        <f ca="1">IFERROR(__xludf.DUMMYFUNCTION("""COMPUTED_VALUE"""),"Advanced")</f>
        <v>Advanced</v>
      </c>
      <c r="D20" s="216" t="str">
        <f ca="1">IFERROR(__xludf.DUMMYFUNCTION("""COMPUTED_VALUE"""),"Leading with Vision")</f>
        <v>Leading with Vision</v>
      </c>
      <c r="E20" s="217"/>
      <c r="F20" s="213"/>
      <c r="G20" s="214">
        <f ca="1">IFERROR(__xludf.DUMMYFUNCTION("""COMPUTED_VALUE"""),633697)</f>
        <v>633697</v>
      </c>
      <c r="H20" s="215" t="str">
        <f ca="1">IFERROR(__xludf.DUMMYFUNCTION("""COMPUTED_VALUE"""),"All levels")</f>
        <v>All levels</v>
      </c>
      <c r="I20" s="217" t="str">
        <f ca="1">IFERROR(__xludf.DUMMYFUNCTION("""COMPUTED_VALUE"""),"Mener des négociations stratégiques")</f>
        <v>Mener des négociations stratégiques</v>
      </c>
      <c r="J20" s="217"/>
      <c r="K20" s="213"/>
      <c r="L20" s="215"/>
      <c r="M20" s="215"/>
      <c r="N20" s="217"/>
      <c r="O20" s="217"/>
      <c r="P20" s="213"/>
      <c r="Q20" s="215">
        <f ca="1">IFERROR(__xludf.DUMMYFUNCTION("""COMPUTED_VALUE"""),5025620)</f>
        <v>5025620</v>
      </c>
      <c r="R20" s="215" t="str">
        <f ca="1">IFERROR(__xludf.DUMMYFUNCTION("""COMPUTED_VALUE"""),"Beginner, Intermediate")</f>
        <v>Beginner, Intermediate</v>
      </c>
      <c r="S20" s="217" t="str">
        <f ca="1">IFERROR(__xludf.DUMMYFUNCTION("""COMPUTED_VALUE"""),"Führen mit Innovation")</f>
        <v>Führen mit Innovation</v>
      </c>
      <c r="T20" s="217"/>
      <c r="U20" s="213"/>
      <c r="V20" s="215"/>
      <c r="W20" s="215"/>
      <c r="X20" s="217"/>
      <c r="Y20" s="217"/>
      <c r="Z20" s="213"/>
      <c r="AA20" s="215"/>
      <c r="AB20" s="215"/>
      <c r="AC20" s="217"/>
      <c r="AD20" s="217"/>
      <c r="AE20" s="213"/>
      <c r="AF20" s="215">
        <f ca="1">IFERROR(__xludf.DUMMYFUNCTION("""COMPUTED_VALUE"""),2813372)</f>
        <v>2813372</v>
      </c>
      <c r="AG20" s="215" t="str">
        <f ca="1">IFERROR(__xludf.DUMMYFUNCTION("""COMPUTED_VALUE"""),"Intermediate")</f>
        <v>Intermediate</v>
      </c>
      <c r="AH20" s="217" t="str">
        <f ca="1">IFERROR(__xludf.DUMMYFUNCTION("""COMPUTED_VALUE"""),"高管领导力")</f>
        <v>高管领导力</v>
      </c>
      <c r="AI20" s="217"/>
      <c r="AJ20" s="213"/>
    </row>
    <row r="21" spans="1:36" ht="33.75" customHeight="1">
      <c r="A21" s="213"/>
      <c r="B21" s="214">
        <f ca="1">IFERROR(__xludf.DUMMYFUNCTION("""COMPUTED_VALUE"""),602861)</f>
        <v>602861</v>
      </c>
      <c r="C21" s="215" t="str">
        <f ca="1">IFERROR(__xludf.DUMMYFUNCTION("""COMPUTED_VALUE"""),"Advanced")</f>
        <v>Advanced</v>
      </c>
      <c r="D21" s="216" t="str">
        <f ca="1">IFERROR(__xludf.DUMMYFUNCTION("""COMPUTED_VALUE"""),"Strategic Agility")</f>
        <v>Strategic Agility</v>
      </c>
      <c r="E21" s="217"/>
      <c r="F21" s="213"/>
      <c r="G21" s="214">
        <f ca="1">IFERROR(__xludf.DUMMYFUNCTION("""COMPUTED_VALUE"""),612524)</f>
        <v>612524</v>
      </c>
      <c r="H21" s="215" t="str">
        <f ca="1">IFERROR(__xludf.DUMMYFUNCTION("""COMPUTED_VALUE"""),"Intermediate")</f>
        <v>Intermediate</v>
      </c>
      <c r="I21" s="217" t="str">
        <f ca="1">IFERROR(__xludf.DUMMYFUNCTION("""COMPUTED_VALUE"""),"Mesurer les performances de son business")</f>
        <v>Mesurer les performances de son business</v>
      </c>
      <c r="J21" s="217"/>
      <c r="K21" s="213"/>
      <c r="L21" s="215"/>
      <c r="M21" s="215"/>
      <c r="N21" s="217"/>
      <c r="O21" s="217"/>
      <c r="P21" s="213"/>
      <c r="Q21" s="215">
        <f ca="1">IFERROR(__xludf.DUMMYFUNCTION("""COMPUTED_VALUE"""),2813171)</f>
        <v>2813171</v>
      </c>
      <c r="R21" s="215" t="str">
        <f ca="1">IFERROR(__xludf.DUMMYFUNCTION("""COMPUTED_VALUE"""),"Advanced")</f>
        <v>Advanced</v>
      </c>
      <c r="S21" s="217" t="str">
        <f ca="1">IFERROR(__xludf.DUMMYFUNCTION("""COMPUTED_VALUE"""),"Führungsqualitäten für Topmanager:innen")</f>
        <v>Führungsqualitäten für Topmanager:innen</v>
      </c>
      <c r="T21" s="217"/>
      <c r="U21" s="213"/>
      <c r="V21" s="215"/>
      <c r="W21" s="215"/>
      <c r="X21" s="217"/>
      <c r="Y21" s="217"/>
      <c r="Z21" s="213"/>
      <c r="AA21" s="215"/>
      <c r="AB21" s="215"/>
      <c r="AC21" s="217"/>
      <c r="AD21" s="217"/>
      <c r="AE21" s="213"/>
      <c r="AF21" s="215"/>
      <c r="AG21" s="215"/>
      <c r="AH21" s="217"/>
      <c r="AI21" s="217"/>
      <c r="AJ21" s="213"/>
    </row>
    <row r="22" spans="1:36" ht="33.75" customHeight="1">
      <c r="A22" s="213"/>
      <c r="B22" s="214">
        <f ca="1">IFERROR(__xludf.DUMMYFUNCTION("""COMPUTED_VALUE"""),5028616)</f>
        <v>5028616</v>
      </c>
      <c r="C22" s="215" t="str">
        <f ca="1">IFERROR(__xludf.DUMMYFUNCTION("""COMPUTED_VALUE"""),"Advanced")</f>
        <v>Advanced</v>
      </c>
      <c r="D22" s="216" t="str">
        <f ca="1">IFERROR(__xludf.DUMMYFUNCTION("""COMPUTED_VALUE"""),"Strategic Partnerships: Ecosystems and Platforms")</f>
        <v>Strategic Partnerships: Ecosystems and Platforms</v>
      </c>
      <c r="E22" s="217"/>
      <c r="F22" s="213"/>
      <c r="G22" s="214">
        <f ca="1">IFERROR(__xludf.DUMMYFUNCTION("""COMPUTED_VALUE"""),608717)</f>
        <v>608717</v>
      </c>
      <c r="H22" s="215" t="str">
        <f ca="1">IFERROR(__xludf.DUMMYFUNCTION("""COMPUTED_VALUE"""),"Intermediate")</f>
        <v>Intermediate</v>
      </c>
      <c r="I22" s="217" t="str">
        <f ca="1">IFERROR(__xludf.DUMMYFUNCTION("""COMPUTED_VALUE"""),"Mettre en place une stratégie compétitive")</f>
        <v>Mettre en place une stratégie compétitive</v>
      </c>
      <c r="J22" s="217"/>
      <c r="K22" s="213"/>
      <c r="L22" s="215"/>
      <c r="M22" s="215"/>
      <c r="N22" s="217"/>
      <c r="O22" s="217"/>
      <c r="P22" s="213"/>
      <c r="Q22" s="215">
        <f ca="1">IFERROR(__xludf.DUMMYFUNCTION("""COMPUTED_VALUE"""),509598)</f>
        <v>509598</v>
      </c>
      <c r="R22" s="215" t="str">
        <f ca="1">IFERROR(__xludf.DUMMYFUNCTION("""COMPUTED_VALUE"""),"All levels")</f>
        <v>All levels</v>
      </c>
      <c r="S22" s="217" t="str">
        <f ca="1">IFERROR(__xludf.DUMMYFUNCTION("""COMPUTED_VALUE"""),"Geschäftsmodelle mit dem Business Model Canvas entwickeln")</f>
        <v>Geschäftsmodelle mit dem Business Model Canvas entwickeln</v>
      </c>
      <c r="T22" s="217"/>
      <c r="U22" s="213"/>
      <c r="V22" s="215"/>
      <c r="W22" s="215"/>
      <c r="X22" s="217"/>
      <c r="Y22" s="217"/>
      <c r="Z22" s="213"/>
      <c r="AA22" s="215"/>
      <c r="AB22" s="215"/>
      <c r="AC22" s="217"/>
      <c r="AD22" s="217"/>
      <c r="AE22" s="213"/>
      <c r="AF22" s="215"/>
      <c r="AG22" s="215"/>
      <c r="AH22" s="217"/>
      <c r="AI22" s="217"/>
      <c r="AJ22" s="213"/>
    </row>
    <row r="23" spans="1:36" ht="33.75" customHeight="1">
      <c r="A23" s="213"/>
      <c r="B23" s="214">
        <f ca="1">IFERROR(__xludf.DUMMYFUNCTION("""COMPUTED_VALUE"""),2822054)</f>
        <v>2822054</v>
      </c>
      <c r="C23" s="215" t="str">
        <f ca="1">IFERROR(__xludf.DUMMYFUNCTION("""COMPUTED_VALUE"""),"Advanced")</f>
        <v>Advanced</v>
      </c>
      <c r="D23" s="216" t="str">
        <f ca="1">IFERROR(__xludf.DUMMYFUNCTION("""COMPUTED_VALUE"""),"Digital Technologies Case Studies: AI, IOT, Robotics, Blockchain")</f>
        <v>Digital Technologies Case Studies: AI, IOT, Robotics, Blockchain</v>
      </c>
      <c r="E23" s="217"/>
      <c r="F23" s="213"/>
      <c r="G23" s="214">
        <f ca="1">IFERROR(__xludf.DUMMYFUNCTION("""COMPUTED_VALUE"""),641776)</f>
        <v>641776</v>
      </c>
      <c r="H23" s="215" t="str">
        <f ca="1">IFERROR(__xludf.DUMMYFUNCTION("""COMPUTED_VALUE"""),"Intermediate")</f>
        <v>Intermediate</v>
      </c>
      <c r="I23" s="217" t="str">
        <f ca="1">IFERROR(__xludf.DUMMYFUNCTION("""COMPUTED_VALUE"""),"Prendre des décisions exécutives")</f>
        <v>Prendre des décisions exécutives</v>
      </c>
      <c r="J23" s="217"/>
      <c r="K23" s="213"/>
      <c r="L23" s="215"/>
      <c r="M23" s="215"/>
      <c r="N23" s="217"/>
      <c r="O23" s="217"/>
      <c r="P23" s="213"/>
      <c r="Q23" s="215">
        <f ca="1">IFERROR(__xludf.DUMMYFUNCTION("""COMPUTED_VALUE"""),2815160)</f>
        <v>2815160</v>
      </c>
      <c r="R23" s="215" t="str">
        <f ca="1">IFERROR(__xludf.DUMMYFUNCTION("""COMPUTED_VALUE"""),"Beginner")</f>
        <v>Beginner</v>
      </c>
      <c r="S23" s="217" t="str">
        <f ca="1">IFERROR(__xludf.DUMMYFUNCTION("""COMPUTED_VALUE"""),"Industrie 4.0: Grundlagen und Ökosysteme")</f>
        <v>Industrie 4.0: Grundlagen und Ökosysteme</v>
      </c>
      <c r="T23" s="217"/>
      <c r="U23" s="213"/>
      <c r="V23" s="215"/>
      <c r="W23" s="215"/>
      <c r="X23" s="217"/>
      <c r="Y23" s="217"/>
      <c r="Z23" s="213"/>
      <c r="AA23" s="215"/>
      <c r="AB23" s="215"/>
      <c r="AC23" s="217"/>
      <c r="AD23" s="217"/>
      <c r="AE23" s="213"/>
      <c r="AF23" s="215"/>
      <c r="AG23" s="215"/>
      <c r="AH23" s="217"/>
      <c r="AI23" s="217"/>
      <c r="AJ23" s="213"/>
    </row>
    <row r="24" spans="1:36" ht="33.75" customHeight="1">
      <c r="A24" s="213"/>
      <c r="B24" s="214">
        <f ca="1">IFERROR(__xludf.DUMMYFUNCTION("""COMPUTED_VALUE"""),5028627)</f>
        <v>5028627</v>
      </c>
      <c r="C24" s="215" t="str">
        <f ca="1">IFERROR(__xludf.DUMMYFUNCTION("""COMPUTED_VALUE"""),"Advanced")</f>
        <v>Advanced</v>
      </c>
      <c r="D24" s="216" t="str">
        <f ca="1">IFERROR(__xludf.DUMMYFUNCTION("""COMPUTED_VALUE"""),"Organizational Thought Leadership")</f>
        <v>Organizational Thought Leadership</v>
      </c>
      <c r="E24" s="217"/>
      <c r="F24" s="213"/>
      <c r="G24" s="214">
        <f ca="1">IFERROR(__xludf.DUMMYFUNCTION("""COMPUTED_VALUE"""),494451)</f>
        <v>494451</v>
      </c>
      <c r="H24" s="215" t="str">
        <f ca="1">IFERROR(__xludf.DUMMYFUNCTION("""COMPUTED_VALUE"""),"All levels")</f>
        <v>All levels</v>
      </c>
      <c r="I24" s="217" t="str">
        <f ca="1">IFERROR(__xludf.DUMMYFUNCTION("""COMPUTED_VALUE"""),"Prendre des décisions stratégiques")</f>
        <v>Prendre des décisions stratégiques</v>
      </c>
      <c r="J24" s="217"/>
      <c r="K24" s="213"/>
      <c r="L24" s="215"/>
      <c r="M24" s="215"/>
      <c r="N24" s="217"/>
      <c r="O24" s="217"/>
      <c r="P24" s="213"/>
      <c r="Q24" s="215">
        <f ca="1">IFERROR(__xludf.DUMMYFUNCTION("""COMPUTED_VALUE"""),713867)</f>
        <v>713867</v>
      </c>
      <c r="R24" s="215" t="str">
        <f ca="1">IFERROR(__xludf.DUMMYFUNCTION("""COMPUTED_VALUE"""),"All levels")</f>
        <v>All levels</v>
      </c>
      <c r="S24" s="217" t="str">
        <f ca="1">IFERROR(__xludf.DUMMYFUNCTION("""COMPUTED_VALUE"""),"Innovation in Unternehmen")</f>
        <v>Innovation in Unternehmen</v>
      </c>
      <c r="T24" s="217"/>
      <c r="U24" s="213"/>
      <c r="V24" s="215"/>
      <c r="W24" s="215"/>
      <c r="X24" s="217"/>
      <c r="Y24" s="217"/>
      <c r="Z24" s="213"/>
      <c r="AA24" s="215"/>
      <c r="AB24" s="215"/>
      <c r="AC24" s="217"/>
      <c r="AD24" s="217"/>
      <c r="AE24" s="213"/>
      <c r="AF24" s="215"/>
      <c r="AG24" s="215"/>
      <c r="AH24" s="217"/>
      <c r="AI24" s="217"/>
      <c r="AJ24" s="213"/>
    </row>
    <row r="25" spans="1:36" ht="33.75" customHeight="1">
      <c r="A25" s="213"/>
      <c r="B25" s="214">
        <f ca="1">IFERROR(__xludf.DUMMYFUNCTION("""COMPUTED_VALUE"""),2825161)</f>
        <v>2825161</v>
      </c>
      <c r="C25" s="215" t="str">
        <f ca="1">IFERROR(__xludf.DUMMYFUNCTION("""COMPUTED_VALUE"""),"Beginner + Intermediate")</f>
        <v>Beginner + Intermediate</v>
      </c>
      <c r="D25" s="216" t="str">
        <f ca="1">IFERROR(__xludf.DUMMYFUNCTION("""COMPUTED_VALUE"""),"Goal Setting: Objectives and Key Results (OKRs)")</f>
        <v>Goal Setting: Objectives and Key Results (OKRs)</v>
      </c>
      <c r="E25" s="217"/>
      <c r="F25" s="213"/>
      <c r="G25" s="214">
        <f ca="1">IFERROR(__xludf.DUMMYFUNCTION("""COMPUTED_VALUE"""),2841046)</f>
        <v>2841046</v>
      </c>
      <c r="H25" s="215" t="str">
        <f ca="1">IFERROR(__xludf.DUMMYFUNCTION("""COMPUTED_VALUE"""),"All levels")</f>
        <v>All levels</v>
      </c>
      <c r="I25" s="217" t="str">
        <f ca="1">IFERROR(__xludf.DUMMYFUNCTION("""COMPUTED_VALUE"""),"Rédiger un business case")</f>
        <v>Rédiger un business case</v>
      </c>
      <c r="J25" s="217"/>
      <c r="K25" s="213"/>
      <c r="L25" s="215"/>
      <c r="M25" s="215"/>
      <c r="N25" s="217"/>
      <c r="O25" s="217"/>
      <c r="P25" s="213"/>
      <c r="Q25" s="215">
        <f ca="1">IFERROR(__xludf.DUMMYFUNCTION("""COMPUTED_VALUE"""),2929797)</f>
        <v>2929797</v>
      </c>
      <c r="R25" s="215" t="str">
        <f ca="1">IFERROR(__xludf.DUMMYFUNCTION("""COMPUTED_VALUE"""),"Beginner")</f>
        <v>Beginner</v>
      </c>
      <c r="S25" s="217" t="str">
        <f ca="1">IFERROR(__xludf.DUMMYFUNCTION("""COMPUTED_VALUE"""),"IoT-Grundlagen: Technologie und Anwendungsmodelle")</f>
        <v>IoT-Grundlagen: Technologie und Anwendungsmodelle</v>
      </c>
      <c r="T25" s="217"/>
      <c r="U25" s="213"/>
      <c r="V25" s="215"/>
      <c r="W25" s="215"/>
      <c r="X25" s="217"/>
      <c r="Y25" s="217"/>
      <c r="Z25" s="213"/>
      <c r="AA25" s="215"/>
      <c r="AB25" s="215"/>
      <c r="AC25" s="217"/>
      <c r="AD25" s="217"/>
      <c r="AE25" s="213"/>
      <c r="AF25" s="215"/>
      <c r="AG25" s="215"/>
      <c r="AH25" s="217"/>
      <c r="AI25" s="217"/>
      <c r="AJ25" s="213"/>
    </row>
    <row r="26" spans="1:36" ht="33.75" customHeight="1">
      <c r="A26" s="213"/>
      <c r="B26" s="214">
        <f ca="1">IFERROR(__xludf.DUMMYFUNCTION("""COMPUTED_VALUE"""),696327)</f>
        <v>696327</v>
      </c>
      <c r="C26" s="215" t="str">
        <f ca="1">IFERROR(__xludf.DUMMYFUNCTION("""COMPUTED_VALUE"""),"Beginner + Intermediate")</f>
        <v>Beginner + Intermediate</v>
      </c>
      <c r="D26" s="216" t="str">
        <f ca="1">IFERROR(__xludf.DUMMYFUNCTION("""COMPUTED_VALUE"""),"Strategic Partnerships")</f>
        <v>Strategic Partnerships</v>
      </c>
      <c r="E26" s="217"/>
      <c r="F26" s="213"/>
      <c r="G26" s="214"/>
      <c r="H26" s="215"/>
      <c r="I26" s="217"/>
      <c r="J26" s="217"/>
      <c r="K26" s="213"/>
      <c r="L26" s="215"/>
      <c r="M26" s="215"/>
      <c r="N26" s="217"/>
      <c r="O26" s="217"/>
      <c r="P26" s="213"/>
      <c r="Q26" s="215">
        <f ca="1">IFERROR(__xludf.DUMMYFUNCTION("""COMPUTED_VALUE"""),2922385)</f>
        <v>2922385</v>
      </c>
      <c r="R26" s="215" t="str">
        <f ca="1">IFERROR(__xludf.DUMMYFUNCTION("""COMPUTED_VALUE"""),"Beginner")</f>
        <v>Beginner</v>
      </c>
      <c r="S26" s="217" t="str">
        <f ca="1">IFERROR(__xludf.DUMMYFUNCTION("""COMPUTED_VALUE"""),"Künstliche Intelligenz – Grundwissen für Manager und Führungskräfte")</f>
        <v>Künstliche Intelligenz – Grundwissen für Manager und Führungskräfte</v>
      </c>
      <c r="T26" s="217"/>
      <c r="U26" s="213"/>
      <c r="V26" s="215"/>
      <c r="W26" s="215"/>
      <c r="X26" s="217"/>
      <c r="Y26" s="217"/>
      <c r="Z26" s="213"/>
      <c r="AA26" s="215"/>
      <c r="AB26" s="215"/>
      <c r="AC26" s="217"/>
      <c r="AD26" s="217"/>
      <c r="AE26" s="213"/>
      <c r="AF26" s="215"/>
      <c r="AG26" s="215"/>
      <c r="AH26" s="217"/>
      <c r="AI26" s="217"/>
      <c r="AJ26" s="213"/>
    </row>
    <row r="27" spans="1:36" ht="33.75" customHeight="1">
      <c r="A27" s="213"/>
      <c r="B27" s="214">
        <f ca="1">IFERROR(__xludf.DUMMYFUNCTION("""COMPUTED_VALUE"""),599596)</f>
        <v>599596</v>
      </c>
      <c r="C27" s="215" t="str">
        <f ca="1">IFERROR(__xludf.DUMMYFUNCTION("""COMPUTED_VALUE"""),"Intermediate")</f>
        <v>Intermediate</v>
      </c>
      <c r="D27" s="216" t="str">
        <f ca="1">IFERROR(__xludf.DUMMYFUNCTION("""COMPUTED_VALUE"""),"Assessing and Improving Strategic Plans")</f>
        <v>Assessing and Improving Strategic Plans</v>
      </c>
      <c r="E27" s="217"/>
      <c r="F27" s="213"/>
      <c r="G27" s="214"/>
      <c r="H27" s="215"/>
      <c r="I27" s="217"/>
      <c r="J27" s="217"/>
      <c r="K27" s="213"/>
      <c r="L27" s="215"/>
      <c r="M27" s="215"/>
      <c r="N27" s="217"/>
      <c r="O27" s="217"/>
      <c r="P27" s="213"/>
      <c r="Q27" s="215">
        <f ca="1">IFERROR(__xludf.DUMMYFUNCTION("""COMPUTED_VALUE"""),2824227)</f>
        <v>2824227</v>
      </c>
      <c r="R27" s="215" t="str">
        <f ca="1">IFERROR(__xludf.DUMMYFUNCTION("""COMPUTED_VALUE"""),"Beginner")</f>
        <v>Beginner</v>
      </c>
      <c r="S27" s="217" t="str">
        <f ca="1">IFERROR(__xludf.DUMMYFUNCTION("""COMPUTED_VALUE"""),"Künstliche Intelligenz: Strategie und Kommunikation im Unternehmen")</f>
        <v>Künstliche Intelligenz: Strategie und Kommunikation im Unternehmen</v>
      </c>
      <c r="T27" s="217"/>
      <c r="U27" s="213"/>
      <c r="V27" s="215"/>
      <c r="W27" s="215"/>
      <c r="X27" s="217"/>
      <c r="Y27" s="217"/>
      <c r="Z27" s="213"/>
      <c r="AA27" s="215"/>
      <c r="AB27" s="215"/>
      <c r="AC27" s="217"/>
      <c r="AD27" s="217"/>
      <c r="AE27" s="213"/>
      <c r="AF27" s="215"/>
      <c r="AG27" s="215"/>
      <c r="AH27" s="217"/>
      <c r="AI27" s="217"/>
      <c r="AJ27" s="213"/>
    </row>
    <row r="28" spans="1:36" ht="33.75" customHeight="1">
      <c r="A28" s="213"/>
      <c r="B28" s="214">
        <f ca="1">IFERROR(__xludf.DUMMYFUNCTION("""COMPUTED_VALUE"""),373992)</f>
        <v>373992</v>
      </c>
      <c r="C28" s="215" t="str">
        <f ca="1">IFERROR(__xludf.DUMMYFUNCTION("""COMPUTED_VALUE"""),"Intermediate")</f>
        <v>Intermediate</v>
      </c>
      <c r="D28" s="216" t="str">
        <f ca="1">IFERROR(__xludf.DUMMYFUNCTION("""COMPUTED_VALUE"""),"Executive Decision-Making")</f>
        <v>Executive Decision-Making</v>
      </c>
      <c r="E28" s="217"/>
      <c r="F28" s="213"/>
      <c r="G28" s="214"/>
      <c r="H28" s="215"/>
      <c r="I28" s="217"/>
      <c r="J28" s="217"/>
      <c r="K28" s="213"/>
      <c r="L28" s="215"/>
      <c r="M28" s="215"/>
      <c r="N28" s="217"/>
      <c r="O28" s="217"/>
      <c r="P28" s="213"/>
      <c r="Q28" s="215">
        <f ca="1">IFERROR(__xludf.DUMMYFUNCTION("""COMPUTED_VALUE"""),2874252)</f>
        <v>2874252</v>
      </c>
      <c r="R28" s="215" t="str">
        <f ca="1">IFERROR(__xludf.DUMMYFUNCTION("""COMPUTED_VALUE"""),"All levels")</f>
        <v>All levels</v>
      </c>
      <c r="S28" s="217" t="str">
        <f ca="1">IFERROR(__xludf.DUMMYFUNCTION("""COMPUTED_VALUE"""),"Management Y: Agile, Scrum, Design Thinking &amp; Co. (Blinkist Kernaussagen)")</f>
        <v>Management Y: Agile, Scrum, Design Thinking &amp; Co. (Blinkist Kernaussagen)</v>
      </c>
      <c r="T28" s="217"/>
      <c r="U28" s="213"/>
      <c r="V28" s="215"/>
      <c r="W28" s="215"/>
      <c r="X28" s="217"/>
      <c r="Y28" s="217"/>
      <c r="Z28" s="213"/>
      <c r="AA28" s="215"/>
      <c r="AB28" s="215"/>
      <c r="AC28" s="217"/>
      <c r="AD28" s="217"/>
      <c r="AE28" s="213"/>
      <c r="AF28" s="215"/>
      <c r="AG28" s="215"/>
      <c r="AH28" s="217"/>
      <c r="AI28" s="217"/>
      <c r="AJ28" s="213"/>
    </row>
    <row r="29" spans="1:36" ht="33.75" customHeight="1">
      <c r="A29" s="213"/>
      <c r="B29" s="214">
        <f ca="1">IFERROR(__xludf.DUMMYFUNCTION("""COMPUTED_VALUE"""),167027)</f>
        <v>167027</v>
      </c>
      <c r="C29" s="215" t="str">
        <f ca="1">IFERROR(__xludf.DUMMYFUNCTION("""COMPUTED_VALUE"""),"Intermediate")</f>
        <v>Intermediate</v>
      </c>
      <c r="D29" s="216" t="str">
        <f ca="1">IFERROR(__xludf.DUMMYFUNCTION("""COMPUTED_VALUE"""),"Executive Leadership")</f>
        <v>Executive Leadership</v>
      </c>
      <c r="E29" s="217"/>
      <c r="F29" s="213"/>
      <c r="G29" s="214"/>
      <c r="H29" s="215"/>
      <c r="I29" s="217"/>
      <c r="J29" s="217"/>
      <c r="K29" s="213"/>
      <c r="L29" s="215"/>
      <c r="M29" s="215"/>
      <c r="N29" s="217"/>
      <c r="O29" s="217"/>
      <c r="P29" s="213"/>
      <c r="Q29" s="215">
        <f ca="1">IFERROR(__xludf.DUMMYFUNCTION("""COMPUTED_VALUE"""),2929896)</f>
        <v>2929896</v>
      </c>
      <c r="R29" s="215" t="str">
        <f ca="1">IFERROR(__xludf.DUMMYFUNCTION("""COMPUTED_VALUE"""),"Beginner")</f>
        <v>Beginner</v>
      </c>
      <c r="S29" s="217" t="str">
        <f ca="1">IFERROR(__xludf.DUMMYFUNCTION("""COMPUTED_VALUE"""),"Marketing-Strategien: Das Online-Marketing-Cockpit")</f>
        <v>Marketing-Strategien: Das Online-Marketing-Cockpit</v>
      </c>
      <c r="T29" s="217"/>
      <c r="U29" s="213"/>
      <c r="V29" s="215"/>
      <c r="W29" s="215"/>
      <c r="X29" s="217"/>
      <c r="Y29" s="217"/>
      <c r="Z29" s="213"/>
      <c r="AA29" s="215"/>
      <c r="AB29" s="215"/>
      <c r="AC29" s="217"/>
      <c r="AD29" s="217"/>
      <c r="AE29" s="213"/>
      <c r="AF29" s="215"/>
      <c r="AG29" s="215"/>
      <c r="AH29" s="217"/>
      <c r="AI29" s="217"/>
      <c r="AJ29" s="213"/>
    </row>
    <row r="30" spans="1:36" ht="33.75" customHeight="1">
      <c r="A30" s="213"/>
      <c r="B30" s="214">
        <f ca="1">IFERROR(__xludf.DUMMYFUNCTION("""COMPUTED_VALUE"""),520220)</f>
        <v>520220</v>
      </c>
      <c r="C30" s="215" t="str">
        <f ca="1">IFERROR(__xludf.DUMMYFUNCTION("""COMPUTED_VALUE"""),"Intermediate")</f>
        <v>Intermediate</v>
      </c>
      <c r="D30" s="216" t="str">
        <f ca="1">IFERROR(__xludf.DUMMYFUNCTION("""COMPUTED_VALUE"""),"Organizational Learning and Development")</f>
        <v>Organizational Learning and Development</v>
      </c>
      <c r="E30" s="217"/>
      <c r="F30" s="213"/>
      <c r="G30" s="214"/>
      <c r="H30" s="215"/>
      <c r="I30" s="217"/>
      <c r="J30" s="217"/>
      <c r="K30" s="213"/>
      <c r="L30" s="215"/>
      <c r="M30" s="215"/>
      <c r="N30" s="217"/>
      <c r="O30" s="217"/>
      <c r="P30" s="213"/>
      <c r="Q30" s="215">
        <f ca="1">IFERROR(__xludf.DUMMYFUNCTION("""COMPUTED_VALUE"""),2996363)</f>
        <v>2996363</v>
      </c>
      <c r="R30" s="215" t="str">
        <f ca="1">IFERROR(__xludf.DUMMYFUNCTION("""COMPUTED_VALUE"""),"All levels")</f>
        <v>All levels</v>
      </c>
      <c r="S30" s="217" t="str">
        <f ca="1">IFERROR(__xludf.DUMMYFUNCTION("""COMPUTED_VALUE"""),"Nachhaltigkeit im Unternehmen: Grundlagen des nachhaltigen Wirtschaftens")</f>
        <v>Nachhaltigkeit im Unternehmen: Grundlagen des nachhaltigen Wirtschaftens</v>
      </c>
      <c r="T30" s="217"/>
      <c r="U30" s="213"/>
      <c r="V30" s="215"/>
      <c r="W30" s="215"/>
      <c r="X30" s="217"/>
      <c r="Y30" s="217"/>
      <c r="Z30" s="213"/>
      <c r="AA30" s="215"/>
      <c r="AB30" s="215"/>
      <c r="AC30" s="217"/>
      <c r="AD30" s="217"/>
      <c r="AE30" s="213"/>
      <c r="AF30" s="215"/>
      <c r="AG30" s="215"/>
      <c r="AH30" s="217"/>
      <c r="AI30" s="217"/>
      <c r="AJ30" s="213"/>
    </row>
    <row r="31" spans="1:36" ht="33.75" customHeight="1">
      <c r="A31" s="213"/>
      <c r="B31" s="214">
        <f ca="1">IFERROR(__xludf.DUMMYFUNCTION("""COMPUTED_VALUE"""),599594)</f>
        <v>599594</v>
      </c>
      <c r="C31" s="215" t="str">
        <f ca="1">IFERROR(__xludf.DUMMYFUNCTION("""COMPUTED_VALUE"""),"Intermediate")</f>
        <v>Intermediate</v>
      </c>
      <c r="D31" s="216" t="str">
        <f ca="1">IFERROR(__xludf.DUMMYFUNCTION("""COMPUTED_VALUE"""),"Setting Business Unit Goals")</f>
        <v>Setting Business Unit Goals</v>
      </c>
      <c r="E31" s="217"/>
      <c r="F31" s="213"/>
      <c r="G31" s="214"/>
      <c r="H31" s="215"/>
      <c r="I31" s="217"/>
      <c r="J31" s="217"/>
      <c r="K31" s="213"/>
      <c r="L31" s="215"/>
      <c r="M31" s="215"/>
      <c r="N31" s="217"/>
      <c r="O31" s="217"/>
      <c r="P31" s="213"/>
      <c r="Q31" s="215">
        <f ca="1">IFERROR(__xludf.DUMMYFUNCTION("""COMPUTED_VALUE"""),708836)</f>
        <v>708836</v>
      </c>
      <c r="R31" s="215" t="str">
        <f ca="1">IFERROR(__xludf.DUMMYFUNCTION("""COMPUTED_VALUE"""),"Beginner")</f>
        <v>Beginner</v>
      </c>
      <c r="S31" s="217" t="str">
        <f ca="1">IFERROR(__xludf.DUMMYFUNCTION("""COMPUTED_VALUE"""),"Personalstrategie – Grundlagen")</f>
        <v>Personalstrategie – Grundlagen</v>
      </c>
      <c r="T31" s="217"/>
      <c r="U31" s="213"/>
      <c r="V31" s="215"/>
      <c r="W31" s="215"/>
      <c r="X31" s="217"/>
      <c r="Y31" s="217"/>
      <c r="Z31" s="213"/>
      <c r="AA31" s="215"/>
      <c r="AB31" s="215"/>
      <c r="AC31" s="217"/>
      <c r="AD31" s="217"/>
      <c r="AE31" s="213"/>
      <c r="AF31" s="215"/>
      <c r="AG31" s="215"/>
      <c r="AH31" s="217"/>
      <c r="AI31" s="217"/>
      <c r="AJ31" s="213"/>
    </row>
    <row r="32" spans="1:36" ht="30">
      <c r="A32" s="213"/>
      <c r="B32" s="214">
        <f ca="1">IFERROR(__xludf.DUMMYFUNCTION("""COMPUTED_VALUE"""),183682)</f>
        <v>183682</v>
      </c>
      <c r="C32" s="215" t="str">
        <f ca="1">IFERROR(__xludf.DUMMYFUNCTION("""COMPUTED_VALUE"""),"Intermediate")</f>
        <v>Intermediate</v>
      </c>
      <c r="D32" s="216" t="str">
        <f ca="1">IFERROR(__xludf.DUMMYFUNCTION("""COMPUTED_VALUE"""),"Strategic Planning Foundations")</f>
        <v>Strategic Planning Foundations</v>
      </c>
      <c r="E32" s="217"/>
      <c r="F32" s="213"/>
      <c r="G32" s="214"/>
      <c r="H32" s="215"/>
      <c r="I32" s="217"/>
      <c r="J32" s="217"/>
      <c r="K32" s="213"/>
      <c r="L32" s="215"/>
      <c r="M32" s="215"/>
      <c r="N32" s="217"/>
      <c r="O32" s="217"/>
      <c r="P32" s="213"/>
      <c r="Q32" s="215">
        <f ca="1">IFERROR(__xludf.DUMMYFUNCTION("""COMPUTED_VALUE"""),2873327)</f>
        <v>2873327</v>
      </c>
      <c r="R32" s="215" t="str">
        <f ca="1">IFERROR(__xludf.DUMMYFUNCTION("""COMPUTED_VALUE"""),"All levels")</f>
        <v>All levels</v>
      </c>
      <c r="S32" s="217" t="str">
        <f ca="1">IFERROR(__xludf.DUMMYFUNCTION("""COMPUTED_VALUE"""),"Preisheiten: Alles, was Sie über Preise wissen müssen (Blinkist Kernaussagen)")</f>
        <v>Preisheiten: Alles, was Sie über Preise wissen müssen (Blinkist Kernaussagen)</v>
      </c>
      <c r="T32" s="217"/>
      <c r="U32" s="213"/>
      <c r="V32" s="215"/>
      <c r="W32" s="215"/>
      <c r="X32" s="217"/>
      <c r="Y32" s="217"/>
      <c r="Z32" s="213"/>
      <c r="AA32" s="215"/>
      <c r="AB32" s="215"/>
      <c r="AC32" s="217"/>
      <c r="AD32" s="217"/>
      <c r="AE32" s="213"/>
      <c r="AF32" s="215"/>
      <c r="AG32" s="215"/>
      <c r="AH32" s="217"/>
      <c r="AI32" s="217"/>
      <c r="AJ32" s="213"/>
    </row>
    <row r="33" spans="1:36" ht="33.75" customHeight="1">
      <c r="A33" s="213"/>
      <c r="B33" s="214">
        <f ca="1">IFERROR(__xludf.DUMMYFUNCTION("""COMPUTED_VALUE"""),2252216)</f>
        <v>2252216</v>
      </c>
      <c r="C33" s="215" t="str">
        <f ca="1">IFERROR(__xludf.DUMMYFUNCTION("""COMPUTED_VALUE"""),"Intermediate")</f>
        <v>Intermediate</v>
      </c>
      <c r="D33" s="216" t="str">
        <f ca="1">IFERROR(__xludf.DUMMYFUNCTION("""COMPUTED_VALUE"""),"Leading from the Middle")</f>
        <v>Leading from the Middle</v>
      </c>
      <c r="E33" s="217"/>
      <c r="F33" s="213"/>
      <c r="G33" s="214"/>
      <c r="H33" s="215"/>
      <c r="I33" s="217"/>
      <c r="J33" s="217"/>
      <c r="K33" s="213"/>
      <c r="L33" s="215"/>
      <c r="M33" s="215"/>
      <c r="N33" s="217"/>
      <c r="O33" s="217"/>
      <c r="P33" s="213"/>
      <c r="Q33" s="215">
        <f ca="1">IFERROR(__xludf.DUMMYFUNCTION("""COMPUTED_VALUE"""),703238)</f>
        <v>703238</v>
      </c>
      <c r="R33" s="215" t="str">
        <f ca="1">IFERROR(__xludf.DUMMYFUNCTION("""COMPUTED_VALUE"""),"Beginner")</f>
        <v>Beginner</v>
      </c>
      <c r="S33" s="217" t="str">
        <f ca="1">IFERROR(__xludf.DUMMYFUNCTION("""COMPUTED_VALUE"""),"Programmmanagement – Grundlagen")</f>
        <v>Programmmanagement – Grundlagen</v>
      </c>
      <c r="T33" s="217"/>
      <c r="U33" s="213"/>
      <c r="V33" s="215"/>
      <c r="W33" s="215"/>
      <c r="X33" s="217"/>
      <c r="Y33" s="217"/>
      <c r="Z33" s="213"/>
      <c r="AA33" s="215"/>
      <c r="AB33" s="215"/>
      <c r="AC33" s="217"/>
      <c r="AD33" s="217"/>
      <c r="AE33" s="213"/>
      <c r="AF33" s="215"/>
      <c r="AG33" s="215"/>
      <c r="AH33" s="217"/>
      <c r="AI33" s="217"/>
      <c r="AJ33" s="213"/>
    </row>
    <row r="34" spans="1:36" ht="33.75" customHeight="1">
      <c r="A34" s="213"/>
      <c r="B34" s="214">
        <f ca="1">IFERROR(__xludf.DUMMYFUNCTION("""COMPUTED_VALUE"""),2823038)</f>
        <v>2823038</v>
      </c>
      <c r="C34" s="215" t="str">
        <f ca="1">IFERROR(__xludf.DUMMYFUNCTION("""COMPUTED_VALUE"""),"Intermediate")</f>
        <v>Intermediate</v>
      </c>
      <c r="D34" s="216" t="str">
        <f ca="1">IFERROR(__xludf.DUMMYFUNCTION("""COMPUTED_VALUE"""),"Strategic Planning: Case Studies")</f>
        <v>Strategic Planning: Case Studies</v>
      </c>
      <c r="E34" s="217"/>
      <c r="F34" s="213"/>
      <c r="G34" s="214"/>
      <c r="H34" s="215"/>
      <c r="I34" s="217"/>
      <c r="J34" s="217"/>
      <c r="K34" s="213"/>
      <c r="L34" s="215"/>
      <c r="M34" s="215"/>
      <c r="N34" s="217"/>
      <c r="O34" s="217"/>
      <c r="P34" s="213"/>
      <c r="Q34" s="215">
        <f ca="1">IFERROR(__xludf.DUMMYFUNCTION("""COMPUTED_VALUE"""),2951231)</f>
        <v>2951231</v>
      </c>
      <c r="R34" s="215" t="str">
        <f ca="1">IFERROR(__xludf.DUMMYFUNCTION("""COMPUTED_VALUE"""),"Beginner")</f>
        <v>Beginner</v>
      </c>
      <c r="S34" s="217" t="str">
        <f ca="1">IFERROR(__xludf.DUMMYFUNCTION("""COMPUTED_VALUE"""),"Strategieentwicklung: Ein Überblick")</f>
        <v>Strategieentwicklung: Ein Überblick</v>
      </c>
      <c r="T34" s="217"/>
      <c r="U34" s="213"/>
      <c r="V34" s="215"/>
      <c r="W34" s="215"/>
      <c r="X34" s="217"/>
      <c r="Y34" s="217"/>
      <c r="Z34" s="213"/>
      <c r="AA34" s="215"/>
      <c r="AB34" s="215"/>
      <c r="AC34" s="217"/>
      <c r="AD34" s="217"/>
      <c r="AE34" s="213"/>
      <c r="AF34" s="215"/>
      <c r="AG34" s="215"/>
      <c r="AH34" s="217"/>
      <c r="AI34" s="217"/>
      <c r="AJ34" s="213"/>
    </row>
    <row r="35" spans="1:36" ht="33.75" customHeight="1">
      <c r="A35" s="213"/>
      <c r="B35" s="214">
        <f ca="1">IFERROR(__xludf.DUMMYFUNCTION("""COMPUTED_VALUE"""),2825455)</f>
        <v>2825455</v>
      </c>
      <c r="C35" s="215" t="str">
        <f ca="1">IFERROR(__xludf.DUMMYFUNCTION("""COMPUTED_VALUE"""),"Intermediate")</f>
        <v>Intermediate</v>
      </c>
      <c r="D35" s="216" t="str">
        <f ca="1">IFERROR(__xludf.DUMMYFUNCTION("""COMPUTED_VALUE"""),"Balancing Innovation and Risk")</f>
        <v>Balancing Innovation and Risk</v>
      </c>
      <c r="E35" s="217"/>
      <c r="F35" s="213"/>
      <c r="G35" s="214"/>
      <c r="H35" s="215"/>
      <c r="I35" s="217"/>
      <c r="J35" s="217"/>
      <c r="K35" s="213"/>
      <c r="L35" s="215"/>
      <c r="M35" s="215"/>
      <c r="N35" s="217"/>
      <c r="O35" s="217"/>
      <c r="P35" s="213"/>
      <c r="Q35" s="215">
        <f ca="1">IFERROR(__xludf.DUMMYFUNCTION("""COMPUTED_VALUE"""),674652)</f>
        <v>674652</v>
      </c>
      <c r="R35" s="215" t="str">
        <f ca="1">IFERROR(__xludf.DUMMYFUNCTION("""COMPUTED_VALUE"""),"All levels")</f>
        <v>All levels</v>
      </c>
      <c r="S35" s="217" t="str">
        <f ca="1">IFERROR(__xludf.DUMMYFUNCTION("""COMPUTED_VALUE"""),"Strategisch verhandeln")</f>
        <v>Strategisch verhandeln</v>
      </c>
      <c r="T35" s="217"/>
      <c r="U35" s="213"/>
      <c r="V35" s="215"/>
      <c r="W35" s="215"/>
      <c r="X35" s="217"/>
      <c r="Y35" s="217"/>
      <c r="Z35" s="213"/>
      <c r="AA35" s="215"/>
      <c r="AB35" s="215"/>
      <c r="AC35" s="217"/>
      <c r="AD35" s="217"/>
      <c r="AE35" s="213"/>
      <c r="AF35" s="215"/>
      <c r="AG35" s="215"/>
      <c r="AH35" s="217"/>
      <c r="AI35" s="217"/>
      <c r="AJ35" s="213"/>
    </row>
    <row r="36" spans="1:36" ht="33.75" customHeight="1">
      <c r="A36" s="213"/>
      <c r="B36" s="214">
        <f ca="1">IFERROR(__xludf.DUMMYFUNCTION("""COMPUTED_VALUE"""),592486)</f>
        <v>592486</v>
      </c>
      <c r="C36" s="215" t="str">
        <f ca="1">IFERROR(__xludf.DUMMYFUNCTION("""COMPUTED_VALUE"""),"Intermediate")</f>
        <v>Intermediate</v>
      </c>
      <c r="D36" s="216" t="str">
        <f ca="1">IFERROR(__xludf.DUMMYFUNCTION("""COMPUTED_VALUE"""),"The Future of Performance Management")</f>
        <v>The Future of Performance Management</v>
      </c>
      <c r="E36" s="217"/>
      <c r="F36" s="213"/>
      <c r="G36" s="214"/>
      <c r="H36" s="215"/>
      <c r="I36" s="217"/>
      <c r="J36" s="217"/>
      <c r="K36" s="213"/>
      <c r="L36" s="215"/>
      <c r="M36" s="215"/>
      <c r="N36" s="217"/>
      <c r="O36" s="217"/>
      <c r="P36" s="213"/>
      <c r="Q36" s="215">
        <f ca="1">IFERROR(__xludf.DUMMYFUNCTION("""COMPUTED_VALUE"""),2923126)</f>
        <v>2923126</v>
      </c>
      <c r="R36" s="215" t="str">
        <f ca="1">IFERROR(__xludf.DUMMYFUNCTION("""COMPUTED_VALUE"""),"Beginner")</f>
        <v>Beginner</v>
      </c>
      <c r="S36" s="217" t="str">
        <f ca="1">IFERROR(__xludf.DUMMYFUNCTION("""COMPUTED_VALUE"""),"Strategische Analysen – Grundlagen")</f>
        <v>Strategische Analysen – Grundlagen</v>
      </c>
      <c r="T36" s="217"/>
      <c r="U36" s="213"/>
      <c r="V36" s="215"/>
      <c r="W36" s="215"/>
      <c r="X36" s="217"/>
      <c r="Y36" s="217"/>
      <c r="Z36" s="213"/>
      <c r="AA36" s="215"/>
      <c r="AB36" s="215"/>
      <c r="AC36" s="217"/>
      <c r="AD36" s="217"/>
      <c r="AE36" s="213"/>
      <c r="AF36" s="215"/>
      <c r="AG36" s="215"/>
      <c r="AH36" s="217"/>
      <c r="AI36" s="217"/>
      <c r="AJ36" s="213"/>
    </row>
    <row r="37" spans="1:36" ht="33.75" customHeight="1">
      <c r="A37" s="213"/>
      <c r="B37" s="214">
        <f ca="1">IFERROR(__xludf.DUMMYFUNCTION("""COMPUTED_VALUE"""),599600)</f>
        <v>599600</v>
      </c>
      <c r="C37" s="215" t="str">
        <f ca="1">IFERROR(__xludf.DUMMYFUNCTION("""COMPUTED_VALUE"""),"Intermediate")</f>
        <v>Intermediate</v>
      </c>
      <c r="D37" s="216" t="str">
        <f ca="1">IFERROR(__xludf.DUMMYFUNCTION("""COMPUTED_VALUE"""),"Creating a Culture of Privacy")</f>
        <v>Creating a Culture of Privacy</v>
      </c>
      <c r="E37" s="217"/>
      <c r="F37" s="213"/>
      <c r="G37" s="214"/>
      <c r="H37" s="215"/>
      <c r="I37" s="217"/>
      <c r="J37" s="217"/>
      <c r="K37" s="213"/>
      <c r="L37" s="215"/>
      <c r="M37" s="215"/>
      <c r="N37" s="217"/>
      <c r="O37" s="217"/>
      <c r="P37" s="213"/>
      <c r="Q37" s="215">
        <f ca="1">IFERROR(__xludf.DUMMYFUNCTION("""COMPUTED_VALUE"""),536479)</f>
        <v>536479</v>
      </c>
      <c r="R37" s="215" t="str">
        <f ca="1">IFERROR(__xludf.DUMMYFUNCTION("""COMPUTED_VALUE"""),"Beginner, Intermediate")</f>
        <v>Beginner, Intermediate</v>
      </c>
      <c r="S37" s="217" t="str">
        <f ca="1">IFERROR(__xludf.DUMMYFUNCTION("""COMPUTED_VALUE"""),"Strategische Planung – Grundlagen")</f>
        <v>Strategische Planung – Grundlagen</v>
      </c>
      <c r="T37" s="217"/>
      <c r="U37" s="213"/>
      <c r="V37" s="215"/>
      <c r="W37" s="215"/>
      <c r="X37" s="217"/>
      <c r="Y37" s="217"/>
      <c r="Z37" s="213"/>
      <c r="AA37" s="215"/>
      <c r="AB37" s="215"/>
      <c r="AC37" s="217"/>
      <c r="AD37" s="217"/>
      <c r="AE37" s="213"/>
      <c r="AF37" s="215"/>
      <c r="AG37" s="215"/>
      <c r="AH37" s="217"/>
      <c r="AI37" s="217"/>
      <c r="AJ37" s="213"/>
    </row>
    <row r="38" spans="1:36" ht="33.75" customHeight="1">
      <c r="A38" s="213"/>
      <c r="B38" s="214">
        <f ca="1">IFERROR(__xludf.DUMMYFUNCTION("""COMPUTED_VALUE"""),5015884)</f>
        <v>5015884</v>
      </c>
      <c r="C38" s="215" t="str">
        <f ca="1">IFERROR(__xludf.DUMMYFUNCTION("""COMPUTED_VALUE"""),"Intermediate")</f>
        <v>Intermediate</v>
      </c>
      <c r="D38" s="216" t="str">
        <f ca="1">IFERROR(__xludf.DUMMYFUNCTION("""COMPUTED_VALUE"""),"Scaling Up Excellence: Getting to More Without Settling for Less (Blinkist Summary)")</f>
        <v>Scaling Up Excellence: Getting to More Without Settling for Less (Blinkist Summary)</v>
      </c>
      <c r="E38" s="217"/>
      <c r="F38" s="213"/>
      <c r="G38" s="214"/>
      <c r="H38" s="215"/>
      <c r="I38" s="217"/>
      <c r="J38" s="217"/>
      <c r="K38" s="213"/>
      <c r="L38" s="215"/>
      <c r="M38" s="215"/>
      <c r="N38" s="217"/>
      <c r="O38" s="217"/>
      <c r="P38" s="213"/>
      <c r="Q38" s="215">
        <f ca="1">IFERROR(__xludf.DUMMYFUNCTION("""COMPUTED_VALUE"""),2930748)</f>
        <v>2930748</v>
      </c>
      <c r="R38" s="215" t="str">
        <f ca="1">IFERROR(__xludf.DUMMYFUNCTION("""COMPUTED_VALUE"""),"Beginner")</f>
        <v>Beginner</v>
      </c>
      <c r="S38" s="217" t="str">
        <f ca="1">IFERROR(__xludf.DUMMYFUNCTION("""COMPUTED_VALUE"""),"Strategisches Controlling: Ein Überblick")</f>
        <v>Strategisches Controlling: Ein Überblick</v>
      </c>
      <c r="T38" s="217"/>
      <c r="U38" s="213"/>
      <c r="V38" s="215"/>
      <c r="W38" s="215"/>
      <c r="X38" s="217"/>
      <c r="Y38" s="217"/>
      <c r="Z38" s="213"/>
      <c r="AA38" s="215"/>
      <c r="AB38" s="215"/>
      <c r="AC38" s="217"/>
      <c r="AD38" s="217"/>
      <c r="AE38" s="213"/>
      <c r="AF38" s="215"/>
      <c r="AG38" s="215"/>
      <c r="AH38" s="217"/>
      <c r="AI38" s="217"/>
      <c r="AJ38" s="213"/>
    </row>
    <row r="39" spans="1:36" ht="33.75" customHeight="1">
      <c r="A39" s="213"/>
      <c r="B39" s="214">
        <f ca="1">IFERROR(__xludf.DUMMYFUNCTION("""COMPUTED_VALUE"""),784282)</f>
        <v>784282</v>
      </c>
      <c r="C39" s="215" t="str">
        <f ca="1">IFERROR(__xludf.DUMMYFUNCTION("""COMPUTED_VALUE"""),"Intermediate")</f>
        <v>Intermediate</v>
      </c>
      <c r="D39" s="216" t="str">
        <f ca="1">IFERROR(__xludf.DUMMYFUNCTION("""COMPUTED_VALUE"""),"Strategic Focus for Managers")</f>
        <v>Strategic Focus for Managers</v>
      </c>
      <c r="E39" s="217"/>
      <c r="F39" s="213"/>
      <c r="G39" s="214"/>
      <c r="H39" s="215"/>
      <c r="I39" s="217"/>
      <c r="J39" s="217"/>
      <c r="K39" s="213"/>
      <c r="L39" s="215"/>
      <c r="M39" s="215"/>
      <c r="N39" s="217"/>
      <c r="O39" s="217"/>
      <c r="P39" s="213"/>
      <c r="Q39" s="215">
        <f ca="1">IFERROR(__xludf.DUMMYFUNCTION("""COMPUTED_VALUE"""),703225)</f>
        <v>703225</v>
      </c>
      <c r="R39" s="215" t="str">
        <f ca="1">IFERROR(__xludf.DUMMYFUNCTION("""COMPUTED_VALUE"""),"Intermediate")</f>
        <v>Intermediate</v>
      </c>
      <c r="S39" s="217" t="str">
        <f ca="1">IFERROR(__xludf.DUMMYFUNCTION("""COMPUTED_VALUE"""),"Strategisches Denken und Handeln für Führungskräfte")</f>
        <v>Strategisches Denken und Handeln für Führungskräfte</v>
      </c>
      <c r="T39" s="217"/>
      <c r="U39" s="213"/>
      <c r="V39" s="215"/>
      <c r="W39" s="215"/>
      <c r="X39" s="217"/>
      <c r="Y39" s="217"/>
      <c r="Z39" s="213"/>
      <c r="AA39" s="215"/>
      <c r="AB39" s="215"/>
      <c r="AC39" s="217"/>
      <c r="AD39" s="217"/>
      <c r="AE39" s="213"/>
      <c r="AF39" s="215"/>
      <c r="AG39" s="215"/>
      <c r="AH39" s="217"/>
      <c r="AI39" s="217"/>
      <c r="AJ39" s="213"/>
    </row>
    <row r="40" spans="1:36" ht="33.75" customHeight="1">
      <c r="A40" s="213"/>
      <c r="B40" s="214">
        <f ca="1">IFERROR(__xludf.DUMMYFUNCTION("""COMPUTED_VALUE"""),5015866)</f>
        <v>5015866</v>
      </c>
      <c r="C40" s="215" t="str">
        <f ca="1">IFERROR(__xludf.DUMMYFUNCTION("""COMPUTED_VALUE"""),"Intermediate")</f>
        <v>Intermediate</v>
      </c>
      <c r="D40" s="216" t="str">
        <f ca="1">IFERROR(__xludf.DUMMYFUNCTION("""COMPUTED_VALUE"""),"Blue Ocean Shift: Beyond Competing (Blinkist Summary)")</f>
        <v>Blue Ocean Shift: Beyond Competing (Blinkist Summary)</v>
      </c>
      <c r="E40" s="217"/>
      <c r="F40" s="213"/>
      <c r="G40" s="214"/>
      <c r="H40" s="215"/>
      <c r="I40" s="217"/>
      <c r="J40" s="217"/>
      <c r="K40" s="213"/>
      <c r="L40" s="215"/>
      <c r="M40" s="215"/>
      <c r="N40" s="217"/>
      <c r="O40" s="217"/>
      <c r="P40" s="213"/>
      <c r="Q40" s="215">
        <f ca="1">IFERROR(__xludf.DUMMYFUNCTION("""COMPUTED_VALUE"""),544923)</f>
        <v>544923</v>
      </c>
      <c r="R40" s="215" t="str">
        <f ca="1">IFERROR(__xludf.DUMMYFUNCTION("""COMPUTED_VALUE"""),"All levels")</f>
        <v>All levels</v>
      </c>
      <c r="S40" s="217" t="str">
        <f ca="1">IFERROR(__xludf.DUMMYFUNCTION("""COMPUTED_VALUE"""),"Systemisch denken, fragen und handeln – eine Einführung")</f>
        <v>Systemisch denken, fragen und handeln – eine Einführung</v>
      </c>
      <c r="T40" s="217"/>
      <c r="U40" s="213"/>
      <c r="V40" s="215"/>
      <c r="W40" s="215"/>
      <c r="X40" s="217"/>
      <c r="Y40" s="217"/>
      <c r="Z40" s="213"/>
      <c r="AA40" s="215"/>
      <c r="AB40" s="215"/>
      <c r="AC40" s="217"/>
      <c r="AD40" s="217"/>
      <c r="AE40" s="213"/>
      <c r="AF40" s="215"/>
      <c r="AG40" s="215"/>
      <c r="AH40" s="217"/>
      <c r="AI40" s="217"/>
      <c r="AJ40" s="213"/>
    </row>
    <row r="41" spans="1:36" ht="33.75" customHeight="1">
      <c r="A41" s="213"/>
      <c r="B41" s="214">
        <f ca="1">IFERROR(__xludf.DUMMYFUNCTION("""COMPUTED_VALUE"""),791342)</f>
        <v>791342</v>
      </c>
      <c r="C41" s="215" t="str">
        <f ca="1">IFERROR(__xludf.DUMMYFUNCTION("""COMPUTED_VALUE"""),"Intermediate")</f>
        <v>Intermediate</v>
      </c>
      <c r="D41" s="216" t="str">
        <f ca="1">IFERROR(__xludf.DUMMYFUNCTION("""COMPUTED_VALUE"""),"Negotiating with Agility")</f>
        <v>Negotiating with Agility</v>
      </c>
      <c r="E41" s="217"/>
      <c r="F41" s="213"/>
      <c r="G41" s="214"/>
      <c r="H41" s="215"/>
      <c r="I41" s="217"/>
      <c r="J41" s="217"/>
      <c r="K41" s="213"/>
      <c r="L41" s="215"/>
      <c r="M41" s="215"/>
      <c r="N41" s="217"/>
      <c r="O41" s="217"/>
      <c r="P41" s="213"/>
      <c r="Q41" s="215">
        <f ca="1">IFERROR(__xludf.DUMMYFUNCTION("""COMPUTED_VALUE"""),647944)</f>
        <v>647944</v>
      </c>
      <c r="R41" s="215" t="str">
        <f ca="1">IFERROR(__xludf.DUMMYFUNCTION("""COMPUTED_VALUE"""),"All levels")</f>
        <v>All levels</v>
      </c>
      <c r="S41" s="217" t="str">
        <f ca="1">IFERROR(__xludf.DUMMYFUNCTION("""COMPUTED_VALUE"""),"Unternehmerische Fähigkeiten entwickeln")</f>
        <v>Unternehmerische Fähigkeiten entwickeln</v>
      </c>
      <c r="T41" s="217"/>
      <c r="U41" s="213"/>
      <c r="V41" s="215"/>
      <c r="W41" s="215"/>
      <c r="X41" s="217"/>
      <c r="Y41" s="217"/>
      <c r="Z41" s="213"/>
      <c r="AA41" s="215"/>
      <c r="AB41" s="215"/>
      <c r="AC41" s="217"/>
      <c r="AD41" s="217"/>
      <c r="AE41" s="213"/>
      <c r="AF41" s="215"/>
      <c r="AG41" s="215"/>
      <c r="AH41" s="217"/>
      <c r="AI41" s="217"/>
      <c r="AJ41" s="213"/>
    </row>
    <row r="42" spans="1:36" ht="33.75" customHeight="1">
      <c r="A42" s="213"/>
      <c r="B42" s="214">
        <f ca="1">IFERROR(__xludf.DUMMYFUNCTION("""COMPUTED_VALUE"""),2876118)</f>
        <v>2876118</v>
      </c>
      <c r="C42" s="215" t="str">
        <f ca="1">IFERROR(__xludf.DUMMYFUNCTION("""COMPUTED_VALUE"""),"Intermediate")</f>
        <v>Intermediate</v>
      </c>
      <c r="D42" s="216" t="str">
        <f ca="1">IFERROR(__xludf.DUMMYFUNCTION("""COMPUTED_VALUE"""),"Business Leadership, Social Change, and Movements")</f>
        <v>Business Leadership, Social Change, and Movements</v>
      </c>
      <c r="E42" s="217"/>
      <c r="F42" s="213"/>
      <c r="G42" s="214"/>
      <c r="H42" s="215"/>
      <c r="I42" s="217"/>
      <c r="J42" s="217"/>
      <c r="K42" s="213"/>
      <c r="L42" s="215"/>
      <c r="M42" s="215"/>
      <c r="N42" s="217"/>
      <c r="O42" s="217"/>
      <c r="P42" s="213"/>
      <c r="Q42" s="215">
        <f ca="1">IFERROR(__xludf.DUMMYFUNCTION("""COMPUTED_VALUE"""),759354)</f>
        <v>759354</v>
      </c>
      <c r="R42" s="215" t="str">
        <f ca="1">IFERROR(__xludf.DUMMYFUNCTION("""COMPUTED_VALUE"""),"Advanced")</f>
        <v>Advanced</v>
      </c>
      <c r="S42" s="217" t="str">
        <f ca="1">IFERROR(__xludf.DUMMYFUNCTION("""COMPUTED_VALUE"""),"Wachstumsstrategien entwickeln")</f>
        <v>Wachstumsstrategien entwickeln</v>
      </c>
      <c r="T42" s="217"/>
      <c r="U42" s="213"/>
      <c r="V42" s="215"/>
      <c r="W42" s="215"/>
      <c r="X42" s="217"/>
      <c r="Y42" s="217"/>
      <c r="Z42" s="213"/>
      <c r="AA42" s="215"/>
      <c r="AB42" s="215"/>
      <c r="AC42" s="217"/>
      <c r="AD42" s="217"/>
      <c r="AE42" s="213"/>
      <c r="AF42" s="215"/>
      <c r="AG42" s="215"/>
      <c r="AH42" s="217"/>
      <c r="AI42" s="217"/>
      <c r="AJ42" s="213"/>
    </row>
    <row r="43" spans="1:36" ht="33.75" customHeight="1">
      <c r="A43" s="213"/>
      <c r="B43" s="214">
        <f ca="1">IFERROR(__xludf.DUMMYFUNCTION("""COMPUTED_VALUE"""),2890073)</f>
        <v>2890073</v>
      </c>
      <c r="C43" s="215" t="str">
        <f ca="1">IFERROR(__xludf.DUMMYFUNCTION("""COMPUTED_VALUE"""),"Intermediate")</f>
        <v>Intermediate</v>
      </c>
      <c r="D43" s="216" t="str">
        <f ca="1">IFERROR(__xludf.DUMMYFUNCTION("""COMPUTED_VALUE"""),"Planning for the Remote-First, Work-from-Anywhere Organization")</f>
        <v>Planning for the Remote-First, Work-from-Anywhere Organization</v>
      </c>
      <c r="E43" s="217"/>
      <c r="F43" s="213"/>
      <c r="G43" s="214"/>
      <c r="H43" s="215"/>
      <c r="I43" s="217"/>
      <c r="J43" s="217"/>
      <c r="K43" s="213"/>
      <c r="L43" s="215"/>
      <c r="M43" s="215"/>
      <c r="N43" s="217"/>
      <c r="O43" s="217"/>
      <c r="P43" s="213"/>
      <c r="Q43" s="215"/>
      <c r="R43" s="215"/>
      <c r="S43" s="217"/>
      <c r="T43" s="217"/>
      <c r="U43" s="213"/>
      <c r="V43" s="215"/>
      <c r="W43" s="215"/>
      <c r="X43" s="217"/>
      <c r="Y43" s="217"/>
      <c r="Z43" s="213"/>
      <c r="AA43" s="215"/>
      <c r="AB43" s="215"/>
      <c r="AC43" s="217"/>
      <c r="AD43" s="217"/>
      <c r="AE43" s="213"/>
      <c r="AF43" s="215"/>
      <c r="AG43" s="215"/>
      <c r="AH43" s="217"/>
      <c r="AI43" s="217"/>
      <c r="AJ43" s="213"/>
    </row>
    <row r="44" spans="1:36" ht="33.75" customHeight="1">
      <c r="A44" s="213"/>
      <c r="B44" s="214">
        <f ca="1">IFERROR(__xludf.DUMMYFUNCTION("""COMPUTED_VALUE"""),688507)</f>
        <v>688507</v>
      </c>
      <c r="C44" s="215" t="str">
        <f ca="1">IFERROR(__xludf.DUMMYFUNCTION("""COMPUTED_VALUE"""),"General")</f>
        <v>General</v>
      </c>
      <c r="D44" s="216" t="str">
        <f ca="1">IFERROR(__xludf.DUMMYFUNCTION("""COMPUTED_VALUE"""),"Management Foundations: Advanced Applications")</f>
        <v>Management Foundations: Advanced Applications</v>
      </c>
      <c r="E44" s="217"/>
      <c r="F44" s="213"/>
      <c r="G44" s="214"/>
      <c r="H44" s="215"/>
      <c r="I44" s="217"/>
      <c r="J44" s="217"/>
      <c r="K44" s="213"/>
      <c r="L44" s="215"/>
      <c r="M44" s="215"/>
      <c r="N44" s="217"/>
      <c r="O44" s="217"/>
      <c r="P44" s="213"/>
      <c r="Q44" s="215"/>
      <c r="R44" s="215"/>
      <c r="S44" s="217"/>
      <c r="T44" s="217"/>
      <c r="U44" s="213"/>
      <c r="V44" s="215"/>
      <c r="W44" s="215"/>
      <c r="X44" s="217"/>
      <c r="Y44" s="217"/>
      <c r="Z44" s="213"/>
      <c r="AA44" s="215"/>
      <c r="AB44" s="215"/>
      <c r="AC44" s="217"/>
      <c r="AD44" s="217"/>
      <c r="AE44" s="213"/>
      <c r="AF44" s="215"/>
      <c r="AG44" s="215"/>
      <c r="AH44" s="217"/>
      <c r="AI44" s="217"/>
      <c r="AJ44" s="213"/>
    </row>
    <row r="45" spans="1:36" ht="33.75" customHeight="1">
      <c r="A45" s="213"/>
      <c r="B45" s="214">
        <f ca="1">IFERROR(__xludf.DUMMYFUNCTION("""COMPUTED_VALUE"""),3004946)</f>
        <v>3004946</v>
      </c>
      <c r="C45" s="215" t="str">
        <f ca="1">IFERROR(__xludf.DUMMYFUNCTION("""COMPUTED_VALUE"""),"Beginner")</f>
        <v>Beginner</v>
      </c>
      <c r="D45" s="216" t="str">
        <f ca="1">IFERROR(__xludf.DUMMYFUNCTION("""COMPUTED_VALUE"""),"How to Be More Strategic in Six Steps")</f>
        <v>How to Be More Strategic in Six Steps</v>
      </c>
      <c r="E45" s="217"/>
      <c r="F45" s="213"/>
      <c r="G45" s="214"/>
      <c r="H45" s="215"/>
      <c r="I45" s="217"/>
      <c r="J45" s="217"/>
      <c r="K45" s="213"/>
      <c r="L45" s="215"/>
      <c r="M45" s="215"/>
      <c r="N45" s="217"/>
      <c r="O45" s="217"/>
      <c r="P45" s="213"/>
      <c r="Q45" s="215"/>
      <c r="R45" s="215"/>
      <c r="S45" s="217"/>
      <c r="T45" s="217"/>
      <c r="U45" s="213"/>
      <c r="V45" s="215"/>
      <c r="W45" s="215"/>
      <c r="X45" s="217"/>
      <c r="Y45" s="217"/>
      <c r="Z45" s="213"/>
      <c r="AA45" s="215"/>
      <c r="AB45" s="215"/>
      <c r="AC45" s="217"/>
      <c r="AD45" s="217"/>
      <c r="AE45" s="213"/>
      <c r="AF45" s="215"/>
      <c r="AG45" s="215"/>
      <c r="AH45" s="217"/>
      <c r="AI45" s="217"/>
      <c r="AJ45" s="213"/>
    </row>
    <row r="46" spans="1:36" ht="33.75" customHeight="1">
      <c r="A46" s="213"/>
      <c r="B46" s="214">
        <f ca="1">IFERROR(__xludf.DUMMYFUNCTION("""COMPUTED_VALUE"""),698662)</f>
        <v>698662</v>
      </c>
      <c r="C46" s="215" t="str">
        <f ca="1">IFERROR(__xludf.DUMMYFUNCTION("""COMPUTED_VALUE"""),"Beginner + Intermediate")</f>
        <v>Beginner + Intermediate</v>
      </c>
      <c r="D46" s="216" t="str">
        <f ca="1">IFERROR(__xludf.DUMMYFUNCTION("""COMPUTED_VALUE"""),"Business Law for Managers")</f>
        <v>Business Law for Managers</v>
      </c>
      <c r="E46" s="217"/>
      <c r="F46" s="213"/>
      <c r="G46" s="214"/>
      <c r="H46" s="215"/>
      <c r="I46" s="217"/>
      <c r="J46" s="217"/>
      <c r="K46" s="213"/>
      <c r="L46" s="215"/>
      <c r="M46" s="215"/>
      <c r="N46" s="217"/>
      <c r="O46" s="217"/>
      <c r="P46" s="213"/>
      <c r="Q46" s="215"/>
      <c r="R46" s="215"/>
      <c r="S46" s="217"/>
      <c r="T46" s="217"/>
      <c r="U46" s="213"/>
      <c r="V46" s="215"/>
      <c r="W46" s="215"/>
      <c r="X46" s="217"/>
      <c r="Y46" s="217"/>
      <c r="Z46" s="213"/>
      <c r="AA46" s="215"/>
      <c r="AB46" s="215"/>
      <c r="AC46" s="217"/>
      <c r="AD46" s="217"/>
      <c r="AE46" s="213"/>
      <c r="AF46" s="215"/>
      <c r="AG46" s="215"/>
      <c r="AH46" s="217"/>
      <c r="AI46" s="217"/>
      <c r="AJ46" s="213"/>
    </row>
    <row r="47" spans="1:36" ht="33.75" customHeight="1">
      <c r="A47" s="213"/>
      <c r="B47" s="214">
        <f ca="1">IFERROR(__xludf.DUMMYFUNCTION("""COMPUTED_VALUE"""),2848048)</f>
        <v>2848048</v>
      </c>
      <c r="C47" s="215" t="str">
        <f ca="1">IFERROR(__xludf.DUMMYFUNCTION("""COMPUTED_VALUE"""),"Intermediate")</f>
        <v>Intermediate</v>
      </c>
      <c r="D47" s="216" t="str">
        <f ca="1">IFERROR(__xludf.DUMMYFUNCTION("""COMPUTED_VALUE"""),"Everything as a Service (XaaS) is the Future of Business")</f>
        <v>Everything as a Service (XaaS) is the Future of Business</v>
      </c>
      <c r="E47" s="217"/>
      <c r="F47" s="213"/>
      <c r="G47" s="214"/>
      <c r="H47" s="215"/>
      <c r="I47" s="217"/>
      <c r="J47" s="217"/>
      <c r="K47" s="213"/>
      <c r="L47" s="215"/>
      <c r="M47" s="215"/>
      <c r="N47" s="217"/>
      <c r="O47" s="217"/>
      <c r="P47" s="213"/>
      <c r="Q47" s="215"/>
      <c r="R47" s="215"/>
      <c r="S47" s="217"/>
      <c r="T47" s="217"/>
      <c r="U47" s="213"/>
      <c r="V47" s="215"/>
      <c r="W47" s="215"/>
      <c r="X47" s="217"/>
      <c r="Y47" s="217"/>
      <c r="Z47" s="213"/>
      <c r="AA47" s="215"/>
      <c r="AB47" s="215"/>
      <c r="AC47" s="217"/>
      <c r="AD47" s="217"/>
      <c r="AE47" s="213"/>
      <c r="AF47" s="215"/>
      <c r="AG47" s="215"/>
      <c r="AH47" s="217"/>
      <c r="AI47" s="217"/>
      <c r="AJ47" s="213"/>
    </row>
    <row r="48" spans="1:36" ht="33.75" customHeight="1">
      <c r="A48" s="213"/>
      <c r="B48" s="214">
        <f ca="1">IFERROR(__xludf.DUMMYFUNCTION("""COMPUTED_VALUE"""),5015876)</f>
        <v>5015876</v>
      </c>
      <c r="C48" s="215" t="str">
        <f ca="1">IFERROR(__xludf.DUMMYFUNCTION("""COMPUTED_VALUE"""),"Intermediate")</f>
        <v>Intermediate</v>
      </c>
      <c r="D48" s="216" t="str">
        <f ca="1">IFERROR(__xludf.DUMMYFUNCTION("""COMPUTED_VALUE"""),"Multipliers: How the Best Leaders Make Everyone Smarter (Blinkist Summary)")</f>
        <v>Multipliers: How the Best Leaders Make Everyone Smarter (Blinkist Summary)</v>
      </c>
      <c r="E48" s="217"/>
      <c r="F48" s="213"/>
      <c r="G48" s="214"/>
      <c r="H48" s="215"/>
      <c r="I48" s="217"/>
      <c r="J48" s="217"/>
      <c r="K48" s="213"/>
      <c r="L48" s="215"/>
      <c r="M48" s="215"/>
      <c r="N48" s="217"/>
      <c r="O48" s="217"/>
      <c r="P48" s="213"/>
      <c r="Q48" s="215"/>
      <c r="R48" s="215"/>
      <c r="S48" s="217"/>
      <c r="T48" s="217"/>
      <c r="U48" s="213"/>
      <c r="V48" s="215"/>
      <c r="W48" s="215"/>
      <c r="X48" s="217"/>
      <c r="Y48" s="217"/>
      <c r="Z48" s="213"/>
      <c r="AA48" s="215"/>
      <c r="AB48" s="215"/>
      <c r="AC48" s="217"/>
      <c r="AD48" s="217"/>
      <c r="AE48" s="213"/>
      <c r="AF48" s="215"/>
      <c r="AG48" s="215"/>
      <c r="AH48" s="217"/>
      <c r="AI48" s="217"/>
      <c r="AJ48" s="213"/>
    </row>
    <row r="49" spans="1:36" ht="33.75" customHeight="1">
      <c r="A49" s="213"/>
      <c r="B49" s="214">
        <f ca="1">IFERROR(__xludf.DUMMYFUNCTION("""COMPUTED_VALUE"""),693074)</f>
        <v>693074</v>
      </c>
      <c r="C49" s="215" t="str">
        <f ca="1">IFERROR(__xludf.DUMMYFUNCTION("""COMPUTED_VALUE"""),"Intermediate")</f>
        <v>Intermediate</v>
      </c>
      <c r="D49" s="216" t="str">
        <f ca="1">IFERROR(__xludf.DUMMYFUNCTION("""COMPUTED_VALUE"""),"Retail Sales Management")</f>
        <v>Retail Sales Management</v>
      </c>
      <c r="E49" s="217"/>
      <c r="F49" s="213"/>
      <c r="G49" s="214"/>
      <c r="H49" s="215"/>
      <c r="I49" s="217"/>
      <c r="J49" s="217"/>
      <c r="K49" s="213"/>
      <c r="L49" s="215"/>
      <c r="M49" s="215"/>
      <c r="N49" s="217"/>
      <c r="O49" s="217"/>
      <c r="P49" s="213"/>
      <c r="Q49" s="215"/>
      <c r="R49" s="215"/>
      <c r="S49" s="217"/>
      <c r="T49" s="217"/>
      <c r="U49" s="213"/>
      <c r="V49" s="215"/>
      <c r="W49" s="215"/>
      <c r="X49" s="217"/>
      <c r="Y49" s="217"/>
      <c r="Z49" s="213"/>
      <c r="AA49" s="215"/>
      <c r="AB49" s="215"/>
      <c r="AC49" s="217"/>
      <c r="AD49" s="217"/>
      <c r="AE49" s="213"/>
      <c r="AF49" s="215"/>
      <c r="AG49" s="215"/>
      <c r="AH49" s="217"/>
      <c r="AI49" s="217"/>
      <c r="AJ49" s="213"/>
    </row>
    <row r="50" spans="1:36" ht="33.75" customHeight="1">
      <c r="A50" s="213"/>
      <c r="B50" s="214">
        <f ca="1">IFERROR(__xludf.DUMMYFUNCTION("""COMPUTED_VALUE"""),592485)</f>
        <v>592485</v>
      </c>
      <c r="C50" s="215" t="str">
        <f ca="1">IFERROR(__xludf.DUMMYFUNCTION("""COMPUTED_VALUE"""),"Intermediate")</f>
        <v>Intermediate</v>
      </c>
      <c r="D50" s="216" t="str">
        <f ca="1">IFERROR(__xludf.DUMMYFUNCTION("""COMPUTED_VALUE"""),"Business Development Foundations")</f>
        <v>Business Development Foundations</v>
      </c>
      <c r="E50" s="217"/>
      <c r="F50" s="213"/>
      <c r="G50" s="214"/>
      <c r="H50" s="215"/>
      <c r="I50" s="217"/>
      <c r="J50" s="217"/>
      <c r="K50" s="213"/>
      <c r="L50" s="215"/>
      <c r="M50" s="215"/>
      <c r="N50" s="217"/>
      <c r="O50" s="217"/>
      <c r="P50" s="213"/>
      <c r="Q50" s="215"/>
      <c r="R50" s="215"/>
      <c r="S50" s="217"/>
      <c r="T50" s="217"/>
      <c r="U50" s="213"/>
      <c r="V50" s="215"/>
      <c r="W50" s="215"/>
      <c r="X50" s="217"/>
      <c r="Y50" s="217"/>
      <c r="Z50" s="213"/>
      <c r="AA50" s="215"/>
      <c r="AB50" s="215"/>
      <c r="AC50" s="217"/>
      <c r="AD50" s="217"/>
      <c r="AE50" s="213"/>
      <c r="AF50" s="215"/>
      <c r="AG50" s="215"/>
      <c r="AH50" s="217"/>
      <c r="AI50" s="217"/>
      <c r="AJ50" s="213"/>
    </row>
    <row r="51" spans="1:36" ht="33.75" customHeight="1">
      <c r="A51" s="213"/>
      <c r="B51" s="214">
        <f ca="1">IFERROR(__xludf.DUMMYFUNCTION("""COMPUTED_VALUE"""),197201)</f>
        <v>197201</v>
      </c>
      <c r="C51" s="215" t="str">
        <f ca="1">IFERROR(__xludf.DUMMYFUNCTION("""COMPUTED_VALUE"""),"Intermediate")</f>
        <v>Intermediate</v>
      </c>
      <c r="D51" s="216" t="str">
        <f ca="1">IFERROR(__xludf.DUMMYFUNCTION("""COMPUTED_VALUE"""),"Developing Executive Presence")</f>
        <v>Developing Executive Presence</v>
      </c>
      <c r="E51" s="217"/>
      <c r="F51" s="213"/>
      <c r="G51" s="214"/>
      <c r="H51" s="215"/>
      <c r="I51" s="217"/>
      <c r="J51" s="217"/>
      <c r="K51" s="213"/>
      <c r="L51" s="215"/>
      <c r="M51" s="215"/>
      <c r="N51" s="217"/>
      <c r="O51" s="217"/>
      <c r="P51" s="213"/>
      <c r="Q51" s="215"/>
      <c r="R51" s="215"/>
      <c r="S51" s="217"/>
      <c r="T51" s="217"/>
      <c r="U51" s="213"/>
      <c r="V51" s="215"/>
      <c r="W51" s="215"/>
      <c r="X51" s="217"/>
      <c r="Y51" s="217"/>
      <c r="Z51" s="213"/>
      <c r="AA51" s="215"/>
      <c r="AB51" s="215"/>
      <c r="AC51" s="217"/>
      <c r="AD51" s="217"/>
      <c r="AE51" s="213"/>
      <c r="AF51" s="215"/>
      <c r="AG51" s="215"/>
      <c r="AH51" s="217"/>
      <c r="AI51" s="217"/>
      <c r="AJ51" s="213"/>
    </row>
    <row r="52" spans="1:36" ht="33.75" customHeight="1">
      <c r="A52" s="213"/>
      <c r="B52" s="214">
        <f ca="1">IFERROR(__xludf.DUMMYFUNCTION("""COMPUTED_VALUE"""),2894117)</f>
        <v>2894117</v>
      </c>
      <c r="C52" s="215" t="str">
        <f ca="1">IFERROR(__xludf.DUMMYFUNCTION("""COMPUTED_VALUE"""),"Intermediate")</f>
        <v>Intermediate</v>
      </c>
      <c r="D52" s="216" t="str">
        <f ca="1">IFERROR(__xludf.DUMMYFUNCTION("""COMPUTED_VALUE"""),"Change Management Tips for Leaders")</f>
        <v>Change Management Tips for Leaders</v>
      </c>
      <c r="E52" s="217"/>
      <c r="F52" s="213"/>
      <c r="G52" s="214"/>
      <c r="H52" s="215"/>
      <c r="I52" s="217"/>
      <c r="J52" s="217"/>
      <c r="K52" s="213"/>
      <c r="L52" s="215"/>
      <c r="M52" s="215"/>
      <c r="N52" s="217"/>
      <c r="O52" s="217"/>
      <c r="P52" s="213"/>
      <c r="Q52" s="215"/>
      <c r="R52" s="215"/>
      <c r="S52" s="217"/>
      <c r="T52" s="217"/>
      <c r="U52" s="213"/>
      <c r="V52" s="215"/>
      <c r="W52" s="215"/>
      <c r="X52" s="217"/>
      <c r="Y52" s="217"/>
      <c r="Z52" s="213"/>
      <c r="AA52" s="215"/>
      <c r="AB52" s="215"/>
      <c r="AC52" s="217"/>
      <c r="AD52" s="217"/>
      <c r="AE52" s="213"/>
      <c r="AF52" s="215"/>
      <c r="AG52" s="215"/>
      <c r="AH52" s="217"/>
      <c r="AI52" s="217"/>
      <c r="AJ52" s="213"/>
    </row>
    <row r="53" spans="1:36" ht="33.75" customHeight="1">
      <c r="A53" s="213"/>
      <c r="B53" s="214">
        <f ca="1">IFERROR(__xludf.DUMMYFUNCTION("""COMPUTED_VALUE"""),2243043)</f>
        <v>2243043</v>
      </c>
      <c r="C53" s="215" t="str">
        <f ca="1">IFERROR(__xludf.DUMMYFUNCTION("""COMPUTED_VALUE"""),"General")</f>
        <v>General</v>
      </c>
      <c r="D53" s="216" t="str">
        <f ca="1">IFERROR(__xludf.DUMMYFUNCTION("""COMPUTED_VALUE"""),"The Secret: What Great Leaders Know and Do (getAbstract Summary)")</f>
        <v>The Secret: What Great Leaders Know and Do (getAbstract Summary)</v>
      </c>
      <c r="E53" s="217"/>
      <c r="F53" s="213"/>
      <c r="G53" s="214"/>
      <c r="H53" s="215"/>
      <c r="I53" s="217"/>
      <c r="J53" s="217"/>
      <c r="K53" s="213"/>
      <c r="L53" s="215"/>
      <c r="M53" s="215"/>
      <c r="N53" s="217"/>
      <c r="O53" s="217"/>
      <c r="P53" s="213"/>
      <c r="Q53" s="215"/>
      <c r="R53" s="215"/>
      <c r="S53" s="217"/>
      <c r="T53" s="217"/>
      <c r="U53" s="213"/>
      <c r="V53" s="215"/>
      <c r="W53" s="215"/>
      <c r="X53" s="217"/>
      <c r="Y53" s="217"/>
      <c r="Z53" s="213"/>
      <c r="AA53" s="215"/>
      <c r="AB53" s="215"/>
      <c r="AC53" s="217"/>
      <c r="AD53" s="217"/>
      <c r="AE53" s="213"/>
      <c r="AF53" s="215"/>
      <c r="AG53" s="215"/>
      <c r="AH53" s="217"/>
      <c r="AI53" s="217"/>
      <c r="AJ53" s="213"/>
    </row>
    <row r="54" spans="1:36" ht="33.75" customHeight="1">
      <c r="A54" s="213"/>
      <c r="B54" s="214">
        <f ca="1">IFERROR(__xludf.DUMMYFUNCTION("""COMPUTED_VALUE"""),2876322)</f>
        <v>2876322</v>
      </c>
      <c r="C54" s="215" t="str">
        <f ca="1">IFERROR(__xludf.DUMMYFUNCTION("""COMPUTED_VALUE"""),"General")</f>
        <v>General</v>
      </c>
      <c r="D54" s="216" t="str">
        <f ca="1">IFERROR(__xludf.DUMMYFUNCTION("""COMPUTED_VALUE"""),"How to Become a Thought Leader and Advance Your Career")</f>
        <v>How to Become a Thought Leader and Advance Your Career</v>
      </c>
      <c r="E54" s="217"/>
      <c r="F54" s="213"/>
      <c r="G54" s="214"/>
      <c r="H54" s="215"/>
      <c r="I54" s="217"/>
      <c r="J54" s="217"/>
      <c r="K54" s="213"/>
      <c r="L54" s="215"/>
      <c r="M54" s="215"/>
      <c r="N54" s="217"/>
      <c r="O54" s="217"/>
      <c r="P54" s="213"/>
      <c r="Q54" s="215"/>
      <c r="R54" s="215"/>
      <c r="S54" s="217"/>
      <c r="T54" s="217"/>
      <c r="U54" s="213"/>
      <c r="V54" s="215"/>
      <c r="W54" s="215"/>
      <c r="X54" s="217"/>
      <c r="Y54" s="217"/>
      <c r="Z54" s="213"/>
      <c r="AA54" s="215"/>
      <c r="AB54" s="215"/>
      <c r="AC54" s="217"/>
      <c r="AD54" s="217"/>
      <c r="AE54" s="213"/>
      <c r="AF54" s="215"/>
      <c r="AG54" s="215"/>
      <c r="AH54" s="217"/>
      <c r="AI54" s="217"/>
      <c r="AJ54" s="213"/>
    </row>
    <row r="55" spans="1:36" ht="33.75" customHeight="1">
      <c r="A55" s="213"/>
      <c r="B55" s="214">
        <f ca="1">IFERROR(__xludf.DUMMYFUNCTION("""COMPUTED_VALUE"""),794116)</f>
        <v>794116</v>
      </c>
      <c r="C55" s="215" t="str">
        <f ca="1">IFERROR(__xludf.DUMMYFUNCTION("""COMPUTED_VALUE"""),"Advanced")</f>
        <v>Advanced</v>
      </c>
      <c r="D55" s="216" t="str">
        <f ca="1">IFERROR(__xludf.DUMMYFUNCTION("""COMPUTED_VALUE"""),"Business Development: Strategic Planning")</f>
        <v>Business Development: Strategic Planning</v>
      </c>
      <c r="E55" s="217"/>
      <c r="F55" s="213"/>
      <c r="G55" s="214"/>
      <c r="H55" s="215"/>
      <c r="I55" s="217"/>
      <c r="J55" s="217"/>
      <c r="K55" s="213"/>
      <c r="L55" s="215"/>
      <c r="M55" s="215"/>
      <c r="N55" s="217"/>
      <c r="O55" s="217"/>
      <c r="P55" s="213"/>
      <c r="Q55" s="215"/>
      <c r="R55" s="215"/>
      <c r="S55" s="217"/>
      <c r="T55" s="217"/>
      <c r="U55" s="213"/>
      <c r="V55" s="215"/>
      <c r="W55" s="215"/>
      <c r="X55" s="217"/>
      <c r="Y55" s="217"/>
      <c r="Z55" s="213"/>
      <c r="AA55" s="215"/>
      <c r="AB55" s="215"/>
      <c r="AC55" s="217"/>
      <c r="AD55" s="217"/>
      <c r="AE55" s="213"/>
      <c r="AF55" s="215"/>
      <c r="AG55" s="215"/>
      <c r="AH55" s="217"/>
      <c r="AI55" s="217"/>
      <c r="AJ55" s="213"/>
    </row>
    <row r="56" spans="1:36" ht="33.75" customHeight="1">
      <c r="A56" s="213"/>
      <c r="B56" s="214">
        <f ca="1">IFERROR(__xludf.DUMMYFUNCTION("""COMPUTED_VALUE"""),2823579)</f>
        <v>2823579</v>
      </c>
      <c r="C56" s="215" t="str">
        <f ca="1">IFERROR(__xludf.DUMMYFUNCTION("""COMPUTED_VALUE"""),"Advanced")</f>
        <v>Advanced</v>
      </c>
      <c r="D56" s="216" t="str">
        <f ca="1">IFERROR(__xludf.DUMMYFUNCTION("""COMPUTED_VALUE"""),"Adaptive Leadership for VUCA Challenges")</f>
        <v>Adaptive Leadership for VUCA Challenges</v>
      </c>
      <c r="E56" s="217"/>
      <c r="F56" s="213"/>
      <c r="G56" s="214"/>
      <c r="H56" s="215"/>
      <c r="I56" s="217"/>
      <c r="J56" s="217"/>
      <c r="K56" s="213"/>
      <c r="L56" s="215"/>
      <c r="M56" s="215"/>
      <c r="N56" s="217"/>
      <c r="O56" s="217"/>
      <c r="P56" s="213"/>
      <c r="Q56" s="215"/>
      <c r="R56" s="215"/>
      <c r="S56" s="217"/>
      <c r="T56" s="217"/>
      <c r="U56" s="213"/>
      <c r="V56" s="215"/>
      <c r="W56" s="215"/>
      <c r="X56" s="217"/>
      <c r="Y56" s="217"/>
      <c r="Z56" s="213"/>
      <c r="AA56" s="215"/>
      <c r="AB56" s="215"/>
      <c r="AC56" s="217"/>
      <c r="AD56" s="217"/>
      <c r="AE56" s="213"/>
      <c r="AF56" s="215"/>
      <c r="AG56" s="215"/>
      <c r="AH56" s="217"/>
      <c r="AI56" s="217"/>
      <c r="AJ56" s="213"/>
    </row>
    <row r="57" spans="1:36" ht="33.75" customHeight="1">
      <c r="A57" s="213"/>
      <c r="B57" s="214">
        <f ca="1">IFERROR(__xludf.DUMMYFUNCTION("""COMPUTED_VALUE"""),2841614)</f>
        <v>2841614</v>
      </c>
      <c r="C57" s="215" t="str">
        <f ca="1">IFERROR(__xludf.DUMMYFUNCTION("""COMPUTED_VALUE"""),"Beginner")</f>
        <v>Beginner</v>
      </c>
      <c r="D57" s="216" t="str">
        <f ca="1">IFERROR(__xludf.DUMMYFUNCTION("""COMPUTED_VALUE"""),"Designing an Authentic Brand")</f>
        <v>Designing an Authentic Brand</v>
      </c>
      <c r="E57" s="217"/>
      <c r="F57" s="213"/>
      <c r="G57" s="214"/>
      <c r="H57" s="215"/>
      <c r="I57" s="217"/>
      <c r="J57" s="217"/>
      <c r="K57" s="213"/>
      <c r="L57" s="215"/>
      <c r="M57" s="215"/>
      <c r="N57" s="217"/>
      <c r="O57" s="217"/>
      <c r="P57" s="213"/>
      <c r="Q57" s="215"/>
      <c r="R57" s="215"/>
      <c r="S57" s="217"/>
      <c r="T57" s="217"/>
      <c r="U57" s="213"/>
      <c r="V57" s="215"/>
      <c r="W57" s="215"/>
      <c r="X57" s="217"/>
      <c r="Y57" s="217"/>
      <c r="Z57" s="213"/>
      <c r="AA57" s="215"/>
      <c r="AB57" s="215"/>
      <c r="AC57" s="217"/>
      <c r="AD57" s="217"/>
      <c r="AE57" s="213"/>
      <c r="AF57" s="215"/>
      <c r="AG57" s="215"/>
      <c r="AH57" s="217"/>
      <c r="AI57" s="217"/>
      <c r="AJ57" s="213"/>
    </row>
    <row r="58" spans="1:36" ht="33.75" customHeight="1">
      <c r="A58" s="213"/>
      <c r="B58" s="214">
        <f ca="1">IFERROR(__xludf.DUMMYFUNCTION("""COMPUTED_VALUE"""),2849263)</f>
        <v>2849263</v>
      </c>
      <c r="C58" s="215" t="str">
        <f ca="1">IFERROR(__xludf.DUMMYFUNCTION("""COMPUTED_VALUE"""),"Beginner")</f>
        <v>Beginner</v>
      </c>
      <c r="D58" s="216" t="str">
        <f ca="1">IFERROR(__xludf.DUMMYFUNCTION("""COMPUTED_VALUE"""),"SAP ERP Essential Training")</f>
        <v>SAP ERP Essential Training</v>
      </c>
      <c r="E58" s="217"/>
      <c r="F58" s="213"/>
      <c r="G58" s="214"/>
      <c r="H58" s="215"/>
      <c r="I58" s="217"/>
      <c r="J58" s="217"/>
      <c r="K58" s="213"/>
      <c r="L58" s="215"/>
      <c r="M58" s="215"/>
      <c r="N58" s="217"/>
      <c r="O58" s="217"/>
      <c r="P58" s="213"/>
      <c r="Q58" s="215"/>
      <c r="R58" s="215"/>
      <c r="S58" s="217"/>
      <c r="T58" s="217"/>
      <c r="U58" s="213"/>
      <c r="V58" s="215"/>
      <c r="W58" s="215"/>
      <c r="X58" s="217"/>
      <c r="Y58" s="217"/>
      <c r="Z58" s="213"/>
      <c r="AA58" s="215"/>
      <c r="AB58" s="215"/>
      <c r="AC58" s="217"/>
      <c r="AD58" s="217"/>
      <c r="AE58" s="213"/>
      <c r="AF58" s="215"/>
      <c r="AG58" s="215"/>
      <c r="AH58" s="217"/>
      <c r="AI58" s="217"/>
      <c r="AJ58" s="213"/>
    </row>
    <row r="59" spans="1:36" ht="33.75" customHeight="1">
      <c r="A59" s="213"/>
      <c r="B59" s="214">
        <f ca="1">IFERROR(__xludf.DUMMYFUNCTION("""COMPUTED_VALUE"""),2841524)</f>
        <v>2841524</v>
      </c>
      <c r="C59" s="215" t="str">
        <f ca="1">IFERROR(__xludf.DUMMYFUNCTION("""COMPUTED_VALUE"""),"Beginner")</f>
        <v>Beginner</v>
      </c>
      <c r="D59" s="216" t="str">
        <f ca="1">IFERROR(__xludf.DUMMYFUNCTION("""COMPUTED_VALUE"""),"Learning Logo Design")</f>
        <v>Learning Logo Design</v>
      </c>
      <c r="E59" s="217"/>
      <c r="F59" s="213"/>
      <c r="G59" s="214"/>
      <c r="H59" s="215"/>
      <c r="I59" s="217"/>
      <c r="J59" s="217"/>
      <c r="K59" s="213"/>
      <c r="L59" s="215"/>
      <c r="M59" s="215"/>
      <c r="N59" s="217"/>
      <c r="O59" s="217"/>
      <c r="P59" s="213"/>
      <c r="Q59" s="215"/>
      <c r="R59" s="215"/>
      <c r="S59" s="217"/>
      <c r="T59" s="217"/>
      <c r="U59" s="213"/>
      <c r="V59" s="215"/>
      <c r="W59" s="215"/>
      <c r="X59" s="217"/>
      <c r="Y59" s="217"/>
      <c r="Z59" s="213"/>
      <c r="AA59" s="215"/>
      <c r="AB59" s="215"/>
      <c r="AC59" s="217"/>
      <c r="AD59" s="217"/>
      <c r="AE59" s="213"/>
      <c r="AF59" s="215"/>
      <c r="AG59" s="215"/>
      <c r="AH59" s="217"/>
      <c r="AI59" s="217"/>
      <c r="AJ59" s="213"/>
    </row>
    <row r="60" spans="1:36" ht="33.75" customHeight="1">
      <c r="A60" s="213"/>
      <c r="B60" s="214">
        <f ca="1">IFERROR(__xludf.DUMMYFUNCTION("""COMPUTED_VALUE"""),630592)</f>
        <v>630592</v>
      </c>
      <c r="C60" s="215" t="str">
        <f ca="1">IFERROR(__xludf.DUMMYFUNCTION("""COMPUTED_VALUE"""),"Beginner")</f>
        <v>Beginner</v>
      </c>
      <c r="D60" s="216" t="str">
        <f ca="1">IFERROR(__xludf.DUMMYFUNCTION("""COMPUTED_VALUE"""),"Strategic Thinking")</f>
        <v>Strategic Thinking</v>
      </c>
      <c r="E60" s="217"/>
      <c r="F60" s="213"/>
      <c r="G60" s="214"/>
      <c r="H60" s="215"/>
      <c r="I60" s="217"/>
      <c r="J60" s="217"/>
      <c r="K60" s="213"/>
      <c r="L60" s="215"/>
      <c r="M60" s="215"/>
      <c r="N60" s="217"/>
      <c r="O60" s="217"/>
      <c r="P60" s="213"/>
      <c r="Q60" s="215"/>
      <c r="R60" s="215"/>
      <c r="S60" s="217"/>
      <c r="T60" s="217"/>
      <c r="U60" s="213"/>
      <c r="V60" s="215"/>
      <c r="W60" s="215"/>
      <c r="X60" s="217"/>
      <c r="Y60" s="217"/>
      <c r="Z60" s="213"/>
      <c r="AA60" s="215"/>
      <c r="AB60" s="215"/>
      <c r="AC60" s="217"/>
      <c r="AD60" s="217"/>
      <c r="AE60" s="213"/>
      <c r="AF60" s="215"/>
      <c r="AG60" s="215"/>
      <c r="AH60" s="217"/>
      <c r="AI60" s="217"/>
      <c r="AJ60" s="213"/>
    </row>
    <row r="61" spans="1:36" ht="33.75" customHeight="1">
      <c r="A61" s="213"/>
      <c r="B61" s="214">
        <f ca="1">IFERROR(__xludf.DUMMYFUNCTION("""COMPUTED_VALUE"""),2814144)</f>
        <v>2814144</v>
      </c>
      <c r="C61" s="215" t="str">
        <f ca="1">IFERROR(__xludf.DUMMYFUNCTION("""COMPUTED_VALUE"""),"Beginner")</f>
        <v>Beginner</v>
      </c>
      <c r="D61" s="216" t="str">
        <f ca="1">IFERROR(__xludf.DUMMYFUNCTION("""COMPUTED_VALUE"""),"Defining and Segmenting Competition")</f>
        <v>Defining and Segmenting Competition</v>
      </c>
      <c r="E61" s="217"/>
      <c r="F61" s="213"/>
      <c r="G61" s="214"/>
      <c r="H61" s="215"/>
      <c r="I61" s="217"/>
      <c r="J61" s="217"/>
      <c r="K61" s="213"/>
      <c r="L61" s="215"/>
      <c r="M61" s="215"/>
      <c r="N61" s="217"/>
      <c r="O61" s="217"/>
      <c r="P61" s="213"/>
      <c r="Q61" s="215"/>
      <c r="R61" s="215"/>
      <c r="S61" s="217"/>
      <c r="T61" s="217"/>
      <c r="U61" s="213"/>
      <c r="V61" s="215"/>
      <c r="W61" s="215"/>
      <c r="X61" s="217"/>
      <c r="Y61" s="217"/>
      <c r="Z61" s="213"/>
      <c r="AA61" s="215"/>
      <c r="AB61" s="215"/>
      <c r="AC61" s="217"/>
      <c r="AD61" s="217"/>
      <c r="AE61" s="213"/>
      <c r="AF61" s="215"/>
      <c r="AG61" s="215"/>
      <c r="AH61" s="217"/>
      <c r="AI61" s="217"/>
      <c r="AJ61" s="213"/>
    </row>
    <row r="62" spans="1:36" ht="33.75" customHeight="1">
      <c r="A62" s="213"/>
      <c r="B62" s="214">
        <f ca="1">IFERROR(__xludf.DUMMYFUNCTION("""COMPUTED_VALUE"""),2814147)</f>
        <v>2814147</v>
      </c>
      <c r="C62" s="215" t="str">
        <f ca="1">IFERROR(__xludf.DUMMYFUNCTION("""COMPUTED_VALUE"""),"Beginner")</f>
        <v>Beginner</v>
      </c>
      <c r="D62" s="216" t="str">
        <f ca="1">IFERROR(__xludf.DUMMYFUNCTION("""COMPUTED_VALUE"""),"Creating a Unique Competitive Advantage")</f>
        <v>Creating a Unique Competitive Advantage</v>
      </c>
      <c r="E62" s="217"/>
      <c r="F62" s="213"/>
      <c r="G62" s="214"/>
      <c r="H62" s="215"/>
      <c r="I62" s="217"/>
      <c r="J62" s="217"/>
      <c r="K62" s="213"/>
      <c r="L62" s="215"/>
      <c r="M62" s="215"/>
      <c r="N62" s="217"/>
      <c r="O62" s="217"/>
      <c r="P62" s="213"/>
      <c r="Q62" s="215"/>
      <c r="R62" s="215"/>
      <c r="S62" s="217"/>
      <c r="T62" s="217"/>
      <c r="U62" s="213"/>
      <c r="V62" s="215"/>
      <c r="W62" s="215"/>
      <c r="X62" s="217"/>
      <c r="Y62" s="217"/>
      <c r="Z62" s="213"/>
      <c r="AA62" s="215"/>
      <c r="AB62" s="215"/>
      <c r="AC62" s="217"/>
      <c r="AD62" s="217"/>
      <c r="AE62" s="213"/>
      <c r="AF62" s="215"/>
      <c r="AG62" s="215"/>
      <c r="AH62" s="217"/>
      <c r="AI62" s="217"/>
      <c r="AJ62" s="213"/>
    </row>
    <row r="63" spans="1:36" ht="33.75" customHeight="1">
      <c r="A63" s="213"/>
      <c r="B63" s="214">
        <f ca="1">IFERROR(__xludf.DUMMYFUNCTION("""COMPUTED_VALUE"""),2825726)</f>
        <v>2825726</v>
      </c>
      <c r="C63" s="215" t="str">
        <f ca="1">IFERROR(__xludf.DUMMYFUNCTION("""COMPUTED_VALUE"""),"Beginner")</f>
        <v>Beginner</v>
      </c>
      <c r="D63" s="216" t="str">
        <f ca="1">IFERROR(__xludf.DUMMYFUNCTION("""COMPUTED_VALUE"""),"Azure: Understanding the Big Picture (2020)")</f>
        <v>Azure: Understanding the Big Picture (2020)</v>
      </c>
      <c r="E63" s="217"/>
      <c r="F63" s="213"/>
      <c r="G63" s="214"/>
      <c r="H63" s="215"/>
      <c r="I63" s="217"/>
      <c r="J63" s="217"/>
      <c r="K63" s="213"/>
      <c r="L63" s="215"/>
      <c r="M63" s="215"/>
      <c r="N63" s="217"/>
      <c r="O63" s="217"/>
      <c r="P63" s="213"/>
      <c r="Q63" s="215"/>
      <c r="R63" s="215"/>
      <c r="S63" s="217"/>
      <c r="T63" s="217"/>
      <c r="U63" s="213"/>
      <c r="V63" s="215"/>
      <c r="W63" s="215"/>
      <c r="X63" s="217"/>
      <c r="Y63" s="217"/>
      <c r="Z63" s="213"/>
      <c r="AA63" s="215"/>
      <c r="AB63" s="215"/>
      <c r="AC63" s="217"/>
      <c r="AD63" s="217"/>
      <c r="AE63" s="213"/>
      <c r="AF63" s="215"/>
      <c r="AG63" s="215"/>
      <c r="AH63" s="217"/>
      <c r="AI63" s="217"/>
      <c r="AJ63" s="213"/>
    </row>
    <row r="64" spans="1:36" ht="33.75" customHeight="1">
      <c r="A64" s="213"/>
      <c r="B64" s="214">
        <f ca="1">IFERROR(__xludf.DUMMYFUNCTION("""COMPUTED_VALUE"""),2822592)</f>
        <v>2822592</v>
      </c>
      <c r="C64" s="215" t="str">
        <f ca="1">IFERROR(__xludf.DUMMYFUNCTION("""COMPUTED_VALUE"""),"Beginner")</f>
        <v>Beginner</v>
      </c>
      <c r="D64" s="216" t="str">
        <f ca="1">IFERROR(__xludf.DUMMYFUNCTION("""COMPUTED_VALUE"""),"Introduction to Business Analytics")</f>
        <v>Introduction to Business Analytics</v>
      </c>
      <c r="E64" s="217"/>
      <c r="F64" s="213"/>
      <c r="G64" s="214"/>
      <c r="H64" s="215"/>
      <c r="I64" s="217"/>
      <c r="J64" s="217"/>
      <c r="K64" s="213"/>
      <c r="L64" s="215"/>
      <c r="M64" s="215"/>
      <c r="N64" s="217"/>
      <c r="O64" s="217"/>
      <c r="P64" s="213"/>
      <c r="Q64" s="215"/>
      <c r="R64" s="215"/>
      <c r="S64" s="217"/>
      <c r="T64" s="217"/>
      <c r="U64" s="213"/>
      <c r="V64" s="215"/>
      <c r="W64" s="215"/>
      <c r="X64" s="217"/>
      <c r="Y64" s="217"/>
      <c r="Z64" s="213"/>
      <c r="AA64" s="215"/>
      <c r="AB64" s="215"/>
      <c r="AC64" s="217"/>
      <c r="AD64" s="217"/>
      <c r="AE64" s="213"/>
      <c r="AF64" s="215"/>
      <c r="AG64" s="215"/>
      <c r="AH64" s="217"/>
      <c r="AI64" s="217"/>
      <c r="AJ64" s="213"/>
    </row>
    <row r="65" spans="1:36" ht="33.75" customHeight="1">
      <c r="A65" s="213"/>
      <c r="B65" s="214">
        <f ca="1">IFERROR(__xludf.DUMMYFUNCTION("""COMPUTED_VALUE"""),2874277)</f>
        <v>2874277</v>
      </c>
      <c r="C65" s="215" t="str">
        <f ca="1">IFERROR(__xludf.DUMMYFUNCTION("""COMPUTED_VALUE"""),"Beginner")</f>
        <v>Beginner</v>
      </c>
      <c r="D65" s="216" t="str">
        <f ca="1">IFERROR(__xludf.DUMMYFUNCTION("""COMPUTED_VALUE"""),"Outsourcing: Managing Service Transition")</f>
        <v>Outsourcing: Managing Service Transition</v>
      </c>
      <c r="E65" s="217"/>
      <c r="F65" s="213"/>
      <c r="G65" s="214"/>
      <c r="H65" s="215"/>
      <c r="I65" s="217"/>
      <c r="J65" s="217"/>
      <c r="K65" s="213"/>
      <c r="L65" s="215"/>
      <c r="M65" s="215"/>
      <c r="N65" s="217"/>
      <c r="O65" s="217"/>
      <c r="P65" s="213"/>
      <c r="Q65" s="215"/>
      <c r="R65" s="215"/>
      <c r="S65" s="217"/>
      <c r="T65" s="217"/>
      <c r="U65" s="213"/>
      <c r="V65" s="215"/>
      <c r="W65" s="215"/>
      <c r="X65" s="217"/>
      <c r="Y65" s="217"/>
      <c r="Z65" s="213"/>
      <c r="AA65" s="215"/>
      <c r="AB65" s="215"/>
      <c r="AC65" s="217"/>
      <c r="AD65" s="217"/>
      <c r="AE65" s="213"/>
      <c r="AF65" s="215"/>
      <c r="AG65" s="215"/>
      <c r="AH65" s="217"/>
      <c r="AI65" s="217"/>
      <c r="AJ65" s="213"/>
    </row>
    <row r="66" spans="1:36" ht="33.75" customHeight="1">
      <c r="A66" s="213"/>
      <c r="B66" s="214">
        <f ca="1">IFERROR(__xludf.DUMMYFUNCTION("""COMPUTED_VALUE"""),2893113)</f>
        <v>2893113</v>
      </c>
      <c r="C66" s="215" t="str">
        <f ca="1">IFERROR(__xludf.DUMMYFUNCTION("""COMPUTED_VALUE"""),"Beginner")</f>
        <v>Beginner</v>
      </c>
      <c r="D66" s="216" t="str">
        <f ca="1">IFERROR(__xludf.DUMMYFUNCTION("""COMPUTED_VALUE"""),"Change Management Tips for Individuals")</f>
        <v>Change Management Tips for Individuals</v>
      </c>
      <c r="E66" s="217"/>
      <c r="F66" s="213"/>
      <c r="G66" s="214"/>
      <c r="H66" s="215"/>
      <c r="I66" s="217"/>
      <c r="J66" s="217"/>
      <c r="K66" s="213"/>
      <c r="L66" s="215"/>
      <c r="M66" s="215"/>
      <c r="N66" s="217"/>
      <c r="O66" s="217"/>
      <c r="P66" s="213"/>
      <c r="Q66" s="215"/>
      <c r="R66" s="215"/>
      <c r="S66" s="217"/>
      <c r="T66" s="217"/>
      <c r="U66" s="213"/>
      <c r="V66" s="215"/>
      <c r="W66" s="215"/>
      <c r="X66" s="217"/>
      <c r="Y66" s="217"/>
      <c r="Z66" s="213"/>
      <c r="AA66" s="215"/>
      <c r="AB66" s="215"/>
      <c r="AC66" s="217"/>
      <c r="AD66" s="217"/>
      <c r="AE66" s="213"/>
      <c r="AF66" s="215"/>
      <c r="AG66" s="215"/>
      <c r="AH66" s="217"/>
      <c r="AI66" s="217"/>
      <c r="AJ66" s="213"/>
    </row>
    <row r="67" spans="1:36" ht="33.75" customHeight="1">
      <c r="A67" s="213"/>
      <c r="B67" s="214">
        <f ca="1">IFERROR(__xludf.DUMMYFUNCTION("""COMPUTED_VALUE"""),3009567)</f>
        <v>3009567</v>
      </c>
      <c r="C67" s="215" t="str">
        <f ca="1">IFERROR(__xludf.DUMMYFUNCTION("""COMPUTED_VALUE"""),"Beginner")</f>
        <v>Beginner</v>
      </c>
      <c r="D67" s="216" t="str">
        <f ca="1">IFERROR(__xludf.DUMMYFUNCTION("""COMPUTED_VALUE"""),"Business Lessons from a Chess Champion")</f>
        <v>Business Lessons from a Chess Champion</v>
      </c>
      <c r="E67" s="217"/>
      <c r="F67" s="213"/>
      <c r="G67" s="214"/>
      <c r="H67" s="215"/>
      <c r="I67" s="217"/>
      <c r="J67" s="217"/>
      <c r="K67" s="213"/>
      <c r="L67" s="215"/>
      <c r="M67" s="215"/>
      <c r="N67" s="217"/>
      <c r="O67" s="217"/>
      <c r="P67" s="213"/>
      <c r="Q67" s="215"/>
      <c r="R67" s="215"/>
      <c r="S67" s="217"/>
      <c r="T67" s="217"/>
      <c r="U67" s="213"/>
      <c r="V67" s="215"/>
      <c r="W67" s="215"/>
      <c r="X67" s="217"/>
      <c r="Y67" s="217"/>
      <c r="Z67" s="213"/>
      <c r="AA67" s="215"/>
      <c r="AB67" s="215"/>
      <c r="AC67" s="217"/>
      <c r="AD67" s="217"/>
      <c r="AE67" s="213"/>
      <c r="AF67" s="215"/>
      <c r="AG67" s="215"/>
      <c r="AH67" s="217"/>
      <c r="AI67" s="217"/>
      <c r="AJ67" s="213"/>
    </row>
    <row r="68" spans="1:36" ht="33.75" customHeight="1">
      <c r="A68" s="213"/>
      <c r="B68" s="214">
        <f ca="1">IFERROR(__xludf.DUMMYFUNCTION("""COMPUTED_VALUE"""),3155789)</f>
        <v>3155789</v>
      </c>
      <c r="C68" s="215" t="str">
        <f ca="1">IFERROR(__xludf.DUMMYFUNCTION("""COMPUTED_VALUE"""),"Beginner")</f>
        <v>Beginner</v>
      </c>
      <c r="D68" s="216" t="str">
        <f ca="1">IFERROR(__xludf.DUMMYFUNCTION("""COMPUTED_VALUE"""),"Supply Chain Analytics Foundations")</f>
        <v>Supply Chain Analytics Foundations</v>
      </c>
      <c r="E68" s="217"/>
      <c r="F68" s="213"/>
      <c r="G68" s="214"/>
      <c r="H68" s="215"/>
      <c r="I68" s="217"/>
      <c r="J68" s="217"/>
      <c r="K68" s="213"/>
      <c r="L68" s="215"/>
      <c r="M68" s="215"/>
      <c r="N68" s="217"/>
      <c r="O68" s="217"/>
      <c r="P68" s="213"/>
      <c r="Q68" s="215"/>
      <c r="R68" s="215"/>
      <c r="S68" s="217"/>
      <c r="T68" s="217"/>
      <c r="U68" s="213"/>
      <c r="V68" s="215"/>
      <c r="W68" s="215"/>
      <c r="X68" s="217"/>
      <c r="Y68" s="217"/>
      <c r="Z68" s="213"/>
      <c r="AA68" s="215"/>
      <c r="AB68" s="215"/>
      <c r="AC68" s="217"/>
      <c r="AD68" s="217"/>
      <c r="AE68" s="213"/>
      <c r="AF68" s="215"/>
      <c r="AG68" s="215"/>
      <c r="AH68" s="217"/>
      <c r="AI68" s="217"/>
      <c r="AJ68" s="213"/>
    </row>
    <row r="69" spans="1:36" ht="33.75" customHeight="1">
      <c r="A69" s="213"/>
      <c r="B69" s="214">
        <f ca="1">IFERROR(__xludf.DUMMYFUNCTION("""COMPUTED_VALUE"""),2833086)</f>
        <v>2833086</v>
      </c>
      <c r="C69" s="215" t="str">
        <f ca="1">IFERROR(__xludf.DUMMYFUNCTION("""COMPUTED_VALUE"""),"Beginner")</f>
        <v>Beginner</v>
      </c>
      <c r="D69" s="216" t="str">
        <f ca="1">IFERROR(__xludf.DUMMYFUNCTION("""COMPUTED_VALUE"""),"Business Innovation Foundations")</f>
        <v>Business Innovation Foundations</v>
      </c>
      <c r="E69" s="217"/>
      <c r="F69" s="213"/>
      <c r="G69" s="214"/>
      <c r="H69" s="215"/>
      <c r="I69" s="217"/>
      <c r="J69" s="217"/>
      <c r="K69" s="213"/>
      <c r="L69" s="215"/>
      <c r="M69" s="215"/>
      <c r="N69" s="217"/>
      <c r="O69" s="217"/>
      <c r="P69" s="213"/>
      <c r="Q69" s="215"/>
      <c r="R69" s="215"/>
      <c r="S69" s="217"/>
      <c r="T69" s="217"/>
      <c r="U69" s="213"/>
      <c r="V69" s="215"/>
      <c r="W69" s="215"/>
      <c r="X69" s="217"/>
      <c r="Y69" s="217"/>
      <c r="Z69" s="213"/>
      <c r="AA69" s="215"/>
      <c r="AB69" s="215"/>
      <c r="AC69" s="217"/>
      <c r="AD69" s="217"/>
      <c r="AE69" s="213"/>
      <c r="AF69" s="215"/>
      <c r="AG69" s="215"/>
      <c r="AH69" s="217"/>
      <c r="AI69" s="217"/>
      <c r="AJ69" s="213"/>
    </row>
    <row r="70" spans="1:36" ht="33.75" customHeight="1">
      <c r="A70" s="213"/>
      <c r="B70" s="214">
        <f ca="1">IFERROR(__xludf.DUMMYFUNCTION("""COMPUTED_VALUE"""),2831006)</f>
        <v>2831006</v>
      </c>
      <c r="C70" s="215" t="str">
        <f ca="1">IFERROR(__xludf.DUMMYFUNCTION("""COMPUTED_VALUE"""),"Beginner + Intermediate")</f>
        <v>Beginner + Intermediate</v>
      </c>
      <c r="D70" s="216" t="str">
        <f ca="1">IFERROR(__xludf.DUMMYFUNCTION("""COMPUTED_VALUE"""),"International Business Foundations")</f>
        <v>International Business Foundations</v>
      </c>
      <c r="E70" s="217"/>
      <c r="F70" s="213"/>
      <c r="G70" s="214"/>
      <c r="H70" s="215"/>
      <c r="I70" s="217"/>
      <c r="J70" s="217"/>
      <c r="K70" s="213"/>
      <c r="L70" s="215"/>
      <c r="M70" s="215"/>
      <c r="N70" s="217"/>
      <c r="O70" s="217"/>
      <c r="P70" s="213"/>
      <c r="Q70" s="215"/>
      <c r="R70" s="215"/>
      <c r="S70" s="217"/>
      <c r="T70" s="217"/>
      <c r="U70" s="213"/>
      <c r="V70" s="215"/>
      <c r="W70" s="215"/>
      <c r="X70" s="217"/>
      <c r="Y70" s="217"/>
      <c r="Z70" s="213"/>
      <c r="AA70" s="215"/>
      <c r="AB70" s="215"/>
      <c r="AC70" s="217"/>
      <c r="AD70" s="217"/>
      <c r="AE70" s="213"/>
      <c r="AF70" s="215"/>
      <c r="AG70" s="215"/>
      <c r="AH70" s="217"/>
      <c r="AI70" s="217"/>
      <c r="AJ70" s="213"/>
    </row>
    <row r="71" spans="1:36" ht="33.75" customHeight="1">
      <c r="A71" s="213"/>
      <c r="B71" s="214">
        <f ca="1">IFERROR(__xludf.DUMMYFUNCTION("""COMPUTED_VALUE"""),2824021)</f>
        <v>2824021</v>
      </c>
      <c r="C71" s="215" t="str">
        <f ca="1">IFERROR(__xludf.DUMMYFUNCTION("""COMPUTED_VALUE"""),"Beginner + Intermediate")</f>
        <v>Beginner + Intermediate</v>
      </c>
      <c r="D71" s="216" t="str">
        <f ca="1">IFERROR(__xludf.DUMMYFUNCTION("""COMPUTED_VALUE"""),"Safeguarding AI")</f>
        <v>Safeguarding AI</v>
      </c>
      <c r="E71" s="217"/>
      <c r="F71" s="213"/>
      <c r="G71" s="214"/>
      <c r="H71" s="215"/>
      <c r="I71" s="217"/>
      <c r="J71" s="217"/>
      <c r="K71" s="213"/>
      <c r="L71" s="215"/>
      <c r="M71" s="215"/>
      <c r="N71" s="217"/>
      <c r="O71" s="217"/>
      <c r="P71" s="213"/>
      <c r="Q71" s="215"/>
      <c r="R71" s="215"/>
      <c r="S71" s="217"/>
      <c r="T71" s="217"/>
      <c r="U71" s="213"/>
      <c r="V71" s="215"/>
      <c r="W71" s="215"/>
      <c r="X71" s="217"/>
      <c r="Y71" s="217"/>
      <c r="Z71" s="213"/>
      <c r="AA71" s="215"/>
      <c r="AB71" s="215"/>
      <c r="AC71" s="217"/>
      <c r="AD71" s="217"/>
      <c r="AE71" s="213"/>
      <c r="AF71" s="215"/>
      <c r="AG71" s="215"/>
      <c r="AH71" s="217"/>
      <c r="AI71" s="217"/>
      <c r="AJ71" s="213"/>
    </row>
    <row r="72" spans="1:36" ht="33.75" customHeight="1">
      <c r="A72" s="213"/>
      <c r="B72" s="214">
        <f ca="1">IFERROR(__xludf.DUMMYFUNCTION("""COMPUTED_VALUE"""),2848327)</f>
        <v>2848327</v>
      </c>
      <c r="C72" s="215" t="str">
        <f ca="1">IFERROR(__xludf.DUMMYFUNCTION("""COMPUTED_VALUE"""),"Beginner + Intermediate")</f>
        <v>Beginner + Intermediate</v>
      </c>
      <c r="D72" s="216" t="str">
        <f ca="1">IFERROR(__xludf.DUMMYFUNCTION("""COMPUTED_VALUE"""),"The 45-Minute Business Plan")</f>
        <v>The 45-Minute Business Plan</v>
      </c>
      <c r="E72" s="217"/>
      <c r="F72" s="213"/>
      <c r="G72" s="214"/>
      <c r="H72" s="215"/>
      <c r="I72" s="217"/>
      <c r="J72" s="217"/>
      <c r="K72" s="213"/>
      <c r="L72" s="215"/>
      <c r="M72" s="215"/>
      <c r="N72" s="217"/>
      <c r="O72" s="217"/>
      <c r="P72" s="213"/>
      <c r="Q72" s="215"/>
      <c r="R72" s="215"/>
      <c r="S72" s="217"/>
      <c r="T72" s="217"/>
      <c r="U72" s="213"/>
      <c r="V72" s="215"/>
      <c r="W72" s="215"/>
      <c r="X72" s="217"/>
      <c r="Y72" s="217"/>
      <c r="Z72" s="213"/>
      <c r="AA72" s="215"/>
      <c r="AB72" s="215"/>
      <c r="AC72" s="217"/>
      <c r="AD72" s="217"/>
      <c r="AE72" s="213"/>
      <c r="AF72" s="215"/>
      <c r="AG72" s="215"/>
      <c r="AH72" s="217"/>
      <c r="AI72" s="217"/>
      <c r="AJ72" s="213"/>
    </row>
    <row r="73" spans="1:36" ht="33.75" customHeight="1">
      <c r="A73" s="213"/>
      <c r="B73" s="214">
        <f ca="1">IFERROR(__xludf.DUMMYFUNCTION("""COMPUTED_VALUE"""),3001270)</f>
        <v>3001270</v>
      </c>
      <c r="C73" s="215" t="str">
        <f ca="1">IFERROR(__xludf.DUMMYFUNCTION("""COMPUTED_VALUE"""),"Beginner + Intermediate")</f>
        <v>Beginner + Intermediate</v>
      </c>
      <c r="D73" s="216" t="str">
        <f ca="1">IFERROR(__xludf.DUMMYFUNCTION("""COMPUTED_VALUE"""),"Business Analysis: Essential Tools and Techniques")</f>
        <v>Business Analysis: Essential Tools and Techniques</v>
      </c>
      <c r="E73" s="217"/>
      <c r="F73" s="213"/>
      <c r="G73" s="214"/>
      <c r="H73" s="215"/>
      <c r="I73" s="217"/>
      <c r="J73" s="217"/>
      <c r="K73" s="213"/>
      <c r="L73" s="215"/>
      <c r="M73" s="215"/>
      <c r="N73" s="217"/>
      <c r="O73" s="217"/>
      <c r="P73" s="213"/>
      <c r="Q73" s="215"/>
      <c r="R73" s="215"/>
      <c r="S73" s="217"/>
      <c r="T73" s="217"/>
      <c r="U73" s="213"/>
      <c r="V73" s="215"/>
      <c r="W73" s="215"/>
      <c r="X73" s="217"/>
      <c r="Y73" s="217"/>
      <c r="Z73" s="213"/>
      <c r="AA73" s="215"/>
      <c r="AB73" s="215"/>
      <c r="AC73" s="217"/>
      <c r="AD73" s="217"/>
      <c r="AE73" s="213"/>
      <c r="AF73" s="215"/>
      <c r="AG73" s="215"/>
      <c r="AH73" s="217"/>
      <c r="AI73" s="217"/>
      <c r="AJ73" s="213"/>
    </row>
    <row r="74" spans="1:36" ht="33.75" customHeight="1">
      <c r="A74" s="213"/>
      <c r="B74" s="214">
        <f ca="1">IFERROR(__xludf.DUMMYFUNCTION("""COMPUTED_VALUE"""),2895101)</f>
        <v>2895101</v>
      </c>
      <c r="C74" s="215" t="str">
        <f ca="1">IFERROR(__xludf.DUMMYFUNCTION("""COMPUTED_VALUE"""),"Intermediate")</f>
        <v>Intermediate</v>
      </c>
      <c r="D74" s="216" t="str">
        <f ca="1">IFERROR(__xludf.DUMMYFUNCTION("""COMPUTED_VALUE"""),"Developing Business Partnerships")</f>
        <v>Developing Business Partnerships</v>
      </c>
      <c r="E74" s="217"/>
      <c r="F74" s="213"/>
      <c r="G74" s="214"/>
      <c r="H74" s="215"/>
      <c r="I74" s="217"/>
      <c r="J74" s="217"/>
      <c r="K74" s="213"/>
      <c r="L74" s="215"/>
      <c r="M74" s="215"/>
      <c r="N74" s="217"/>
      <c r="O74" s="217"/>
      <c r="P74" s="213"/>
      <c r="Q74" s="215"/>
      <c r="R74" s="215"/>
      <c r="S74" s="217"/>
      <c r="T74" s="217"/>
      <c r="U74" s="213"/>
      <c r="V74" s="215"/>
      <c r="W74" s="215"/>
      <c r="X74" s="217"/>
      <c r="Y74" s="217"/>
      <c r="Z74" s="213"/>
      <c r="AA74" s="215"/>
      <c r="AB74" s="215"/>
      <c r="AC74" s="217"/>
      <c r="AD74" s="217"/>
      <c r="AE74" s="213"/>
      <c r="AF74" s="215"/>
      <c r="AG74" s="215"/>
      <c r="AH74" s="217"/>
      <c r="AI74" s="217"/>
      <c r="AJ74" s="213"/>
    </row>
    <row r="75" spans="1:36" ht="33.75" customHeight="1">
      <c r="A75" s="213"/>
      <c r="B75" s="214">
        <f ca="1">IFERROR(__xludf.DUMMYFUNCTION("""COMPUTED_VALUE"""),2427401)</f>
        <v>2427401</v>
      </c>
      <c r="C75" s="215" t="str">
        <f ca="1">IFERROR(__xludf.DUMMYFUNCTION("""COMPUTED_VALUE"""),"General")</f>
        <v>General</v>
      </c>
      <c r="D75" s="216" t="str">
        <f ca="1">IFERROR(__xludf.DUMMYFUNCTION("""COMPUTED_VALUE"""),"Business Analysis for Busy Professionals")</f>
        <v>Business Analysis for Busy Professionals</v>
      </c>
      <c r="E75" s="217"/>
      <c r="F75" s="213"/>
      <c r="G75" s="214"/>
      <c r="H75" s="215"/>
      <c r="I75" s="217"/>
      <c r="J75" s="217"/>
      <c r="K75" s="213"/>
      <c r="L75" s="215"/>
      <c r="M75" s="215"/>
      <c r="N75" s="217"/>
      <c r="O75" s="217"/>
      <c r="P75" s="213"/>
      <c r="Q75" s="215"/>
      <c r="R75" s="215"/>
      <c r="S75" s="217"/>
      <c r="T75" s="217"/>
      <c r="U75" s="213"/>
      <c r="V75" s="215"/>
      <c r="W75" s="215"/>
      <c r="X75" s="217"/>
      <c r="Y75" s="217"/>
      <c r="Z75" s="213"/>
      <c r="AA75" s="215"/>
      <c r="AB75" s="215"/>
      <c r="AC75" s="217"/>
      <c r="AD75" s="217"/>
      <c r="AE75" s="213"/>
      <c r="AF75" s="215"/>
      <c r="AG75" s="215"/>
      <c r="AH75" s="217"/>
      <c r="AI75" s="217"/>
      <c r="AJ75" s="213"/>
    </row>
    <row r="76" spans="1:36" ht="33.75" customHeight="1">
      <c r="A76" s="213"/>
      <c r="B76" s="214">
        <f ca="1">IFERROR(__xludf.DUMMYFUNCTION("""COMPUTED_VALUE"""),2887259)</f>
        <v>2887259</v>
      </c>
      <c r="C76" s="215" t="str">
        <f ca="1">IFERROR(__xludf.DUMMYFUNCTION("""COMPUTED_VALUE"""),"General")</f>
        <v>General</v>
      </c>
      <c r="D76" s="216" t="str">
        <f ca="1">IFERROR(__xludf.DUMMYFUNCTION("""COMPUTED_VALUE"""),"Conducting a SWOT Analysis")</f>
        <v>Conducting a SWOT Analysis</v>
      </c>
      <c r="E76" s="217"/>
      <c r="F76" s="213"/>
      <c r="G76" s="214"/>
      <c r="H76" s="215"/>
      <c r="I76" s="217"/>
      <c r="J76" s="217"/>
      <c r="K76" s="213"/>
      <c r="L76" s="215"/>
      <c r="M76" s="215"/>
      <c r="N76" s="217"/>
      <c r="O76" s="217"/>
      <c r="P76" s="213"/>
      <c r="Q76" s="215"/>
      <c r="R76" s="215"/>
      <c r="S76" s="217"/>
      <c r="T76" s="217"/>
      <c r="U76" s="213"/>
      <c r="V76" s="215"/>
      <c r="W76" s="215"/>
      <c r="X76" s="217"/>
      <c r="Y76" s="217"/>
      <c r="Z76" s="213"/>
      <c r="AA76" s="215"/>
      <c r="AB76" s="215"/>
      <c r="AC76" s="217"/>
      <c r="AD76" s="217"/>
      <c r="AE76" s="213"/>
      <c r="AF76" s="215"/>
      <c r="AG76" s="215"/>
      <c r="AH76" s="217"/>
      <c r="AI76" s="217"/>
      <c r="AJ76" s="213"/>
    </row>
    <row r="77" spans="1:36" ht="33.75" customHeight="1">
      <c r="A77" s="213"/>
      <c r="B77" s="214">
        <f ca="1">IFERROR(__xludf.DUMMYFUNCTION("""COMPUTED_VALUE"""),765312)</f>
        <v>765312</v>
      </c>
      <c r="C77" s="215" t="str">
        <f ca="1">IFERROR(__xludf.DUMMYFUNCTION("""COMPUTED_VALUE"""),"General")</f>
        <v>General</v>
      </c>
      <c r="D77" s="216" t="str">
        <f ca="1">IFERROR(__xludf.DUMMYFUNCTION("""COMPUTED_VALUE"""),"The New Age of Risk Management Strategy for Business")</f>
        <v>The New Age of Risk Management Strategy for Business</v>
      </c>
      <c r="E77" s="217"/>
      <c r="F77" s="213"/>
      <c r="G77" s="214"/>
      <c r="H77" s="215"/>
      <c r="I77" s="217"/>
      <c r="J77" s="217"/>
      <c r="K77" s="213"/>
      <c r="L77" s="215"/>
      <c r="M77" s="215"/>
      <c r="N77" s="217"/>
      <c r="O77" s="217"/>
      <c r="P77" s="213"/>
      <c r="Q77" s="215"/>
      <c r="R77" s="215"/>
      <c r="S77" s="217"/>
      <c r="T77" s="217"/>
      <c r="U77" s="213"/>
      <c r="V77" s="215"/>
      <c r="W77" s="215"/>
      <c r="X77" s="217"/>
      <c r="Y77" s="217"/>
      <c r="Z77" s="213"/>
      <c r="AA77" s="215"/>
      <c r="AB77" s="215"/>
      <c r="AC77" s="217"/>
      <c r="AD77" s="217"/>
      <c r="AE77" s="213"/>
      <c r="AF77" s="215"/>
      <c r="AG77" s="215"/>
      <c r="AH77" s="217"/>
      <c r="AI77" s="217"/>
      <c r="AJ77" s="213"/>
    </row>
    <row r="78" spans="1:36" ht="33.75" customHeight="1">
      <c r="A78" s="213"/>
      <c r="B78" s="214">
        <f ca="1">IFERROR(__xludf.DUMMYFUNCTION("""COMPUTED_VALUE"""),2825458)</f>
        <v>2825458</v>
      </c>
      <c r="C78" s="215" t="str">
        <f ca="1">IFERROR(__xludf.DUMMYFUNCTION("""COMPUTED_VALUE"""),"General")</f>
        <v>General</v>
      </c>
      <c r="D78" s="216" t="str">
        <f ca="1">IFERROR(__xludf.DUMMYFUNCTION("""COMPUTED_VALUE"""),"Emily Cohen: Brutal Honesty as a Business Strategy")</f>
        <v>Emily Cohen: Brutal Honesty as a Business Strategy</v>
      </c>
      <c r="E78" s="217"/>
      <c r="F78" s="213"/>
      <c r="G78" s="214"/>
      <c r="H78" s="215"/>
      <c r="I78" s="217"/>
      <c r="J78" s="217"/>
      <c r="K78" s="213"/>
      <c r="L78" s="215"/>
      <c r="M78" s="215"/>
      <c r="N78" s="217"/>
      <c r="O78" s="217"/>
      <c r="P78" s="213"/>
      <c r="Q78" s="215"/>
      <c r="R78" s="215"/>
      <c r="S78" s="217"/>
      <c r="T78" s="217"/>
      <c r="U78" s="213"/>
      <c r="V78" s="215"/>
      <c r="W78" s="215"/>
      <c r="X78" s="217"/>
      <c r="Y78" s="217"/>
      <c r="Z78" s="213"/>
      <c r="AA78" s="215"/>
      <c r="AB78" s="215"/>
      <c r="AC78" s="217"/>
      <c r="AD78" s="217"/>
      <c r="AE78" s="213"/>
      <c r="AF78" s="215"/>
      <c r="AG78" s="215"/>
      <c r="AH78" s="217"/>
      <c r="AI78" s="217"/>
      <c r="AJ78" s="213"/>
    </row>
    <row r="79" spans="1:36" ht="33.75" customHeight="1">
      <c r="A79" s="213"/>
      <c r="B79" s="214">
        <f ca="1">IFERROR(__xludf.DUMMYFUNCTION("""COMPUTED_VALUE"""),2835087)</f>
        <v>2835087</v>
      </c>
      <c r="C79" s="215" t="str">
        <f ca="1">IFERROR(__xludf.DUMMYFUNCTION("""COMPUTED_VALUE"""),"General")</f>
        <v>General</v>
      </c>
      <c r="D79" s="216" t="str">
        <f ca="1">IFERROR(__xludf.DUMMYFUNCTION("""COMPUTED_VALUE"""),"How to Make Strategic Thinking a Habit")</f>
        <v>How to Make Strategic Thinking a Habit</v>
      </c>
      <c r="E79" s="217"/>
      <c r="F79" s="213"/>
      <c r="G79" s="214"/>
      <c r="H79" s="215"/>
      <c r="I79" s="217"/>
      <c r="J79" s="217"/>
      <c r="K79" s="213"/>
      <c r="L79" s="215"/>
      <c r="M79" s="215"/>
      <c r="N79" s="217"/>
      <c r="O79" s="217"/>
      <c r="P79" s="213"/>
      <c r="Q79" s="215"/>
      <c r="R79" s="215"/>
      <c r="S79" s="217"/>
      <c r="T79" s="217"/>
      <c r="U79" s="213"/>
      <c r="V79" s="215"/>
      <c r="W79" s="215"/>
      <c r="X79" s="217"/>
      <c r="Y79" s="217"/>
      <c r="Z79" s="213"/>
      <c r="AA79" s="215"/>
      <c r="AB79" s="215"/>
      <c r="AC79" s="217"/>
      <c r="AD79" s="217"/>
      <c r="AE79" s="213"/>
      <c r="AF79" s="215"/>
      <c r="AG79" s="215"/>
      <c r="AH79" s="217"/>
      <c r="AI79" s="217"/>
      <c r="AJ79" s="213"/>
    </row>
    <row r="80" spans="1:36" ht="33.75" customHeight="1">
      <c r="A80" s="213"/>
      <c r="B80" s="214">
        <f ca="1">IFERROR(__xludf.DUMMYFUNCTION("""COMPUTED_VALUE"""),2817223)</f>
        <v>2817223</v>
      </c>
      <c r="C80" s="215" t="str">
        <f ca="1">IFERROR(__xludf.DUMMYFUNCTION("""COMPUTED_VALUE"""),"General")</f>
        <v>General</v>
      </c>
      <c r="D80" s="216" t="str">
        <f ca="1">IFERROR(__xludf.DUMMYFUNCTION("""COMPUTED_VALUE"""),"Thinking In New Boxes: A New Paradigm for Business Creativity")</f>
        <v>Thinking In New Boxes: A New Paradigm for Business Creativity</v>
      </c>
      <c r="E80" s="217"/>
      <c r="F80" s="213"/>
      <c r="G80" s="214"/>
      <c r="H80" s="215"/>
      <c r="I80" s="217"/>
      <c r="J80" s="217"/>
      <c r="K80" s="213"/>
      <c r="L80" s="215"/>
      <c r="M80" s="215"/>
      <c r="N80" s="217"/>
      <c r="O80" s="217"/>
      <c r="P80" s="213"/>
      <c r="Q80" s="215"/>
      <c r="R80" s="215"/>
      <c r="S80" s="217"/>
      <c r="T80" s="217"/>
      <c r="U80" s="213"/>
      <c r="V80" s="215"/>
      <c r="W80" s="215"/>
      <c r="X80" s="217"/>
      <c r="Y80" s="217"/>
      <c r="Z80" s="213"/>
      <c r="AA80" s="215"/>
      <c r="AB80" s="215"/>
      <c r="AC80" s="217"/>
      <c r="AD80" s="217"/>
      <c r="AE80" s="213"/>
      <c r="AF80" s="215"/>
      <c r="AG80" s="215"/>
      <c r="AH80" s="217"/>
      <c r="AI80" s="217"/>
      <c r="AJ80" s="213"/>
    </row>
    <row r="81" spans="1:36" ht="33.75" customHeight="1">
      <c r="A81" s="213"/>
      <c r="B81" s="214">
        <f ca="1">IFERROR(__xludf.DUMMYFUNCTION("""COMPUTED_VALUE"""),2818050)</f>
        <v>2818050</v>
      </c>
      <c r="C81" s="215" t="str">
        <f ca="1">IFERROR(__xludf.DUMMYFUNCTION("""COMPUTED_VALUE"""),"General")</f>
        <v>General</v>
      </c>
      <c r="D81" s="216" t="str">
        <f ca="1">IFERROR(__xludf.DUMMYFUNCTION("""COMPUTED_VALUE"""),"Technology and Design Ethics")</f>
        <v>Technology and Design Ethics</v>
      </c>
      <c r="E81" s="217"/>
      <c r="F81" s="213"/>
      <c r="G81" s="214"/>
      <c r="H81" s="215"/>
      <c r="I81" s="217"/>
      <c r="J81" s="217"/>
      <c r="K81" s="213"/>
      <c r="L81" s="215"/>
      <c r="M81" s="215"/>
      <c r="N81" s="217"/>
      <c r="O81" s="217"/>
      <c r="P81" s="213"/>
      <c r="Q81" s="215"/>
      <c r="R81" s="215"/>
      <c r="S81" s="217"/>
      <c r="T81" s="217"/>
      <c r="U81" s="213"/>
      <c r="V81" s="215"/>
      <c r="W81" s="215"/>
      <c r="X81" s="217"/>
      <c r="Y81" s="217"/>
      <c r="Z81" s="213"/>
      <c r="AA81" s="215"/>
      <c r="AB81" s="215"/>
      <c r="AC81" s="217"/>
      <c r="AD81" s="217"/>
      <c r="AE81" s="213"/>
      <c r="AF81" s="215"/>
      <c r="AG81" s="215"/>
      <c r="AH81" s="217"/>
      <c r="AI81" s="217"/>
      <c r="AJ81" s="213"/>
    </row>
    <row r="82" spans="1:36" ht="33.75" customHeight="1">
      <c r="A82" s="213"/>
      <c r="B82" s="214">
        <f ca="1">IFERROR(__xludf.DUMMYFUNCTION("""COMPUTED_VALUE"""),2809588)</f>
        <v>2809588</v>
      </c>
      <c r="C82" s="215" t="str">
        <f ca="1">IFERROR(__xludf.DUMMYFUNCTION("""COMPUTED_VALUE"""),"General")</f>
        <v>General</v>
      </c>
      <c r="D82" s="216" t="str">
        <f ca="1">IFERROR(__xludf.DUMMYFUNCTION("""COMPUTED_VALUE"""),"Following the Digital Thread")</f>
        <v>Following the Digital Thread</v>
      </c>
      <c r="E82" s="217"/>
      <c r="F82" s="213"/>
      <c r="G82" s="214"/>
      <c r="H82" s="215"/>
      <c r="I82" s="217"/>
      <c r="J82" s="217"/>
      <c r="K82" s="213"/>
      <c r="L82" s="215"/>
      <c r="M82" s="215"/>
      <c r="N82" s="217"/>
      <c r="O82" s="217"/>
      <c r="P82" s="213"/>
      <c r="Q82" s="215"/>
      <c r="R82" s="215"/>
      <c r="S82" s="217"/>
      <c r="T82" s="217"/>
      <c r="U82" s="213"/>
      <c r="V82" s="215"/>
      <c r="W82" s="215"/>
      <c r="X82" s="217"/>
      <c r="Y82" s="217"/>
      <c r="Z82" s="213"/>
      <c r="AA82" s="215"/>
      <c r="AB82" s="215"/>
      <c r="AC82" s="217"/>
      <c r="AD82" s="217"/>
      <c r="AE82" s="213"/>
      <c r="AF82" s="215"/>
      <c r="AG82" s="215"/>
      <c r="AH82" s="217"/>
      <c r="AI82" s="217"/>
      <c r="AJ82" s="213"/>
    </row>
    <row r="83" spans="1:36" ht="33.75" customHeight="1">
      <c r="A83" s="213"/>
      <c r="B83" s="214">
        <f ca="1">IFERROR(__xludf.DUMMYFUNCTION("""COMPUTED_VALUE"""),2874274)</f>
        <v>2874274</v>
      </c>
      <c r="C83" s="215" t="str">
        <f ca="1">IFERROR(__xludf.DUMMYFUNCTION("""COMPUTED_VALUE"""),"General")</f>
        <v>General</v>
      </c>
      <c r="D83" s="216" t="str">
        <f ca="1">IFERROR(__xludf.DUMMYFUNCTION("""COMPUTED_VALUE"""),"Outsourcing Critical Success Factors")</f>
        <v>Outsourcing Critical Success Factors</v>
      </c>
      <c r="E83" s="217"/>
      <c r="F83" s="213"/>
      <c r="G83" s="214"/>
      <c r="H83" s="215"/>
      <c r="I83" s="217"/>
      <c r="J83" s="217"/>
      <c r="K83" s="213"/>
      <c r="L83" s="215"/>
      <c r="M83" s="215"/>
      <c r="N83" s="217"/>
      <c r="O83" s="217"/>
      <c r="P83" s="213"/>
      <c r="Q83" s="215"/>
      <c r="R83" s="215"/>
      <c r="S83" s="217"/>
      <c r="T83" s="217"/>
      <c r="U83" s="213"/>
      <c r="V83" s="215"/>
      <c r="W83" s="215"/>
      <c r="X83" s="217"/>
      <c r="Y83" s="217"/>
      <c r="Z83" s="213"/>
      <c r="AA83" s="215"/>
      <c r="AB83" s="215"/>
      <c r="AC83" s="217"/>
      <c r="AD83" s="217"/>
      <c r="AE83" s="213"/>
      <c r="AF83" s="215"/>
      <c r="AG83" s="215"/>
      <c r="AH83" s="217"/>
      <c r="AI83" s="217"/>
      <c r="AJ83" s="213"/>
    </row>
    <row r="84" spans="1:36" ht="33.75" customHeight="1">
      <c r="A84" s="213"/>
      <c r="B84" s="214">
        <f ca="1">IFERROR(__xludf.DUMMYFUNCTION("""COMPUTED_VALUE"""),2874275)</f>
        <v>2874275</v>
      </c>
      <c r="C84" s="215" t="str">
        <f ca="1">IFERROR(__xludf.DUMMYFUNCTION("""COMPUTED_VALUE"""),"General")</f>
        <v>General</v>
      </c>
      <c r="D84" s="216" t="str">
        <f ca="1">IFERROR(__xludf.DUMMYFUNCTION("""COMPUTED_VALUE"""),"Outsourcing Management")</f>
        <v>Outsourcing Management</v>
      </c>
      <c r="E84" s="217"/>
      <c r="F84" s="213"/>
      <c r="G84" s="214"/>
      <c r="H84" s="215"/>
      <c r="I84" s="217"/>
      <c r="J84" s="217"/>
      <c r="K84" s="213"/>
      <c r="L84" s="215"/>
      <c r="M84" s="215"/>
      <c r="N84" s="217"/>
      <c r="O84" s="217"/>
      <c r="P84" s="213"/>
      <c r="Q84" s="215"/>
      <c r="R84" s="215"/>
      <c r="S84" s="217"/>
      <c r="T84" s="217"/>
      <c r="U84" s="213"/>
      <c r="V84" s="215"/>
      <c r="W84" s="215"/>
      <c r="X84" s="217"/>
      <c r="Y84" s="217"/>
      <c r="Z84" s="213"/>
      <c r="AA84" s="215"/>
      <c r="AB84" s="215"/>
      <c r="AC84" s="217"/>
      <c r="AD84" s="217"/>
      <c r="AE84" s="213"/>
      <c r="AF84" s="215"/>
      <c r="AG84" s="215"/>
      <c r="AH84" s="217"/>
      <c r="AI84" s="217"/>
      <c r="AJ84" s="213"/>
    </row>
    <row r="85" spans="1:36" ht="33.75" customHeight="1">
      <c r="A85" s="213"/>
      <c r="B85" s="214">
        <f ca="1">IFERROR(__xludf.DUMMYFUNCTION("""COMPUTED_VALUE"""),2833101)</f>
        <v>2833101</v>
      </c>
      <c r="C85" s="215" t="str">
        <f ca="1">IFERROR(__xludf.DUMMYFUNCTION("""COMPUTED_VALUE"""),"Intermediate")</f>
        <v>Intermediate</v>
      </c>
      <c r="D85" s="216" t="str">
        <f ca="1">IFERROR(__xludf.DUMMYFUNCTION("""COMPUTED_VALUE"""),"Content Marketing: ROI")</f>
        <v>Content Marketing: ROI</v>
      </c>
      <c r="E85" s="217"/>
      <c r="F85" s="213"/>
      <c r="G85" s="214"/>
      <c r="H85" s="215"/>
      <c r="I85" s="217"/>
      <c r="J85" s="217"/>
      <c r="K85" s="213"/>
      <c r="L85" s="215"/>
      <c r="M85" s="215"/>
      <c r="N85" s="217"/>
      <c r="O85" s="217"/>
      <c r="P85" s="213"/>
      <c r="Q85" s="215"/>
      <c r="R85" s="215"/>
      <c r="S85" s="217"/>
      <c r="T85" s="217"/>
      <c r="U85" s="213"/>
      <c r="V85" s="215"/>
      <c r="W85" s="215"/>
      <c r="X85" s="217"/>
      <c r="Y85" s="217"/>
      <c r="Z85" s="213"/>
      <c r="AA85" s="215"/>
      <c r="AB85" s="215"/>
      <c r="AC85" s="217"/>
      <c r="AD85" s="217"/>
      <c r="AE85" s="213"/>
      <c r="AF85" s="215"/>
      <c r="AG85" s="215"/>
      <c r="AH85" s="217"/>
      <c r="AI85" s="217"/>
      <c r="AJ85" s="213"/>
    </row>
    <row r="86" spans="1:36" ht="33.75" customHeight="1">
      <c r="A86" s="213"/>
      <c r="B86" s="214">
        <f ca="1">IFERROR(__xludf.DUMMYFUNCTION("""COMPUTED_VALUE"""),2825616)</f>
        <v>2825616</v>
      </c>
      <c r="C86" s="215" t="str">
        <f ca="1">IFERROR(__xludf.DUMMYFUNCTION("""COMPUTED_VALUE"""),"Intermediate")</f>
        <v>Intermediate</v>
      </c>
      <c r="D86" s="216" t="str">
        <f ca="1">IFERROR(__xludf.DUMMYFUNCTION("""COMPUTED_VALUE"""),"Finance Strategies for Business Leaders")</f>
        <v>Finance Strategies for Business Leaders</v>
      </c>
      <c r="E86" s="217"/>
      <c r="F86" s="213"/>
      <c r="G86" s="214"/>
      <c r="H86" s="215"/>
      <c r="I86" s="217"/>
      <c r="J86" s="217"/>
      <c r="K86" s="213"/>
      <c r="L86" s="215"/>
      <c r="M86" s="215"/>
      <c r="N86" s="217"/>
      <c r="O86" s="217"/>
      <c r="P86" s="213"/>
      <c r="Q86" s="215"/>
      <c r="R86" s="215"/>
      <c r="S86" s="217"/>
      <c r="T86" s="217"/>
      <c r="U86" s="213"/>
      <c r="V86" s="215"/>
      <c r="W86" s="215"/>
      <c r="X86" s="217"/>
      <c r="Y86" s="217"/>
      <c r="Z86" s="213"/>
      <c r="AA86" s="215"/>
      <c r="AB86" s="215"/>
      <c r="AC86" s="217"/>
      <c r="AD86" s="217"/>
      <c r="AE86" s="213"/>
      <c r="AF86" s="215"/>
      <c r="AG86" s="215"/>
      <c r="AH86" s="217"/>
      <c r="AI86" s="217"/>
      <c r="AJ86" s="213"/>
    </row>
    <row r="87" spans="1:36" ht="33.75" customHeight="1">
      <c r="A87" s="213"/>
      <c r="B87" s="214">
        <f ca="1">IFERROR(__xludf.DUMMYFUNCTION("""COMPUTED_VALUE"""),2833073)</f>
        <v>2833073</v>
      </c>
      <c r="C87" s="215" t="str">
        <f ca="1">IFERROR(__xludf.DUMMYFUNCTION("""COMPUTED_VALUE"""),"Intermediate")</f>
        <v>Intermediate</v>
      </c>
      <c r="D87" s="216" t="str">
        <f ca="1">IFERROR(__xludf.DUMMYFUNCTION("""COMPUTED_VALUE"""),"Create a Go-to-Market Plan")</f>
        <v>Create a Go-to-Market Plan</v>
      </c>
      <c r="E87" s="217"/>
      <c r="F87" s="213"/>
      <c r="G87" s="214"/>
      <c r="H87" s="215"/>
      <c r="I87" s="217"/>
      <c r="J87" s="217"/>
      <c r="K87" s="213"/>
      <c r="L87" s="215"/>
      <c r="M87" s="215"/>
      <c r="N87" s="217"/>
      <c r="O87" s="217"/>
      <c r="P87" s="213"/>
      <c r="Q87" s="215"/>
      <c r="R87" s="215"/>
      <c r="S87" s="217"/>
      <c r="T87" s="217"/>
      <c r="U87" s="213"/>
      <c r="V87" s="215"/>
      <c r="W87" s="215"/>
      <c r="X87" s="217"/>
      <c r="Y87" s="217"/>
      <c r="Z87" s="213"/>
      <c r="AA87" s="215"/>
      <c r="AB87" s="215"/>
      <c r="AC87" s="217"/>
      <c r="AD87" s="217"/>
      <c r="AE87" s="213"/>
      <c r="AF87" s="215"/>
      <c r="AG87" s="215"/>
      <c r="AH87" s="217"/>
      <c r="AI87" s="217"/>
      <c r="AJ87" s="213"/>
    </row>
    <row r="88" spans="1:36" ht="33.75" customHeight="1">
      <c r="A88" s="213"/>
      <c r="B88" s="214">
        <f ca="1">IFERROR(__xludf.DUMMYFUNCTION("""COMPUTED_VALUE"""),434461)</f>
        <v>434461</v>
      </c>
      <c r="C88" s="215" t="str">
        <f ca="1">IFERROR(__xludf.DUMMYFUNCTION("""COMPUTED_VALUE"""),"Intermediate")</f>
        <v>Intermediate</v>
      </c>
      <c r="D88" s="217" t="str">
        <f ca="1">IFERROR(__xludf.DUMMYFUNCTION("""COMPUTED_VALUE"""),"Strategic Human Resources")</f>
        <v>Strategic Human Resources</v>
      </c>
      <c r="E88" s="217"/>
      <c r="F88" s="213"/>
      <c r="G88" s="214"/>
      <c r="H88" s="215"/>
      <c r="I88" s="217"/>
      <c r="J88" s="217"/>
      <c r="K88" s="213"/>
      <c r="L88" s="215"/>
      <c r="M88" s="215"/>
      <c r="N88" s="217"/>
      <c r="O88" s="217"/>
      <c r="P88" s="213"/>
      <c r="Q88" s="215"/>
      <c r="R88" s="215"/>
      <c r="S88" s="217"/>
      <c r="T88" s="217"/>
      <c r="U88" s="213"/>
      <c r="V88" s="215"/>
      <c r="W88" s="215"/>
      <c r="X88" s="217"/>
      <c r="Y88" s="217"/>
      <c r="Z88" s="213"/>
      <c r="AA88" s="215"/>
      <c r="AB88" s="215"/>
      <c r="AC88" s="217"/>
      <c r="AD88" s="217"/>
      <c r="AE88" s="213"/>
      <c r="AF88" s="215"/>
      <c r="AG88" s="215"/>
      <c r="AH88" s="217"/>
      <c r="AI88" s="217"/>
      <c r="AJ88" s="213"/>
    </row>
    <row r="89" spans="1:36" ht="30">
      <c r="A89" s="213"/>
      <c r="B89" s="214">
        <f ca="1">IFERROR(__xludf.DUMMYFUNCTION("""COMPUTED_VALUE"""),2823041)</f>
        <v>2823041</v>
      </c>
      <c r="C89" s="215" t="str">
        <f ca="1">IFERROR(__xludf.DUMMYFUNCTION("""COMPUTED_VALUE"""),"Intermediate")</f>
        <v>Intermediate</v>
      </c>
      <c r="D89" s="216" t="str">
        <f ca="1">IFERROR(__xludf.DUMMYFUNCTION("""COMPUTED_VALUE"""),"Communicating Change in an Enterprise-Wide Transformation")</f>
        <v>Communicating Change in an Enterprise-Wide Transformation</v>
      </c>
      <c r="E89" s="217"/>
      <c r="F89" s="213"/>
      <c r="G89" s="214"/>
      <c r="H89" s="215"/>
      <c r="I89" s="217"/>
      <c r="J89" s="217"/>
      <c r="K89" s="213"/>
      <c r="L89" s="215"/>
      <c r="M89" s="215"/>
      <c r="N89" s="217"/>
      <c r="O89" s="217"/>
      <c r="P89" s="213"/>
      <c r="Q89" s="215"/>
      <c r="R89" s="215"/>
      <c r="S89" s="217"/>
      <c r="T89" s="217"/>
      <c r="U89" s="213"/>
      <c r="V89" s="215"/>
      <c r="W89" s="215"/>
      <c r="X89" s="217"/>
      <c r="Y89" s="217"/>
      <c r="Z89" s="213"/>
      <c r="AA89" s="215"/>
      <c r="AB89" s="215"/>
      <c r="AC89" s="217"/>
      <c r="AD89" s="217"/>
      <c r="AE89" s="213"/>
      <c r="AF89" s="215"/>
      <c r="AG89" s="215"/>
      <c r="AH89" s="217"/>
      <c r="AI89" s="217"/>
      <c r="AJ89" s="213"/>
    </row>
    <row r="90" spans="1:36" ht="16">
      <c r="A90" s="213"/>
      <c r="B90" s="214">
        <f ca="1">IFERROR(__xludf.DUMMYFUNCTION("""COMPUTED_VALUE"""),2213244)</f>
        <v>2213244</v>
      </c>
      <c r="C90" s="215" t="str">
        <f ca="1">IFERROR(__xludf.DUMMYFUNCTION("""COMPUTED_VALUE"""),"Intermediate")</f>
        <v>Intermediate</v>
      </c>
      <c r="D90" s="216" t="str">
        <f ca="1">IFERROR(__xludf.DUMMYFUNCTION("""COMPUTED_VALUE"""),"Azure for Architects: Design a Migration Strategy")</f>
        <v>Azure for Architects: Design a Migration Strategy</v>
      </c>
      <c r="E90" s="217"/>
      <c r="F90" s="213"/>
      <c r="G90" s="214"/>
      <c r="H90" s="215"/>
      <c r="I90" s="217"/>
      <c r="J90" s="217"/>
      <c r="K90" s="213"/>
      <c r="L90" s="215"/>
      <c r="M90" s="215"/>
      <c r="N90" s="217"/>
      <c r="O90" s="217"/>
      <c r="P90" s="213"/>
      <c r="Q90" s="215"/>
      <c r="R90" s="215"/>
      <c r="S90" s="217"/>
      <c r="T90" s="217"/>
      <c r="U90" s="213"/>
      <c r="V90" s="215"/>
      <c r="W90" s="215"/>
      <c r="X90" s="217"/>
      <c r="Y90" s="217"/>
      <c r="Z90" s="213"/>
      <c r="AA90" s="215"/>
      <c r="AB90" s="215"/>
      <c r="AC90" s="217"/>
      <c r="AD90" s="217"/>
      <c r="AE90" s="213"/>
      <c r="AF90" s="215"/>
      <c r="AG90" s="215"/>
      <c r="AH90" s="217"/>
      <c r="AI90" s="217"/>
      <c r="AJ90" s="213"/>
    </row>
    <row r="91" spans="1:36" ht="16">
      <c r="A91" s="213"/>
      <c r="B91" s="214">
        <f ca="1">IFERROR(__xludf.DUMMYFUNCTION("""COMPUTED_VALUE"""),2813285)</f>
        <v>2813285</v>
      </c>
      <c r="C91" s="215" t="str">
        <f ca="1">IFERROR(__xludf.DUMMYFUNCTION("""COMPUTED_VALUE"""),"Intermediate")</f>
        <v>Intermediate</v>
      </c>
      <c r="D91" s="216" t="str">
        <f ca="1">IFERROR(__xludf.DUMMYFUNCTION("""COMPUTED_VALUE"""),"Ethical Hacking: Cryptography")</f>
        <v>Ethical Hacking: Cryptography</v>
      </c>
      <c r="E91" s="217"/>
      <c r="F91" s="213"/>
      <c r="G91" s="214"/>
      <c r="H91" s="215"/>
      <c r="I91" s="217"/>
      <c r="J91" s="217"/>
      <c r="K91" s="213"/>
      <c r="L91" s="215"/>
      <c r="M91" s="215"/>
      <c r="N91" s="217"/>
      <c r="O91" s="217"/>
      <c r="P91" s="213"/>
      <c r="Q91" s="215"/>
      <c r="R91" s="215"/>
      <c r="S91" s="217"/>
      <c r="T91" s="217"/>
      <c r="U91" s="213"/>
      <c r="V91" s="215"/>
      <c r="W91" s="215"/>
      <c r="X91" s="217"/>
      <c r="Y91" s="217"/>
      <c r="Z91" s="213"/>
      <c r="AA91" s="215"/>
      <c r="AB91" s="215"/>
      <c r="AC91" s="217"/>
      <c r="AD91" s="217"/>
      <c r="AE91" s="213"/>
      <c r="AF91" s="215"/>
      <c r="AG91" s="215"/>
      <c r="AH91" s="217"/>
      <c r="AI91" s="217"/>
      <c r="AJ91" s="213"/>
    </row>
    <row r="92" spans="1:36" ht="30">
      <c r="A92" s="213"/>
      <c r="B92" s="214">
        <f ca="1">IFERROR(__xludf.DUMMYFUNCTION("""COMPUTED_VALUE"""),2822056)</f>
        <v>2822056</v>
      </c>
      <c r="C92" s="215" t="str">
        <f ca="1">IFERROR(__xludf.DUMMYFUNCTION("""COMPUTED_VALUE"""),"Intermediate")</f>
        <v>Intermediate</v>
      </c>
      <c r="D92" s="216" t="str">
        <f ca="1">IFERROR(__xludf.DUMMYFUNCTION("""COMPUTED_VALUE"""),"Azure for Architects: Design a Business Continuity Strategy")</f>
        <v>Azure for Architects: Design a Business Continuity Strategy</v>
      </c>
      <c r="E92" s="217"/>
      <c r="F92" s="213"/>
      <c r="G92" s="214"/>
      <c r="H92" s="215"/>
      <c r="I92" s="217"/>
      <c r="J92" s="217"/>
      <c r="K92" s="213"/>
      <c r="L92" s="215"/>
      <c r="M92" s="215"/>
      <c r="N92" s="217"/>
      <c r="O92" s="217"/>
      <c r="P92" s="213"/>
      <c r="Q92" s="215"/>
      <c r="R92" s="215"/>
      <c r="S92" s="217"/>
      <c r="T92" s="217"/>
      <c r="U92" s="213"/>
      <c r="V92" s="215"/>
      <c r="W92" s="215"/>
      <c r="X92" s="217"/>
      <c r="Y92" s="217"/>
      <c r="Z92" s="213"/>
      <c r="AA92" s="215"/>
      <c r="AB92" s="215"/>
      <c r="AC92" s="217"/>
      <c r="AD92" s="217"/>
      <c r="AE92" s="213"/>
      <c r="AF92" s="215"/>
      <c r="AG92" s="215"/>
      <c r="AH92" s="217"/>
      <c r="AI92" s="217"/>
      <c r="AJ92" s="213"/>
    </row>
    <row r="93" spans="1:36" ht="16">
      <c r="A93" s="213"/>
      <c r="B93" s="214">
        <f ca="1">IFERROR(__xludf.DUMMYFUNCTION("""COMPUTED_VALUE"""),2825373)</f>
        <v>2825373</v>
      </c>
      <c r="C93" s="215" t="str">
        <f ca="1">IFERROR(__xludf.DUMMYFUNCTION("""COMPUTED_VALUE"""),"Intermediate")</f>
        <v>Intermediate</v>
      </c>
      <c r="D93" s="216" t="str">
        <f ca="1">IFERROR(__xludf.DUMMYFUNCTION("""COMPUTED_VALUE"""),"Cybersecurity Foundations")</f>
        <v>Cybersecurity Foundations</v>
      </c>
      <c r="E93" s="217"/>
      <c r="F93" s="213"/>
      <c r="G93" s="214"/>
      <c r="H93" s="215"/>
      <c r="I93" s="217"/>
      <c r="J93" s="217"/>
      <c r="K93" s="213"/>
      <c r="L93" s="215"/>
      <c r="M93" s="215"/>
      <c r="N93" s="217"/>
      <c r="O93" s="217"/>
      <c r="P93" s="213"/>
      <c r="Q93" s="215"/>
      <c r="R93" s="215"/>
      <c r="S93" s="217"/>
      <c r="T93" s="217"/>
      <c r="U93" s="213"/>
      <c r="V93" s="215"/>
      <c r="W93" s="215"/>
      <c r="X93" s="217"/>
      <c r="Y93" s="217"/>
      <c r="Z93" s="213"/>
      <c r="AA93" s="215"/>
      <c r="AB93" s="215"/>
      <c r="AC93" s="217"/>
      <c r="AD93" s="217"/>
      <c r="AE93" s="213"/>
      <c r="AF93" s="215"/>
      <c r="AG93" s="215"/>
      <c r="AH93" s="217"/>
      <c r="AI93" s="217"/>
      <c r="AJ93" s="213"/>
    </row>
    <row r="94" spans="1:36" ht="16">
      <c r="A94" s="213"/>
      <c r="B94" s="214"/>
      <c r="C94" s="215"/>
      <c r="D94" s="216"/>
      <c r="E94" s="217"/>
      <c r="F94" s="213"/>
      <c r="G94" s="214"/>
      <c r="H94" s="215"/>
      <c r="I94" s="217"/>
      <c r="J94" s="217"/>
      <c r="K94" s="213"/>
      <c r="L94" s="215"/>
      <c r="M94" s="215"/>
      <c r="N94" s="217"/>
      <c r="O94" s="217"/>
      <c r="P94" s="213"/>
      <c r="Q94" s="215"/>
      <c r="R94" s="215"/>
      <c r="S94" s="217"/>
      <c r="T94" s="217"/>
      <c r="U94" s="213"/>
      <c r="V94" s="215"/>
      <c r="W94" s="215"/>
      <c r="X94" s="217"/>
      <c r="Y94" s="217"/>
      <c r="Z94" s="213"/>
      <c r="AA94" s="215"/>
      <c r="AB94" s="215"/>
      <c r="AC94" s="217"/>
      <c r="AD94" s="217"/>
      <c r="AE94" s="213"/>
      <c r="AF94" s="215"/>
      <c r="AG94" s="215"/>
      <c r="AH94" s="217"/>
      <c r="AI94" s="217"/>
      <c r="AJ94" s="213"/>
    </row>
    <row r="95" spans="1:36" ht="16">
      <c r="A95" s="213"/>
      <c r="B95" s="214"/>
      <c r="C95" s="215"/>
      <c r="D95" s="216"/>
      <c r="E95" s="217"/>
      <c r="F95" s="213"/>
      <c r="G95" s="214"/>
      <c r="H95" s="215"/>
      <c r="I95" s="217"/>
      <c r="J95" s="217"/>
      <c r="K95" s="213"/>
      <c r="L95" s="215"/>
      <c r="M95" s="215"/>
      <c r="N95" s="217"/>
      <c r="O95" s="217"/>
      <c r="P95" s="213"/>
      <c r="Q95" s="215"/>
      <c r="R95" s="215"/>
      <c r="S95" s="217"/>
      <c r="T95" s="217"/>
      <c r="U95" s="213"/>
      <c r="V95" s="215"/>
      <c r="W95" s="215"/>
      <c r="X95" s="217"/>
      <c r="Y95" s="217"/>
      <c r="Z95" s="213"/>
      <c r="AA95" s="215"/>
      <c r="AB95" s="215"/>
      <c r="AC95" s="217"/>
      <c r="AD95" s="217"/>
      <c r="AE95" s="213"/>
      <c r="AF95" s="215"/>
      <c r="AG95" s="215"/>
      <c r="AH95" s="217"/>
      <c r="AI95" s="217"/>
      <c r="AJ95" s="213"/>
    </row>
    <row r="96" spans="1:36" ht="16">
      <c r="A96" s="213"/>
      <c r="B96" s="214"/>
      <c r="C96" s="215"/>
      <c r="D96" s="217"/>
      <c r="E96" s="217"/>
      <c r="F96" s="213"/>
      <c r="G96" s="214"/>
      <c r="H96" s="215"/>
      <c r="I96" s="217"/>
      <c r="J96" s="217"/>
      <c r="K96" s="213"/>
      <c r="L96" s="215"/>
      <c r="M96" s="215"/>
      <c r="N96" s="217"/>
      <c r="O96" s="217"/>
      <c r="P96" s="213"/>
      <c r="Q96" s="215"/>
      <c r="R96" s="215"/>
      <c r="S96" s="217"/>
      <c r="T96" s="217"/>
      <c r="U96" s="213"/>
      <c r="V96" s="215"/>
      <c r="W96" s="215"/>
      <c r="X96" s="217"/>
      <c r="Y96" s="217"/>
      <c r="Z96" s="213"/>
      <c r="AA96" s="215"/>
      <c r="AB96" s="215"/>
      <c r="AC96" s="217"/>
      <c r="AD96" s="217"/>
      <c r="AE96" s="213"/>
      <c r="AF96" s="215"/>
      <c r="AG96" s="215"/>
      <c r="AH96" s="217"/>
      <c r="AI96" s="217"/>
      <c r="AJ96" s="213"/>
    </row>
    <row r="97" spans="1:36" ht="16">
      <c r="A97" s="213"/>
      <c r="B97" s="214"/>
      <c r="C97" s="215"/>
      <c r="D97" s="217"/>
      <c r="E97" s="217"/>
      <c r="F97" s="213"/>
      <c r="G97" s="214"/>
      <c r="H97" s="215"/>
      <c r="I97" s="217"/>
      <c r="J97" s="217"/>
      <c r="K97" s="213"/>
      <c r="L97" s="215"/>
      <c r="M97" s="215"/>
      <c r="N97" s="217"/>
      <c r="O97" s="217"/>
      <c r="P97" s="213"/>
      <c r="Q97" s="215"/>
      <c r="R97" s="215"/>
      <c r="S97" s="217"/>
      <c r="T97" s="217"/>
      <c r="U97" s="213"/>
      <c r="V97" s="215"/>
      <c r="W97" s="215"/>
      <c r="X97" s="217"/>
      <c r="Y97" s="217"/>
      <c r="Z97" s="213"/>
      <c r="AA97" s="215"/>
      <c r="AB97" s="215"/>
      <c r="AC97" s="217"/>
      <c r="AD97" s="217"/>
      <c r="AE97" s="213"/>
      <c r="AF97" s="215"/>
      <c r="AG97" s="215"/>
      <c r="AH97" s="217"/>
      <c r="AI97" s="217"/>
      <c r="AJ97" s="213"/>
    </row>
    <row r="98" spans="1:36" ht="16">
      <c r="A98" s="213"/>
      <c r="B98" s="214"/>
      <c r="C98" s="215"/>
      <c r="D98" s="217"/>
      <c r="E98" s="217"/>
      <c r="F98" s="213"/>
      <c r="G98" s="214"/>
      <c r="H98" s="215"/>
      <c r="I98" s="217"/>
      <c r="J98" s="217"/>
      <c r="K98" s="213"/>
      <c r="L98" s="215"/>
      <c r="M98" s="215"/>
      <c r="N98" s="217"/>
      <c r="O98" s="217"/>
      <c r="P98" s="213"/>
      <c r="Q98" s="215"/>
      <c r="R98" s="215"/>
      <c r="S98" s="217"/>
      <c r="T98" s="217"/>
      <c r="U98" s="213"/>
      <c r="V98" s="215"/>
      <c r="W98" s="215"/>
      <c r="X98" s="217"/>
      <c r="Y98" s="217"/>
      <c r="Z98" s="213"/>
      <c r="AA98" s="215"/>
      <c r="AB98" s="215"/>
      <c r="AC98" s="217"/>
      <c r="AD98" s="217"/>
      <c r="AE98" s="213"/>
      <c r="AF98" s="215"/>
      <c r="AG98" s="215"/>
      <c r="AH98" s="217"/>
      <c r="AI98" s="217"/>
      <c r="AJ98" s="213"/>
    </row>
    <row r="99" spans="1:36" ht="16">
      <c r="A99" s="213"/>
      <c r="B99" s="214"/>
      <c r="C99" s="215"/>
      <c r="D99" s="217"/>
      <c r="E99" s="217"/>
      <c r="F99" s="213"/>
      <c r="G99" s="214"/>
      <c r="H99" s="215"/>
      <c r="I99" s="218"/>
      <c r="J99" s="219"/>
      <c r="K99" s="213"/>
      <c r="L99" s="215"/>
      <c r="M99" s="215"/>
      <c r="N99" s="220"/>
      <c r="O99" s="220"/>
      <c r="P99" s="213"/>
      <c r="Q99" s="215"/>
      <c r="R99" s="215"/>
      <c r="S99" s="220"/>
      <c r="T99" s="220"/>
      <c r="U99" s="213"/>
      <c r="V99" s="215"/>
      <c r="W99" s="215"/>
      <c r="X99" s="220"/>
      <c r="Y99" s="220"/>
      <c r="Z99" s="213"/>
      <c r="AA99" s="215"/>
      <c r="AB99" s="215"/>
      <c r="AC99" s="221"/>
      <c r="AD99" s="221"/>
      <c r="AE99" s="213"/>
      <c r="AF99" s="215"/>
      <c r="AG99" s="215"/>
      <c r="AH99" s="220"/>
      <c r="AI99" s="220"/>
      <c r="AJ99" s="213"/>
    </row>
  </sheetData>
  <mergeCells count="14">
    <mergeCell ref="B1:E1"/>
    <mergeCell ref="L1:O1"/>
    <mergeCell ref="V1:Y1"/>
    <mergeCell ref="AF1:AI1"/>
    <mergeCell ref="B2:E2"/>
    <mergeCell ref="L2:O2"/>
    <mergeCell ref="V2:Y2"/>
    <mergeCell ref="AF2:AI2"/>
    <mergeCell ref="G1:J1"/>
    <mergeCell ref="G2:J2"/>
    <mergeCell ref="Q1:T1"/>
    <mergeCell ref="Q2:T2"/>
    <mergeCell ref="AA1:AD1"/>
    <mergeCell ref="AA2:AD2"/>
  </mergeCells>
  <hyperlinks>
    <hyperlink ref="D4" r:id="rId1" display="https://www.linkedin.com/learning/creating-a-culture-of-change?trk=ondemandfile" xr:uid="{00000000-0004-0000-1E00-000000000000}"/>
    <hyperlink ref="E4" r:id="rId2" display="https://www.linkedin.com/learning/paths/applying-lean-devops-and-agile-to-your-it-organization?trk=ondemandfile" xr:uid="{00000000-0004-0000-1E00-000001000000}"/>
    <hyperlink ref="N4" r:id="rId3" display="https://www.linkedin.com/learning/00-agilidad-estrategica?trk=ondemandfile" xr:uid="{00000000-0004-0000-1E00-000002000000}"/>
    <hyperlink ref="O4" r:id="rId4" display="https://www.linkedin.com/learning/paths/profundiza-tu-capacidad-estrategica?trk=ondemandfile" xr:uid="{00000000-0004-0000-1E00-000003000000}"/>
    <hyperlink ref="S4" r:id="rId5" display="https://www.linkedin.com/learning/agile-und-digitale-transformation?trk=ondemandfile" xr:uid="{00000000-0004-0000-1E00-000004000000}"/>
    <hyperlink ref="T4" r:id="rId6" display="https://www.linkedin.com/learning/paths/ins-strategische-controlling-einsteigen?trk=ondemandfile" xr:uid="{00000000-0004-0000-1E00-000005000000}"/>
    <hyperlink ref="X4" r:id="rId7" display="https://www.linkedin.com/learning/strategic-agility-14172913?trk=ondemandfile" xr:uid="{00000000-0004-0000-1E00-000006000000}"/>
    <hyperlink ref="AC4" r:id="rId8" display="https://www.linkedin.com/learning/a-linguagem-corporal-da-lideranca?trk=contentmappingfile" xr:uid="{00000000-0004-0000-1E00-000007000000}"/>
    <hyperlink ref="AH4" r:id="rId9" display="https://www.linkedin.com/learning/business-innovation-foundations-3?trk=ondemandfile" xr:uid="{00000000-0004-0000-1E00-000008000000}"/>
    <hyperlink ref="D5" r:id="rId10" display="https://www.linkedin.com/learning/creating-a-culture-of-strategy-execution?trk=ondemandfile" xr:uid="{00000000-0004-0000-1E00-000009000000}"/>
    <hyperlink ref="E5" r:id="rId11" display="https://www.linkedin.com/learning/paths/become-a-business-analyst?trk=ondemandfile" xr:uid="{00000000-0004-0000-1E00-00000A000000}"/>
    <hyperlink ref="N5" r:id="rId12" display="https://www.linkedin.com/learning/como-cultivar-una-mentalidad-de-crecimiento?trk=ondemandfile" xr:uid="{00000000-0004-0000-1E00-00000B000000}"/>
    <hyperlink ref="S5" r:id="rId13" display="https://www.linkedin.com/learning/agilitat-mit-strategie?trk=ondemandfile" xr:uid="{00000000-0004-0000-1E00-00000C000000}"/>
    <hyperlink ref="T5" r:id="rId14" display="https://www.linkedin.com/learning/paths/innovation-fordern?trk=ondemandfile?trk=ondemandfile" xr:uid="{00000000-0004-0000-1E00-00000D000000}"/>
    <hyperlink ref="X5" r:id="rId15" display="https://www.linkedin.com/learning/digital-transformation?trk=ondemandfile" xr:uid="{00000000-0004-0000-1E00-00000E000000}"/>
    <hyperlink ref="AH5" r:id="rId16" display="https://www.linkedin.com/learning/developing-a-competitive-strategy-2?trk=ondemandfile" xr:uid="{00000000-0004-0000-1E00-00000F000000}"/>
    <hyperlink ref="D6" r:id="rId17" display="https://www.linkedin.com/learning/global-strategy?trk=ondemandfile" xr:uid="{00000000-0004-0000-1E00-000010000000}"/>
    <hyperlink ref="E6" r:id="rId18" display="https://www.linkedin.com/learning/paths/become-a-business-operations-associate?trk=ondemandfile" xr:uid="{00000000-0004-0000-1E00-000011000000}"/>
    <hyperlink ref="N6" r:id="rId19" display="https://www.linkedin.com/learning/como-mejorar-tu-capacidad-de-toma-de-decisiones?trk=ondemandfile" xr:uid="{00000000-0004-0000-1E00-000012000000}"/>
    <hyperlink ref="S6" r:id="rId20" display="https://www.linkedin.com/learning/risk-taking-lead?trk=ondemandfile" xr:uid="{00000000-0004-0000-1E00-000013000000}"/>
    <hyperlink ref="X6" r:id="rId21" display="https://www.linkedin.com/learning/developing-business-acumen-2?trk=ondemandfile" xr:uid="{00000000-0004-0000-1E00-000014000000}"/>
    <hyperlink ref="AH6" r:id="rId22" display="https://www.linkedin.com/learning/developing-business-acumen-3?trk=ondemandfile" xr:uid="{00000000-0004-0000-1E00-000015000000}"/>
    <hyperlink ref="D7" r:id="rId23" display="https://www.linkedin.com/learning/digital-strategy?trk=ondemandfile" xr:uid="{00000000-0004-0000-1E00-000016000000}"/>
    <hyperlink ref="E7" r:id="rId24" display="https://www.linkedin.com/learning/paths/become-a-business-unit-manager-2?trk=ondemandfile" xr:uid="{00000000-0004-0000-1E00-000017000000}"/>
    <hyperlink ref="N7" r:id="rId25" display="https://www.linkedin.com/learning/como-superar-los-sesgos-cognitivos?trk=ondemandfile" xr:uid="{00000000-0004-0000-1E00-000018000000}"/>
    <hyperlink ref="S7" r:id="rId26" display="https://www.linkedin.com/learning/businessplan-f-r-ihr-unternehmen?trk=ondemandfile" xr:uid="{00000000-0004-0000-1E00-000019000000}"/>
    <hyperlink ref="X7" r:id="rId27" display="https://www.linkedin.com/learning/strategic-negotiation-3?trk=ondemandfile" xr:uid="{00000000-0004-0000-1E00-00001A000000}"/>
    <hyperlink ref="AH7" r:id="rId28" display="https://www.linkedin.com/learning/developing-a-learning-mindset-3?trk=ondemandfile" xr:uid="{00000000-0004-0000-1E00-00001B000000}"/>
    <hyperlink ref="D8" r:id="rId29" display="https://www.linkedin.com/learning/creating-your-it-strategy?trk=ondemandfile" xr:uid="{00000000-0004-0000-1E00-00001C000000}"/>
    <hyperlink ref="E8" r:id="rId30" display="https://www.linkedin.com/learning/paths/become-a-corporate-financial-planning-analyst?trk=ondemandfile" xr:uid="{00000000-0004-0000-1E00-00001D000000}"/>
    <hyperlink ref="N8" r:id="rId31" display="https://www.linkedin.com/learning/00-designing-growth-strategies?trk=ondemandfile" xr:uid="{00000000-0004-0000-1E00-00001E000000}"/>
    <hyperlink ref="S8" r:id="rId32" display="https://www.linkedin.com/learning/das-personal-der-zukunft?trk=ondemandfile" xr:uid="{00000000-0004-0000-1E00-00001F000000}"/>
    <hyperlink ref="X8" r:id="rId33" display="https://www.linkedin.com/learning/strategic-planning-foundations-3?trk=ondemandfile" xr:uid="{00000000-0004-0000-1E00-000020000000}"/>
    <hyperlink ref="AH8" r:id="rId34" display="https://www.linkedin.com/learning/cultivating-a-growth-mindset-3?trk=ondemandfile" xr:uid="{00000000-0004-0000-1E00-000021000000}"/>
    <hyperlink ref="D9" r:id="rId35" display="https://www.linkedin.com/learning/implementing-your-it-strategy?trk=ondemandfile" xr:uid="{00000000-0004-0000-1E00-000022000000}"/>
    <hyperlink ref="E9" r:id="rId36" display="https://www.linkedin.com/learning/paths/become-a-content-strategist-2?trk=ondemandfile" xr:uid="{00000000-0004-0000-1E00-000023000000}"/>
    <hyperlink ref="N9" r:id="rId37" display="https://www.linkedin.com/learning/00-competitive-strategy?trk=ondemandfile" xr:uid="{00000000-0004-0000-1E00-000024000000}"/>
    <hyperlink ref="S9" r:id="rId38" display="https://www.linkedin.com/learning/der-weg-zu-den-besten-blinkist-kernaussagen?trk=ondemandfile" xr:uid="{00000000-0004-0000-1E00-000025000000}"/>
    <hyperlink ref="X9" r:id="rId39" display="https://www.linkedin.com/learning/measuring-business-performance-4?trk=ondemandfile" xr:uid="{00000000-0004-0000-1E00-000026000000}"/>
    <hyperlink ref="AH9" r:id="rId40" display="https://www.linkedin.com/learning/developing-executive-presence-2?trk=ondemandfile" xr:uid="{00000000-0004-0000-1E00-000027000000}"/>
    <hyperlink ref="D10" r:id="rId41" display="https://www.linkedin.com/learning/digital-transformation-2?trk=ondemandfile" xr:uid="{00000000-0004-0000-1E00-000028000000}"/>
    <hyperlink ref="E10" r:id="rId42" display="https://www.linkedin.com/learning/paths/build-essential-data-skills?trk=ondemandfile" xr:uid="{00000000-0004-0000-1E00-000029000000}"/>
    <hyperlink ref="N10" r:id="rId43" display="https://www.linkedin.com/learning/estrategias-para-salir-de-una-crisis-empresarial?trk=ondemandfile" xr:uid="{00000000-0004-0000-1E00-00002A000000}"/>
    <hyperlink ref="S10" r:id="rId44" display="https://www.linkedin.com/learning/die-orbit-organisation-blinkist-kernaussagen?trk=ondemandfile" xr:uid="{00000000-0004-0000-1E00-00002B000000}"/>
    <hyperlink ref="X10" r:id="rId45" display="https://www.linkedin.com/learning/developing-a-competitive-strategy-3?trk=ondemandfile" xr:uid="{00000000-0004-0000-1E00-00002C000000}"/>
    <hyperlink ref="AC10" r:id="rId46" display="https://www.linkedin.com/learning/fundamentos-de-inovacao-empresarial?trk=contentmappingfile" xr:uid="{00000000-0004-0000-1E00-00002D000000}"/>
    <hyperlink ref="AH10" r:id="rId47" display="https://www.linkedin.com/learning/strategic-thinking-4?trk=ondemandfile" xr:uid="{00000000-0004-0000-1E00-00002E000000}"/>
    <hyperlink ref="D11" r:id="rId48" display="https://www.linkedin.com/learning/assessing-digital-maturity?trk=ondemandfile" xr:uid="{00000000-0004-0000-1E00-00002F000000}"/>
    <hyperlink ref="E11" r:id="rId49" display="https://www.linkedin.com/learning/paths/develop-your-strategic-planning-skills?trk=ondemandfile" xr:uid="{00000000-0004-0000-1E00-000030000000}"/>
    <hyperlink ref="N11" r:id="rId50" display="https://www.linkedin.com/learning/estrategias-para-tomar-decisiones?trk=ondemandfile" xr:uid="{00000000-0004-0000-1E00-000031000000}"/>
    <hyperlink ref="S11" r:id="rId51" display="https://www.linkedin.com/learning/die-unternehmensleistung-messen?trk=ondemandfile" xr:uid="{00000000-0004-0000-1E00-000032000000}"/>
    <hyperlink ref="X11" r:id="rId52" display="https://www.linkedin.com/learning/executive-decision-making-4?trk=ondemandfile" xr:uid="{00000000-0004-0000-1E00-000033000000}"/>
    <hyperlink ref="AH11" r:id="rId53" display="https://www.linkedin.com/learning/strategic-agility-3?trk=ondemandfile" xr:uid="{00000000-0004-0000-1E00-000034000000}"/>
    <hyperlink ref="D12" r:id="rId54" display="https://www.linkedin.com/learning/data-strategy?trk=contentmappingfile" xr:uid="{00000000-0004-0000-1E00-000035000000}"/>
    <hyperlink ref="E12" r:id="rId55" display="https://www.linkedin.com/learning/paths/digital-transformation-for-leaders?trk=ondemandfile" xr:uid="{00000000-0004-0000-1E00-000036000000}"/>
    <hyperlink ref="N12" r:id="rId56" display="https://www.linkedin.com/learning/fundamentos-de-la-planificaci-n-estrat-gica?trk=ondemandfile" xr:uid="{00000000-0004-0000-1E00-000037000000}"/>
    <hyperlink ref="S12" r:id="rId57" display="https://www.linkedin.com/learning/digitale-transformation?trk=ondemandfile" xr:uid="{00000000-0004-0000-1E00-000038000000}"/>
    <hyperlink ref="X12" r:id="rId58" display="https://www.linkedin.com/learning/decision-making-strategies-3?trk=ondemandfile" xr:uid="{00000000-0004-0000-1E00-000039000000}"/>
    <hyperlink ref="AH12" r:id="rId59" display="https://www.linkedin.com/learning/strategic-planning-foundations-2?trk=ondemandfile" xr:uid="{00000000-0004-0000-1E00-00003A000000}"/>
    <hyperlink ref="D13" r:id="rId60" display="https://www.linkedin.com/learning/privacy-for-executives?trk=ondemandfile" xr:uid="{00000000-0004-0000-1E00-00003B000000}"/>
    <hyperlink ref="E13" r:id="rId61" display="https://www.linkedin.com/learning/paths/managing-change?trk=ondemandfile" xr:uid="{00000000-0004-0000-1E00-00003C000000}"/>
    <hyperlink ref="N13" r:id="rId62" display="https://www.linkedin.com/learning/00-jeff-weiner-on-establishing-a-culture-and-a-plan-for-scaling?trk=ondemandfile" xr:uid="{00000000-0004-0000-1E00-00003D000000}"/>
    <hyperlink ref="S13" r:id="rId63" display="https://www.linkedin.com/learning/disrupt-yourself-erfinden-sie-sich-neu?trk=ondemandfile" xr:uid="{00000000-0004-0000-1E00-00003E000000}"/>
    <hyperlink ref="AH13" r:id="rId64" display="https://www.linkedin.com/learning/creating-a-culture-of-learning?trk=ondemandfile" xr:uid="{00000000-0004-0000-1E00-00003F000000}"/>
    <hyperlink ref="D14" r:id="rId65" display="https://www.linkedin.com/learning/mergers-acquisitions?trk=ondemandfile" xr:uid="{00000000-0004-0000-1E00-000040000000}"/>
    <hyperlink ref="N14" r:id="rId66" display="https://www.linkedin.com/learning/00-critical-thinking?trk=ondemandfile" xr:uid="{00000000-0004-0000-1E00-000041000000}"/>
    <hyperlink ref="S14" r:id="rId67" display="https://www.linkedin.com/learning/ein-agiles-mindset-entwickeln?trk=ondemandfile" xr:uid="{00000000-0004-0000-1E00-000042000000}"/>
    <hyperlink ref="AH14" r:id="rId68" display="https://www.linkedin.com/learning/agile-at-work-planning-with-agile-user-stories-3?trk=ondemandfile" xr:uid="{00000000-0004-0000-1E00-000043000000}"/>
    <hyperlink ref="D15" r:id="rId69" display="https://www.linkedin.com/learning/competitive-strategy?trk=ondemandfile" xr:uid="{00000000-0004-0000-1E00-000044000000}"/>
    <hyperlink ref="N15" r:id="rId70" display="https://www.linkedin.com/learning/pensamiento-estrategico?trk=ondemandfile" xr:uid="{00000000-0004-0000-1E00-000045000000}"/>
    <hyperlink ref="S15" r:id="rId71" display="https://www.linkedin.com/learning/competstrat?trk=ondemandfile" xr:uid="{00000000-0004-0000-1E00-000046000000}"/>
    <hyperlink ref="AH15" r:id="rId72" display="https://www.linkedin.com/learning/performance-management-conducting-performance-reviews-2?trk=ondemandfile" xr:uid="{00000000-0004-0000-1E00-000047000000}"/>
    <hyperlink ref="D16" r:id="rId73" display="https://www.linkedin.com/learning/designing-growth-strategies?trk=ondemandfile" xr:uid="{00000000-0004-0000-1E00-000048000000}"/>
    <hyperlink ref="I16" r:id="rId74" display="https://www.linkedin.com/learning/les-fondements-de-la-prise-de-risque-pour-les-dirigeants-dirigeantes?trk=contentmappingfile" xr:uid="{00000000-0004-0000-1E00-000049000000}"/>
    <hyperlink ref="N16" r:id="rId75" display="https://www.linkedin.com/learning/recursos-humanos-estrategicos?trk=ondemandfile" xr:uid="{00000000-0004-0000-1E00-00004A000000}"/>
    <hyperlink ref="S16" r:id="rId76" display="https://www.linkedin.com/learning/einen-marketingplan-schreiben?trk=ondemandfile" xr:uid="{00000000-0004-0000-1E00-00004B000000}"/>
    <hyperlink ref="AH16" r:id="rId77" display="https://www.linkedin.com/learning/designing-growth-strategies-2?trk=ondemandfile" xr:uid="{00000000-0004-0000-1E00-00004C000000}"/>
    <hyperlink ref="D17" r:id="rId78" display="https://www.linkedin.com/learning/sustainability-strategies?trk=ondemandfile" xr:uid="{00000000-0004-0000-1E00-00004D000000}"/>
    <hyperlink ref="N17" r:id="rId79" display="https://www.linkedin.com/learning/00-executive-decision-making?trk=ondemandfile" xr:uid="{00000000-0004-0000-1E00-00004E000000}"/>
    <hyperlink ref="S17" r:id="rId80" display="https://www.linkedin.com/learning/entscheidungen-auf-fuhrungsebene-treffen?trk=ondemandfile" xr:uid="{00000000-0004-0000-1E00-00004F000000}"/>
    <hyperlink ref="AH17" r:id="rId81" display="https://www.linkedin.com/learning/measuring-business-performance-3?trk=ondemandfile" xr:uid="{00000000-0004-0000-1E00-000050000000}"/>
    <hyperlink ref="D18" r:id="rId82" display="https://www.linkedin.com/learning/aaron-dignan-on-transformational-change?trk=ondemandfile" xr:uid="{00000000-0004-0000-1E00-000051000000}"/>
    <hyperlink ref="S18" r:id="rId83" display="https://www.linkedin.com/learning/8806380a-9091-31ee-accd-2c173a41388d?trk=ondemandfile" xr:uid="{00000000-0004-0000-1E00-000052000000}"/>
    <hyperlink ref="AH18" r:id="rId84" display="https://www.linkedin.com/learning/risk-taking-for-leaders-2?trk=ondemandfile" xr:uid="{00000000-0004-0000-1E00-000053000000}"/>
    <hyperlink ref="D19" r:id="rId85" display="https://www.linkedin.com/learning/reid-hoffman-and-chris-yeh-on-blitzscaling?trk=ondemandfile" xr:uid="{00000000-0004-0000-1E00-000054000000}"/>
    <hyperlink ref="S19" r:id="rId86" display="https://www.linkedin.com/learning/fit-fur-die-geschaftsfuhrung-im-digitalen-zeitalter-blinkist-kernaussagen?trk=ondemandfile" xr:uid="{00000000-0004-0000-1E00-000055000000}"/>
    <hyperlink ref="AH19" r:id="rId87" display="https://www.linkedin.com/learning/executive-decision-making-3?trk=ondemandfile" xr:uid="{00000000-0004-0000-1E00-000056000000}"/>
    <hyperlink ref="D20" r:id="rId88" display="https://www.linkedin.com/learning/leading-with-vision?trk=ondemandfile" xr:uid="{00000000-0004-0000-1E00-000057000000}"/>
    <hyperlink ref="S20" r:id="rId89" display="https://www.linkedin.com/learning/fuhren-mit-innovation?trk=ondemandfile" xr:uid="{00000000-0004-0000-1E00-000058000000}"/>
    <hyperlink ref="AH20" r:id="rId90" display="https://www.linkedin.com/learning/executive-leadership-4?trk=ondemandfile" xr:uid="{00000000-0004-0000-1E00-000059000000}"/>
    <hyperlink ref="D21" r:id="rId91" display="https://www.linkedin.com/learning/strategic-agility?trk=ondemandfile" xr:uid="{00000000-0004-0000-1E00-00005A000000}"/>
    <hyperlink ref="S21" r:id="rId92" display="https://www.linkedin.com/learning/fuhrungsqualitaten-fur-topmanager?trk=ondemandfile" xr:uid="{00000000-0004-0000-1E00-00005B000000}"/>
    <hyperlink ref="D22" r:id="rId93" display="https://www.linkedin.com/learning/strategic-partnerships-ecosystems-and-platforms?trk=ondemandfile" xr:uid="{00000000-0004-0000-1E00-00005C000000}"/>
    <hyperlink ref="S22" r:id="rId94" display="https://www.linkedin.com/learning/gesch-ftsmodelle-mit-dem-business-model-canvas-entwickeln?trk=ondemandfile" xr:uid="{00000000-0004-0000-1E00-00005D000000}"/>
    <hyperlink ref="D23" r:id="rId95" display="https://www.linkedin.com/learning/digital-technologies-case-studies-ai-iot-robotics-blockchain?trk=ondemandfile" xr:uid="{00000000-0004-0000-1E00-00005E000000}"/>
    <hyperlink ref="S23" r:id="rId96" display="https://www.linkedin.com/learning/industrie-4-0-grundlagen-und-okosysteme?trk=ondemandfile" xr:uid="{00000000-0004-0000-1E00-00005F000000}"/>
    <hyperlink ref="D24" r:id="rId97" display="https://www.linkedin.com/learning/organizational-thought-leadership?trk=ondemandfile" xr:uid="{00000000-0004-0000-1E00-000060000000}"/>
    <hyperlink ref="S24" r:id="rId98" display="https://www.linkedin.com/learning/innovation-in-unternehmen?trk=ondemandfile" xr:uid="{00000000-0004-0000-1E00-000061000000}"/>
    <hyperlink ref="D25" r:id="rId99" display="https://www.linkedin.com/learning/goal-setting-objectives-and-key-results-okrs?trk=ondemandfile" xr:uid="{00000000-0004-0000-1E00-000062000000}"/>
    <hyperlink ref="S25" r:id="rId100" display="https://www.linkedin.com/learning/iot-grundlagen-modelle-und-anwendungen?trk=ondemandfile" xr:uid="{00000000-0004-0000-1E00-000063000000}"/>
    <hyperlink ref="D26" r:id="rId101" display="https://www.linkedin.com/learning/strategic-partnerships?trk=ondemandfile" xr:uid="{00000000-0004-0000-1E00-000064000000}"/>
    <hyperlink ref="S26" r:id="rId102" display="https://www.linkedin.com/learning/kunstliche-intelligenz-grundlagenwissen-fur-manager-und-fuhrungskrafte?trk=ondemandfile" xr:uid="{00000000-0004-0000-1E00-000065000000}"/>
    <hyperlink ref="D27" r:id="rId103" display="https://www.linkedin.com/learning/analyzing-and-evaluating-strategic-plans?trk=ondemandfile" xr:uid="{00000000-0004-0000-1E00-000066000000}"/>
    <hyperlink ref="S27" r:id="rId104" display="https://www.linkedin.com/learning/kunstliche-intelligenz-strategie-und-kommunikation-im-unternehmen?trk=ondemandfile" xr:uid="{00000000-0004-0000-1E00-000067000000}"/>
    <hyperlink ref="D28" r:id="rId105" display="https://www.linkedin.com/learning/executive-decision-making?trk=ondemandfile" xr:uid="{00000000-0004-0000-1E00-000068000000}"/>
    <hyperlink ref="S28" r:id="rId106" display="https://www.linkedin.com/learning/management-y-agile-scrum-design-thinking-co-blinkist-kernaussagen?trk=ondemandfile" xr:uid="{00000000-0004-0000-1E00-000069000000}"/>
    <hyperlink ref="D29" r:id="rId107" display="https://www.linkedin.com/learning/executive-leadership?trk=ondemandfile" xr:uid="{00000000-0004-0000-1E00-00006A000000}"/>
    <hyperlink ref="S29" r:id="rId108" display="https://www.linkedin.com/learning/marketing-strategien-das-online-marketing-cockpit?trk=ondemandfile" xr:uid="{00000000-0004-0000-1E00-00006B000000}"/>
    <hyperlink ref="D30" r:id="rId109" display="https://www.linkedin.com/learning/organizational-learning-and-development?trk=ondemandfile" xr:uid="{00000000-0004-0000-1E00-00006C000000}"/>
    <hyperlink ref="S30" r:id="rId110" display="https://www.linkedin.com/learning/nachhaltigkeit-im-unternehmen?trk=ondemandfile" xr:uid="{00000000-0004-0000-1E00-00006D000000}"/>
    <hyperlink ref="D31" r:id="rId111" display="https://www.linkedin.com/learning/setting-business-unit-goals?trk=ondemandfile" xr:uid="{00000000-0004-0000-1E00-00006E000000}"/>
    <hyperlink ref="S31" r:id="rId112" display="https://www.linkedin.com/learning/hr-strategien?trk=ondemandfile" xr:uid="{00000000-0004-0000-1E00-00006F000000}"/>
    <hyperlink ref="D32" r:id="rId113" display="https://www.linkedin.com/learning/strategic-planning-foundations?trk=ondemandfile" xr:uid="{00000000-0004-0000-1E00-000070000000}"/>
    <hyperlink ref="S32" r:id="rId114" display="https://www.linkedin.com/learning/preisheiten-alles-was-sie-uber-preise-wissen-mussen-blinkist-kernaussagen?trk=ondemandfile" xr:uid="{00000000-0004-0000-1E00-000071000000}"/>
    <hyperlink ref="D33" r:id="rId115" display="https://www.linkedin.com/learning/leading-from-the-middle?trk=ondemandfile" xr:uid="{00000000-0004-0000-1E00-000072000000}"/>
    <hyperlink ref="S33" r:id="rId116" display="https://www.linkedin.com/learning/progman?trk=ondemandfile" xr:uid="{00000000-0004-0000-1E00-000073000000}"/>
    <hyperlink ref="D34" r:id="rId117" display="https://www.linkedin.com/learning/strategic-planning-case-studies?trk=ondemandfile" xr:uid="{00000000-0004-0000-1E00-000074000000}"/>
    <hyperlink ref="S34" r:id="rId118" display="https://www.linkedin.com/learning/eine-unternehmensstrategie-entwickeln?trk=ondemandfile" xr:uid="{00000000-0004-0000-1E00-000075000000}"/>
    <hyperlink ref="D35" r:id="rId119" display="https://www.linkedin.com/learning/balancing-innovation-and-risk?trk=ondemandfile" xr:uid="{00000000-0004-0000-1E00-000076000000}"/>
    <hyperlink ref="S35" r:id="rId120" display="https://www.linkedin.com/learning/strategisch-verhandeln?trk=ondemandfile" xr:uid="{00000000-0004-0000-1E00-000077000000}"/>
    <hyperlink ref="D36" r:id="rId121" display="https://www.linkedin.com/learning/the-future-of-performance-management?trk=ondemandfile" xr:uid="{00000000-0004-0000-1E00-000078000000}"/>
    <hyperlink ref="S36" r:id="rId122" display="https://www.linkedin.com/learning/strategische-analysen?trk=ondemandfile" xr:uid="{00000000-0004-0000-1E00-000079000000}"/>
    <hyperlink ref="D37" r:id="rId123" display="https://www.linkedin.com/learning/creating-a-culture-of-privacy?trk=ondemandfile" xr:uid="{00000000-0004-0000-1E00-00007A000000}"/>
    <hyperlink ref="S37" r:id="rId124" display="https://www.linkedin.com/learning/e8d38af9-0283-3b39-a22a-ecb29a021ef1?trk=ondemandfile" xr:uid="{00000000-0004-0000-1E00-00007B000000}"/>
    <hyperlink ref="D38" r:id="rId125" display="https://www.linkedin.com/learning/scaling-up-excellence?trk=ondemandfile" xr:uid="{00000000-0004-0000-1E00-00007C000000}"/>
    <hyperlink ref="S38" r:id="rId126" display="https://www.linkedin.com/learning/strategisches-controlling-ein-uberblick?trk=ondemandfile" xr:uid="{00000000-0004-0000-1E00-00007D000000}"/>
    <hyperlink ref="D39" r:id="rId127" display="https://www.linkedin.com/learning/strategic-focus-for-managers?trk=ondemandfile" xr:uid="{00000000-0004-0000-1E00-00007E000000}"/>
    <hyperlink ref="S39" r:id="rId128" display="https://www.linkedin.com/learning/strategisches-denken?trk=ondemandfile" xr:uid="{00000000-0004-0000-1E00-00007F000000}"/>
    <hyperlink ref="D40" r:id="rId129" display="https://www.linkedin.com/learning/blue-ocean-shift?trk=ondemandfile" xr:uid="{00000000-0004-0000-1E00-000080000000}"/>
    <hyperlink ref="S40" r:id="rId130" display="https://www.linkedin.com/learning/65e30dde-df28-3a85-89cd-faaf0c298709?trk=ondemandfile" xr:uid="{00000000-0004-0000-1E00-000081000000}"/>
    <hyperlink ref="D41" r:id="rId131" display="https://www.linkedin.com/learning/agile-negotiation?trk=ondemandfile" xr:uid="{00000000-0004-0000-1E00-000082000000}"/>
    <hyperlink ref="S41" r:id="rId132" display="https://www.linkedin.com/learning/unternehmerische-fahigkeiten-entwickeln?trk=ondemandfile" xr:uid="{00000000-0004-0000-1E00-000083000000}"/>
    <hyperlink ref="D42" r:id="rId133" display="https://www.linkedin.com/learning/business-leadership-social-change-and-movements?trk=ondemandfile" xr:uid="{00000000-0004-0000-1E00-000084000000}"/>
    <hyperlink ref="S42" r:id="rId134" display="https://www.linkedin.com/learning/growth-strategy?trk=ondemandfile" xr:uid="{00000000-0004-0000-1E00-000085000000}"/>
    <hyperlink ref="D43" r:id="rId135" display="https://www.linkedin.com/learning/planning-for-the-remote-first-work-from-anywhere-asynchronous-organization?trk=ondemandfile" xr:uid="{00000000-0004-0000-1E00-000086000000}"/>
    <hyperlink ref="D44" r:id="rId136" display="https://www.linkedin.com/learning/management-foundations-2018?trk=ondemandfile" xr:uid="{00000000-0004-0000-1E00-000087000000}"/>
    <hyperlink ref="D45" r:id="rId137" display="https://www.linkedin.com/learning/how-to-be-more-strategic-in-six-steps?trk=contentmappingfile" xr:uid="{00000000-0004-0000-1E00-000088000000}"/>
    <hyperlink ref="D46" r:id="rId138" display="https://www.linkedin.com/learning/business-law-for-managers?trk=ondemandfile" xr:uid="{00000000-0004-0000-1E00-000089000000}"/>
    <hyperlink ref="D47" r:id="rId139" display="https://www.linkedin.com/learning/everything-as-a-service-xaas-is-the-future-of-business?trk=ondemandfile" xr:uid="{00000000-0004-0000-1E00-00008A000000}"/>
    <hyperlink ref="D48" r:id="rId140" display="https://www.linkedin.com/learning/mulitpliers?trk=ondemandfile" xr:uid="{00000000-0004-0000-1E00-00008B000000}"/>
    <hyperlink ref="D49" r:id="rId141" display="https://www.linkedin.com/learning/retail-sales-management?trk=ondemandfile" xr:uid="{00000000-0004-0000-1E00-00008C000000}"/>
    <hyperlink ref="D50" r:id="rId142" display="https://www.linkedin.com/learning/business-development?trk=ondemandfile" xr:uid="{00000000-0004-0000-1E00-00008D000000}"/>
    <hyperlink ref="D51" r:id="rId143" display="https://www.linkedin.com/learning/developing-executive-presence?trk=ondemandfile" xr:uid="{00000000-0004-0000-1E00-00008E000000}"/>
    <hyperlink ref="D52" r:id="rId144" display="https://www.linkedin.com/learning/change-management-tips-for-leaders?trk=ondemandfile" xr:uid="{00000000-0004-0000-1E00-00008F000000}"/>
    <hyperlink ref="D53" r:id="rId145" display="https://www.linkedin.com/learning/the-secret-what-great-leaders-know-and-do-getabstract-summary?trk=ondemandfile" xr:uid="{00000000-0004-0000-1E00-000090000000}"/>
    <hyperlink ref="D54" r:id="rId146" display="https://www.linkedin.com/learning/how-to-become-a-thought-leader-and-advance-your-career?trk=ondemandfile" xr:uid="{00000000-0004-0000-1E00-000091000000}"/>
    <hyperlink ref="D55" r:id="rId147" display="https://www.linkedin.com/learning/business-development-strategic-planning?trk=ondemandfile" xr:uid="{00000000-0004-0000-1E00-000092000000}"/>
    <hyperlink ref="D56" r:id="rId148" display="https://www.linkedin.com/learning/adaptive-leadership-for-vuca-challenges?trk=ondemandfile" xr:uid="{00000000-0004-0000-1E00-000093000000}"/>
    <hyperlink ref="D57" r:id="rId149" display="https://www.linkedin.com/learning/designing-an-authentic-brand?trk=ondemandfile" xr:uid="{00000000-0004-0000-1E00-000094000000}"/>
    <hyperlink ref="D58" r:id="rId150" display="https://www.linkedin.com/learning/sap-erp-essential-training?trk=ondemandfile" xr:uid="{00000000-0004-0000-1E00-000095000000}"/>
    <hyperlink ref="D59" r:id="rId151" display="https://www.linkedin.com/learning/learning-logo-design?trk=ondemandfile" xr:uid="{00000000-0004-0000-1E00-000096000000}"/>
    <hyperlink ref="D60" r:id="rId152" display="https://www.linkedin.com/learning/strategic-thinking?trk=ondemandfile" xr:uid="{00000000-0004-0000-1E00-000097000000}"/>
    <hyperlink ref="D61" r:id="rId153" display="https://www.linkedin.com/learning/defining-and-segmenting-competition?trk=ondemandfile" xr:uid="{00000000-0004-0000-1E00-000098000000}"/>
    <hyperlink ref="D62" r:id="rId154" display="https://www.linkedin.com/learning/creating-a-unique-competitive-advantage?trk=ondemandfile" xr:uid="{00000000-0004-0000-1E00-000099000000}"/>
    <hyperlink ref="D63" r:id="rId155" display="https://www.linkedin.com/learning/azure-understanding-the-big-picture-2?trk=ondemandfile" xr:uid="{00000000-0004-0000-1E00-00009A000000}"/>
    <hyperlink ref="D64" r:id="rId156" display="https://www.linkedin.com/learning/introduction-to-business-analytics?trk=ondemandfile" xr:uid="{00000000-0004-0000-1E00-00009B000000}"/>
    <hyperlink ref="D65" r:id="rId157" display="https://www.linkedin.com/learning/outsourcing-managing-service-transition?trk=ondemandfile" xr:uid="{00000000-0004-0000-1E00-00009C000000}"/>
    <hyperlink ref="D66" r:id="rId158" display="https://www.linkedin.com/learning/change-management-tips-for-individuals?trk=ondemandfile" xr:uid="{00000000-0004-0000-1E00-00009D000000}"/>
    <hyperlink ref="D67" r:id="rId159" display="https://www.linkedin.com/learning/business-lessons-from-a-chess-champion?trk=ondemandfile" xr:uid="{00000000-0004-0000-1E00-00009E000000}"/>
    <hyperlink ref="D68" r:id="rId160" display="https://www.linkedin.com/learning/supply-chain-analytics-foundations?trk=ondemandfile" xr:uid="{00000000-0004-0000-1E00-00009F000000}"/>
    <hyperlink ref="D69" r:id="rId161" display="https://www.linkedin.com/learning/business-innovation-foundations-2020?trk=ondemandfile" xr:uid="{00000000-0004-0000-1E00-0000A0000000}"/>
    <hyperlink ref="D70" r:id="rId162" display="https://www.linkedin.com/learning/international-business-foundations?trk=ondemandfile" xr:uid="{00000000-0004-0000-1E00-0000A1000000}"/>
    <hyperlink ref="D71" r:id="rId163" display="https://www.linkedin.com/learning/introduction-to-abusive-ai?trk=ondemandfile" xr:uid="{00000000-0004-0000-1E00-0000A2000000}"/>
    <hyperlink ref="D72" r:id="rId164" display="https://www.linkedin.com/learning/45-minute-business-plan?trk=ondemandfile" xr:uid="{00000000-0004-0000-1E00-0000A3000000}"/>
    <hyperlink ref="D73" r:id="rId165" display="https://www.linkedin.com/learning/business-analysis-essential-tools-and-techniques?trk=ondemandfile" xr:uid="{00000000-0004-0000-1E00-0000A4000000}"/>
    <hyperlink ref="D74" r:id="rId166" display="https://www.linkedin.com/learning/developing-business-partnerships?trk=ondemandfile" xr:uid="{00000000-0004-0000-1E00-0000A5000000}"/>
    <hyperlink ref="D75" r:id="rId167" display="https://www.linkedin.com/learning/business-analysis-for-busy-professionals?trk=ondemandfile" xr:uid="{00000000-0004-0000-1E00-0000A6000000}"/>
    <hyperlink ref="D76" r:id="rId168" display="https://www.linkedin.com/learning/conducting-a-swot-analysis?trk=ondemandfile" xr:uid="{00000000-0004-0000-1E00-0000A7000000}"/>
    <hyperlink ref="D77" r:id="rId169" display="https://www.linkedin.com/learning/the-new-age-of-risk-management-strategy-for-business?trk=ondemandfile" xr:uid="{00000000-0004-0000-1E00-0000A8000000}"/>
    <hyperlink ref="D78" r:id="rId170" display="https://www.linkedin.com/learning/design-of-podcast-emily-cohen-consultant-speaker-brutally-honest?trk=ondemandfile" xr:uid="{00000000-0004-0000-1E00-0000A9000000}"/>
    <hyperlink ref="D79" r:id="rId171" display="https://www.linkedin.com/learning/how-to-make-strategic-thinking-a-habit?trk=ondemandfile" xr:uid="{00000000-0004-0000-1E00-0000AA000000}"/>
    <hyperlink ref="D80" r:id="rId172" display="https://www.linkedin.com/learning/thinking-in-new-boxes-a-new-paradigm-for-business-creativity?trk=ondemandfile" xr:uid="{00000000-0004-0000-1E00-0000AB000000}"/>
    <hyperlink ref="D81" r:id="rId173" display="https://www.linkedin.com/learning/technology-and-design-ethics?trk=ondemandfile" xr:uid="{00000000-0004-0000-1E00-0000AC000000}"/>
    <hyperlink ref="D82" r:id="rId174" display="https://www.linkedin.com/learning/following-the-digital-thread?trk=ondemandfile" xr:uid="{00000000-0004-0000-1E00-0000AD000000}"/>
    <hyperlink ref="D83" r:id="rId175" display="https://www.linkedin.com/learning/outsourcing-critical-success-factors?trk=ondemandfile" xr:uid="{00000000-0004-0000-1E00-0000AE000000}"/>
    <hyperlink ref="D84" r:id="rId176" display="https://www.linkedin.com/learning/outsourcing-management?trk=ondemandfile" xr:uid="{00000000-0004-0000-1E00-0000AF000000}"/>
    <hyperlink ref="D85" r:id="rId177" display="https://www.linkedin.com/learning/content-marketing-roi?trk=ondemandfile" xr:uid="{00000000-0004-0000-1E00-0000B0000000}"/>
    <hyperlink ref="D86" r:id="rId178" display="https://www.linkedin.com/learning/corporate-finance-strategies-for-business-leaders?trk=ondemandfile" xr:uid="{00000000-0004-0000-1E00-0000B1000000}"/>
    <hyperlink ref="D87" r:id="rId179" display="https://www.linkedin.com/learning/create-a-go-to-market-plan-2?trk=ondemandfile" xr:uid="{00000000-0004-0000-1E00-0000B2000000}"/>
    <hyperlink ref="D88" r:id="rId180" display="https://www.linkedin.com/learning/strategic-human-resources?trk=ondemandfile" xr:uid="{00000000-0004-0000-1E00-0000B3000000}"/>
    <hyperlink ref="D89" r:id="rId181" display="https://www.linkedin.com/learning/communicating-an-enterprise-wide-transformation?trk=ondemandfile" xr:uid="{00000000-0004-0000-1E00-0000B4000000}"/>
    <hyperlink ref="D90" r:id="rId182" display="https://www.linkedin.com/learning/azure-for-architects-design-a-migration-strategy?trk=ondemandfile" xr:uid="{00000000-0004-0000-1E00-0000B5000000}"/>
    <hyperlink ref="D91" r:id="rId183" display="https://www.linkedin.com/learning/ethical-hacking-cryptography?trk=ondemandfile" xr:uid="{00000000-0004-0000-1E00-0000B6000000}"/>
    <hyperlink ref="D92" r:id="rId184" display="https://www.linkedin.com/learning/azure-for-architects-design-a-business-continuity-strategy-2?trk=ondemandfile" xr:uid="{00000000-0004-0000-1E00-0000B7000000}"/>
    <hyperlink ref="D93" r:id="rId185" display="https://www.linkedin.com/learning/cybersecurity-foundations-2?trk=ondemandfile" xr:uid="{00000000-0004-0000-1E00-0000B8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Click and enter a value from range 'Competency Titles'!A1:A27" xr:uid="{00000000-0002-0000-1E00-000000000000}">
          <x14:formula1>
            <xm:f>#REF!</xm:f>
          </x14:formula1>
          <xm:sqref>B1</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6A5AF"/>
    <outlinePr summaryBelow="0" summaryRight="0"/>
  </sheetPr>
  <dimension ref="A1:AJ998"/>
  <sheetViews>
    <sheetView showGridLines="0" workbookViewId="0">
      <pane ySplit="3" topLeftCell="A4" activePane="bottomLeft" state="frozen"/>
      <selection pane="bottomLeft" sqref="A1:XFD1048576"/>
    </sheetView>
  </sheetViews>
  <sheetFormatPr baseColWidth="10" defaultColWidth="11.1640625" defaultRowHeight="15" customHeight="1"/>
  <cols>
    <col min="1" max="1" width="1.1640625" customWidth="1"/>
    <col min="2" max="2" width="11.1640625" customWidth="1"/>
    <col min="3" max="3" width="18.5" customWidth="1"/>
    <col min="4" max="5" width="44.5" customWidth="1"/>
    <col min="6" max="6" width="1.1640625" customWidth="1"/>
    <col min="7" max="7" width="11.1640625" customWidth="1"/>
    <col min="8" max="8" width="19.33203125" customWidth="1"/>
    <col min="9" max="10" width="44.5" customWidth="1"/>
    <col min="11" max="11" width="1.1640625" customWidth="1"/>
    <col min="12" max="12" width="11.1640625" customWidth="1"/>
    <col min="13" max="13" width="20.83203125" customWidth="1"/>
    <col min="14" max="15" width="44.5" customWidth="1"/>
    <col min="16" max="16" width="1.1640625" customWidth="1"/>
    <col min="17" max="17" width="11.1640625" customWidth="1"/>
    <col min="18" max="18" width="19.6640625" customWidth="1"/>
    <col min="19" max="20" width="44.5" customWidth="1"/>
    <col min="21" max="21" width="1.1640625" customWidth="1"/>
    <col min="23" max="23" width="18.6640625" customWidth="1"/>
    <col min="24" max="25" width="44.5" customWidth="1"/>
    <col min="26" max="26" width="1.1640625" customWidth="1"/>
    <col min="27" max="27" width="11.1640625" customWidth="1"/>
    <col min="28" max="28" width="26.6640625" customWidth="1"/>
    <col min="29" max="30" width="44.5" customWidth="1"/>
    <col min="31" max="31" width="1.1640625" customWidth="1"/>
    <col min="32" max="32" width="11.1640625" customWidth="1"/>
    <col min="33" max="33" width="21" customWidth="1"/>
    <col min="34" max="35" width="44.5" customWidth="1"/>
    <col min="36" max="36" width="1.1640625" customWidth="1"/>
  </cols>
  <sheetData>
    <row r="1" spans="1:36" ht="34.5" customHeight="1">
      <c r="A1" s="208"/>
      <c r="B1" s="230" t="s">
        <v>21</v>
      </c>
      <c r="C1" s="222"/>
      <c r="D1" s="222"/>
      <c r="E1" s="222"/>
      <c r="F1" s="208"/>
      <c r="G1" s="230" t="str">
        <f ca="1">IFERROR(__xludf.DUMMYFUNCTION("IFERROR(UNIQUE(FILTER(French!B:B,French!A:A=B1)))"),"Développement des talents")</f>
        <v>Développement des talents</v>
      </c>
      <c r="H1" s="222"/>
      <c r="I1" s="222"/>
      <c r="J1" s="222"/>
      <c r="K1" s="208"/>
      <c r="L1" s="230" t="str">
        <f ca="1">IFERROR(__xludf.DUMMYFUNCTION("IFERROR((UNIQUE(FILTER(Spanish!B:B,Spanish!A:A=B1))))"),"Desarrollo del talento")</f>
        <v>Desarrollo del talento</v>
      </c>
      <c r="M1" s="222"/>
      <c r="N1" s="222"/>
      <c r="O1" s="222"/>
      <c r="P1" s="208"/>
      <c r="Q1" s="230" t="str">
        <f ca="1">IFERROR(__xludf.DUMMYFUNCTION("IFERROR(UNIQUE(FILTER(German!B:B,German!A:A=B1)))"),"Personalentwicklung")</f>
        <v>Personalentwicklung</v>
      </c>
      <c r="R1" s="222"/>
      <c r="S1" s="222"/>
      <c r="T1" s="222"/>
      <c r="U1" s="208"/>
      <c r="V1" s="230" t="str">
        <f ca="1">IFERROR(__xludf.DUMMYFUNCTION("IFERROR(UNIQUE(FILTER(Japanese!B:B,Japanese!A:A=B1)))"),"人材開発")</f>
        <v>人材開発</v>
      </c>
      <c r="W1" s="222"/>
      <c r="X1" s="222"/>
      <c r="Y1" s="222"/>
      <c r="Z1" s="208"/>
      <c r="AA1" s="230" t="str">
        <f ca="1">IFERROR(__xludf.DUMMYFUNCTION("IFERROR(UNIQUE(FILTER(Portuguese!B:B,Portuguese!A:A=B1)))"),"Desenvolvimento de talentos")</f>
        <v>Desenvolvimento de talentos</v>
      </c>
      <c r="AB1" s="222"/>
      <c r="AC1" s="222"/>
      <c r="AD1" s="222"/>
      <c r="AE1" s="208"/>
      <c r="AF1" s="230" t="str">
        <f ca="1">IFERROR(__xludf.DUMMYFUNCTION("IFERROR(UNIQUE(FILTER(Mandarin!B:B,Mandarin!A:A=B1)))"),"人才发展")</f>
        <v>人才发展</v>
      </c>
      <c r="AG1" s="222"/>
      <c r="AH1" s="222"/>
      <c r="AI1" s="222"/>
      <c r="AJ1" s="208"/>
    </row>
    <row r="2" spans="1:36" ht="28" customHeight="1">
      <c r="A2" s="209"/>
      <c r="B2" s="234" t="s">
        <v>4713</v>
      </c>
      <c r="C2" s="222"/>
      <c r="D2" s="222"/>
      <c r="E2" s="222"/>
      <c r="F2" s="209"/>
      <c r="G2" s="231" t="s">
        <v>4714</v>
      </c>
      <c r="H2" s="222"/>
      <c r="I2" s="222"/>
      <c r="J2" s="222"/>
      <c r="K2" s="209"/>
      <c r="L2" s="235" t="s">
        <v>4715</v>
      </c>
      <c r="M2" s="222"/>
      <c r="N2" s="222"/>
      <c r="O2" s="222"/>
      <c r="P2" s="209"/>
      <c r="Q2" s="232" t="s">
        <v>4716</v>
      </c>
      <c r="R2" s="222"/>
      <c r="S2" s="222"/>
      <c r="T2" s="222"/>
      <c r="U2" s="209"/>
      <c r="V2" s="236" t="s">
        <v>4717</v>
      </c>
      <c r="W2" s="222"/>
      <c r="X2" s="222"/>
      <c r="Y2" s="222"/>
      <c r="Z2" s="209"/>
      <c r="AA2" s="233" t="s">
        <v>4718</v>
      </c>
      <c r="AB2" s="222"/>
      <c r="AC2" s="222"/>
      <c r="AD2" s="222"/>
      <c r="AE2" s="209"/>
      <c r="AF2" s="237" t="s">
        <v>4719</v>
      </c>
      <c r="AG2" s="222"/>
      <c r="AH2" s="222"/>
      <c r="AI2" s="222"/>
      <c r="AJ2" s="209"/>
    </row>
    <row r="3" spans="1:36" ht="26" customHeight="1">
      <c r="A3" s="210"/>
      <c r="B3" s="211" t="str">
        <f ca="1">IFERROR(__xludf.DUMMYFUNCTION("FILTER(English!B:B,English!A:A=B1)"),"Course IDs")</f>
        <v>Course IDs</v>
      </c>
      <c r="C3" s="211" t="str">
        <f ca="1">IFERROR(__xludf.DUMMYFUNCTION("FILTER(English!C:C,English!A:A=B1)"),"Levels")</f>
        <v>Levels</v>
      </c>
      <c r="D3" s="211" t="str">
        <f ca="1">IFERROR(__xludf.DUMMYFUNCTION("FILTER(English!D:D,English!A:A=B1)"),"Courses")</f>
        <v>Courses</v>
      </c>
      <c r="E3" s="212" t="str">
        <f ca="1">IFERROR(__xludf.DUMMYFUNCTION("FILTER(English!E:E,English!A:A=B1)"),"Learning Paths")</f>
        <v>Learning Paths</v>
      </c>
      <c r="F3" s="210"/>
      <c r="G3" s="211" t="str">
        <f ca="1">IFERROR(__xludf.DUMMYFUNCTION("FILTER(French!C:C,French!B:B=G1)"),"Course IDs")</f>
        <v>Course IDs</v>
      </c>
      <c r="H3" s="211" t="str">
        <f ca="1">IFERROR(__xludf.DUMMYFUNCTION("FILTER(French!D:D,French!B:B=G1)"),"Levels")</f>
        <v>Levels</v>
      </c>
      <c r="I3" s="211" t="str">
        <f ca="1">IFERROR(__xludf.DUMMYFUNCTION("FILTER(French!E:E,French!B:B=G1)"),"Courses")</f>
        <v>Courses</v>
      </c>
      <c r="J3" s="212" t="str">
        <f ca="1">IFERROR(__xludf.DUMMYFUNCTION("FILTER(French!G:G,French!B:B=G1)"),"Learning Paths")</f>
        <v>Learning Paths</v>
      </c>
      <c r="K3" s="210"/>
      <c r="L3" s="211" t="str">
        <f ca="1">IFERROR(__xludf.DUMMYFUNCTION("FILTER(Spanish!C:C,Spanish!B:B=L1)"),"Course IDs")</f>
        <v>Course IDs</v>
      </c>
      <c r="M3" s="211" t="str">
        <f ca="1">IFERROR(__xludf.DUMMYFUNCTION("FILTER(Spanish!D:D,Spanish!B:B=L1)"),"Levels")</f>
        <v>Levels</v>
      </c>
      <c r="N3" s="211" t="str">
        <f ca="1">IFERROR(__xludf.DUMMYFUNCTION("FILTER(Spanish!E:E,Spanish!B:B=L1)"),"Courses")</f>
        <v>Courses</v>
      </c>
      <c r="O3" s="212" t="str">
        <f ca="1">IFERROR(__xludf.DUMMYFUNCTION("FILTER(Spanish!G:G,Spanish!B:B=L1)"),"Learning Paths")</f>
        <v>Learning Paths</v>
      </c>
      <c r="P3" s="210"/>
      <c r="Q3" s="211" t="str">
        <f ca="1">IFERROR(__xludf.DUMMYFUNCTION("FILTER(German!C:C,German!B:B=Q1)"),"Course IDs")</f>
        <v>Course IDs</v>
      </c>
      <c r="R3" s="211" t="str">
        <f ca="1">IFERROR(__xludf.DUMMYFUNCTION("FILTER(German!D:D,German!B:B=Q1)"),"Levels")</f>
        <v>Levels</v>
      </c>
      <c r="S3" s="211" t="str">
        <f ca="1">IFERROR(__xludf.DUMMYFUNCTION("FILTER(German!E:E,German!B:B=Q1)"),"Courses")</f>
        <v>Courses</v>
      </c>
      <c r="T3" s="212" t="str">
        <f ca="1">IFERROR(__xludf.DUMMYFUNCTION("FILTER(German!G:G,German!B:B=Q1)"),"Learning Paths")</f>
        <v>Learning Paths</v>
      </c>
      <c r="U3" s="210"/>
      <c r="V3" s="211" t="str">
        <f ca="1">IFERROR(__xludf.DUMMYFUNCTION("FILTER(Japanese!C:C,Japanese!B:B=V1)"),"Course IDs")</f>
        <v>Course IDs</v>
      </c>
      <c r="W3" s="211" t="str">
        <f ca="1">IFERROR(__xludf.DUMMYFUNCTION("FILTER(Japanese!D:D,Japanese!B:B=V1)"),"Levels")</f>
        <v>Levels</v>
      </c>
      <c r="X3" s="211" t="str">
        <f ca="1">IFERROR(__xludf.DUMMYFUNCTION("FILTER(Japanese!E:E,Japanese!B:B=V1)"),"Courses")</f>
        <v>Courses</v>
      </c>
      <c r="Y3" s="212" t="str">
        <f ca="1">IFERROR(__xludf.DUMMYFUNCTION("FILTER(Japanese!G:G,Japanese!B:B=V1)"),"Learning Paths")</f>
        <v>Learning Paths</v>
      </c>
      <c r="Z3" s="210"/>
      <c r="AA3" s="211" t="str">
        <f ca="1">IFERROR(__xludf.DUMMYFUNCTION("FILTER(Portuguese!C:C,Portuguese!B:B=AA1)"),"Course IDs")</f>
        <v>Course IDs</v>
      </c>
      <c r="AB3" s="211" t="str">
        <f ca="1">IFERROR(__xludf.DUMMYFUNCTION("FILTER(Portuguese!D:D,Portuguese!B:B=AA1)"),"Levels")</f>
        <v>Levels</v>
      </c>
      <c r="AC3" s="211" t="str">
        <f ca="1">IFERROR(__xludf.DUMMYFUNCTION("FILTER(Portuguese!E:E,Portuguese!B:B=AA1)"),"Courses")</f>
        <v>Courses</v>
      </c>
      <c r="AD3" s="212" t="str">
        <f ca="1">IFERROR(__xludf.DUMMYFUNCTION("FILTER(Portuguese!G:G,Portuguese!B:B=AA1)"),"Learning Paths")</f>
        <v>Learning Paths</v>
      </c>
      <c r="AE3" s="210"/>
      <c r="AF3" s="211" t="str">
        <f ca="1">IFERROR(__xludf.DUMMYFUNCTION("FILTER(Mandarin!C:C,Mandarin!B:B=AF1)"),"Course IDs")</f>
        <v>Course IDs</v>
      </c>
      <c r="AG3" s="211" t="str">
        <f ca="1">IFERROR(__xludf.DUMMYFUNCTION("FILTER(Mandarin!D:D,Mandarin!B:B=AF1)"),"Levels")</f>
        <v>Levels</v>
      </c>
      <c r="AH3" s="211" t="str">
        <f ca="1">IFERROR(__xludf.DUMMYFUNCTION("FILTER(Mandarin!E:E,Mandarin!B:B=AF1)"),"Courses")</f>
        <v>Courses</v>
      </c>
      <c r="AI3" s="212" t="str">
        <f ca="1">IFERROR(__xludf.DUMMYFUNCTION("FILTER(Mandarin!G:G,Mandarin!B:B=AF1)"),"Learning Paths")</f>
        <v>Learning Paths</v>
      </c>
      <c r="AJ3" s="210"/>
    </row>
    <row r="4" spans="1:36" ht="33.75" customHeight="1">
      <c r="A4" s="213"/>
      <c r="B4" s="214">
        <f ca="1">IFERROR(__xludf.DUMMYFUNCTION("""COMPUTED_VALUE"""),3022076)</f>
        <v>3022076</v>
      </c>
      <c r="C4" s="215" t="str">
        <f ca="1">IFERROR(__xludf.DUMMYFUNCTION("""COMPUTED_VALUE"""),"Advanced")</f>
        <v>Advanced</v>
      </c>
      <c r="D4" s="216" t="str">
        <f ca="1">IFERROR(__xludf.DUMMYFUNCTION("""COMPUTED_VALUE"""),"The Future of Work: The Necessary Skills of Your Future Workforce")</f>
        <v>The Future of Work: The Necessary Skills of Your Future Workforce</v>
      </c>
      <c r="E4" s="217" t="str">
        <f ca="1">IFERROR(__xludf.DUMMYFUNCTION("""COMPUTED_VALUE"""),"Advance Your Skills as a Manager")</f>
        <v>Advance Your Skills as a Manager</v>
      </c>
      <c r="F4" s="213"/>
      <c r="G4" s="214">
        <f ca="1">IFERROR(__xludf.DUMMYFUNCTION("""COMPUTED_VALUE"""),5025557)</f>
        <v>5025557</v>
      </c>
      <c r="H4" s="215" t="str">
        <f ca="1">IFERROR(__xludf.DUMMYFUNCTION("""COMPUTED_VALUE"""),"Intermediate")</f>
        <v>Intermediate</v>
      </c>
      <c r="I4" s="217" t="str">
        <f ca="1">IFERROR(__xludf.DUMMYFUNCTION("""COMPUTED_VALUE"""),"Améliorer les performances des employés / employées")</f>
        <v>Améliorer les performances des employés / employées</v>
      </c>
      <c r="J4" s="217" t="str">
        <f ca="1">IFERROR(__xludf.DUMMYFUNCTION("""COMPUTED_VALUE"""),"Créer et gérer une équipe")</f>
        <v>Créer et gérer une équipe</v>
      </c>
      <c r="K4" s="213"/>
      <c r="L4" s="215">
        <f ca="1">IFERROR(__xludf.DUMMYFUNCTION("""COMPUTED_VALUE"""),3165114)</f>
        <v>3165114</v>
      </c>
      <c r="M4" s="215" t="str">
        <f ca="1">IFERROR(__xludf.DUMMYFUNCTION("""COMPUTED_VALUE"""),"All levels")</f>
        <v>All levels</v>
      </c>
      <c r="N4" s="217" t="str">
        <f ca="1">IFERROR(__xludf.DUMMYFUNCTION("""COMPUTED_VALUE"""),"Cómo construir hábitos para el éxito")</f>
        <v>Cómo construir hábitos para el éxito</v>
      </c>
      <c r="O4" s="217" t="str">
        <f ca="1">IFERROR(__xludf.DUMMYFUNCTION("""COMPUTED_VALUE"""),"Conviértete en jefe de equipo")</f>
        <v>Conviértete en jefe de equipo</v>
      </c>
      <c r="P4" s="213"/>
      <c r="Q4" s="215">
        <f ca="1">IFERROR(__xludf.DUMMYFUNCTION("""COMPUTED_VALUE"""),2816017)</f>
        <v>2816017</v>
      </c>
      <c r="R4" s="215" t="str">
        <f ca="1">IFERROR(__xludf.DUMMYFUNCTION("""COMPUTED_VALUE"""),"All levels")</f>
        <v>All levels</v>
      </c>
      <c r="S4" s="217" t="str">
        <f ca="1">IFERROR(__xludf.DUMMYFUNCTION("""COMPUTED_VALUE"""),"Agile Lernformate in Organisationen")</f>
        <v>Agile Lernformate in Organisationen</v>
      </c>
      <c r="T4" s="217" t="str">
        <f ca="1">IFERROR(__xludf.DUMMYFUNCTION("""COMPUTED_VALUE"""),"Mitarbeiter finden und halten")</f>
        <v>Mitarbeiter finden und halten</v>
      </c>
      <c r="U4" s="213"/>
      <c r="V4" s="215">
        <f ca="1">IFERROR(__xludf.DUMMYFUNCTION("""COMPUTED_VALUE"""),2915389)</f>
        <v>2915389</v>
      </c>
      <c r="W4" s="215" t="str">
        <f ca="1">IFERROR(__xludf.DUMMYFUNCTION("""COMPUTED_VALUE"""),"All levels")</f>
        <v>All levels</v>
      </c>
      <c r="X4" s="217" t="str">
        <f ca="1">IFERROR(__xludf.DUMMYFUNCTION("""COMPUTED_VALUE"""),"キャリア変革を導く法則")</f>
        <v>キャリア変革を導く法則</v>
      </c>
      <c r="Y4" s="217" t="str">
        <f ca="1">IFERROR(__xludf.DUMMYFUNCTION("""COMPUTED_VALUE"""),"N/A")</f>
        <v>N/A</v>
      </c>
      <c r="Z4" s="213"/>
      <c r="AA4" s="215">
        <f ca="1">IFERROR(__xludf.DUMMYFUNCTION("""COMPUTED_VALUE"""),801464)</f>
        <v>801464</v>
      </c>
      <c r="AB4" s="215" t="str">
        <f ca="1">IFERROR(__xludf.DUMMYFUNCTION("""COMPUTED_VALUE"""),"Intermediate")</f>
        <v>Intermediate</v>
      </c>
      <c r="AC4" s="217" t="str">
        <f ca="1">IFERROR(__xludf.DUMMYFUNCTION("""COMPUTED_VALUE"""),"Como Avaliar o Desempenho da Equipe")</f>
        <v>Como Avaliar o Desempenho da Equipe</v>
      </c>
      <c r="AD4" s="217" t="str">
        <f ca="1">IFERROR(__xludf.DUMMYFUNCTION("""COMPUTED_VALUE"""),"Torne-se um Líder")</f>
        <v>Torne-se um Líder</v>
      </c>
      <c r="AE4" s="213"/>
      <c r="AF4" s="215">
        <f ca="1">IFERROR(__xludf.DUMMYFUNCTION("""COMPUTED_VALUE"""),762263)</f>
        <v>762263</v>
      </c>
      <c r="AG4" s="215" t="str">
        <f ca="1">IFERROR(__xludf.DUMMYFUNCTION("""COMPUTED_VALUE"""),"Beginner")</f>
        <v>Beginner</v>
      </c>
      <c r="AH4" s="217" t="str">
        <f ca="1">IFERROR(__xludf.DUMMYFUNCTION("""COMPUTED_VALUE"""),"为员工提供反馈")</f>
        <v>为员工提供反馈</v>
      </c>
      <c r="AI4" s="217" t="str">
        <f ca="1">IFERROR(__xludf.DUMMYFUNCTION("""COMPUTED_VALUE"""),"成为领导者")</f>
        <v>成为领导者</v>
      </c>
      <c r="AJ4" s="213"/>
    </row>
    <row r="5" spans="1:36" ht="30">
      <c r="A5" s="213"/>
      <c r="B5" s="214">
        <f ca="1">IFERROR(__xludf.DUMMYFUNCTION("""COMPUTED_VALUE"""),5015872)</f>
        <v>5015872</v>
      </c>
      <c r="C5" s="215" t="str">
        <f ca="1">IFERROR(__xludf.DUMMYFUNCTION("""COMPUTED_VALUE"""),"Intermediate")</f>
        <v>Intermediate</v>
      </c>
      <c r="D5" s="216" t="str">
        <f ca="1">IFERROR(__xludf.DUMMYFUNCTION("""COMPUTED_VALUE"""),"Built to Last: Successful Habits of Visionary Companies (Blinkist Summary)")</f>
        <v>Built to Last: Successful Habits of Visionary Companies (Blinkist Summary)</v>
      </c>
      <c r="E5" s="217" t="str">
        <f ca="1">IFERROR(__xludf.DUMMYFUNCTION("""COMPUTED_VALUE"""),"Become an Administrative Professional")</f>
        <v>Become an Administrative Professional</v>
      </c>
      <c r="F5" s="213"/>
      <c r="G5" s="214">
        <f ca="1">IFERROR(__xludf.DUMMYFUNCTION("""COMPUTED_VALUE"""),568503)</f>
        <v>568503</v>
      </c>
      <c r="H5" s="215" t="str">
        <f ca="1">IFERROR(__xludf.DUMMYFUNCTION("""COMPUTED_VALUE"""),"Beginner")</f>
        <v>Beginner</v>
      </c>
      <c r="I5" s="217" t="str">
        <f ca="1">IFERROR(__xludf.DUMMYFUNCTION("""COMPUTED_VALUE"""),"Coacher et aider ses employés / employées à se développer")</f>
        <v>Coacher et aider ses employés / employées à se développer</v>
      </c>
      <c r="J5" s="217" t="str">
        <f ca="1">IFERROR(__xludf.DUMMYFUNCTION("""COMPUTED_VALUE"""),"Attirer et garder ses talents")</f>
        <v>Attirer et garder ses talents</v>
      </c>
      <c r="K5" s="213"/>
      <c r="L5" s="215">
        <f ca="1">IFERROR(__xludf.DUMMYFUNCTION("""COMPUTED_VALUE"""),608982)</f>
        <v>608982</v>
      </c>
      <c r="M5" s="215" t="str">
        <f ca="1">IFERROR(__xludf.DUMMYFUNCTION("""COMPUTED_VALUE"""),"Beginner")</f>
        <v>Beginner</v>
      </c>
      <c r="N5" s="217" t="str">
        <f ca="1">IFERROR(__xludf.DUMMYFUNCTION("""COMPUTED_VALUE"""),"Cómo crear equipos de alto rendimiento")</f>
        <v>Cómo crear equipos de alto rendimiento</v>
      </c>
      <c r="O5" s="217"/>
      <c r="P5" s="213"/>
      <c r="Q5" s="215">
        <f ca="1">IFERROR(__xludf.DUMMYFUNCTION("""COMPUTED_VALUE"""),3107601)</f>
        <v>3107601</v>
      </c>
      <c r="R5" s="215" t="str">
        <f ca="1">IFERROR(__xludf.DUMMYFUNCTION("""COMPUTED_VALUE"""),"Intermediate")</f>
        <v>Intermediate</v>
      </c>
      <c r="S5" s="217" t="str">
        <f ca="1">IFERROR(__xludf.DUMMYFUNCTION("""COMPUTED_VALUE"""),"Agiles Lernen in Organisationen")</f>
        <v>Agiles Lernen in Organisationen</v>
      </c>
      <c r="T5" s="217" t="str">
        <f ca="1">IFERROR(__xludf.DUMMYFUNCTION("""COMPUTED_VALUE"""),"Recruiter:in werden")</f>
        <v>Recruiter:in werden</v>
      </c>
      <c r="U5" s="213"/>
      <c r="V5" s="215">
        <f ca="1">IFERROR(__xludf.DUMMYFUNCTION("""COMPUTED_VALUE"""),2404543)</f>
        <v>2404543</v>
      </c>
      <c r="W5" s="215" t="str">
        <f ca="1">IFERROR(__xludf.DUMMYFUNCTION("""COMPUTED_VALUE"""),"Intermediate")</f>
        <v>Intermediate</v>
      </c>
      <c r="X5" s="217" t="str">
        <f ca="1">IFERROR(__xludf.DUMMYFUNCTION("""COMPUTED_VALUE"""),"これからのパフォーマンスマネジメントとは")</f>
        <v>これからのパフォーマンスマネジメントとは</v>
      </c>
      <c r="Y5" s="217"/>
      <c r="Z5" s="213"/>
      <c r="AA5" s="215">
        <f ca="1">IFERROR(__xludf.DUMMYFUNCTION("""COMPUTED_VALUE"""),753229)</f>
        <v>753229</v>
      </c>
      <c r="AB5" s="215" t="str">
        <f ca="1">IFERROR(__xludf.DUMMYFUNCTION("""COMPUTED_VALUE"""),"Intermediate")</f>
        <v>Intermediate</v>
      </c>
      <c r="AC5" s="217" t="str">
        <f ca="1">IFERROR(__xludf.DUMMYFUNCTION("""COMPUTED_VALUE"""),"Como Criar Equipes de Alto Desempenho")</f>
        <v>Como Criar Equipes de Alto Desempenho</v>
      </c>
      <c r="AD5" s="217" t="str">
        <f ca="1">IFERROR(__xludf.DUMMYFUNCTION("""COMPUTED_VALUE"""),"Transforme-se num Líder Disruptivo")</f>
        <v>Transforme-se num Líder Disruptivo</v>
      </c>
      <c r="AE5" s="213"/>
      <c r="AF5" s="215">
        <f ca="1">IFERROR(__xludf.DUMMYFUNCTION("""COMPUTED_VALUE"""),2255864)</f>
        <v>2255864</v>
      </c>
      <c r="AG5" s="215" t="str">
        <f ca="1">IFERROR(__xludf.DUMMYFUNCTION("""COMPUTED_VALUE"""),"Intermediate")</f>
        <v>Intermediate</v>
      </c>
      <c r="AH5" s="217" t="str">
        <f ca="1">IFERROR(__xludf.DUMMYFUNCTION("""COMPUTED_VALUE"""),"创建高绩效文化")</f>
        <v>创建高绩效文化</v>
      </c>
      <c r="AI5" s="217" t="str">
        <f ca="1">IFERROR(__xludf.DUMMYFUNCTION("""COMPUTED_VALUE"""),"成为六西格玛黑带")</f>
        <v>成为六西格玛黑带</v>
      </c>
      <c r="AJ5" s="213"/>
    </row>
    <row r="6" spans="1:36" ht="30">
      <c r="A6" s="213"/>
      <c r="B6" s="214">
        <f ca="1">IFERROR(__xludf.DUMMYFUNCTION("""COMPUTED_VALUE"""),5015886)</f>
        <v>5015886</v>
      </c>
      <c r="C6" s="215" t="str">
        <f ca="1">IFERROR(__xludf.DUMMYFUNCTION("""COMPUTED_VALUE"""),"Intermediate")</f>
        <v>Intermediate</v>
      </c>
      <c r="D6" s="216" t="str">
        <f ca="1">IFERROR(__xludf.DUMMYFUNCTION("""COMPUTED_VALUE"""),"Good to Great: Why Some Companies Make the Leap and Others Don't (Blinkist Summary)")</f>
        <v>Good to Great: Why Some Companies Make the Leap and Others Don't (Blinkist Summary)</v>
      </c>
      <c r="E6" s="217" t="str">
        <f ca="1">IFERROR(__xludf.DUMMYFUNCTION("""COMPUTED_VALUE"""),"Become an L&amp;D Professional")</f>
        <v>Become an L&amp;D Professional</v>
      </c>
      <c r="F6" s="213"/>
      <c r="G6" s="214">
        <f ca="1">IFERROR(__xludf.DUMMYFUNCTION("""COMPUTED_VALUE"""),2919355)</f>
        <v>2919355</v>
      </c>
      <c r="H6" s="215" t="str">
        <f ca="1">IFERROR(__xludf.DUMMYFUNCTION("""COMPUTED_VALUE"""),"Intermediate")</f>
        <v>Intermediate</v>
      </c>
      <c r="I6" s="217" t="str">
        <f ca="1">IFERROR(__xludf.DUMMYFUNCTION("""COMPUTED_VALUE"""),"Coacher pour générer des résultats")</f>
        <v>Coacher pour générer des résultats</v>
      </c>
      <c r="J6" s="217"/>
      <c r="K6" s="213"/>
      <c r="L6" s="215">
        <f ca="1">IFERROR(__xludf.DUMMYFUNCTION("""COMPUTED_VALUE"""),5025679)</f>
        <v>5025679</v>
      </c>
      <c r="M6" s="215" t="str">
        <f ca="1">IFERROR(__xludf.DUMMYFUNCTION("""COMPUTED_VALUE"""),"Advanced")</f>
        <v>Advanced</v>
      </c>
      <c r="N6" s="217" t="str">
        <f ca="1">IFERROR(__xludf.DUMMYFUNCTION("""COMPUTED_VALUE"""),"Cómo crear una cultura de alto rendimiento")</f>
        <v>Cómo crear una cultura de alto rendimiento</v>
      </c>
      <c r="O6" s="217"/>
      <c r="P6" s="213"/>
      <c r="Q6" s="215">
        <f ca="1">IFERROR(__xludf.DUMMYFUNCTION("""COMPUTED_VALUE"""),2809733)</f>
        <v>2809733</v>
      </c>
      <c r="R6" s="215" t="str">
        <f ca="1">IFERROR(__xludf.DUMMYFUNCTION("""COMPUTED_VALUE"""),"All levels")</f>
        <v>All levels</v>
      </c>
      <c r="S6" s="217" t="str">
        <f ca="1">IFERROR(__xludf.DUMMYFUNCTION("""COMPUTED_VALUE"""),"Als Führungskraft das agile Lernen im Team unterstützen")</f>
        <v>Als Führungskraft das agile Lernen im Team unterstützen</v>
      </c>
      <c r="T6" s="217"/>
      <c r="U6" s="213"/>
      <c r="V6" s="215">
        <f ca="1">IFERROR(__xludf.DUMMYFUNCTION("""COMPUTED_VALUE"""),2885003)</f>
        <v>2885003</v>
      </c>
      <c r="W6" s="215" t="str">
        <f ca="1">IFERROR(__xludf.DUMMYFUNCTION("""COMPUTED_VALUE"""),"Intermediate")</f>
        <v>Intermediate</v>
      </c>
      <c r="X6" s="217" t="str">
        <f ca="1">IFERROR(__xludf.DUMMYFUNCTION("""COMPUTED_VALUE"""),"さまざまな世代の社員をマネジメントするには")</f>
        <v>さまざまな世代の社員をマネジメントするには</v>
      </c>
      <c r="Y6" s="217"/>
      <c r="Z6" s="213"/>
      <c r="AA6" s="215">
        <f ca="1">IFERROR(__xludf.DUMMYFUNCTION("""COMPUTED_VALUE"""),800463)</f>
        <v>800463</v>
      </c>
      <c r="AB6" s="215" t="str">
        <f ca="1">IFERROR(__xludf.DUMMYFUNCTION("""COMPUTED_VALUE"""),"Beginner")</f>
        <v>Beginner</v>
      </c>
      <c r="AC6" s="217" t="str">
        <f ca="1">IFERROR(__xludf.DUMMYFUNCTION("""COMPUTED_VALUE"""),"Como Criar sua Equipe")</f>
        <v>Como Criar sua Equipe</v>
      </c>
      <c r="AD6" s="217"/>
      <c r="AE6" s="213"/>
      <c r="AF6" s="215">
        <f ca="1">IFERROR(__xludf.DUMMYFUNCTION("""COMPUTED_VALUE"""),2824039)</f>
        <v>2824039</v>
      </c>
      <c r="AG6" s="215" t="str">
        <f ca="1">IFERROR(__xludf.DUMMYFUNCTION("""COMPUTED_VALUE"""),"Beginner, Intermediate")</f>
        <v>Beginner, Intermediate</v>
      </c>
      <c r="AH6" s="217" t="str">
        <f ca="1">IFERROR(__xludf.DUMMYFUNCTION("""COMPUTED_VALUE"""),"反馈的给出与接收")</f>
        <v>反馈的给出与接收</v>
      </c>
      <c r="AI6" s="217" t="str">
        <f ca="1">IFERROR(__xludf.DUMMYFUNCTION("""COMPUTED_VALUE"""),"成为销售专员")</f>
        <v>成为销售专员</v>
      </c>
      <c r="AJ6" s="213"/>
    </row>
    <row r="7" spans="1:36" ht="33.75" customHeight="1">
      <c r="A7" s="213"/>
      <c r="B7" s="214">
        <f ca="1">IFERROR(__xludf.DUMMYFUNCTION("""COMPUTED_VALUE"""),688515)</f>
        <v>688515</v>
      </c>
      <c r="C7" s="215" t="str">
        <f ca="1">IFERROR(__xludf.DUMMYFUNCTION("""COMPUTED_VALUE"""),"Advanced")</f>
        <v>Advanced</v>
      </c>
      <c r="D7" s="216" t="str">
        <f ca="1">IFERROR(__xludf.DUMMYFUNCTION("""COMPUTED_VALUE"""),"Succession Planning")</f>
        <v>Succession Planning</v>
      </c>
      <c r="E7" s="217" t="str">
        <f ca="1">IFERROR(__xludf.DUMMYFUNCTION("""COMPUTED_VALUE"""),"Become a Senior Manager")</f>
        <v>Become a Senior Manager</v>
      </c>
      <c r="F7" s="213"/>
      <c r="G7" s="214">
        <f ca="1">IFERROR(__xludf.DUMMYFUNCTION("""COMPUTED_VALUE"""),2822432)</f>
        <v>2822432</v>
      </c>
      <c r="H7" s="215" t="str">
        <f ca="1">IFERROR(__xludf.DUMMYFUNCTION("""COMPUTED_VALUE"""),"Intermediate")</f>
        <v>Intermediate</v>
      </c>
      <c r="I7" s="217" t="str">
        <f ca="1">IFERROR(__xludf.DUMMYFUNCTION("""COMPUTED_VALUE"""),"Compétences en coaching pour les leaders et les managers")</f>
        <v>Compétences en coaching pour les leaders et les managers</v>
      </c>
      <c r="J7" s="217"/>
      <c r="K7" s="213"/>
      <c r="L7" s="215">
        <f ca="1">IFERROR(__xludf.DUMMYFUNCTION("""COMPUTED_VALUE"""),518295)</f>
        <v>518295</v>
      </c>
      <c r="M7" s="215" t="str">
        <f ca="1">IFERROR(__xludf.DUMMYFUNCTION("""COMPUTED_VALUE"""),"Beginner")</f>
        <v>Beginner</v>
      </c>
      <c r="N7" s="217" t="str">
        <f ca="1">IFERROR(__xludf.DUMMYFUNCTION("""COMPUTED_VALUE"""),"Cómo dar feedback a tu personal")</f>
        <v>Cómo dar feedback a tu personal</v>
      </c>
      <c r="O7" s="217"/>
      <c r="P7" s="213"/>
      <c r="Q7" s="215">
        <f ca="1">IFERROR(__xludf.DUMMYFUNCTION("""COMPUTED_VALUE"""),702515)</f>
        <v>702515</v>
      </c>
      <c r="R7" s="215" t="str">
        <f ca="1">IFERROR(__xludf.DUMMYFUNCTION("""COMPUTED_VALUE"""),"Beginner")</f>
        <v>Beginner</v>
      </c>
      <c r="S7" s="217" t="str">
        <f ca="1">IFERROR(__xludf.DUMMYFUNCTION("""COMPUTED_VALUE"""),"Beurteilungsgespräche führen")</f>
        <v>Beurteilungsgespräche führen</v>
      </c>
      <c r="T7" s="217"/>
      <c r="U7" s="213"/>
      <c r="V7" s="215">
        <f ca="1">IFERROR(__xludf.DUMMYFUNCTION("""COMPUTED_VALUE"""),603631)</f>
        <v>603631</v>
      </c>
      <c r="W7" s="215" t="str">
        <f ca="1">IFERROR(__xludf.DUMMYFUNCTION("""COMPUTED_VALUE"""),"All levels")</f>
        <v>All levels</v>
      </c>
      <c r="X7" s="217" t="str">
        <f ca="1">IFERROR(__xludf.DUMMYFUNCTION("""COMPUTED_VALUE"""),"ジェフ・ウェイナー 会社を成長させながら企業文化を育てるには")</f>
        <v>ジェフ・ウェイナー 会社を成長させながら企業文化を育てるには</v>
      </c>
      <c r="Y7" s="217"/>
      <c r="Z7" s="213"/>
      <c r="AA7" s="215">
        <f ca="1">IFERROR(__xludf.DUMMYFUNCTION("""COMPUTED_VALUE"""),2908959)</f>
        <v>2908959</v>
      </c>
      <c r="AB7" s="215" t="str">
        <f ca="1">IFERROR(__xludf.DUMMYFUNCTION("""COMPUTED_VALUE"""),"Advanced")</f>
        <v>Advanced</v>
      </c>
      <c r="AC7" s="217" t="str">
        <f ca="1">IFERROR(__xludf.DUMMYFUNCTION("""COMPUTED_VALUE"""),"Como Criar uma Cultura de Alto Desempenho")</f>
        <v>Como Criar uma Cultura de Alto Desempenho</v>
      </c>
      <c r="AD7" s="217"/>
      <c r="AE7" s="213"/>
      <c r="AF7" s="215">
        <f ca="1">IFERROR(__xludf.DUMMYFUNCTION("""COMPUTED_VALUE"""),767947)</f>
        <v>767947</v>
      </c>
      <c r="AG7" s="215" t="str">
        <f ca="1">IFERROR(__xludf.DUMMYFUNCTION("""COMPUTED_VALUE"""),"Beginner")</f>
        <v>Beginner</v>
      </c>
      <c r="AH7" s="217" t="str">
        <f ca="1">IFERROR(__xludf.DUMMYFUNCTION("""COMPUTED_VALUE"""),"向团队委派任务")</f>
        <v>向团队委派任务</v>
      </c>
      <c r="AI7" s="217" t="str">
        <f ca="1">IFERROR(__xludf.DUMMYFUNCTION("""COMPUTED_VALUE"""),"发掘并留住人才")</f>
        <v>发掘并留住人才</v>
      </c>
      <c r="AJ7" s="213"/>
    </row>
    <row r="8" spans="1:36" ht="33.75" customHeight="1">
      <c r="A8" s="213"/>
      <c r="B8" s="214">
        <f ca="1">IFERROR(__xludf.DUMMYFUNCTION("""COMPUTED_VALUE"""),570964)</f>
        <v>570964</v>
      </c>
      <c r="C8" s="215" t="str">
        <f ca="1">IFERROR(__xludf.DUMMYFUNCTION("""COMPUTED_VALUE"""),"Advanced")</f>
        <v>Advanced</v>
      </c>
      <c r="D8" s="216" t="str">
        <f ca="1">IFERROR(__xludf.DUMMYFUNCTION("""COMPUTED_VALUE"""),"Employee Engagement")</f>
        <v>Employee Engagement</v>
      </c>
      <c r="E8" s="217" t="str">
        <f ca="1">IFERROR(__xludf.DUMMYFUNCTION("""COMPUTED_VALUE"""),"Develop, Motivate, and Retain Employees ")</f>
        <v xml:space="preserve">Develop, Motivate, and Retain Employees </v>
      </c>
      <c r="F8" s="213"/>
      <c r="G8" s="214">
        <f ca="1">IFERROR(__xludf.DUMMYFUNCTION("""COMPUTED_VALUE"""),622393)</f>
        <v>622393</v>
      </c>
      <c r="H8" s="215" t="str">
        <f ca="1">IFERROR(__xludf.DUMMYFUNCTION("""COMPUTED_VALUE"""),"Intermediate")</f>
        <v>Intermediate</v>
      </c>
      <c r="I8" s="217" t="str">
        <f ca="1">IFERROR(__xludf.DUMMYFUNCTION("""COMPUTED_VALUE"""),"Constituer des équipes ultraperformantes")</f>
        <v>Constituer des équipes ultraperformantes</v>
      </c>
      <c r="J8" s="217"/>
      <c r="K8" s="213"/>
      <c r="L8" s="215">
        <f ca="1">IFERROR(__xludf.DUMMYFUNCTION("""COMPUTED_VALUE"""),778411)</f>
        <v>778411</v>
      </c>
      <c r="M8" s="215" t="str">
        <f ca="1">IFERROR(__xludf.DUMMYFUNCTION("""COMPUTED_VALUE"""),"All levels")</f>
        <v>All levels</v>
      </c>
      <c r="N8" s="217" t="str">
        <f ca="1">IFERROR(__xludf.DUMMYFUNCTION("""COMPUTED_VALUE"""),"Cómo dar y recibir feedback o retroalimentación")</f>
        <v>Cómo dar y recibir feedback o retroalimentación</v>
      </c>
      <c r="O8" s="217"/>
      <c r="P8" s="213"/>
      <c r="Q8" s="215">
        <f ca="1">IFERROR(__xludf.DUMMYFUNCTION("""COMPUTED_VALUE"""),5034156)</f>
        <v>5034156</v>
      </c>
      <c r="R8" s="215" t="str">
        <f ca="1">IFERROR(__xludf.DUMMYFUNCTION("""COMPUTED_VALUE"""),"All levels")</f>
        <v>All levels</v>
      </c>
      <c r="S8" s="217" t="str">
        <f ca="1">IFERROR(__xludf.DUMMYFUNCTION("""COMPUTED_VALUE"""),"Coaching für mehr Wachstum")</f>
        <v>Coaching für mehr Wachstum</v>
      </c>
      <c r="T8" s="217"/>
      <c r="U8" s="213"/>
      <c r="V8" s="215">
        <f ca="1">IFERROR(__xludf.DUMMYFUNCTION("""COMPUTED_VALUE"""),2414721)</f>
        <v>2414721</v>
      </c>
      <c r="W8" s="215" t="str">
        <f ca="1">IFERROR(__xludf.DUMMYFUNCTION("""COMPUTED_VALUE"""),"All levels")</f>
        <v>All levels</v>
      </c>
      <c r="X8" s="217" t="str">
        <f ca="1">IFERROR(__xludf.DUMMYFUNCTION("""COMPUTED_VALUE"""),"ストレスに対処するには")</f>
        <v>ストレスに対処するには</v>
      </c>
      <c r="Y8" s="217"/>
      <c r="Z8" s="213"/>
      <c r="AA8" s="215">
        <f ca="1">IFERROR(__xludf.DUMMYFUNCTION("""COMPUTED_VALUE"""),752464)</f>
        <v>752464</v>
      </c>
      <c r="AB8" s="215" t="str">
        <f ca="1">IFERROR(__xludf.DUMMYFUNCTION("""COMPUTED_VALUE"""),"Beginner")</f>
        <v>Beginner</v>
      </c>
      <c r="AC8" s="217" t="str">
        <f ca="1">IFERROR(__xludf.DUMMYFUNCTION("""COMPUTED_VALUE"""),"Como Dar Feedback aos Colaboradores")</f>
        <v>Como Dar Feedback aos Colaboradores</v>
      </c>
      <c r="AD8" s="217"/>
      <c r="AE8" s="213"/>
      <c r="AF8" s="215">
        <f ca="1">IFERROR(__xludf.DUMMYFUNCTION("""COMPUTED_VALUE"""),2813191)</f>
        <v>2813191</v>
      </c>
      <c r="AG8" s="215" t="str">
        <f ca="1">IFERROR(__xludf.DUMMYFUNCTION("""COMPUTED_VALUE"""),"Intermediate")</f>
        <v>Intermediate</v>
      </c>
      <c r="AH8" s="217" t="str">
        <f ca="1">IFERROR(__xludf.DUMMYFUNCTION("""COMPUTED_VALUE"""),"基于绩效式招聘")</f>
        <v>基于绩效式招聘</v>
      </c>
      <c r="AI8" s="217"/>
      <c r="AJ8" s="213"/>
    </row>
    <row r="9" spans="1:36" ht="33.75" customHeight="1">
      <c r="A9" s="213"/>
      <c r="B9" s="214">
        <f ca="1">IFERROR(__xludf.DUMMYFUNCTION("""COMPUTED_VALUE"""),574670)</f>
        <v>574670</v>
      </c>
      <c r="C9" s="215" t="str">
        <f ca="1">IFERROR(__xludf.DUMMYFUNCTION("""COMPUTED_VALUE"""),"Advanced")</f>
        <v>Advanced</v>
      </c>
      <c r="D9" s="216" t="str">
        <f ca="1">IFERROR(__xludf.DUMMYFUNCTION("""COMPUTED_VALUE"""),"Creating a High Performance Culture")</f>
        <v>Creating a High Performance Culture</v>
      </c>
      <c r="E9" s="217" t="str">
        <f ca="1">IFERROR(__xludf.DUMMYFUNCTION("""COMPUTED_VALUE"""),"Diversity, Inclusion and Belonging for Leaders and Managers")</f>
        <v>Diversity, Inclusion and Belonging for Leaders and Managers</v>
      </c>
      <c r="F9" s="213"/>
      <c r="G9" s="214">
        <f ca="1">IFERROR(__xludf.DUMMYFUNCTION("""COMPUTED_VALUE"""),789564)</f>
        <v>789564</v>
      </c>
      <c r="H9" s="215" t="str">
        <f ca="1">IFERROR(__xludf.DUMMYFUNCTION("""COMPUTED_VALUE"""),"Intermediate")</f>
        <v>Intermediate</v>
      </c>
      <c r="I9" s="217" t="str">
        <f ca="1">IFERROR(__xludf.DUMMYFUNCTION("""COMPUTED_VALUE"""),"Constituer son équipe")</f>
        <v>Constituer son équipe</v>
      </c>
      <c r="J9" s="217"/>
      <c r="K9" s="213"/>
      <c r="L9" s="215">
        <f ca="1">IFERROR(__xludf.DUMMYFUNCTION("""COMPUTED_VALUE"""),2218979)</f>
        <v>2218979</v>
      </c>
      <c r="M9" s="215" t="str">
        <f ca="1">IFERROR(__xludf.DUMMYFUNCTION("""COMPUTED_VALUE"""),"Beginner")</f>
        <v>Beginner</v>
      </c>
      <c r="N9" s="217" t="str">
        <f ca="1">IFERROR(__xludf.DUMMYFUNCTION("""COMPUTED_VALUE"""),"Cómo gestionar a personas con alto potencial")</f>
        <v>Cómo gestionar a personas con alto potencial</v>
      </c>
      <c r="O9" s="217"/>
      <c r="P9" s="213"/>
      <c r="Q9" s="215">
        <f ca="1">IFERROR(__xludf.DUMMYFUNCTION("""COMPUTED_VALUE"""),2832039)</f>
        <v>2832039</v>
      </c>
      <c r="R9" s="215" t="str">
        <f ca="1">IFERROR(__xludf.DUMMYFUNCTION("""COMPUTED_VALUE"""),"Intermediate")</f>
        <v>Intermediate</v>
      </c>
      <c r="S9" s="217" t="str">
        <f ca="1">IFERROR(__xludf.DUMMYFUNCTION("""COMPUTED_VALUE"""),"Coaching-Skills für Führungskräfte")</f>
        <v>Coaching-Skills für Führungskräfte</v>
      </c>
      <c r="T9" s="217"/>
      <c r="U9" s="213"/>
      <c r="V9" s="215">
        <f ca="1">IFERROR(__xludf.DUMMYFUNCTION("""COMPUTED_VALUE"""),3022813)</f>
        <v>3022813</v>
      </c>
      <c r="W9" s="215" t="str">
        <f ca="1">IFERROR(__xludf.DUMMYFUNCTION("""COMPUTED_VALUE"""),"All levels")</f>
        <v>All levels</v>
      </c>
      <c r="X9" s="217" t="str">
        <f ca="1">IFERROR(__xludf.DUMMYFUNCTION("""COMPUTED_VALUE"""),"スマートシンキング：複雑な問題に対処するには")</f>
        <v>スマートシンキング：複雑な問題に対処するには</v>
      </c>
      <c r="Y9" s="217"/>
      <c r="Z9" s="213"/>
      <c r="AA9" s="215">
        <f ca="1">IFERROR(__xludf.DUMMYFUNCTION("""COMPUTED_VALUE"""),801458)</f>
        <v>801458</v>
      </c>
      <c r="AB9" s="215" t="str">
        <f ca="1">IFERROR(__xludf.DUMMYFUNCTION("""COMPUTED_VALUE"""),"Beginner")</f>
        <v>Beginner</v>
      </c>
      <c r="AC9" s="217" t="str">
        <f ca="1">IFERROR(__xludf.DUMMYFUNCTION("""COMPUTED_VALUE"""),"Como Definir Metas para Equipes e Colaboradores")</f>
        <v>Como Definir Metas para Equipes e Colaboradores</v>
      </c>
      <c r="AD9" s="217"/>
      <c r="AE9" s="213"/>
      <c r="AF9" s="215">
        <f ca="1">IFERROR(__xludf.DUMMYFUNCTION("""COMPUTED_VALUE"""),794029)</f>
        <v>794029</v>
      </c>
      <c r="AG9" s="215" t="str">
        <f ca="1">IFERROR(__xludf.DUMMYFUNCTION("""COMPUTED_VALUE"""),"All levels")</f>
        <v>All levels</v>
      </c>
      <c r="AH9" s="217" t="str">
        <f ca="1">IFERROR(__xludf.DUMMYFUNCTION("""COMPUTED_VALUE"""),"成为优秀导师")</f>
        <v>成为优秀导师</v>
      </c>
      <c r="AI9" s="217"/>
      <c r="AJ9" s="213"/>
    </row>
    <row r="10" spans="1:36" ht="33.75" customHeight="1">
      <c r="A10" s="213"/>
      <c r="B10" s="214">
        <f ca="1">IFERROR(__xludf.DUMMYFUNCTION("""COMPUTED_VALUE"""),624208)</f>
        <v>624208</v>
      </c>
      <c r="C10" s="215" t="str">
        <f ca="1">IFERROR(__xludf.DUMMYFUNCTION("""COMPUTED_VALUE"""),"Advanced")</f>
        <v>Advanced</v>
      </c>
      <c r="D10" s="216" t="str">
        <f ca="1">IFERROR(__xludf.DUMMYFUNCTION("""COMPUTED_VALUE"""),"Creating a Positive and Healthy Work Environment")</f>
        <v>Creating a Positive and Healthy Work Environment</v>
      </c>
      <c r="E10" s="217" t="str">
        <f ca="1">IFERROR(__xludf.DUMMYFUNCTION("""COMPUTED_VALUE"""),"Finding and Retaining Talent")</f>
        <v>Finding and Retaining Talent</v>
      </c>
      <c r="F10" s="213"/>
      <c r="G10" s="214">
        <f ca="1">IFERROR(__xludf.DUMMYFUNCTION("""COMPUTED_VALUE"""),758900)</f>
        <v>758900</v>
      </c>
      <c r="H10" s="215" t="str">
        <f ca="1">IFERROR(__xludf.DUMMYFUNCTION("""COMPUTED_VALUE"""),"Advanced")</f>
        <v>Advanced</v>
      </c>
      <c r="I10" s="217" t="str">
        <f ca="1">IFERROR(__xludf.DUMMYFUNCTION("""COMPUTED_VALUE"""),"Créer un environnement de travail positif et sain")</f>
        <v>Créer un environnement de travail positif et sain</v>
      </c>
      <c r="J10" s="217"/>
      <c r="K10" s="213"/>
      <c r="L10" s="215">
        <f ca="1">IFERROR(__xludf.DUMMYFUNCTION("""COMPUTED_VALUE"""),2221544)</f>
        <v>2221544</v>
      </c>
      <c r="M10" s="215" t="str">
        <f ca="1">IFERROR(__xludf.DUMMYFUNCTION("""COMPUTED_VALUE"""),"Beginner")</f>
        <v>Beginner</v>
      </c>
      <c r="N10" s="217" t="str">
        <f ca="1">IFERROR(__xludf.DUMMYFUNCTION("""COMPUTED_VALUE"""),"Cómo gestionar al personal de alto rendimiento")</f>
        <v>Cómo gestionar al personal de alto rendimiento</v>
      </c>
      <c r="O10" s="217"/>
      <c r="P10" s="213"/>
      <c r="Q10" s="215">
        <f ca="1">IFERROR(__xludf.DUMMYFUNCTION("""COMPUTED_VALUE"""),759349)</f>
        <v>759349</v>
      </c>
      <c r="R10" s="215" t="str">
        <f ca="1">IFERROR(__xludf.DUMMYFUNCTION("""COMPUTED_VALUE"""),"Intermediate")</f>
        <v>Intermediate</v>
      </c>
      <c r="S10" s="217" t="str">
        <f ca="1">IFERROR(__xludf.DUMMYFUNCTION("""COMPUTED_VALUE"""),"Das Personal der Zukunft")</f>
        <v>Das Personal der Zukunft</v>
      </c>
      <c r="T10" s="217"/>
      <c r="U10" s="213"/>
      <c r="V10" s="215">
        <f ca="1">IFERROR(__xludf.DUMMYFUNCTION("""COMPUTED_VALUE"""),3158167)</f>
        <v>3158167</v>
      </c>
      <c r="W10" s="215" t="str">
        <f ca="1">IFERROR(__xludf.DUMMYFUNCTION("""COMPUTED_VALUE"""),"All levels")</f>
        <v>All levels</v>
      </c>
      <c r="X10" s="217" t="str">
        <f ca="1">IFERROR(__xludf.DUMMYFUNCTION("""COMPUTED_VALUE"""),"スマートに断るには")</f>
        <v>スマートに断るには</v>
      </c>
      <c r="Y10" s="217"/>
      <c r="Z10" s="213"/>
      <c r="AA10" s="215">
        <f ca="1">IFERROR(__xludf.DUMMYFUNCTION("""COMPUTED_VALUE"""),3117418)</f>
        <v>3117418</v>
      </c>
      <c r="AB10" s="215" t="str">
        <f ca="1">IFERROR(__xludf.DUMMYFUNCTION("""COMPUTED_VALUE"""),"All levels")</f>
        <v>All levels</v>
      </c>
      <c r="AC10" s="217" t="str">
        <f ca="1">IFERROR(__xludf.DUMMYFUNCTION("""COMPUTED_VALUE"""),"Como Desenvolver Novas Habilidades para o Futuro do Trabalho")</f>
        <v>Como Desenvolver Novas Habilidades para o Futuro do Trabalho</v>
      </c>
      <c r="AD10" s="217"/>
      <c r="AE10" s="213"/>
      <c r="AF10" s="215">
        <f ca="1">IFERROR(__xludf.DUMMYFUNCTION("""COMPUTED_VALUE"""),5039201)</f>
        <v>5039201</v>
      </c>
      <c r="AG10" s="215" t="str">
        <f ca="1">IFERROR(__xludf.DUMMYFUNCTION("""COMPUTED_VALUE"""),"Beginner")</f>
        <v>Beginner</v>
      </c>
      <c r="AH10" s="217" t="str">
        <f ca="1">IFERROR(__xludf.DUMMYFUNCTION("""COMPUTED_VALUE"""),"打造你的团队")</f>
        <v>打造你的团队</v>
      </c>
      <c r="AI10" s="217"/>
      <c r="AJ10" s="213"/>
    </row>
    <row r="11" spans="1:36" ht="33.75" customHeight="1">
      <c r="A11" s="213"/>
      <c r="B11" s="214">
        <f ca="1">IFERROR(__xludf.DUMMYFUNCTION("""COMPUTED_VALUE"""),536419)</f>
        <v>536419</v>
      </c>
      <c r="C11" s="215" t="str">
        <f ca="1">IFERROR(__xludf.DUMMYFUNCTION("""COMPUTED_VALUE"""),"Beginner")</f>
        <v>Beginner</v>
      </c>
      <c r="D11" s="216" t="str">
        <f ca="1">IFERROR(__xludf.DUMMYFUNCTION("""COMPUTED_VALUE"""),"Talent Management")</f>
        <v>Talent Management</v>
      </c>
      <c r="E11" s="217" t="str">
        <f ca="1">IFERROR(__xludf.DUMMYFUNCTION("""COMPUTED_VALUE"""),"Improve Your Coaching Skills as a Manager")</f>
        <v>Improve Your Coaching Skills as a Manager</v>
      </c>
      <c r="F11" s="213"/>
      <c r="G11" s="214">
        <f ca="1">IFERROR(__xludf.DUMMYFUNCTION("""COMPUTED_VALUE"""),707942)</f>
        <v>707942</v>
      </c>
      <c r="H11" s="215" t="str">
        <f ca="1">IFERROR(__xludf.DUMMYFUNCTION("""COMPUTED_VALUE"""),"Beginner")</f>
        <v>Beginner</v>
      </c>
      <c r="I11" s="217" t="str">
        <f ca="1">IFERROR(__xludf.DUMMYFUNCTION("""COMPUTED_VALUE"""),"Découvrir le coaching de vente")</f>
        <v>Découvrir le coaching de vente</v>
      </c>
      <c r="J11" s="217"/>
      <c r="K11" s="213"/>
      <c r="L11" s="215">
        <f ca="1">IFERROR(__xludf.DUMMYFUNCTION("""COMPUTED_VALUE"""),5025658)</f>
        <v>5025658</v>
      </c>
      <c r="M11" s="215" t="str">
        <f ca="1">IFERROR(__xludf.DUMMYFUNCTION("""COMPUTED_VALUE"""),"Intermediate")</f>
        <v>Intermediate</v>
      </c>
      <c r="N11" s="217" t="str">
        <f ca="1">IFERROR(__xludf.DUMMYFUNCTION("""COMPUTED_VALUE"""),"Cómo hacer coaching a tu personal para obtener resultados")</f>
        <v>Cómo hacer coaching a tu personal para obtener resultados</v>
      </c>
      <c r="O11" s="217"/>
      <c r="P11" s="213"/>
      <c r="Q11" s="215">
        <f ca="1">IFERROR(__xludf.DUMMYFUNCTION("""COMPUTED_VALUE"""),563969)</f>
        <v>563969</v>
      </c>
      <c r="R11" s="215" t="str">
        <f ca="1">IFERROR(__xludf.DUMMYFUNCTION("""COMPUTED_VALUE"""),"Intermediate")</f>
        <v>Intermediate</v>
      </c>
      <c r="S11" s="217" t="str">
        <f ca="1">IFERROR(__xludf.DUMMYFUNCTION("""COMPUTED_VALUE"""),"Die Teamkreativität steigern")</f>
        <v>Die Teamkreativität steigern</v>
      </c>
      <c r="T11" s="217"/>
      <c r="U11" s="213"/>
      <c r="V11" s="215"/>
      <c r="W11" s="215"/>
      <c r="X11" s="217"/>
      <c r="Y11" s="217"/>
      <c r="Z11" s="213"/>
      <c r="AA11" s="215">
        <f ca="1">IFERROR(__xludf.DUMMYFUNCTION("""COMPUTED_VALUE"""),753149)</f>
        <v>753149</v>
      </c>
      <c r="AB11" s="215" t="str">
        <f ca="1">IFERROR(__xludf.DUMMYFUNCTION("""COMPUTED_VALUE"""),"All levels")</f>
        <v>All levels</v>
      </c>
      <c r="AC11" s="217" t="str">
        <f ca="1">IFERROR(__xludf.DUMMYFUNCTION("""COMPUTED_VALUE"""),"Como Desenvolver suas Competências de Mentoria")</f>
        <v>Como Desenvolver suas Competências de Mentoria</v>
      </c>
      <c r="AD11" s="217"/>
      <c r="AE11" s="213"/>
      <c r="AF11" s="215">
        <f ca="1">IFERROR(__xludf.DUMMYFUNCTION("""COMPUTED_VALUE"""),5015633)</f>
        <v>5015633</v>
      </c>
      <c r="AG11" s="215" t="str">
        <f ca="1">IFERROR(__xludf.DUMMYFUNCTION("""COMPUTED_VALUE"""),"Intermediate")</f>
        <v>Intermediate</v>
      </c>
      <c r="AH11" s="217" t="str">
        <f ca="1">IFERROR(__xludf.DUMMYFUNCTION("""COMPUTED_VALUE"""),"打造高绩效团队")</f>
        <v>打造高绩效团队</v>
      </c>
      <c r="AI11" s="217"/>
      <c r="AJ11" s="213"/>
    </row>
    <row r="12" spans="1:36" ht="33.75" customHeight="1">
      <c r="A12" s="213"/>
      <c r="B12" s="214">
        <f ca="1">IFERROR(__xludf.DUMMYFUNCTION("""COMPUTED_VALUE"""),2825161)</f>
        <v>2825161</v>
      </c>
      <c r="C12" s="215" t="str">
        <f ca="1">IFERROR(__xludf.DUMMYFUNCTION("""COMPUTED_VALUE"""),"Beginner + Intermediate")</f>
        <v>Beginner + Intermediate</v>
      </c>
      <c r="D12" s="216" t="str">
        <f ca="1">IFERROR(__xludf.DUMMYFUNCTION("""COMPUTED_VALUE"""),"Goal Setting: Objectives and Key Results (OKRs)")</f>
        <v>Goal Setting: Objectives and Key Results (OKRs)</v>
      </c>
      <c r="E12" s="217"/>
      <c r="F12" s="213"/>
      <c r="G12" s="214">
        <f ca="1">IFERROR(__xludf.DUMMYFUNCTION("""COMPUTED_VALUE"""),568310)</f>
        <v>568310</v>
      </c>
      <c r="H12" s="215" t="str">
        <f ca="1">IFERROR(__xludf.DUMMYFUNCTION("""COMPUTED_VALUE"""),"All levels")</f>
        <v>All levels</v>
      </c>
      <c r="I12" s="217" t="str">
        <f ca="1">IFERROR(__xludf.DUMMYFUNCTION("""COMPUTED_VALUE"""),"Découvrir le mentorat")</f>
        <v>Découvrir le mentorat</v>
      </c>
      <c r="J12" s="217"/>
      <c r="K12" s="213"/>
      <c r="L12" s="215">
        <f ca="1">IFERROR(__xludf.DUMMYFUNCTION("""COMPUTED_VALUE"""),732317)</f>
        <v>732317</v>
      </c>
      <c r="M12" s="215" t="str">
        <f ca="1">IFERROR(__xludf.DUMMYFUNCTION("""COMPUTED_VALUE"""),"Intermediate")</f>
        <v>Intermediate</v>
      </c>
      <c r="N12" s="217" t="str">
        <f ca="1">IFERROR(__xludf.DUMMYFUNCTION("""COMPUTED_VALUE"""),"Cómo identificar y retener personal con alto potencial")</f>
        <v>Cómo identificar y retener personal con alto potencial</v>
      </c>
      <c r="O12" s="217"/>
      <c r="P12" s="213"/>
      <c r="Q12" s="215">
        <f ca="1">IFERROR(__xludf.DUMMYFUNCTION("""COMPUTED_VALUE"""),549183)</f>
        <v>549183</v>
      </c>
      <c r="R12" s="215" t="str">
        <f ca="1">IFERROR(__xludf.DUMMYFUNCTION("""COMPUTED_VALUE"""),"Beginner")</f>
        <v>Beginner</v>
      </c>
      <c r="S12" s="217" t="str">
        <f ca="1">IFERROR(__xludf.DUMMYFUNCTION("""COMPUTED_VALUE"""),"Einführung ins E-Learning")</f>
        <v>Einführung ins E-Learning</v>
      </c>
      <c r="T12" s="217"/>
      <c r="U12" s="213"/>
      <c r="V12" s="215"/>
      <c r="W12" s="215"/>
      <c r="X12" s="217"/>
      <c r="Y12" s="217"/>
      <c r="Z12" s="213"/>
      <c r="AA12" s="215">
        <f ca="1">IFERROR(__xludf.DUMMYFUNCTION("""COMPUTED_VALUE"""),5036508)</f>
        <v>5036508</v>
      </c>
      <c r="AB12" s="215" t="str">
        <f ca="1">IFERROR(__xludf.DUMMYFUNCTION("""COMPUTED_VALUE"""),"Beginner")</f>
        <v>Beginner</v>
      </c>
      <c r="AC12" s="217" t="str">
        <f ca="1">IFERROR(__xludf.DUMMYFUNCTION("""COMPUTED_VALUE"""),"Como Integrar Novos Colaboradores e Colaboradoras à Empresa")</f>
        <v>Como Integrar Novos Colaboradores e Colaboradoras à Empresa</v>
      </c>
      <c r="AD12" s="217"/>
      <c r="AE12" s="213"/>
      <c r="AF12" s="215">
        <f ca="1">IFERROR(__xludf.DUMMYFUNCTION("""COMPUTED_VALUE"""),2999034)</f>
        <v>2999034</v>
      </c>
      <c r="AG12" s="215" t="str">
        <f ca="1">IFERROR(__xludf.DUMMYFUNCTION("""COMPUTED_VALUE"""),"All levels")</f>
        <v>All levels</v>
      </c>
      <c r="AH12" s="217" t="str">
        <f ca="1">IFERROR(__xludf.DUMMYFUNCTION("""COMPUTED_VALUE"""),"探索自己的力量")</f>
        <v>探索自己的力量</v>
      </c>
      <c r="AI12" s="217"/>
      <c r="AJ12" s="213"/>
    </row>
    <row r="13" spans="1:36" ht="33.75" customHeight="1">
      <c r="A13" s="213"/>
      <c r="B13" s="214">
        <f ca="1">IFERROR(__xludf.DUMMYFUNCTION("""COMPUTED_VALUE"""),661748)</f>
        <v>661748</v>
      </c>
      <c r="C13" s="215" t="str">
        <f ca="1">IFERROR(__xludf.DUMMYFUNCTION("""COMPUTED_VALUE"""),"Beginner + Intermediate")</f>
        <v>Beginner + Intermediate</v>
      </c>
      <c r="D13" s="216" t="str">
        <f ca="1">IFERROR(__xludf.DUMMYFUNCTION("""COMPUTED_VALUE"""),"Rewarding Employee Performance")</f>
        <v>Rewarding Employee Performance</v>
      </c>
      <c r="E13" s="217"/>
      <c r="F13" s="213"/>
      <c r="G13" s="214">
        <f ca="1">IFERROR(__xludf.DUMMYFUNCTION("""COMPUTED_VALUE"""),193343)</f>
        <v>193343</v>
      </c>
      <c r="H13" s="215" t="str">
        <f ca="1">IFERROR(__xludf.DUMMYFUNCTION("""COMPUTED_VALUE"""),"Beginner")</f>
        <v>Beginner</v>
      </c>
      <c r="I13" s="217" t="str">
        <f ca="1">IFERROR(__xludf.DUMMYFUNCTION("""COMPUTED_VALUE"""),"Déléguer des tâches aux membres de son équipe")</f>
        <v>Déléguer des tâches aux membres de son équipe</v>
      </c>
      <c r="J13" s="217"/>
      <c r="K13" s="213"/>
      <c r="L13" s="215">
        <f ca="1">IFERROR(__xludf.DUMMYFUNCTION("""COMPUTED_VALUE"""),2899806)</f>
        <v>2899806</v>
      </c>
      <c r="M13" s="215" t="str">
        <f ca="1">IFERROR(__xludf.DUMMYFUNCTION("""COMPUTED_VALUE"""),"Advanced")</f>
        <v>Advanced</v>
      </c>
      <c r="N13" s="217" t="str">
        <f ca="1">IFERROR(__xludf.DUMMYFUNCTION("""COMPUTED_VALUE"""),"Cómo liderar equipos de alto potencial")</f>
        <v>Cómo liderar equipos de alto potencial</v>
      </c>
      <c r="O13" s="217"/>
      <c r="P13" s="213"/>
      <c r="Q13" s="215">
        <f ca="1">IFERROR(__xludf.DUMMYFUNCTION("""COMPUTED_VALUE"""),2917865)</f>
        <v>2917865</v>
      </c>
      <c r="R13" s="215" t="str">
        <f ca="1">IFERROR(__xludf.DUMMYFUNCTION("""COMPUTED_VALUE"""),"Intermediate")</f>
        <v>Intermediate</v>
      </c>
      <c r="S13" s="217" t="str">
        <f ca="1">IFERROR(__xludf.DUMMYFUNCTION("""COMPUTED_VALUE"""),"E-Learning: Technologien und Systeme")</f>
        <v>E-Learning: Technologien und Systeme</v>
      </c>
      <c r="T13" s="217"/>
      <c r="U13" s="213"/>
      <c r="V13" s="215"/>
      <c r="W13" s="215"/>
      <c r="X13" s="217"/>
      <c r="Y13" s="217"/>
      <c r="Z13" s="213"/>
      <c r="AA13" s="215">
        <f ca="1">IFERROR(__xludf.DUMMYFUNCTION("""COMPUTED_VALUE"""),2901334)</f>
        <v>2901334</v>
      </c>
      <c r="AB13" s="215" t="str">
        <f ca="1">IFERROR(__xludf.DUMMYFUNCTION("""COMPUTED_VALUE"""),"Beginner, Intermediate")</f>
        <v>Beginner, Intermediate</v>
      </c>
      <c r="AC13" s="217" t="str">
        <f ca="1">IFERROR(__xludf.DUMMYFUNCTION("""COMPUTED_VALUE"""),"Como Melhorar o Desempenho dos Colaboradores")</f>
        <v>Como Melhorar o Desempenho dos Colaboradores</v>
      </c>
      <c r="AD13" s="217"/>
      <c r="AE13" s="213"/>
      <c r="AF13" s="215">
        <f ca="1">IFERROR(__xludf.DUMMYFUNCTION("""COMPUTED_VALUE"""),2824040)</f>
        <v>2824040</v>
      </c>
      <c r="AG13" s="215" t="str">
        <f ca="1">IFERROR(__xludf.DUMMYFUNCTION("""COMPUTED_VALUE"""),"Beginner, Intermediate")</f>
        <v>Beginner, Intermediate</v>
      </c>
      <c r="AH13" s="217" t="str">
        <f ca="1">IFERROR(__xludf.DUMMYFUNCTION("""COMPUTED_VALUE"""),"提升员工绩效")</f>
        <v>提升员工绩效</v>
      </c>
      <c r="AI13" s="217"/>
      <c r="AJ13" s="213"/>
    </row>
    <row r="14" spans="1:36" ht="33.75" customHeight="1">
      <c r="A14" s="213"/>
      <c r="B14" s="214">
        <f ca="1">IFERROR(__xludf.DUMMYFUNCTION("""COMPUTED_VALUE"""),672246)</f>
        <v>672246</v>
      </c>
      <c r="C14" s="215" t="str">
        <f ca="1">IFERROR(__xludf.DUMMYFUNCTION("""COMPUTED_VALUE"""),"General")</f>
        <v>General</v>
      </c>
      <c r="D14" s="216" t="str">
        <f ca="1">IFERROR(__xludf.DUMMYFUNCTION("""COMPUTED_VALUE"""),"Ram Charan on Coaching High Potentials")</f>
        <v>Ram Charan on Coaching High Potentials</v>
      </c>
      <c r="E14" s="217"/>
      <c r="F14" s="213"/>
      <c r="G14" s="214">
        <f ca="1">IFERROR(__xludf.DUMMYFUNCTION("""COMPUTED_VALUE"""),2823305)</f>
        <v>2823305</v>
      </c>
      <c r="H14" s="215" t="str">
        <f ca="1">IFERROR(__xludf.DUMMYFUNCTION("""COMPUTED_VALUE"""),"Intermediate")</f>
        <v>Intermediate</v>
      </c>
      <c r="I14" s="217" t="str">
        <f ca="1">IFERROR(__xludf.DUMMYFUNCTION("""COMPUTED_VALUE"""),"Développer des relations professionnelles")</f>
        <v>Développer des relations professionnelles</v>
      </c>
      <c r="J14" s="217"/>
      <c r="K14" s="213"/>
      <c r="L14" s="215">
        <f ca="1">IFERROR(__xludf.DUMMYFUNCTION("""COMPUTED_VALUE"""),5025680)</f>
        <v>5025680</v>
      </c>
      <c r="M14" s="215" t="str">
        <f ca="1">IFERROR(__xludf.DUMMYFUNCTION("""COMPUTED_VALUE"""),"Intermediate")</f>
        <v>Intermediate</v>
      </c>
      <c r="N14" s="217" t="str">
        <f ca="1">IFERROR(__xludf.DUMMYFUNCTION("""COMPUTED_VALUE"""),"Cómo medir el rendimiento de tu equipo")</f>
        <v>Cómo medir el rendimiento de tu equipo</v>
      </c>
      <c r="O14" s="217"/>
      <c r="P14" s="213"/>
      <c r="Q14" s="215">
        <f ca="1">IFERROR(__xludf.DUMMYFUNCTION("""COMPUTED_VALUE"""),5025613)</f>
        <v>5025613</v>
      </c>
      <c r="R14" s="215" t="str">
        <f ca="1">IFERROR(__xludf.DUMMYFUNCTION("""COMPUTED_VALUE"""),"Beginner")</f>
        <v>Beginner</v>
      </c>
      <c r="S14" s="217" t="str">
        <f ca="1">IFERROR(__xludf.DUMMYFUNCTION("""COMPUTED_VALUE"""),"Expert:innen führen")</f>
        <v>Expert:innen führen</v>
      </c>
      <c r="T14" s="217"/>
      <c r="U14" s="213"/>
      <c r="V14" s="215"/>
      <c r="W14" s="215"/>
      <c r="X14" s="217"/>
      <c r="Y14" s="217"/>
      <c r="Z14" s="213"/>
      <c r="AA14" s="215">
        <f ca="1">IFERROR(__xludf.DUMMYFUNCTION("""COMPUTED_VALUE"""),3157408)</f>
        <v>3157408</v>
      </c>
      <c r="AB14" s="215" t="str">
        <f ca="1">IFERROR(__xludf.DUMMYFUNCTION("""COMPUTED_VALUE"""),"All levels")</f>
        <v>All levels</v>
      </c>
      <c r="AC14" s="217" t="str">
        <f ca="1">IFERROR(__xludf.DUMMYFUNCTION("""COMPUTED_VALUE"""),"Como Promover a Empatia no Mundo das Tecnologias de Informação")</f>
        <v>Como Promover a Empatia no Mundo das Tecnologias de Informação</v>
      </c>
      <c r="AD14" s="217"/>
      <c r="AE14" s="213"/>
      <c r="AF14" s="215">
        <f ca="1">IFERROR(__xludf.DUMMYFUNCTION("""COMPUTED_VALUE"""),3107605)</f>
        <v>3107605</v>
      </c>
      <c r="AG14" s="215" t="str">
        <f ca="1">IFERROR(__xludf.DUMMYFUNCTION("""COMPUTED_VALUE"""),"All levels")</f>
        <v>All levels</v>
      </c>
      <c r="AH14" s="217" t="str">
        <f ca="1">IFERROR(__xludf.DUMMYFUNCTION("""COMPUTED_VALUE"""),"提升职业形象")</f>
        <v>提升职业形象</v>
      </c>
      <c r="AI14" s="217"/>
      <c r="AJ14" s="213"/>
    </row>
    <row r="15" spans="1:36" ht="33.75" customHeight="1">
      <c r="A15" s="213"/>
      <c r="B15" s="214">
        <f ca="1">IFERROR(__xludf.DUMMYFUNCTION("""COMPUTED_VALUE"""),2242045)</f>
        <v>2242045</v>
      </c>
      <c r="C15" s="215" t="str">
        <f ca="1">IFERROR(__xludf.DUMMYFUNCTION("""COMPUTED_VALUE"""),"General")</f>
        <v>General</v>
      </c>
      <c r="D15" s="216" t="str">
        <f ca="1">IFERROR(__xludf.DUMMYFUNCTION("""COMPUTED_VALUE"""),"The Purpose Effect (getAbstract Summary)")</f>
        <v>The Purpose Effect (getAbstract Summary)</v>
      </c>
      <c r="E15" s="217"/>
      <c r="F15" s="213"/>
      <c r="G15" s="214">
        <f ca="1">IFERROR(__xludf.DUMMYFUNCTION("""COMPUTED_VALUE"""),499817)</f>
        <v>499817</v>
      </c>
      <c r="H15" s="215" t="str">
        <f ca="1">IFERROR(__xludf.DUMMYFUNCTION("""COMPUTED_VALUE"""),"Beginner")</f>
        <v>Beginner</v>
      </c>
      <c r="I15" s="217" t="str">
        <f ca="1">IFERROR(__xludf.DUMMYFUNCTION("""COMPUTED_VALUE"""),"Développer la motivation et l'engagement des employés / employées")</f>
        <v>Développer la motivation et l'engagement des employés / employées</v>
      </c>
      <c r="J15" s="217"/>
      <c r="K15" s="213"/>
      <c r="L15" s="215">
        <f ca="1">IFERROR(__xludf.DUMMYFUNCTION("""COMPUTED_VALUE"""),5025691)</f>
        <v>5025691</v>
      </c>
      <c r="M15" s="215" t="str">
        <f ca="1">IFERROR(__xludf.DUMMYFUNCTION("""COMPUTED_VALUE"""),"Beginner, Intermediate")</f>
        <v>Beginner, Intermediate</v>
      </c>
      <c r="N15" s="217" t="str">
        <f ca="1">IFERROR(__xludf.DUMMYFUNCTION("""COMPUTED_VALUE"""),"Cómo mejorar el rendimiento de tu personal")</f>
        <v>Cómo mejorar el rendimiento de tu personal</v>
      </c>
      <c r="O15" s="217"/>
      <c r="P15" s="213"/>
      <c r="Q15" s="215">
        <f ca="1">IFERROR(__xludf.DUMMYFUNCTION("""COMPUTED_VALUE"""),2884095)</f>
        <v>2884095</v>
      </c>
      <c r="R15" s="215" t="str">
        <f ca="1">IFERROR(__xludf.DUMMYFUNCTION("""COMPUTED_VALUE"""),"All levels")</f>
        <v>All levels</v>
      </c>
      <c r="S15" s="217" t="str">
        <f ca="1">IFERROR(__xludf.DUMMYFUNCTION("""COMPUTED_VALUE"""),"Gewohnheiten verändern oder entwickeln")</f>
        <v>Gewohnheiten verändern oder entwickeln</v>
      </c>
      <c r="T15" s="217"/>
      <c r="U15" s="213"/>
      <c r="V15" s="215"/>
      <c r="W15" s="215"/>
      <c r="X15" s="217"/>
      <c r="Y15" s="217"/>
      <c r="Z15" s="213"/>
      <c r="AA15" s="215">
        <f ca="1">IFERROR(__xludf.DUMMYFUNCTION("""COMPUTED_VALUE"""),2875199)</f>
        <v>2875199</v>
      </c>
      <c r="AB15" s="215" t="str">
        <f ca="1">IFERROR(__xludf.DUMMYFUNCTION("""COMPUTED_VALUE"""),"Intermediate")</f>
        <v>Intermediate</v>
      </c>
      <c r="AC15" s="217" t="str">
        <f ca="1">IFERROR(__xludf.DUMMYFUNCTION("""COMPUTED_VALUE"""),"Competências de Coaching para Líderes e Gerentes")</f>
        <v>Competências de Coaching para Líderes e Gerentes</v>
      </c>
      <c r="AD15" s="217"/>
      <c r="AE15" s="213"/>
      <c r="AF15" s="215">
        <f ca="1">IFERROR(__xludf.DUMMYFUNCTION("""COMPUTED_VALUE"""),2815031)</f>
        <v>2815031</v>
      </c>
      <c r="AG15" s="215" t="str">
        <f ca="1">IFERROR(__xludf.DUMMYFUNCTION("""COMPUTED_VALUE"""),"Beginner")</f>
        <v>Beginner</v>
      </c>
      <c r="AH15" s="217" t="str">
        <f ca="1">IFERROR(__xludf.DUMMYFUNCTION("""COMPUTED_VALUE"""),"新员工入职培训")</f>
        <v>新员工入职培训</v>
      </c>
      <c r="AI15" s="217"/>
      <c r="AJ15" s="213"/>
    </row>
    <row r="16" spans="1:36" ht="33.75" customHeight="1">
      <c r="A16" s="213"/>
      <c r="B16" s="214">
        <f ca="1">IFERROR(__xludf.DUMMYFUNCTION("""COMPUTED_VALUE"""),612175)</f>
        <v>612175</v>
      </c>
      <c r="C16" s="215" t="str">
        <f ca="1">IFERROR(__xludf.DUMMYFUNCTION("""COMPUTED_VALUE"""),"Intermediate")</f>
        <v>Intermediate</v>
      </c>
      <c r="D16" s="216" t="str">
        <f ca="1">IFERROR(__xludf.DUMMYFUNCTION("""COMPUTED_VALUE"""),"Creating a Leadership Development Program")</f>
        <v>Creating a Leadership Development Program</v>
      </c>
      <c r="E16" s="217"/>
      <c r="F16" s="213"/>
      <c r="G16" s="214">
        <f ca="1">IFERROR(__xludf.DUMMYFUNCTION("""COMPUTED_VALUE"""),778418)</f>
        <v>778418</v>
      </c>
      <c r="H16" s="215" t="str">
        <f ca="1">IFERROR(__xludf.DUMMYFUNCTION("""COMPUTED_VALUE"""),"Advanced")</f>
        <v>Advanced</v>
      </c>
      <c r="I16" s="217" t="str">
        <f ca="1">IFERROR(__xludf.DUMMYFUNCTION("""COMPUTED_VALUE"""),"Développer l'engagement des employés / employées")</f>
        <v>Développer l'engagement des employés / employées</v>
      </c>
      <c r="J16" s="217"/>
      <c r="K16" s="213"/>
      <c r="L16" s="215">
        <f ca="1">IFERROR(__xludf.DUMMYFUNCTION("""COMPUTED_VALUE"""),587153)</f>
        <v>587153</v>
      </c>
      <c r="M16" s="215" t="str">
        <f ca="1">IFERROR(__xludf.DUMMYFUNCTION("""COMPUTED_VALUE"""),"Intermediate")</f>
        <v>Intermediate</v>
      </c>
      <c r="N16" s="217" t="str">
        <f ca="1">IFERROR(__xludf.DUMMYFUNCTION("""COMPUTED_VALUE"""),"Cómo orientar y desarrollar a tu personal")</f>
        <v>Cómo orientar y desarrollar a tu personal</v>
      </c>
      <c r="O16" s="217"/>
      <c r="P16" s="213"/>
      <c r="Q16" s="215">
        <f ca="1">IFERROR(__xludf.DUMMYFUNCTION("""COMPUTED_VALUE"""),3146303)</f>
        <v>3146303</v>
      </c>
      <c r="R16" s="215" t="str">
        <f ca="1">IFERROR(__xludf.DUMMYFUNCTION("""COMPUTED_VALUE"""),"All levels")</f>
        <v>All levels</v>
      </c>
      <c r="S16" s="217" t="str">
        <f ca="1">IFERROR(__xludf.DUMMYFUNCTION("""COMPUTED_VALUE"""),"Ihre Stärken finden")</f>
        <v>Ihre Stärken finden</v>
      </c>
      <c r="T16" s="217"/>
      <c r="U16" s="213"/>
      <c r="V16" s="215"/>
      <c r="W16" s="215"/>
      <c r="X16" s="217"/>
      <c r="Y16" s="217"/>
      <c r="Z16" s="213"/>
      <c r="AA16" s="215">
        <f ca="1">IFERROR(__xludf.DUMMYFUNCTION("""COMPUTED_VALUE"""),2431370)</f>
        <v>2431370</v>
      </c>
      <c r="AB16" s="215" t="str">
        <f ca="1">IFERROR(__xludf.DUMMYFUNCTION("""COMPUTED_VALUE"""),"All levels")</f>
        <v>All levels</v>
      </c>
      <c r="AC16" s="217" t="str">
        <f ca="1">IFERROR(__xludf.DUMMYFUNCTION("""COMPUTED_VALUE"""),"Competências Profissionais Imprescindíveis na Carreira de Qualquer Profissional")</f>
        <v>Competências Profissionais Imprescindíveis na Carreira de Qualquer Profissional</v>
      </c>
      <c r="AD16" s="217"/>
      <c r="AE16" s="213"/>
      <c r="AF16" s="215">
        <f ca="1">IFERROR(__xludf.DUMMYFUNCTION("""COMPUTED_VALUE"""),2243990)</f>
        <v>2243990</v>
      </c>
      <c r="AG16" s="215" t="str">
        <f ca="1">IFERROR(__xludf.DUMMYFUNCTION("""COMPUTED_VALUE"""),"Beginner")</f>
        <v>Beginner</v>
      </c>
      <c r="AH16" s="217" t="str">
        <f ca="1">IFERROR(__xludf.DUMMYFUNCTION("""COMPUTED_VALUE"""),"管理员工绩效问题")</f>
        <v>管理员工绩效问题</v>
      </c>
      <c r="AI16" s="217"/>
      <c r="AJ16" s="213"/>
    </row>
    <row r="17" spans="1:36" ht="33.75" customHeight="1">
      <c r="A17" s="213"/>
      <c r="B17" s="214">
        <f ca="1">IFERROR(__xludf.DUMMYFUNCTION("""COMPUTED_VALUE"""),622051)</f>
        <v>622051</v>
      </c>
      <c r="C17" s="215" t="str">
        <f ca="1">IFERROR(__xludf.DUMMYFUNCTION("""COMPUTED_VALUE"""),"Intermediate")</f>
        <v>Intermediate</v>
      </c>
      <c r="D17" s="216" t="str">
        <f ca="1">IFERROR(__xludf.DUMMYFUNCTION("""COMPUTED_VALUE"""),"Developing Adaptable Managers")</f>
        <v>Developing Adaptable Managers</v>
      </c>
      <c r="E17" s="217"/>
      <c r="F17" s="213"/>
      <c r="G17" s="214">
        <f ca="1">IFERROR(__xludf.DUMMYFUNCTION("""COMPUTED_VALUE"""),693617)</f>
        <v>693617</v>
      </c>
      <c r="H17" s="215" t="str">
        <f ca="1">IFERROR(__xludf.DUMMYFUNCTION("""COMPUTED_VALUE"""),"All levels")</f>
        <v>All levels</v>
      </c>
      <c r="I17" s="217" t="str">
        <f ca="1">IFERROR(__xludf.DUMMYFUNCTION("""COMPUTED_VALUE"""),"Devenir un bon mentor")</f>
        <v>Devenir un bon mentor</v>
      </c>
      <c r="J17" s="217"/>
      <c r="K17" s="213"/>
      <c r="L17" s="215">
        <f ca="1">IFERROR(__xludf.DUMMYFUNCTION("""COMPUTED_VALUE"""),3001506)</f>
        <v>3001506</v>
      </c>
      <c r="M17" s="215" t="str">
        <f ca="1">IFERROR(__xludf.DUMMYFUNCTION("""COMPUTED_VALUE"""),"Intermediate")</f>
        <v>Intermediate</v>
      </c>
      <c r="N17" s="217" t="str">
        <f ca="1">IFERROR(__xludf.DUMMYFUNCTION("""COMPUTED_VALUE"""),"Cómo ser un miembro eficaz del equipo")</f>
        <v>Cómo ser un miembro eficaz del equipo</v>
      </c>
      <c r="O17" s="217"/>
      <c r="P17" s="213"/>
      <c r="Q17" s="215">
        <f ca="1">IFERROR(__xludf.DUMMYFUNCTION("""COMPUTED_VALUE"""),553345)</f>
        <v>553345</v>
      </c>
      <c r="R17" s="215" t="str">
        <f ca="1">IFERROR(__xludf.DUMMYFUNCTION("""COMPUTED_VALUE"""),"All levels")</f>
        <v>All levels</v>
      </c>
      <c r="S17" s="217" t="str">
        <f ca="1">IFERROR(__xludf.DUMMYFUNCTION("""COMPUTED_VALUE"""),"Internationale Personalentwicklung")</f>
        <v>Internationale Personalentwicklung</v>
      </c>
      <c r="T17" s="217"/>
      <c r="U17" s="213"/>
      <c r="V17" s="215"/>
      <c r="W17" s="215"/>
      <c r="X17" s="217"/>
      <c r="Y17" s="217"/>
      <c r="Z17" s="213"/>
      <c r="AA17" s="215">
        <f ca="1">IFERROR(__xludf.DUMMYFUNCTION("""COMPUTED_VALUE"""),2931595)</f>
        <v>2931595</v>
      </c>
      <c r="AB17" s="215" t="str">
        <f ca="1">IFERROR(__xludf.DUMMYFUNCTION("""COMPUTED_VALUE"""),"Beginner, Intermediate")</f>
        <v>Beginner, Intermediate</v>
      </c>
      <c r="AC17" s="217" t="str">
        <f ca="1">IFERROR(__xludf.DUMMYFUNCTION("""COMPUTED_VALUE"""),"Contratação de Colaboradores: Técnicas para Gerentes")</f>
        <v>Contratação de Colaboradores: Técnicas para Gerentes</v>
      </c>
      <c r="AD17" s="217"/>
      <c r="AE17" s="213"/>
      <c r="AF17" s="215">
        <f ca="1">IFERROR(__xludf.DUMMYFUNCTION("""COMPUTED_VALUE"""),2823543)</f>
        <v>2823543</v>
      </c>
      <c r="AG17" s="215" t="str">
        <f ca="1">IFERROR(__xludf.DUMMYFUNCTION("""COMPUTED_VALUE"""),"Beginner")</f>
        <v>Beginner</v>
      </c>
      <c r="AH17" s="217" t="str">
        <f ca="1">IFERROR(__xludf.DUMMYFUNCTION("""COMPUTED_VALUE"""),"管理高潜力人才")</f>
        <v>管理高潜力人才</v>
      </c>
      <c r="AI17" s="217"/>
      <c r="AJ17" s="213"/>
    </row>
    <row r="18" spans="1:36" ht="33.75" customHeight="1">
      <c r="A18" s="213"/>
      <c r="B18" s="214">
        <f ca="1">IFERROR(__xludf.DUMMYFUNCTION("""COMPUTED_VALUE"""),585227)</f>
        <v>585227</v>
      </c>
      <c r="C18" s="215" t="str">
        <f ca="1">IFERROR(__xludf.DUMMYFUNCTION("""COMPUTED_VALUE"""),"Intermediate")</f>
        <v>Intermediate</v>
      </c>
      <c r="D18" s="216" t="str">
        <f ca="1">IFERROR(__xludf.DUMMYFUNCTION("""COMPUTED_VALUE"""),"Measuring Team Performance")</f>
        <v>Measuring Team Performance</v>
      </c>
      <c r="E18" s="217"/>
      <c r="F18" s="213"/>
      <c r="G18" s="214">
        <f ca="1">IFERROR(__xludf.DUMMYFUNCTION("""COMPUTED_VALUE"""),792280)</f>
        <v>792280</v>
      </c>
      <c r="H18" s="215" t="str">
        <f ca="1">IFERROR(__xludf.DUMMYFUNCTION("""COMPUTED_VALUE"""),"Beginner")</f>
        <v>Beginner</v>
      </c>
      <c r="I18" s="217" t="str">
        <f ca="1">IFERROR(__xludf.DUMMYFUNCTION("""COMPUTED_VALUE"""),"Donner et recevoir du feedback")</f>
        <v>Donner et recevoir du feedback</v>
      </c>
      <c r="J18" s="217"/>
      <c r="K18" s="213"/>
      <c r="L18" s="215">
        <f ca="1">IFERROR(__xludf.DUMMYFUNCTION("""COMPUTED_VALUE"""),2430309)</f>
        <v>2430309</v>
      </c>
      <c r="M18" s="215" t="str">
        <f ca="1">IFERROR(__xludf.DUMMYFUNCTION("""COMPUTED_VALUE"""),"All levels")</f>
        <v>All levels</v>
      </c>
      <c r="N18" s="217" t="str">
        <f ca="1">IFERROR(__xludf.DUMMYFUNCTION("""COMPUTED_VALUE"""),"Desbloquea la creatividad de tu equipo")</f>
        <v>Desbloquea la creatividad de tu equipo</v>
      </c>
      <c r="O18" s="217"/>
      <c r="P18" s="213"/>
      <c r="Q18" s="215">
        <f ca="1">IFERROR(__xludf.DUMMYFUNCTION("""COMPUTED_VALUE"""),593918)</f>
        <v>593918</v>
      </c>
      <c r="R18" s="215" t="str">
        <f ca="1">IFERROR(__xludf.DUMMYFUNCTION("""COMPUTED_VALUE"""),"All levels")</f>
        <v>All levels</v>
      </c>
      <c r="S18" s="217" t="str">
        <f ca="1">IFERROR(__xludf.DUMMYFUNCTION("""COMPUTED_VALUE"""),"Jeff Weiner über Unternehmenskultur und Skalierungspläne")</f>
        <v>Jeff Weiner über Unternehmenskultur und Skalierungspläne</v>
      </c>
      <c r="T18" s="217"/>
      <c r="U18" s="213"/>
      <c r="V18" s="215"/>
      <c r="W18" s="215"/>
      <c r="X18" s="217"/>
      <c r="Y18" s="217"/>
      <c r="Z18" s="213"/>
      <c r="AA18" s="215">
        <f ca="1">IFERROR(__xludf.DUMMYFUNCTION("""COMPUTED_VALUE"""),753220)</f>
        <v>753220</v>
      </c>
      <c r="AB18" s="215" t="str">
        <f ca="1">IFERROR(__xludf.DUMMYFUNCTION("""COMPUTED_VALUE"""),"Advanced")</f>
        <v>Advanced</v>
      </c>
      <c r="AC18" s="217" t="str">
        <f ca="1">IFERROR(__xludf.DUMMYFUNCTION("""COMPUTED_VALUE"""),"Contratação e Desenvolvimento de Futuros Colaboradores e Colaboradoras")</f>
        <v>Contratação e Desenvolvimento de Futuros Colaboradores e Colaboradoras</v>
      </c>
      <c r="AD18" s="217"/>
      <c r="AE18" s="213"/>
      <c r="AF18" s="215">
        <f ca="1">IFERROR(__xludf.DUMMYFUNCTION("""COMPUTED_VALUE"""),2823542)</f>
        <v>2823542</v>
      </c>
      <c r="AG18" s="215" t="str">
        <f ca="1">IFERROR(__xludf.DUMMYFUNCTION("""COMPUTED_VALUE"""),"Beginner")</f>
        <v>Beginner</v>
      </c>
      <c r="AH18" s="217" t="str">
        <f ca="1">IFERROR(__xludf.DUMMYFUNCTION("""COMPUTED_VALUE"""),"管理高绩效员工")</f>
        <v>管理高绩效员工</v>
      </c>
      <c r="AI18" s="217"/>
      <c r="AJ18" s="213"/>
    </row>
    <row r="19" spans="1:36" ht="33.75" customHeight="1">
      <c r="A19" s="213"/>
      <c r="B19" s="214">
        <f ca="1">IFERROR(__xludf.DUMMYFUNCTION("""COMPUTED_VALUE"""),672234)</f>
        <v>672234</v>
      </c>
      <c r="C19" s="215" t="str">
        <f ca="1">IFERROR(__xludf.DUMMYFUNCTION("""COMPUTED_VALUE"""),"Intermediate")</f>
        <v>Intermediate</v>
      </c>
      <c r="D19" s="216" t="str">
        <f ca="1">IFERROR(__xludf.DUMMYFUNCTION("""COMPUTED_VALUE"""),"Creating the Conditions for Others to Thrive")</f>
        <v>Creating the Conditions for Others to Thrive</v>
      </c>
      <c r="E19" s="217"/>
      <c r="F19" s="213"/>
      <c r="G19" s="214">
        <f ca="1">IFERROR(__xludf.DUMMYFUNCTION("""COMPUTED_VALUE"""),610660)</f>
        <v>610660</v>
      </c>
      <c r="H19" s="215" t="str">
        <f ca="1">IFERROR(__xludf.DUMMYFUNCTION("""COMPUTED_VALUE"""),"Intermediate")</f>
        <v>Intermediate</v>
      </c>
      <c r="I19" s="217" t="str">
        <f ca="1">IFERROR(__xludf.DUMMYFUNCTION("""COMPUTED_VALUE"""),"Embaucher et développer sa future force de travail")</f>
        <v>Embaucher et développer sa future force de travail</v>
      </c>
      <c r="J19" s="217"/>
      <c r="K19" s="213"/>
      <c r="L19" s="215">
        <f ca="1">IFERROR(__xludf.DUMMYFUNCTION("""COMPUTED_VALUE"""),748685)</f>
        <v>748685</v>
      </c>
      <c r="M19" s="215" t="str">
        <f ca="1">IFERROR(__xludf.DUMMYFUNCTION("""COMPUTED_VALUE"""),"Advanced")</f>
        <v>Advanced</v>
      </c>
      <c r="N19" s="217" t="str">
        <f ca="1">IFERROR(__xludf.DUMMYFUNCTION("""COMPUTED_VALUE"""),"Empodera a tu equipo")</f>
        <v>Empodera a tu equipo</v>
      </c>
      <c r="O19" s="217"/>
      <c r="P19" s="213"/>
      <c r="Q19" s="215">
        <f ca="1">IFERROR(__xludf.DUMMYFUNCTION("""COMPUTED_VALUE"""),5025617)</f>
        <v>5025617</v>
      </c>
      <c r="R19" s="215" t="str">
        <f ca="1">IFERROR(__xludf.DUMMYFUNCTION("""COMPUTED_VALUE"""),"Intermediate")</f>
        <v>Intermediate</v>
      </c>
      <c r="S19" s="217" t="str">
        <f ca="1">IFERROR(__xludf.DUMMYFUNCTION("""COMPUTED_VALUE"""),"Leistungsträger führen")</f>
        <v>Leistungsträger führen</v>
      </c>
      <c r="T19" s="217"/>
      <c r="U19" s="213"/>
      <c r="V19" s="215"/>
      <c r="W19" s="215"/>
      <c r="X19" s="217"/>
      <c r="Y19" s="217"/>
      <c r="Z19" s="213"/>
      <c r="AA19" s="215">
        <f ca="1">IFERROR(__xludf.DUMMYFUNCTION("""COMPUTED_VALUE"""),5023837)</f>
        <v>5023837</v>
      </c>
      <c r="AB19" s="215" t="str">
        <f ca="1">IFERROR(__xludf.DUMMYFUNCTION("""COMPUTED_VALUE"""),"Intermediate")</f>
        <v>Intermediate</v>
      </c>
      <c r="AC19" s="217" t="str">
        <f ca="1">IFERROR(__xludf.DUMMYFUNCTION("""COMPUTED_VALUE"""),"Contratação por Desempenho")</f>
        <v>Contratação por Desempenho</v>
      </c>
      <c r="AD19" s="217"/>
      <c r="AE19" s="213"/>
      <c r="AF19" s="215">
        <f ca="1">IFERROR(__xludf.DUMMYFUNCTION("""COMPUTED_VALUE"""),5020684)</f>
        <v>5020684</v>
      </c>
      <c r="AG19" s="215" t="str">
        <f ca="1">IFERROR(__xludf.DUMMYFUNCTION("""COMPUTED_VALUE"""),"Beginner")</f>
        <v>Beginner</v>
      </c>
      <c r="AH19" s="217" t="str">
        <f ca="1">IFERROR(__xludf.DUMMYFUNCTION("""COMPUTED_VALUE"""),"设定团队与员工目标")</f>
        <v>设定团队与员工目标</v>
      </c>
      <c r="AI19" s="217"/>
      <c r="AJ19" s="213"/>
    </row>
    <row r="20" spans="1:36" ht="33.75" customHeight="1">
      <c r="A20" s="213"/>
      <c r="B20" s="214">
        <f ca="1">IFERROR(__xludf.DUMMYFUNCTION("""COMPUTED_VALUE"""),700792)</f>
        <v>700792</v>
      </c>
      <c r="C20" s="215" t="str">
        <f ca="1">IFERROR(__xludf.DUMMYFUNCTION("""COMPUTED_VALUE"""),"Intermediate")</f>
        <v>Intermediate</v>
      </c>
      <c r="D20" s="216" t="str">
        <f ca="1">IFERROR(__xludf.DUMMYFUNCTION("""COMPUTED_VALUE"""),"Employee Experience")</f>
        <v>Employee Experience</v>
      </c>
      <c r="E20" s="217"/>
      <c r="F20" s="213"/>
      <c r="G20" s="214">
        <f ca="1">IFERROR(__xludf.DUMMYFUNCTION("""COMPUTED_VALUE"""),3107704)</f>
        <v>3107704</v>
      </c>
      <c r="H20" s="215" t="str">
        <f ca="1">IFERROR(__xludf.DUMMYFUNCTION("""COMPUTED_VALUE"""),"Beginner")</f>
        <v>Beginner</v>
      </c>
      <c r="I20" s="217" t="str">
        <f ca="1">IFERROR(__xludf.DUMMYFUNCTION("""COMPUTED_VALUE"""),"Encourager son équipe à apprendre")</f>
        <v>Encourager son équipe à apprendre</v>
      </c>
      <c r="J20" s="217"/>
      <c r="K20" s="213"/>
      <c r="L20" s="215">
        <f ca="1">IFERROR(__xludf.DUMMYFUNCTION("""COMPUTED_VALUE"""),452713)</f>
        <v>452713</v>
      </c>
      <c r="M20" s="215" t="str">
        <f ca="1">IFERROR(__xludf.DUMMYFUNCTION("""COMPUTED_VALUE"""),"Beginner")</f>
        <v>Beginner</v>
      </c>
      <c r="N20" s="217" t="str">
        <f ca="1">IFERROR(__xludf.DUMMYFUNCTION("""COMPUTED_VALUE"""),"Fundamentos y consejos para gerentes principiantes")</f>
        <v>Fundamentos y consejos para gerentes principiantes</v>
      </c>
      <c r="O20" s="217"/>
      <c r="P20" s="213"/>
      <c r="Q20" s="215">
        <f ca="1">IFERROR(__xludf.DUMMYFUNCTION("""COMPUTED_VALUE"""),593050)</f>
        <v>593050</v>
      </c>
      <c r="R20" s="215" t="str">
        <f ca="1">IFERROR(__xludf.DUMMYFUNCTION("""COMPUTED_VALUE"""),"All levels")</f>
        <v>All levels</v>
      </c>
      <c r="S20" s="217" t="str">
        <f ca="1">IFERROR(__xludf.DUMMYFUNCTION("""COMPUTED_VALUE"""),"Mentor:in werden")</f>
        <v>Mentor:in werden</v>
      </c>
      <c r="T20" s="217"/>
      <c r="U20" s="213"/>
      <c r="V20" s="215"/>
      <c r="W20" s="215"/>
      <c r="X20" s="217"/>
      <c r="Y20" s="217"/>
      <c r="Z20" s="213"/>
      <c r="AA20" s="215">
        <f ca="1">IFERROR(__xludf.DUMMYFUNCTION("""COMPUTED_VALUE"""),753073)</f>
        <v>753073</v>
      </c>
      <c r="AB20" s="215" t="str">
        <f ca="1">IFERROR(__xludf.DUMMYFUNCTION("""COMPUTED_VALUE"""),"Beginner")</f>
        <v>Beginner</v>
      </c>
      <c r="AC20" s="217" t="str">
        <f ca="1">IFERROR(__xludf.DUMMYFUNCTION("""COMPUTED_VALUE"""),"Delegação de Tarefas à Equipe")</f>
        <v>Delegação de Tarefas à Equipe</v>
      </c>
      <c r="AD20" s="217"/>
      <c r="AE20" s="213"/>
      <c r="AF20" s="215">
        <f ca="1">IFERROR(__xludf.DUMMYFUNCTION("""COMPUTED_VALUE"""),2825309)</f>
        <v>2825309</v>
      </c>
      <c r="AG20" s="215" t="str">
        <f ca="1">IFERROR(__xludf.DUMMYFUNCTION("""COMPUTED_VALUE"""),"Intermediate")</f>
        <v>Intermediate</v>
      </c>
      <c r="AH20" s="217" t="str">
        <f ca="1">IFERROR(__xludf.DUMMYFUNCTION("""COMPUTED_VALUE"""),"评估团队绩效")</f>
        <v>评估团队绩效</v>
      </c>
      <c r="AI20" s="217"/>
      <c r="AJ20" s="213"/>
    </row>
    <row r="21" spans="1:36" ht="33.75" customHeight="1">
      <c r="A21" s="213"/>
      <c r="B21" s="214">
        <f ca="1">IFERROR(__xludf.DUMMYFUNCTION("""COMPUTED_VALUE"""),2252217)</f>
        <v>2252217</v>
      </c>
      <c r="C21" s="215" t="str">
        <f ca="1">IFERROR(__xludf.DUMMYFUNCTION("""COMPUTED_VALUE"""),"Intermediate")</f>
        <v>Intermediate</v>
      </c>
      <c r="D21" s="216" t="str">
        <f ca="1">IFERROR(__xludf.DUMMYFUNCTION("""COMPUTED_VALUE"""),"Managing Multiple Generations")</f>
        <v>Managing Multiple Generations</v>
      </c>
      <c r="E21" s="217"/>
      <c r="F21" s="213"/>
      <c r="G21" s="214">
        <f ca="1">IFERROR(__xludf.DUMMYFUNCTION("""COMPUTED_VALUE"""),738774)</f>
        <v>738774</v>
      </c>
      <c r="H21" s="215" t="str">
        <f ca="1">IFERROR(__xludf.DUMMYFUNCTION("""COMPUTED_VALUE"""),"Intermediate")</f>
        <v>Intermediate</v>
      </c>
      <c r="I21" s="217" t="str">
        <f ca="1">IFERROR(__xludf.DUMMYFUNCTION("""COMPUTED_VALUE"""),"Établir des objectifs pour son équipe et ses employés / employées")</f>
        <v>Établir des objectifs pour son équipe et ses employés / employées</v>
      </c>
      <c r="J21" s="217"/>
      <c r="K21" s="213"/>
      <c r="L21" s="215">
        <f ca="1">IFERROR(__xludf.DUMMYFUNCTION("""COMPUTED_VALUE"""),714717)</f>
        <v>714717</v>
      </c>
      <c r="M21" s="215" t="str">
        <f ca="1">IFERROR(__xludf.DUMMYFUNCTION("""COMPUTED_VALUE"""),"Advanced")</f>
        <v>Advanced</v>
      </c>
      <c r="N21" s="217" t="str">
        <f ca="1">IFERROR(__xludf.DUMMYFUNCTION("""COMPUTED_VALUE"""),"Gestión de equipos mediante OKR's o misiones, objetivos y resultados clave")</f>
        <v>Gestión de equipos mediante OKR's o misiones, objetivos y resultados clave</v>
      </c>
      <c r="O21" s="217"/>
      <c r="P21" s="213"/>
      <c r="Q21" s="215">
        <f ca="1">IFERROR(__xludf.DUMMYFUNCTION("""COMPUTED_VALUE"""),702517)</f>
        <v>702517</v>
      </c>
      <c r="R21" s="215" t="str">
        <f ca="1">IFERROR(__xludf.DUMMYFUNCTION("""COMPUTED_VALUE"""),"Intermediate")</f>
        <v>Intermediate</v>
      </c>
      <c r="S21" s="217" t="str">
        <f ca="1">IFERROR(__xludf.DUMMYFUNCTION("""COMPUTED_VALUE"""),"Mit schwierigen Mitarbeiter:innen umgehen")</f>
        <v>Mit schwierigen Mitarbeiter:innen umgehen</v>
      </c>
      <c r="T21" s="217"/>
      <c r="U21" s="213"/>
      <c r="V21" s="215"/>
      <c r="W21" s="215"/>
      <c r="X21" s="217"/>
      <c r="Y21" s="217"/>
      <c r="Z21" s="213"/>
      <c r="AA21" s="215">
        <f ca="1">IFERROR(__xludf.DUMMYFUNCTION("""COMPUTED_VALUE"""),3159818)</f>
        <v>3159818</v>
      </c>
      <c r="AB21" s="215" t="str">
        <f ca="1">IFERROR(__xludf.DUMMYFUNCTION("""COMPUTED_VALUE"""),"Beginner")</f>
        <v>Beginner</v>
      </c>
      <c r="AC21" s="217" t="str">
        <f ca="1">IFERROR(__xludf.DUMMYFUNCTION("""COMPUTED_VALUE"""),"Fundamentos da Criatividade: Como Despertar o Talento de sua Equipe")</f>
        <v>Fundamentos da Criatividade: Como Despertar o Talento de sua Equipe</v>
      </c>
      <c r="AD21" s="217"/>
      <c r="AE21" s="213"/>
      <c r="AF21" s="215">
        <f ca="1">IFERROR(__xludf.DUMMYFUNCTION("""COMPUTED_VALUE"""),773640)</f>
        <v>773640</v>
      </c>
      <c r="AG21" s="215" t="str">
        <f ca="1">IFERROR(__xludf.DUMMYFUNCTION("""COMPUTED_VALUE"""),"Beginner")</f>
        <v>Beginner</v>
      </c>
      <c r="AH21" s="217" t="str">
        <f ca="1">IFERROR(__xludf.DUMMYFUNCTION("""COMPUTED_VALUE"""),"辅导和培养员工")</f>
        <v>辅导和培养员工</v>
      </c>
      <c r="AI21" s="217"/>
      <c r="AJ21" s="213"/>
    </row>
    <row r="22" spans="1:36" ht="33.75" customHeight="1">
      <c r="A22" s="213"/>
      <c r="B22" s="214">
        <f ca="1">IFERROR(__xludf.DUMMYFUNCTION("""COMPUTED_VALUE"""),2806197)</f>
        <v>2806197</v>
      </c>
      <c r="C22" s="215" t="str">
        <f ca="1">IFERROR(__xludf.DUMMYFUNCTION("""COMPUTED_VALUE"""),"Intermediate")</f>
        <v>Intermediate</v>
      </c>
      <c r="D22" s="216" t="str">
        <f ca="1">IFERROR(__xludf.DUMMYFUNCTION("""COMPUTED_VALUE"""),"Human-Centered Leadership")</f>
        <v>Human-Centered Leadership</v>
      </c>
      <c r="E22" s="217"/>
      <c r="F22" s="213"/>
      <c r="G22" s="214">
        <f ca="1">IFERROR(__xludf.DUMMYFUNCTION("""COMPUTED_VALUE"""),778457)</f>
        <v>778457</v>
      </c>
      <c r="H22" s="215" t="str">
        <f ca="1">IFERROR(__xludf.DUMMYFUNCTION("""COMPUTED_VALUE"""),"Intermediate")</f>
        <v>Intermediate</v>
      </c>
      <c r="I22" s="217" t="str">
        <f ca="1">IFERROR(__xludf.DUMMYFUNCTION("""COMPUTED_VALUE"""),"Former les managers dans une organisation")</f>
        <v>Former les managers dans une organisation</v>
      </c>
      <c r="J22" s="217"/>
      <c r="K22" s="213"/>
      <c r="L22" s="215">
        <f ca="1">IFERROR(__xludf.DUMMYFUNCTION("""COMPUTED_VALUE"""),587141)</f>
        <v>587141</v>
      </c>
      <c r="M22" s="215" t="str">
        <f ca="1">IFERROR(__xludf.DUMMYFUNCTION("""COMPUTED_VALUE"""),"All levels")</f>
        <v>All levels</v>
      </c>
      <c r="N22" s="217" t="str">
        <f ca="1">IFERROR(__xludf.DUMMYFUNCTION("""COMPUTED_VALUE"""),"Gestión de problemas de rendimiento")</f>
        <v>Gestión de problemas de rendimiento</v>
      </c>
      <c r="O22" s="217"/>
      <c r="P22" s="213"/>
      <c r="Q22" s="215">
        <f ca="1">IFERROR(__xludf.DUMMYFUNCTION("""COMPUTED_VALUE"""),561470)</f>
        <v>561470</v>
      </c>
      <c r="R22" s="215" t="str">
        <f ca="1">IFERROR(__xludf.DUMMYFUNCTION("""COMPUTED_VALUE"""),"Beginner")</f>
        <v>Beginner</v>
      </c>
      <c r="S22" s="217" t="str">
        <f ca="1">IFERROR(__xludf.DUMMYFUNCTION("""COMPUTED_VALUE"""),"Mitarbeiter entwickeln")</f>
        <v>Mitarbeiter entwickeln</v>
      </c>
      <c r="T22" s="217"/>
      <c r="U22" s="213"/>
      <c r="V22" s="215"/>
      <c r="W22" s="215"/>
      <c r="X22" s="217"/>
      <c r="Y22" s="217"/>
      <c r="Z22" s="213"/>
      <c r="AA22" s="215">
        <f ca="1">IFERROR(__xludf.DUMMYFUNCTION("""COMPUTED_VALUE"""),3161800)</f>
        <v>3161800</v>
      </c>
      <c r="AB22" s="215" t="str">
        <f ca="1">IFERROR(__xludf.DUMMYFUNCTION("""COMPUTED_VALUE"""),"Beginner")</f>
        <v>Beginner</v>
      </c>
      <c r="AC22" s="217" t="str">
        <f ca="1">IFERROR(__xludf.DUMMYFUNCTION("""COMPUTED_VALUE"""),"Fundamentos da Criatividade: Como Despertar sua Curiosidade")</f>
        <v>Fundamentos da Criatividade: Como Despertar sua Curiosidade</v>
      </c>
      <c r="AD22" s="217"/>
      <c r="AE22" s="213"/>
      <c r="AF22" s="215">
        <f ca="1">IFERROR(__xludf.DUMMYFUNCTION("""COMPUTED_VALUE"""),805603)</f>
        <v>805603</v>
      </c>
      <c r="AG22" s="215" t="str">
        <f ca="1">IFERROR(__xludf.DUMMYFUNCTION("""COMPUTED_VALUE"""),"Advanced")</f>
        <v>Advanced</v>
      </c>
      <c r="AH22" s="217" t="str">
        <f ca="1">IFERROR(__xludf.DUMMYFUNCTION("""COMPUTED_VALUE"""),"雇用和培养未来劳动力")</f>
        <v>雇用和培养未来劳动力</v>
      </c>
      <c r="AI22" s="217"/>
      <c r="AJ22" s="213"/>
    </row>
    <row r="23" spans="1:36" ht="33.75" customHeight="1">
      <c r="A23" s="213"/>
      <c r="B23" s="214">
        <f ca="1">IFERROR(__xludf.DUMMYFUNCTION("""COMPUTED_VALUE"""),625916)</f>
        <v>625916</v>
      </c>
      <c r="C23" s="215" t="str">
        <f ca="1">IFERROR(__xludf.DUMMYFUNCTION("""COMPUTED_VALUE"""),"Intermediate")</f>
        <v>Intermediate</v>
      </c>
      <c r="D23" s="216" t="str">
        <f ca="1">IFERROR(__xludf.DUMMYFUNCTION("""COMPUTED_VALUE"""),"Developing Managers in Organizations")</f>
        <v>Developing Managers in Organizations</v>
      </c>
      <c r="E23" s="217"/>
      <c r="F23" s="213"/>
      <c r="G23" s="214">
        <f ca="1">IFERROR(__xludf.DUMMYFUNCTION("""COMPUTED_VALUE"""),752388)</f>
        <v>752388</v>
      </c>
      <c r="H23" s="215" t="str">
        <f ca="1">IFERROR(__xludf.DUMMYFUNCTION("""COMPUTED_VALUE"""),"Beginner")</f>
        <v>Beginner</v>
      </c>
      <c r="I23" s="217" t="str">
        <f ca="1">IFERROR(__xludf.DUMMYFUNCTION("""COMPUTED_VALUE"""),"Gérer les employés très performants / employées très performantes")</f>
        <v>Gérer les employés très performants / employées très performantes</v>
      </c>
      <c r="J23" s="217"/>
      <c r="K23" s="213"/>
      <c r="L23" s="215">
        <f ca="1">IFERROR(__xludf.DUMMYFUNCTION("""COMPUTED_VALUE"""),587149)</f>
        <v>587149</v>
      </c>
      <c r="M23" s="215" t="str">
        <f ca="1">IFERROR(__xludf.DUMMYFUNCTION("""COMPUTED_VALUE"""),"Beginner")</f>
        <v>Beginner</v>
      </c>
      <c r="N23" s="217" t="str">
        <f ca="1">IFERROR(__xludf.DUMMYFUNCTION("""COMPUTED_VALUE"""),"Mentoring para el aprendizaje y desarrollo")</f>
        <v>Mentoring para el aprendizaje y desarrollo</v>
      </c>
      <c r="O23" s="217"/>
      <c r="P23" s="213"/>
      <c r="Q23" s="215">
        <f ca="1">IFERROR(__xludf.DUMMYFUNCTION("""COMPUTED_VALUE"""),593045)</f>
        <v>593045</v>
      </c>
      <c r="R23" s="215" t="str">
        <f ca="1">IFERROR(__xludf.DUMMYFUNCTION("""COMPUTED_VALUE"""),"All levels")</f>
        <v>All levels</v>
      </c>
      <c r="S23" s="217" t="str">
        <f ca="1">IFERROR(__xludf.DUMMYFUNCTION("""COMPUTED_VALUE"""),"Mitarbeiter:innen Feedback geben")</f>
        <v>Mitarbeiter:innen Feedback geben</v>
      </c>
      <c r="T23" s="217"/>
      <c r="U23" s="213"/>
      <c r="V23" s="215"/>
      <c r="W23" s="215"/>
      <c r="X23" s="217"/>
      <c r="Y23" s="217"/>
      <c r="Z23" s="213"/>
      <c r="AA23" s="215">
        <f ca="1">IFERROR(__xludf.DUMMYFUNCTION("""COMPUTED_VALUE"""),3160806)</f>
        <v>3160806</v>
      </c>
      <c r="AB23" s="215" t="str">
        <f ca="1">IFERROR(__xludf.DUMMYFUNCTION("""COMPUTED_VALUE"""),"Beginner")</f>
        <v>Beginner</v>
      </c>
      <c r="AC23" s="217" t="str">
        <f ca="1">IFERROR(__xludf.DUMMYFUNCTION("""COMPUTED_VALUE"""),"Fundamentos da Criatividade: Como Soltar sua Imaginação e Encontrar Novas Ideias")</f>
        <v>Fundamentos da Criatividade: Como Soltar sua Imaginação e Encontrar Novas Ideias</v>
      </c>
      <c r="AD23" s="217"/>
      <c r="AE23" s="213"/>
      <c r="AF23" s="215">
        <f ca="1">IFERROR(__xludf.DUMMYFUNCTION("""COMPUTED_VALUE"""),2873250)</f>
        <v>2873250</v>
      </c>
      <c r="AG23" s="215" t="str">
        <f ca="1">IFERROR(__xludf.DUMMYFUNCTION("""COMPUTED_VALUE"""),"Intermediate")</f>
        <v>Intermediate</v>
      </c>
      <c r="AH23" s="217" t="str">
        <f ca="1">IFERROR(__xludf.DUMMYFUNCTION("""COMPUTED_VALUE"""),"领导者与管理者的教练技能")</f>
        <v>领导者与管理者的教练技能</v>
      </c>
      <c r="AI23" s="217"/>
      <c r="AJ23" s="213"/>
    </row>
    <row r="24" spans="1:36" ht="33.75" customHeight="1">
      <c r="A24" s="213"/>
      <c r="B24" s="214">
        <f ca="1">IFERROR(__xludf.DUMMYFUNCTION("""COMPUTED_VALUE"""),659268)</f>
        <v>659268</v>
      </c>
      <c r="C24" s="215" t="str">
        <f ca="1">IFERROR(__xludf.DUMMYFUNCTION("""COMPUTED_VALUE"""),"Intermediate")</f>
        <v>Intermediate</v>
      </c>
      <c r="D24" s="216" t="str">
        <f ca="1">IFERROR(__xludf.DUMMYFUNCTION("""COMPUTED_VALUE"""),"360-Degree Feedback")</f>
        <v>360-Degree Feedback</v>
      </c>
      <c r="E24" s="217"/>
      <c r="F24" s="213"/>
      <c r="G24" s="214">
        <f ca="1">IFERROR(__xludf.DUMMYFUNCTION("""COMPUTED_VALUE"""),778442)</f>
        <v>778442</v>
      </c>
      <c r="H24" s="215" t="str">
        <f ca="1">IFERROR(__xludf.DUMMYFUNCTION("""COMPUTED_VALUE"""),"Intermediate")</f>
        <v>Intermediate</v>
      </c>
      <c r="I24" s="217" t="str">
        <f ca="1">IFERROR(__xludf.DUMMYFUNCTION("""COMPUTED_VALUE"""),"Gérer les hauts potentiels")</f>
        <v>Gérer les hauts potentiels</v>
      </c>
      <c r="J24" s="217"/>
      <c r="K24" s="213"/>
      <c r="L24" s="215"/>
      <c r="M24" s="215"/>
      <c r="N24" s="217"/>
      <c r="O24" s="217"/>
      <c r="P24" s="213"/>
      <c r="Q24" s="215">
        <f ca="1">IFERROR(__xludf.DUMMYFUNCTION("""COMPUTED_VALUE"""),494021)</f>
        <v>494021</v>
      </c>
      <c r="R24" s="215" t="str">
        <f ca="1">IFERROR(__xludf.DUMMYFUNCTION("""COMPUTED_VALUE"""),"All levels")</f>
        <v>All levels</v>
      </c>
      <c r="S24" s="217" t="str">
        <f ca="1">IFERROR(__xludf.DUMMYFUNCTION("""COMPUTED_VALUE"""),"Mitarbeiter:innen motivieren")</f>
        <v>Mitarbeiter:innen motivieren</v>
      </c>
      <c r="T24" s="217"/>
      <c r="U24" s="213"/>
      <c r="V24" s="215"/>
      <c r="W24" s="215"/>
      <c r="X24" s="217"/>
      <c r="Y24" s="217"/>
      <c r="Z24" s="213"/>
      <c r="AA24" s="215">
        <f ca="1">IFERROR(__xludf.DUMMYFUNCTION("""COMPUTED_VALUE"""),2210175)</f>
        <v>2210175</v>
      </c>
      <c r="AB24" s="215" t="str">
        <f ca="1">IFERROR(__xludf.DUMMYFUNCTION("""COMPUTED_VALUE"""),"Intermediate")</f>
        <v>Intermediate</v>
      </c>
      <c r="AC24" s="217" t="str">
        <f ca="1">IFERROR(__xludf.DUMMYFUNCTION("""COMPUTED_VALUE"""),"Gestão de Problemas de Desempenho dos Colaboradores")</f>
        <v>Gestão de Problemas de Desempenho dos Colaboradores</v>
      </c>
      <c r="AD24" s="217"/>
      <c r="AE24" s="213"/>
      <c r="AF24" s="215"/>
      <c r="AG24" s="215"/>
      <c r="AH24" s="217"/>
      <c r="AI24" s="217"/>
      <c r="AJ24" s="213"/>
    </row>
    <row r="25" spans="1:36" ht="33.75" customHeight="1">
      <c r="A25" s="213"/>
      <c r="B25" s="214">
        <f ca="1">IFERROR(__xludf.DUMMYFUNCTION("""COMPUTED_VALUE"""),706913)</f>
        <v>706913</v>
      </c>
      <c r="C25" s="215" t="str">
        <f ca="1">IFERROR(__xludf.DUMMYFUNCTION("""COMPUTED_VALUE"""),"Intermediate")</f>
        <v>Intermediate</v>
      </c>
      <c r="D25" s="216" t="str">
        <f ca="1">IFERROR(__xludf.DUMMYFUNCTION("""COMPUTED_VALUE"""),"Working with an Executive Coach")</f>
        <v>Working with an Executive Coach</v>
      </c>
      <c r="E25" s="217"/>
      <c r="F25" s="213"/>
      <c r="G25" s="214">
        <f ca="1">IFERROR(__xludf.DUMMYFUNCTION("""COMPUTED_VALUE"""),796909)</f>
        <v>796909</v>
      </c>
      <c r="H25" s="215" t="str">
        <f ca="1">IFERROR(__xludf.DUMMYFUNCTION("""COMPUTED_VALUE"""),"Advanced")</f>
        <v>Advanced</v>
      </c>
      <c r="I25" s="217" t="str">
        <f ca="1">IFERROR(__xludf.DUMMYFUNCTION("""COMPUTED_VALUE"""),"Instaurer une culture de la performance")</f>
        <v>Instaurer une culture de la performance</v>
      </c>
      <c r="J25" s="217"/>
      <c r="K25" s="213"/>
      <c r="L25" s="215"/>
      <c r="M25" s="215"/>
      <c r="N25" s="217"/>
      <c r="O25" s="217"/>
      <c r="P25" s="213"/>
      <c r="Q25" s="215">
        <f ca="1">IFERROR(__xludf.DUMMYFUNCTION("""COMPUTED_VALUE"""),584362)</f>
        <v>584362</v>
      </c>
      <c r="R25" s="215" t="str">
        <f ca="1">IFERROR(__xludf.DUMMYFUNCTION("""COMPUTED_VALUE"""),"Beginner")</f>
        <v>Beginner</v>
      </c>
      <c r="S25" s="217" t="str">
        <f ca="1">IFERROR(__xludf.DUMMYFUNCTION("""COMPUTED_VALUE"""),"Onboarding neuer Mitarbeiter:innen")</f>
        <v>Onboarding neuer Mitarbeiter:innen</v>
      </c>
      <c r="T25" s="217"/>
      <c r="U25" s="213"/>
      <c r="V25" s="215"/>
      <c r="W25" s="215"/>
      <c r="X25" s="217"/>
      <c r="Y25" s="217"/>
      <c r="Z25" s="213"/>
      <c r="AA25" s="215">
        <f ca="1">IFERROR(__xludf.DUMMYFUNCTION("""COMPUTED_VALUE"""),2911574)</f>
        <v>2911574</v>
      </c>
      <c r="AB25" s="215" t="str">
        <f ca="1">IFERROR(__xludf.DUMMYFUNCTION("""COMPUTED_VALUE"""),"Beginner")</f>
        <v>Beginner</v>
      </c>
      <c r="AC25" s="217" t="str">
        <f ca="1">IFERROR(__xludf.DUMMYFUNCTION("""COMPUTED_VALUE"""),"Gestão de Profissionais de Alto Desempenho")</f>
        <v>Gestão de Profissionais de Alto Desempenho</v>
      </c>
      <c r="AD25" s="217"/>
      <c r="AE25" s="213"/>
      <c r="AF25" s="215"/>
      <c r="AG25" s="215"/>
      <c r="AH25" s="217"/>
      <c r="AI25" s="217"/>
      <c r="AJ25" s="213"/>
    </row>
    <row r="26" spans="1:36" ht="33.75" customHeight="1">
      <c r="A26" s="213"/>
      <c r="B26" s="214">
        <f ca="1">IFERROR(__xludf.DUMMYFUNCTION("""COMPUTED_VALUE"""),696326)</f>
        <v>696326</v>
      </c>
      <c r="C26" s="215" t="str">
        <f ca="1">IFERROR(__xludf.DUMMYFUNCTION("""COMPUTED_VALUE"""),"Intermediate")</f>
        <v>Intermediate</v>
      </c>
      <c r="D26" s="216" t="str">
        <f ca="1">IFERROR(__xludf.DUMMYFUNCTION("""COMPUTED_VALUE"""),"Becoming a Thought Leader")</f>
        <v>Becoming a Thought Leader</v>
      </c>
      <c r="E26" s="217"/>
      <c r="F26" s="213"/>
      <c r="G26" s="214">
        <f ca="1">IFERROR(__xludf.DUMMYFUNCTION("""COMPUTED_VALUE"""),2882001)</f>
        <v>2882001</v>
      </c>
      <c r="H26" s="215" t="str">
        <f ca="1">IFERROR(__xludf.DUMMYFUNCTION("""COMPUTED_VALUE"""),"Intermediate")</f>
        <v>Intermediate</v>
      </c>
      <c r="I26" s="217" t="str">
        <f ca="1">IFERROR(__xludf.DUMMYFUNCTION("""COMPUTED_VALUE"""),"La minute de formation : Favoriser l'engagement des employés")</f>
        <v>La minute de formation : Favoriser l'engagement des employés</v>
      </c>
      <c r="J26" s="217"/>
      <c r="K26" s="213"/>
      <c r="L26" s="215"/>
      <c r="M26" s="215"/>
      <c r="N26" s="217"/>
      <c r="O26" s="217"/>
      <c r="P26" s="213"/>
      <c r="Q26" s="215">
        <f ca="1">IFERROR(__xludf.DUMMYFUNCTION("""COMPUTED_VALUE"""),708836)</f>
        <v>708836</v>
      </c>
      <c r="R26" s="215" t="str">
        <f ca="1">IFERROR(__xludf.DUMMYFUNCTION("""COMPUTED_VALUE"""),"Beginner")</f>
        <v>Beginner</v>
      </c>
      <c r="S26" s="217" t="str">
        <f ca="1">IFERROR(__xludf.DUMMYFUNCTION("""COMPUTED_VALUE"""),"Personalstrategie – Grundlagen")</f>
        <v>Personalstrategie – Grundlagen</v>
      </c>
      <c r="T26" s="217"/>
      <c r="U26" s="213"/>
      <c r="V26" s="215"/>
      <c r="W26" s="215"/>
      <c r="X26" s="217"/>
      <c r="Y26" s="217"/>
      <c r="Z26" s="213"/>
      <c r="AA26" s="215">
        <f ca="1">IFERROR(__xludf.DUMMYFUNCTION("""COMPUTED_VALUE"""),2909985)</f>
        <v>2909985</v>
      </c>
      <c r="AB26" s="215" t="str">
        <f ca="1">IFERROR(__xludf.DUMMYFUNCTION("""COMPUTED_VALUE"""),"Beginner")</f>
        <v>Beginner</v>
      </c>
      <c r="AC26" s="217" t="str">
        <f ca="1">IFERROR(__xludf.DUMMYFUNCTION("""COMPUTED_VALUE"""),"Gestão de Profissionais de Alto Potencial")</f>
        <v>Gestão de Profissionais de Alto Potencial</v>
      </c>
      <c r="AD26" s="217"/>
      <c r="AE26" s="213"/>
      <c r="AF26" s="215"/>
      <c r="AG26" s="215"/>
      <c r="AH26" s="217"/>
      <c r="AI26" s="217"/>
      <c r="AJ26" s="213"/>
    </row>
    <row r="27" spans="1:36" ht="33.75" customHeight="1">
      <c r="A27" s="213"/>
      <c r="B27" s="214">
        <f ca="1">IFERROR(__xludf.DUMMYFUNCTION("""COMPUTED_VALUE"""),578061)</f>
        <v>578061</v>
      </c>
      <c r="C27" s="215" t="str">
        <f ca="1">IFERROR(__xludf.DUMMYFUNCTION("""COMPUTED_VALUE"""),"Intermediate")</f>
        <v>Intermediate</v>
      </c>
      <c r="D27" s="216" t="str">
        <f ca="1">IFERROR(__xludf.DUMMYFUNCTION("""COMPUTED_VALUE"""),"Developing a Mentoring Program")</f>
        <v>Developing a Mentoring Program</v>
      </c>
      <c r="E27" s="217"/>
      <c r="F27" s="213"/>
      <c r="G27" s="214">
        <f ca="1">IFERROR(__xludf.DUMMYFUNCTION("""COMPUTED_VALUE"""),796910)</f>
        <v>796910</v>
      </c>
      <c r="H27" s="215" t="str">
        <f ca="1">IFERROR(__xludf.DUMMYFUNCTION("""COMPUTED_VALUE"""),"Intermediate")</f>
        <v>Intermediate</v>
      </c>
      <c r="I27" s="217" t="str">
        <f ca="1">IFERROR(__xludf.DUMMYFUNCTION("""COMPUTED_VALUE"""),"Mesurer les performances d’équipe")</f>
        <v>Mesurer les performances d’équipe</v>
      </c>
      <c r="J27" s="217"/>
      <c r="K27" s="213"/>
      <c r="L27" s="215"/>
      <c r="M27" s="215"/>
      <c r="N27" s="217"/>
      <c r="O27" s="217"/>
      <c r="P27" s="213"/>
      <c r="Q27" s="215">
        <f ca="1">IFERROR(__xludf.DUMMYFUNCTION("""COMPUTED_VALUE"""),2808159)</f>
        <v>2808159</v>
      </c>
      <c r="R27" s="215" t="str">
        <f ca="1">IFERROR(__xludf.DUMMYFUNCTION("""COMPUTED_VALUE"""),"Intermediate")</f>
        <v>Intermediate</v>
      </c>
      <c r="S27" s="217" t="str">
        <f ca="1">IFERROR(__xludf.DUMMYFUNCTION("""COMPUTED_VALUE"""),"Personalwesen: Onboarding-Programme durchführen")</f>
        <v>Personalwesen: Onboarding-Programme durchführen</v>
      </c>
      <c r="T27" s="217"/>
      <c r="U27" s="213"/>
      <c r="V27" s="215"/>
      <c r="W27" s="215"/>
      <c r="X27" s="217"/>
      <c r="Y27" s="217"/>
      <c r="Z27" s="213"/>
      <c r="AA27" s="215">
        <f ca="1">IFERROR(__xludf.DUMMYFUNCTION("""COMPUTED_VALUE"""),753081)</f>
        <v>753081</v>
      </c>
      <c r="AB27" s="215" t="str">
        <f ca="1">IFERROR(__xludf.DUMMYFUNCTION("""COMPUTED_VALUE"""),"Beginner")</f>
        <v>Beginner</v>
      </c>
      <c r="AC27" s="217" t="str">
        <f ca="1">IFERROR(__xludf.DUMMYFUNCTION("""COMPUTED_VALUE"""),"O Poder do Coaching no Desenvolvimento dos Colaboradores")</f>
        <v>O Poder do Coaching no Desenvolvimento dos Colaboradores</v>
      </c>
      <c r="AD27" s="217"/>
      <c r="AE27" s="213"/>
      <c r="AF27" s="215"/>
      <c r="AG27" s="215"/>
      <c r="AH27" s="217"/>
      <c r="AI27" s="217"/>
      <c r="AJ27" s="213"/>
    </row>
    <row r="28" spans="1:36" ht="33.75" customHeight="1">
      <c r="A28" s="213"/>
      <c r="B28" s="214">
        <f ca="1">IFERROR(__xludf.DUMMYFUNCTION("""COMPUTED_VALUE"""),3107154)</f>
        <v>3107154</v>
      </c>
      <c r="C28" s="215" t="str">
        <f ca="1">IFERROR(__xludf.DUMMYFUNCTION("""COMPUTED_VALUE"""),"Intermediate")</f>
        <v>Intermediate</v>
      </c>
      <c r="D28" s="216" t="str">
        <f ca="1">IFERROR(__xludf.DUMMYFUNCTION("""COMPUTED_VALUE"""),"Coaching New Managers")</f>
        <v>Coaching New Managers</v>
      </c>
      <c r="E28" s="217"/>
      <c r="F28" s="213"/>
      <c r="G28" s="214"/>
      <c r="H28" s="215"/>
      <c r="I28" s="217"/>
      <c r="J28" s="217"/>
      <c r="K28" s="213"/>
      <c r="L28" s="215"/>
      <c r="M28" s="215"/>
      <c r="N28" s="217"/>
      <c r="O28" s="217"/>
      <c r="P28" s="213"/>
      <c r="Q28" s="215">
        <f ca="1">IFERROR(__xludf.DUMMYFUNCTION("""COMPUTED_VALUE"""),5022380)</f>
        <v>5022380</v>
      </c>
      <c r="R28" s="215" t="str">
        <f ca="1">IFERROR(__xludf.DUMMYFUNCTION("""COMPUTED_VALUE"""),"All levels")</f>
        <v>All levels</v>
      </c>
      <c r="S28" s="217" t="str">
        <f ca="1">IFERROR(__xludf.DUMMYFUNCTION("""COMPUTED_VALUE"""),"Recruiting – Grundlagen")</f>
        <v>Recruiting – Grundlagen</v>
      </c>
      <c r="T28" s="217"/>
      <c r="U28" s="213"/>
      <c r="V28" s="215"/>
      <c r="W28" s="215"/>
      <c r="X28" s="217"/>
      <c r="Y28" s="217"/>
      <c r="Z28" s="213"/>
      <c r="AA28" s="215"/>
      <c r="AB28" s="215"/>
      <c r="AC28" s="217"/>
      <c r="AD28" s="217"/>
      <c r="AE28" s="213"/>
      <c r="AF28" s="215"/>
      <c r="AG28" s="215"/>
      <c r="AH28" s="217"/>
      <c r="AI28" s="217"/>
      <c r="AJ28" s="213"/>
    </row>
    <row r="29" spans="1:36" ht="33.75" customHeight="1">
      <c r="A29" s="213"/>
      <c r="B29" s="214">
        <f ca="1">IFERROR(__xludf.DUMMYFUNCTION("""COMPUTED_VALUE"""),427474)</f>
        <v>427474</v>
      </c>
      <c r="C29" s="215" t="str">
        <f ca="1">IFERROR(__xludf.DUMMYFUNCTION("""COMPUTED_VALUE"""),"Beginner")</f>
        <v>Beginner</v>
      </c>
      <c r="D29" s="216" t="str">
        <f ca="1">IFERROR(__xludf.DUMMYFUNCTION("""COMPUTED_VALUE"""),"Building Your Team")</f>
        <v>Building Your Team</v>
      </c>
      <c r="E29" s="217"/>
      <c r="F29" s="213"/>
      <c r="G29" s="214"/>
      <c r="H29" s="215"/>
      <c r="I29" s="217"/>
      <c r="J29" s="217"/>
      <c r="K29" s="213"/>
      <c r="L29" s="215"/>
      <c r="M29" s="215"/>
      <c r="N29" s="217"/>
      <c r="O29" s="217"/>
      <c r="P29" s="213"/>
      <c r="Q29" s="215">
        <f ca="1">IFERROR(__xludf.DUMMYFUNCTION("""COMPUTED_VALUE"""),702531)</f>
        <v>702531</v>
      </c>
      <c r="R29" s="215" t="str">
        <f ca="1">IFERROR(__xludf.DUMMYFUNCTION("""COMPUTED_VALUE"""),"Intermediate")</f>
        <v>Intermediate</v>
      </c>
      <c r="S29" s="217" t="str">
        <f ca="1">IFERROR(__xludf.DUMMYFUNCTION("""COMPUTED_VALUE"""),"Recruiting: Active Sourcing – Proaktive Suche nach Bewerber:innen")</f>
        <v>Recruiting: Active Sourcing – Proaktive Suche nach Bewerber:innen</v>
      </c>
      <c r="T29" s="217"/>
      <c r="U29" s="213"/>
      <c r="V29" s="215"/>
      <c r="W29" s="215"/>
      <c r="X29" s="217"/>
      <c r="Y29" s="217"/>
      <c r="Z29" s="213"/>
      <c r="AA29" s="215"/>
      <c r="AB29" s="215"/>
      <c r="AC29" s="217"/>
      <c r="AD29" s="217"/>
      <c r="AE29" s="213"/>
      <c r="AF29" s="215"/>
      <c r="AG29" s="215"/>
      <c r="AH29" s="217"/>
      <c r="AI29" s="217"/>
      <c r="AJ29" s="213"/>
    </row>
    <row r="30" spans="1:36" ht="33.75" customHeight="1">
      <c r="A30" s="213"/>
      <c r="B30" s="214">
        <f ca="1">IFERROR(__xludf.DUMMYFUNCTION("""COMPUTED_VALUE"""),456353)</f>
        <v>456353</v>
      </c>
      <c r="C30" s="215" t="str">
        <f ca="1">IFERROR(__xludf.DUMMYFUNCTION("""COMPUTED_VALUE"""),"Beginner")</f>
        <v>Beginner</v>
      </c>
      <c r="D30" s="216" t="str">
        <f ca="1">IFERROR(__xludf.DUMMYFUNCTION("""COMPUTED_VALUE"""),"Setting Team and Employee Goals Using SMART Methodology")</f>
        <v>Setting Team and Employee Goals Using SMART Methodology</v>
      </c>
      <c r="E30" s="217"/>
      <c r="F30" s="213"/>
      <c r="G30" s="214"/>
      <c r="H30" s="215"/>
      <c r="I30" s="217"/>
      <c r="J30" s="217"/>
      <c r="K30" s="213"/>
      <c r="L30" s="215"/>
      <c r="M30" s="215"/>
      <c r="N30" s="217"/>
      <c r="O30" s="217"/>
      <c r="P30" s="213"/>
      <c r="Q30" s="215">
        <f ca="1">IFERROR(__xludf.DUMMYFUNCTION("""COMPUTED_VALUE"""),703215)</f>
        <v>703215</v>
      </c>
      <c r="R30" s="215" t="str">
        <f ca="1">IFERROR(__xludf.DUMMYFUNCTION("""COMPUTED_VALUE"""),"Intermediate")</f>
        <v>Intermediate</v>
      </c>
      <c r="S30" s="217" t="str">
        <f ca="1">IFERROR(__xludf.DUMMYFUNCTION("""COMPUTED_VALUE"""),"Recruiting: Fachkräfte und Spezialist:innen gewinnen")</f>
        <v>Recruiting: Fachkräfte und Spezialist:innen gewinnen</v>
      </c>
      <c r="T30" s="217"/>
      <c r="U30" s="213"/>
      <c r="V30" s="215"/>
      <c r="W30" s="215"/>
      <c r="X30" s="217"/>
      <c r="Y30" s="217"/>
      <c r="Z30" s="213"/>
      <c r="AA30" s="215"/>
      <c r="AB30" s="215"/>
      <c r="AC30" s="217"/>
      <c r="AD30" s="217"/>
      <c r="AE30" s="213"/>
      <c r="AF30" s="215"/>
      <c r="AG30" s="215"/>
      <c r="AH30" s="217"/>
      <c r="AI30" s="217"/>
      <c r="AJ30" s="213"/>
    </row>
    <row r="31" spans="1:36" ht="33.75" customHeight="1">
      <c r="A31" s="213"/>
      <c r="B31" s="214">
        <f ca="1">IFERROR(__xludf.DUMMYFUNCTION("""COMPUTED_VALUE"""),604211)</f>
        <v>604211</v>
      </c>
      <c r="C31" s="215" t="str">
        <f ca="1">IFERROR(__xludf.DUMMYFUNCTION("""COMPUTED_VALUE"""),"Beginner")</f>
        <v>Beginner</v>
      </c>
      <c r="D31" s="216" t="str">
        <f ca="1">IFERROR(__xludf.DUMMYFUNCTION("""COMPUTED_VALUE"""),"Managing High Performers")</f>
        <v>Managing High Performers</v>
      </c>
      <c r="E31" s="217"/>
      <c r="F31" s="213"/>
      <c r="G31" s="214"/>
      <c r="H31" s="215"/>
      <c r="I31" s="217"/>
      <c r="J31" s="217"/>
      <c r="K31" s="213"/>
      <c r="L31" s="215"/>
      <c r="M31" s="215"/>
      <c r="N31" s="217"/>
      <c r="O31" s="217"/>
      <c r="P31" s="213"/>
      <c r="Q31" s="215">
        <f ca="1">IFERROR(__xludf.DUMMYFUNCTION("""COMPUTED_VALUE"""),703214)</f>
        <v>703214</v>
      </c>
      <c r="R31" s="215" t="str">
        <f ca="1">IFERROR(__xludf.DUMMYFUNCTION("""COMPUTED_VALUE"""),"Intermediate")</f>
        <v>Intermediate</v>
      </c>
      <c r="S31" s="217" t="str">
        <f ca="1">IFERROR(__xludf.DUMMYFUNCTION("""COMPUTED_VALUE"""),"Recruiting: Job-Interviews führen")</f>
        <v>Recruiting: Job-Interviews führen</v>
      </c>
      <c r="T31" s="217"/>
      <c r="U31" s="213"/>
      <c r="V31" s="215"/>
      <c r="W31" s="215"/>
      <c r="X31" s="217"/>
      <c r="Y31" s="217"/>
      <c r="Z31" s="213"/>
      <c r="AA31" s="215"/>
      <c r="AB31" s="215"/>
      <c r="AC31" s="217"/>
      <c r="AD31" s="217"/>
      <c r="AE31" s="213"/>
      <c r="AF31" s="215"/>
      <c r="AG31" s="215"/>
      <c r="AH31" s="217"/>
      <c r="AI31" s="217"/>
      <c r="AJ31" s="213"/>
    </row>
    <row r="32" spans="1:36" ht="16">
      <c r="A32" s="213"/>
      <c r="B32" s="214">
        <f ca="1">IFERROR(__xludf.DUMMYFUNCTION("""COMPUTED_VALUE"""),604213)</f>
        <v>604213</v>
      </c>
      <c r="C32" s="215" t="str">
        <f ca="1">IFERROR(__xludf.DUMMYFUNCTION("""COMPUTED_VALUE"""),"Beginner")</f>
        <v>Beginner</v>
      </c>
      <c r="D32" s="216" t="str">
        <f ca="1">IFERROR(__xludf.DUMMYFUNCTION("""COMPUTED_VALUE"""),"Managing High Potentials")</f>
        <v>Managing High Potentials</v>
      </c>
      <c r="E32" s="217"/>
      <c r="F32" s="213"/>
      <c r="G32" s="214"/>
      <c r="H32" s="215"/>
      <c r="I32" s="217"/>
      <c r="J32" s="217"/>
      <c r="K32" s="213"/>
      <c r="L32" s="215"/>
      <c r="M32" s="215"/>
      <c r="N32" s="217"/>
      <c r="O32" s="217"/>
      <c r="P32" s="213"/>
      <c r="Q32" s="215">
        <f ca="1">IFERROR(__xludf.DUMMYFUNCTION("""COMPUTED_VALUE"""),761012)</f>
        <v>761012</v>
      </c>
      <c r="R32" s="215" t="str">
        <f ca="1">IFERROR(__xludf.DUMMYFUNCTION("""COMPUTED_VALUE"""),"Intermediate")</f>
        <v>Intermediate</v>
      </c>
      <c r="S32" s="217" t="str">
        <f ca="1">IFERROR(__xludf.DUMMYFUNCTION("""COMPUTED_VALUE"""),"Servant Leadership – Dienende Führung")</f>
        <v>Servant Leadership – Dienende Führung</v>
      </c>
      <c r="T32" s="217"/>
      <c r="U32" s="213"/>
      <c r="V32" s="215"/>
      <c r="W32" s="215"/>
      <c r="X32" s="217"/>
      <c r="Y32" s="217"/>
      <c r="Z32" s="213"/>
      <c r="AA32" s="215"/>
      <c r="AB32" s="215"/>
      <c r="AC32" s="217"/>
      <c r="AD32" s="217"/>
      <c r="AE32" s="213"/>
      <c r="AF32" s="215"/>
      <c r="AG32" s="215"/>
      <c r="AH32" s="217"/>
      <c r="AI32" s="217"/>
      <c r="AJ32" s="213"/>
    </row>
    <row r="33" spans="1:36" ht="33.75" customHeight="1">
      <c r="A33" s="213"/>
      <c r="B33" s="214">
        <f ca="1">IFERROR(__xludf.DUMMYFUNCTION("""COMPUTED_VALUE"""),2876075)</f>
        <v>2876075</v>
      </c>
      <c r="C33" s="215" t="str">
        <f ca="1">IFERROR(__xludf.DUMMYFUNCTION("""COMPUTED_VALUE"""),"Beginner")</f>
        <v>Beginner</v>
      </c>
      <c r="D33" s="216" t="str">
        <f ca="1">IFERROR(__xludf.DUMMYFUNCTION("""COMPUTED_VALUE"""),"Virtual Performance Reviews and Feedback")</f>
        <v>Virtual Performance Reviews and Feedback</v>
      </c>
      <c r="E33" s="217"/>
      <c r="F33" s="213"/>
      <c r="G33" s="214"/>
      <c r="H33" s="215"/>
      <c r="I33" s="217"/>
      <c r="J33" s="217"/>
      <c r="K33" s="213"/>
      <c r="L33" s="215"/>
      <c r="M33" s="215"/>
      <c r="N33" s="217"/>
      <c r="O33" s="217"/>
      <c r="P33" s="213"/>
      <c r="Q33" s="215">
        <f ca="1">IFERROR(__xludf.DUMMYFUNCTION("""COMPUTED_VALUE"""),5025616)</f>
        <v>5025616</v>
      </c>
      <c r="R33" s="215" t="str">
        <f ca="1">IFERROR(__xludf.DUMMYFUNCTION("""COMPUTED_VALUE"""),"Beginner")</f>
        <v>Beginner</v>
      </c>
      <c r="S33" s="217" t="str">
        <f ca="1">IFERROR(__xludf.DUMMYFUNCTION("""COMPUTED_VALUE"""),"Spitzentalente führen")</f>
        <v>Spitzentalente führen</v>
      </c>
      <c r="T33" s="217"/>
      <c r="U33" s="213"/>
      <c r="V33" s="215"/>
      <c r="W33" s="215"/>
      <c r="X33" s="217"/>
      <c r="Y33" s="217"/>
      <c r="Z33" s="213"/>
      <c r="AA33" s="215"/>
      <c r="AB33" s="215"/>
      <c r="AC33" s="217"/>
      <c r="AD33" s="217"/>
      <c r="AE33" s="213"/>
      <c r="AF33" s="215"/>
      <c r="AG33" s="215"/>
      <c r="AH33" s="217"/>
      <c r="AI33" s="217"/>
      <c r="AJ33" s="213"/>
    </row>
    <row r="34" spans="1:36" ht="33.75" customHeight="1">
      <c r="A34" s="213"/>
      <c r="B34" s="214">
        <f ca="1">IFERROR(__xludf.DUMMYFUNCTION("""COMPUTED_VALUE"""),737767)</f>
        <v>737767</v>
      </c>
      <c r="C34" s="215" t="str">
        <f ca="1">IFERROR(__xludf.DUMMYFUNCTION("""COMPUTED_VALUE"""),"Beginner")</f>
        <v>Beginner</v>
      </c>
      <c r="D34" s="216" t="str">
        <f ca="1">IFERROR(__xludf.DUMMYFUNCTION("""COMPUTED_VALUE"""),"Lean Technology Strategy: Building High-Performing Teams")</f>
        <v>Lean Technology Strategy: Building High-Performing Teams</v>
      </c>
      <c r="E34" s="217"/>
      <c r="F34" s="213"/>
      <c r="G34" s="214"/>
      <c r="H34" s="215"/>
      <c r="I34" s="217"/>
      <c r="J34" s="217"/>
      <c r="K34" s="213"/>
      <c r="L34" s="215"/>
      <c r="M34" s="215"/>
      <c r="N34" s="217"/>
      <c r="O34" s="217"/>
      <c r="P34" s="213"/>
      <c r="Q34" s="215">
        <f ca="1">IFERROR(__xludf.DUMMYFUNCTION("""COMPUTED_VALUE"""),697738)</f>
        <v>697738</v>
      </c>
      <c r="R34" s="215" t="str">
        <f ca="1">IFERROR(__xludf.DUMMYFUNCTION("""COMPUTED_VALUE"""),"Intermediate")</f>
        <v>Intermediate</v>
      </c>
      <c r="S34" s="217" t="str">
        <f ca="1">IFERROR(__xludf.DUMMYFUNCTION("""COMPUTED_VALUE"""),"Talente finden und binden")</f>
        <v>Talente finden und binden</v>
      </c>
      <c r="T34" s="217"/>
      <c r="U34" s="213"/>
      <c r="V34" s="215"/>
      <c r="W34" s="215"/>
      <c r="X34" s="217"/>
      <c r="Y34" s="217"/>
      <c r="Z34" s="213"/>
      <c r="AA34" s="215"/>
      <c r="AB34" s="215"/>
      <c r="AC34" s="217"/>
      <c r="AD34" s="217"/>
      <c r="AE34" s="213"/>
      <c r="AF34" s="215"/>
      <c r="AG34" s="215"/>
      <c r="AH34" s="217"/>
      <c r="AI34" s="217"/>
      <c r="AJ34" s="213"/>
    </row>
    <row r="35" spans="1:36" ht="33.75" customHeight="1">
      <c r="A35" s="213"/>
      <c r="B35" s="214">
        <f ca="1">IFERROR(__xludf.DUMMYFUNCTION("""COMPUTED_VALUE"""),628687)</f>
        <v>628687</v>
      </c>
      <c r="C35" s="215" t="str">
        <f ca="1">IFERROR(__xludf.DUMMYFUNCTION("""COMPUTED_VALUE"""),"Beginner")</f>
        <v>Beginner</v>
      </c>
      <c r="D35" s="216" t="str">
        <f ca="1">IFERROR(__xludf.DUMMYFUNCTION("""COMPUTED_VALUE"""),"Transitioning from Technical Professional to Manager")</f>
        <v>Transitioning from Technical Professional to Manager</v>
      </c>
      <c r="E35" s="217"/>
      <c r="F35" s="213"/>
      <c r="G35" s="214"/>
      <c r="H35" s="215"/>
      <c r="I35" s="217"/>
      <c r="J35" s="217"/>
      <c r="K35" s="213"/>
      <c r="L35" s="215"/>
      <c r="M35" s="215"/>
      <c r="N35" s="217"/>
      <c r="O35" s="217"/>
      <c r="P35" s="213"/>
      <c r="Q35" s="215">
        <f ca="1">IFERROR(__xludf.DUMMYFUNCTION("""COMPUTED_VALUE"""),561469)</f>
        <v>561469</v>
      </c>
      <c r="R35" s="215" t="str">
        <f ca="1">IFERROR(__xludf.DUMMYFUNCTION("""COMPUTED_VALUE"""),"All levels")</f>
        <v>All levels</v>
      </c>
      <c r="S35" s="217" t="str">
        <f ca="1">IFERROR(__xludf.DUMMYFUNCTION("""COMPUTED_VALUE"""),"Teams aufbauen, entwickeln und zum Erfolg führen")</f>
        <v>Teams aufbauen, entwickeln und zum Erfolg führen</v>
      </c>
      <c r="T35" s="217"/>
      <c r="U35" s="213"/>
      <c r="V35" s="215"/>
      <c r="W35" s="215"/>
      <c r="X35" s="217"/>
      <c r="Y35" s="217"/>
      <c r="Z35" s="213"/>
      <c r="AA35" s="215"/>
      <c r="AB35" s="215"/>
      <c r="AC35" s="217"/>
      <c r="AD35" s="217"/>
      <c r="AE35" s="213"/>
      <c r="AF35" s="215"/>
      <c r="AG35" s="215"/>
      <c r="AH35" s="217"/>
      <c r="AI35" s="217"/>
      <c r="AJ35" s="213"/>
    </row>
    <row r="36" spans="1:36" ht="33.75" customHeight="1">
      <c r="A36" s="213"/>
      <c r="B36" s="214">
        <f ca="1">IFERROR(__xludf.DUMMYFUNCTION("""COMPUTED_VALUE"""),622050)</f>
        <v>622050</v>
      </c>
      <c r="C36" s="215" t="str">
        <f ca="1">IFERROR(__xludf.DUMMYFUNCTION("""COMPUTED_VALUE"""),"Beginner + Intermediate")</f>
        <v>Beginner + Intermediate</v>
      </c>
      <c r="D36" s="216" t="str">
        <f ca="1">IFERROR(__xludf.DUMMYFUNCTION("""COMPUTED_VALUE"""),"Developing Adaptable Employees")</f>
        <v>Developing Adaptable Employees</v>
      </c>
      <c r="E36" s="217"/>
      <c r="F36" s="213"/>
      <c r="G36" s="214"/>
      <c r="H36" s="215"/>
      <c r="I36" s="217"/>
      <c r="J36" s="217"/>
      <c r="K36" s="213"/>
      <c r="L36" s="215"/>
      <c r="M36" s="215"/>
      <c r="N36" s="217"/>
      <c r="O36" s="217"/>
      <c r="P36" s="213"/>
      <c r="Q36" s="215">
        <f ca="1">IFERROR(__xludf.DUMMYFUNCTION("""COMPUTED_VALUE"""),2951127)</f>
        <v>2951127</v>
      </c>
      <c r="R36" s="215" t="str">
        <f ca="1">IFERROR(__xludf.DUMMYFUNCTION("""COMPUTED_VALUE"""),"All levels")</f>
        <v>All levels</v>
      </c>
      <c r="S36" s="217" t="str">
        <f ca="1">IFERROR(__xludf.DUMMYFUNCTION("""COMPUTED_VALUE"""),"Tipps für mehr Erfolg: Jede Woche neu")</f>
        <v>Tipps für mehr Erfolg: Jede Woche neu</v>
      </c>
      <c r="T36" s="217"/>
      <c r="U36" s="213"/>
      <c r="V36" s="215"/>
      <c r="W36" s="215"/>
      <c r="X36" s="217"/>
      <c r="Y36" s="217"/>
      <c r="Z36" s="213"/>
      <c r="AA36" s="215"/>
      <c r="AB36" s="215"/>
      <c r="AC36" s="217"/>
      <c r="AD36" s="217"/>
      <c r="AE36" s="213"/>
      <c r="AF36" s="215"/>
      <c r="AG36" s="215"/>
      <c r="AH36" s="217"/>
      <c r="AI36" s="217"/>
      <c r="AJ36" s="213"/>
    </row>
    <row r="37" spans="1:36" ht="33.75" customHeight="1">
      <c r="A37" s="213"/>
      <c r="B37" s="214">
        <f ca="1">IFERROR(__xludf.DUMMYFUNCTION("""COMPUTED_VALUE"""),661750)</f>
        <v>661750</v>
      </c>
      <c r="C37" s="215" t="str">
        <f ca="1">IFERROR(__xludf.DUMMYFUNCTION("""COMPUTED_VALUE"""),"Beginner + Intermediate")</f>
        <v>Beginner + Intermediate</v>
      </c>
      <c r="D37" s="216" t="str">
        <f ca="1">IFERROR(__xludf.DUMMYFUNCTION("""COMPUTED_VALUE"""),"Improving Employee Performance")</f>
        <v>Improving Employee Performance</v>
      </c>
      <c r="E37" s="217"/>
      <c r="F37" s="213"/>
      <c r="G37" s="214"/>
      <c r="H37" s="215"/>
      <c r="I37" s="217"/>
      <c r="J37" s="217"/>
      <c r="K37" s="213"/>
      <c r="L37" s="215"/>
      <c r="M37" s="215"/>
      <c r="N37" s="217"/>
      <c r="O37" s="217"/>
      <c r="P37" s="213"/>
      <c r="Q37" s="215">
        <f ca="1">IFERROR(__xludf.DUMMYFUNCTION("""COMPUTED_VALUE"""),5033458)</f>
        <v>5033458</v>
      </c>
      <c r="R37" s="215" t="str">
        <f ca="1">IFERROR(__xludf.DUMMYFUNCTION("""COMPUTED_VALUE"""),"All levels")</f>
        <v>All levels</v>
      </c>
      <c r="S37" s="217" t="str">
        <f ca="1">IFERROR(__xludf.DUMMYFUNCTION("""COMPUTED_VALUE"""),"Ziele für Mitarbeiter:innen und Teams setzen")</f>
        <v>Ziele für Mitarbeiter:innen und Teams setzen</v>
      </c>
      <c r="T37" s="217"/>
      <c r="U37" s="213"/>
      <c r="V37" s="215"/>
      <c r="W37" s="215"/>
      <c r="X37" s="217"/>
      <c r="Y37" s="217"/>
      <c r="Z37" s="213"/>
      <c r="AA37" s="215"/>
      <c r="AB37" s="215"/>
      <c r="AC37" s="217"/>
      <c r="AD37" s="217"/>
      <c r="AE37" s="213"/>
      <c r="AF37" s="215"/>
      <c r="AG37" s="215"/>
      <c r="AH37" s="217"/>
      <c r="AI37" s="217"/>
      <c r="AJ37" s="213"/>
    </row>
    <row r="38" spans="1:36" ht="33.75" customHeight="1">
      <c r="A38" s="213"/>
      <c r="B38" s="214">
        <f ca="1">IFERROR(__xludf.DUMMYFUNCTION("""COMPUTED_VALUE"""),688508)</f>
        <v>688508</v>
      </c>
      <c r="C38" s="215" t="str">
        <f ca="1">IFERROR(__xludf.DUMMYFUNCTION("""COMPUTED_VALUE"""),"Beginner + Intermediate")</f>
        <v>Beginner + Intermediate</v>
      </c>
      <c r="D38" s="216" t="str">
        <f ca="1">IFERROR(__xludf.DUMMYFUNCTION("""COMPUTED_VALUE"""),"Motivating and Engaging Employees")</f>
        <v>Motivating and Engaging Employees</v>
      </c>
      <c r="E38" s="217"/>
      <c r="F38" s="213"/>
      <c r="G38" s="214"/>
      <c r="H38" s="215"/>
      <c r="I38" s="217"/>
      <c r="J38" s="217"/>
      <c r="K38" s="213"/>
      <c r="L38" s="215"/>
      <c r="M38" s="215"/>
      <c r="N38" s="217"/>
      <c r="O38" s="217"/>
      <c r="P38" s="213"/>
      <c r="Q38" s="215"/>
      <c r="R38" s="215"/>
      <c r="S38" s="217"/>
      <c r="T38" s="217"/>
      <c r="U38" s="213"/>
      <c r="V38" s="215"/>
      <c r="W38" s="215"/>
      <c r="X38" s="217"/>
      <c r="Y38" s="217"/>
      <c r="Z38" s="213"/>
      <c r="AA38" s="215"/>
      <c r="AB38" s="215"/>
      <c r="AC38" s="217"/>
      <c r="AD38" s="217"/>
      <c r="AE38" s="213"/>
      <c r="AF38" s="215"/>
      <c r="AG38" s="215"/>
      <c r="AH38" s="217"/>
      <c r="AI38" s="217"/>
      <c r="AJ38" s="213"/>
    </row>
    <row r="39" spans="1:36" ht="33.75" customHeight="1">
      <c r="A39" s="213"/>
      <c r="B39" s="214">
        <f ca="1">IFERROR(__xludf.DUMMYFUNCTION("""COMPUTED_VALUE"""),802842)</f>
        <v>802842</v>
      </c>
      <c r="C39" s="215" t="str">
        <f ca="1">IFERROR(__xludf.DUMMYFUNCTION("""COMPUTED_VALUE"""),"Beginner + Intermediate")</f>
        <v>Beginner + Intermediate</v>
      </c>
      <c r="D39" s="216" t="str">
        <f ca="1">IFERROR(__xludf.DUMMYFUNCTION("""COMPUTED_VALUE"""),"Coaching and Developing Employees")</f>
        <v>Coaching and Developing Employees</v>
      </c>
      <c r="E39" s="217"/>
      <c r="F39" s="213"/>
      <c r="G39" s="214"/>
      <c r="H39" s="215"/>
      <c r="I39" s="217"/>
      <c r="J39" s="217"/>
      <c r="K39" s="213"/>
      <c r="L39" s="215"/>
      <c r="M39" s="215"/>
      <c r="N39" s="217"/>
      <c r="O39" s="217"/>
      <c r="P39" s="213"/>
      <c r="Q39" s="215"/>
      <c r="R39" s="215"/>
      <c r="S39" s="217"/>
      <c r="T39" s="217"/>
      <c r="U39" s="213"/>
      <c r="V39" s="215"/>
      <c r="W39" s="215"/>
      <c r="X39" s="217"/>
      <c r="Y39" s="217"/>
      <c r="Z39" s="213"/>
      <c r="AA39" s="215"/>
      <c r="AB39" s="215"/>
      <c r="AC39" s="217"/>
      <c r="AD39" s="217"/>
      <c r="AE39" s="213"/>
      <c r="AF39" s="215"/>
      <c r="AG39" s="215"/>
      <c r="AH39" s="217"/>
      <c r="AI39" s="217"/>
      <c r="AJ39" s="213"/>
    </row>
    <row r="40" spans="1:36" ht="33.75" customHeight="1">
      <c r="A40" s="213"/>
      <c r="B40" s="214">
        <f ca="1">IFERROR(__xludf.DUMMYFUNCTION("""COMPUTED_VALUE"""),5015861)</f>
        <v>5015861</v>
      </c>
      <c r="C40" s="215" t="str">
        <f ca="1">IFERROR(__xludf.DUMMYFUNCTION("""COMPUTED_VALUE"""),"Beginner + Intermediate")</f>
        <v>Beginner + Intermediate</v>
      </c>
      <c r="D40" s="216" t="str">
        <f ca="1">IFERROR(__xludf.DUMMYFUNCTION("""COMPUTED_VALUE"""),"Delivering Employee Feedback")</f>
        <v>Delivering Employee Feedback</v>
      </c>
      <c r="E40" s="217"/>
      <c r="F40" s="213"/>
      <c r="G40" s="214"/>
      <c r="H40" s="215"/>
      <c r="I40" s="217"/>
      <c r="J40" s="217"/>
      <c r="K40" s="213"/>
      <c r="L40" s="215"/>
      <c r="M40" s="215"/>
      <c r="N40" s="217"/>
      <c r="O40" s="217"/>
      <c r="P40" s="213"/>
      <c r="Q40" s="215"/>
      <c r="R40" s="215"/>
      <c r="S40" s="217"/>
      <c r="T40" s="217"/>
      <c r="U40" s="213"/>
      <c r="V40" s="215"/>
      <c r="W40" s="215"/>
      <c r="X40" s="217"/>
      <c r="Y40" s="217"/>
      <c r="Z40" s="213"/>
      <c r="AA40" s="215"/>
      <c r="AB40" s="215"/>
      <c r="AC40" s="217"/>
      <c r="AD40" s="217"/>
      <c r="AE40" s="213"/>
      <c r="AF40" s="215"/>
      <c r="AG40" s="215"/>
      <c r="AH40" s="217"/>
      <c r="AI40" s="217"/>
      <c r="AJ40" s="213"/>
    </row>
    <row r="41" spans="1:36" ht="33.75" customHeight="1">
      <c r="A41" s="213"/>
      <c r="B41" s="214">
        <f ca="1">IFERROR(__xludf.DUMMYFUNCTION("""COMPUTED_VALUE"""),3107152)</f>
        <v>3107152</v>
      </c>
      <c r="C41" s="215" t="str">
        <f ca="1">IFERROR(__xludf.DUMMYFUNCTION("""COMPUTED_VALUE"""),"Beginner + Intermediate")</f>
        <v>Beginner + Intermediate</v>
      </c>
      <c r="D41" s="216" t="str">
        <f ca="1">IFERROR(__xludf.DUMMYFUNCTION("""COMPUTED_VALUE"""),"Coaching New Hires")</f>
        <v>Coaching New Hires</v>
      </c>
      <c r="E41" s="217"/>
      <c r="F41" s="213"/>
      <c r="G41" s="214"/>
      <c r="H41" s="215"/>
      <c r="I41" s="217"/>
      <c r="J41" s="217"/>
      <c r="K41" s="213"/>
      <c r="L41" s="215"/>
      <c r="M41" s="215"/>
      <c r="N41" s="217"/>
      <c r="O41" s="217"/>
      <c r="P41" s="213"/>
      <c r="Q41" s="215"/>
      <c r="R41" s="215"/>
      <c r="S41" s="217"/>
      <c r="T41" s="217"/>
      <c r="U41" s="213"/>
      <c r="V41" s="215"/>
      <c r="W41" s="215"/>
      <c r="X41" s="217"/>
      <c r="Y41" s="217"/>
      <c r="Z41" s="213"/>
      <c r="AA41" s="215"/>
      <c r="AB41" s="215"/>
      <c r="AC41" s="217"/>
      <c r="AD41" s="217"/>
      <c r="AE41" s="213"/>
      <c r="AF41" s="215"/>
      <c r="AG41" s="215"/>
      <c r="AH41" s="217"/>
      <c r="AI41" s="217"/>
      <c r="AJ41" s="213"/>
    </row>
    <row r="42" spans="1:36" ht="33.75" customHeight="1">
      <c r="A42" s="213"/>
      <c r="B42" s="214">
        <f ca="1">IFERROR(__xludf.DUMMYFUNCTION("""COMPUTED_VALUE"""),693069)</f>
        <v>693069</v>
      </c>
      <c r="C42" s="215" t="str">
        <f ca="1">IFERROR(__xludf.DUMMYFUNCTION("""COMPUTED_VALUE"""),"General")</f>
        <v>General</v>
      </c>
      <c r="D42" s="216" t="str">
        <f ca="1">IFERROR(__xludf.DUMMYFUNCTION("""COMPUTED_VALUE"""),"Delegating Tasks")</f>
        <v>Delegating Tasks</v>
      </c>
      <c r="E42" s="217"/>
      <c r="F42" s="213"/>
      <c r="G42" s="214"/>
      <c r="H42" s="215"/>
      <c r="I42" s="217"/>
      <c r="J42" s="217"/>
      <c r="K42" s="213"/>
      <c r="L42" s="215"/>
      <c r="M42" s="215"/>
      <c r="N42" s="217"/>
      <c r="O42" s="217"/>
      <c r="P42" s="213"/>
      <c r="Q42" s="215"/>
      <c r="R42" s="215"/>
      <c r="S42" s="217"/>
      <c r="T42" s="217"/>
      <c r="U42" s="213"/>
      <c r="V42" s="215"/>
      <c r="W42" s="215"/>
      <c r="X42" s="217"/>
      <c r="Y42" s="217"/>
      <c r="Z42" s="213"/>
      <c r="AA42" s="215"/>
      <c r="AB42" s="215"/>
      <c r="AC42" s="217"/>
      <c r="AD42" s="217"/>
      <c r="AE42" s="213"/>
      <c r="AF42" s="215"/>
      <c r="AG42" s="215"/>
      <c r="AH42" s="217"/>
      <c r="AI42" s="217"/>
      <c r="AJ42" s="213"/>
    </row>
    <row r="43" spans="1:36" ht="33.75" customHeight="1">
      <c r="A43" s="213"/>
      <c r="B43" s="214">
        <f ca="1">IFERROR(__xludf.DUMMYFUNCTION("""COMPUTED_VALUE"""),167028)</f>
        <v>167028</v>
      </c>
      <c r="C43" s="215" t="str">
        <f ca="1">IFERROR(__xludf.DUMMYFUNCTION("""COMPUTED_VALUE"""),"Intermediate")</f>
        <v>Intermediate</v>
      </c>
      <c r="D43" s="216" t="str">
        <f ca="1">IFERROR(__xludf.DUMMYFUNCTION("""COMPUTED_VALUE"""),"Building High-Performance Teams")</f>
        <v>Building High-Performance Teams</v>
      </c>
      <c r="E43" s="217"/>
      <c r="F43" s="213"/>
      <c r="G43" s="214"/>
      <c r="H43" s="215"/>
      <c r="I43" s="217"/>
      <c r="J43" s="217"/>
      <c r="K43" s="213"/>
      <c r="L43" s="215"/>
      <c r="M43" s="215"/>
      <c r="N43" s="217"/>
      <c r="O43" s="217"/>
      <c r="P43" s="213"/>
      <c r="Q43" s="215"/>
      <c r="R43" s="215"/>
      <c r="S43" s="217"/>
      <c r="T43" s="217"/>
      <c r="U43" s="213"/>
      <c r="V43" s="215"/>
      <c r="W43" s="215"/>
      <c r="X43" s="217"/>
      <c r="Y43" s="217"/>
      <c r="Z43" s="213"/>
      <c r="AA43" s="215"/>
      <c r="AB43" s="215"/>
      <c r="AC43" s="217"/>
      <c r="AD43" s="217"/>
      <c r="AE43" s="213"/>
      <c r="AF43" s="215"/>
      <c r="AG43" s="215"/>
      <c r="AH43" s="217"/>
      <c r="AI43" s="217"/>
      <c r="AJ43" s="213"/>
    </row>
    <row r="44" spans="1:36" ht="33.75" customHeight="1">
      <c r="A44" s="213"/>
      <c r="B44" s="214">
        <f ca="1">IFERROR(__xludf.DUMMYFUNCTION("""COMPUTED_VALUE"""),592488)</f>
        <v>592488</v>
      </c>
      <c r="C44" s="215" t="str">
        <f ca="1">IFERROR(__xludf.DUMMYFUNCTION("""COMPUTED_VALUE"""),"Intermediate")</f>
        <v>Intermediate</v>
      </c>
      <c r="D44" s="216" t="str">
        <f ca="1">IFERROR(__xludf.DUMMYFUNCTION("""COMPUTED_VALUE"""),"Coaching for Results")</f>
        <v>Coaching for Results</v>
      </c>
      <c r="E44" s="217"/>
      <c r="F44" s="213"/>
      <c r="G44" s="214"/>
      <c r="H44" s="215"/>
      <c r="I44" s="217"/>
      <c r="J44" s="217"/>
      <c r="K44" s="213"/>
      <c r="L44" s="215"/>
      <c r="M44" s="215"/>
      <c r="N44" s="217"/>
      <c r="O44" s="217"/>
      <c r="P44" s="213"/>
      <c r="Q44" s="215"/>
      <c r="R44" s="215"/>
      <c r="S44" s="217"/>
      <c r="T44" s="217"/>
      <c r="U44" s="213"/>
      <c r="V44" s="215"/>
      <c r="W44" s="215"/>
      <c r="X44" s="217"/>
      <c r="Y44" s="217"/>
      <c r="Z44" s="213"/>
      <c r="AA44" s="215"/>
      <c r="AB44" s="215"/>
      <c r="AC44" s="217"/>
      <c r="AD44" s="217"/>
      <c r="AE44" s="213"/>
      <c r="AF44" s="215"/>
      <c r="AG44" s="215"/>
      <c r="AH44" s="217"/>
      <c r="AI44" s="217"/>
      <c r="AJ44" s="213"/>
    </row>
    <row r="45" spans="1:36" ht="33.75" customHeight="1">
      <c r="A45" s="213"/>
      <c r="B45" s="214">
        <f ca="1">IFERROR(__xludf.DUMMYFUNCTION("""COMPUTED_VALUE"""),645011)</f>
        <v>645011</v>
      </c>
      <c r="C45" s="215" t="str">
        <f ca="1">IFERROR(__xludf.DUMMYFUNCTION("""COMPUTED_VALUE"""),"Intermediate")</f>
        <v>Intermediate</v>
      </c>
      <c r="D45" s="216" t="str">
        <f ca="1">IFERROR(__xludf.DUMMYFUNCTION("""COMPUTED_VALUE"""),"Coaching Employees through Difficult Situations")</f>
        <v>Coaching Employees through Difficult Situations</v>
      </c>
      <c r="E45" s="217"/>
      <c r="F45" s="213"/>
      <c r="G45" s="214"/>
      <c r="H45" s="215"/>
      <c r="I45" s="217"/>
      <c r="J45" s="217"/>
      <c r="K45" s="213"/>
      <c r="L45" s="215"/>
      <c r="M45" s="215"/>
      <c r="N45" s="217"/>
      <c r="O45" s="217"/>
      <c r="P45" s="213"/>
      <c r="Q45" s="215"/>
      <c r="R45" s="215"/>
      <c r="S45" s="217"/>
      <c r="T45" s="217"/>
      <c r="U45" s="213"/>
      <c r="V45" s="215"/>
      <c r="W45" s="215"/>
      <c r="X45" s="217"/>
      <c r="Y45" s="217"/>
      <c r="Z45" s="213"/>
      <c r="AA45" s="215"/>
      <c r="AB45" s="215"/>
      <c r="AC45" s="217"/>
      <c r="AD45" s="217"/>
      <c r="AE45" s="213"/>
      <c r="AF45" s="215"/>
      <c r="AG45" s="215"/>
      <c r="AH45" s="217"/>
      <c r="AI45" s="217"/>
      <c r="AJ45" s="213"/>
    </row>
    <row r="46" spans="1:36" ht="33.75" customHeight="1">
      <c r="A46" s="213"/>
      <c r="B46" s="214">
        <f ca="1">IFERROR(__xludf.DUMMYFUNCTION("""COMPUTED_VALUE"""),713373)</f>
        <v>713373</v>
      </c>
      <c r="C46" s="215" t="str">
        <f ca="1">IFERROR(__xludf.DUMMYFUNCTION("""COMPUTED_VALUE"""),"Intermediate")</f>
        <v>Intermediate</v>
      </c>
      <c r="D46" s="216" t="str">
        <f ca="1">IFERROR(__xludf.DUMMYFUNCTION("""COMPUTED_VALUE"""),"Coaching Skills for Leaders and Managers")</f>
        <v>Coaching Skills for Leaders and Managers</v>
      </c>
      <c r="E46" s="217"/>
      <c r="F46" s="213"/>
      <c r="G46" s="214"/>
      <c r="H46" s="215"/>
      <c r="I46" s="217"/>
      <c r="J46" s="217"/>
      <c r="K46" s="213"/>
      <c r="L46" s="215"/>
      <c r="M46" s="215"/>
      <c r="N46" s="217"/>
      <c r="O46" s="217"/>
      <c r="P46" s="213"/>
      <c r="Q46" s="215"/>
      <c r="R46" s="215"/>
      <c r="S46" s="217"/>
      <c r="T46" s="217"/>
      <c r="U46" s="213"/>
      <c r="V46" s="215"/>
      <c r="W46" s="215"/>
      <c r="X46" s="217"/>
      <c r="Y46" s="217"/>
      <c r="Z46" s="213"/>
      <c r="AA46" s="215"/>
      <c r="AB46" s="215"/>
      <c r="AC46" s="217"/>
      <c r="AD46" s="217"/>
      <c r="AE46" s="213"/>
      <c r="AF46" s="215"/>
      <c r="AG46" s="215"/>
      <c r="AH46" s="217"/>
      <c r="AI46" s="217"/>
      <c r="AJ46" s="213"/>
    </row>
    <row r="47" spans="1:36" ht="33.75" customHeight="1">
      <c r="A47" s="213"/>
      <c r="B47" s="214">
        <f ca="1">IFERROR(__xludf.DUMMYFUNCTION("""COMPUTED_VALUE"""),737756)</f>
        <v>737756</v>
      </c>
      <c r="C47" s="215" t="str">
        <f ca="1">IFERROR(__xludf.DUMMYFUNCTION("""COMPUTED_VALUE"""),"Intermediate")</f>
        <v>Intermediate</v>
      </c>
      <c r="D47" s="216" t="str">
        <f ca="1">IFERROR(__xludf.DUMMYFUNCTION("""COMPUTED_VALUE"""),"Developing Your Team Members")</f>
        <v>Developing Your Team Members</v>
      </c>
      <c r="E47" s="217"/>
      <c r="F47" s="213"/>
      <c r="G47" s="214"/>
      <c r="H47" s="215"/>
      <c r="I47" s="217"/>
      <c r="J47" s="217"/>
      <c r="K47" s="213"/>
      <c r="L47" s="215"/>
      <c r="M47" s="215"/>
      <c r="N47" s="217"/>
      <c r="O47" s="217"/>
      <c r="P47" s="213"/>
      <c r="Q47" s="215"/>
      <c r="R47" s="215"/>
      <c r="S47" s="217"/>
      <c r="T47" s="217"/>
      <c r="U47" s="213"/>
      <c r="V47" s="215"/>
      <c r="W47" s="215"/>
      <c r="X47" s="217"/>
      <c r="Y47" s="217"/>
      <c r="Z47" s="213"/>
      <c r="AA47" s="215"/>
      <c r="AB47" s="215"/>
      <c r="AC47" s="217"/>
      <c r="AD47" s="217"/>
      <c r="AE47" s="213"/>
      <c r="AF47" s="215"/>
      <c r="AG47" s="215"/>
      <c r="AH47" s="217"/>
      <c r="AI47" s="217"/>
      <c r="AJ47" s="213"/>
    </row>
    <row r="48" spans="1:36" ht="33.75" customHeight="1">
      <c r="A48" s="213"/>
      <c r="B48" s="214">
        <f ca="1">IFERROR(__xludf.DUMMYFUNCTION("""COMPUTED_VALUE"""),746305)</f>
        <v>746305</v>
      </c>
      <c r="C48" s="215" t="str">
        <f ca="1">IFERROR(__xludf.DUMMYFUNCTION("""COMPUTED_VALUE"""),"Intermediate")</f>
        <v>Intermediate</v>
      </c>
      <c r="D48" s="216" t="str">
        <f ca="1">IFERROR(__xludf.DUMMYFUNCTION("""COMPUTED_VALUE"""),"Managing Employee Performance Problems")</f>
        <v>Managing Employee Performance Problems</v>
      </c>
      <c r="E48" s="217"/>
      <c r="F48" s="213"/>
      <c r="G48" s="214"/>
      <c r="H48" s="215"/>
      <c r="I48" s="217"/>
      <c r="J48" s="217"/>
      <c r="K48" s="213"/>
      <c r="L48" s="215"/>
      <c r="M48" s="215"/>
      <c r="N48" s="217"/>
      <c r="O48" s="217"/>
      <c r="P48" s="213"/>
      <c r="Q48" s="215"/>
      <c r="R48" s="215"/>
      <c r="S48" s="217"/>
      <c r="T48" s="217"/>
      <c r="U48" s="213"/>
      <c r="V48" s="215"/>
      <c r="W48" s="215"/>
      <c r="X48" s="217"/>
      <c r="Y48" s="217"/>
      <c r="Z48" s="213"/>
      <c r="AA48" s="215"/>
      <c r="AB48" s="215"/>
      <c r="AC48" s="217"/>
      <c r="AD48" s="217"/>
      <c r="AE48" s="213"/>
      <c r="AF48" s="215"/>
      <c r="AG48" s="215"/>
      <c r="AH48" s="217"/>
      <c r="AI48" s="217"/>
      <c r="AJ48" s="213"/>
    </row>
    <row r="49" spans="1:36" ht="33.75" customHeight="1">
      <c r="A49" s="213"/>
      <c r="B49" s="214">
        <f ca="1">IFERROR(__xludf.DUMMYFUNCTION("""COMPUTED_VALUE"""),758620)</f>
        <v>758620</v>
      </c>
      <c r="C49" s="215" t="str">
        <f ca="1">IFERROR(__xludf.DUMMYFUNCTION("""COMPUTED_VALUE"""),"Intermediate")</f>
        <v>Intermediate</v>
      </c>
      <c r="D49" s="216" t="str">
        <f ca="1">IFERROR(__xludf.DUMMYFUNCTION("""COMPUTED_VALUE"""),"Persuasive Coaching")</f>
        <v>Persuasive Coaching</v>
      </c>
      <c r="E49" s="217"/>
      <c r="F49" s="213"/>
      <c r="G49" s="214"/>
      <c r="H49" s="215"/>
      <c r="I49" s="217"/>
      <c r="J49" s="217"/>
      <c r="K49" s="213"/>
      <c r="L49" s="215"/>
      <c r="M49" s="215"/>
      <c r="N49" s="217"/>
      <c r="O49" s="217"/>
      <c r="P49" s="213"/>
      <c r="Q49" s="215"/>
      <c r="R49" s="215"/>
      <c r="S49" s="217"/>
      <c r="T49" s="217"/>
      <c r="U49" s="213"/>
      <c r="V49" s="215"/>
      <c r="W49" s="215"/>
      <c r="X49" s="217"/>
      <c r="Y49" s="217"/>
      <c r="Z49" s="213"/>
      <c r="AA49" s="215"/>
      <c r="AB49" s="215"/>
      <c r="AC49" s="217"/>
      <c r="AD49" s="217"/>
      <c r="AE49" s="213"/>
      <c r="AF49" s="215"/>
      <c r="AG49" s="215"/>
      <c r="AH49" s="217"/>
      <c r="AI49" s="217"/>
      <c r="AJ49" s="213"/>
    </row>
    <row r="50" spans="1:36" ht="33.75" customHeight="1">
      <c r="A50" s="213"/>
      <c r="B50" s="214">
        <f ca="1">IFERROR(__xludf.DUMMYFUNCTION("""COMPUTED_VALUE"""),711794)</f>
        <v>711794</v>
      </c>
      <c r="C50" s="215" t="str">
        <f ca="1">IFERROR(__xludf.DUMMYFUNCTION("""COMPUTED_VALUE"""),"Intermediate")</f>
        <v>Intermediate</v>
      </c>
      <c r="D50" s="216" t="str">
        <f ca="1">IFERROR(__xludf.DUMMYFUNCTION("""COMPUTED_VALUE"""),"Connecting with Executives")</f>
        <v>Connecting with Executives</v>
      </c>
      <c r="E50" s="217"/>
      <c r="F50" s="213"/>
      <c r="G50" s="214"/>
      <c r="H50" s="215"/>
      <c r="I50" s="217"/>
      <c r="J50" s="217"/>
      <c r="K50" s="213"/>
      <c r="L50" s="215"/>
      <c r="M50" s="215"/>
      <c r="N50" s="217"/>
      <c r="O50" s="217"/>
      <c r="P50" s="213"/>
      <c r="Q50" s="215"/>
      <c r="R50" s="215"/>
      <c r="S50" s="217"/>
      <c r="T50" s="217"/>
      <c r="U50" s="213"/>
      <c r="V50" s="215"/>
      <c r="W50" s="215"/>
      <c r="X50" s="217"/>
      <c r="Y50" s="217"/>
      <c r="Z50" s="213"/>
      <c r="AA50" s="215"/>
      <c r="AB50" s="215"/>
      <c r="AC50" s="217"/>
      <c r="AD50" s="217"/>
      <c r="AE50" s="213"/>
      <c r="AF50" s="215"/>
      <c r="AG50" s="215"/>
      <c r="AH50" s="217"/>
      <c r="AI50" s="217"/>
      <c r="AJ50" s="213"/>
    </row>
    <row r="51" spans="1:36" ht="33.75" customHeight="1">
      <c r="A51" s="213"/>
      <c r="B51" s="214">
        <f ca="1">IFERROR(__xludf.DUMMYFUNCTION("""COMPUTED_VALUE"""),2887215)</f>
        <v>2887215</v>
      </c>
      <c r="C51" s="215" t="str">
        <f ca="1">IFERROR(__xludf.DUMMYFUNCTION("""COMPUTED_VALUE"""),"Intermediate")</f>
        <v>Intermediate</v>
      </c>
      <c r="D51" s="216" t="str">
        <f ca="1">IFERROR(__xludf.DUMMYFUNCTION("""COMPUTED_VALUE"""),"Sales Leadership: Building a Thriving Coaching Culture")</f>
        <v>Sales Leadership: Building a Thriving Coaching Culture</v>
      </c>
      <c r="E51" s="217"/>
      <c r="F51" s="213"/>
      <c r="G51" s="214"/>
      <c r="H51" s="215"/>
      <c r="I51" s="217"/>
      <c r="J51" s="217"/>
      <c r="K51" s="213"/>
      <c r="L51" s="215"/>
      <c r="M51" s="215"/>
      <c r="N51" s="217"/>
      <c r="O51" s="217"/>
      <c r="P51" s="213"/>
      <c r="Q51" s="215"/>
      <c r="R51" s="215"/>
      <c r="S51" s="217"/>
      <c r="T51" s="217"/>
      <c r="U51" s="213"/>
      <c r="V51" s="215"/>
      <c r="W51" s="215"/>
      <c r="X51" s="217"/>
      <c r="Y51" s="217"/>
      <c r="Z51" s="213"/>
      <c r="AA51" s="215"/>
      <c r="AB51" s="215"/>
      <c r="AC51" s="217"/>
      <c r="AD51" s="217"/>
      <c r="AE51" s="213"/>
      <c r="AF51" s="215"/>
      <c r="AG51" s="215"/>
      <c r="AH51" s="217"/>
      <c r="AI51" s="217"/>
      <c r="AJ51" s="213"/>
    </row>
    <row r="52" spans="1:36" ht="33.75" customHeight="1">
      <c r="A52" s="213"/>
      <c r="B52" s="214">
        <f ca="1">IFERROR(__xludf.DUMMYFUNCTION("""COMPUTED_VALUE"""),2825160)</f>
        <v>2825160</v>
      </c>
      <c r="C52" s="215" t="str">
        <f ca="1">IFERROR(__xludf.DUMMYFUNCTION("""COMPUTED_VALUE"""),"Beginner")</f>
        <v>Beginner</v>
      </c>
      <c r="D52" s="216" t="str">
        <f ca="1">IFERROR(__xludf.DUMMYFUNCTION("""COMPUTED_VALUE"""),"Make the Move from Individual Contributor to Manager")</f>
        <v>Make the Move from Individual Contributor to Manager</v>
      </c>
      <c r="E52" s="217"/>
      <c r="F52" s="213"/>
      <c r="G52" s="214"/>
      <c r="H52" s="215"/>
      <c r="I52" s="217"/>
      <c r="J52" s="217"/>
      <c r="K52" s="213"/>
      <c r="L52" s="215"/>
      <c r="M52" s="215"/>
      <c r="N52" s="217"/>
      <c r="O52" s="217"/>
      <c r="P52" s="213"/>
      <c r="Q52" s="215"/>
      <c r="R52" s="215"/>
      <c r="S52" s="217"/>
      <c r="T52" s="217"/>
      <c r="U52" s="213"/>
      <c r="V52" s="215"/>
      <c r="W52" s="215"/>
      <c r="X52" s="217"/>
      <c r="Y52" s="217"/>
      <c r="Z52" s="213"/>
      <c r="AA52" s="215"/>
      <c r="AB52" s="215"/>
      <c r="AC52" s="217"/>
      <c r="AD52" s="217"/>
      <c r="AE52" s="213"/>
      <c r="AF52" s="215"/>
      <c r="AG52" s="215"/>
      <c r="AH52" s="217"/>
      <c r="AI52" s="217"/>
      <c r="AJ52" s="213"/>
    </row>
    <row r="53" spans="1:36" ht="33.75" customHeight="1">
      <c r="A53" s="213"/>
      <c r="B53" s="214">
        <f ca="1">IFERROR(__xludf.DUMMYFUNCTION("""COMPUTED_VALUE"""),2880061)</f>
        <v>2880061</v>
      </c>
      <c r="C53" s="215" t="str">
        <f ca="1">IFERROR(__xludf.DUMMYFUNCTION("""COMPUTED_VALUE"""),"Intermediate")</f>
        <v>Intermediate</v>
      </c>
      <c r="D53" s="216" t="str">
        <f ca="1">IFERROR(__xludf.DUMMYFUNCTION("""COMPUTED_VALUE"""),"Become a Better Coach for Your Team")</f>
        <v>Become a Better Coach for Your Team</v>
      </c>
      <c r="E53" s="217"/>
      <c r="F53" s="213"/>
      <c r="G53" s="214"/>
      <c r="H53" s="215"/>
      <c r="I53" s="217"/>
      <c r="J53" s="217"/>
      <c r="K53" s="213"/>
      <c r="L53" s="215"/>
      <c r="M53" s="215"/>
      <c r="N53" s="217"/>
      <c r="O53" s="217"/>
      <c r="P53" s="213"/>
      <c r="Q53" s="215"/>
      <c r="R53" s="215"/>
      <c r="S53" s="217"/>
      <c r="T53" s="217"/>
      <c r="U53" s="213"/>
      <c r="V53" s="215"/>
      <c r="W53" s="215"/>
      <c r="X53" s="217"/>
      <c r="Y53" s="217"/>
      <c r="Z53" s="213"/>
      <c r="AA53" s="215"/>
      <c r="AB53" s="215"/>
      <c r="AC53" s="217"/>
      <c r="AD53" s="217"/>
      <c r="AE53" s="213"/>
      <c r="AF53" s="215"/>
      <c r="AG53" s="215"/>
      <c r="AH53" s="217"/>
      <c r="AI53" s="217"/>
      <c r="AJ53" s="213"/>
    </row>
    <row r="54" spans="1:36" ht="33.75" customHeight="1">
      <c r="A54" s="213"/>
      <c r="B54" s="214">
        <f ca="1">IFERROR(__xludf.DUMMYFUNCTION("""COMPUTED_VALUE"""),2812133)</f>
        <v>2812133</v>
      </c>
      <c r="C54" s="215" t="str">
        <f ca="1">IFERROR(__xludf.DUMMYFUNCTION("""COMPUTED_VALUE"""),"Advanced")</f>
        <v>Advanced</v>
      </c>
      <c r="D54" s="216" t="str">
        <f ca="1">IFERROR(__xludf.DUMMYFUNCTION("""COMPUTED_VALUE"""),"Using Neuroscience for More Effective L&amp;D")</f>
        <v>Using Neuroscience for More Effective L&amp;D</v>
      </c>
      <c r="E54" s="217"/>
      <c r="F54" s="213"/>
      <c r="G54" s="214"/>
      <c r="H54" s="215"/>
      <c r="I54" s="217"/>
      <c r="J54" s="217"/>
      <c r="K54" s="213"/>
      <c r="L54" s="215"/>
      <c r="M54" s="215"/>
      <c r="N54" s="217"/>
      <c r="O54" s="217"/>
      <c r="P54" s="213"/>
      <c r="Q54" s="215"/>
      <c r="R54" s="215"/>
      <c r="S54" s="217"/>
      <c r="T54" s="217"/>
      <c r="U54" s="213"/>
      <c r="V54" s="215"/>
      <c r="W54" s="215"/>
      <c r="X54" s="217"/>
      <c r="Y54" s="217"/>
      <c r="Z54" s="213"/>
      <c r="AA54" s="215"/>
      <c r="AB54" s="215"/>
      <c r="AC54" s="217"/>
      <c r="AD54" s="217"/>
      <c r="AE54" s="213"/>
      <c r="AF54" s="215"/>
      <c r="AG54" s="215"/>
      <c r="AH54" s="217"/>
      <c r="AI54" s="217"/>
      <c r="AJ54" s="213"/>
    </row>
    <row r="55" spans="1:36" ht="33.75" customHeight="1">
      <c r="A55" s="213"/>
      <c r="B55" s="214">
        <f ca="1">IFERROR(__xludf.DUMMYFUNCTION("""COMPUTED_VALUE"""),2829005)</f>
        <v>2829005</v>
      </c>
      <c r="C55" s="215" t="str">
        <f ca="1">IFERROR(__xludf.DUMMYFUNCTION("""COMPUTED_VALUE"""),"Advanced")</f>
        <v>Advanced</v>
      </c>
      <c r="D55" s="216" t="str">
        <f ca="1">IFERROR(__xludf.DUMMYFUNCTION("""COMPUTED_VALUE"""),"Using Assessments to Hire Customer Service Reps")</f>
        <v>Using Assessments to Hire Customer Service Reps</v>
      </c>
      <c r="E55" s="217"/>
      <c r="F55" s="213"/>
      <c r="G55" s="214"/>
      <c r="H55" s="215"/>
      <c r="I55" s="217"/>
      <c r="J55" s="217"/>
      <c r="K55" s="213"/>
      <c r="L55" s="215"/>
      <c r="M55" s="215"/>
      <c r="N55" s="217"/>
      <c r="O55" s="217"/>
      <c r="P55" s="213"/>
      <c r="Q55" s="215"/>
      <c r="R55" s="215"/>
      <c r="S55" s="217"/>
      <c r="T55" s="217"/>
      <c r="U55" s="213"/>
      <c r="V55" s="215"/>
      <c r="W55" s="215"/>
      <c r="X55" s="217"/>
      <c r="Y55" s="217"/>
      <c r="Z55" s="213"/>
      <c r="AA55" s="215"/>
      <c r="AB55" s="215"/>
      <c r="AC55" s="217"/>
      <c r="AD55" s="217"/>
      <c r="AE55" s="213"/>
      <c r="AF55" s="215"/>
      <c r="AG55" s="215"/>
      <c r="AH55" s="217"/>
      <c r="AI55" s="217"/>
      <c r="AJ55" s="213"/>
    </row>
    <row r="56" spans="1:36" ht="33.75" customHeight="1">
      <c r="A56" s="213"/>
      <c r="B56" s="214">
        <f ca="1">IFERROR(__xludf.DUMMYFUNCTION("""COMPUTED_VALUE"""),2825747)</f>
        <v>2825747</v>
      </c>
      <c r="C56" s="215" t="str">
        <f ca="1">IFERROR(__xludf.DUMMYFUNCTION("""COMPUTED_VALUE"""),"Beginner")</f>
        <v>Beginner</v>
      </c>
      <c r="D56" s="216" t="str">
        <f ca="1">IFERROR(__xludf.DUMMYFUNCTION("""COMPUTED_VALUE"""),"Women Transforming Tech: Tips for Career Success")</f>
        <v>Women Transforming Tech: Tips for Career Success</v>
      </c>
      <c r="E56" s="217"/>
      <c r="F56" s="213"/>
      <c r="G56" s="214"/>
      <c r="H56" s="215"/>
      <c r="I56" s="217"/>
      <c r="J56" s="217"/>
      <c r="K56" s="213"/>
      <c r="L56" s="215"/>
      <c r="M56" s="215"/>
      <c r="N56" s="217"/>
      <c r="O56" s="217"/>
      <c r="P56" s="213"/>
      <c r="Q56" s="215"/>
      <c r="R56" s="215"/>
      <c r="S56" s="217"/>
      <c r="T56" s="217"/>
      <c r="U56" s="213"/>
      <c r="V56" s="215"/>
      <c r="W56" s="215"/>
      <c r="X56" s="217"/>
      <c r="Y56" s="217"/>
      <c r="Z56" s="213"/>
      <c r="AA56" s="215"/>
      <c r="AB56" s="215"/>
      <c r="AC56" s="217"/>
      <c r="AD56" s="217"/>
      <c r="AE56" s="213"/>
      <c r="AF56" s="215"/>
      <c r="AG56" s="215"/>
      <c r="AH56" s="217"/>
      <c r="AI56" s="217"/>
      <c r="AJ56" s="213"/>
    </row>
    <row r="57" spans="1:36" ht="33.75" customHeight="1">
      <c r="A57" s="213"/>
      <c r="B57" s="214">
        <f ca="1">IFERROR(__xludf.DUMMYFUNCTION("""COMPUTED_VALUE"""),721895)</f>
        <v>721895</v>
      </c>
      <c r="C57" s="215" t="str">
        <f ca="1">IFERROR(__xludf.DUMMYFUNCTION("""COMPUTED_VALUE"""),"Beginner")</f>
        <v>Beginner</v>
      </c>
      <c r="D57" s="216" t="str">
        <f ca="1">IFERROR(__xludf.DUMMYFUNCTION("""COMPUTED_VALUE"""),"Foundations of Corporate Training")</f>
        <v>Foundations of Corporate Training</v>
      </c>
      <c r="E57" s="217"/>
      <c r="F57" s="213"/>
      <c r="G57" s="214"/>
      <c r="H57" s="215"/>
      <c r="I57" s="217"/>
      <c r="J57" s="217"/>
      <c r="K57" s="213"/>
      <c r="L57" s="215"/>
      <c r="M57" s="215"/>
      <c r="N57" s="217"/>
      <c r="O57" s="217"/>
      <c r="P57" s="213"/>
      <c r="Q57" s="215"/>
      <c r="R57" s="215"/>
      <c r="S57" s="217"/>
      <c r="T57" s="217"/>
      <c r="U57" s="213"/>
      <c r="V57" s="215"/>
      <c r="W57" s="215"/>
      <c r="X57" s="217"/>
      <c r="Y57" s="217"/>
      <c r="Z57" s="213"/>
      <c r="AA57" s="215"/>
      <c r="AB57" s="215"/>
      <c r="AC57" s="217"/>
      <c r="AD57" s="217"/>
      <c r="AE57" s="213"/>
      <c r="AF57" s="215"/>
      <c r="AG57" s="215"/>
      <c r="AH57" s="217"/>
      <c r="AI57" s="217"/>
      <c r="AJ57" s="213"/>
    </row>
    <row r="58" spans="1:36" ht="33.75" customHeight="1">
      <c r="A58" s="213"/>
      <c r="B58" s="214">
        <f ca="1">IFERROR(__xludf.DUMMYFUNCTION("""COMPUTED_VALUE"""),2805907)</f>
        <v>2805907</v>
      </c>
      <c r="C58" s="215" t="str">
        <f ca="1">IFERROR(__xludf.DUMMYFUNCTION("""COMPUTED_VALUE"""),"Beginner")</f>
        <v>Beginner</v>
      </c>
      <c r="D58" s="216" t="str">
        <f ca="1">IFERROR(__xludf.DUMMYFUNCTION("""COMPUTED_VALUE"""),"Women Transforming Tech: Finding Sponsors")</f>
        <v>Women Transforming Tech: Finding Sponsors</v>
      </c>
      <c r="E58" s="217"/>
      <c r="F58" s="213"/>
      <c r="G58" s="214"/>
      <c r="H58" s="215"/>
      <c r="I58" s="217"/>
      <c r="J58" s="217"/>
      <c r="K58" s="213"/>
      <c r="L58" s="215"/>
      <c r="M58" s="215"/>
      <c r="N58" s="217"/>
      <c r="O58" s="217"/>
      <c r="P58" s="213"/>
      <c r="Q58" s="215"/>
      <c r="R58" s="215"/>
      <c r="S58" s="217"/>
      <c r="T58" s="217"/>
      <c r="U58" s="213"/>
      <c r="V58" s="215"/>
      <c r="W58" s="215"/>
      <c r="X58" s="217"/>
      <c r="Y58" s="217"/>
      <c r="Z58" s="213"/>
      <c r="AA58" s="215"/>
      <c r="AB58" s="215"/>
      <c r="AC58" s="217"/>
      <c r="AD58" s="217"/>
      <c r="AE58" s="213"/>
      <c r="AF58" s="215"/>
      <c r="AG58" s="215"/>
      <c r="AH58" s="217"/>
      <c r="AI58" s="217"/>
      <c r="AJ58" s="213"/>
    </row>
    <row r="59" spans="1:36" ht="33.75" customHeight="1">
      <c r="A59" s="213"/>
      <c r="B59" s="214">
        <f ca="1">IFERROR(__xludf.DUMMYFUNCTION("""COMPUTED_VALUE"""),2807858)</f>
        <v>2807858</v>
      </c>
      <c r="C59" s="215" t="str">
        <f ca="1">IFERROR(__xludf.DUMMYFUNCTION("""COMPUTED_VALUE"""),"Beginner")</f>
        <v>Beginner</v>
      </c>
      <c r="D59" s="216" t="str">
        <f ca="1">IFERROR(__xludf.DUMMYFUNCTION("""COMPUTED_VALUE"""),"Women Transforming Tech: Getting Strategic with Your Career")</f>
        <v>Women Transforming Tech: Getting Strategic with Your Career</v>
      </c>
      <c r="E59" s="217"/>
      <c r="F59" s="213"/>
      <c r="G59" s="214"/>
      <c r="H59" s="215"/>
      <c r="I59" s="217"/>
      <c r="J59" s="217"/>
      <c r="K59" s="213"/>
      <c r="L59" s="215"/>
      <c r="M59" s="215"/>
      <c r="N59" s="217"/>
      <c r="O59" s="217"/>
      <c r="P59" s="213"/>
      <c r="Q59" s="215"/>
      <c r="R59" s="215"/>
      <c r="S59" s="217"/>
      <c r="T59" s="217"/>
      <c r="U59" s="213"/>
      <c r="V59" s="215"/>
      <c r="W59" s="215"/>
      <c r="X59" s="217"/>
      <c r="Y59" s="217"/>
      <c r="Z59" s="213"/>
      <c r="AA59" s="215"/>
      <c r="AB59" s="215"/>
      <c r="AC59" s="217"/>
      <c r="AD59" s="217"/>
      <c r="AE59" s="213"/>
      <c r="AF59" s="215"/>
      <c r="AG59" s="215"/>
      <c r="AH59" s="217"/>
      <c r="AI59" s="217"/>
      <c r="AJ59" s="213"/>
    </row>
    <row r="60" spans="1:36" ht="33.75" customHeight="1">
      <c r="A60" s="213"/>
      <c r="B60" s="214">
        <f ca="1">IFERROR(__xludf.DUMMYFUNCTION("""COMPUTED_VALUE"""),3011646)</f>
        <v>3011646</v>
      </c>
      <c r="C60" s="215" t="str">
        <f ca="1">IFERROR(__xludf.DUMMYFUNCTION("""COMPUTED_VALUE"""),"Beginner")</f>
        <v>Beginner</v>
      </c>
      <c r="D60" s="216" t="str">
        <f ca="1">IFERROR(__xludf.DUMMYFUNCTION("""COMPUTED_VALUE"""),"Effective Sponsorship Across Difference (for Protégés)")</f>
        <v>Effective Sponsorship Across Difference (for Protégés)</v>
      </c>
      <c r="E60" s="217"/>
      <c r="F60" s="213"/>
      <c r="G60" s="214"/>
      <c r="H60" s="215"/>
      <c r="I60" s="217"/>
      <c r="J60" s="217"/>
      <c r="K60" s="213"/>
      <c r="L60" s="215"/>
      <c r="M60" s="215"/>
      <c r="N60" s="217"/>
      <c r="O60" s="217"/>
      <c r="P60" s="213"/>
      <c r="Q60" s="215"/>
      <c r="R60" s="215"/>
      <c r="S60" s="217"/>
      <c r="T60" s="217"/>
      <c r="U60" s="213"/>
      <c r="V60" s="215"/>
      <c r="W60" s="215"/>
      <c r="X60" s="217"/>
      <c r="Y60" s="217"/>
      <c r="Z60" s="213"/>
      <c r="AA60" s="215"/>
      <c r="AB60" s="215"/>
      <c r="AC60" s="217"/>
      <c r="AD60" s="217"/>
      <c r="AE60" s="213"/>
      <c r="AF60" s="215"/>
      <c r="AG60" s="215"/>
      <c r="AH60" s="217"/>
      <c r="AI60" s="217"/>
      <c r="AJ60" s="213"/>
    </row>
    <row r="61" spans="1:36" ht="33.75" customHeight="1">
      <c r="A61" s="213"/>
      <c r="B61" s="214">
        <f ca="1">IFERROR(__xludf.DUMMYFUNCTION("""COMPUTED_VALUE"""),2822308)</f>
        <v>2822308</v>
      </c>
      <c r="C61" s="215" t="str">
        <f ca="1">IFERROR(__xludf.DUMMYFUNCTION("""COMPUTED_VALUE"""),"Beginner + Intermediate")</f>
        <v>Beginner + Intermediate</v>
      </c>
      <c r="D61" s="216" t="str">
        <f ca="1">IFERROR(__xludf.DUMMYFUNCTION("""COMPUTED_VALUE"""),"The Secrets to Success at Work")</f>
        <v>The Secrets to Success at Work</v>
      </c>
      <c r="E61" s="217"/>
      <c r="F61" s="213"/>
      <c r="G61" s="214"/>
      <c r="H61" s="215"/>
      <c r="I61" s="217"/>
      <c r="J61" s="217"/>
      <c r="K61" s="213"/>
      <c r="L61" s="215"/>
      <c r="M61" s="215"/>
      <c r="N61" s="217"/>
      <c r="O61" s="217"/>
      <c r="P61" s="213"/>
      <c r="Q61" s="215"/>
      <c r="R61" s="215"/>
      <c r="S61" s="217"/>
      <c r="T61" s="217"/>
      <c r="U61" s="213"/>
      <c r="V61" s="215"/>
      <c r="W61" s="215"/>
      <c r="X61" s="217"/>
      <c r="Y61" s="217"/>
      <c r="Z61" s="213"/>
      <c r="AA61" s="215"/>
      <c r="AB61" s="215"/>
      <c r="AC61" s="217"/>
      <c r="AD61" s="217"/>
      <c r="AE61" s="213"/>
      <c r="AF61" s="215"/>
      <c r="AG61" s="215"/>
      <c r="AH61" s="217"/>
      <c r="AI61" s="217"/>
      <c r="AJ61" s="213"/>
    </row>
    <row r="62" spans="1:36" ht="33.75" customHeight="1">
      <c r="A62" s="213"/>
      <c r="B62" s="214">
        <f ca="1">IFERROR(__xludf.DUMMYFUNCTION("""COMPUTED_VALUE"""),2825489)</f>
        <v>2825489</v>
      </c>
      <c r="C62" s="215" t="str">
        <f ca="1">IFERROR(__xludf.DUMMYFUNCTION("""COMPUTED_VALUE"""),"Beginner + Intermediate")</f>
        <v>Beginner + Intermediate</v>
      </c>
      <c r="D62" s="216" t="str">
        <f ca="1">IFERROR(__xludf.DUMMYFUNCTION("""COMPUTED_VALUE"""),"Recognizing and Rewarding Your Workers")</f>
        <v>Recognizing and Rewarding Your Workers</v>
      </c>
      <c r="E62" s="217"/>
      <c r="F62" s="213"/>
      <c r="G62" s="214"/>
      <c r="H62" s="215"/>
      <c r="I62" s="217"/>
      <c r="J62" s="217"/>
      <c r="K62" s="213"/>
      <c r="L62" s="215"/>
      <c r="M62" s="215"/>
      <c r="N62" s="217"/>
      <c r="O62" s="217"/>
      <c r="P62" s="213"/>
      <c r="Q62" s="215"/>
      <c r="R62" s="215"/>
      <c r="S62" s="217"/>
      <c r="T62" s="217"/>
      <c r="U62" s="213"/>
      <c r="V62" s="215"/>
      <c r="W62" s="215"/>
      <c r="X62" s="217"/>
      <c r="Y62" s="217"/>
      <c r="Z62" s="213"/>
      <c r="AA62" s="215"/>
      <c r="AB62" s="215"/>
      <c r="AC62" s="217"/>
      <c r="AD62" s="217"/>
      <c r="AE62" s="213"/>
      <c r="AF62" s="215"/>
      <c r="AG62" s="215"/>
      <c r="AH62" s="217"/>
      <c r="AI62" s="217"/>
      <c r="AJ62" s="213"/>
    </row>
    <row r="63" spans="1:36" ht="33.75" customHeight="1">
      <c r="A63" s="213"/>
      <c r="B63" s="214">
        <f ca="1">IFERROR(__xludf.DUMMYFUNCTION("""COMPUTED_VALUE"""),2825600)</f>
        <v>2825600</v>
      </c>
      <c r="C63" s="215" t="str">
        <f ca="1">IFERROR(__xludf.DUMMYFUNCTION("""COMPUTED_VALUE"""),"Beginner + Intermediate")</f>
        <v>Beginner + Intermediate</v>
      </c>
      <c r="D63" s="216" t="str">
        <f ca="1">IFERROR(__xludf.DUMMYFUNCTION("""COMPUTED_VALUE"""),"Increase Visibility to Advance Your Career")</f>
        <v>Increase Visibility to Advance Your Career</v>
      </c>
      <c r="E63" s="217"/>
      <c r="F63" s="213"/>
      <c r="G63" s="214"/>
      <c r="H63" s="215"/>
      <c r="I63" s="217"/>
      <c r="J63" s="217"/>
      <c r="K63" s="213"/>
      <c r="L63" s="215"/>
      <c r="M63" s="215"/>
      <c r="N63" s="217"/>
      <c r="O63" s="217"/>
      <c r="P63" s="213"/>
      <c r="Q63" s="215"/>
      <c r="R63" s="215"/>
      <c r="S63" s="217"/>
      <c r="T63" s="217"/>
      <c r="U63" s="213"/>
      <c r="V63" s="215"/>
      <c r="W63" s="215"/>
      <c r="X63" s="217"/>
      <c r="Y63" s="217"/>
      <c r="Z63" s="213"/>
      <c r="AA63" s="215"/>
      <c r="AB63" s="215"/>
      <c r="AC63" s="217"/>
      <c r="AD63" s="217"/>
      <c r="AE63" s="213"/>
      <c r="AF63" s="215"/>
      <c r="AG63" s="215"/>
      <c r="AH63" s="217"/>
      <c r="AI63" s="217"/>
      <c r="AJ63" s="213"/>
    </row>
    <row r="64" spans="1:36" ht="33.75" customHeight="1">
      <c r="A64" s="213"/>
      <c r="B64" s="214">
        <f ca="1">IFERROR(__xludf.DUMMYFUNCTION("""COMPUTED_VALUE"""),622053)</f>
        <v>622053</v>
      </c>
      <c r="C64" s="215" t="str">
        <f ca="1">IFERROR(__xludf.DUMMYFUNCTION("""COMPUTED_VALUE"""),"Beginner + Intermediate")</f>
        <v>Beginner + Intermediate</v>
      </c>
      <c r="D64" s="216" t="str">
        <f ca="1">IFERROR(__xludf.DUMMYFUNCTION("""COMPUTED_VALUE"""),"Giving and Receiving Feedback")</f>
        <v>Giving and Receiving Feedback</v>
      </c>
      <c r="E64" s="217"/>
      <c r="F64" s="213"/>
      <c r="G64" s="214"/>
      <c r="H64" s="215"/>
      <c r="I64" s="217"/>
      <c r="J64" s="217"/>
      <c r="K64" s="213"/>
      <c r="L64" s="215"/>
      <c r="M64" s="215"/>
      <c r="N64" s="217"/>
      <c r="O64" s="217"/>
      <c r="P64" s="213"/>
      <c r="Q64" s="215"/>
      <c r="R64" s="215"/>
      <c r="S64" s="217"/>
      <c r="T64" s="217"/>
      <c r="U64" s="213"/>
      <c r="V64" s="215"/>
      <c r="W64" s="215"/>
      <c r="X64" s="217"/>
      <c r="Y64" s="217"/>
      <c r="Z64" s="213"/>
      <c r="AA64" s="215"/>
      <c r="AB64" s="215"/>
      <c r="AC64" s="217"/>
      <c r="AD64" s="217"/>
      <c r="AE64" s="213"/>
      <c r="AF64" s="215"/>
      <c r="AG64" s="215"/>
      <c r="AH64" s="217"/>
      <c r="AI64" s="217"/>
      <c r="AJ64" s="213"/>
    </row>
    <row r="65" spans="1:36" ht="33.75" customHeight="1">
      <c r="A65" s="213"/>
      <c r="B65" s="214">
        <f ca="1">IFERROR(__xludf.DUMMYFUNCTION("""COMPUTED_VALUE"""),2824254)</f>
        <v>2824254</v>
      </c>
      <c r="C65" s="215" t="str">
        <f ca="1">IFERROR(__xludf.DUMMYFUNCTION("""COMPUTED_VALUE"""),"Beginner + Intermediate")</f>
        <v>Beginner + Intermediate</v>
      </c>
      <c r="D65" s="216" t="str">
        <f ca="1">IFERROR(__xludf.DUMMYFUNCTION("""COMPUTED_VALUE"""),"How to Be a Good Mentee and Mentor")</f>
        <v>How to Be a Good Mentee and Mentor</v>
      </c>
      <c r="E65" s="217"/>
      <c r="F65" s="213"/>
      <c r="G65" s="214"/>
      <c r="H65" s="215"/>
      <c r="I65" s="217"/>
      <c r="J65" s="217"/>
      <c r="K65" s="213"/>
      <c r="L65" s="215"/>
      <c r="M65" s="215"/>
      <c r="N65" s="217"/>
      <c r="O65" s="217"/>
      <c r="P65" s="213"/>
      <c r="Q65" s="215"/>
      <c r="R65" s="215"/>
      <c r="S65" s="217"/>
      <c r="T65" s="217"/>
      <c r="U65" s="213"/>
      <c r="V65" s="215"/>
      <c r="W65" s="215"/>
      <c r="X65" s="217"/>
      <c r="Y65" s="217"/>
      <c r="Z65" s="213"/>
      <c r="AA65" s="215"/>
      <c r="AB65" s="215"/>
      <c r="AC65" s="217"/>
      <c r="AD65" s="217"/>
      <c r="AE65" s="213"/>
      <c r="AF65" s="215"/>
      <c r="AG65" s="215"/>
      <c r="AH65" s="217"/>
      <c r="AI65" s="217"/>
      <c r="AJ65" s="213"/>
    </row>
    <row r="66" spans="1:36" ht="33.75" customHeight="1">
      <c r="A66" s="213"/>
      <c r="B66" s="214">
        <f ca="1">IFERROR(__xludf.DUMMYFUNCTION("""COMPUTED_VALUE"""),647657)</f>
        <v>647657</v>
      </c>
      <c r="C66" s="215" t="str">
        <f ca="1">IFERROR(__xludf.DUMMYFUNCTION("""COMPUTED_VALUE"""),"General")</f>
        <v>General</v>
      </c>
      <c r="D66" s="216" t="str">
        <f ca="1">IFERROR(__xludf.DUMMYFUNCTION("""COMPUTED_VALUE"""),"Boosting Your Team's Productivity")</f>
        <v>Boosting Your Team's Productivity</v>
      </c>
      <c r="E66" s="217"/>
      <c r="F66" s="213"/>
      <c r="G66" s="214"/>
      <c r="H66" s="215"/>
      <c r="I66" s="217"/>
      <c r="J66" s="217"/>
      <c r="K66" s="213"/>
      <c r="L66" s="215"/>
      <c r="M66" s="215"/>
      <c r="N66" s="217"/>
      <c r="O66" s="217"/>
      <c r="P66" s="213"/>
      <c r="Q66" s="215"/>
      <c r="R66" s="215"/>
      <c r="S66" s="217"/>
      <c r="T66" s="217"/>
      <c r="U66" s="213"/>
      <c r="V66" s="215"/>
      <c r="W66" s="215"/>
      <c r="X66" s="217"/>
      <c r="Y66" s="217"/>
      <c r="Z66" s="213"/>
      <c r="AA66" s="215"/>
      <c r="AB66" s="215"/>
      <c r="AC66" s="217"/>
      <c r="AD66" s="217"/>
      <c r="AE66" s="213"/>
      <c r="AF66" s="215"/>
      <c r="AG66" s="215"/>
      <c r="AH66" s="217"/>
      <c r="AI66" s="217"/>
      <c r="AJ66" s="213"/>
    </row>
    <row r="67" spans="1:36" ht="33.75" customHeight="1">
      <c r="A67" s="213"/>
      <c r="B67" s="214">
        <f ca="1">IFERROR(__xludf.DUMMYFUNCTION("""COMPUTED_VALUE"""),656791)</f>
        <v>656791</v>
      </c>
      <c r="C67" s="215" t="str">
        <f ca="1">IFERROR(__xludf.DUMMYFUNCTION("""COMPUTED_VALUE"""),"General")</f>
        <v>General</v>
      </c>
      <c r="D67" s="216" t="str">
        <f ca="1">IFERROR(__xludf.DUMMYFUNCTION("""COMPUTED_VALUE"""),"Executive Coaching")</f>
        <v>Executive Coaching</v>
      </c>
      <c r="E67" s="217"/>
      <c r="F67" s="213"/>
      <c r="G67" s="214"/>
      <c r="H67" s="215"/>
      <c r="I67" s="217"/>
      <c r="J67" s="217"/>
      <c r="K67" s="213"/>
      <c r="L67" s="215"/>
      <c r="M67" s="215"/>
      <c r="N67" s="217"/>
      <c r="O67" s="217"/>
      <c r="P67" s="213"/>
      <c r="Q67" s="215"/>
      <c r="R67" s="215"/>
      <c r="S67" s="217"/>
      <c r="T67" s="217"/>
      <c r="U67" s="213"/>
      <c r="V67" s="215"/>
      <c r="W67" s="215"/>
      <c r="X67" s="217"/>
      <c r="Y67" s="217"/>
      <c r="Z67" s="213"/>
      <c r="AA67" s="215"/>
      <c r="AB67" s="215"/>
      <c r="AC67" s="217"/>
      <c r="AD67" s="217"/>
      <c r="AE67" s="213"/>
      <c r="AF67" s="215"/>
      <c r="AG67" s="215"/>
      <c r="AH67" s="217"/>
      <c r="AI67" s="217"/>
      <c r="AJ67" s="213"/>
    </row>
    <row r="68" spans="1:36" ht="33.75" customHeight="1">
      <c r="A68" s="213"/>
      <c r="B68" s="214">
        <f ca="1">IFERROR(__xludf.DUMMYFUNCTION("""COMPUTED_VALUE"""),2819211)</f>
        <v>2819211</v>
      </c>
      <c r="C68" s="215" t="str">
        <f ca="1">IFERROR(__xludf.DUMMYFUNCTION("""COMPUTED_VALUE"""),"General")</f>
        <v>General</v>
      </c>
      <c r="D68" s="216" t="str">
        <f ca="1">IFERROR(__xludf.DUMMYFUNCTION("""COMPUTED_VALUE"""),"All You Have to Do Is Ask: How to Ask for Help When You Need It")</f>
        <v>All You Have to Do Is Ask: How to Ask for Help When You Need It</v>
      </c>
      <c r="E68" s="217"/>
      <c r="F68" s="213"/>
      <c r="G68" s="214"/>
      <c r="H68" s="215"/>
      <c r="I68" s="217"/>
      <c r="J68" s="217"/>
      <c r="K68" s="213"/>
      <c r="L68" s="215"/>
      <c r="M68" s="215"/>
      <c r="N68" s="217"/>
      <c r="O68" s="217"/>
      <c r="P68" s="213"/>
      <c r="Q68" s="215"/>
      <c r="R68" s="215"/>
      <c r="S68" s="217"/>
      <c r="T68" s="217"/>
      <c r="U68" s="213"/>
      <c r="V68" s="215"/>
      <c r="W68" s="215"/>
      <c r="X68" s="217"/>
      <c r="Y68" s="217"/>
      <c r="Z68" s="213"/>
      <c r="AA68" s="215"/>
      <c r="AB68" s="215"/>
      <c r="AC68" s="217"/>
      <c r="AD68" s="217"/>
      <c r="AE68" s="213"/>
      <c r="AF68" s="215"/>
      <c r="AG68" s="215"/>
      <c r="AH68" s="217"/>
      <c r="AI68" s="217"/>
      <c r="AJ68" s="213"/>
    </row>
    <row r="69" spans="1:36" ht="33.75" customHeight="1">
      <c r="A69" s="213"/>
      <c r="B69" s="214">
        <f ca="1">IFERROR(__xludf.DUMMYFUNCTION("""COMPUTED_VALUE"""),2822163)</f>
        <v>2822163</v>
      </c>
      <c r="C69" s="215" t="str">
        <f ca="1">IFERROR(__xludf.DUMMYFUNCTION("""COMPUTED_VALUE"""),"General")</f>
        <v>General</v>
      </c>
      <c r="D69" s="216" t="str">
        <f ca="1">IFERROR(__xludf.DUMMYFUNCTION("""COMPUTED_VALUE"""),"How to Succeed in a Case Study Interview")</f>
        <v>How to Succeed in a Case Study Interview</v>
      </c>
      <c r="E69" s="217"/>
      <c r="F69" s="213"/>
      <c r="G69" s="214"/>
      <c r="H69" s="215"/>
      <c r="I69" s="217"/>
      <c r="J69" s="217"/>
      <c r="K69" s="213"/>
      <c r="L69" s="215"/>
      <c r="M69" s="215"/>
      <c r="N69" s="217"/>
      <c r="O69" s="217"/>
      <c r="P69" s="213"/>
      <c r="Q69" s="215"/>
      <c r="R69" s="215"/>
      <c r="S69" s="217"/>
      <c r="T69" s="217"/>
      <c r="U69" s="213"/>
      <c r="V69" s="215"/>
      <c r="W69" s="215"/>
      <c r="X69" s="217"/>
      <c r="Y69" s="217"/>
      <c r="Z69" s="213"/>
      <c r="AA69" s="215"/>
      <c r="AB69" s="215"/>
      <c r="AC69" s="217"/>
      <c r="AD69" s="217"/>
      <c r="AE69" s="213"/>
      <c r="AF69" s="215"/>
      <c r="AG69" s="215"/>
      <c r="AH69" s="217"/>
      <c r="AI69" s="217"/>
      <c r="AJ69" s="213"/>
    </row>
    <row r="70" spans="1:36" ht="33.75" customHeight="1">
      <c r="A70" s="213"/>
      <c r="B70" s="214">
        <f ca="1">IFERROR(__xludf.DUMMYFUNCTION("""COMPUTED_VALUE"""),2887218)</f>
        <v>2887218</v>
      </c>
      <c r="C70" s="215" t="str">
        <f ca="1">IFERROR(__xludf.DUMMYFUNCTION("""COMPUTED_VALUE"""),"General")</f>
        <v>General</v>
      </c>
      <c r="D70" s="216" t="str">
        <f ca="1">IFERROR(__xludf.DUMMYFUNCTION("""COMPUTED_VALUE"""),"One-Minute Habits for Success")</f>
        <v>One-Minute Habits for Success</v>
      </c>
      <c r="E70" s="217"/>
      <c r="F70" s="213"/>
      <c r="G70" s="214"/>
      <c r="H70" s="215"/>
      <c r="I70" s="217"/>
      <c r="J70" s="217"/>
      <c r="K70" s="213"/>
      <c r="L70" s="215"/>
      <c r="M70" s="215"/>
      <c r="N70" s="217"/>
      <c r="O70" s="217"/>
      <c r="P70" s="213"/>
      <c r="Q70" s="215"/>
      <c r="R70" s="215"/>
      <c r="S70" s="217"/>
      <c r="T70" s="217"/>
      <c r="U70" s="213"/>
      <c r="V70" s="215"/>
      <c r="W70" s="215"/>
      <c r="X70" s="217"/>
      <c r="Y70" s="217"/>
      <c r="Z70" s="213"/>
      <c r="AA70" s="215"/>
      <c r="AB70" s="215"/>
      <c r="AC70" s="217"/>
      <c r="AD70" s="217"/>
      <c r="AE70" s="213"/>
      <c r="AF70" s="215"/>
      <c r="AG70" s="215"/>
      <c r="AH70" s="217"/>
      <c r="AI70" s="217"/>
      <c r="AJ70" s="213"/>
    </row>
    <row r="71" spans="1:36" ht="33.75" customHeight="1">
      <c r="A71" s="213"/>
      <c r="B71" s="214">
        <f ca="1">IFERROR(__xludf.DUMMYFUNCTION("""COMPUTED_VALUE"""),2823559)</f>
        <v>2823559</v>
      </c>
      <c r="C71" s="215" t="str">
        <f ca="1">IFERROR(__xludf.DUMMYFUNCTION("""COMPUTED_VALUE"""),"Intermediate")</f>
        <v>Intermediate</v>
      </c>
      <c r="D71" s="216" t="str">
        <f ca="1">IFERROR(__xludf.DUMMYFUNCTION("""COMPUTED_VALUE"""),"The Future of Workplace Learning")</f>
        <v>The Future of Workplace Learning</v>
      </c>
      <c r="E71" s="217"/>
      <c r="F71" s="213"/>
      <c r="G71" s="214"/>
      <c r="H71" s="215"/>
      <c r="I71" s="217"/>
      <c r="J71" s="217"/>
      <c r="K71" s="213"/>
      <c r="L71" s="215"/>
      <c r="M71" s="215"/>
      <c r="N71" s="217"/>
      <c r="O71" s="217"/>
      <c r="P71" s="213"/>
      <c r="Q71" s="215"/>
      <c r="R71" s="215"/>
      <c r="S71" s="217"/>
      <c r="T71" s="217"/>
      <c r="U71" s="213"/>
      <c r="V71" s="215"/>
      <c r="W71" s="215"/>
      <c r="X71" s="217"/>
      <c r="Y71" s="217"/>
      <c r="Z71" s="213"/>
      <c r="AA71" s="215"/>
      <c r="AB71" s="215"/>
      <c r="AC71" s="217"/>
      <c r="AD71" s="217"/>
      <c r="AE71" s="213"/>
      <c r="AF71" s="215"/>
      <c r="AG71" s="215"/>
      <c r="AH71" s="217"/>
      <c r="AI71" s="217"/>
      <c r="AJ71" s="213"/>
    </row>
    <row r="72" spans="1:36" ht="33.75" customHeight="1">
      <c r="A72" s="213"/>
      <c r="B72" s="214">
        <f ca="1">IFERROR(__xludf.DUMMYFUNCTION("""COMPUTED_VALUE"""),718627)</f>
        <v>718627</v>
      </c>
      <c r="C72" s="215" t="str">
        <f ca="1">IFERROR(__xludf.DUMMYFUNCTION("""COMPUTED_VALUE"""),"Intermediate")</f>
        <v>Intermediate</v>
      </c>
      <c r="D72" s="216" t="str">
        <f ca="1">IFERROR(__xludf.DUMMYFUNCTION("""COMPUTED_VALUE"""),"Enhancing Team Innovation")</f>
        <v>Enhancing Team Innovation</v>
      </c>
      <c r="E72" s="217"/>
      <c r="F72" s="213"/>
      <c r="G72" s="214"/>
      <c r="H72" s="215"/>
      <c r="I72" s="217"/>
      <c r="J72" s="217"/>
      <c r="K72" s="213"/>
      <c r="L72" s="215"/>
      <c r="M72" s="215"/>
      <c r="N72" s="217"/>
      <c r="O72" s="217"/>
      <c r="P72" s="213"/>
      <c r="Q72" s="215"/>
      <c r="R72" s="215"/>
      <c r="S72" s="217"/>
      <c r="T72" s="217"/>
      <c r="U72" s="213"/>
      <c r="V72" s="215"/>
      <c r="W72" s="215"/>
      <c r="X72" s="217"/>
      <c r="Y72" s="217"/>
      <c r="Z72" s="213"/>
      <c r="AA72" s="215"/>
      <c r="AB72" s="215"/>
      <c r="AC72" s="217"/>
      <c r="AD72" s="217"/>
      <c r="AE72" s="213"/>
      <c r="AF72" s="215"/>
      <c r="AG72" s="215"/>
      <c r="AH72" s="217"/>
      <c r="AI72" s="217"/>
      <c r="AJ72" s="213"/>
    </row>
    <row r="73" spans="1:36" ht="33.75" customHeight="1">
      <c r="A73" s="213"/>
      <c r="B73" s="214">
        <f ca="1">IFERROR(__xludf.DUMMYFUNCTION("""COMPUTED_VALUE"""),808667)</f>
        <v>808667</v>
      </c>
      <c r="C73" s="215" t="str">
        <f ca="1">IFERROR(__xludf.DUMMYFUNCTION("""COMPUTED_VALUE"""),"Intermediate")</f>
        <v>Intermediate</v>
      </c>
      <c r="D73" s="216" t="str">
        <f ca="1">IFERROR(__xludf.DUMMYFUNCTION("""COMPUTED_VALUE"""),"Building a Coaching Culture: Improving Performance Through Timely Feedback")</f>
        <v>Building a Coaching Culture: Improving Performance Through Timely Feedback</v>
      </c>
      <c r="E73" s="217"/>
      <c r="F73" s="213"/>
      <c r="G73" s="214"/>
      <c r="H73" s="215"/>
      <c r="I73" s="217"/>
      <c r="J73" s="217"/>
      <c r="K73" s="213"/>
      <c r="L73" s="215"/>
      <c r="M73" s="215"/>
      <c r="N73" s="217"/>
      <c r="O73" s="217"/>
      <c r="P73" s="213"/>
      <c r="Q73" s="215"/>
      <c r="R73" s="215"/>
      <c r="S73" s="217"/>
      <c r="T73" s="217"/>
      <c r="U73" s="213"/>
      <c r="V73" s="215"/>
      <c r="W73" s="215"/>
      <c r="X73" s="217"/>
      <c r="Y73" s="217"/>
      <c r="Z73" s="213"/>
      <c r="AA73" s="215"/>
      <c r="AB73" s="215"/>
      <c r="AC73" s="217"/>
      <c r="AD73" s="217"/>
      <c r="AE73" s="213"/>
      <c r="AF73" s="215"/>
      <c r="AG73" s="215"/>
      <c r="AH73" s="217"/>
      <c r="AI73" s="217"/>
      <c r="AJ73" s="213"/>
    </row>
    <row r="74" spans="1:36" ht="33.75" customHeight="1">
      <c r="A74" s="213"/>
      <c r="B74" s="214">
        <f ca="1">IFERROR(__xludf.DUMMYFUNCTION("""COMPUTED_VALUE"""),2802467)</f>
        <v>2802467</v>
      </c>
      <c r="C74" s="215" t="str">
        <f ca="1">IFERROR(__xludf.DUMMYFUNCTION("""COMPUTED_VALUE"""),"Intermediate")</f>
        <v>Intermediate</v>
      </c>
      <c r="D74" s="216" t="str">
        <f ca="1">IFERROR(__xludf.DUMMYFUNCTION("""COMPUTED_VALUE"""),"A Toolkit for Giving and Receiving Better Feedback")</f>
        <v>A Toolkit for Giving and Receiving Better Feedback</v>
      </c>
      <c r="E74" s="217"/>
      <c r="F74" s="213"/>
      <c r="G74" s="214"/>
      <c r="H74" s="215"/>
      <c r="I74" s="217"/>
      <c r="J74" s="217"/>
      <c r="K74" s="213"/>
      <c r="L74" s="215"/>
      <c r="M74" s="215"/>
      <c r="N74" s="217"/>
      <c r="O74" s="217"/>
      <c r="P74" s="213"/>
      <c r="Q74" s="215"/>
      <c r="R74" s="215"/>
      <c r="S74" s="217"/>
      <c r="T74" s="217"/>
      <c r="U74" s="213"/>
      <c r="V74" s="215"/>
      <c r="W74" s="215"/>
      <c r="X74" s="217"/>
      <c r="Y74" s="217"/>
      <c r="Z74" s="213"/>
      <c r="AA74" s="215"/>
      <c r="AB74" s="215"/>
      <c r="AC74" s="217"/>
      <c r="AD74" s="217"/>
      <c r="AE74" s="213"/>
      <c r="AF74" s="215"/>
      <c r="AG74" s="215"/>
      <c r="AH74" s="217"/>
      <c r="AI74" s="217"/>
      <c r="AJ74" s="213"/>
    </row>
    <row r="75" spans="1:36" ht="33.75" customHeight="1">
      <c r="A75" s="213"/>
      <c r="B75" s="214"/>
      <c r="C75" s="215"/>
      <c r="D75" s="216"/>
      <c r="E75" s="217"/>
      <c r="F75" s="213"/>
      <c r="G75" s="214"/>
      <c r="H75" s="215"/>
      <c r="I75" s="217"/>
      <c r="J75" s="217"/>
      <c r="K75" s="213"/>
      <c r="L75" s="215"/>
      <c r="M75" s="215"/>
      <c r="N75" s="217"/>
      <c r="O75" s="217"/>
      <c r="P75" s="213"/>
      <c r="Q75" s="215"/>
      <c r="R75" s="215"/>
      <c r="S75" s="217"/>
      <c r="T75" s="217"/>
      <c r="U75" s="213"/>
      <c r="V75" s="215"/>
      <c r="W75" s="215"/>
      <c r="X75" s="217"/>
      <c r="Y75" s="217"/>
      <c r="Z75" s="213"/>
      <c r="AA75" s="215"/>
      <c r="AB75" s="215"/>
      <c r="AC75" s="217"/>
      <c r="AD75" s="217"/>
      <c r="AE75" s="213"/>
      <c r="AF75" s="215"/>
      <c r="AG75" s="215"/>
      <c r="AH75" s="217"/>
      <c r="AI75" s="217"/>
      <c r="AJ75" s="213"/>
    </row>
    <row r="76" spans="1:36" ht="33.75" customHeight="1">
      <c r="A76" s="213"/>
      <c r="B76" s="214"/>
      <c r="C76" s="215"/>
      <c r="D76" s="216"/>
      <c r="E76" s="217"/>
      <c r="F76" s="213"/>
      <c r="G76" s="214"/>
      <c r="H76" s="215"/>
      <c r="I76" s="217"/>
      <c r="J76" s="217"/>
      <c r="K76" s="213"/>
      <c r="L76" s="215"/>
      <c r="M76" s="215"/>
      <c r="N76" s="217"/>
      <c r="O76" s="217"/>
      <c r="P76" s="213"/>
      <c r="Q76" s="215"/>
      <c r="R76" s="215"/>
      <c r="S76" s="217"/>
      <c r="T76" s="217"/>
      <c r="U76" s="213"/>
      <c r="V76" s="215"/>
      <c r="W76" s="215"/>
      <c r="X76" s="217"/>
      <c r="Y76" s="217"/>
      <c r="Z76" s="213"/>
      <c r="AA76" s="215"/>
      <c r="AB76" s="215"/>
      <c r="AC76" s="217"/>
      <c r="AD76" s="217"/>
      <c r="AE76" s="213"/>
      <c r="AF76" s="215"/>
      <c r="AG76" s="215"/>
      <c r="AH76" s="217"/>
      <c r="AI76" s="217"/>
      <c r="AJ76" s="213"/>
    </row>
    <row r="77" spans="1:36" ht="33.75" customHeight="1">
      <c r="A77" s="213"/>
      <c r="B77" s="214"/>
      <c r="C77" s="215"/>
      <c r="D77" s="216"/>
      <c r="E77" s="217"/>
      <c r="F77" s="213"/>
      <c r="G77" s="214"/>
      <c r="H77" s="215"/>
      <c r="I77" s="217"/>
      <c r="J77" s="217"/>
      <c r="K77" s="213"/>
      <c r="L77" s="215"/>
      <c r="M77" s="215"/>
      <c r="N77" s="217"/>
      <c r="O77" s="217"/>
      <c r="P77" s="213"/>
      <c r="Q77" s="215"/>
      <c r="R77" s="215"/>
      <c r="S77" s="217"/>
      <c r="T77" s="217"/>
      <c r="U77" s="213"/>
      <c r="V77" s="215"/>
      <c r="W77" s="215"/>
      <c r="X77" s="217"/>
      <c r="Y77" s="217"/>
      <c r="Z77" s="213"/>
      <c r="AA77" s="215"/>
      <c r="AB77" s="215"/>
      <c r="AC77" s="217"/>
      <c r="AD77" s="217"/>
      <c r="AE77" s="213"/>
      <c r="AF77" s="215"/>
      <c r="AG77" s="215"/>
      <c r="AH77" s="217"/>
      <c r="AI77" s="217"/>
      <c r="AJ77" s="213"/>
    </row>
    <row r="78" spans="1:36" ht="33.75" customHeight="1">
      <c r="A78" s="213"/>
      <c r="B78" s="214"/>
      <c r="C78" s="215"/>
      <c r="D78" s="216"/>
      <c r="E78" s="217"/>
      <c r="F78" s="213"/>
      <c r="G78" s="214"/>
      <c r="H78" s="215"/>
      <c r="I78" s="217"/>
      <c r="J78" s="217"/>
      <c r="K78" s="213"/>
      <c r="L78" s="215"/>
      <c r="M78" s="215"/>
      <c r="N78" s="217"/>
      <c r="O78" s="217"/>
      <c r="P78" s="213"/>
      <c r="Q78" s="215"/>
      <c r="R78" s="215"/>
      <c r="S78" s="217"/>
      <c r="T78" s="217"/>
      <c r="U78" s="213"/>
      <c r="V78" s="215"/>
      <c r="W78" s="215"/>
      <c r="X78" s="217"/>
      <c r="Y78" s="217"/>
      <c r="Z78" s="213"/>
      <c r="AA78" s="215"/>
      <c r="AB78" s="215"/>
      <c r="AC78" s="217"/>
      <c r="AD78" s="217"/>
      <c r="AE78" s="213"/>
      <c r="AF78" s="215"/>
      <c r="AG78" s="215"/>
      <c r="AH78" s="217"/>
      <c r="AI78" s="217"/>
      <c r="AJ78" s="213"/>
    </row>
    <row r="79" spans="1:36" ht="33.75" customHeight="1">
      <c r="A79" s="213"/>
      <c r="B79" s="214"/>
      <c r="C79" s="215"/>
      <c r="D79" s="216"/>
      <c r="E79" s="217"/>
      <c r="F79" s="213"/>
      <c r="G79" s="214"/>
      <c r="H79" s="215"/>
      <c r="I79" s="217"/>
      <c r="J79" s="217"/>
      <c r="K79" s="213"/>
      <c r="L79" s="215"/>
      <c r="M79" s="215"/>
      <c r="N79" s="217"/>
      <c r="O79" s="217"/>
      <c r="P79" s="213"/>
      <c r="Q79" s="215"/>
      <c r="R79" s="215"/>
      <c r="S79" s="217"/>
      <c r="T79" s="217"/>
      <c r="U79" s="213"/>
      <c r="V79" s="215"/>
      <c r="W79" s="215"/>
      <c r="X79" s="217"/>
      <c r="Y79" s="217"/>
      <c r="Z79" s="213"/>
      <c r="AA79" s="215"/>
      <c r="AB79" s="215"/>
      <c r="AC79" s="217"/>
      <c r="AD79" s="217"/>
      <c r="AE79" s="213"/>
      <c r="AF79" s="215"/>
      <c r="AG79" s="215"/>
      <c r="AH79" s="217"/>
      <c r="AI79" s="217"/>
      <c r="AJ79" s="213"/>
    </row>
    <row r="80" spans="1:36" ht="33.75" customHeight="1">
      <c r="A80" s="213"/>
      <c r="B80" s="214"/>
      <c r="C80" s="215"/>
      <c r="D80" s="216"/>
      <c r="E80" s="217"/>
      <c r="F80" s="213"/>
      <c r="G80" s="214"/>
      <c r="H80" s="215"/>
      <c r="I80" s="217"/>
      <c r="J80" s="217"/>
      <c r="K80" s="213"/>
      <c r="L80" s="215"/>
      <c r="M80" s="215"/>
      <c r="N80" s="217"/>
      <c r="O80" s="217"/>
      <c r="P80" s="213"/>
      <c r="Q80" s="215"/>
      <c r="R80" s="215"/>
      <c r="S80" s="217"/>
      <c r="T80" s="217"/>
      <c r="U80" s="213"/>
      <c r="V80" s="215"/>
      <c r="W80" s="215"/>
      <c r="X80" s="217"/>
      <c r="Y80" s="217"/>
      <c r="Z80" s="213"/>
      <c r="AA80" s="215"/>
      <c r="AB80" s="215"/>
      <c r="AC80" s="217"/>
      <c r="AD80" s="217"/>
      <c r="AE80" s="213"/>
      <c r="AF80" s="215"/>
      <c r="AG80" s="215"/>
      <c r="AH80" s="217"/>
      <c r="AI80" s="217"/>
      <c r="AJ80" s="213"/>
    </row>
    <row r="81" spans="1:36" ht="33.75" customHeight="1">
      <c r="A81" s="213"/>
      <c r="B81" s="214"/>
      <c r="C81" s="215"/>
      <c r="D81" s="216"/>
      <c r="E81" s="217"/>
      <c r="F81" s="213"/>
      <c r="G81" s="214"/>
      <c r="H81" s="215"/>
      <c r="I81" s="217"/>
      <c r="J81" s="217"/>
      <c r="K81" s="213"/>
      <c r="L81" s="215"/>
      <c r="M81" s="215"/>
      <c r="N81" s="217"/>
      <c r="O81" s="217"/>
      <c r="P81" s="213"/>
      <c r="Q81" s="215"/>
      <c r="R81" s="215"/>
      <c r="S81" s="217"/>
      <c r="T81" s="217"/>
      <c r="U81" s="213"/>
      <c r="V81" s="215"/>
      <c r="W81" s="215"/>
      <c r="X81" s="217"/>
      <c r="Y81" s="217"/>
      <c r="Z81" s="213"/>
      <c r="AA81" s="215"/>
      <c r="AB81" s="215"/>
      <c r="AC81" s="217"/>
      <c r="AD81" s="217"/>
      <c r="AE81" s="213"/>
      <c r="AF81" s="215"/>
      <c r="AG81" s="215"/>
      <c r="AH81" s="217"/>
      <c r="AI81" s="217"/>
      <c r="AJ81" s="213"/>
    </row>
    <row r="82" spans="1:36" ht="33.75" customHeight="1">
      <c r="A82" s="213"/>
      <c r="B82" s="214"/>
      <c r="C82" s="215"/>
      <c r="D82" s="216"/>
      <c r="E82" s="217"/>
      <c r="F82" s="213"/>
      <c r="G82" s="214"/>
      <c r="H82" s="215"/>
      <c r="I82" s="217"/>
      <c r="J82" s="217"/>
      <c r="K82" s="213"/>
      <c r="L82" s="215"/>
      <c r="M82" s="215"/>
      <c r="N82" s="217"/>
      <c r="O82" s="217"/>
      <c r="P82" s="213"/>
      <c r="Q82" s="215"/>
      <c r="R82" s="215"/>
      <c r="S82" s="217"/>
      <c r="T82" s="217"/>
      <c r="U82" s="213"/>
      <c r="V82" s="215"/>
      <c r="W82" s="215"/>
      <c r="X82" s="217"/>
      <c r="Y82" s="217"/>
      <c r="Z82" s="213"/>
      <c r="AA82" s="215"/>
      <c r="AB82" s="215"/>
      <c r="AC82" s="217"/>
      <c r="AD82" s="217"/>
      <c r="AE82" s="213"/>
      <c r="AF82" s="215"/>
      <c r="AG82" s="215"/>
      <c r="AH82" s="217"/>
      <c r="AI82" s="217"/>
      <c r="AJ82" s="213"/>
    </row>
    <row r="83" spans="1:36" ht="33.75" customHeight="1">
      <c r="A83" s="213"/>
      <c r="B83" s="214"/>
      <c r="C83" s="215"/>
      <c r="D83" s="216"/>
      <c r="E83" s="217"/>
      <c r="F83" s="213"/>
      <c r="G83" s="214"/>
      <c r="H83" s="215"/>
      <c r="I83" s="217"/>
      <c r="J83" s="217"/>
      <c r="K83" s="213"/>
      <c r="L83" s="215"/>
      <c r="M83" s="215"/>
      <c r="N83" s="217"/>
      <c r="O83" s="217"/>
      <c r="P83" s="213"/>
      <c r="Q83" s="215"/>
      <c r="R83" s="215"/>
      <c r="S83" s="217"/>
      <c r="T83" s="217"/>
      <c r="U83" s="213"/>
      <c r="V83" s="215"/>
      <c r="W83" s="215"/>
      <c r="X83" s="217"/>
      <c r="Y83" s="217"/>
      <c r="Z83" s="213"/>
      <c r="AA83" s="215"/>
      <c r="AB83" s="215"/>
      <c r="AC83" s="217"/>
      <c r="AD83" s="217"/>
      <c r="AE83" s="213"/>
      <c r="AF83" s="215"/>
      <c r="AG83" s="215"/>
      <c r="AH83" s="217"/>
      <c r="AI83" s="217"/>
      <c r="AJ83" s="213"/>
    </row>
    <row r="84" spans="1:36" ht="33.75" customHeight="1">
      <c r="A84" s="213"/>
      <c r="B84" s="214"/>
      <c r="C84" s="215"/>
      <c r="D84" s="216"/>
      <c r="E84" s="217"/>
      <c r="F84" s="213"/>
      <c r="G84" s="214"/>
      <c r="H84" s="215"/>
      <c r="I84" s="217"/>
      <c r="J84" s="217"/>
      <c r="K84" s="213"/>
      <c r="L84" s="215"/>
      <c r="M84" s="215"/>
      <c r="N84" s="217"/>
      <c r="O84" s="217"/>
      <c r="P84" s="213"/>
      <c r="Q84" s="215"/>
      <c r="R84" s="215"/>
      <c r="S84" s="217"/>
      <c r="T84" s="217"/>
      <c r="U84" s="213"/>
      <c r="V84" s="215"/>
      <c r="W84" s="215"/>
      <c r="X84" s="217"/>
      <c r="Y84" s="217"/>
      <c r="Z84" s="213"/>
      <c r="AA84" s="215"/>
      <c r="AB84" s="215"/>
      <c r="AC84" s="217"/>
      <c r="AD84" s="217"/>
      <c r="AE84" s="213"/>
      <c r="AF84" s="215"/>
      <c r="AG84" s="215"/>
      <c r="AH84" s="217"/>
      <c r="AI84" s="217"/>
      <c r="AJ84" s="213"/>
    </row>
    <row r="85" spans="1:36" ht="33.75" customHeight="1">
      <c r="A85" s="213"/>
      <c r="B85" s="214"/>
      <c r="C85" s="215"/>
      <c r="D85" s="216"/>
      <c r="E85" s="217"/>
      <c r="F85" s="213"/>
      <c r="G85" s="214"/>
      <c r="H85" s="215"/>
      <c r="I85" s="217"/>
      <c r="J85" s="217"/>
      <c r="K85" s="213"/>
      <c r="L85" s="215"/>
      <c r="M85" s="215"/>
      <c r="N85" s="217"/>
      <c r="O85" s="217"/>
      <c r="P85" s="213"/>
      <c r="Q85" s="215"/>
      <c r="R85" s="215"/>
      <c r="S85" s="217"/>
      <c r="T85" s="217"/>
      <c r="U85" s="213"/>
      <c r="V85" s="215"/>
      <c r="W85" s="215"/>
      <c r="X85" s="217"/>
      <c r="Y85" s="217"/>
      <c r="Z85" s="213"/>
      <c r="AA85" s="215"/>
      <c r="AB85" s="215"/>
      <c r="AC85" s="217"/>
      <c r="AD85" s="217"/>
      <c r="AE85" s="213"/>
      <c r="AF85" s="215"/>
      <c r="AG85" s="215"/>
      <c r="AH85" s="217"/>
      <c r="AI85" s="217"/>
      <c r="AJ85" s="213"/>
    </row>
    <row r="86" spans="1:36" ht="33.75" customHeight="1">
      <c r="A86" s="213"/>
      <c r="B86" s="214"/>
      <c r="C86" s="215"/>
      <c r="D86" s="216"/>
      <c r="E86" s="217"/>
      <c r="F86" s="213"/>
      <c r="G86" s="214"/>
      <c r="H86" s="215"/>
      <c r="I86" s="217"/>
      <c r="J86" s="217"/>
      <c r="K86" s="213"/>
      <c r="L86" s="215"/>
      <c r="M86" s="215"/>
      <c r="N86" s="217"/>
      <c r="O86" s="217"/>
      <c r="P86" s="213"/>
      <c r="Q86" s="215"/>
      <c r="R86" s="215"/>
      <c r="S86" s="217"/>
      <c r="T86" s="217"/>
      <c r="U86" s="213"/>
      <c r="V86" s="215"/>
      <c r="W86" s="215"/>
      <c r="X86" s="217"/>
      <c r="Y86" s="217"/>
      <c r="Z86" s="213"/>
      <c r="AA86" s="215"/>
      <c r="AB86" s="215"/>
      <c r="AC86" s="217"/>
      <c r="AD86" s="217"/>
      <c r="AE86" s="213"/>
      <c r="AF86" s="215"/>
      <c r="AG86" s="215"/>
      <c r="AH86" s="217"/>
      <c r="AI86" s="217"/>
      <c r="AJ86" s="213"/>
    </row>
    <row r="87" spans="1:36" ht="33.75" customHeight="1">
      <c r="A87" s="213"/>
      <c r="B87" s="214"/>
      <c r="C87" s="215"/>
      <c r="D87" s="216"/>
      <c r="E87" s="217"/>
      <c r="F87" s="213"/>
      <c r="G87" s="214"/>
      <c r="H87" s="215"/>
      <c r="I87" s="217"/>
      <c r="J87" s="217"/>
      <c r="K87" s="213"/>
      <c r="L87" s="215"/>
      <c r="M87" s="215"/>
      <c r="N87" s="217"/>
      <c r="O87" s="217"/>
      <c r="P87" s="213"/>
      <c r="Q87" s="215"/>
      <c r="R87" s="215"/>
      <c r="S87" s="217"/>
      <c r="T87" s="217"/>
      <c r="U87" s="213"/>
      <c r="V87" s="215"/>
      <c r="W87" s="215"/>
      <c r="X87" s="217"/>
      <c r="Y87" s="217"/>
      <c r="Z87" s="213"/>
      <c r="AA87" s="215"/>
      <c r="AB87" s="215"/>
      <c r="AC87" s="217"/>
      <c r="AD87" s="217"/>
      <c r="AE87" s="213"/>
      <c r="AF87" s="215"/>
      <c r="AG87" s="215"/>
      <c r="AH87" s="217"/>
      <c r="AI87" s="217"/>
      <c r="AJ87" s="213"/>
    </row>
    <row r="88" spans="1:36" ht="33.75" customHeight="1">
      <c r="A88" s="213"/>
      <c r="B88" s="214"/>
      <c r="C88" s="215"/>
      <c r="D88" s="217"/>
      <c r="E88" s="217"/>
      <c r="F88" s="213"/>
      <c r="G88" s="214"/>
      <c r="H88" s="215"/>
      <c r="I88" s="217"/>
      <c r="J88" s="217"/>
      <c r="K88" s="213"/>
      <c r="L88" s="215"/>
      <c r="M88" s="215"/>
      <c r="N88" s="217"/>
      <c r="O88" s="217"/>
      <c r="P88" s="213"/>
      <c r="Q88" s="215"/>
      <c r="R88" s="215"/>
      <c r="S88" s="217"/>
      <c r="T88" s="217"/>
      <c r="U88" s="213"/>
      <c r="V88" s="215"/>
      <c r="W88" s="215"/>
      <c r="X88" s="217"/>
      <c r="Y88" s="217"/>
      <c r="Z88" s="213"/>
      <c r="AA88" s="215"/>
      <c r="AB88" s="215"/>
      <c r="AC88" s="217"/>
      <c r="AD88" s="217"/>
      <c r="AE88" s="213"/>
      <c r="AF88" s="215"/>
      <c r="AG88" s="215"/>
      <c r="AH88" s="217"/>
      <c r="AI88" s="217"/>
      <c r="AJ88" s="213"/>
    </row>
    <row r="89" spans="1:36" ht="16">
      <c r="A89" s="213"/>
      <c r="B89" s="214"/>
      <c r="C89" s="215"/>
      <c r="D89" s="216"/>
      <c r="E89" s="217"/>
      <c r="F89" s="213"/>
      <c r="G89" s="214"/>
      <c r="H89" s="215"/>
      <c r="I89" s="217"/>
      <c r="J89" s="217"/>
      <c r="K89" s="213"/>
      <c r="L89" s="215"/>
      <c r="M89" s="215"/>
      <c r="N89" s="217"/>
      <c r="O89" s="217"/>
      <c r="P89" s="213"/>
      <c r="Q89" s="215"/>
      <c r="R89" s="215"/>
      <c r="S89" s="217"/>
      <c r="T89" s="217"/>
      <c r="U89" s="213"/>
      <c r="V89" s="215"/>
      <c r="W89" s="215"/>
      <c r="X89" s="217"/>
      <c r="Y89" s="217"/>
      <c r="Z89" s="213"/>
      <c r="AA89" s="215"/>
      <c r="AB89" s="215"/>
      <c r="AC89" s="217"/>
      <c r="AD89" s="217"/>
      <c r="AE89" s="213"/>
      <c r="AF89" s="215"/>
      <c r="AG89" s="215"/>
      <c r="AH89" s="217"/>
      <c r="AI89" s="217"/>
      <c r="AJ89" s="213"/>
    </row>
    <row r="90" spans="1:36" ht="16">
      <c r="A90" s="213"/>
      <c r="B90" s="214"/>
      <c r="C90" s="215"/>
      <c r="D90" s="216"/>
      <c r="E90" s="217"/>
      <c r="F90" s="213"/>
      <c r="G90" s="214"/>
      <c r="H90" s="215"/>
      <c r="I90" s="217"/>
      <c r="J90" s="217"/>
      <c r="K90" s="213"/>
      <c r="L90" s="215"/>
      <c r="M90" s="215"/>
      <c r="N90" s="217"/>
      <c r="O90" s="217"/>
      <c r="P90" s="213"/>
      <c r="Q90" s="215"/>
      <c r="R90" s="215"/>
      <c r="S90" s="217"/>
      <c r="T90" s="217"/>
      <c r="U90" s="213"/>
      <c r="V90" s="215"/>
      <c r="W90" s="215"/>
      <c r="X90" s="217"/>
      <c r="Y90" s="217"/>
      <c r="Z90" s="213"/>
      <c r="AA90" s="215"/>
      <c r="AB90" s="215"/>
      <c r="AC90" s="217"/>
      <c r="AD90" s="217"/>
      <c r="AE90" s="213"/>
      <c r="AF90" s="215"/>
      <c r="AG90" s="215"/>
      <c r="AH90" s="217"/>
      <c r="AI90" s="217"/>
      <c r="AJ90" s="213"/>
    </row>
    <row r="91" spans="1:36" ht="16">
      <c r="A91" s="213"/>
      <c r="B91" s="214"/>
      <c r="C91" s="215"/>
      <c r="D91" s="216"/>
      <c r="E91" s="217"/>
      <c r="F91" s="213"/>
      <c r="G91" s="214"/>
      <c r="H91" s="215"/>
      <c r="I91" s="217"/>
      <c r="J91" s="217"/>
      <c r="K91" s="213"/>
      <c r="L91" s="215"/>
      <c r="M91" s="215"/>
      <c r="N91" s="217"/>
      <c r="O91" s="217"/>
      <c r="P91" s="213"/>
      <c r="Q91" s="215"/>
      <c r="R91" s="215"/>
      <c r="S91" s="217"/>
      <c r="T91" s="217"/>
      <c r="U91" s="213"/>
      <c r="V91" s="215"/>
      <c r="W91" s="215"/>
      <c r="X91" s="217"/>
      <c r="Y91" s="217"/>
      <c r="Z91" s="213"/>
      <c r="AA91" s="215"/>
      <c r="AB91" s="215"/>
      <c r="AC91" s="217"/>
      <c r="AD91" s="217"/>
      <c r="AE91" s="213"/>
      <c r="AF91" s="215"/>
      <c r="AG91" s="215"/>
      <c r="AH91" s="217"/>
      <c r="AI91" s="217"/>
      <c r="AJ91" s="213"/>
    </row>
    <row r="92" spans="1:36" ht="16">
      <c r="A92" s="213"/>
      <c r="B92" s="214"/>
      <c r="C92" s="215"/>
      <c r="D92" s="216"/>
      <c r="E92" s="217"/>
      <c r="F92" s="213"/>
      <c r="G92" s="214"/>
      <c r="H92" s="215"/>
      <c r="I92" s="217"/>
      <c r="J92" s="217"/>
      <c r="K92" s="213"/>
      <c r="L92" s="215"/>
      <c r="M92" s="215"/>
      <c r="N92" s="217"/>
      <c r="O92" s="217"/>
      <c r="P92" s="213"/>
      <c r="Q92" s="215"/>
      <c r="R92" s="215"/>
      <c r="S92" s="217"/>
      <c r="T92" s="217"/>
      <c r="U92" s="213"/>
      <c r="V92" s="215"/>
      <c r="W92" s="215"/>
      <c r="X92" s="217"/>
      <c r="Y92" s="217"/>
      <c r="Z92" s="213"/>
      <c r="AA92" s="215"/>
      <c r="AB92" s="215"/>
      <c r="AC92" s="217"/>
      <c r="AD92" s="217"/>
      <c r="AE92" s="213"/>
      <c r="AF92" s="215"/>
      <c r="AG92" s="215"/>
      <c r="AH92" s="217"/>
      <c r="AI92" s="217"/>
      <c r="AJ92" s="213"/>
    </row>
    <row r="93" spans="1:36" ht="16">
      <c r="A93" s="213"/>
      <c r="B93" s="214"/>
      <c r="C93" s="215"/>
      <c r="D93" s="216"/>
      <c r="E93" s="217"/>
      <c r="F93" s="213"/>
      <c r="G93" s="214"/>
      <c r="H93" s="215"/>
      <c r="I93" s="217"/>
      <c r="J93" s="217"/>
      <c r="K93" s="213"/>
      <c r="L93" s="215"/>
      <c r="M93" s="215"/>
      <c r="N93" s="217"/>
      <c r="O93" s="217"/>
      <c r="P93" s="213"/>
      <c r="Q93" s="215"/>
      <c r="R93" s="215"/>
      <c r="S93" s="217"/>
      <c r="T93" s="217"/>
      <c r="U93" s="213"/>
      <c r="V93" s="215"/>
      <c r="W93" s="215"/>
      <c r="X93" s="217"/>
      <c r="Y93" s="217"/>
      <c r="Z93" s="213"/>
      <c r="AA93" s="215"/>
      <c r="AB93" s="215"/>
      <c r="AC93" s="217"/>
      <c r="AD93" s="217"/>
      <c r="AE93" s="213"/>
      <c r="AF93" s="215"/>
      <c r="AG93" s="215"/>
      <c r="AH93" s="217"/>
      <c r="AI93" s="217"/>
      <c r="AJ93" s="213"/>
    </row>
    <row r="94" spans="1:36" ht="16">
      <c r="A94" s="213"/>
      <c r="B94" s="214"/>
      <c r="C94" s="215"/>
      <c r="D94" s="216"/>
      <c r="E94" s="217"/>
      <c r="F94" s="213"/>
      <c r="G94" s="214"/>
      <c r="H94" s="215"/>
      <c r="I94" s="217"/>
      <c r="J94" s="217"/>
      <c r="K94" s="213"/>
      <c r="L94" s="215"/>
      <c r="M94" s="215"/>
      <c r="N94" s="217"/>
      <c r="O94" s="217"/>
      <c r="P94" s="213"/>
      <c r="Q94" s="215"/>
      <c r="R94" s="215"/>
      <c r="S94" s="217"/>
      <c r="T94" s="217"/>
      <c r="U94" s="213"/>
      <c r="V94" s="215"/>
      <c r="W94" s="215"/>
      <c r="X94" s="217"/>
      <c r="Y94" s="217"/>
      <c r="Z94" s="213"/>
      <c r="AA94" s="215"/>
      <c r="AB94" s="215"/>
      <c r="AC94" s="217"/>
      <c r="AD94" s="217"/>
      <c r="AE94" s="213"/>
      <c r="AF94" s="215"/>
      <c r="AG94" s="215"/>
      <c r="AH94" s="217"/>
      <c r="AI94" s="217"/>
      <c r="AJ94" s="213"/>
    </row>
    <row r="95" spans="1:36" ht="16">
      <c r="A95" s="213"/>
      <c r="B95" s="214"/>
      <c r="C95" s="215"/>
      <c r="D95" s="216"/>
      <c r="E95" s="217"/>
      <c r="F95" s="213"/>
      <c r="G95" s="214"/>
      <c r="H95" s="215"/>
      <c r="I95" s="217"/>
      <c r="J95" s="217"/>
      <c r="K95" s="213"/>
      <c r="L95" s="215"/>
      <c r="M95" s="215"/>
      <c r="N95" s="217"/>
      <c r="O95" s="217"/>
      <c r="P95" s="213"/>
      <c r="Q95" s="215"/>
      <c r="R95" s="215"/>
      <c r="S95" s="217"/>
      <c r="T95" s="217"/>
      <c r="U95" s="213"/>
      <c r="V95" s="215"/>
      <c r="W95" s="215"/>
      <c r="X95" s="217"/>
      <c r="Y95" s="217"/>
      <c r="Z95" s="213"/>
      <c r="AA95" s="215"/>
      <c r="AB95" s="215"/>
      <c r="AC95" s="217"/>
      <c r="AD95" s="217"/>
      <c r="AE95" s="213"/>
      <c r="AF95" s="215"/>
      <c r="AG95" s="215"/>
      <c r="AH95" s="217"/>
      <c r="AI95" s="217"/>
      <c r="AJ95" s="213"/>
    </row>
    <row r="96" spans="1:36" ht="16">
      <c r="A96" s="213"/>
      <c r="B96" s="214"/>
      <c r="C96" s="215"/>
      <c r="D96" s="217"/>
      <c r="E96" s="217"/>
      <c r="F96" s="213"/>
      <c r="G96" s="214"/>
      <c r="H96" s="215"/>
      <c r="I96" s="217"/>
      <c r="J96" s="217"/>
      <c r="K96" s="213"/>
      <c r="L96" s="215"/>
      <c r="M96" s="215"/>
      <c r="N96" s="217"/>
      <c r="O96" s="217"/>
      <c r="P96" s="213"/>
      <c r="Q96" s="215"/>
      <c r="R96" s="215"/>
      <c r="S96" s="217"/>
      <c r="T96" s="217"/>
      <c r="U96" s="213"/>
      <c r="V96" s="215"/>
      <c r="W96" s="215"/>
      <c r="X96" s="217"/>
      <c r="Y96" s="217"/>
      <c r="Z96" s="213"/>
      <c r="AA96" s="215"/>
      <c r="AB96" s="215"/>
      <c r="AC96" s="217"/>
      <c r="AD96" s="217"/>
      <c r="AE96" s="213"/>
      <c r="AF96" s="215"/>
      <c r="AG96" s="215"/>
      <c r="AH96" s="217"/>
      <c r="AI96" s="217"/>
      <c r="AJ96" s="213"/>
    </row>
    <row r="97" spans="1:36" ht="16">
      <c r="A97" s="213"/>
      <c r="B97" s="214"/>
      <c r="C97" s="215"/>
      <c r="D97" s="217"/>
      <c r="E97" s="217"/>
      <c r="F97" s="213"/>
      <c r="G97" s="214"/>
      <c r="H97" s="215"/>
      <c r="I97" s="217"/>
      <c r="J97" s="217"/>
      <c r="K97" s="213"/>
      <c r="L97" s="215"/>
      <c r="M97" s="215"/>
      <c r="N97" s="217"/>
      <c r="O97" s="217"/>
      <c r="P97" s="213"/>
      <c r="Q97" s="215"/>
      <c r="R97" s="215"/>
      <c r="S97" s="217"/>
      <c r="T97" s="217"/>
      <c r="U97" s="213"/>
      <c r="V97" s="215"/>
      <c r="W97" s="215"/>
      <c r="X97" s="217"/>
      <c r="Y97" s="217"/>
      <c r="Z97" s="213"/>
      <c r="AA97" s="215"/>
      <c r="AB97" s="215"/>
      <c r="AC97" s="217"/>
      <c r="AD97" s="217"/>
      <c r="AE97" s="213"/>
      <c r="AF97" s="215"/>
      <c r="AG97" s="215"/>
      <c r="AH97" s="217"/>
      <c r="AI97" s="217"/>
      <c r="AJ97" s="213"/>
    </row>
    <row r="98" spans="1:36" ht="16">
      <c r="A98" s="213"/>
      <c r="B98" s="214"/>
      <c r="C98" s="215"/>
      <c r="D98" s="217"/>
      <c r="E98" s="217"/>
      <c r="F98" s="213"/>
      <c r="G98" s="214"/>
      <c r="H98" s="215"/>
      <c r="I98" s="217"/>
      <c r="J98" s="217"/>
      <c r="K98" s="213"/>
      <c r="L98" s="215"/>
      <c r="M98" s="215"/>
      <c r="N98" s="217"/>
      <c r="O98" s="217"/>
      <c r="P98" s="213"/>
      <c r="Q98" s="215"/>
      <c r="R98" s="215"/>
      <c r="S98" s="217"/>
      <c r="T98" s="217"/>
      <c r="U98" s="213"/>
      <c r="V98" s="215"/>
      <c r="W98" s="215"/>
      <c r="X98" s="217"/>
      <c r="Y98" s="217"/>
      <c r="Z98" s="213"/>
      <c r="AA98" s="215"/>
      <c r="AB98" s="215"/>
      <c r="AC98" s="217"/>
      <c r="AD98" s="217"/>
      <c r="AE98" s="213"/>
      <c r="AF98" s="215"/>
      <c r="AG98" s="215"/>
      <c r="AH98" s="217"/>
      <c r="AI98" s="217"/>
      <c r="AJ98" s="213"/>
    </row>
    <row r="99" spans="1:36" ht="16">
      <c r="A99" s="213"/>
      <c r="B99" s="214"/>
      <c r="C99" s="215"/>
      <c r="D99" s="217"/>
      <c r="E99" s="217"/>
      <c r="F99" s="213"/>
      <c r="G99" s="214"/>
      <c r="H99" s="215"/>
      <c r="I99" s="218"/>
      <c r="J99" s="219"/>
      <c r="K99" s="213"/>
      <c r="L99" s="215"/>
      <c r="M99" s="215"/>
      <c r="N99" s="220"/>
      <c r="O99" s="220"/>
      <c r="P99" s="213"/>
      <c r="Q99" s="215"/>
      <c r="R99" s="215"/>
      <c r="S99" s="220"/>
      <c r="T99" s="220"/>
      <c r="U99" s="213"/>
      <c r="V99" s="215"/>
      <c r="W99" s="215"/>
      <c r="X99" s="220"/>
      <c r="Y99" s="220"/>
      <c r="Z99" s="213"/>
      <c r="AA99" s="215"/>
      <c r="AB99" s="215"/>
      <c r="AC99" s="221"/>
      <c r="AD99" s="221"/>
      <c r="AE99" s="213"/>
      <c r="AF99" s="215"/>
      <c r="AG99" s="215"/>
      <c r="AH99" s="220"/>
      <c r="AI99" s="220"/>
      <c r="AJ99" s="213"/>
    </row>
    <row r="641" customFormat="1" ht="15" customHeight="1"/>
    <row r="642" customFormat="1" ht="15" customHeight="1"/>
    <row r="643" customFormat="1" ht="15" customHeight="1"/>
    <row r="644" customFormat="1" ht="15" customHeight="1"/>
    <row r="645" customFormat="1" ht="15" customHeight="1"/>
    <row r="646" customFormat="1" ht="15" customHeight="1"/>
    <row r="647" customFormat="1" ht="15" customHeight="1"/>
    <row r="648" customFormat="1" ht="15" customHeight="1"/>
    <row r="649" customFormat="1" ht="15" customHeight="1"/>
    <row r="650" customFormat="1" ht="15" customHeight="1"/>
    <row r="651" customFormat="1" ht="15" customHeight="1"/>
    <row r="652" customFormat="1" ht="15" customHeight="1"/>
    <row r="653" customFormat="1" ht="15" customHeight="1"/>
    <row r="654" customFormat="1" ht="15" customHeight="1"/>
    <row r="655" customFormat="1" ht="15" customHeight="1"/>
    <row r="656" customFormat="1" ht="15" customHeight="1"/>
    <row r="657" customFormat="1" ht="15" customHeight="1"/>
    <row r="658" customFormat="1" ht="15" customHeight="1"/>
    <row r="659" customFormat="1" ht="15" customHeight="1"/>
    <row r="660" customFormat="1" ht="15" customHeight="1"/>
    <row r="661" customFormat="1" ht="15" customHeight="1"/>
    <row r="662" customFormat="1" ht="15" customHeight="1"/>
    <row r="663" customFormat="1" ht="15" customHeight="1"/>
    <row r="664" customFormat="1" ht="15" customHeight="1"/>
    <row r="665" customFormat="1" ht="15" customHeight="1"/>
    <row r="666" customFormat="1" ht="15" customHeight="1"/>
    <row r="667" customFormat="1" ht="15" customHeight="1"/>
    <row r="668" customFormat="1" ht="15" customHeight="1"/>
    <row r="669" customFormat="1" ht="15" customHeight="1"/>
    <row r="670" customFormat="1" ht="15" customHeight="1"/>
    <row r="671" customFormat="1" ht="15" customHeight="1"/>
    <row r="672" customFormat="1" ht="15" customHeight="1"/>
    <row r="673" customFormat="1" ht="15" customHeight="1"/>
    <row r="674" customFormat="1" ht="15" customHeight="1"/>
    <row r="675" customFormat="1" ht="15" customHeight="1"/>
    <row r="676" customFormat="1" ht="15" customHeight="1"/>
    <row r="677" customFormat="1" ht="15" customHeight="1"/>
    <row r="678" customFormat="1" ht="15" customHeight="1"/>
    <row r="679" customFormat="1" ht="15" customHeight="1"/>
    <row r="680" customFormat="1" ht="15" customHeight="1"/>
    <row r="681" customFormat="1" ht="15" customHeight="1"/>
    <row r="682" customFormat="1" ht="15" customHeight="1"/>
    <row r="683" customFormat="1" ht="15" customHeight="1"/>
    <row r="684" customFormat="1" ht="15" customHeight="1"/>
    <row r="685" customFormat="1" ht="15" customHeight="1"/>
    <row r="686" customFormat="1" ht="15" customHeight="1"/>
    <row r="687" customFormat="1" ht="15" customHeight="1"/>
    <row r="688" customFormat="1" ht="15" customHeight="1"/>
    <row r="689" customFormat="1" ht="15" customHeight="1"/>
    <row r="690" customFormat="1" ht="15" customHeight="1"/>
    <row r="691" customFormat="1" ht="15" customHeight="1"/>
    <row r="692" customFormat="1" ht="15" customHeight="1"/>
    <row r="693" customFormat="1" ht="15" customHeight="1"/>
    <row r="694" customFormat="1" ht="15" customHeight="1"/>
    <row r="695" customFormat="1" ht="15" customHeight="1"/>
    <row r="696" customFormat="1" ht="15" customHeight="1"/>
    <row r="697" customFormat="1" ht="15" customHeight="1"/>
    <row r="698" customFormat="1" ht="15" customHeight="1"/>
    <row r="699" customFormat="1" ht="15" customHeight="1"/>
    <row r="700" customFormat="1" ht="15" customHeight="1"/>
    <row r="701" customFormat="1" ht="15" customHeight="1"/>
    <row r="702" customFormat="1" ht="15" customHeight="1"/>
    <row r="703" customFormat="1" ht="15" customHeight="1"/>
    <row r="704" customFormat="1" ht="15" customHeight="1"/>
    <row r="705" customFormat="1" ht="15" customHeight="1"/>
    <row r="706" customFormat="1" ht="15" customHeight="1"/>
    <row r="707" customFormat="1" ht="15" customHeight="1"/>
    <row r="708" customFormat="1" ht="15" customHeight="1"/>
    <row r="709" customFormat="1" ht="15" customHeight="1"/>
    <row r="710" customFormat="1" ht="15" customHeight="1"/>
    <row r="711" customFormat="1" ht="15" customHeight="1"/>
    <row r="712" customFormat="1" ht="15" customHeight="1"/>
    <row r="713" customFormat="1" ht="15" customHeight="1"/>
    <row r="714" customFormat="1" ht="15" customHeight="1"/>
    <row r="715" customFormat="1" ht="15" customHeight="1"/>
    <row r="716" customFormat="1" ht="15" customHeight="1"/>
    <row r="717" customFormat="1" ht="15" customHeight="1"/>
    <row r="718" customFormat="1" ht="15" customHeight="1"/>
    <row r="719" customFormat="1" ht="15" customHeight="1"/>
    <row r="720" customFormat="1" ht="15" customHeight="1"/>
    <row r="721" customFormat="1" ht="15" customHeight="1"/>
    <row r="722" customFormat="1" ht="15" customHeight="1"/>
    <row r="723" customFormat="1" ht="15" customHeight="1"/>
    <row r="724" customFormat="1" ht="15" customHeight="1"/>
    <row r="725" customFormat="1" ht="15" customHeight="1"/>
    <row r="726" customFormat="1" ht="15" customHeight="1"/>
    <row r="727" customFormat="1" ht="15" customHeight="1"/>
    <row r="728" customFormat="1" ht="15" customHeight="1"/>
    <row r="729" customFormat="1" ht="15" customHeight="1"/>
    <row r="730" customFormat="1" ht="15" customHeight="1"/>
    <row r="731" customFormat="1" ht="15" customHeight="1"/>
    <row r="732" customFormat="1" ht="15" customHeight="1"/>
    <row r="733" customFormat="1" ht="15" customHeight="1"/>
    <row r="734" customFormat="1" ht="15" customHeight="1"/>
    <row r="735" customFormat="1" ht="15" customHeight="1"/>
    <row r="736" customFormat="1" ht="15" customHeight="1"/>
    <row r="737" customFormat="1" ht="15" customHeight="1"/>
    <row r="738" customFormat="1" ht="15" customHeight="1"/>
    <row r="739" customFormat="1" ht="15" customHeight="1"/>
    <row r="740" customFormat="1" ht="15" customHeight="1"/>
    <row r="741" customFormat="1" ht="15" customHeight="1"/>
    <row r="742" customFormat="1" ht="15" customHeight="1"/>
    <row r="743" customFormat="1" ht="15" customHeight="1"/>
    <row r="744" customFormat="1" ht="15" customHeight="1"/>
    <row r="745" customFormat="1" ht="15" customHeight="1"/>
    <row r="746" customFormat="1" ht="15" customHeight="1"/>
    <row r="747" customFormat="1" ht="15" customHeight="1"/>
    <row r="748" customFormat="1" ht="15" customHeight="1"/>
    <row r="749" customFormat="1" ht="15" customHeight="1"/>
    <row r="750" customFormat="1" ht="15" customHeight="1"/>
    <row r="751" customFormat="1" ht="15" customHeight="1"/>
    <row r="752" customFormat="1" ht="15" customHeight="1"/>
    <row r="753" customFormat="1" ht="15" customHeight="1"/>
    <row r="754" customFormat="1" ht="15" customHeight="1"/>
    <row r="755" customFormat="1" ht="15" customHeight="1"/>
    <row r="756" customFormat="1" ht="15" customHeight="1"/>
    <row r="757" customFormat="1" ht="15" customHeight="1"/>
    <row r="758" customFormat="1" ht="15" customHeight="1"/>
    <row r="759" customFormat="1" ht="15" customHeight="1"/>
    <row r="760" customFormat="1" ht="15" customHeight="1"/>
    <row r="761" customFormat="1" ht="15" customHeight="1"/>
    <row r="762" customFormat="1" ht="15" customHeight="1"/>
    <row r="763" customFormat="1" ht="15" customHeight="1"/>
    <row r="764" customFormat="1" ht="15" customHeight="1"/>
    <row r="765" customFormat="1" ht="15" customHeight="1"/>
    <row r="766" customFormat="1" ht="15" customHeight="1"/>
    <row r="767" customFormat="1" ht="15" customHeight="1"/>
    <row r="768" customFormat="1" ht="15" customHeight="1"/>
    <row r="769" customFormat="1" ht="15" customHeight="1"/>
    <row r="770" customFormat="1" ht="15" customHeight="1"/>
    <row r="771" customFormat="1" ht="15" customHeight="1"/>
    <row r="772" customFormat="1" ht="15" customHeight="1"/>
    <row r="773" customFormat="1" ht="15" customHeight="1"/>
    <row r="774" customFormat="1" ht="15" customHeight="1"/>
    <row r="775" customFormat="1" ht="15" customHeight="1"/>
    <row r="776" customFormat="1" ht="15" customHeight="1"/>
    <row r="777" customFormat="1" ht="15" customHeight="1"/>
    <row r="778" customFormat="1" ht="15" customHeight="1"/>
    <row r="779" customFormat="1" ht="15" customHeight="1"/>
    <row r="780" customFormat="1" ht="15" customHeight="1"/>
    <row r="781" customFormat="1" ht="15" customHeight="1"/>
    <row r="782" customFormat="1" ht="15" customHeight="1"/>
    <row r="783" customFormat="1" ht="15" customHeight="1"/>
    <row r="784" customFormat="1" ht="15" customHeight="1"/>
    <row r="785" customFormat="1" ht="15" customHeight="1"/>
    <row r="786" customFormat="1" ht="15" customHeight="1"/>
    <row r="787" customFormat="1" ht="15" customHeight="1"/>
    <row r="788" customFormat="1" ht="15" customHeight="1"/>
    <row r="789" customFormat="1" ht="15" customHeight="1"/>
    <row r="790" customFormat="1" ht="15" customHeight="1"/>
    <row r="791" customFormat="1" ht="15" customHeight="1"/>
    <row r="792" customFormat="1" ht="15" customHeight="1"/>
    <row r="793" customFormat="1" ht="15" customHeight="1"/>
    <row r="794" customFormat="1" ht="15" customHeight="1"/>
    <row r="795" customFormat="1" ht="15" customHeight="1"/>
    <row r="796" customFormat="1" ht="15" customHeight="1"/>
    <row r="797" customFormat="1" ht="15" customHeight="1"/>
    <row r="798" customFormat="1" ht="15" customHeight="1"/>
    <row r="799" customFormat="1" ht="15" customHeight="1"/>
    <row r="800" customFormat="1" ht="15" customHeight="1"/>
    <row r="801" customFormat="1" ht="15" customHeight="1"/>
    <row r="802" customFormat="1" ht="15" customHeight="1"/>
    <row r="803" customFormat="1" ht="15" customHeight="1"/>
    <row r="804" customFormat="1" ht="15" customHeight="1"/>
    <row r="805" customFormat="1" ht="15" customHeight="1"/>
    <row r="806" customFormat="1" ht="15" customHeight="1"/>
    <row r="807" customFormat="1" ht="15" customHeight="1"/>
    <row r="808" customFormat="1" ht="15" customHeight="1"/>
    <row r="809" customFormat="1" ht="15" customHeight="1"/>
    <row r="810" customFormat="1" ht="15" customHeight="1"/>
    <row r="811" customFormat="1" ht="15" customHeight="1"/>
    <row r="812" customFormat="1" ht="15" customHeight="1"/>
    <row r="813" customFormat="1" ht="15" customHeight="1"/>
    <row r="814" customFormat="1" ht="15" customHeight="1"/>
    <row r="815" customFormat="1" ht="15" customHeight="1"/>
    <row r="816" customFormat="1" ht="15" customHeight="1"/>
    <row r="817" customFormat="1" ht="15" customHeight="1"/>
    <row r="818" customFormat="1" ht="15" customHeight="1"/>
    <row r="819" customFormat="1" ht="15" customHeight="1"/>
    <row r="820" customFormat="1" ht="15" customHeight="1"/>
    <row r="821" customFormat="1" ht="15" customHeight="1"/>
    <row r="822" customFormat="1" ht="15" customHeight="1"/>
    <row r="823" customFormat="1" ht="15" customHeight="1"/>
    <row r="824" customFormat="1" ht="15" customHeight="1"/>
    <row r="825" customFormat="1" ht="15" customHeight="1"/>
    <row r="826" customFormat="1" ht="15" customHeight="1"/>
    <row r="827" customFormat="1" ht="15" customHeight="1"/>
    <row r="828" customFormat="1" ht="15" customHeight="1"/>
    <row r="829" customFormat="1" ht="15" customHeight="1"/>
    <row r="830" customFormat="1" ht="15" customHeight="1"/>
    <row r="831" customFormat="1" ht="15" customHeight="1"/>
    <row r="832" customFormat="1" ht="15" customHeight="1"/>
    <row r="833" customFormat="1" ht="15" customHeight="1"/>
    <row r="834" customFormat="1" ht="15" customHeight="1"/>
    <row r="835" customFormat="1" ht="15" customHeight="1"/>
    <row r="836" customFormat="1" ht="15" customHeight="1"/>
    <row r="837" customFormat="1" ht="15" customHeight="1"/>
    <row r="838" customFormat="1" ht="15" customHeight="1"/>
    <row r="839" customFormat="1" ht="15" customHeight="1"/>
    <row r="840" customFormat="1" ht="15" customHeight="1"/>
    <row r="841" customFormat="1" ht="15" customHeight="1"/>
    <row r="842" customFormat="1" ht="15" customHeight="1"/>
    <row r="843" customFormat="1" ht="15" customHeight="1"/>
    <row r="844" customFormat="1" ht="15" customHeight="1"/>
    <row r="845" customFormat="1" ht="15" customHeight="1"/>
    <row r="846" customFormat="1" ht="15" customHeight="1"/>
    <row r="847" customFormat="1" ht="15" customHeight="1"/>
    <row r="848" customFormat="1" ht="15" customHeight="1"/>
    <row r="849" customFormat="1" ht="15" customHeight="1"/>
    <row r="850" customFormat="1" ht="15" customHeight="1"/>
    <row r="851" customFormat="1" ht="15" customHeight="1"/>
    <row r="852" customFormat="1" ht="15" customHeight="1"/>
    <row r="853" customFormat="1" ht="15" customHeight="1"/>
    <row r="854" customFormat="1" ht="15" customHeight="1"/>
    <row r="855" customFormat="1" ht="15" customHeight="1"/>
    <row r="856" customFormat="1" ht="15" customHeight="1"/>
    <row r="857" customFormat="1" ht="15" customHeight="1"/>
    <row r="858" customFormat="1" ht="15" customHeight="1"/>
    <row r="859" customFormat="1" ht="15" customHeight="1"/>
    <row r="860" customFormat="1" ht="15" customHeight="1"/>
    <row r="861" customFormat="1" ht="15" customHeight="1"/>
    <row r="862" customFormat="1" ht="15" customHeight="1"/>
    <row r="863" customFormat="1" ht="15" customHeight="1"/>
    <row r="864" customFormat="1" ht="15" customHeight="1"/>
    <row r="865" customFormat="1" ht="15" customHeight="1"/>
    <row r="866" customFormat="1" ht="15" customHeight="1"/>
    <row r="867" customFormat="1" ht="15" customHeight="1"/>
    <row r="868" customFormat="1" ht="15" customHeight="1"/>
    <row r="869" customFormat="1" ht="15" customHeight="1"/>
    <row r="870" customFormat="1" ht="15" customHeight="1"/>
    <row r="871" customFormat="1" ht="15" customHeight="1"/>
    <row r="872" customFormat="1" ht="15" customHeight="1"/>
    <row r="873" customFormat="1" ht="15" customHeight="1"/>
    <row r="874" customFormat="1" ht="15" customHeight="1"/>
    <row r="875" customFormat="1" ht="15" customHeight="1"/>
    <row r="876" customFormat="1" ht="15" customHeight="1"/>
    <row r="877" customFormat="1" ht="15" customHeight="1"/>
    <row r="878" customFormat="1" ht="15" customHeight="1"/>
    <row r="879" customFormat="1" ht="15" customHeight="1"/>
    <row r="880" customFormat="1" ht="15" customHeight="1"/>
    <row r="881" customFormat="1" ht="15" customHeight="1"/>
    <row r="882" customFormat="1" ht="15" customHeight="1"/>
    <row r="883" customFormat="1" ht="15" customHeight="1"/>
    <row r="884" customFormat="1" ht="15" customHeight="1"/>
    <row r="885" customFormat="1" ht="15" customHeight="1"/>
    <row r="886" customFormat="1" ht="15" customHeight="1"/>
    <row r="887" customFormat="1" ht="15" customHeight="1"/>
    <row r="888" customFormat="1" ht="15" customHeight="1"/>
    <row r="889" customFormat="1" ht="15" customHeight="1"/>
    <row r="890" customFormat="1" ht="15" customHeight="1"/>
    <row r="891" customFormat="1" ht="15" customHeight="1"/>
    <row r="892" customFormat="1" ht="15" customHeight="1"/>
    <row r="893" customFormat="1" ht="15" customHeight="1"/>
    <row r="894" customFormat="1" ht="15" customHeight="1"/>
    <row r="895" customFormat="1" ht="15" customHeight="1"/>
    <row r="896" customFormat="1" ht="15" customHeight="1"/>
    <row r="897" customFormat="1" ht="15" customHeight="1"/>
    <row r="898" customFormat="1" ht="15" customHeight="1"/>
    <row r="899" customFormat="1" ht="15" customHeight="1"/>
    <row r="900" customFormat="1" ht="15" customHeight="1"/>
    <row r="901" customFormat="1" ht="15" customHeight="1"/>
    <row r="902" customFormat="1" ht="15" customHeight="1"/>
    <row r="903" customFormat="1" ht="15" customHeight="1"/>
    <row r="904" customFormat="1" ht="15" customHeight="1"/>
    <row r="905" customFormat="1" ht="15" customHeight="1"/>
    <row r="906" customFormat="1" ht="15" customHeight="1"/>
    <row r="907" customFormat="1" ht="15" customHeight="1"/>
    <row r="908" customFormat="1" ht="15" customHeight="1"/>
    <row r="909" customFormat="1" ht="15" customHeight="1"/>
    <row r="910" customFormat="1" ht="15" customHeight="1"/>
    <row r="911" customFormat="1" ht="15" customHeight="1"/>
    <row r="912" customFormat="1" ht="15" customHeight="1"/>
    <row r="913" customFormat="1" ht="15" customHeight="1"/>
    <row r="914" customFormat="1" ht="15" customHeight="1"/>
    <row r="915" customFormat="1" ht="15" customHeight="1"/>
    <row r="916" customFormat="1" ht="15" customHeight="1"/>
    <row r="917" customFormat="1" ht="15" customHeight="1"/>
    <row r="918" customFormat="1" ht="15" customHeight="1"/>
    <row r="919" customFormat="1" ht="15" customHeight="1"/>
    <row r="920" customFormat="1" ht="15" customHeight="1"/>
    <row r="921" customFormat="1" ht="15" customHeight="1"/>
    <row r="922" customFormat="1" ht="15" customHeight="1"/>
    <row r="923" customFormat="1" ht="15" customHeight="1"/>
    <row r="924" customFormat="1" ht="15" customHeight="1"/>
    <row r="925" customFormat="1" ht="15" customHeight="1"/>
    <row r="926" customFormat="1" ht="15" customHeight="1"/>
    <row r="927" customFormat="1" ht="15" customHeight="1"/>
    <row r="928" customFormat="1" ht="15" customHeight="1"/>
    <row r="929" customFormat="1" ht="15" customHeight="1"/>
    <row r="930" customFormat="1" ht="15" customHeight="1"/>
    <row r="931" customFormat="1" ht="15" customHeight="1"/>
    <row r="932" customFormat="1" ht="15" customHeight="1"/>
    <row r="933" customFormat="1" ht="15" customHeight="1"/>
    <row r="934" customFormat="1" ht="15" customHeight="1"/>
    <row r="935" customFormat="1" ht="15" customHeight="1"/>
    <row r="936" customFormat="1" ht="15" customHeight="1"/>
    <row r="937" customFormat="1" ht="15" customHeight="1"/>
    <row r="938" customFormat="1" ht="15" customHeight="1"/>
    <row r="939" customFormat="1" ht="15" customHeight="1"/>
    <row r="940" customFormat="1" ht="15" customHeight="1"/>
    <row r="941" customFormat="1" ht="15" customHeight="1"/>
    <row r="942" customFormat="1" ht="15" customHeight="1"/>
    <row r="943" customFormat="1" ht="15" customHeight="1"/>
    <row r="944" customFormat="1" ht="15" customHeight="1"/>
    <row r="945" customFormat="1" ht="15" customHeight="1"/>
    <row r="946" customFormat="1" ht="15" customHeight="1"/>
    <row r="947" customFormat="1" ht="15" customHeight="1"/>
    <row r="948" customFormat="1" ht="15" customHeight="1"/>
    <row r="949" customFormat="1" ht="15" customHeight="1"/>
    <row r="950" customFormat="1" ht="15" customHeight="1"/>
    <row r="951" customFormat="1" ht="15" customHeight="1"/>
    <row r="952" customFormat="1" ht="15" customHeight="1"/>
    <row r="953" customFormat="1" ht="15" customHeight="1"/>
    <row r="954" customFormat="1" ht="15" customHeight="1"/>
    <row r="955" customFormat="1" ht="15" customHeight="1"/>
    <row r="956" customFormat="1" ht="15" customHeight="1"/>
    <row r="957" customFormat="1" ht="15" customHeight="1"/>
    <row r="958" customFormat="1" ht="15" customHeight="1"/>
    <row r="959" customFormat="1" ht="15" customHeight="1"/>
    <row r="960" customFormat="1" ht="15" customHeight="1"/>
    <row r="961" customFormat="1" ht="15" customHeight="1"/>
    <row r="962" customFormat="1" ht="15" customHeight="1"/>
    <row r="963" customFormat="1" ht="15" customHeight="1"/>
    <row r="964" customFormat="1" ht="15" customHeight="1"/>
    <row r="965" customFormat="1" ht="15" customHeight="1"/>
    <row r="966" customFormat="1" ht="15" customHeight="1"/>
    <row r="967" customFormat="1" ht="15" customHeight="1"/>
    <row r="968" customFormat="1" ht="15" customHeight="1"/>
    <row r="969" customFormat="1" ht="15" customHeight="1"/>
    <row r="970" customFormat="1" ht="15" customHeight="1"/>
    <row r="971" customFormat="1" ht="15" customHeight="1"/>
    <row r="972" customFormat="1" ht="15" customHeight="1"/>
    <row r="973" customFormat="1" ht="15" customHeight="1"/>
    <row r="974" customFormat="1" ht="15" customHeight="1"/>
    <row r="975" customFormat="1" ht="15" customHeight="1"/>
    <row r="976" customFormat="1" ht="15" customHeight="1"/>
    <row r="977" customFormat="1" ht="15" customHeight="1"/>
    <row r="978" customFormat="1" ht="15" customHeight="1"/>
    <row r="979" customFormat="1" ht="15" customHeight="1"/>
    <row r="980" customFormat="1" ht="15" customHeight="1"/>
    <row r="981" customFormat="1" ht="15" customHeight="1"/>
    <row r="982" customFormat="1" ht="15" customHeight="1"/>
    <row r="983" customFormat="1" ht="15" customHeight="1"/>
    <row r="984" customFormat="1" ht="15" customHeight="1"/>
    <row r="985" customFormat="1" ht="15" customHeight="1"/>
    <row r="986" customFormat="1" ht="15" customHeight="1"/>
    <row r="987" customFormat="1" ht="15" customHeight="1"/>
    <row r="988" customFormat="1" ht="15" customHeight="1"/>
    <row r="989" customFormat="1" ht="15" customHeight="1"/>
    <row r="990" customFormat="1" ht="15" customHeight="1"/>
    <row r="991" customFormat="1" ht="15" customHeight="1"/>
    <row r="992" customFormat="1" ht="15" customHeight="1"/>
    <row r="993" customFormat="1" ht="15" customHeight="1"/>
    <row r="994" customFormat="1" ht="15" customHeight="1"/>
    <row r="995" customFormat="1" ht="15" customHeight="1"/>
    <row r="996" customFormat="1" ht="15" customHeight="1"/>
    <row r="997" customFormat="1" ht="15" customHeight="1"/>
    <row r="998" customFormat="1" ht="15" customHeight="1"/>
  </sheetData>
  <mergeCells count="14">
    <mergeCell ref="B1:E1"/>
    <mergeCell ref="L1:O1"/>
    <mergeCell ref="V1:Y1"/>
    <mergeCell ref="AF1:AI1"/>
    <mergeCell ref="B2:E2"/>
    <mergeCell ref="L2:O2"/>
    <mergeCell ref="V2:Y2"/>
    <mergeCell ref="AF2:AI2"/>
    <mergeCell ref="G1:J1"/>
    <mergeCell ref="G2:J2"/>
    <mergeCell ref="Q1:T1"/>
    <mergeCell ref="Q2:T2"/>
    <mergeCell ref="AA1:AD1"/>
    <mergeCell ref="AA2:AD2"/>
  </mergeCells>
  <hyperlinks>
    <hyperlink ref="D4" r:id="rId1" display="https://www.linkedin.com/learning/the-future-of-work-the-necessary-skills-of-your-future-workforce?trk=contentmappingfile" xr:uid="{00000000-0004-0000-1F00-000000000000}"/>
    <hyperlink ref="E4" r:id="rId2" display="https://www.linkedin.com/learning/paths/advance-your-skills-as-a-manager?trk=ondemandfile" xr:uid="{00000000-0004-0000-1F00-000001000000}"/>
    <hyperlink ref="I4" r:id="rId3" display="https://www.linkedin.com/learning/ameliorer-les-performances-des-employes-employees?trk=contentmappingfile" xr:uid="{00000000-0004-0000-1F00-000002000000}"/>
    <hyperlink ref="N4" r:id="rId4" display="https://www.linkedin.com/learning/como-construir-habitos-para-el-exito?trk=contentmappingfile" xr:uid="{00000000-0004-0000-1F00-000003000000}"/>
    <hyperlink ref="O4" r:id="rId5" display="https://www.linkedin.com/learning/paths/conviertete-en-jefe-de-equipo-2?trk=ondemandfile" xr:uid="{00000000-0004-0000-1F00-000004000000}"/>
    <hyperlink ref="S4" r:id="rId6" display="https://www.linkedin.com/learning/agile-lernformate-fur-organisationen?trk=ondemandfile" xr:uid="{00000000-0004-0000-1F00-000005000000}"/>
    <hyperlink ref="T4" r:id="rId7" display="https://www.linkedin.com/learning/paths/mitarbeiter-finden-und-halten?trk=ondemandfile" xr:uid="{00000000-0004-0000-1F00-000006000000}"/>
    <hyperlink ref="X4" r:id="rId8" display="https://www.linkedin.com/learning/disrupting-yourself-3?trk=contentmappingfile" xr:uid="{00000000-0004-0000-1F00-000007000000}"/>
    <hyperlink ref="AD4" r:id="rId9" display="https://www.linkedin.com/learning/paths/torne-se-um-lider?trk=ondemandfile" xr:uid="{00000000-0004-0000-1F00-000008000000}"/>
    <hyperlink ref="AH4" r:id="rId10" display="https://www.linkedin.com/learning/delivering-employee-feedback-3?trk=ondemandfile" xr:uid="{00000000-0004-0000-1F00-000009000000}"/>
    <hyperlink ref="AI4" r:id="rId11" display="https://www.linkedin.com/learning/paths/3db8a531-c16b-3623-9891-2cd47ac19f68?trk=ondemandfile" xr:uid="{00000000-0004-0000-1F00-00000A000000}"/>
    <hyperlink ref="D5" r:id="rId12" display="https://www.linkedin.com/learning/built-to-last-successful-habits-of-visionary-companies?trk=ondemandfile" xr:uid="{00000000-0004-0000-1F00-00000B000000}"/>
    <hyperlink ref="E5" r:id="rId13" display="https://www.linkedin.com/learning/paths/become-an-administrative-professional?trk=ondemandfile" xr:uid="{00000000-0004-0000-1F00-00000C000000}"/>
    <hyperlink ref="I5" r:id="rId14" display="https://www.linkedin.com/learning/coacher-et-aider-ses-employes-employees-a-se-developper?trk=contentmappingfile" xr:uid="{00000000-0004-0000-1F00-00000D000000}"/>
    <hyperlink ref="N5" r:id="rId15" display="https://www.linkedin.com/learning/00-building-high-performance-teams?trk=ondemandfile" xr:uid="{00000000-0004-0000-1F00-00000E000000}"/>
    <hyperlink ref="S5" r:id="rId16" display="https://www.linkedin.com/learning/agiles-lernen-in-organisationen?trk=ondemandfile" xr:uid="{00000000-0004-0000-1F00-00000F000000}"/>
    <hyperlink ref="T5" r:id="rId17" display="https://www.linkedin.com/learning/paths/recruiter-in-werden?trk=ondemandfile" xr:uid="{00000000-0004-0000-1F00-000010000000}"/>
    <hyperlink ref="X5" r:id="rId18" display="https://www.linkedin.com/learning/solution-sales-14173747?trk=ondemandfile" xr:uid="{00000000-0004-0000-1F00-000011000000}"/>
    <hyperlink ref="AD5" r:id="rId19" display="https://www.linkedin.com/learning/paths/transforme-se-num-lider-disruptivo?trk=ondemandfile" xr:uid="{00000000-0004-0000-1F00-000012000000}"/>
    <hyperlink ref="AH5" r:id="rId20" display="https://www.linkedin.com/learning/creating-a-high-performance-culture-4?trk=ondemandfile" xr:uid="{00000000-0004-0000-1F00-000013000000}"/>
    <hyperlink ref="AI5" r:id="rId21" display="https://www.linkedin.com/learning/paths/2d050229-0442-3320-8921-9151a1345b8e?trk=ondemandfile" xr:uid="{00000000-0004-0000-1F00-000014000000}"/>
    <hyperlink ref="D6" r:id="rId22" display="https://www.linkedin.com/learning/good-to-great?trk=ondemandfile" xr:uid="{00000000-0004-0000-1F00-000015000000}"/>
    <hyperlink ref="E6" r:id="rId23" display="https://www.linkedin.com/learning/paths/become-an-ld-professional?trk=ondemandfile" xr:uid="{00000000-0004-0000-1F00-000016000000}"/>
    <hyperlink ref="I6" r:id="rId24" display="https://www.linkedin.com/learning/coacher-pour-generer-des-resultats?trk=contentmappingfile" xr:uid="{00000000-0004-0000-1F00-000017000000}"/>
    <hyperlink ref="N6" r:id="rId25" display="https://www.linkedin.com/learning/como-crear-una-cultura-de-alto-rendimiento?trk=ondemandfile" xr:uid="{00000000-0004-0000-1F00-000018000000}"/>
    <hyperlink ref="S6" r:id="rId26" display="https://www.linkedin.com/learning/als-fuhrungskraft-das-agile-lernen-im-team-unterstutzen?trk=ondemandfile" xr:uid="{00000000-0004-0000-1F00-000019000000}"/>
    <hyperlink ref="X6" r:id="rId27" display="https://www.linkedin.com/learning/managing-multiple-generations-8332500?trk=ondemandfile" xr:uid="{00000000-0004-0000-1F00-00001A000000}"/>
    <hyperlink ref="AH6" r:id="rId28" display="https://www.linkedin.com/learning/giving-and-receiving-feedback-4?trk=ondemandfile" xr:uid="{00000000-0004-0000-1F00-00001B000000}"/>
    <hyperlink ref="AI6" r:id="rId29" display="https://www.linkedin.com/learning/paths/3b9c9a89-02b2-326b-a8d9-5890aa750936?trk=ondemandfile" xr:uid="{00000000-0004-0000-1F00-00001C000000}"/>
    <hyperlink ref="D7" r:id="rId30" display="https://www.linkedin.com/learning/succession-planning?trk=ondemandfile" xr:uid="{00000000-0004-0000-1F00-00001D000000}"/>
    <hyperlink ref="E7" r:id="rId31" display="https://www.linkedin.com/learning/paths/become-a-senior-manager?trk=ondemandfile" xr:uid="{00000000-0004-0000-1F00-00001E000000}"/>
    <hyperlink ref="N7" r:id="rId32" display="https://www.linkedin.com/learning/como-dar-feedback-a-tu-personal?trk=contentmappingfile" xr:uid="{00000000-0004-0000-1F00-00001F000000}"/>
    <hyperlink ref="S7" r:id="rId33" display="https://www.linkedin.com/learning/beurteilungsgesprache-fuhren?trk=ondemandfile" xr:uid="{00000000-0004-0000-1F00-000020000000}"/>
    <hyperlink ref="X7" r:id="rId34" display="https://www.linkedin.com/learning/jeff-weiner-on-establishing-a-culture-and-a-plan-for-scaling-2?trk=ondemandfile" xr:uid="{00000000-0004-0000-1F00-000021000000}"/>
    <hyperlink ref="AH7" r:id="rId35" display="https://www.linkedin.com/learning/delegating-tasks-to-your-team-2?trk=ondemandfile" xr:uid="{00000000-0004-0000-1F00-000022000000}"/>
    <hyperlink ref="AI7" r:id="rId36" display="https://www.linkedin.com/learning/paths/90c69069-2437-32f7-a15c-be75af1531ab?trk=ondemandfile" xr:uid="{00000000-0004-0000-1F00-000023000000}"/>
    <hyperlink ref="D8" r:id="rId37" display="https://www.linkedin.com/learning/employee-engagement?trk=ondemandfile" xr:uid="{00000000-0004-0000-1F00-000024000000}"/>
    <hyperlink ref="E8" r:id="rId38" display="https://www.linkedin.com/learning/paths/develop-motivate-and-retain-employees?trk=ondemandfile" xr:uid="{00000000-0004-0000-1F00-000025000000}"/>
    <hyperlink ref="N8" r:id="rId39" display="https://www.linkedin.com/learning/00-dar-y-recibir-feedback?trk=ondemandfile" xr:uid="{00000000-0004-0000-1F00-000026000000}"/>
    <hyperlink ref="S8" r:id="rId40" display="https://www.linkedin.com/learning/coaching-fur-mehr-wachstum?trk=ondemandfile" xr:uid="{00000000-0004-0000-1F00-000027000000}"/>
    <hyperlink ref="X8" r:id="rId41" display="https://www.linkedin.com/learning/managing-stress-14665661?trk=contentmappingfile" xr:uid="{00000000-0004-0000-1F00-000028000000}"/>
    <hyperlink ref="AC8" r:id="rId42" display="https://www.linkedin.com/learning/como-dar-feedback-aos-colaboradores?trk=contentmappingfile" xr:uid="{00000000-0004-0000-1F00-000029000000}"/>
    <hyperlink ref="AH8" r:id="rId43" display="https://www.linkedin.com/learning/performance-based-hiring-2?trk=ondemandfile" xr:uid="{00000000-0004-0000-1F00-00002A000000}"/>
    <hyperlink ref="D9" r:id="rId44" display="https://www.linkedin.com/learning/creating-a-high-performance-culture?trk=ondemandfile" xr:uid="{00000000-0004-0000-1F00-00002B000000}"/>
    <hyperlink ref="E9" r:id="rId45" display="https://www.linkedin.com/learning/paths/diversity-inclusion-and-belonging-for-leaders-and-managers?trk=ondemandfile" xr:uid="{00000000-0004-0000-1F00-00002C000000}"/>
    <hyperlink ref="N9" r:id="rId46" display="https://www.linkedin.com/learning/como-gestionar-a-personas-con-alto-potencial?trk=contentmappingfile" xr:uid="{00000000-0004-0000-1F00-00002D000000}"/>
    <hyperlink ref="S9" r:id="rId47" display="https://www.linkedin.com/learning/coaching-skills-fur-fuhrungskrafte?trk=ondemandfile" xr:uid="{00000000-0004-0000-1F00-00002E000000}"/>
    <hyperlink ref="X9" r:id="rId48" display="https://www.linkedin.com/learning/smart-thinking-overcoming-complexity-15924090?trk=contentmappingfile" xr:uid="{00000000-0004-0000-1F00-00002F000000}"/>
    <hyperlink ref="AH9" r:id="rId49" display="https://www.linkedin.com/learning/becoming-a-good-mentor-2?trk=ondemandfile" xr:uid="{00000000-0004-0000-1F00-000030000000}"/>
    <hyperlink ref="D10" r:id="rId50" display="https://www.linkedin.com/learning/creating-a-positive-and-healthy-work-environment?trk=ondemandfile" xr:uid="{00000000-0004-0000-1F00-000031000000}"/>
    <hyperlink ref="E10" r:id="rId51" display="https://www.linkedin.com/learning/paths/finding-and-retaining-talent?trk=ondemandfile" xr:uid="{00000000-0004-0000-1F00-000032000000}"/>
    <hyperlink ref="N10" r:id="rId52" display="https://www.linkedin.com/learning/como-gestionar-al-personal-de-alto-rendimiento?trk=contentmappingfile" xr:uid="{00000000-0004-0000-1F00-000033000000}"/>
    <hyperlink ref="S10" r:id="rId53" display="https://www.linkedin.com/learning/das-personal-der-zukunft?trk=ondemandfile" xr:uid="{00000000-0004-0000-1F00-000034000000}"/>
    <hyperlink ref="X10" r:id="rId54" display="https://www.linkedin.com/learning/learning-to-say-no-16410576?trk=contentmappingfile" xr:uid="{00000000-0004-0000-1F00-000035000000}"/>
    <hyperlink ref="AC10" r:id="rId55" display="https://www.linkedin.com/learning/como-desenvolver-novas-habilidades-para-o-futuro-do-trabalho?trk=contentmappingfile" xr:uid="{00000000-0004-0000-1F00-000036000000}"/>
    <hyperlink ref="AH10" r:id="rId56" display="https://www.linkedin.com/learning/building-your-team-4?trk=ondemandfile" xr:uid="{00000000-0004-0000-1F00-000037000000}"/>
    <hyperlink ref="D11" r:id="rId57" display="https://www.linkedin.com/learning/talent-management?trk=ondemandfile" xr:uid="{00000000-0004-0000-1F00-000038000000}"/>
    <hyperlink ref="E11" r:id="rId58" display="https://www.linkedin.com/learning/paths/improve-your-coaching-skills-as-a-manager?trk=ondemandfile" xr:uid="{00000000-0004-0000-1F00-000039000000}"/>
    <hyperlink ref="N11" r:id="rId59" display="https://www.linkedin.com/learning/como-hacer-coaching-a-tu-personal-para-obtener-resultados?trk=contentmappingfile" xr:uid="{00000000-0004-0000-1F00-00003A000000}"/>
    <hyperlink ref="S11" r:id="rId60" display="https://www.linkedin.com/learning/00-teamkreativitat?trk=ondemandfile" xr:uid="{00000000-0004-0000-1F00-00003B000000}"/>
    <hyperlink ref="AC11" r:id="rId61" display="https://www.linkedin.com/learning/como-desenvolver-suas-competencias-de-mentoria?trk=contentmappingfile" xr:uid="{00000000-0004-0000-1F00-00003C000000}"/>
    <hyperlink ref="AH11" r:id="rId62" display="https://www.linkedin.com/learning/building-high-performance-teams-4?trk=ondemandfile" xr:uid="{00000000-0004-0000-1F00-00003D000000}"/>
    <hyperlink ref="D12" r:id="rId63" display="https://www.linkedin.com/learning/goal-setting-objectives-and-key-results-okrs?trk=ondemandfile" xr:uid="{00000000-0004-0000-1F00-00003E000000}"/>
    <hyperlink ref="N12" r:id="rId64" display="https://www.linkedin.com/learning/como-identificar-y-retener-personal-con-alto-potencial?trk=ondemandfile" xr:uid="{00000000-0004-0000-1F00-00003F000000}"/>
    <hyperlink ref="S12" r:id="rId65" display="https://www.linkedin.com/learning/einfuhrung-ins-e-learning?trk=ondemandfile" xr:uid="{00000000-0004-0000-1F00-000040000000}"/>
    <hyperlink ref="AC12" r:id="rId66" display="https://www.linkedin.com/learning/como-integrar-novos-colaboradores-e-colaboradoras-a-empresa?trk=contentmappingfile" xr:uid="{00000000-0004-0000-1F00-000041000000}"/>
    <hyperlink ref="AH12" r:id="rId67" display="https://www.linkedin.com/learning/discovering-your-strengths?trk=ondemandfile" xr:uid="{00000000-0004-0000-1F00-000042000000}"/>
    <hyperlink ref="D13" r:id="rId68" display="https://www.linkedin.com/learning/rewarding-employee-performance?trk=ondemandfile" xr:uid="{00000000-0004-0000-1F00-000043000000}"/>
    <hyperlink ref="N13" r:id="rId69" display="https://www.linkedin.com/learning/como-liderar-equipos-de-alto-potencial?trk=contentmappingfile" xr:uid="{00000000-0004-0000-1F00-000044000000}"/>
    <hyperlink ref="S13" r:id="rId70" display="https://www.linkedin.com/learning/e-learning-technologien-und-systeme?trk=ondemandfile" xr:uid="{00000000-0004-0000-1F00-000045000000}"/>
    <hyperlink ref="AH13" r:id="rId71" display="https://www.linkedin.com/learning/84777a9a-010b-3e75-8b28-27d3706e8c9a?trk=ondemandfile" xr:uid="{00000000-0004-0000-1F00-000046000000}"/>
    <hyperlink ref="D14" r:id="rId72" display="https://www.linkedin.com/learning/ram-charan-on-coaching-high-potentials?trk=ondemandfile" xr:uid="{00000000-0004-0000-1F00-000047000000}"/>
    <hyperlink ref="N14" r:id="rId73" display="https://www.linkedin.com/learning/como-medir-el-rendimiento-de-tu-equipo?trk=contentmappingfile" xr:uid="{00000000-0004-0000-1F00-000048000000}"/>
    <hyperlink ref="S14" r:id="rId74" display="https://www.linkedin.com/learning/expert-innen-fuhren?trk=ondemandfile" xr:uid="{00000000-0004-0000-1F00-000049000000}"/>
    <hyperlink ref="AC14" r:id="rId75" display="https://www.linkedin.com/learning/como-promover-a-empatia-no-mundo-das-tecnologias-de-informacao?trk=contentmappingfile" xr:uid="{00000000-0004-0000-1F00-00004A000000}"/>
    <hyperlink ref="AH14" r:id="rId76" display="https://www.linkedin.com/learning/developing-your-professional-image-3?trk=ondemandfile" xr:uid="{00000000-0004-0000-1F00-00004B000000}"/>
    <hyperlink ref="D15" r:id="rId77" display="https://www.linkedin.com/learning/the-purpose-effect-getabstract-summary?trk=ondemandfile" xr:uid="{00000000-0004-0000-1F00-00004C000000}"/>
    <hyperlink ref="I15" r:id="rId78" display="https://www.linkedin.com/learning/developper-la-motivation-et-l-engagement-des-employes-employees?trk=contentmappingfile" xr:uid="{00000000-0004-0000-1F00-00004D000000}"/>
    <hyperlink ref="N15" r:id="rId79" display="https://www.linkedin.com/learning/como-mejorar-el-rendimiento-de-tu-personal?trk=contentmappingfile" xr:uid="{00000000-0004-0000-1F00-00004E000000}"/>
    <hyperlink ref="S15" r:id="rId80" display="https://www.linkedin.com/learning/gewohnheiten-verandern-oder-entwickeln?trk=contentmappingfile" xr:uid="{00000000-0004-0000-1F00-00004F000000}"/>
    <hyperlink ref="AH15" r:id="rId81" display="https://www.linkedin.com/learning/onboarding-new-hires-2?trk=contentmappingfile" xr:uid="{00000000-0004-0000-1F00-000050000000}"/>
    <hyperlink ref="D16" r:id="rId82" display="https://www.linkedin.com/learning/creating-a-leadership-development-program?trk=ondemandfile" xr:uid="{00000000-0004-0000-1F00-000051000000}"/>
    <hyperlink ref="I16" r:id="rId83" display="https://www.linkedin.com/learning/developper-l-engagement-des-employes-employees?trk=contentmappingfile" xr:uid="{00000000-0004-0000-1F00-000052000000}"/>
    <hyperlink ref="N16" r:id="rId84" display="https://www.linkedin.com/learning/como-orientar-y-desarrollar-a-tu-personal?trk=contentmappingfile" xr:uid="{00000000-0004-0000-1F00-000053000000}"/>
    <hyperlink ref="S16" r:id="rId85" display="https://www.linkedin.com/learning/ihre-starken-finden?trk=contentmappingfile" xr:uid="{00000000-0004-0000-1F00-000054000000}"/>
    <hyperlink ref="AC16" r:id="rId86" display="https://www.linkedin.com/learning/competencias-profissionais-imprescindiveis-na-carreira-de-qualquer-profissional?trk=contentmappingfile" xr:uid="{00000000-0004-0000-1F00-000055000000}"/>
    <hyperlink ref="AH16" r:id="rId87" display="https://www.linkedin.com/learning/managing-employee-performance-problems-5?trk=ondemandfile" xr:uid="{00000000-0004-0000-1F00-000056000000}"/>
    <hyperlink ref="D17" r:id="rId88" display="https://www.linkedin.com/learning/developing-adaptable-managers?trk=ondemandfile" xr:uid="{00000000-0004-0000-1F00-000057000000}"/>
    <hyperlink ref="N17" r:id="rId89" display="https://www.linkedin.com/learning/como-ser-un-miembro-eficaz-del-equipo?trk=contentmappingfile" xr:uid="{00000000-0004-0000-1F00-000058000000}"/>
    <hyperlink ref="S17" r:id="rId90" display="https://www.linkedin.com/learning/internationale-personalentwicklung?trk=ondemandfile" xr:uid="{00000000-0004-0000-1F00-000059000000}"/>
    <hyperlink ref="AC17" r:id="rId91" display="https://www.linkedin.com/learning/contratacao-de-colaboradores-tecnicas-para-gerentes?trk=contentmappingfile" xr:uid="{00000000-0004-0000-1F00-00005A000000}"/>
    <hyperlink ref="AH17" r:id="rId92" display="https://www.linkedin.com/learning/managing-high-potentials-3?trk=ondemandfile" xr:uid="{00000000-0004-0000-1F00-00005B000000}"/>
    <hyperlink ref="D18" r:id="rId93" display="https://www.linkedin.com/learning/measuring-team-performance?trk=ondemandfile" xr:uid="{00000000-0004-0000-1F00-00005C000000}"/>
    <hyperlink ref="I18" r:id="rId94" display="https://www.linkedin.com/learning/donner-et-recevoir-du-feedback?trk=contentmappingfile" xr:uid="{00000000-0004-0000-1F00-00005D000000}"/>
    <hyperlink ref="N18" r:id="rId95" display="https://www.linkedin.com/learning/desbloquea-la-creatividad-de-tu-equipo?trk=contentmappingfile" xr:uid="{00000000-0004-0000-1F00-00005E000000}"/>
    <hyperlink ref="S18" r:id="rId96" display="https://www.linkedin.com/learning/00-kulturskal?trk=ondemandfile" xr:uid="{00000000-0004-0000-1F00-00005F000000}"/>
    <hyperlink ref="AC18" r:id="rId97" display="https://www.linkedin.com/learning/contratacao-e-desenvolvimento-de-futuros-colaboradores-e-colaboradoras?trk=contentmappingfile" xr:uid="{00000000-0004-0000-1F00-000060000000}"/>
    <hyperlink ref="AH18" r:id="rId98" display="https://www.linkedin.com/learning/managing-high-performers-3?trk=ondemandfile" xr:uid="{00000000-0004-0000-1F00-000061000000}"/>
    <hyperlink ref="D19" r:id="rId99" display="https://www.linkedin.com/learning/creating-the-conditions-for-others-to-thrive?trk=ondemandfile" xr:uid="{00000000-0004-0000-1F00-000062000000}"/>
    <hyperlink ref="N19" r:id="rId100" display="https://www.linkedin.com/learning/empodera-a-tu-equipo?trk=contentmappingfile" xr:uid="{00000000-0004-0000-1F00-000063000000}"/>
    <hyperlink ref="S19" r:id="rId101" display="https://www.linkedin.com/learning/leistungstrager-fuhren?trk=ondemandfile" xr:uid="{00000000-0004-0000-1F00-000064000000}"/>
    <hyperlink ref="AH19" r:id="rId102" display="https://www.linkedin.com/learning/setting-team-and-employee-goals-3?trk=ondemandfile" xr:uid="{00000000-0004-0000-1F00-000065000000}"/>
    <hyperlink ref="D20" r:id="rId103" display="https://www.linkedin.com/learning/employee-experience?trk=ondemandfile" xr:uid="{00000000-0004-0000-1F00-000066000000}"/>
    <hyperlink ref="N20" r:id="rId104" display="https://www.linkedin.com/learning/fundamentos-y-consejos-para-gerentes-principiantes?trk=contentmappingfile" xr:uid="{00000000-0004-0000-1F00-000067000000}"/>
    <hyperlink ref="S20" r:id="rId105" display="https://www.linkedin.com/learning/00-mentoring?trk=ondemandfile" xr:uid="{00000000-0004-0000-1F00-000068000000}"/>
    <hyperlink ref="AH20" r:id="rId106" display="https://www.linkedin.com/learning/measuring-team-performance-5?trk=ondemandfile" xr:uid="{00000000-0004-0000-1F00-000069000000}"/>
    <hyperlink ref="D21" r:id="rId107" display="https://www.linkedin.com/learning/managing-multiple-generations-2?trk=ondemandfile" xr:uid="{00000000-0004-0000-1F00-00006A000000}"/>
    <hyperlink ref="I21" r:id="rId108" display="https://www.linkedin.com/learning/etablir-des-objectifs-pour-son-equipe-et-ses-employes-employees?trk=contentmappingfile" xr:uid="{00000000-0004-0000-1F00-00006B000000}"/>
    <hyperlink ref="N21" r:id="rId109" display="https://www.linkedin.com/learning/gestion-de-equipos-mediante-okr-s-o-misiones-objetivos-y-resultados-clave?trk=contentmappingfile" xr:uid="{00000000-0004-0000-1F00-00006C000000}"/>
    <hyperlink ref="S21" r:id="rId110" display="https://www.linkedin.com/learning/mit-schwierigen-mitarbeiter-innen-umgehen?trk=ondemandfile" xr:uid="{00000000-0004-0000-1F00-00006D000000}"/>
    <hyperlink ref="AC21" r:id="rId111" display="https://www.linkedin.com/learning/fundamentos-da-criatividade-como-despertar-o-talento-de-sua-equipe?trk=contentmappingfile" xr:uid="{00000000-0004-0000-1F00-00006E000000}"/>
    <hyperlink ref="AH21" r:id="rId112" display="https://www.linkedin.com/learning/coaching-and-developing-employees-3?trk=ondemandfile" xr:uid="{00000000-0004-0000-1F00-00006F000000}"/>
    <hyperlink ref="D22" r:id="rId113" display="https://www.linkedin.com/learning/human-centered-leadership?trk=ondemandfile" xr:uid="{00000000-0004-0000-1F00-000070000000}"/>
    <hyperlink ref="N22" r:id="rId114" display="https://www.linkedin.com/learning/00-managing-employee-performance-problems?trk=ondemandfile" xr:uid="{00000000-0004-0000-1F00-000071000000}"/>
    <hyperlink ref="S22" r:id="rId115" display="https://www.linkedin.com/learning/00-mitarbeiter-entickeln?trk=ondemandfile" xr:uid="{00000000-0004-0000-1F00-000072000000}"/>
    <hyperlink ref="AC22" r:id="rId116" display="https://www.linkedin.com/learning/fundamentos-da-criatividade-como-despertar-sua-curiosidade?trk=contentmappingfile" xr:uid="{00000000-0004-0000-1F00-000073000000}"/>
    <hyperlink ref="AH22" r:id="rId117" display="https://www.linkedin.com/learning/hiring-and-developing-your-future-workforce-2?trk=ondemandfile" xr:uid="{00000000-0004-0000-1F00-000074000000}"/>
    <hyperlink ref="D23" r:id="rId118" display="https://www.linkedin.com/learning/developing-managers-in-organizations?trk=ondemandfile" xr:uid="{00000000-0004-0000-1F00-000075000000}"/>
    <hyperlink ref="I23" r:id="rId119" display="https://www.linkedin.com/learning/gerer-les-employes-tres-performants-employees-tres-performantes?trk=contentmappingfile" xr:uid="{00000000-0004-0000-1F00-000076000000}"/>
    <hyperlink ref="N23" r:id="rId120" display="https://www.linkedin.com/learning/00-mentoring-others?trk=ondemandfile" xr:uid="{00000000-0004-0000-1F00-000077000000}"/>
    <hyperlink ref="S23" r:id="rId121" display="https://www.linkedin.com/learning/00-feedback?trk=ondemandfile" xr:uid="{00000000-0004-0000-1F00-000078000000}"/>
    <hyperlink ref="AC23" r:id="rId122" display="https://www.linkedin.com/learning/fundamentos-da-criatividade-como-soltar-sua-imaginacao-e-encontrar-novas-ideias?trk=contentmappingfile" xr:uid="{00000000-0004-0000-1F00-000079000000}"/>
    <hyperlink ref="AH23" r:id="rId123" display="https://www.linkedin.com/learning/coaching-skills-for-leaders-and-managers-5?trk=ondemandfile" xr:uid="{00000000-0004-0000-1F00-00007A000000}"/>
    <hyperlink ref="D24" r:id="rId124" display="https://www.linkedin.com/learning/360-degree-feedback?trk=ondemandfile" xr:uid="{00000000-0004-0000-1F00-00007B000000}"/>
    <hyperlink ref="S24" r:id="rId125" display="https://www.linkedin.com/learning/mitarbeiter-innen-motivieren?trk=ondemandfile" xr:uid="{00000000-0004-0000-1F00-00007C000000}"/>
    <hyperlink ref="D25" r:id="rId126" display="https://www.linkedin.com/learning/working-with-an-executive-coach?trk=ondemandfile" xr:uid="{00000000-0004-0000-1F00-00007D000000}"/>
    <hyperlink ref="S25" r:id="rId127" display="https://www.linkedin.com/learning/00-onboarding?trk=ondemandfile" xr:uid="{00000000-0004-0000-1F00-00007E000000}"/>
    <hyperlink ref="D26" r:id="rId128" display="https://www.linkedin.com/learning/becoming-a-thought-leader-2?trk=ondemandfile" xr:uid="{00000000-0004-0000-1F00-00007F000000}"/>
    <hyperlink ref="S26" r:id="rId129" display="https://www.linkedin.com/learning/hr-strategien?trk=ondemandfile" xr:uid="{00000000-0004-0000-1F00-000080000000}"/>
    <hyperlink ref="D27" r:id="rId130" display="https://www.linkedin.com/learning/developing-a-mentoring-program?trk=ondemandfile" xr:uid="{00000000-0004-0000-1F00-000081000000}"/>
    <hyperlink ref="S27" r:id="rId131" display="https://www.linkedin.com/learning/personalwesen-onboarding-programme-durchfuhren?trk=ondemandfile" xr:uid="{00000000-0004-0000-1F00-000082000000}"/>
    <hyperlink ref="D28" r:id="rId132" display="https://www.linkedin.com/learning/coaching-new-managers?trk=ondemandfile" xr:uid="{00000000-0004-0000-1F00-000083000000}"/>
    <hyperlink ref="S28" r:id="rId133" display="https://www.linkedin.com/learning/recruiting-grundlagen?trk=ondemandfile" xr:uid="{00000000-0004-0000-1F00-000084000000}"/>
    <hyperlink ref="D29" r:id="rId134" display="https://www.linkedin.com/learning/build-your-team?trk=ondemandfile" xr:uid="{00000000-0004-0000-1F00-000085000000}"/>
    <hyperlink ref="S29" r:id="rId135" display="https://www.linkedin.com/learning/active-sourcing?trk=ondemandfile" xr:uid="{00000000-0004-0000-1F00-000086000000}"/>
    <hyperlink ref="D30" r:id="rId136" display="https://www.linkedin.com/learning/how-to-set-team-and-employee-goals?trk=ondemandfile" xr:uid="{00000000-0004-0000-1F00-000087000000}"/>
    <hyperlink ref="S30" r:id="rId137" display="https://www.linkedin.com/learning/fachkraftemangel-mit-modernem-recruiting-beheben?trk=ondemandfile" xr:uid="{00000000-0004-0000-1F00-000088000000}"/>
    <hyperlink ref="D31" r:id="rId138" display="https://www.linkedin.com/learning/managing-high-performers?trk=ondemandfile" xr:uid="{00000000-0004-0000-1F00-000089000000}"/>
    <hyperlink ref="S31" r:id="rId139" display="https://www.linkedin.com/learning/interview-recruitung?trk=ondemandfile" xr:uid="{00000000-0004-0000-1F00-00008A000000}"/>
    <hyperlink ref="D32" r:id="rId140" display="https://www.linkedin.com/learning/managing-high-potentials?trk=ondemandfile" xr:uid="{00000000-0004-0000-1F00-00008B000000}"/>
    <hyperlink ref="S32" r:id="rId141" display="https://www.linkedin.com/learning/servant-leadership-dienende-fuhrung?trk=ondemandfile" xr:uid="{00000000-0004-0000-1F00-00008C000000}"/>
    <hyperlink ref="D33" r:id="rId142" display="https://www.linkedin.com/learning/virtual-performance-reviews-and-feedback?trk=ondemandfile" xr:uid="{00000000-0004-0000-1F00-00008D000000}"/>
    <hyperlink ref="S33" r:id="rId143" display="https://www.linkedin.com/learning/potenzialtrager-fuhren?trk=ondemandfile" xr:uid="{00000000-0004-0000-1F00-00008E000000}"/>
    <hyperlink ref="D34" r:id="rId144" display="https://www.linkedin.com/learning/lean-technology-strategy-building-high-performing-teams?trk=ondemandfile" xr:uid="{00000000-0004-0000-1F00-00008F000000}"/>
    <hyperlink ref="S34" r:id="rId145" display="https://www.linkedin.com/learning/talente-finden-und-binden?trk=ondemandfile" xr:uid="{00000000-0004-0000-1F00-000090000000}"/>
    <hyperlink ref="D35" r:id="rId146" display="https://www.linkedin.com/learning/transitioning-from-technical-professional-to-manager?trk=ondemandfile" xr:uid="{00000000-0004-0000-1F00-000091000000}"/>
    <hyperlink ref="S35" r:id="rId147" display="https://www.linkedin.com/learning/00-teams-bilden?trk=ondemandfile" xr:uid="{00000000-0004-0000-1F00-000092000000}"/>
    <hyperlink ref="D36" r:id="rId148" display="https://www.linkedin.com/learning/developing-adaptable-employees?trk=ondemandfile" xr:uid="{00000000-0004-0000-1F00-000093000000}"/>
    <hyperlink ref="S36" r:id="rId149" display="https://www.linkedin.com/learning/tipps-fur-mehr-erfolg-jede-woche-neu?trk=contentmappingfile" xr:uid="{00000000-0004-0000-1F00-000094000000}"/>
    <hyperlink ref="D37" r:id="rId150" display="https://www.linkedin.com/learning/improving-employee-performance?trk=ondemandfile" xr:uid="{00000000-0004-0000-1F00-000095000000}"/>
    <hyperlink ref="S37" r:id="rId151" display="https://www.linkedin.com/learning/ziele-fur-mitarbeiter-innen-und-teams-setzen?trk=ondemandfile" xr:uid="{00000000-0004-0000-1F00-000096000000}"/>
    <hyperlink ref="D38" r:id="rId152" display="https://www.linkedin.com/learning/motivating-and-engaging-employees-2?trk=ondemandfile" xr:uid="{00000000-0004-0000-1F00-000097000000}"/>
    <hyperlink ref="D39" r:id="rId153" display="https://www.linkedin.com/learning/coaching-and-developing-employees-2019?trk=ondemandfile" xr:uid="{00000000-0004-0000-1F00-000098000000}"/>
    <hyperlink ref="D40" r:id="rId154" display="https://www.linkedin.com/learning/delivering-employee-feedback-2019?trk=ondemandfile" xr:uid="{00000000-0004-0000-1F00-000099000000}"/>
    <hyperlink ref="D41" r:id="rId155" display="https://www.linkedin.com/learning/coaching-new-hires?trk=ondemandfile" xr:uid="{00000000-0004-0000-1F00-00009A000000}"/>
    <hyperlink ref="D42" r:id="rId156" display="https://www.linkedin.com/learning/delegating-tasks?trk=ondemandfile" xr:uid="{00000000-0004-0000-1F00-00009B000000}"/>
    <hyperlink ref="D43" r:id="rId157" display="https://www.linkedin.com/learning/building-high-performance-teams?trk=ondemandfile" xr:uid="{00000000-0004-0000-1F00-00009C000000}"/>
    <hyperlink ref="D44" r:id="rId158" display="https://www.linkedin.com/learning/coaching-for-results?trk=ondemandfile" xr:uid="{00000000-0004-0000-1F00-00009D000000}"/>
    <hyperlink ref="D45" r:id="rId159" display="https://www.linkedin.com/learning/coaching-employees-through-difficult-situations?trk=ondemandfile" xr:uid="{00000000-0004-0000-1F00-00009E000000}"/>
    <hyperlink ref="D46" r:id="rId160" display="https://www.linkedin.com/learning/coaching-skills-for-leaders-and-managers?trk=ondemandfile" xr:uid="{00000000-0004-0000-1F00-00009F000000}"/>
    <hyperlink ref="D47" r:id="rId161" display="https://www.linkedin.com/learning/developing-leaders-on-your-team?trk=ondemandfile" xr:uid="{00000000-0004-0000-1F00-0000A0000000}"/>
    <hyperlink ref="D48" r:id="rId162" display="https://www.linkedin.com/learning/managing-employee-performance-problems-2018?trk=ondemandfile" xr:uid="{00000000-0004-0000-1F00-0000A1000000}"/>
    <hyperlink ref="D49" r:id="rId163" display="https://www.linkedin.com/learning/persuasive-coaching?trk=ondemandfile" xr:uid="{00000000-0004-0000-1F00-0000A2000000}"/>
    <hyperlink ref="D50" r:id="rId164" display="https://www.linkedin.com/learning/connecting-to-executives-2018?trk=ondemandfile" xr:uid="{00000000-0004-0000-1F00-0000A3000000}"/>
    <hyperlink ref="D51" r:id="rId165" display="https://www.linkedin.com/learning/building-and-fostering-a-great-sales-culture?trk=ondemandfile" xr:uid="{00000000-0004-0000-1F00-0000A4000000}"/>
    <hyperlink ref="D52" r:id="rId166" display="https://www.linkedin.com/learning/make-the-move-from-individual-contributor-to-manager?trk=ondemandfile" xr:uid="{00000000-0004-0000-1F00-0000A5000000}"/>
    <hyperlink ref="D53" r:id="rId167" display="https://www.linkedin.com/learning/become-a-better-coach-for-your-team?trk=ondemandfile" xr:uid="{00000000-0004-0000-1F00-0000A6000000}"/>
    <hyperlink ref="D54" r:id="rId168" display="https://www.linkedin.com/learning/using-neuroscience-for-more-effective-l-d?trk=ondemandfile" xr:uid="{00000000-0004-0000-1F00-0000A7000000}"/>
    <hyperlink ref="D55" r:id="rId169" display="https://www.linkedin.com/learning/using-assessments-to-hire-customer-service-reps?trk=ondemandfile" xr:uid="{00000000-0004-0000-1F00-0000A8000000}"/>
    <hyperlink ref="D56" r:id="rId170" display="https://www.linkedin.com/learning/women-transforming-tech-tips-for-career-success?trk=ondemandfile" xr:uid="{00000000-0004-0000-1F00-0000A9000000}"/>
    <hyperlink ref="D57" r:id="rId171" display="https://www.linkedin.com/learning/foundations-of-corporate-training?trk=ondemandfile" xr:uid="{00000000-0004-0000-1F00-0000AA000000}"/>
    <hyperlink ref="D58" r:id="rId172" display="https://www.linkedin.com/learning/women-transforming-tech-finding-a-mentor?trk=ondemandfile" xr:uid="{00000000-0004-0000-1F00-0000AB000000}"/>
    <hyperlink ref="D59" r:id="rId173" display="https://www.linkedin.com/learning/women-transforming-tech-breaking-in-and-staying-in-the-industry?trk=ondemandfile" xr:uid="{00000000-0004-0000-1F00-0000AC000000}"/>
    <hyperlink ref="D60" r:id="rId174" display="https://www.linkedin.com/learning/effective-sponsorship-across-difference-for-proteges?trk=contentmappingfile" xr:uid="{00000000-0004-0000-1F00-0000AD000000}"/>
    <hyperlink ref="D61" r:id="rId175" display="https://www.linkedin.com/learning/the-secrets-to-success-at-work?trk=ondemandfile" xr:uid="{00000000-0004-0000-1F00-0000AE000000}"/>
    <hyperlink ref="D62" r:id="rId176" display="https://www.linkedin.com/learning/recognizing-and-rewarding-your-workers?trk=ondemandfile" xr:uid="{00000000-0004-0000-1F00-0000AF000000}"/>
    <hyperlink ref="D63" r:id="rId177" display="https://www.linkedin.com/learning/increase-visibility-to-advance-your-career?trk=ondemandfile" xr:uid="{00000000-0004-0000-1F00-0000B0000000}"/>
    <hyperlink ref="D64" r:id="rId178" display="https://www.linkedin.com/learning/giving-and-receiving-feedback?trk=ondemandfile" xr:uid="{00000000-0004-0000-1F00-0000B1000000}"/>
    <hyperlink ref="D65" r:id="rId179" display="https://www.linkedin.com/learning/how-to-be-a-good-mentee?trk=ondemandfile" xr:uid="{00000000-0004-0000-1F00-0000B2000000}"/>
    <hyperlink ref="D66" r:id="rId180" display="https://www.linkedin.com/learning/boosting-your-team-s-productivity?trk=ondemandfile" xr:uid="{00000000-0004-0000-1F00-0000B3000000}"/>
    <hyperlink ref="D67" r:id="rId181" display="https://www.linkedin.com/learning/executive-coaching?trk=ondemandfile" xr:uid="{00000000-0004-0000-1F00-0000B4000000}"/>
    <hyperlink ref="D68" r:id="rId182" display="https://www.linkedin.com/learning/all-you-have-to-do-is-ask-how-to-ask-for-help-when-you-need-it?trk=ondemandfile" xr:uid="{00000000-0004-0000-1F00-0000B5000000}"/>
    <hyperlink ref="D69" r:id="rId183" display="https://www.linkedin.com/learning/how-to-succeed-in-a-case-study-interview?trk=ondemandfile" xr:uid="{00000000-0004-0000-1F00-0000B6000000}"/>
    <hyperlink ref="D70" r:id="rId184" display="https://www.linkedin.com/learning/habits-for-success?trk=ondemandfile" xr:uid="{00000000-0004-0000-1F00-0000B7000000}"/>
    <hyperlink ref="D71" r:id="rId185" display="https://www.linkedin.com/learning/getting-executive-buy-in-and-support-for-your-l-d-program?trk=ondemandfile" xr:uid="{00000000-0004-0000-1F00-0000B8000000}"/>
    <hyperlink ref="D72" r:id="rId186" display="https://www.linkedin.com/learning/enhancing-team-innovation?trk=ondemandfile" xr:uid="{00000000-0004-0000-1F00-0000B9000000}"/>
    <hyperlink ref="D73" r:id="rId187" display="https://www.linkedin.com/learning/building-a-coaching-culture-improving-performance-through-timely-feedback?trk=ondemandfile" xr:uid="{00000000-0004-0000-1F00-0000BA000000}"/>
    <hyperlink ref="D74" r:id="rId188" display="https://www.linkedin.com/learning/a-toolkit-for-giving-and-receiving-better-feedback?trk=ondemandfile" xr:uid="{00000000-0004-0000-1F00-0000BB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Click and enter a value from range 'Competency Titles'!A1:A27" xr:uid="{00000000-0002-0000-1F00-000000000000}">
          <x14:formula1>
            <xm:f>#REF!</xm:f>
          </x14:formula1>
          <xm:sqref>B1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6B26B"/>
    <outlinePr summaryBelow="0" summaryRight="0"/>
  </sheetPr>
  <dimension ref="A1:AJ99"/>
  <sheetViews>
    <sheetView showGridLines="0" workbookViewId="0">
      <pane ySplit="3" topLeftCell="A4" activePane="bottomLeft" state="frozen"/>
      <selection pane="bottomLeft" sqref="A1:XFD1048576"/>
    </sheetView>
  </sheetViews>
  <sheetFormatPr baseColWidth="10" defaultColWidth="11.1640625" defaultRowHeight="15" customHeight="1"/>
  <cols>
    <col min="1" max="1" width="1.1640625" customWidth="1"/>
    <col min="2" max="2" width="11.1640625" customWidth="1"/>
    <col min="3" max="3" width="18.5" customWidth="1"/>
    <col min="4" max="5" width="44.5" customWidth="1"/>
    <col min="6" max="6" width="1.1640625" customWidth="1"/>
    <col min="7" max="7" width="11.1640625" customWidth="1"/>
    <col min="8" max="8" width="19.33203125" customWidth="1"/>
    <col min="9" max="10" width="44.5" customWidth="1"/>
    <col min="11" max="11" width="1.1640625" customWidth="1"/>
    <col min="12" max="12" width="11.1640625" customWidth="1"/>
    <col min="13" max="13" width="20.83203125" customWidth="1"/>
    <col min="14" max="15" width="44.5" customWidth="1"/>
    <col min="16" max="16" width="1.1640625" customWidth="1"/>
    <col min="17" max="17" width="11.1640625" customWidth="1"/>
    <col min="18" max="18" width="19.6640625" customWidth="1"/>
    <col min="19" max="20" width="44.5" customWidth="1"/>
    <col min="21" max="21" width="1.1640625" customWidth="1"/>
    <col min="23" max="23" width="18.6640625" customWidth="1"/>
    <col min="24" max="25" width="44.5" customWidth="1"/>
    <col min="26" max="26" width="1.1640625" customWidth="1"/>
    <col min="27" max="27" width="11.1640625" customWidth="1"/>
    <col min="28" max="28" width="26.6640625" customWidth="1"/>
    <col min="29" max="30" width="44.5" customWidth="1"/>
    <col min="31" max="31" width="1.1640625" customWidth="1"/>
    <col min="32" max="32" width="11.1640625" customWidth="1"/>
    <col min="33" max="33" width="21" customWidth="1"/>
    <col min="34" max="35" width="44.5" customWidth="1"/>
    <col min="36" max="36" width="1.1640625" customWidth="1"/>
  </cols>
  <sheetData>
    <row r="1" spans="1:36" ht="34.5" customHeight="1">
      <c r="A1" s="208"/>
      <c r="B1" s="230" t="s">
        <v>22</v>
      </c>
      <c r="C1" s="222"/>
      <c r="D1" s="222"/>
      <c r="E1" s="222"/>
      <c r="F1" s="208"/>
      <c r="G1" s="230" t="str">
        <f ca="1">IFERROR(__xludf.DUMMYFUNCTION("IFERROR(UNIQUE(FILTER(French!B:B,French!A:A=B1)))"),"Gestion des talents")</f>
        <v>Gestion des talents</v>
      </c>
      <c r="H1" s="222"/>
      <c r="I1" s="222"/>
      <c r="J1" s="222"/>
      <c r="K1" s="208"/>
      <c r="L1" s="230" t="str">
        <f ca="1">IFERROR(__xludf.DUMMYFUNCTION("IFERROR((UNIQUE(FILTER(Spanish!B:B,Spanish!A:A=B1))))"),"Gestión del talento")</f>
        <v>Gestión del talento</v>
      </c>
      <c r="M1" s="222"/>
      <c r="N1" s="222"/>
      <c r="O1" s="222"/>
      <c r="P1" s="208"/>
      <c r="Q1" s="230" t="str">
        <f ca="1">IFERROR(__xludf.DUMMYFUNCTION("IFERROR(UNIQUE(FILTER(German!B:B,German!A:A=B1)))"),"Personalmanagement")</f>
        <v>Personalmanagement</v>
      </c>
      <c r="R1" s="222"/>
      <c r="S1" s="222"/>
      <c r="T1" s="222"/>
      <c r="U1" s="208"/>
      <c r="V1" s="230" t="str">
        <f ca="1">IFERROR(__xludf.DUMMYFUNCTION("IFERROR(UNIQUE(FILTER(Japanese!B:B,Japanese!A:A=B1)))"),"人材管理")</f>
        <v>人材管理</v>
      </c>
      <c r="W1" s="222"/>
      <c r="X1" s="222"/>
      <c r="Y1" s="222"/>
      <c r="Z1" s="208"/>
      <c r="AA1" s="230" t="str">
        <f ca="1">IFERROR(__xludf.DUMMYFUNCTION("IFERROR(UNIQUE(FILTER(Portuguese!B:B,Portuguese!A:A=B1)))"),"Gestão de talentos")</f>
        <v>Gestão de talentos</v>
      </c>
      <c r="AB1" s="222"/>
      <c r="AC1" s="222"/>
      <c r="AD1" s="222"/>
      <c r="AE1" s="208"/>
      <c r="AF1" s="230" t="str">
        <f ca="1">IFERROR(__xludf.DUMMYFUNCTION("IFERROR(UNIQUE(FILTER(Mandarin!B:B,Mandarin!A:A=B1)))"),"人才管理")</f>
        <v>人才管理</v>
      </c>
      <c r="AG1" s="222"/>
      <c r="AH1" s="222"/>
      <c r="AI1" s="222"/>
      <c r="AJ1" s="208"/>
    </row>
    <row r="2" spans="1:36" ht="28" customHeight="1">
      <c r="A2" s="209"/>
      <c r="B2" s="234" t="s">
        <v>4713</v>
      </c>
      <c r="C2" s="222"/>
      <c r="D2" s="222"/>
      <c r="E2" s="222"/>
      <c r="F2" s="209"/>
      <c r="G2" s="231" t="s">
        <v>4714</v>
      </c>
      <c r="H2" s="222"/>
      <c r="I2" s="222"/>
      <c r="J2" s="222"/>
      <c r="K2" s="209"/>
      <c r="L2" s="235" t="s">
        <v>4715</v>
      </c>
      <c r="M2" s="222"/>
      <c r="N2" s="222"/>
      <c r="O2" s="222"/>
      <c r="P2" s="209"/>
      <c r="Q2" s="232" t="s">
        <v>4716</v>
      </c>
      <c r="R2" s="222"/>
      <c r="S2" s="222"/>
      <c r="T2" s="222"/>
      <c r="U2" s="209"/>
      <c r="V2" s="236" t="s">
        <v>4717</v>
      </c>
      <c r="W2" s="222"/>
      <c r="X2" s="222"/>
      <c r="Y2" s="222"/>
      <c r="Z2" s="209"/>
      <c r="AA2" s="233" t="s">
        <v>4718</v>
      </c>
      <c r="AB2" s="222"/>
      <c r="AC2" s="222"/>
      <c r="AD2" s="222"/>
      <c r="AE2" s="209"/>
      <c r="AF2" s="237" t="s">
        <v>4719</v>
      </c>
      <c r="AG2" s="222"/>
      <c r="AH2" s="222"/>
      <c r="AI2" s="222"/>
      <c r="AJ2" s="209"/>
    </row>
    <row r="3" spans="1:36" ht="26" customHeight="1">
      <c r="A3" s="210"/>
      <c r="B3" s="211" t="str">
        <f ca="1">IFERROR(__xludf.DUMMYFUNCTION("FILTER(English!B:B,English!A:A=B1)"),"Course IDs")</f>
        <v>Course IDs</v>
      </c>
      <c r="C3" s="211" t="str">
        <f ca="1">IFERROR(__xludf.DUMMYFUNCTION("FILTER(English!C:C,English!A:A=B1)"),"Levels")</f>
        <v>Levels</v>
      </c>
      <c r="D3" s="211" t="str">
        <f ca="1">IFERROR(__xludf.DUMMYFUNCTION("FILTER(English!D:D,English!A:A=B1)"),"Courses")</f>
        <v>Courses</v>
      </c>
      <c r="E3" s="212" t="str">
        <f ca="1">IFERROR(__xludf.DUMMYFUNCTION("FILTER(English!E:E,English!A:A=B1)"),"Learning Paths")</f>
        <v>Learning Paths</v>
      </c>
      <c r="F3" s="210"/>
      <c r="G3" s="211" t="str">
        <f ca="1">IFERROR(__xludf.DUMMYFUNCTION("FILTER(French!C:C,French!B:B=G1)"),"Course IDs")</f>
        <v>Course IDs</v>
      </c>
      <c r="H3" s="211" t="str">
        <f ca="1">IFERROR(__xludf.DUMMYFUNCTION("FILTER(French!D:D,French!B:B=G1)"),"Levels")</f>
        <v>Levels</v>
      </c>
      <c r="I3" s="211" t="str">
        <f ca="1">IFERROR(__xludf.DUMMYFUNCTION("FILTER(French!E:E,French!B:B=G1)"),"Courses")</f>
        <v>Courses</v>
      </c>
      <c r="J3" s="212" t="str">
        <f ca="1">IFERROR(__xludf.DUMMYFUNCTION("FILTER(French!G:G,French!B:B=G1)"),"Learning Paths")</f>
        <v>Learning Paths</v>
      </c>
      <c r="K3" s="210"/>
      <c r="L3" s="211" t="str">
        <f ca="1">IFERROR(__xludf.DUMMYFUNCTION("FILTER(Spanish!C:C,Spanish!B:B=L1)"),"Course IDs")</f>
        <v>Course IDs</v>
      </c>
      <c r="M3" s="211" t="str">
        <f ca="1">IFERROR(__xludf.DUMMYFUNCTION("FILTER(Spanish!D:D,Spanish!B:B=L1)"),"Levels")</f>
        <v>Levels</v>
      </c>
      <c r="N3" s="211" t="str">
        <f ca="1">IFERROR(__xludf.DUMMYFUNCTION("FILTER(Spanish!E:E,Spanish!B:B=L1)"),"Courses")</f>
        <v>Courses</v>
      </c>
      <c r="O3" s="212" t="str">
        <f ca="1">IFERROR(__xludf.DUMMYFUNCTION("FILTER(Spanish!G:G,Spanish!B:B=L1)"),"Learning Paths")</f>
        <v>Learning Paths</v>
      </c>
      <c r="P3" s="210"/>
      <c r="Q3" s="211" t="str">
        <f ca="1">IFERROR(__xludf.DUMMYFUNCTION("FILTER(German!C:C,German!B:B=Q1)"),"Course IDs")</f>
        <v>Course IDs</v>
      </c>
      <c r="R3" s="211" t="str">
        <f ca="1">IFERROR(__xludf.DUMMYFUNCTION("FILTER(German!D:D,German!B:B=Q1)"),"Levels")</f>
        <v>Levels</v>
      </c>
      <c r="S3" s="211" t="str">
        <f ca="1">IFERROR(__xludf.DUMMYFUNCTION("FILTER(German!E:E,German!B:B=Q1)"),"Courses")</f>
        <v>Courses</v>
      </c>
      <c r="T3" s="212" t="str">
        <f ca="1">IFERROR(__xludf.DUMMYFUNCTION("FILTER(German!G:G,German!B:B=Q1)"),"Learning Paths")</f>
        <v>Learning Paths</v>
      </c>
      <c r="U3" s="210"/>
      <c r="V3" s="211">
        <f ca="1">IFERROR(__xludf.DUMMYFUNCTION("FILTER(Japanese!C:C,Japanese!B:B=V1)"),2810523)</f>
        <v>2810523</v>
      </c>
      <c r="W3" s="211" t="str">
        <f ca="1">IFERROR(__xludf.DUMMYFUNCTION("FILTER(Japanese!D:D,Japanese!B:B=V1)"),"Beginner")</f>
        <v>Beginner</v>
      </c>
      <c r="X3" s="211" t="str">
        <f ca="1">IFERROR(__xludf.DUMMYFUNCTION("FILTER(Japanese!E:E,Japanese!B:B=V1)"),"チームに仕事を任せるには")</f>
        <v>チームに仕事を任せるには</v>
      </c>
      <c r="Y3" s="212" t="str">
        <f ca="1">IFERROR(__xludf.DUMMYFUNCTION("FILTER(Japanese!G:G,Japanese!B:B=V1)"),"")</f>
        <v/>
      </c>
      <c r="Z3" s="210"/>
      <c r="AA3" s="211" t="str">
        <f ca="1">IFERROR(__xludf.DUMMYFUNCTION("FILTER(Portuguese!C:C,Portuguese!B:B=AA1)"),"Course IDs")</f>
        <v>Course IDs</v>
      </c>
      <c r="AB3" s="211" t="str">
        <f ca="1">IFERROR(__xludf.DUMMYFUNCTION("FILTER(Portuguese!D:D,Portuguese!B:B=AA1)"),"Levels")</f>
        <v>Levels</v>
      </c>
      <c r="AC3" s="211" t="str">
        <f ca="1">IFERROR(__xludf.DUMMYFUNCTION("FILTER(Portuguese!E:E,Portuguese!B:B=AA1)"),"Courses")</f>
        <v>Courses</v>
      </c>
      <c r="AD3" s="212" t="str">
        <f ca="1">IFERROR(__xludf.DUMMYFUNCTION("FILTER(Portuguese!G:G,Portuguese!B:B=AA1)"),"Learning Paths")</f>
        <v>Learning Paths</v>
      </c>
      <c r="AE3" s="210"/>
      <c r="AF3" s="211" t="str">
        <f ca="1">IFERROR(__xludf.DUMMYFUNCTION("FILTER(Mandarin!C:C,Mandarin!B:B=AF1)"),"Course IDs")</f>
        <v>Course IDs</v>
      </c>
      <c r="AG3" s="211" t="str">
        <f ca="1">IFERROR(__xludf.DUMMYFUNCTION("FILTER(Mandarin!D:D,Mandarin!B:B=AF1)"),"Levels")</f>
        <v>Levels</v>
      </c>
      <c r="AH3" s="211" t="str">
        <f ca="1">IFERROR(__xludf.DUMMYFUNCTION("FILTER(Mandarin!E:E,Mandarin!B:B=AF1)"),"Courses")</f>
        <v>Courses</v>
      </c>
      <c r="AI3" s="212" t="str">
        <f ca="1">IFERROR(__xludf.DUMMYFUNCTION("FILTER(Mandarin!G:G,Mandarin!B:B=AF1)"),"Learning Paths")</f>
        <v>Learning Paths</v>
      </c>
      <c r="AJ3" s="210"/>
    </row>
    <row r="4" spans="1:36" ht="33.75" customHeight="1">
      <c r="A4" s="213"/>
      <c r="B4" s="214">
        <f ca="1">IFERROR(__xludf.DUMMYFUNCTION("""COMPUTED_VALUE"""),564547)</f>
        <v>564547</v>
      </c>
      <c r="C4" s="215" t="str">
        <f ca="1">IFERROR(__xludf.DUMMYFUNCTION("""COMPUTED_VALUE"""),"General")</f>
        <v>General</v>
      </c>
      <c r="D4" s="216" t="str">
        <f ca="1">IFERROR(__xludf.DUMMYFUNCTION("""COMPUTED_VALUE"""),"Jeff Weiner on Establishing a Culture and a Plan for Scaling")</f>
        <v>Jeff Weiner on Establishing a Culture and a Plan for Scaling</v>
      </c>
      <c r="E4" s="217" t="str">
        <f ca="1">IFERROR(__xludf.DUMMYFUNCTION("""COMPUTED_VALUE"""),"Advance Your Skills as a Manager")</f>
        <v>Advance Your Skills as a Manager</v>
      </c>
      <c r="F4" s="213"/>
      <c r="G4" s="214">
        <f ca="1">IFERROR(__xludf.DUMMYFUNCTION("""COMPUTED_VALUE"""),5025557)</f>
        <v>5025557</v>
      </c>
      <c r="H4" s="215" t="str">
        <f ca="1">IFERROR(__xludf.DUMMYFUNCTION("""COMPUTED_VALUE"""),"Intermediate")</f>
        <v>Intermediate</v>
      </c>
      <c r="I4" s="217" t="str">
        <f ca="1">IFERROR(__xludf.DUMMYFUNCTION("""COMPUTED_VALUE"""),"Améliorer les performances des employés / employées")</f>
        <v>Améliorer les performances des employés / employées</v>
      </c>
      <c r="J4" s="217" t="str">
        <f ca="1">IFERROR(__xludf.DUMMYFUNCTION("""COMPUTED_VALUE"""),"Créer et gérer une équipe")</f>
        <v>Créer et gérer une équipe</v>
      </c>
      <c r="K4" s="213"/>
      <c r="L4" s="215">
        <f ca="1">IFERROR(__xludf.DUMMYFUNCTION("""COMPUTED_VALUE"""),561447)</f>
        <v>561447</v>
      </c>
      <c r="M4" s="215" t="str">
        <f ca="1">IFERROR(__xludf.DUMMYFUNCTION("""COMPUTED_VALUE"""),"Intermediate")</f>
        <v>Intermediate</v>
      </c>
      <c r="N4" s="217" t="str">
        <f ca="1">IFERROR(__xludf.DUMMYFUNCTION("""COMPUTED_VALUE"""),"Cómo administrar por objetivos")</f>
        <v>Cómo administrar por objetivos</v>
      </c>
      <c r="O4" s="217" t="str">
        <f ca="1">IFERROR(__xludf.DUMMYFUNCTION("""COMPUTED_VALUE"""),"Profundiza en la búsqueda, selección y retención de talentos")</f>
        <v>Profundiza en la búsqueda, selección y retención de talentos</v>
      </c>
      <c r="P4" s="213"/>
      <c r="Q4" s="215">
        <f ca="1">IFERROR(__xludf.DUMMYFUNCTION("""COMPUTED_VALUE"""),2954130)</f>
        <v>2954130</v>
      </c>
      <c r="R4" s="215" t="str">
        <f ca="1">IFERROR(__xludf.DUMMYFUNCTION("""COMPUTED_VALUE"""),"Beginner")</f>
        <v>Beginner</v>
      </c>
      <c r="S4" s="217" t="str">
        <f ca="1">IFERROR(__xludf.DUMMYFUNCTION("""COMPUTED_VALUE"""),"Berufsbild: Agiles Projektmanagement")</f>
        <v>Berufsbild: Agiles Projektmanagement</v>
      </c>
      <c r="T4" s="217" t="str">
        <f ca="1">IFERROR(__xludf.DUMMYFUNCTION("""COMPUTED_VALUE"""),"Leistungsorientiertes Management")</f>
        <v>Leistungsorientiertes Management</v>
      </c>
      <c r="U4" s="213"/>
      <c r="V4" s="215">
        <f ca="1">IFERROR(__xludf.DUMMYFUNCTION("""COMPUTED_VALUE"""),2915391)</f>
        <v>2915391</v>
      </c>
      <c r="W4" s="215" t="str">
        <f ca="1">IFERROR(__xludf.DUMMYFUNCTION("""COMPUTED_VALUE"""),"Intermediate")</f>
        <v>Intermediate</v>
      </c>
      <c r="X4" s="217" t="str">
        <f ca="1">IFERROR(__xludf.DUMMYFUNCTION("""COMPUTED_VALUE"""),"チームの業績を上げるには")</f>
        <v>チームの業績を上げるには</v>
      </c>
      <c r="Y4" s="217"/>
      <c r="Z4" s="213"/>
      <c r="AA4" s="215">
        <f ca="1">IFERROR(__xludf.DUMMYFUNCTION("""COMPUTED_VALUE"""),801464)</f>
        <v>801464</v>
      </c>
      <c r="AB4" s="215" t="str">
        <f ca="1">IFERROR(__xludf.DUMMYFUNCTION("""COMPUTED_VALUE"""),"Intermediate")</f>
        <v>Intermediate</v>
      </c>
      <c r="AC4" s="217" t="str">
        <f ca="1">IFERROR(__xludf.DUMMYFUNCTION("""COMPUTED_VALUE"""),"Como Avaliar o Desempenho da Equipe")</f>
        <v>Como Avaliar o Desempenho da Equipe</v>
      </c>
      <c r="AD4" s="217" t="str">
        <f ca="1">IFERROR(__xludf.DUMMYFUNCTION("""COMPUTED_VALUE"""),"Torne-se um Gestor de Projetos")</f>
        <v>Torne-se um Gestor de Projetos</v>
      </c>
      <c r="AE4" s="213"/>
      <c r="AF4" s="215">
        <f ca="1">IFERROR(__xludf.DUMMYFUNCTION("""COMPUTED_VALUE"""),762263)</f>
        <v>762263</v>
      </c>
      <c r="AG4" s="215" t="str">
        <f ca="1">IFERROR(__xludf.DUMMYFUNCTION("""COMPUTED_VALUE"""),"Beginner")</f>
        <v>Beginner</v>
      </c>
      <c r="AH4" s="217" t="str">
        <f ca="1">IFERROR(__xludf.DUMMYFUNCTION("""COMPUTED_VALUE"""),"为员工提供反馈")</f>
        <v>为员工提供反馈</v>
      </c>
      <c r="AI4" s="217" t="str">
        <f ca="1">IFERROR(__xludf.DUMMYFUNCTION("""COMPUTED_VALUE"""),"成为领导者")</f>
        <v>成为领导者</v>
      </c>
      <c r="AJ4" s="213"/>
    </row>
    <row r="5" spans="1:36" ht="30">
      <c r="A5" s="213"/>
      <c r="B5" s="214">
        <f ca="1">IFERROR(__xludf.DUMMYFUNCTION("""COMPUTED_VALUE"""),574670)</f>
        <v>574670</v>
      </c>
      <c r="C5" s="215" t="str">
        <f ca="1">IFERROR(__xludf.DUMMYFUNCTION("""COMPUTED_VALUE"""),"Advanced")</f>
        <v>Advanced</v>
      </c>
      <c r="D5" s="216" t="str">
        <f ca="1">IFERROR(__xludf.DUMMYFUNCTION("""COMPUTED_VALUE"""),"Creating a High Performance Culture")</f>
        <v>Creating a High Performance Culture</v>
      </c>
      <c r="E5" s="217" t="str">
        <f ca="1">IFERROR(__xludf.DUMMYFUNCTION("""COMPUTED_VALUE"""),"Become an Inclusive Leader")</f>
        <v>Become an Inclusive Leader</v>
      </c>
      <c r="F5" s="213"/>
      <c r="G5" s="214">
        <f ca="1">IFERROR(__xludf.DUMMYFUNCTION("""COMPUTED_VALUE"""),568503)</f>
        <v>568503</v>
      </c>
      <c r="H5" s="215" t="str">
        <f ca="1">IFERROR(__xludf.DUMMYFUNCTION("""COMPUTED_VALUE"""),"Beginner")</f>
        <v>Beginner</v>
      </c>
      <c r="I5" s="217" t="str">
        <f ca="1">IFERROR(__xludf.DUMMYFUNCTION("""COMPUTED_VALUE"""),"Coacher et aider ses employés / employées à se développer")</f>
        <v>Coacher et aider ses employés / employées à se développer</v>
      </c>
      <c r="J5" s="217" t="str">
        <f ca="1">IFERROR(__xludf.DUMMYFUNCTION("""COMPUTED_VALUE"""),"Attirer et garder ses talents")</f>
        <v>Attirer et garder ses talents</v>
      </c>
      <c r="K5" s="213"/>
      <c r="L5" s="215">
        <f ca="1">IFERROR(__xludf.DUMMYFUNCTION("""COMPUTED_VALUE"""),5025679)</f>
        <v>5025679</v>
      </c>
      <c r="M5" s="215" t="str">
        <f ca="1">IFERROR(__xludf.DUMMYFUNCTION("""COMPUTED_VALUE"""),"Advanced")</f>
        <v>Advanced</v>
      </c>
      <c r="N5" s="217" t="str">
        <f ca="1">IFERROR(__xludf.DUMMYFUNCTION("""COMPUTED_VALUE"""),"Cómo crear una cultura de alto rendimiento")</f>
        <v>Cómo crear una cultura de alto rendimiento</v>
      </c>
      <c r="O5" s="217" t="str">
        <f ca="1">IFERROR(__xludf.DUMMYFUNCTION("""COMPUTED_VALUE"""),"Conviértete en reclutador de talentos")</f>
        <v>Conviértete en reclutador de talentos</v>
      </c>
      <c r="P5" s="213"/>
      <c r="Q5" s="215">
        <f ca="1">IFERROR(__xludf.DUMMYFUNCTION("""COMPUTED_VALUE"""),702515)</f>
        <v>702515</v>
      </c>
      <c r="R5" s="215" t="str">
        <f ca="1">IFERROR(__xludf.DUMMYFUNCTION("""COMPUTED_VALUE"""),"Beginner")</f>
        <v>Beginner</v>
      </c>
      <c r="S5" s="217" t="str">
        <f ca="1">IFERROR(__xludf.DUMMYFUNCTION("""COMPUTED_VALUE"""),"Beurteilungsgespräche führen")</f>
        <v>Beurteilungsgespräche führen</v>
      </c>
      <c r="T5" s="217" t="str">
        <f ca="1">IFERROR(__xludf.DUMMYFUNCTION("""COMPUTED_VALUE"""),"Teams aufbauen und führen")</f>
        <v>Teams aufbauen und führen</v>
      </c>
      <c r="U5" s="213"/>
      <c r="V5" s="215">
        <f ca="1">IFERROR(__xludf.DUMMYFUNCTION("""COMPUTED_VALUE"""),2917521)</f>
        <v>2917521</v>
      </c>
      <c r="W5" s="215" t="str">
        <f ca="1">IFERROR(__xludf.DUMMYFUNCTION("""COMPUTED_VALUE"""),"Intermediate")</f>
        <v>Intermediate</v>
      </c>
      <c r="X5" s="217" t="str">
        <f ca="1">IFERROR(__xludf.DUMMYFUNCTION("""COMPUTED_VALUE"""),"バーチャルチームのマネジメント")</f>
        <v>バーチャルチームのマネジメント</v>
      </c>
      <c r="Y5" s="217"/>
      <c r="Z5" s="213"/>
      <c r="AA5" s="215">
        <f ca="1">IFERROR(__xludf.DUMMYFUNCTION("""COMPUTED_VALUE"""),2931602)</f>
        <v>2931602</v>
      </c>
      <c r="AB5" s="215" t="str">
        <f ca="1">IFERROR(__xludf.DUMMYFUNCTION("""COMPUTED_VALUE"""),"Beginner, Intermediate")</f>
        <v>Beginner, Intermediate</v>
      </c>
      <c r="AC5" s="217" t="str">
        <f ca="1">IFERROR(__xludf.DUMMYFUNCTION("""COMPUTED_VALUE"""),"Como Colaborar de Forma Eficaz com sua Equipe")</f>
        <v>Como Colaborar de Forma Eficaz com sua Equipe</v>
      </c>
      <c r="AD5" s="217" t="str">
        <f ca="1">IFERROR(__xludf.DUMMYFUNCTION("""COMPUTED_VALUE"""),"Torne-se um Líder")</f>
        <v>Torne-se um Líder</v>
      </c>
      <c r="AE5" s="213"/>
      <c r="AF5" s="215">
        <f ca="1">IFERROR(__xludf.DUMMYFUNCTION("""COMPUTED_VALUE"""),762264)</f>
        <v>762264</v>
      </c>
      <c r="AG5" s="215" t="str">
        <f ca="1">IFERROR(__xludf.DUMMYFUNCTION("""COMPUTED_VALUE"""),"Intermediate")</f>
        <v>Intermediate</v>
      </c>
      <c r="AH5" s="217" t="str">
        <f ca="1">IFERROR(__xludf.DUMMYFUNCTION("""COMPUTED_VALUE"""),"以结果为导向的管理")</f>
        <v>以结果为导向的管理</v>
      </c>
      <c r="AI5" s="217" t="str">
        <f ca="1">IFERROR(__xludf.DUMMYFUNCTION("""COMPUTED_VALUE"""),"成为项目经理")</f>
        <v>成为项目经理</v>
      </c>
      <c r="AJ5" s="213"/>
    </row>
    <row r="6" spans="1:36" ht="30">
      <c r="A6" s="213"/>
      <c r="B6" s="214">
        <f ca="1">IFERROR(__xludf.DUMMYFUNCTION("""COMPUTED_VALUE"""),624208)</f>
        <v>624208</v>
      </c>
      <c r="C6" s="215" t="str">
        <f ca="1">IFERROR(__xludf.DUMMYFUNCTION("""COMPUTED_VALUE"""),"Advanced")</f>
        <v>Advanced</v>
      </c>
      <c r="D6" s="216" t="str">
        <f ca="1">IFERROR(__xludf.DUMMYFUNCTION("""COMPUTED_VALUE"""),"Creating a Positive and Healthy Work Environment")</f>
        <v>Creating a Positive and Healthy Work Environment</v>
      </c>
      <c r="E6" s="217" t="str">
        <f ca="1">IFERROR(__xludf.DUMMYFUNCTION("""COMPUTED_VALUE"""),"Become a Senior Manager")</f>
        <v>Become a Senior Manager</v>
      </c>
      <c r="F6" s="213"/>
      <c r="G6" s="214">
        <f ca="1">IFERROR(__xludf.DUMMYFUNCTION("""COMPUTED_VALUE"""),2919355)</f>
        <v>2919355</v>
      </c>
      <c r="H6" s="215" t="str">
        <f ca="1">IFERROR(__xludf.DUMMYFUNCTION("""COMPUTED_VALUE"""),"Intermediate")</f>
        <v>Intermediate</v>
      </c>
      <c r="I6" s="217" t="str">
        <f ca="1">IFERROR(__xludf.DUMMYFUNCTION("""COMPUTED_VALUE"""),"Coacher pour générer des résultats")</f>
        <v>Coacher pour générer des résultats</v>
      </c>
      <c r="J6" s="217"/>
      <c r="K6" s="213"/>
      <c r="L6" s="215">
        <f ca="1">IFERROR(__xludf.DUMMYFUNCTION("""COMPUTED_VALUE"""),2926138)</f>
        <v>2926138</v>
      </c>
      <c r="M6" s="215" t="str">
        <f ca="1">IFERROR(__xludf.DUMMYFUNCTION("""COMPUTED_VALUE"""),"All levels")</f>
        <v>All levels</v>
      </c>
      <c r="N6" s="217" t="str">
        <f ca="1">IFERROR(__xludf.DUMMYFUNCTION("""COMPUTED_VALUE"""),"Cómo cultivar una mentalidad de crecimiento")</f>
        <v>Cómo cultivar una mentalidad de crecimiento</v>
      </c>
      <c r="O6" s="217" t="str">
        <f ca="1">IFERROR(__xludf.DUMMYFUNCTION("""COMPUTED_VALUE"""),"Conviértete en jefe de equipo")</f>
        <v>Conviértete en jefe de equipo</v>
      </c>
      <c r="P6" s="213"/>
      <c r="Q6" s="215">
        <f ca="1">IFERROR(__xludf.DUMMYFUNCTION("""COMPUTED_VALUE"""),5034156)</f>
        <v>5034156</v>
      </c>
      <c r="R6" s="215" t="str">
        <f ca="1">IFERROR(__xludf.DUMMYFUNCTION("""COMPUTED_VALUE"""),"All levels")</f>
        <v>All levels</v>
      </c>
      <c r="S6" s="217" t="str">
        <f ca="1">IFERROR(__xludf.DUMMYFUNCTION("""COMPUTED_VALUE"""),"Coaching für mehr Wachstum")</f>
        <v>Coaching für mehr Wachstum</v>
      </c>
      <c r="T6" s="217"/>
      <c r="U6" s="213"/>
      <c r="V6" s="215">
        <f ca="1">IFERROR(__xludf.DUMMYFUNCTION("""COMPUTED_VALUE"""),3155193)</f>
        <v>3155193</v>
      </c>
      <c r="W6" s="215" t="str">
        <f ca="1">IFERROR(__xludf.DUMMYFUNCTION("""COMPUTED_VALUE"""),"All levels")</f>
        <v>All levels</v>
      </c>
      <c r="X6" s="217" t="str">
        <f ca="1">IFERROR(__xludf.DUMMYFUNCTION("""COMPUTED_VALUE"""),"はっきりと自己を主張するには")</f>
        <v>はっきりと自己を主張するには</v>
      </c>
      <c r="Y6" s="217"/>
      <c r="Z6" s="213"/>
      <c r="AA6" s="215">
        <f ca="1">IFERROR(__xludf.DUMMYFUNCTION("""COMPUTED_VALUE"""),800463)</f>
        <v>800463</v>
      </c>
      <c r="AB6" s="215" t="str">
        <f ca="1">IFERROR(__xludf.DUMMYFUNCTION("""COMPUTED_VALUE"""),"Beginner")</f>
        <v>Beginner</v>
      </c>
      <c r="AC6" s="217" t="str">
        <f ca="1">IFERROR(__xludf.DUMMYFUNCTION("""COMPUTED_VALUE"""),"Como Criar sua Equipe")</f>
        <v>Como Criar sua Equipe</v>
      </c>
      <c r="AD6" s="217" t="str">
        <f ca="1">IFERROR(__xludf.DUMMYFUNCTION("""COMPUTED_VALUE"""),"Transforme-se num Líder Disruptivo")</f>
        <v>Transforme-se num Líder Disruptivo</v>
      </c>
      <c r="AE6" s="213"/>
      <c r="AF6" s="215">
        <f ca="1">IFERROR(__xludf.DUMMYFUNCTION("""COMPUTED_VALUE"""),2255864)</f>
        <v>2255864</v>
      </c>
      <c r="AG6" s="215" t="str">
        <f ca="1">IFERROR(__xludf.DUMMYFUNCTION("""COMPUTED_VALUE"""),"Intermediate")</f>
        <v>Intermediate</v>
      </c>
      <c r="AH6" s="217" t="str">
        <f ca="1">IFERROR(__xludf.DUMMYFUNCTION("""COMPUTED_VALUE"""),"创建高绩效文化")</f>
        <v>创建高绩效文化</v>
      </c>
      <c r="AI6" s="217" t="str">
        <f ca="1">IFERROR(__xludf.DUMMYFUNCTION("""COMPUTED_VALUE"""),"发掘并留住人才")</f>
        <v>发掘并留住人才</v>
      </c>
      <c r="AJ6" s="213"/>
    </row>
    <row r="7" spans="1:36" ht="33.75" customHeight="1">
      <c r="A7" s="213"/>
      <c r="B7" s="214">
        <f ca="1">IFERROR(__xludf.DUMMYFUNCTION("""COMPUTED_VALUE"""),2812491)</f>
        <v>2812491</v>
      </c>
      <c r="C7" s="215" t="str">
        <f ca="1">IFERROR(__xludf.DUMMYFUNCTION("""COMPUTED_VALUE"""),"Advanced")</f>
        <v>Advanced</v>
      </c>
      <c r="D7" s="216" t="str">
        <f ca="1">IFERROR(__xludf.DUMMYFUNCTION("""COMPUTED_VALUE"""),"Ideation for Leaders")</f>
        <v>Ideation for Leaders</v>
      </c>
      <c r="E7" s="217" t="str">
        <f ca="1">IFERROR(__xludf.DUMMYFUNCTION("""COMPUTED_VALUE"""),"Finding and Retaining Talent")</f>
        <v>Finding and Retaining Talent</v>
      </c>
      <c r="F7" s="213"/>
      <c r="G7" s="214">
        <f ca="1">IFERROR(__xludf.DUMMYFUNCTION("""COMPUTED_VALUE"""),3175198)</f>
        <v>3175198</v>
      </c>
      <c r="H7" s="215" t="str">
        <f ca="1">IFERROR(__xludf.DUMMYFUNCTION("""COMPUTED_VALUE"""),"Intermediate")</f>
        <v>Intermediate</v>
      </c>
      <c r="I7" s="217" t="str">
        <f ca="1">IFERROR(__xludf.DUMMYFUNCTION("""COMPUTED_VALUE"""),"Conseils d’experte : Manager la Génération Z")</f>
        <v>Conseils d’experte : Manager la Génération Z</v>
      </c>
      <c r="J7" s="217"/>
      <c r="K7" s="213"/>
      <c r="L7" s="215">
        <f ca="1">IFERROR(__xludf.DUMMYFUNCTION("""COMPUTED_VALUE"""),2218979)</f>
        <v>2218979</v>
      </c>
      <c r="M7" s="215" t="str">
        <f ca="1">IFERROR(__xludf.DUMMYFUNCTION("""COMPUTED_VALUE"""),"Beginner")</f>
        <v>Beginner</v>
      </c>
      <c r="N7" s="217" t="str">
        <f ca="1">IFERROR(__xludf.DUMMYFUNCTION("""COMPUTED_VALUE"""),"Cómo gestionar a personas con alto potencial")</f>
        <v>Cómo gestionar a personas con alto potencial</v>
      </c>
      <c r="O7" s="217"/>
      <c r="P7" s="213"/>
      <c r="Q7" s="215">
        <f ca="1">IFERROR(__xludf.DUMMYFUNCTION("""COMPUTED_VALUE"""),759349)</f>
        <v>759349</v>
      </c>
      <c r="R7" s="215" t="str">
        <f ca="1">IFERROR(__xludf.DUMMYFUNCTION("""COMPUTED_VALUE"""),"Intermediate")</f>
        <v>Intermediate</v>
      </c>
      <c r="S7" s="217" t="str">
        <f ca="1">IFERROR(__xludf.DUMMYFUNCTION("""COMPUTED_VALUE"""),"Das Personal der Zukunft")</f>
        <v>Das Personal der Zukunft</v>
      </c>
      <c r="T7" s="217"/>
      <c r="U7" s="213"/>
      <c r="V7" s="215">
        <f ca="1">IFERROR(__xludf.DUMMYFUNCTION("""COMPUTED_VALUE"""),808183)</f>
        <v>808183</v>
      </c>
      <c r="W7" s="215" t="str">
        <f ca="1">IFERROR(__xludf.DUMMYFUNCTION("""COMPUTED_VALUE"""),"Intermediate")</f>
        <v>Intermediate</v>
      </c>
      <c r="X7" s="217" t="str">
        <f ca="1">IFERROR(__xludf.DUMMYFUNCTION("""COMPUTED_VALUE"""),"パフォーマンスの高いチームを築くには")</f>
        <v>パフォーマンスの高いチームを築くには</v>
      </c>
      <c r="Y7" s="217"/>
      <c r="Z7" s="213"/>
      <c r="AA7" s="215">
        <f ca="1">IFERROR(__xludf.DUMMYFUNCTION("""COMPUTED_VALUE"""),2908959)</f>
        <v>2908959</v>
      </c>
      <c r="AB7" s="215" t="str">
        <f ca="1">IFERROR(__xludf.DUMMYFUNCTION("""COMPUTED_VALUE"""),"Advanced")</f>
        <v>Advanced</v>
      </c>
      <c r="AC7" s="217" t="str">
        <f ca="1">IFERROR(__xludf.DUMMYFUNCTION("""COMPUTED_VALUE"""),"Como Criar uma Cultura de Alto Desempenho")</f>
        <v>Como Criar uma Cultura de Alto Desempenho</v>
      </c>
      <c r="AD7" s="217" t="str">
        <f ca="1">IFERROR(__xludf.DUMMYFUNCTION("""COMPUTED_VALUE"""),"Trabalho Remoto: Colaboração, Foco e Produtividade")</f>
        <v>Trabalho Remoto: Colaboração, Foco e Produtividade</v>
      </c>
      <c r="AE7" s="213"/>
      <c r="AF7" s="215">
        <f ca="1">IFERROR(__xludf.DUMMYFUNCTION("""COMPUTED_VALUE"""),2994026)</f>
        <v>2994026</v>
      </c>
      <c r="AG7" s="215" t="str">
        <f ca="1">IFERROR(__xludf.DUMMYFUNCTION("""COMPUTED_VALUE"""),"Beginner, Intermediate")</f>
        <v>Beginner, Intermediate</v>
      </c>
      <c r="AH7" s="217" t="str">
        <f ca="1">IFERROR(__xludf.DUMMYFUNCTION("""COMPUTED_VALUE"""),"员工招聘：经理篇")</f>
        <v>员工招聘：经理篇</v>
      </c>
      <c r="AI7" s="217"/>
      <c r="AJ7" s="213"/>
    </row>
    <row r="8" spans="1:36" ht="33.75" customHeight="1">
      <c r="A8" s="213"/>
      <c r="B8" s="214">
        <f ca="1">IFERROR(__xludf.DUMMYFUNCTION("""COMPUTED_VALUE"""),577354)</f>
        <v>577354</v>
      </c>
      <c r="C8" s="215" t="str">
        <f ca="1">IFERROR(__xludf.DUMMYFUNCTION("""COMPUTED_VALUE"""),"Advanced")</f>
        <v>Advanced</v>
      </c>
      <c r="D8" s="216" t="str">
        <f ca="1">IFERROR(__xludf.DUMMYFUNCTION("""COMPUTED_VALUE"""),"Employer Branding to Attract Talent")</f>
        <v>Employer Branding to Attract Talent</v>
      </c>
      <c r="E8" s="217" t="str">
        <f ca="1">IFERROR(__xludf.DUMMYFUNCTION("""COMPUTED_VALUE"""),"Improve Your Coaching Skills as a Manager")</f>
        <v>Improve Your Coaching Skills as a Manager</v>
      </c>
      <c r="F8" s="213"/>
      <c r="G8" s="214">
        <f ca="1">IFERROR(__xludf.DUMMYFUNCTION("""COMPUTED_VALUE"""),758900)</f>
        <v>758900</v>
      </c>
      <c r="H8" s="215" t="str">
        <f ca="1">IFERROR(__xludf.DUMMYFUNCTION("""COMPUTED_VALUE"""),"Advanced")</f>
        <v>Advanced</v>
      </c>
      <c r="I8" s="217" t="str">
        <f ca="1">IFERROR(__xludf.DUMMYFUNCTION("""COMPUTED_VALUE"""),"Créer un environnement de travail positif et sain")</f>
        <v>Créer un environnement de travail positif et sain</v>
      </c>
      <c r="J8" s="217"/>
      <c r="K8" s="213"/>
      <c r="L8" s="215">
        <f ca="1">IFERROR(__xludf.DUMMYFUNCTION("""COMPUTED_VALUE"""),2221544)</f>
        <v>2221544</v>
      </c>
      <c r="M8" s="215" t="str">
        <f ca="1">IFERROR(__xludf.DUMMYFUNCTION("""COMPUTED_VALUE"""),"Beginner")</f>
        <v>Beginner</v>
      </c>
      <c r="N8" s="217" t="str">
        <f ca="1">IFERROR(__xludf.DUMMYFUNCTION("""COMPUTED_VALUE"""),"Cómo gestionar al personal de alto rendimiento")</f>
        <v>Cómo gestionar al personal de alto rendimiento</v>
      </c>
      <c r="O8" s="217"/>
      <c r="P8" s="213"/>
      <c r="Q8" s="215">
        <f ca="1">IFERROR(__xludf.DUMMYFUNCTION("""COMPUTED_VALUE"""),5025562)</f>
        <v>5025562</v>
      </c>
      <c r="R8" s="215" t="str">
        <f ca="1">IFERROR(__xludf.DUMMYFUNCTION("""COMPUTED_VALUE"""),"Intermediate")</f>
        <v>Intermediate</v>
      </c>
      <c r="S8" s="217" t="str">
        <f ca="1">IFERROR(__xludf.DUMMYFUNCTION("""COMPUTED_VALUE"""),"Die Leistung der Mitarbeiter:innen steigern")</f>
        <v>Die Leistung der Mitarbeiter:innen steigern</v>
      </c>
      <c r="T8" s="217"/>
      <c r="U8" s="213"/>
      <c r="V8" s="215">
        <f ca="1">IFERROR(__xludf.DUMMYFUNCTION("""COMPUTED_VALUE"""),5013958)</f>
        <v>5013958</v>
      </c>
      <c r="W8" s="215" t="str">
        <f ca="1">IFERROR(__xludf.DUMMYFUNCTION("""COMPUTED_VALUE"""),"Beginner")</f>
        <v>Beginner</v>
      </c>
      <c r="X8" s="217" t="str">
        <f ca="1">IFERROR(__xludf.DUMMYFUNCTION("""COMPUTED_VALUE"""),"マネジメントの基礎")</f>
        <v>マネジメントの基礎</v>
      </c>
      <c r="Y8" s="217"/>
      <c r="Z8" s="213"/>
      <c r="AA8" s="215">
        <f ca="1">IFERROR(__xludf.DUMMYFUNCTION("""COMPUTED_VALUE"""),801458)</f>
        <v>801458</v>
      </c>
      <c r="AB8" s="215" t="str">
        <f ca="1">IFERROR(__xludf.DUMMYFUNCTION("""COMPUTED_VALUE"""),"Beginner")</f>
        <v>Beginner</v>
      </c>
      <c r="AC8" s="217" t="str">
        <f ca="1">IFERROR(__xludf.DUMMYFUNCTION("""COMPUTED_VALUE"""),"Como Definir Metas para Equipes e Colaboradores")</f>
        <v>Como Definir Metas para Equipes e Colaboradores</v>
      </c>
      <c r="AD8" s="217"/>
      <c r="AE8" s="213"/>
      <c r="AF8" s="215">
        <f ca="1">IFERROR(__xludf.DUMMYFUNCTION("""COMPUTED_VALUE"""),2822705)</f>
        <v>2822705</v>
      </c>
      <c r="AG8" s="215" t="str">
        <f ca="1">IFERROR(__xludf.DUMMYFUNCTION("""COMPUTED_VALUE"""),"Advanced")</f>
        <v>Advanced</v>
      </c>
      <c r="AH8" s="217" t="str">
        <f ca="1">IFERROR(__xludf.DUMMYFUNCTION("""COMPUTED_VALUE"""),"员工敬业度")</f>
        <v>员工敬业度</v>
      </c>
      <c r="AI8" s="217"/>
      <c r="AJ8" s="213"/>
    </row>
    <row r="9" spans="1:36" ht="33.75" customHeight="1">
      <c r="A9" s="213"/>
      <c r="B9" s="214">
        <f ca="1">IFERROR(__xludf.DUMMYFUNCTION("""COMPUTED_VALUE"""),536419)</f>
        <v>536419</v>
      </c>
      <c r="C9" s="215" t="str">
        <f ca="1">IFERROR(__xludf.DUMMYFUNCTION("""COMPUTED_VALUE"""),"Beginner")</f>
        <v>Beginner</v>
      </c>
      <c r="D9" s="216" t="str">
        <f ca="1">IFERROR(__xludf.DUMMYFUNCTION("""COMPUTED_VALUE"""),"Talent Management")</f>
        <v>Talent Management</v>
      </c>
      <c r="E9" s="217" t="str">
        <f ca="1">IFERROR(__xludf.DUMMYFUNCTION("""COMPUTED_VALUE"""),"Managing Performance")</f>
        <v>Managing Performance</v>
      </c>
      <c r="F9" s="213"/>
      <c r="G9" s="214">
        <f ca="1">IFERROR(__xludf.DUMMYFUNCTION("""COMPUTED_VALUE"""),499817)</f>
        <v>499817</v>
      </c>
      <c r="H9" s="215" t="str">
        <f ca="1">IFERROR(__xludf.DUMMYFUNCTION("""COMPUTED_VALUE"""),"Beginner")</f>
        <v>Beginner</v>
      </c>
      <c r="I9" s="217" t="str">
        <f ca="1">IFERROR(__xludf.DUMMYFUNCTION("""COMPUTED_VALUE"""),"Développer la motivation et l'engagement des employés / employées")</f>
        <v>Développer la motivation et l'engagement des employés / employées</v>
      </c>
      <c r="J9" s="217"/>
      <c r="K9" s="213"/>
      <c r="L9" s="215">
        <f ca="1">IFERROR(__xludf.DUMMYFUNCTION("""COMPUTED_VALUE"""),2880103)</f>
        <v>2880103</v>
      </c>
      <c r="M9" s="215" t="str">
        <f ca="1">IFERROR(__xludf.DUMMYFUNCTION("""COMPUTED_VALUE"""),"Intermediate")</f>
        <v>Intermediate</v>
      </c>
      <c r="N9" s="217" t="str">
        <f ca="1">IFERROR(__xludf.DUMMYFUNCTION("""COMPUTED_VALUE"""),"Cómo gestionar un equipo multigeneracional")</f>
        <v>Cómo gestionar un equipo multigeneracional</v>
      </c>
      <c r="O9" s="217"/>
      <c r="P9" s="213"/>
      <c r="Q9" s="215">
        <f ca="1">IFERROR(__xludf.DUMMYFUNCTION("""COMPUTED_VALUE"""),703235)</f>
        <v>703235</v>
      </c>
      <c r="R9" s="215" t="str">
        <f ca="1">IFERROR(__xludf.DUMMYFUNCTION("""COMPUTED_VALUE"""),"Intermediate")</f>
        <v>Intermediate</v>
      </c>
      <c r="S9" s="217" t="str">
        <f ca="1">IFERROR(__xludf.DUMMYFUNCTION("""COMPUTED_VALUE"""),"Die Unternehmensleistung messen")</f>
        <v>Die Unternehmensleistung messen</v>
      </c>
      <c r="T9" s="217"/>
      <c r="U9" s="213"/>
      <c r="V9" s="215">
        <f ca="1">IFERROR(__xludf.DUMMYFUNCTION("""COMPUTED_VALUE"""),778468)</f>
        <v>778468</v>
      </c>
      <c r="W9" s="215" t="str">
        <f ca="1">IFERROR(__xludf.DUMMYFUNCTION("""COMPUTED_VALUE"""),"Intermediate")</f>
        <v>Intermediate</v>
      </c>
      <c r="X9" s="217" t="str">
        <f ca="1">IFERROR(__xludf.DUMMYFUNCTION("""COMPUTED_VALUE"""),"優秀な人材を確保するには")</f>
        <v>優秀な人材を確保するには</v>
      </c>
      <c r="Y9" s="217"/>
      <c r="Z9" s="213"/>
      <c r="AA9" s="215">
        <f ca="1">IFERROR(__xludf.DUMMYFUNCTION("""COMPUTED_VALUE"""),2841349)</f>
        <v>2841349</v>
      </c>
      <c r="AB9" s="215" t="str">
        <f ca="1">IFERROR(__xludf.DUMMYFUNCTION("""COMPUTED_VALUE"""),"Intermediate")</f>
        <v>Intermediate</v>
      </c>
      <c r="AC9" s="217" t="str">
        <f ca="1">IFERROR(__xludf.DUMMYFUNCTION("""COMPUTED_VALUE"""),"Como Desenvolver a Liderança de Pensamento")</f>
        <v>Como Desenvolver a Liderança de Pensamento</v>
      </c>
      <c r="AD9" s="217"/>
      <c r="AE9" s="213"/>
      <c r="AF9" s="215">
        <f ca="1">IFERROR(__xludf.DUMMYFUNCTION("""COMPUTED_VALUE"""),2813191)</f>
        <v>2813191</v>
      </c>
      <c r="AG9" s="215" t="str">
        <f ca="1">IFERROR(__xludf.DUMMYFUNCTION("""COMPUTED_VALUE"""),"Intermediate")</f>
        <v>Intermediate</v>
      </c>
      <c r="AH9" s="217" t="str">
        <f ca="1">IFERROR(__xludf.DUMMYFUNCTION("""COMPUTED_VALUE"""),"基于绩效式招聘")</f>
        <v>基于绩效式招聘</v>
      </c>
      <c r="AI9" s="217"/>
      <c r="AJ9" s="213"/>
    </row>
    <row r="10" spans="1:36" ht="33.75" customHeight="1">
      <c r="A10" s="213"/>
      <c r="B10" s="214">
        <f ca="1">IFERROR(__xludf.DUMMYFUNCTION("""COMPUTED_VALUE"""),661748)</f>
        <v>661748</v>
      </c>
      <c r="C10" s="215" t="str">
        <f ca="1">IFERROR(__xludf.DUMMYFUNCTION("""COMPUTED_VALUE"""),"Beginner + Intermediate")</f>
        <v>Beginner + Intermediate</v>
      </c>
      <c r="D10" s="216" t="str">
        <f ca="1">IFERROR(__xludf.DUMMYFUNCTION("""COMPUTED_VALUE"""),"Rewarding Employee Performance")</f>
        <v>Rewarding Employee Performance</v>
      </c>
      <c r="E10" s="217" t="str">
        <f ca="1">IFERROR(__xludf.DUMMYFUNCTION("""COMPUTED_VALUE"""),"Recruit and Maximize Talent")</f>
        <v>Recruit and Maximize Talent</v>
      </c>
      <c r="F10" s="213"/>
      <c r="G10" s="214">
        <f ca="1">IFERROR(__xludf.DUMMYFUNCTION("""COMPUTED_VALUE"""),2215100)</f>
        <v>2215100</v>
      </c>
      <c r="H10" s="215" t="str">
        <f ca="1">IFERROR(__xludf.DUMMYFUNCTION("""COMPUTED_VALUE"""),"Intermediate")</f>
        <v>Intermediate</v>
      </c>
      <c r="I10" s="217" t="str">
        <f ca="1">IFERROR(__xludf.DUMMYFUNCTION("""COMPUTED_VALUE"""),"Devenir un manager bienveillant / une manager bienveillante")</f>
        <v>Devenir un manager bienveillant / une manager bienveillante</v>
      </c>
      <c r="J10" s="217"/>
      <c r="K10" s="213"/>
      <c r="L10" s="215">
        <f ca="1">IFERROR(__xludf.DUMMYFUNCTION("""COMPUTED_VALUE"""),5025658)</f>
        <v>5025658</v>
      </c>
      <c r="M10" s="215" t="str">
        <f ca="1">IFERROR(__xludf.DUMMYFUNCTION("""COMPUTED_VALUE"""),"Intermediate")</f>
        <v>Intermediate</v>
      </c>
      <c r="N10" s="217" t="str">
        <f ca="1">IFERROR(__xludf.DUMMYFUNCTION("""COMPUTED_VALUE"""),"Cómo hacer coaching a tu personal para obtener resultados")</f>
        <v>Cómo hacer coaching a tu personal para obtener resultados</v>
      </c>
      <c r="O10" s="217"/>
      <c r="P10" s="213"/>
      <c r="Q10" s="215">
        <f ca="1">IFERROR(__xludf.DUMMYFUNCTION("""COMPUTED_VALUE"""),5020332)</f>
        <v>5020332</v>
      </c>
      <c r="R10" s="215" t="str">
        <f ca="1">IFERROR(__xludf.DUMMYFUNCTION("""COMPUTED_VALUE"""),"Intermediate")</f>
        <v>Intermediate</v>
      </c>
      <c r="S10" s="217" t="str">
        <f ca="1">IFERROR(__xludf.DUMMYFUNCTION("""COMPUTED_VALUE"""),"Eine Hochleistungskultur schaffen")</f>
        <v>Eine Hochleistungskultur schaffen</v>
      </c>
      <c r="T10" s="217"/>
      <c r="U10" s="213"/>
      <c r="V10" s="215">
        <f ca="1">IFERROR(__xludf.DUMMYFUNCTION("""COMPUTED_VALUE"""),2417718)</f>
        <v>2417718</v>
      </c>
      <c r="W10" s="215" t="str">
        <f ca="1">IFERROR(__xludf.DUMMYFUNCTION("""COMPUTED_VALUE"""),"All levels")</f>
        <v>All levels</v>
      </c>
      <c r="X10" s="217" t="str">
        <f ca="1">IFERROR(__xludf.DUMMYFUNCTION("""COMPUTED_VALUE"""),"先延ばし癖を克服するには")</f>
        <v>先延ばし癖を克服するには</v>
      </c>
      <c r="Y10" s="217"/>
      <c r="Z10" s="213"/>
      <c r="AA10" s="215">
        <f ca="1">IFERROR(__xludf.DUMMYFUNCTION("""COMPUTED_VALUE"""),3117418)</f>
        <v>3117418</v>
      </c>
      <c r="AB10" s="215" t="str">
        <f ca="1">IFERROR(__xludf.DUMMYFUNCTION("""COMPUTED_VALUE"""),"All levels")</f>
        <v>All levels</v>
      </c>
      <c r="AC10" s="217" t="str">
        <f ca="1">IFERROR(__xludf.DUMMYFUNCTION("""COMPUTED_VALUE"""),"Como Desenvolver Novas Habilidades para o Futuro do Trabalho")</f>
        <v>Como Desenvolver Novas Habilidades para o Futuro do Trabalho</v>
      </c>
      <c r="AD10" s="217"/>
      <c r="AE10" s="213"/>
      <c r="AF10" s="215">
        <f ca="1">IFERROR(__xludf.DUMMYFUNCTION("""COMPUTED_VALUE"""),5039201)</f>
        <v>5039201</v>
      </c>
      <c r="AG10" s="215" t="str">
        <f ca="1">IFERROR(__xludf.DUMMYFUNCTION("""COMPUTED_VALUE"""),"Beginner")</f>
        <v>Beginner</v>
      </c>
      <c r="AH10" s="217" t="str">
        <f ca="1">IFERROR(__xludf.DUMMYFUNCTION("""COMPUTED_VALUE"""),"打造你的团队")</f>
        <v>打造你的团队</v>
      </c>
      <c r="AI10" s="217"/>
      <c r="AJ10" s="213"/>
    </row>
    <row r="11" spans="1:36" ht="33.75" customHeight="1">
      <c r="A11" s="213"/>
      <c r="B11" s="214">
        <f ca="1">IFERROR(__xludf.DUMMYFUNCTION("""COMPUTED_VALUE"""),700792)</f>
        <v>700792</v>
      </c>
      <c r="C11" s="215" t="str">
        <f ca="1">IFERROR(__xludf.DUMMYFUNCTION("""COMPUTED_VALUE"""),"Intermediate")</f>
        <v>Intermediate</v>
      </c>
      <c r="D11" s="216" t="str">
        <f ca="1">IFERROR(__xludf.DUMMYFUNCTION("""COMPUTED_VALUE"""),"Employee Experience")</f>
        <v>Employee Experience</v>
      </c>
      <c r="E11" s="217"/>
      <c r="F11" s="213"/>
      <c r="G11" s="214">
        <f ca="1">IFERROR(__xludf.DUMMYFUNCTION("""COMPUTED_VALUE"""),602729)</f>
        <v>602729</v>
      </c>
      <c r="H11" s="215" t="str">
        <f ca="1">IFERROR(__xludf.DUMMYFUNCTION("""COMPUTED_VALUE"""),"Intermediate")</f>
        <v>Intermediate</v>
      </c>
      <c r="I11" s="217" t="str">
        <f ca="1">IFERROR(__xludf.DUMMYFUNCTION("""COMPUTED_VALUE"""),"Diriger pour obtenir des résultats")</f>
        <v>Diriger pour obtenir des résultats</v>
      </c>
      <c r="J11" s="217"/>
      <c r="K11" s="213"/>
      <c r="L11" s="215">
        <f ca="1">IFERROR(__xludf.DUMMYFUNCTION("""COMPUTED_VALUE"""),732317)</f>
        <v>732317</v>
      </c>
      <c r="M11" s="215" t="str">
        <f ca="1">IFERROR(__xludf.DUMMYFUNCTION("""COMPUTED_VALUE"""),"Intermediate")</f>
        <v>Intermediate</v>
      </c>
      <c r="N11" s="217" t="str">
        <f ca="1">IFERROR(__xludf.DUMMYFUNCTION("""COMPUTED_VALUE"""),"Cómo identificar y retener personal con alto potencial")</f>
        <v>Cómo identificar y retener personal con alto potencial</v>
      </c>
      <c r="O11" s="217"/>
      <c r="P11" s="213"/>
      <c r="Q11" s="215">
        <f ca="1">IFERROR(__xludf.DUMMYFUNCTION("""COMPUTED_VALUE"""),563968)</f>
        <v>563968</v>
      </c>
      <c r="R11" s="215" t="str">
        <f ca="1">IFERROR(__xludf.DUMMYFUNCTION("""COMPUTED_VALUE"""),"Intermediate")</f>
        <v>Intermediate</v>
      </c>
      <c r="S11" s="217" t="str">
        <f ca="1">IFERROR(__xludf.DUMMYFUNCTION("""COMPUTED_VALUE"""),"Ergebnisorientiertes Management")</f>
        <v>Ergebnisorientiertes Management</v>
      </c>
      <c r="T11" s="217"/>
      <c r="U11" s="213"/>
      <c r="V11" s="215">
        <f ca="1">IFERROR(__xludf.DUMMYFUNCTION("""COMPUTED_VALUE"""),2837277)</f>
        <v>2837277</v>
      </c>
      <c r="W11" s="215" t="str">
        <f ca="1">IFERROR(__xludf.DUMMYFUNCTION("""COMPUTED_VALUE"""),"All levels")</f>
        <v>All levels</v>
      </c>
      <c r="X11" s="217" t="str">
        <f ca="1">IFERROR(__xludf.DUMMYFUNCTION("""COMPUTED_VALUE"""),"成長志向のマインドセットを育むには")</f>
        <v>成長志向のマインドセットを育むには</v>
      </c>
      <c r="Y11" s="217"/>
      <c r="Z11" s="213"/>
      <c r="AA11" s="215">
        <f ca="1">IFERROR(__xludf.DUMMYFUNCTION("""COMPUTED_VALUE"""),3202148)</f>
        <v>3202148</v>
      </c>
      <c r="AB11" s="215" t="str">
        <f ca="1">IFERROR(__xludf.DUMMYFUNCTION("""COMPUTED_VALUE"""),"All levels")</f>
        <v>All levels</v>
      </c>
      <c r="AC11" s="217" t="str">
        <f ca="1">IFERROR(__xludf.DUMMYFUNCTION("""COMPUTED_VALUE"""),"Como Enfrentar a Ansiedade no Trabalho")</f>
        <v>Como Enfrentar a Ansiedade no Trabalho</v>
      </c>
      <c r="AD11" s="217"/>
      <c r="AE11" s="213"/>
      <c r="AF11" s="215">
        <f ca="1">IFERROR(__xludf.DUMMYFUNCTION("""COMPUTED_VALUE"""),2824040)</f>
        <v>2824040</v>
      </c>
      <c r="AG11" s="215" t="str">
        <f ca="1">IFERROR(__xludf.DUMMYFUNCTION("""COMPUTED_VALUE"""),"Beginner, Intermediate")</f>
        <v>Beginner, Intermediate</v>
      </c>
      <c r="AH11" s="217" t="str">
        <f ca="1">IFERROR(__xludf.DUMMYFUNCTION("""COMPUTED_VALUE"""),"提升员工绩效")</f>
        <v>提升员工绩效</v>
      </c>
      <c r="AI11" s="217"/>
      <c r="AJ11" s="213"/>
    </row>
    <row r="12" spans="1:36" ht="33.75" customHeight="1">
      <c r="A12" s="213"/>
      <c r="B12" s="214">
        <f ca="1">IFERROR(__xludf.DUMMYFUNCTION("""COMPUTED_VALUE"""),585227)</f>
        <v>585227</v>
      </c>
      <c r="C12" s="215" t="str">
        <f ca="1">IFERROR(__xludf.DUMMYFUNCTION("""COMPUTED_VALUE"""),"Intermediate")</f>
        <v>Intermediate</v>
      </c>
      <c r="D12" s="216" t="str">
        <f ca="1">IFERROR(__xludf.DUMMYFUNCTION("""COMPUTED_VALUE"""),"Measuring Team Performance")</f>
        <v>Measuring Team Performance</v>
      </c>
      <c r="E12" s="217"/>
      <c r="F12" s="213"/>
      <c r="G12" s="214">
        <f ca="1">IFERROR(__xludf.DUMMYFUNCTION("""COMPUTED_VALUE"""),738774)</f>
        <v>738774</v>
      </c>
      <c r="H12" s="215" t="str">
        <f ca="1">IFERROR(__xludf.DUMMYFUNCTION("""COMPUTED_VALUE"""),"Intermediate")</f>
        <v>Intermediate</v>
      </c>
      <c r="I12" s="217" t="str">
        <f ca="1">IFERROR(__xludf.DUMMYFUNCTION("""COMPUTED_VALUE"""),"Établir des objectifs pour son équipe et ses employés / employées")</f>
        <v>Établir des objectifs pour son équipe et ses employés / employées</v>
      </c>
      <c r="J12" s="217"/>
      <c r="K12" s="213"/>
      <c r="L12" s="215">
        <f ca="1">IFERROR(__xludf.DUMMYFUNCTION("""COMPUTED_VALUE"""),2899806)</f>
        <v>2899806</v>
      </c>
      <c r="M12" s="215" t="str">
        <f ca="1">IFERROR(__xludf.DUMMYFUNCTION("""COMPUTED_VALUE"""),"Advanced")</f>
        <v>Advanced</v>
      </c>
      <c r="N12" s="217" t="str">
        <f ca="1">IFERROR(__xludf.DUMMYFUNCTION("""COMPUTED_VALUE"""),"Cómo liderar equipos de alto potencial")</f>
        <v>Cómo liderar equipos de alto potencial</v>
      </c>
      <c r="O12" s="217"/>
      <c r="P12" s="213"/>
      <c r="Q12" s="215">
        <f ca="1">IFERROR(__xludf.DUMMYFUNCTION("""COMPUTED_VALUE"""),2949106)</f>
        <v>2949106</v>
      </c>
      <c r="R12" s="215" t="str">
        <f ca="1">IFERROR(__xludf.DUMMYFUNCTION("""COMPUTED_VALUE"""),"Beginner")</f>
        <v>Beginner</v>
      </c>
      <c r="S12" s="217" t="str">
        <f ca="1">IFERROR(__xludf.DUMMYFUNCTION("""COMPUTED_VALUE"""),"Handwerkszeug für Führungskräfte")</f>
        <v>Handwerkszeug für Führungskräfte</v>
      </c>
      <c r="T12" s="217"/>
      <c r="U12" s="213"/>
      <c r="V12" s="215">
        <f ca="1">IFERROR(__xludf.DUMMYFUNCTION("""COMPUTED_VALUE"""),3158166)</f>
        <v>3158166</v>
      </c>
      <c r="W12" s="215" t="str">
        <f ca="1">IFERROR(__xludf.DUMMYFUNCTION("""COMPUTED_VALUE"""),"Beginner, Intermediate")</f>
        <v>Beginner, Intermediate</v>
      </c>
      <c r="X12" s="217" t="str">
        <f ca="1">IFERROR(__xludf.DUMMYFUNCTION("""COMPUTED_VALUE"""),"聞き上手になるには")</f>
        <v>聞き上手になるには</v>
      </c>
      <c r="Y12" s="217"/>
      <c r="Z12" s="213"/>
      <c r="AA12" s="215">
        <f ca="1">IFERROR(__xludf.DUMMYFUNCTION("""COMPUTED_VALUE"""),2928582)</f>
        <v>2928582</v>
      </c>
      <c r="AB12" s="215" t="str">
        <f ca="1">IFERROR(__xludf.DUMMYFUNCTION("""COMPUTED_VALUE"""),"Beginner")</f>
        <v>Beginner</v>
      </c>
      <c r="AC12" s="217" t="str">
        <f ca="1">IFERROR(__xludf.DUMMYFUNCTION("""COMPUTED_VALUE"""),"Como Engajar os Colaboradores")</f>
        <v>Como Engajar os Colaboradores</v>
      </c>
      <c r="AD12" s="217"/>
      <c r="AE12" s="213"/>
      <c r="AF12" s="215">
        <f ca="1">IFERROR(__xludf.DUMMYFUNCTION("""COMPUTED_VALUE"""),2815031)</f>
        <v>2815031</v>
      </c>
      <c r="AG12" s="215" t="str">
        <f ca="1">IFERROR(__xludf.DUMMYFUNCTION("""COMPUTED_VALUE"""),"Beginner")</f>
        <v>Beginner</v>
      </c>
      <c r="AH12" s="217" t="str">
        <f ca="1">IFERROR(__xludf.DUMMYFUNCTION("""COMPUTED_VALUE"""),"新员工入职培训")</f>
        <v>新员工入职培训</v>
      </c>
      <c r="AI12" s="217"/>
      <c r="AJ12" s="213"/>
    </row>
    <row r="13" spans="1:36" ht="33.75" customHeight="1">
      <c r="A13" s="213"/>
      <c r="B13" s="214">
        <f ca="1">IFERROR(__xludf.DUMMYFUNCTION("""COMPUTED_VALUE"""),565363)</f>
        <v>565363</v>
      </c>
      <c r="C13" s="215" t="str">
        <f ca="1">IFERROR(__xludf.DUMMYFUNCTION("""COMPUTED_VALUE"""),"Intermediate")</f>
        <v>Intermediate</v>
      </c>
      <c r="D13" s="216" t="str">
        <f ca="1">IFERROR(__xludf.DUMMYFUNCTION("""COMPUTED_VALUE"""),"Managing Experienced Managers")</f>
        <v>Managing Experienced Managers</v>
      </c>
      <c r="E13" s="217"/>
      <c r="F13" s="213"/>
      <c r="G13" s="214">
        <f ca="1">IFERROR(__xludf.DUMMYFUNCTION("""COMPUTED_VALUE"""),561007)</f>
        <v>561007</v>
      </c>
      <c r="H13" s="215" t="str">
        <f ca="1">IFERROR(__xludf.DUMMYFUNCTION("""COMPUTED_VALUE"""),"Beginner")</f>
        <v>Beginner</v>
      </c>
      <c r="I13" s="217" t="str">
        <f ca="1">IFERROR(__xludf.DUMMYFUNCTION("""COMPUTED_VALUE"""),"Gérer des équipes")</f>
        <v>Gérer des équipes</v>
      </c>
      <c r="J13" s="217"/>
      <c r="K13" s="213"/>
      <c r="L13" s="215">
        <f ca="1">IFERROR(__xludf.DUMMYFUNCTION("""COMPUTED_VALUE"""),5025680)</f>
        <v>5025680</v>
      </c>
      <c r="M13" s="215" t="str">
        <f ca="1">IFERROR(__xludf.DUMMYFUNCTION("""COMPUTED_VALUE"""),"Intermediate")</f>
        <v>Intermediate</v>
      </c>
      <c r="N13" s="217" t="str">
        <f ca="1">IFERROR(__xludf.DUMMYFUNCTION("""COMPUTED_VALUE"""),"Cómo medir el rendimiento de tu equipo")</f>
        <v>Cómo medir el rendimiento de tu equipo</v>
      </c>
      <c r="O13" s="217"/>
      <c r="P13" s="213"/>
      <c r="Q13" s="215">
        <f ca="1">IFERROR(__xludf.DUMMYFUNCTION("""COMPUTED_VALUE"""),672276)</f>
        <v>672276</v>
      </c>
      <c r="R13" s="215" t="str">
        <f ca="1">IFERROR(__xludf.DUMMYFUNCTION("""COMPUTED_VALUE"""),"Intermediate")</f>
        <v>Intermediate</v>
      </c>
      <c r="S13" s="217" t="str">
        <f ca="1">IFERROR(__xludf.DUMMYFUNCTION("""COMPUTED_VALUE"""),"Hochleistungsteams aufbauen")</f>
        <v>Hochleistungsteams aufbauen</v>
      </c>
      <c r="T13" s="217"/>
      <c r="U13" s="213"/>
      <c r="V13" s="215"/>
      <c r="W13" s="215"/>
      <c r="X13" s="217"/>
      <c r="Y13" s="217"/>
      <c r="Z13" s="213"/>
      <c r="AA13" s="215">
        <f ca="1">IFERROR(__xludf.DUMMYFUNCTION("""COMPUTED_VALUE"""),2929560)</f>
        <v>2929560</v>
      </c>
      <c r="AB13" s="215" t="str">
        <f ca="1">IFERROR(__xludf.DUMMYFUNCTION("""COMPUTED_VALUE"""),"Intermediate")</f>
        <v>Intermediate</v>
      </c>
      <c r="AC13" s="217" t="str">
        <f ca="1">IFERROR(__xludf.DUMMYFUNCTION("""COMPUTED_VALUE"""),"Como Gerenciar uma Equipe Diversificada")</f>
        <v>Como Gerenciar uma Equipe Diversificada</v>
      </c>
      <c r="AD13" s="217"/>
      <c r="AE13" s="213"/>
      <c r="AF13" s="215">
        <f ca="1">IFERROR(__xludf.DUMMYFUNCTION("""COMPUTED_VALUE"""),767945)</f>
        <v>767945</v>
      </c>
      <c r="AG13" s="215" t="str">
        <f ca="1">IFERROR(__xludf.DUMMYFUNCTION("""COMPUTED_VALUE"""),"Beginner")</f>
        <v>Beginner</v>
      </c>
      <c r="AH13" s="217" t="str">
        <f ca="1">IFERROR(__xludf.DUMMYFUNCTION("""COMPUTED_VALUE"""),"新管理者基础知识")</f>
        <v>新管理者基础知识</v>
      </c>
      <c r="AI13" s="217"/>
      <c r="AJ13" s="213"/>
    </row>
    <row r="14" spans="1:36" ht="33.75" customHeight="1">
      <c r="A14" s="213"/>
      <c r="B14" s="214">
        <f ca="1">IFERROR(__xludf.DUMMYFUNCTION("""COMPUTED_VALUE"""),578061)</f>
        <v>578061</v>
      </c>
      <c r="C14" s="215" t="str">
        <f ca="1">IFERROR(__xludf.DUMMYFUNCTION("""COMPUTED_VALUE"""),"Intermediate")</f>
        <v>Intermediate</v>
      </c>
      <c r="D14" s="216" t="str">
        <f ca="1">IFERROR(__xludf.DUMMYFUNCTION("""COMPUTED_VALUE"""),"Developing a Mentoring Program")</f>
        <v>Developing a Mentoring Program</v>
      </c>
      <c r="E14" s="217"/>
      <c r="F14" s="213"/>
      <c r="G14" s="214">
        <f ca="1">IFERROR(__xludf.DUMMYFUNCTION("""COMPUTED_VALUE"""),568987)</f>
        <v>568987</v>
      </c>
      <c r="H14" s="215" t="str">
        <f ca="1">IFERROR(__xludf.DUMMYFUNCTION("""COMPUTED_VALUE"""),"Intermediate")</f>
        <v>Intermediate</v>
      </c>
      <c r="I14" s="217" t="str">
        <f ca="1">IFERROR(__xludf.DUMMYFUNCTION("""COMPUTED_VALUE"""),"Gérer des équipes virtuelles")</f>
        <v>Gérer des équipes virtuelles</v>
      </c>
      <c r="J14" s="217"/>
      <c r="K14" s="213"/>
      <c r="L14" s="215">
        <f ca="1">IFERROR(__xludf.DUMMYFUNCTION("""COMPUTED_VALUE"""),5025691)</f>
        <v>5025691</v>
      </c>
      <c r="M14" s="215" t="str">
        <f ca="1">IFERROR(__xludf.DUMMYFUNCTION("""COMPUTED_VALUE"""),"Beginner, Intermediate")</f>
        <v>Beginner, Intermediate</v>
      </c>
      <c r="N14" s="217" t="str">
        <f ca="1">IFERROR(__xludf.DUMMYFUNCTION("""COMPUTED_VALUE"""),"Cómo mejorar el rendimiento de tu personal")</f>
        <v>Cómo mejorar el rendimiento de tu personal</v>
      </c>
      <c r="O14" s="217"/>
      <c r="P14" s="213"/>
      <c r="Q14" s="215">
        <f ca="1">IFERROR(__xludf.DUMMYFUNCTION("""COMPUTED_VALUE"""),2923226)</f>
        <v>2923226</v>
      </c>
      <c r="R14" s="215" t="str">
        <f ca="1">IFERROR(__xludf.DUMMYFUNCTION("""COMPUTED_VALUE"""),"Intermediate")</f>
        <v>Intermediate</v>
      </c>
      <c r="S14" s="217" t="str">
        <f ca="1">IFERROR(__xludf.DUMMYFUNCTION("""COMPUTED_VALUE"""),"Mehrere Generationen managen")</f>
        <v>Mehrere Generationen managen</v>
      </c>
      <c r="T14" s="217"/>
      <c r="U14" s="213"/>
      <c r="V14" s="215"/>
      <c r="W14" s="215"/>
      <c r="X14" s="217"/>
      <c r="Y14" s="217"/>
      <c r="Z14" s="213"/>
      <c r="AA14" s="215">
        <f ca="1">IFERROR(__xludf.DUMMYFUNCTION("""COMPUTED_VALUE"""),5036508)</f>
        <v>5036508</v>
      </c>
      <c r="AB14" s="215" t="str">
        <f ca="1">IFERROR(__xludf.DUMMYFUNCTION("""COMPUTED_VALUE"""),"Beginner")</f>
        <v>Beginner</v>
      </c>
      <c r="AC14" s="217" t="str">
        <f ca="1">IFERROR(__xludf.DUMMYFUNCTION("""COMPUTED_VALUE"""),"Como Integrar Novos Colaboradores e Colaboradoras à Empresa")</f>
        <v>Como Integrar Novos Colaboradores e Colaboradoras à Empresa</v>
      </c>
      <c r="AD14" s="217"/>
      <c r="AE14" s="213"/>
      <c r="AF14" s="215">
        <f ca="1">IFERROR(__xludf.DUMMYFUNCTION("""COMPUTED_VALUE"""),2243990)</f>
        <v>2243990</v>
      </c>
      <c r="AG14" s="215" t="str">
        <f ca="1">IFERROR(__xludf.DUMMYFUNCTION("""COMPUTED_VALUE"""),"Beginner")</f>
        <v>Beginner</v>
      </c>
      <c r="AH14" s="217" t="str">
        <f ca="1">IFERROR(__xludf.DUMMYFUNCTION("""COMPUTED_VALUE"""),"管理员工绩效问题")</f>
        <v>管理员工绩效问题</v>
      </c>
      <c r="AI14" s="217"/>
      <c r="AJ14" s="213"/>
    </row>
    <row r="15" spans="1:36" ht="33.75" customHeight="1">
      <c r="A15" s="213"/>
      <c r="B15" s="214">
        <f ca="1">IFERROR(__xludf.DUMMYFUNCTION("""COMPUTED_VALUE"""),756286)</f>
        <v>756286</v>
      </c>
      <c r="C15" s="215" t="str">
        <f ca="1">IFERROR(__xludf.DUMMYFUNCTION("""COMPUTED_VALUE"""),"Intermediate")</f>
        <v>Intermediate</v>
      </c>
      <c r="D15" s="216" t="str">
        <f ca="1">IFERROR(__xludf.DUMMYFUNCTION("""COMPUTED_VALUE"""),"HR and Digital Transformation")</f>
        <v>HR and Digital Transformation</v>
      </c>
      <c r="E15" s="217"/>
      <c r="F15" s="213"/>
      <c r="G15" s="214">
        <f ca="1">IFERROR(__xludf.DUMMYFUNCTION("""COMPUTED_VALUE"""),752388)</f>
        <v>752388</v>
      </c>
      <c r="H15" s="215" t="str">
        <f ca="1">IFERROR(__xludf.DUMMYFUNCTION("""COMPUTED_VALUE"""),"Beginner")</f>
        <v>Beginner</v>
      </c>
      <c r="I15" s="217" t="str">
        <f ca="1">IFERROR(__xludf.DUMMYFUNCTION("""COMPUTED_VALUE"""),"Gérer les employés très performants / employées très performantes")</f>
        <v>Gérer les employés très performants / employées très performantes</v>
      </c>
      <c r="J15" s="217"/>
      <c r="K15" s="213"/>
      <c r="L15" s="215">
        <f ca="1">IFERROR(__xludf.DUMMYFUNCTION("""COMPUTED_VALUE"""),587153)</f>
        <v>587153</v>
      </c>
      <c r="M15" s="215" t="str">
        <f ca="1">IFERROR(__xludf.DUMMYFUNCTION("""COMPUTED_VALUE"""),"Intermediate")</f>
        <v>Intermediate</v>
      </c>
      <c r="N15" s="217" t="str">
        <f ca="1">IFERROR(__xludf.DUMMYFUNCTION("""COMPUTED_VALUE"""),"Cómo orientar y desarrollar a tu personal")</f>
        <v>Cómo orientar y desarrollar a tu personal</v>
      </c>
      <c r="O15" s="217"/>
      <c r="P15" s="213"/>
      <c r="Q15" s="215">
        <f ca="1">IFERROR(__xludf.DUMMYFUNCTION("""COMPUTED_VALUE"""),702517)</f>
        <v>702517</v>
      </c>
      <c r="R15" s="215" t="str">
        <f ca="1">IFERROR(__xludf.DUMMYFUNCTION("""COMPUTED_VALUE"""),"Intermediate")</f>
        <v>Intermediate</v>
      </c>
      <c r="S15" s="217" t="str">
        <f ca="1">IFERROR(__xludf.DUMMYFUNCTION("""COMPUTED_VALUE"""),"Mit schwierigen Mitarbeiter:innen umgehen")</f>
        <v>Mit schwierigen Mitarbeiter:innen umgehen</v>
      </c>
      <c r="T15" s="217"/>
      <c r="U15" s="213"/>
      <c r="V15" s="215"/>
      <c r="W15" s="215"/>
      <c r="X15" s="217"/>
      <c r="Y15" s="217"/>
      <c r="Z15" s="213"/>
      <c r="AA15" s="215">
        <f ca="1">IFERROR(__xludf.DUMMYFUNCTION("""COMPUTED_VALUE"""),2901334)</f>
        <v>2901334</v>
      </c>
      <c r="AB15" s="215" t="str">
        <f ca="1">IFERROR(__xludf.DUMMYFUNCTION("""COMPUTED_VALUE"""),"Beginner, Intermediate")</f>
        <v>Beginner, Intermediate</v>
      </c>
      <c r="AC15" s="217" t="str">
        <f ca="1">IFERROR(__xludf.DUMMYFUNCTION("""COMPUTED_VALUE"""),"Como Melhorar o Desempenho dos Colaboradores")</f>
        <v>Como Melhorar o Desempenho dos Colaboradores</v>
      </c>
      <c r="AD15" s="217"/>
      <c r="AE15" s="213"/>
      <c r="AF15" s="215">
        <f ca="1">IFERROR(__xludf.DUMMYFUNCTION("""COMPUTED_VALUE"""),730573)</f>
        <v>730573</v>
      </c>
      <c r="AG15" s="215" t="str">
        <f ca="1">IFERROR(__xludf.DUMMYFUNCTION("""COMPUTED_VALUE"""),"Beginner")</f>
        <v>Beginner</v>
      </c>
      <c r="AH15" s="217" t="str">
        <f ca="1">IFERROR(__xludf.DUMMYFUNCTION("""COMPUTED_VALUE"""),"管理基础知识")</f>
        <v>管理基础知识</v>
      </c>
      <c r="AI15" s="217"/>
      <c r="AJ15" s="213"/>
    </row>
    <row r="16" spans="1:36" ht="33.75" customHeight="1">
      <c r="A16" s="213"/>
      <c r="B16" s="214">
        <f ca="1">IFERROR(__xludf.DUMMYFUNCTION("""COMPUTED_VALUE"""),2881199)</f>
        <v>2881199</v>
      </c>
      <c r="C16" s="215" t="str">
        <f ca="1">IFERROR(__xludf.DUMMYFUNCTION("""COMPUTED_VALUE"""),"Intermediate")</f>
        <v>Intermediate</v>
      </c>
      <c r="D16" s="216" t="str">
        <f ca="1">IFERROR(__xludf.DUMMYFUNCTION("""COMPUTED_VALUE"""),"Finding and Retaining High Potentials")</f>
        <v>Finding and Retaining High Potentials</v>
      </c>
      <c r="E16" s="217"/>
      <c r="F16" s="213"/>
      <c r="G16" s="214">
        <f ca="1">IFERROR(__xludf.DUMMYFUNCTION("""COMPUTED_VALUE"""),778440)</f>
        <v>778440</v>
      </c>
      <c r="H16" s="215" t="str">
        <f ca="1">IFERROR(__xludf.DUMMYFUNCTION("""COMPUTED_VALUE"""),"Intermediate")</f>
        <v>Intermediate</v>
      </c>
      <c r="I16" s="217" t="str">
        <f ca="1">IFERROR(__xludf.DUMMYFUNCTION("""COMPUTED_VALUE"""),"Gérer les experts / expertes")</f>
        <v>Gérer les experts / expertes</v>
      </c>
      <c r="J16" s="217"/>
      <c r="K16" s="213"/>
      <c r="L16" s="215">
        <f ca="1">IFERROR(__xludf.DUMMYFUNCTION("""COMPUTED_VALUE"""),5025686)</f>
        <v>5025686</v>
      </c>
      <c r="M16" s="215" t="str">
        <f ca="1">IFERROR(__xludf.DUMMYFUNCTION("""COMPUTED_VALUE"""),"Intermediate")</f>
        <v>Intermediate</v>
      </c>
      <c r="N16" s="217" t="str">
        <f ca="1">IFERROR(__xludf.DUMMYFUNCTION("""COMPUTED_VALUE"""),"El futuro de la gestión del rendimiento")</f>
        <v>El futuro de la gestión del rendimiento</v>
      </c>
      <c r="O16" s="217"/>
      <c r="P16" s="213"/>
      <c r="Q16" s="215">
        <f ca="1">IFERROR(__xludf.DUMMYFUNCTION("""COMPUTED_VALUE"""),593045)</f>
        <v>593045</v>
      </c>
      <c r="R16" s="215" t="str">
        <f ca="1">IFERROR(__xludf.DUMMYFUNCTION("""COMPUTED_VALUE"""),"All levels")</f>
        <v>All levels</v>
      </c>
      <c r="S16" s="217" t="str">
        <f ca="1">IFERROR(__xludf.DUMMYFUNCTION("""COMPUTED_VALUE"""),"Mitarbeiter:innen Feedback geben")</f>
        <v>Mitarbeiter:innen Feedback geben</v>
      </c>
      <c r="T16" s="217"/>
      <c r="U16" s="213"/>
      <c r="V16" s="215"/>
      <c r="W16" s="215"/>
      <c r="X16" s="217"/>
      <c r="Y16" s="217"/>
      <c r="Z16" s="213"/>
      <c r="AA16" s="215">
        <f ca="1">IFERROR(__xludf.DUMMYFUNCTION("""COMPUTED_VALUE"""),2875199)</f>
        <v>2875199</v>
      </c>
      <c r="AB16" s="215" t="str">
        <f ca="1">IFERROR(__xludf.DUMMYFUNCTION("""COMPUTED_VALUE"""),"Intermediate")</f>
        <v>Intermediate</v>
      </c>
      <c r="AC16" s="217" t="str">
        <f ca="1">IFERROR(__xludf.DUMMYFUNCTION("""COMPUTED_VALUE"""),"Competências de Coaching para Líderes e Gerentes")</f>
        <v>Competências de Coaching para Líderes e Gerentes</v>
      </c>
      <c r="AD16" s="217"/>
      <c r="AE16" s="213"/>
      <c r="AF16" s="215">
        <f ca="1">IFERROR(__xludf.DUMMYFUNCTION("""COMPUTED_VALUE"""),2824442)</f>
        <v>2824442</v>
      </c>
      <c r="AG16" s="215" t="str">
        <f ca="1">IFERROR(__xludf.DUMMYFUNCTION("""COMPUTED_VALUE"""),"Intermediate")</f>
        <v>Intermediate</v>
      </c>
      <c r="AH16" s="217" t="str">
        <f ca="1">IFERROR(__xludf.DUMMYFUNCTION("""COMPUTED_VALUE"""),"管理多元化团队")</f>
        <v>管理多元化团队</v>
      </c>
      <c r="AI16" s="217"/>
      <c r="AJ16" s="213"/>
    </row>
    <row r="17" spans="1:36" ht="33.75" customHeight="1">
      <c r="A17" s="213"/>
      <c r="B17" s="214">
        <f ca="1">IFERROR(__xludf.DUMMYFUNCTION("""COMPUTED_VALUE"""),2895002)</f>
        <v>2895002</v>
      </c>
      <c r="C17" s="215" t="str">
        <f ca="1">IFERROR(__xludf.DUMMYFUNCTION("""COMPUTED_VALUE"""),"Advanced")</f>
        <v>Advanced</v>
      </c>
      <c r="D17" s="216" t="str">
        <f ca="1">IFERROR(__xludf.DUMMYFUNCTION("""COMPUTED_VALUE"""),"People Success: Employee Assessments")</f>
        <v>People Success: Employee Assessments</v>
      </c>
      <c r="E17" s="217"/>
      <c r="F17" s="213"/>
      <c r="G17" s="214">
        <f ca="1">IFERROR(__xludf.DUMMYFUNCTION("""COMPUTED_VALUE"""),778442)</f>
        <v>778442</v>
      </c>
      <c r="H17" s="215" t="str">
        <f ca="1">IFERROR(__xludf.DUMMYFUNCTION("""COMPUTED_VALUE"""),"Intermediate")</f>
        <v>Intermediate</v>
      </c>
      <c r="I17" s="217" t="str">
        <f ca="1">IFERROR(__xludf.DUMMYFUNCTION("""COMPUTED_VALUE"""),"Gérer les hauts potentiels")</f>
        <v>Gérer les hauts potentiels</v>
      </c>
      <c r="J17" s="217"/>
      <c r="K17" s="213"/>
      <c r="L17" s="215">
        <f ca="1">IFERROR(__xludf.DUMMYFUNCTION("""COMPUTED_VALUE"""),748685)</f>
        <v>748685</v>
      </c>
      <c r="M17" s="215" t="str">
        <f ca="1">IFERROR(__xludf.DUMMYFUNCTION("""COMPUTED_VALUE"""),"Advanced")</f>
        <v>Advanced</v>
      </c>
      <c r="N17" s="217" t="str">
        <f ca="1">IFERROR(__xludf.DUMMYFUNCTION("""COMPUTED_VALUE"""),"Empodera a tu equipo")</f>
        <v>Empodera a tu equipo</v>
      </c>
      <c r="O17" s="217"/>
      <c r="P17" s="213"/>
      <c r="Q17" s="215">
        <f ca="1">IFERROR(__xludf.DUMMYFUNCTION("""COMPUTED_VALUE"""),494021)</f>
        <v>494021</v>
      </c>
      <c r="R17" s="215" t="str">
        <f ca="1">IFERROR(__xludf.DUMMYFUNCTION("""COMPUTED_VALUE"""),"All levels")</f>
        <v>All levels</v>
      </c>
      <c r="S17" s="217" t="str">
        <f ca="1">IFERROR(__xludf.DUMMYFUNCTION("""COMPUTED_VALUE"""),"Mitarbeiter:innen motivieren")</f>
        <v>Mitarbeiter:innen motivieren</v>
      </c>
      <c r="T17" s="217"/>
      <c r="U17" s="213"/>
      <c r="V17" s="215"/>
      <c r="W17" s="215"/>
      <c r="X17" s="217"/>
      <c r="Y17" s="217"/>
      <c r="Z17" s="213"/>
      <c r="AA17" s="215">
        <f ca="1">IFERROR(__xludf.DUMMYFUNCTION("""COMPUTED_VALUE"""),2931595)</f>
        <v>2931595</v>
      </c>
      <c r="AB17" s="215" t="str">
        <f ca="1">IFERROR(__xludf.DUMMYFUNCTION("""COMPUTED_VALUE"""),"Beginner, Intermediate")</f>
        <v>Beginner, Intermediate</v>
      </c>
      <c r="AC17" s="217" t="str">
        <f ca="1">IFERROR(__xludf.DUMMYFUNCTION("""COMPUTED_VALUE"""),"Contratação de Colaboradores: Técnicas para Gerentes")</f>
        <v>Contratação de Colaboradores: Técnicas para Gerentes</v>
      </c>
      <c r="AD17" s="217"/>
      <c r="AE17" s="213"/>
      <c r="AF17" s="215">
        <f ca="1">IFERROR(__xludf.DUMMYFUNCTION("""COMPUTED_VALUE"""),5015337)</f>
        <v>5015337</v>
      </c>
      <c r="AG17" s="215" t="str">
        <f ca="1">IFERROR(__xludf.DUMMYFUNCTION("""COMPUTED_VALUE"""),"Intermediate")</f>
        <v>Intermediate</v>
      </c>
      <c r="AH17" s="217" t="str">
        <f ca="1">IFERROR(__xludf.DUMMYFUNCTION("""COMPUTED_VALUE"""),"管理新任管理者")</f>
        <v>管理新任管理者</v>
      </c>
      <c r="AI17" s="217"/>
      <c r="AJ17" s="213"/>
    </row>
    <row r="18" spans="1:36" ht="33.75" customHeight="1">
      <c r="A18" s="213"/>
      <c r="B18" s="214">
        <f ca="1">IFERROR(__xludf.DUMMYFUNCTION("""COMPUTED_VALUE"""),604212)</f>
        <v>604212</v>
      </c>
      <c r="C18" s="215" t="str">
        <f ca="1">IFERROR(__xludf.DUMMYFUNCTION("""COMPUTED_VALUE"""),"Beginner")</f>
        <v>Beginner</v>
      </c>
      <c r="D18" s="216" t="str">
        <f ca="1">IFERROR(__xludf.DUMMYFUNCTION("""COMPUTED_VALUE"""),"Managing Experts")</f>
        <v>Managing Experts</v>
      </c>
      <c r="E18" s="217"/>
      <c r="F18" s="213"/>
      <c r="G18" s="214">
        <f ca="1">IFERROR(__xludf.DUMMYFUNCTION("""COMPUTED_VALUE"""),778439)</f>
        <v>778439</v>
      </c>
      <c r="H18" s="215" t="str">
        <f ca="1">IFERROR(__xludf.DUMMYFUNCTION("""COMPUTED_VALUE"""),"Intermediate")</f>
        <v>Intermediate</v>
      </c>
      <c r="I18" s="217" t="str">
        <f ca="1">IFERROR(__xludf.DUMMYFUNCTION("""COMPUTED_VALUE"""),"Gérer les managers expérimentés / expérimentées")</f>
        <v>Gérer les managers expérimentés / expérimentées</v>
      </c>
      <c r="J18" s="217"/>
      <c r="K18" s="213"/>
      <c r="L18" s="215">
        <f ca="1">IFERROR(__xludf.DUMMYFUNCTION("""COMPUTED_VALUE"""),587139)</f>
        <v>587139</v>
      </c>
      <c r="M18" s="215" t="str">
        <f ca="1">IFERROR(__xludf.DUMMYFUNCTION("""COMPUTED_VALUE"""),"Beginner")</f>
        <v>Beginner</v>
      </c>
      <c r="N18" s="217" t="str">
        <f ca="1">IFERROR(__xludf.DUMMYFUNCTION("""COMPUTED_VALUE"""),"Fundamentos de la evaluación del rendimiento")</f>
        <v>Fundamentos de la evaluación del rendimiento</v>
      </c>
      <c r="O18" s="217"/>
      <c r="P18" s="213"/>
      <c r="Q18" s="215">
        <f ca="1">IFERROR(__xludf.DUMMYFUNCTION("""COMPUTED_VALUE"""),2921745)</f>
        <v>2921745</v>
      </c>
      <c r="R18" s="215" t="str">
        <f ca="1">IFERROR(__xludf.DUMMYFUNCTION("""COMPUTED_VALUE"""),"Beginner")</f>
        <v>Beginner</v>
      </c>
      <c r="S18" s="217" t="str">
        <f ca="1">IFERROR(__xludf.DUMMYFUNCTION("""COMPUTED_VALUE"""),"Mitarbeiterzufriedenheit durch Feel-Good-Management")</f>
        <v>Mitarbeiterzufriedenheit durch Feel-Good-Management</v>
      </c>
      <c r="T18" s="217"/>
      <c r="U18" s="213"/>
      <c r="V18" s="215"/>
      <c r="W18" s="215"/>
      <c r="X18" s="217"/>
      <c r="Y18" s="217"/>
      <c r="Z18" s="213"/>
      <c r="AA18" s="215">
        <f ca="1">IFERROR(__xludf.DUMMYFUNCTION("""COMPUTED_VALUE"""),5023837)</f>
        <v>5023837</v>
      </c>
      <c r="AB18" s="215" t="str">
        <f ca="1">IFERROR(__xludf.DUMMYFUNCTION("""COMPUTED_VALUE"""),"Intermediate")</f>
        <v>Intermediate</v>
      </c>
      <c r="AC18" s="217" t="str">
        <f ca="1">IFERROR(__xludf.DUMMYFUNCTION("""COMPUTED_VALUE"""),"Contratação por Desempenho")</f>
        <v>Contratação por Desempenho</v>
      </c>
      <c r="AD18" s="217"/>
      <c r="AE18" s="213"/>
      <c r="AF18" s="215">
        <f ca="1">IFERROR(__xludf.DUMMYFUNCTION("""COMPUTED_VALUE"""),767946)</f>
        <v>767946</v>
      </c>
      <c r="AG18" s="215" t="str">
        <f ca="1">IFERROR(__xludf.DUMMYFUNCTION("""COMPUTED_VALUE"""),"Intermediate")</f>
        <v>Intermediate</v>
      </c>
      <c r="AH18" s="217" t="str">
        <f ca="1">IFERROR(__xludf.DUMMYFUNCTION("""COMPUTED_VALUE"""),"管理虚拟团队")</f>
        <v>管理虚拟团队</v>
      </c>
      <c r="AI18" s="217"/>
      <c r="AJ18" s="213"/>
    </row>
    <row r="19" spans="1:36" ht="33.75" customHeight="1">
      <c r="A19" s="213"/>
      <c r="B19" s="214">
        <f ca="1">IFERROR(__xludf.DUMMYFUNCTION("""COMPUTED_VALUE"""),604211)</f>
        <v>604211</v>
      </c>
      <c r="C19" s="215" t="str">
        <f ca="1">IFERROR(__xludf.DUMMYFUNCTION("""COMPUTED_VALUE"""),"Beginner")</f>
        <v>Beginner</v>
      </c>
      <c r="D19" s="216" t="str">
        <f ca="1">IFERROR(__xludf.DUMMYFUNCTION("""COMPUTED_VALUE"""),"Managing High Performers")</f>
        <v>Managing High Performers</v>
      </c>
      <c r="E19" s="217"/>
      <c r="F19" s="213"/>
      <c r="G19" s="214">
        <f ca="1">IFERROR(__xludf.DUMMYFUNCTION("""COMPUTED_VALUE"""),575895)</f>
        <v>575895</v>
      </c>
      <c r="H19" s="215" t="str">
        <f ca="1">IFERROR(__xludf.DUMMYFUNCTION("""COMPUTED_VALUE"""),"Beginner")</f>
        <v>Beginner</v>
      </c>
      <c r="I19" s="217" t="str">
        <f ca="1">IFERROR(__xludf.DUMMYFUNCTION("""COMPUTED_VALUE"""),"Gérer les problèmes de performance de ses employés / employées")</f>
        <v>Gérer les problèmes de performance de ses employés / employées</v>
      </c>
      <c r="J19" s="217"/>
      <c r="K19" s="213"/>
      <c r="L19" s="215">
        <f ca="1">IFERROR(__xludf.DUMMYFUNCTION("""COMPUTED_VALUE"""),404770)</f>
        <v>404770</v>
      </c>
      <c r="M19" s="215" t="str">
        <f ca="1">IFERROR(__xludf.DUMMYFUNCTION("""COMPUTED_VALUE"""),"Beginner")</f>
        <v>Beginner</v>
      </c>
      <c r="N19" s="217" t="str">
        <f ca="1">IFERROR(__xludf.DUMMYFUNCTION("""COMPUTED_VALUE"""),"Fundamentos de la gestión empresarial")</f>
        <v>Fundamentos de la gestión empresarial</v>
      </c>
      <c r="O19" s="217"/>
      <c r="P19" s="213"/>
      <c r="Q19" s="215">
        <f ca="1">IFERROR(__xludf.DUMMYFUNCTION("""COMPUTED_VALUE"""),2920902)</f>
        <v>2920902</v>
      </c>
      <c r="R19" s="215" t="str">
        <f ca="1">IFERROR(__xludf.DUMMYFUNCTION("""COMPUTED_VALUE"""),"Beginner")</f>
        <v>Beginner</v>
      </c>
      <c r="S19" s="217" t="str">
        <f ca="1">IFERROR(__xludf.DUMMYFUNCTION("""COMPUTED_VALUE"""),"Personalverwaltung – Grundlagen")</f>
        <v>Personalverwaltung – Grundlagen</v>
      </c>
      <c r="T19" s="217"/>
      <c r="U19" s="213"/>
      <c r="V19" s="215"/>
      <c r="W19" s="215"/>
      <c r="X19" s="217"/>
      <c r="Y19" s="217"/>
      <c r="Z19" s="213"/>
      <c r="AA19" s="215">
        <f ca="1">IFERROR(__xludf.DUMMYFUNCTION("""COMPUTED_VALUE"""),733920)</f>
        <v>733920</v>
      </c>
      <c r="AB19" s="215" t="str">
        <f ca="1">IFERROR(__xludf.DUMMYFUNCTION("""COMPUTED_VALUE"""),"Beginner")</f>
        <v>Beginner</v>
      </c>
      <c r="AC19" s="217" t="str">
        <f ca="1">IFERROR(__xludf.DUMMYFUNCTION("""COMPUTED_VALUE"""),"Fundamentos de Gestão")</f>
        <v>Fundamentos de Gestão</v>
      </c>
      <c r="AD19" s="217"/>
      <c r="AE19" s="213"/>
      <c r="AF19" s="215">
        <f ca="1">IFERROR(__xludf.DUMMYFUNCTION("""COMPUTED_VALUE"""),5015338)</f>
        <v>5015338</v>
      </c>
      <c r="AG19" s="215" t="str">
        <f ca="1">IFERROR(__xludf.DUMMYFUNCTION("""COMPUTED_VALUE"""),"Intermediate")</f>
        <v>Intermediate</v>
      </c>
      <c r="AH19" s="217" t="str">
        <f ca="1">IFERROR(__xludf.DUMMYFUNCTION("""COMPUTED_VALUE"""),"管理资深管理者")</f>
        <v>管理资深管理者</v>
      </c>
      <c r="AI19" s="217"/>
      <c r="AJ19" s="213"/>
    </row>
    <row r="20" spans="1:36" ht="33.75" customHeight="1">
      <c r="A20" s="213"/>
      <c r="B20" s="214">
        <f ca="1">IFERROR(__xludf.DUMMYFUNCTION("""COMPUTED_VALUE"""),604213)</f>
        <v>604213</v>
      </c>
      <c r="C20" s="215" t="str">
        <f ca="1">IFERROR(__xludf.DUMMYFUNCTION("""COMPUTED_VALUE"""),"Beginner")</f>
        <v>Beginner</v>
      </c>
      <c r="D20" s="216" t="str">
        <f ca="1">IFERROR(__xludf.DUMMYFUNCTION("""COMPUTED_VALUE"""),"Managing High Potentials")</f>
        <v>Managing High Potentials</v>
      </c>
      <c r="E20" s="217"/>
      <c r="F20" s="213"/>
      <c r="G20" s="214">
        <f ca="1">IFERROR(__xludf.DUMMYFUNCTION("""COMPUTED_VALUE"""),778443)</f>
        <v>778443</v>
      </c>
      <c r="H20" s="215" t="str">
        <f ca="1">IFERROR(__xludf.DUMMYFUNCTION("""COMPUTED_VALUE"""),"Intermediate")</f>
        <v>Intermediate</v>
      </c>
      <c r="I20" s="217" t="str">
        <f ca="1">IFERROR(__xludf.DUMMYFUNCTION("""COMPUTED_VALUE"""),"Gérer les techniciens / techniciennes")</f>
        <v>Gérer les techniciens / techniciennes</v>
      </c>
      <c r="J20" s="217"/>
      <c r="K20" s="213"/>
      <c r="L20" s="215">
        <f ca="1">IFERROR(__xludf.DUMMYFUNCTION("""COMPUTED_VALUE"""),714717)</f>
        <v>714717</v>
      </c>
      <c r="M20" s="215" t="str">
        <f ca="1">IFERROR(__xludf.DUMMYFUNCTION("""COMPUTED_VALUE"""),"Advanced")</f>
        <v>Advanced</v>
      </c>
      <c r="N20" s="217" t="str">
        <f ca="1">IFERROR(__xludf.DUMMYFUNCTION("""COMPUTED_VALUE"""),"Gestión de equipos mediante OKR's o misiones, objetivos y resultados clave")</f>
        <v>Gestión de equipos mediante OKR's o misiones, objetivos y resultados clave</v>
      </c>
      <c r="O20" s="217"/>
      <c r="P20" s="213"/>
      <c r="Q20" s="215">
        <f ca="1">IFERROR(__xludf.DUMMYFUNCTION("""COMPUTED_VALUE"""),2232562)</f>
        <v>2232562</v>
      </c>
      <c r="R20" s="215" t="str">
        <f ca="1">IFERROR(__xludf.DUMMYFUNCTION("""COMPUTED_VALUE"""),"Intermediate")</f>
        <v>Intermediate</v>
      </c>
      <c r="S20" s="217" t="str">
        <f ca="1">IFERROR(__xludf.DUMMYFUNCTION("""COMPUTED_VALUE"""),"Teamleistungen mit Kennzahlen messen")</f>
        <v>Teamleistungen mit Kennzahlen messen</v>
      </c>
      <c r="T20" s="217"/>
      <c r="U20" s="213"/>
      <c r="V20" s="215"/>
      <c r="W20" s="215"/>
      <c r="X20" s="217"/>
      <c r="Y20" s="217"/>
      <c r="Z20" s="213"/>
      <c r="AA20" s="215">
        <f ca="1">IFERROR(__xludf.DUMMYFUNCTION("""COMPUTED_VALUE"""),753072)</f>
        <v>753072</v>
      </c>
      <c r="AB20" s="215" t="str">
        <f ca="1">IFERROR(__xludf.DUMMYFUNCTION("""COMPUTED_VALUE"""),"Intermediate")</f>
        <v>Intermediate</v>
      </c>
      <c r="AC20" s="217" t="str">
        <f ca="1">IFERROR(__xludf.DUMMYFUNCTION("""COMPUTED_VALUE"""),"Gestão de Equipes Virtuais")</f>
        <v>Gestão de Equipes Virtuais</v>
      </c>
      <c r="AD20" s="217"/>
      <c r="AE20" s="213"/>
      <c r="AF20" s="215">
        <f ca="1">IFERROR(__xludf.DUMMYFUNCTION("""COMPUTED_VALUE"""),2823543)</f>
        <v>2823543</v>
      </c>
      <c r="AG20" s="215" t="str">
        <f ca="1">IFERROR(__xludf.DUMMYFUNCTION("""COMPUTED_VALUE"""),"Beginner")</f>
        <v>Beginner</v>
      </c>
      <c r="AH20" s="217" t="str">
        <f ca="1">IFERROR(__xludf.DUMMYFUNCTION("""COMPUTED_VALUE"""),"管理高潜力人才")</f>
        <v>管理高潜力人才</v>
      </c>
      <c r="AI20" s="217"/>
      <c r="AJ20" s="213"/>
    </row>
    <row r="21" spans="1:36" ht="33.75" customHeight="1">
      <c r="A21" s="213"/>
      <c r="B21" s="214">
        <f ca="1">IFERROR(__xludf.DUMMYFUNCTION("""COMPUTED_VALUE"""),456353)</f>
        <v>456353</v>
      </c>
      <c r="C21" s="215" t="str">
        <f ca="1">IFERROR(__xludf.DUMMYFUNCTION("""COMPUTED_VALUE"""),"Beginner")</f>
        <v>Beginner</v>
      </c>
      <c r="D21" s="216" t="str">
        <f ca="1">IFERROR(__xludf.DUMMYFUNCTION("""COMPUTED_VALUE"""),"Setting Team and Employee Goals Using SMART Methodology")</f>
        <v>Setting Team and Employee Goals Using SMART Methodology</v>
      </c>
      <c r="E21" s="217"/>
      <c r="F21" s="213"/>
      <c r="G21" s="214">
        <f ca="1">IFERROR(__xludf.DUMMYFUNCTION("""COMPUTED_VALUE"""),3201132)</f>
        <v>3201132</v>
      </c>
      <c r="H21" s="215" t="str">
        <f ca="1">IFERROR(__xludf.DUMMYFUNCTION("""COMPUTED_VALUE"""),"All levels")</f>
        <v>All levels</v>
      </c>
      <c r="I21" s="217" t="str">
        <f ca="1">IFERROR(__xludf.DUMMYFUNCTION("""COMPUTED_VALUE"""),"Gérer son stress au travail")</f>
        <v>Gérer son stress au travail</v>
      </c>
      <c r="J21" s="217"/>
      <c r="K21" s="213"/>
      <c r="L21" s="215">
        <f ca="1">IFERROR(__xludf.DUMMYFUNCTION("""COMPUTED_VALUE"""),587141)</f>
        <v>587141</v>
      </c>
      <c r="M21" s="215" t="str">
        <f ca="1">IFERROR(__xludf.DUMMYFUNCTION("""COMPUTED_VALUE"""),"All levels")</f>
        <v>All levels</v>
      </c>
      <c r="N21" s="217" t="str">
        <f ca="1">IFERROR(__xludf.DUMMYFUNCTION("""COMPUTED_VALUE"""),"Gestión de problemas de rendimiento")</f>
        <v>Gestión de problemas de rendimiento</v>
      </c>
      <c r="O21" s="217"/>
      <c r="P21" s="213"/>
      <c r="Q21" s="215">
        <f ca="1">IFERROR(__xludf.DUMMYFUNCTION("""COMPUTED_VALUE"""),5033458)</f>
        <v>5033458</v>
      </c>
      <c r="R21" s="215" t="str">
        <f ca="1">IFERROR(__xludf.DUMMYFUNCTION("""COMPUTED_VALUE"""),"All levels")</f>
        <v>All levels</v>
      </c>
      <c r="S21" s="217" t="str">
        <f ca="1">IFERROR(__xludf.DUMMYFUNCTION("""COMPUTED_VALUE"""),"Ziele für Mitarbeiter:innen und Teams setzen")</f>
        <v>Ziele für Mitarbeiter:innen und Teams setzen</v>
      </c>
      <c r="T21" s="217"/>
      <c r="U21" s="213"/>
      <c r="V21" s="215"/>
      <c r="W21" s="215"/>
      <c r="X21" s="217"/>
      <c r="Y21" s="217"/>
      <c r="Z21" s="213"/>
      <c r="AA21" s="215">
        <f ca="1">IFERROR(__xludf.DUMMYFUNCTION("""COMPUTED_VALUE"""),801462)</f>
        <v>801462</v>
      </c>
      <c r="AB21" s="215" t="str">
        <f ca="1">IFERROR(__xludf.DUMMYFUNCTION("""COMPUTED_VALUE"""),"Intermediate")</f>
        <v>Intermediate</v>
      </c>
      <c r="AC21" s="217" t="str">
        <f ca="1">IFERROR(__xludf.DUMMYFUNCTION("""COMPUTED_VALUE"""),"Gestão de Gerentes Experientes")</f>
        <v>Gestão de Gerentes Experientes</v>
      </c>
      <c r="AD21" s="217"/>
      <c r="AE21" s="213"/>
      <c r="AF21" s="215">
        <f ca="1">IFERROR(__xludf.DUMMYFUNCTION("""COMPUTED_VALUE"""),2823542)</f>
        <v>2823542</v>
      </c>
      <c r="AG21" s="215" t="str">
        <f ca="1">IFERROR(__xludf.DUMMYFUNCTION("""COMPUTED_VALUE"""),"Beginner")</f>
        <v>Beginner</v>
      </c>
      <c r="AH21" s="217" t="str">
        <f ca="1">IFERROR(__xludf.DUMMYFUNCTION("""COMPUTED_VALUE"""),"管理高绩效员工")</f>
        <v>管理高绩效员工</v>
      </c>
      <c r="AI21" s="217"/>
      <c r="AJ21" s="213"/>
    </row>
    <row r="22" spans="1:36" ht="33.75" customHeight="1">
      <c r="A22" s="213"/>
      <c r="B22" s="214">
        <f ca="1">IFERROR(__xludf.DUMMYFUNCTION("""COMPUTED_VALUE"""),2876075)</f>
        <v>2876075</v>
      </c>
      <c r="C22" s="215" t="str">
        <f ca="1">IFERROR(__xludf.DUMMYFUNCTION("""COMPUTED_VALUE"""),"Beginner")</f>
        <v>Beginner</v>
      </c>
      <c r="D22" s="216" t="str">
        <f ca="1">IFERROR(__xludf.DUMMYFUNCTION("""COMPUTED_VALUE"""),"Virtual Performance Reviews and Feedback")</f>
        <v>Virtual Performance Reviews and Feedback</v>
      </c>
      <c r="E22" s="217"/>
      <c r="F22" s="213"/>
      <c r="G22" s="214">
        <f ca="1">IFERROR(__xludf.DUMMYFUNCTION("""COMPUTED_VALUE"""),796909)</f>
        <v>796909</v>
      </c>
      <c r="H22" s="215" t="str">
        <f ca="1">IFERROR(__xludf.DUMMYFUNCTION("""COMPUTED_VALUE"""),"Advanced")</f>
        <v>Advanced</v>
      </c>
      <c r="I22" s="217" t="str">
        <f ca="1">IFERROR(__xludf.DUMMYFUNCTION("""COMPUTED_VALUE"""),"Instaurer une culture de la performance")</f>
        <v>Instaurer une culture de la performance</v>
      </c>
      <c r="J22" s="217"/>
      <c r="K22" s="213"/>
      <c r="L22" s="215">
        <f ca="1">IFERROR(__xludf.DUMMYFUNCTION("""COMPUTED_VALUE"""),2918503)</f>
        <v>2918503</v>
      </c>
      <c r="M22" s="215" t="str">
        <f ca="1">IFERROR(__xludf.DUMMYFUNCTION("""COMPUTED_VALUE"""),"Intermediate")</f>
        <v>Intermediate</v>
      </c>
      <c r="N22" s="217" t="str">
        <f ca="1">IFERROR(__xludf.DUMMYFUNCTION("""COMPUTED_VALUE"""),"Incrementar el compromiso con los programas de aprendizaje electrónico")</f>
        <v>Incrementar el compromiso con los programas de aprendizaje electrónico</v>
      </c>
      <c r="O22" s="217"/>
      <c r="P22" s="213"/>
      <c r="Q22" s="215">
        <f ca="1">IFERROR(__xludf.DUMMYFUNCTION("""COMPUTED_VALUE"""),593896)</f>
        <v>593896</v>
      </c>
      <c r="R22" s="215" t="str">
        <f ca="1">IFERROR(__xludf.DUMMYFUNCTION("""COMPUTED_VALUE"""),"Intermediate")</f>
        <v>Intermediate</v>
      </c>
      <c r="S22" s="217" t="str">
        <f ca="1">IFERROR(__xludf.DUMMYFUNCTION("""COMPUTED_VALUE"""),"Zielvereinbarungsgespräche führen")</f>
        <v>Zielvereinbarungsgespräche führen</v>
      </c>
      <c r="T22" s="217"/>
      <c r="U22" s="213"/>
      <c r="V22" s="215"/>
      <c r="W22" s="215"/>
      <c r="X22" s="217"/>
      <c r="Y22" s="217"/>
      <c r="Z22" s="213"/>
      <c r="AA22" s="215">
        <f ca="1">IFERROR(__xludf.DUMMYFUNCTION("""COMPUTED_VALUE"""),801461)</f>
        <v>801461</v>
      </c>
      <c r="AB22" s="215" t="str">
        <f ca="1">IFERROR(__xludf.DUMMYFUNCTION("""COMPUTED_VALUE"""),"Intermediate")</f>
        <v>Intermediate</v>
      </c>
      <c r="AC22" s="217" t="str">
        <f ca="1">IFERROR(__xludf.DUMMYFUNCTION("""COMPUTED_VALUE"""),"Gestão de Novos Cargos de Gerência")</f>
        <v>Gestão de Novos Cargos de Gerência</v>
      </c>
      <c r="AD22" s="217"/>
      <c r="AE22" s="213"/>
      <c r="AF22" s="215">
        <f ca="1">IFERROR(__xludf.DUMMYFUNCTION("""COMPUTED_VALUE"""),2822700)</f>
        <v>2822700</v>
      </c>
      <c r="AG22" s="215" t="str">
        <f ca="1">IFERROR(__xludf.DUMMYFUNCTION("""COMPUTED_VALUE"""),"Beginner, Intermediate")</f>
        <v>Beginner, Intermediate</v>
      </c>
      <c r="AH22" s="217" t="str">
        <f ca="1">IFERROR(__xludf.DUMMYFUNCTION("""COMPUTED_VALUE"""),"绩效管理：进行绩效评估")</f>
        <v>绩效管理：进行绩效评估</v>
      </c>
      <c r="AI22" s="217"/>
      <c r="AJ22" s="213"/>
    </row>
    <row r="23" spans="1:36" ht="33.75" customHeight="1">
      <c r="A23" s="213"/>
      <c r="B23" s="214">
        <f ca="1">IFERROR(__xludf.DUMMYFUNCTION("""COMPUTED_VALUE"""),2880017)</f>
        <v>2880017</v>
      </c>
      <c r="C23" s="215" t="str">
        <f ca="1">IFERROR(__xludf.DUMMYFUNCTION("""COMPUTED_VALUE"""),"Beginner")</f>
        <v>Beginner</v>
      </c>
      <c r="D23" s="216" t="str">
        <f ca="1">IFERROR(__xludf.DUMMYFUNCTION("""COMPUTED_VALUE"""),"Managers as Multipliers of Well-Being")</f>
        <v>Managers as Multipliers of Well-Being</v>
      </c>
      <c r="E23" s="217"/>
      <c r="F23" s="213"/>
      <c r="G23" s="214">
        <f ca="1">IFERROR(__xludf.DUMMYFUNCTION("""COMPUTED_VALUE"""),604072)</f>
        <v>604072</v>
      </c>
      <c r="H23" s="215" t="str">
        <f ca="1">IFERROR(__xludf.DUMMYFUNCTION("""COMPUTED_VALUE"""),"All levels")</f>
        <v>All levels</v>
      </c>
      <c r="I23" s="217" t="str">
        <f ca="1">IFERROR(__xludf.DUMMYFUNCTION("""COMPUTED_VALUE"""),"Jeff Weiner – Définir une culture et un plan d'évolution")</f>
        <v>Jeff Weiner – Définir une culture et un plan d'évolution</v>
      </c>
      <c r="J23" s="217"/>
      <c r="K23" s="213"/>
      <c r="L23" s="215">
        <f ca="1">IFERROR(__xludf.DUMMYFUNCTION("""COMPUTED_VALUE"""),588023)</f>
        <v>588023</v>
      </c>
      <c r="M23" s="215" t="str">
        <f ca="1">IFERROR(__xludf.DUMMYFUNCTION("""COMPUTED_VALUE"""),"All levels")</f>
        <v>All levels</v>
      </c>
      <c r="N23" s="217" t="str">
        <f ca="1">IFERROR(__xludf.DUMMYFUNCTION("""COMPUTED_VALUE"""),"Jeff Weiner y cómo establecer una cultura y un plan de crecimiento")</f>
        <v>Jeff Weiner y cómo establecer una cultura y un plan de crecimiento</v>
      </c>
      <c r="O23" s="217"/>
      <c r="P23" s="213"/>
      <c r="Q23" s="215"/>
      <c r="R23" s="215"/>
      <c r="S23" s="217"/>
      <c r="T23" s="217"/>
      <c r="U23" s="213"/>
      <c r="V23" s="215"/>
      <c r="W23" s="215"/>
      <c r="X23" s="217"/>
      <c r="Y23" s="217"/>
      <c r="Z23" s="213"/>
      <c r="AA23" s="215">
        <f ca="1">IFERROR(__xludf.DUMMYFUNCTION("""COMPUTED_VALUE"""),2210175)</f>
        <v>2210175</v>
      </c>
      <c r="AB23" s="215" t="str">
        <f ca="1">IFERROR(__xludf.DUMMYFUNCTION("""COMPUTED_VALUE"""),"Intermediate")</f>
        <v>Intermediate</v>
      </c>
      <c r="AC23" s="217" t="str">
        <f ca="1">IFERROR(__xludf.DUMMYFUNCTION("""COMPUTED_VALUE"""),"Gestão de Problemas de Desempenho dos Colaboradores")</f>
        <v>Gestão de Problemas de Desempenho dos Colaboradores</v>
      </c>
      <c r="AD23" s="217"/>
      <c r="AE23" s="213"/>
      <c r="AF23" s="215">
        <f ca="1">IFERROR(__xludf.DUMMYFUNCTION("""COMPUTED_VALUE"""),5020684)</f>
        <v>5020684</v>
      </c>
      <c r="AG23" s="215" t="str">
        <f ca="1">IFERROR(__xludf.DUMMYFUNCTION("""COMPUTED_VALUE"""),"Beginner")</f>
        <v>Beginner</v>
      </c>
      <c r="AH23" s="217" t="str">
        <f ca="1">IFERROR(__xludf.DUMMYFUNCTION("""COMPUTED_VALUE"""),"设定团队与员工目标")</f>
        <v>设定团队与员工目标</v>
      </c>
      <c r="AI23" s="217"/>
      <c r="AJ23" s="213"/>
    </row>
    <row r="24" spans="1:36" ht="33.75" customHeight="1">
      <c r="A24" s="213"/>
      <c r="B24" s="214">
        <f ca="1">IFERROR(__xludf.DUMMYFUNCTION("""COMPUTED_VALUE"""),2882010)</f>
        <v>2882010</v>
      </c>
      <c r="C24" s="215" t="str">
        <f ca="1">IFERROR(__xludf.DUMMYFUNCTION("""COMPUTED_VALUE"""),"Beginner + Intermediate")</f>
        <v>Beginner + Intermediate</v>
      </c>
      <c r="D24" s="216" t="str">
        <f ca="1">IFERROR(__xludf.DUMMYFUNCTION("""COMPUTED_VALUE"""),"Recruiting Diverse Talent as a Hiring Manager")</f>
        <v>Recruiting Diverse Talent as a Hiring Manager</v>
      </c>
      <c r="E24" s="217"/>
      <c r="F24" s="213"/>
      <c r="G24" s="214">
        <f ca="1">IFERROR(__xludf.DUMMYFUNCTION("""COMPUTED_VALUE"""),604067)</f>
        <v>604067</v>
      </c>
      <c r="H24" s="215" t="str">
        <f ca="1">IFERROR(__xludf.DUMMYFUNCTION("""COMPUTED_VALUE"""),"All levels")</f>
        <v>All levels</v>
      </c>
      <c r="I24" s="217" t="str">
        <f ca="1">IFERROR(__xludf.DUMMYFUNCTION("""COMPUTED_VALUE"""),"Jeff Weiner – Le management compassionnel")</f>
        <v>Jeff Weiner – Le management compassionnel</v>
      </c>
      <c r="J24" s="217"/>
      <c r="K24" s="213"/>
      <c r="L24" s="215">
        <f ca="1">IFERROR(__xludf.DUMMYFUNCTION("""COMPUTED_VALUE"""),2925058)</f>
        <v>2925058</v>
      </c>
      <c r="M24" s="215" t="str">
        <f ca="1">IFERROR(__xludf.DUMMYFUNCTION("""COMPUTED_VALUE"""),"Beginner, Intermediate")</f>
        <v>Beginner, Intermediate</v>
      </c>
      <c r="N24" s="217" t="str">
        <f ca="1">IFERROR(__xludf.DUMMYFUNCTION("""COMPUTED_VALUE"""),"Microsoft Dynamics 365 Talent esencial")</f>
        <v>Microsoft Dynamics 365 Talent esencial</v>
      </c>
      <c r="O24" s="217"/>
      <c r="P24" s="213"/>
      <c r="Q24" s="215"/>
      <c r="R24" s="215"/>
      <c r="S24" s="217"/>
      <c r="T24" s="217"/>
      <c r="U24" s="213"/>
      <c r="V24" s="215"/>
      <c r="W24" s="215"/>
      <c r="X24" s="217"/>
      <c r="Y24" s="217"/>
      <c r="Z24" s="213"/>
      <c r="AA24" s="215">
        <f ca="1">IFERROR(__xludf.DUMMYFUNCTION("""COMPUTED_VALUE"""),2911574)</f>
        <v>2911574</v>
      </c>
      <c r="AB24" s="215" t="str">
        <f ca="1">IFERROR(__xludf.DUMMYFUNCTION("""COMPUTED_VALUE"""),"Beginner")</f>
        <v>Beginner</v>
      </c>
      <c r="AC24" s="217" t="str">
        <f ca="1">IFERROR(__xludf.DUMMYFUNCTION("""COMPUTED_VALUE"""),"Gestão de Profissionais de Alto Desempenho")</f>
        <v>Gestão de Profissionais de Alto Desempenho</v>
      </c>
      <c r="AD24" s="217"/>
      <c r="AE24" s="213"/>
      <c r="AF24" s="215">
        <f ca="1">IFERROR(__xludf.DUMMYFUNCTION("""COMPUTED_VALUE"""),2825309)</f>
        <v>2825309</v>
      </c>
      <c r="AG24" s="215" t="str">
        <f ca="1">IFERROR(__xludf.DUMMYFUNCTION("""COMPUTED_VALUE"""),"Intermediate")</f>
        <v>Intermediate</v>
      </c>
      <c r="AH24" s="217" t="str">
        <f ca="1">IFERROR(__xludf.DUMMYFUNCTION("""COMPUTED_VALUE"""),"评估团队绩效")</f>
        <v>评估团队绩效</v>
      </c>
      <c r="AI24" s="217"/>
      <c r="AJ24" s="213"/>
    </row>
    <row r="25" spans="1:36" ht="33.75" customHeight="1">
      <c r="A25" s="213"/>
      <c r="B25" s="214">
        <f ca="1">IFERROR(__xludf.DUMMYFUNCTION("""COMPUTED_VALUE"""),5015864)</f>
        <v>5015864</v>
      </c>
      <c r="C25" s="215" t="str">
        <f ca="1">IFERROR(__xludf.DUMMYFUNCTION("""COMPUTED_VALUE"""),"Beginner + Intermediate")</f>
        <v>Beginner + Intermediate</v>
      </c>
      <c r="D25" s="216" t="str">
        <f ca="1">IFERROR(__xludf.DUMMYFUNCTION("""COMPUTED_VALUE"""),"Performance Management: Conducting Performance Reviews")</f>
        <v>Performance Management: Conducting Performance Reviews</v>
      </c>
      <c r="E25" s="217"/>
      <c r="F25" s="213"/>
      <c r="G25" s="214">
        <f ca="1">IFERROR(__xludf.DUMMYFUNCTION("""COMPUTED_VALUE"""),2882001)</f>
        <v>2882001</v>
      </c>
      <c r="H25" s="215" t="str">
        <f ca="1">IFERROR(__xludf.DUMMYFUNCTION("""COMPUTED_VALUE"""),"Intermediate")</f>
        <v>Intermediate</v>
      </c>
      <c r="I25" s="217" t="str">
        <f ca="1">IFERROR(__xludf.DUMMYFUNCTION("""COMPUTED_VALUE"""),"La minute de formation : Favoriser l'engagement des employés")</f>
        <v>La minute de formation : Favoriser l'engagement des employés</v>
      </c>
      <c r="J25" s="217"/>
      <c r="K25" s="213"/>
      <c r="L25" s="215">
        <f ca="1">IFERROR(__xludf.DUMMYFUNCTION("""COMPUTED_VALUE"""),449379)</f>
        <v>449379</v>
      </c>
      <c r="M25" s="215" t="str">
        <f ca="1">IFERROR(__xludf.DUMMYFUNCTION("""COMPUTED_VALUE"""),"Beginner")</f>
        <v>Beginner</v>
      </c>
      <c r="N25" s="217" t="str">
        <f ca="1">IFERROR(__xludf.DUMMYFUNCTION("""COMPUTED_VALUE"""),"Motivación e implicación en la empresa")</f>
        <v>Motivación e implicación en la empresa</v>
      </c>
      <c r="O25" s="217"/>
      <c r="P25" s="213"/>
      <c r="Q25" s="215"/>
      <c r="R25" s="215"/>
      <c r="S25" s="217"/>
      <c r="T25" s="217"/>
      <c r="U25" s="213"/>
      <c r="V25" s="215"/>
      <c r="W25" s="215"/>
      <c r="X25" s="217"/>
      <c r="Y25" s="217"/>
      <c r="Z25" s="213"/>
      <c r="AA25" s="215">
        <f ca="1">IFERROR(__xludf.DUMMYFUNCTION("""COMPUTED_VALUE"""),2909985)</f>
        <v>2909985</v>
      </c>
      <c r="AB25" s="215" t="str">
        <f ca="1">IFERROR(__xludf.DUMMYFUNCTION("""COMPUTED_VALUE"""),"Beginner")</f>
        <v>Beginner</v>
      </c>
      <c r="AC25" s="217" t="str">
        <f ca="1">IFERROR(__xludf.DUMMYFUNCTION("""COMPUTED_VALUE"""),"Gestão de Profissionais de Alto Potencial")</f>
        <v>Gestão de Profissionais de Alto Potencial</v>
      </c>
      <c r="AD25" s="217"/>
      <c r="AE25" s="213"/>
      <c r="AF25" s="215">
        <f ca="1">IFERROR(__xludf.DUMMYFUNCTION("""COMPUTED_VALUE"""),773640)</f>
        <v>773640</v>
      </c>
      <c r="AG25" s="215" t="str">
        <f ca="1">IFERROR(__xludf.DUMMYFUNCTION("""COMPUTED_VALUE"""),"Beginner")</f>
        <v>Beginner</v>
      </c>
      <c r="AH25" s="217" t="str">
        <f ca="1">IFERROR(__xludf.DUMMYFUNCTION("""COMPUTED_VALUE"""),"辅导和培养员工")</f>
        <v>辅导和培养员工</v>
      </c>
      <c r="AI25" s="217"/>
      <c r="AJ25" s="213"/>
    </row>
    <row r="26" spans="1:36" ht="33.75" customHeight="1">
      <c r="A26" s="213"/>
      <c r="B26" s="214">
        <f ca="1">IFERROR(__xludf.DUMMYFUNCTION("""COMPUTED_VALUE"""),5015865)</f>
        <v>5015865</v>
      </c>
      <c r="C26" s="215" t="str">
        <f ca="1">IFERROR(__xludf.DUMMYFUNCTION("""COMPUTED_VALUE"""),"Beginner + Intermediate")</f>
        <v>Beginner + Intermediate</v>
      </c>
      <c r="D26" s="216" t="str">
        <f ca="1">IFERROR(__xludf.DUMMYFUNCTION("""COMPUTED_VALUE"""),"Performance Management: Setting Goals and Managing Performance")</f>
        <v>Performance Management: Setting Goals and Managing Performance</v>
      </c>
      <c r="E26" s="217"/>
      <c r="F26" s="213"/>
      <c r="G26" s="214">
        <f ca="1">IFERROR(__xludf.DUMMYFUNCTION("""COMPUTED_VALUE"""),561058)</f>
        <v>561058</v>
      </c>
      <c r="H26" s="215" t="str">
        <f ca="1">IFERROR(__xludf.DUMMYFUNCTION("""COMPUTED_VALUE"""),"Beginner, Intermediate")</f>
        <v>Beginner, Intermediate</v>
      </c>
      <c r="I26" s="217" t="str">
        <f ca="1">IFERROR(__xludf.DUMMYFUNCTION("""COMPUTED_VALUE"""),"Les fondements du bilan de performance")</f>
        <v>Les fondements du bilan de performance</v>
      </c>
      <c r="J26" s="217"/>
      <c r="K26" s="213"/>
      <c r="L26" s="215">
        <f ca="1">IFERROR(__xludf.DUMMYFUNCTION("""COMPUTED_VALUE"""),622424)</f>
        <v>622424</v>
      </c>
      <c r="M26" s="215" t="str">
        <f ca="1">IFERROR(__xludf.DUMMYFUNCTION("""COMPUTED_VALUE"""),"Beginner")</f>
        <v>Beginner</v>
      </c>
      <c r="N26" s="217" t="str">
        <f ca="1">IFERROR(__xludf.DUMMYFUNCTION("""COMPUTED_VALUE"""),"Teletrabajo y gestión de equipos remotos")</f>
        <v>Teletrabajo y gestión de equipos remotos</v>
      </c>
      <c r="O26" s="217"/>
      <c r="P26" s="213"/>
      <c r="Q26" s="215"/>
      <c r="R26" s="215"/>
      <c r="S26" s="217"/>
      <c r="T26" s="217"/>
      <c r="U26" s="213"/>
      <c r="V26" s="215"/>
      <c r="W26" s="215"/>
      <c r="X26" s="217"/>
      <c r="Y26" s="217"/>
      <c r="Z26" s="213"/>
      <c r="AA26" s="215">
        <f ca="1">IFERROR(__xludf.DUMMYFUNCTION("""COMPUTED_VALUE"""),2841370)</f>
        <v>2841370</v>
      </c>
      <c r="AB26" s="215" t="str">
        <f ca="1">IFERROR(__xludf.DUMMYFUNCTION("""COMPUTED_VALUE"""),"Intermediate")</f>
        <v>Intermediate</v>
      </c>
      <c r="AC26" s="217" t="str">
        <f ca="1">IFERROR(__xludf.DUMMYFUNCTION("""COMPUTED_VALUE"""),"O Poder das Perguntas para Estimular o Pensamento Crítico e a Curiosidade")</f>
        <v>O Poder das Perguntas para Estimular o Pensamento Crítico e a Curiosidade</v>
      </c>
      <c r="AD26" s="217"/>
      <c r="AE26" s="213"/>
      <c r="AF26" s="215">
        <f ca="1">IFERROR(__xludf.DUMMYFUNCTION("""COMPUTED_VALUE"""),2822708)</f>
        <v>2822708</v>
      </c>
      <c r="AG26" s="215" t="str">
        <f ca="1">IFERROR(__xludf.DUMMYFUNCTION("""COMPUTED_VALUE"""),"Beginner")</f>
        <v>Beginner</v>
      </c>
      <c r="AH26" s="217" t="str">
        <f ca="1">IFERROR(__xludf.DUMMYFUNCTION("""COMPUTED_VALUE"""),"面试技巧：雇主篇")</f>
        <v>面试技巧：雇主篇</v>
      </c>
      <c r="AI26" s="217"/>
      <c r="AJ26" s="213"/>
    </row>
    <row r="27" spans="1:36" ht="33.75" customHeight="1">
      <c r="A27" s="213"/>
      <c r="B27" s="214">
        <f ca="1">IFERROR(__xludf.DUMMYFUNCTION("""COMPUTED_VALUE"""),5034159)</f>
        <v>5034159</v>
      </c>
      <c r="C27" s="215" t="str">
        <f ca="1">IFERROR(__xludf.DUMMYFUNCTION("""COMPUTED_VALUE"""),"Beginner + Intermediate")</f>
        <v>Beginner + Intermediate</v>
      </c>
      <c r="D27" s="216" t="str">
        <f ca="1">IFERROR(__xludf.DUMMYFUNCTION("""COMPUTED_VALUE"""),"Hiring an Employee for Managers")</f>
        <v>Hiring an Employee for Managers</v>
      </c>
      <c r="E27" s="217"/>
      <c r="F27" s="213"/>
      <c r="G27" s="214">
        <f ca="1">IFERROR(__xludf.DUMMYFUNCTION("""COMPUTED_VALUE"""),398060)</f>
        <v>398060</v>
      </c>
      <c r="H27" s="215" t="str">
        <f ca="1">IFERROR(__xludf.DUMMYFUNCTION("""COMPUTED_VALUE"""),"Beginner")</f>
        <v>Beginner</v>
      </c>
      <c r="I27" s="217" t="str">
        <f ca="1">IFERROR(__xludf.DUMMYFUNCTION("""COMPUTED_VALUE"""),"Les fondements du management")</f>
        <v>Les fondements du management</v>
      </c>
      <c r="J27" s="217"/>
      <c r="K27" s="213"/>
      <c r="L27" s="215"/>
      <c r="M27" s="215"/>
      <c r="N27" s="217"/>
      <c r="O27" s="217"/>
      <c r="P27" s="213"/>
      <c r="Q27" s="215"/>
      <c r="R27" s="215"/>
      <c r="S27" s="217"/>
      <c r="T27" s="217"/>
      <c r="U27" s="213"/>
      <c r="V27" s="215"/>
      <c r="W27" s="215"/>
      <c r="X27" s="217"/>
      <c r="Y27" s="217"/>
      <c r="Z27" s="213"/>
      <c r="AA27" s="215">
        <f ca="1">IFERROR(__xludf.DUMMYFUNCTION("""COMPUTED_VALUE"""),753081)</f>
        <v>753081</v>
      </c>
      <c r="AB27" s="215" t="str">
        <f ca="1">IFERROR(__xludf.DUMMYFUNCTION("""COMPUTED_VALUE"""),"Beginner")</f>
        <v>Beginner</v>
      </c>
      <c r="AC27" s="217" t="str">
        <f ca="1">IFERROR(__xludf.DUMMYFUNCTION("""COMPUTED_VALUE"""),"O Poder do Coaching no Desenvolvimento dos Colaboradores")</f>
        <v>O Poder do Coaching no Desenvolvimento dos Colaboradores</v>
      </c>
      <c r="AD27" s="217"/>
      <c r="AE27" s="213"/>
      <c r="AF27" s="215"/>
      <c r="AG27" s="215"/>
      <c r="AH27" s="217"/>
      <c r="AI27" s="217"/>
      <c r="AJ27" s="213"/>
    </row>
    <row r="28" spans="1:36" ht="33.75" customHeight="1">
      <c r="A28" s="213"/>
      <c r="B28" s="214">
        <f ca="1">IFERROR(__xludf.DUMMYFUNCTION("""COMPUTED_VALUE"""),802842)</f>
        <v>802842</v>
      </c>
      <c r="C28" s="215" t="str">
        <f ca="1">IFERROR(__xludf.DUMMYFUNCTION("""COMPUTED_VALUE"""),"Beginner + Intermediate")</f>
        <v>Beginner + Intermediate</v>
      </c>
      <c r="D28" s="216" t="str">
        <f ca="1">IFERROR(__xludf.DUMMYFUNCTION("""COMPUTED_VALUE"""),"Coaching and Developing Employees")</f>
        <v>Coaching and Developing Employees</v>
      </c>
      <c r="E28" s="217"/>
      <c r="F28" s="213"/>
      <c r="G28" s="214">
        <f ca="1">IFERROR(__xludf.DUMMYFUNCTION("""COMPUTED_VALUE"""),476693)</f>
        <v>476693</v>
      </c>
      <c r="H28" s="215" t="str">
        <f ca="1">IFERROR(__xludf.DUMMYFUNCTION("""COMPUTED_VALUE"""),"Beginner")</f>
        <v>Beginner</v>
      </c>
      <c r="I28" s="217" t="str">
        <f ca="1">IFERROR(__xludf.DUMMYFUNCTION("""COMPUTED_VALUE"""),"Les fondements du nouveau et de la nouvelle manager")</f>
        <v>Les fondements du nouveau et de la nouvelle manager</v>
      </c>
      <c r="J28" s="217"/>
      <c r="K28" s="213"/>
      <c r="L28" s="215"/>
      <c r="M28" s="215"/>
      <c r="N28" s="217"/>
      <c r="O28" s="217"/>
      <c r="P28" s="213"/>
      <c r="Q28" s="215"/>
      <c r="R28" s="215"/>
      <c r="S28" s="217"/>
      <c r="T28" s="217"/>
      <c r="U28" s="213"/>
      <c r="V28" s="215"/>
      <c r="W28" s="215"/>
      <c r="X28" s="217"/>
      <c r="Y28" s="217"/>
      <c r="Z28" s="213"/>
      <c r="AA28" s="215">
        <f ca="1">IFERROR(__xludf.DUMMYFUNCTION("""COMPUTED_VALUE"""),753071)</f>
        <v>753071</v>
      </c>
      <c r="AB28" s="215" t="str">
        <f ca="1">IFERROR(__xludf.DUMMYFUNCTION("""COMPUTED_VALUE"""),"Beginner")</f>
        <v>Beginner</v>
      </c>
      <c r="AC28" s="217" t="str">
        <f ca="1">IFERROR(__xludf.DUMMYFUNCTION("""COMPUTED_VALUE"""),"Princípios Básicos para Novos Cargos de Gestão")</f>
        <v>Princípios Básicos para Novos Cargos de Gestão</v>
      </c>
      <c r="AD28" s="217"/>
      <c r="AE28" s="213"/>
      <c r="AF28" s="215"/>
      <c r="AG28" s="215"/>
      <c r="AH28" s="217"/>
      <c r="AI28" s="217"/>
      <c r="AJ28" s="213"/>
    </row>
    <row r="29" spans="1:36" ht="33.75" customHeight="1">
      <c r="A29" s="213"/>
      <c r="B29" s="214">
        <f ca="1">IFERROR(__xludf.DUMMYFUNCTION("""COMPUTED_VALUE"""),661750)</f>
        <v>661750</v>
      </c>
      <c r="C29" s="215" t="str">
        <f ca="1">IFERROR(__xludf.DUMMYFUNCTION("""COMPUTED_VALUE"""),"Beginner + Intermediate")</f>
        <v>Beginner + Intermediate</v>
      </c>
      <c r="D29" s="216" t="str">
        <f ca="1">IFERROR(__xludf.DUMMYFUNCTION("""COMPUTED_VALUE"""),"Improving Employee Performance")</f>
        <v>Improving Employee Performance</v>
      </c>
      <c r="E29" s="217"/>
      <c r="F29" s="213"/>
      <c r="G29" s="214">
        <f ca="1">IFERROR(__xludf.DUMMYFUNCTION("""COMPUTED_VALUE"""),2873194)</f>
        <v>2873194</v>
      </c>
      <c r="H29" s="215" t="str">
        <f ca="1">IFERROR(__xludf.DUMMYFUNCTION("""COMPUTED_VALUE"""),"Intermediate")</f>
        <v>Intermediate</v>
      </c>
      <c r="I29" s="217" t="str">
        <f ca="1">IFERROR(__xludf.DUMMYFUNCTION("""COMPUTED_VALUE"""),"Manager à distance")</f>
        <v>Manager à distance</v>
      </c>
      <c r="J29" s="217"/>
      <c r="K29" s="213"/>
      <c r="L29" s="215"/>
      <c r="M29" s="215"/>
      <c r="N29" s="217"/>
      <c r="O29" s="217"/>
      <c r="P29" s="213"/>
      <c r="Q29" s="215"/>
      <c r="R29" s="215"/>
      <c r="S29" s="217"/>
      <c r="T29" s="217"/>
      <c r="U29" s="213"/>
      <c r="V29" s="215"/>
      <c r="W29" s="215"/>
      <c r="X29" s="217"/>
      <c r="Y29" s="217"/>
      <c r="Z29" s="213"/>
      <c r="AA29" s="215"/>
      <c r="AB29" s="215"/>
      <c r="AC29" s="217"/>
      <c r="AD29" s="217"/>
      <c r="AE29" s="213"/>
      <c r="AF29" s="215"/>
      <c r="AG29" s="215"/>
      <c r="AH29" s="217"/>
      <c r="AI29" s="217"/>
      <c r="AJ29" s="213"/>
    </row>
    <row r="30" spans="1:36" ht="33.75" customHeight="1">
      <c r="A30" s="213"/>
      <c r="B30" s="214">
        <f ca="1">IFERROR(__xludf.DUMMYFUNCTION("""COMPUTED_VALUE"""),5028615)</f>
        <v>5028615</v>
      </c>
      <c r="C30" s="215" t="str">
        <f ca="1">IFERROR(__xludf.DUMMYFUNCTION("""COMPUTED_VALUE"""),"Beginner + Intermediate")</f>
        <v>Beginner + Intermediate</v>
      </c>
      <c r="D30" s="216" t="str">
        <f ca="1">IFERROR(__xludf.DUMMYFUNCTION("""COMPUTED_VALUE"""),"Managing Virtual Teams")</f>
        <v>Managing Virtual Teams</v>
      </c>
      <c r="E30" s="217"/>
      <c r="F30" s="213"/>
      <c r="G30" s="214">
        <f ca="1">IFERROR(__xludf.DUMMYFUNCTION("""COMPUTED_VALUE"""),575060)</f>
        <v>575060</v>
      </c>
      <c r="H30" s="215" t="str">
        <f ca="1">IFERROR(__xludf.DUMMYFUNCTION("""COMPUTED_VALUE"""),"Intermediate")</f>
        <v>Intermediate</v>
      </c>
      <c r="I30" s="217" t="str">
        <f ca="1">IFERROR(__xludf.DUMMYFUNCTION("""COMPUTED_VALUE"""),"Manager les nouvelles générations")</f>
        <v>Manager les nouvelles générations</v>
      </c>
      <c r="J30" s="217"/>
      <c r="K30" s="213"/>
      <c r="L30" s="215"/>
      <c r="M30" s="215"/>
      <c r="N30" s="217"/>
      <c r="O30" s="217"/>
      <c r="P30" s="213"/>
      <c r="Q30" s="215"/>
      <c r="R30" s="215"/>
      <c r="S30" s="217"/>
      <c r="T30" s="217"/>
      <c r="U30" s="213"/>
      <c r="V30" s="215"/>
      <c r="W30" s="215"/>
      <c r="X30" s="217"/>
      <c r="Y30" s="217"/>
      <c r="Z30" s="213"/>
      <c r="AA30" s="215"/>
      <c r="AB30" s="215"/>
      <c r="AC30" s="217"/>
      <c r="AD30" s="217"/>
      <c r="AE30" s="213"/>
      <c r="AF30" s="215"/>
      <c r="AG30" s="215"/>
      <c r="AH30" s="217"/>
      <c r="AI30" s="217"/>
      <c r="AJ30" s="213"/>
    </row>
    <row r="31" spans="1:36" ht="33.75" customHeight="1">
      <c r="A31" s="213"/>
      <c r="B31" s="214">
        <f ca="1">IFERROR(__xludf.DUMMYFUNCTION("""COMPUTED_VALUE"""),688508)</f>
        <v>688508</v>
      </c>
      <c r="C31" s="215" t="str">
        <f ca="1">IFERROR(__xludf.DUMMYFUNCTION("""COMPUTED_VALUE"""),"Beginner + Intermediate")</f>
        <v>Beginner + Intermediate</v>
      </c>
      <c r="D31" s="216" t="str">
        <f ca="1">IFERROR(__xludf.DUMMYFUNCTION("""COMPUTED_VALUE"""),"Motivating and Engaging Employees")</f>
        <v>Motivating and Engaging Employees</v>
      </c>
      <c r="E31" s="217"/>
      <c r="F31" s="213"/>
      <c r="G31" s="214">
        <f ca="1">IFERROR(__xludf.DUMMYFUNCTION("""COMPUTED_VALUE"""),796910)</f>
        <v>796910</v>
      </c>
      <c r="H31" s="215" t="str">
        <f ca="1">IFERROR(__xludf.DUMMYFUNCTION("""COMPUTED_VALUE"""),"Intermediate")</f>
        <v>Intermediate</v>
      </c>
      <c r="I31" s="217" t="str">
        <f ca="1">IFERROR(__xludf.DUMMYFUNCTION("""COMPUTED_VALUE"""),"Mesurer les performances d’équipe")</f>
        <v>Mesurer les performances d’équipe</v>
      </c>
      <c r="J31" s="217"/>
      <c r="K31" s="213"/>
      <c r="L31" s="215"/>
      <c r="M31" s="215"/>
      <c r="N31" s="217"/>
      <c r="O31" s="217"/>
      <c r="P31" s="213"/>
      <c r="Q31" s="215"/>
      <c r="R31" s="215"/>
      <c r="S31" s="217"/>
      <c r="T31" s="217"/>
      <c r="U31" s="213"/>
      <c r="V31" s="215"/>
      <c r="W31" s="215"/>
      <c r="X31" s="217"/>
      <c r="Y31" s="217"/>
      <c r="Z31" s="213"/>
      <c r="AA31" s="215"/>
      <c r="AB31" s="215"/>
      <c r="AC31" s="217"/>
      <c r="AD31" s="217"/>
      <c r="AE31" s="213"/>
      <c r="AF31" s="215"/>
      <c r="AG31" s="215"/>
      <c r="AH31" s="217"/>
      <c r="AI31" s="217"/>
      <c r="AJ31" s="213"/>
    </row>
    <row r="32" spans="1:36" ht="30">
      <c r="A32" s="213"/>
      <c r="B32" s="214">
        <f ca="1">IFERROR(__xludf.DUMMYFUNCTION("""COMPUTED_VALUE"""),693069)</f>
        <v>693069</v>
      </c>
      <c r="C32" s="215" t="str">
        <f ca="1">IFERROR(__xludf.DUMMYFUNCTION("""COMPUTED_VALUE"""),"General")</f>
        <v>General</v>
      </c>
      <c r="D32" s="216" t="str">
        <f ca="1">IFERROR(__xludf.DUMMYFUNCTION("""COMPUTED_VALUE"""),"Delegating Tasks")</f>
        <v>Delegating Tasks</v>
      </c>
      <c r="E32" s="217"/>
      <c r="F32" s="213"/>
      <c r="G32" s="214">
        <f ca="1">IFERROR(__xludf.DUMMYFUNCTION("""COMPUTED_VALUE"""),2898800)</f>
        <v>2898800</v>
      </c>
      <c r="H32" s="215" t="str">
        <f ca="1">IFERROR(__xludf.DUMMYFUNCTION("""COMPUTED_VALUE"""),"Intermediate")</f>
        <v>Intermediate</v>
      </c>
      <c r="I32" s="217" t="str">
        <f ca="1">IFERROR(__xludf.DUMMYFUNCTION("""COMPUTED_VALUE"""),"Motiver ses équipes quand on est soi même épuisé et stressé")</f>
        <v>Motiver ses équipes quand on est soi même épuisé et stressé</v>
      </c>
      <c r="J32" s="217"/>
      <c r="K32" s="213"/>
      <c r="L32" s="215"/>
      <c r="M32" s="215"/>
      <c r="N32" s="217"/>
      <c r="O32" s="217"/>
      <c r="P32" s="213"/>
      <c r="Q32" s="215"/>
      <c r="R32" s="215"/>
      <c r="S32" s="217"/>
      <c r="T32" s="217"/>
      <c r="U32" s="213"/>
      <c r="V32" s="215"/>
      <c r="W32" s="215"/>
      <c r="X32" s="217"/>
      <c r="Y32" s="217"/>
      <c r="Z32" s="213"/>
      <c r="AA32" s="215"/>
      <c r="AB32" s="215"/>
      <c r="AC32" s="217"/>
      <c r="AD32" s="217"/>
      <c r="AE32" s="213"/>
      <c r="AF32" s="215"/>
      <c r="AG32" s="215"/>
      <c r="AH32" s="217"/>
      <c r="AI32" s="217"/>
      <c r="AJ32" s="213"/>
    </row>
    <row r="33" spans="1:36" ht="33.75" customHeight="1">
      <c r="A33" s="213"/>
      <c r="B33" s="214">
        <f ca="1">IFERROR(__xludf.DUMMYFUNCTION("""COMPUTED_VALUE"""),2367363)</f>
        <v>2367363</v>
      </c>
      <c r="C33" s="215" t="str">
        <f ca="1">IFERROR(__xludf.DUMMYFUNCTION("""COMPUTED_VALUE"""),"General")</f>
        <v>General</v>
      </c>
      <c r="D33" s="216" t="str">
        <f ca="1">IFERROR(__xludf.DUMMYFUNCTION("""COMPUTED_VALUE"""),"Using Feedback to Drive Performance")</f>
        <v>Using Feedback to Drive Performance</v>
      </c>
      <c r="E33" s="217"/>
      <c r="F33" s="213"/>
      <c r="G33" s="214">
        <f ca="1">IFERROR(__xludf.DUMMYFUNCTION("""COMPUTED_VALUE"""),2919859)</f>
        <v>2919859</v>
      </c>
      <c r="H33" s="215" t="str">
        <f ca="1">IFERROR(__xludf.DUMMYFUNCTION("""COMPUTED_VALUE"""),"Advanced")</f>
        <v>Advanced</v>
      </c>
      <c r="I33" s="217" t="str">
        <f ca="1">IFERROR(__xludf.DUMMYFUNCTION("""COMPUTED_VALUE"""),"Recruter des profils Techs")</f>
        <v>Recruter des profils Techs</v>
      </c>
      <c r="J33" s="217"/>
      <c r="K33" s="213"/>
      <c r="L33" s="215"/>
      <c r="M33" s="215"/>
      <c r="N33" s="217"/>
      <c r="O33" s="217"/>
      <c r="P33" s="213"/>
      <c r="Q33" s="215"/>
      <c r="R33" s="215"/>
      <c r="S33" s="217"/>
      <c r="T33" s="217"/>
      <c r="U33" s="213"/>
      <c r="V33" s="215"/>
      <c r="W33" s="215"/>
      <c r="X33" s="217"/>
      <c r="Y33" s="217"/>
      <c r="Z33" s="213"/>
      <c r="AA33" s="215"/>
      <c r="AB33" s="215"/>
      <c r="AC33" s="217"/>
      <c r="AD33" s="217"/>
      <c r="AE33" s="213"/>
      <c r="AF33" s="215"/>
      <c r="AG33" s="215"/>
      <c r="AH33" s="217"/>
      <c r="AI33" s="217"/>
      <c r="AJ33" s="213"/>
    </row>
    <row r="34" spans="1:36" ht="33.75" customHeight="1">
      <c r="A34" s="213"/>
      <c r="B34" s="214">
        <f ca="1">IFERROR(__xludf.DUMMYFUNCTION("""COMPUTED_VALUE"""),2424655)</f>
        <v>2424655</v>
      </c>
      <c r="C34" s="215" t="str">
        <f ca="1">IFERROR(__xludf.DUMMYFUNCTION("""COMPUTED_VALUE"""),"Intermediate")</f>
        <v>Intermediate</v>
      </c>
      <c r="D34" s="216" t="str">
        <f ca="1">IFERROR(__xludf.DUMMYFUNCTION("""COMPUTED_VALUE"""),"Performance Management: Employee Engagement")</f>
        <v>Performance Management: Employee Engagement</v>
      </c>
      <c r="E34" s="217"/>
      <c r="F34" s="213"/>
      <c r="G34" s="214">
        <f ca="1">IFERROR(__xludf.DUMMYFUNCTION("""COMPUTED_VALUE"""),2875092)</f>
        <v>2875092</v>
      </c>
      <c r="H34" s="215" t="str">
        <f ca="1">IFERROR(__xludf.DUMMYFUNCTION("""COMPUTED_VALUE"""),"Advanced")</f>
        <v>Advanced</v>
      </c>
      <c r="I34" s="217" t="str">
        <f ca="1">IFERROR(__xludf.DUMMYFUNCTION("""COMPUTED_VALUE"""),"Se distinguer au travail grâce au savoir-être")</f>
        <v>Se distinguer au travail grâce au savoir-être</v>
      </c>
      <c r="J34" s="217"/>
      <c r="K34" s="213"/>
      <c r="L34" s="215"/>
      <c r="M34" s="215"/>
      <c r="N34" s="217"/>
      <c r="O34" s="217"/>
      <c r="P34" s="213"/>
      <c r="Q34" s="215"/>
      <c r="R34" s="215"/>
      <c r="S34" s="217"/>
      <c r="T34" s="217"/>
      <c r="U34" s="213"/>
      <c r="V34" s="215"/>
      <c r="W34" s="215"/>
      <c r="X34" s="217"/>
      <c r="Y34" s="217"/>
      <c r="Z34" s="213"/>
      <c r="AA34" s="215"/>
      <c r="AB34" s="215"/>
      <c r="AC34" s="217"/>
      <c r="AD34" s="217"/>
      <c r="AE34" s="213"/>
      <c r="AF34" s="215"/>
      <c r="AG34" s="215"/>
      <c r="AH34" s="217"/>
      <c r="AI34" s="217"/>
      <c r="AJ34" s="213"/>
    </row>
    <row r="35" spans="1:36" ht="33.75" customHeight="1">
      <c r="A35" s="213"/>
      <c r="B35" s="214">
        <f ca="1">IFERROR(__xludf.DUMMYFUNCTION("""COMPUTED_VALUE"""),2833052)</f>
        <v>2833052</v>
      </c>
      <c r="C35" s="215" t="str">
        <f ca="1">IFERROR(__xludf.DUMMYFUNCTION("""COMPUTED_VALUE"""),"Intermediate")</f>
        <v>Intermediate</v>
      </c>
      <c r="D35" s="216" t="str">
        <f ca="1">IFERROR(__xludf.DUMMYFUNCTION("""COMPUTED_VALUE"""),"Managing for Results")</f>
        <v>Managing for Results</v>
      </c>
      <c r="E35" s="217"/>
      <c r="F35" s="213"/>
      <c r="G35" s="214"/>
      <c r="H35" s="215"/>
      <c r="I35" s="217"/>
      <c r="J35" s="217"/>
      <c r="K35" s="213"/>
      <c r="L35" s="215"/>
      <c r="M35" s="215"/>
      <c r="N35" s="217"/>
      <c r="O35" s="217"/>
      <c r="P35" s="213"/>
      <c r="Q35" s="215"/>
      <c r="R35" s="215"/>
      <c r="S35" s="217"/>
      <c r="T35" s="217"/>
      <c r="U35" s="213"/>
      <c r="V35" s="215"/>
      <c r="W35" s="215"/>
      <c r="X35" s="217"/>
      <c r="Y35" s="217"/>
      <c r="Z35" s="213"/>
      <c r="AA35" s="215"/>
      <c r="AB35" s="215"/>
      <c r="AC35" s="217"/>
      <c r="AD35" s="217"/>
      <c r="AE35" s="213"/>
      <c r="AF35" s="215"/>
      <c r="AG35" s="215"/>
      <c r="AH35" s="217"/>
      <c r="AI35" s="217"/>
      <c r="AJ35" s="213"/>
    </row>
    <row r="36" spans="1:36" ht="33.75" customHeight="1">
      <c r="A36" s="213"/>
      <c r="B36" s="214">
        <f ca="1">IFERROR(__xludf.DUMMYFUNCTION("""COMPUTED_VALUE"""),645011)</f>
        <v>645011</v>
      </c>
      <c r="C36" s="215" t="str">
        <f ca="1">IFERROR(__xludf.DUMMYFUNCTION("""COMPUTED_VALUE"""),"Intermediate")</f>
        <v>Intermediate</v>
      </c>
      <c r="D36" s="216" t="str">
        <f ca="1">IFERROR(__xludf.DUMMYFUNCTION("""COMPUTED_VALUE"""),"Coaching Employees through Difficult Situations")</f>
        <v>Coaching Employees through Difficult Situations</v>
      </c>
      <c r="E36" s="217"/>
      <c r="F36" s="213"/>
      <c r="G36" s="214"/>
      <c r="H36" s="215"/>
      <c r="I36" s="217"/>
      <c r="J36" s="217"/>
      <c r="K36" s="213"/>
      <c r="L36" s="215"/>
      <c r="M36" s="215"/>
      <c r="N36" s="217"/>
      <c r="O36" s="217"/>
      <c r="P36" s="213"/>
      <c r="Q36" s="215"/>
      <c r="R36" s="215"/>
      <c r="S36" s="217"/>
      <c r="T36" s="217"/>
      <c r="U36" s="213"/>
      <c r="V36" s="215"/>
      <c r="W36" s="215"/>
      <c r="X36" s="217"/>
      <c r="Y36" s="217"/>
      <c r="Z36" s="213"/>
      <c r="AA36" s="215"/>
      <c r="AB36" s="215"/>
      <c r="AC36" s="217"/>
      <c r="AD36" s="217"/>
      <c r="AE36" s="213"/>
      <c r="AF36" s="215"/>
      <c r="AG36" s="215"/>
      <c r="AH36" s="217"/>
      <c r="AI36" s="217"/>
      <c r="AJ36" s="213"/>
    </row>
    <row r="37" spans="1:36" ht="33.75" customHeight="1">
      <c r="A37" s="213"/>
      <c r="B37" s="214">
        <f ca="1">IFERROR(__xludf.DUMMYFUNCTION("""COMPUTED_VALUE"""),592488)</f>
        <v>592488</v>
      </c>
      <c r="C37" s="215" t="str">
        <f ca="1">IFERROR(__xludf.DUMMYFUNCTION("""COMPUTED_VALUE"""),"Intermediate")</f>
        <v>Intermediate</v>
      </c>
      <c r="D37" s="216" t="str">
        <f ca="1">IFERROR(__xludf.DUMMYFUNCTION("""COMPUTED_VALUE"""),"Coaching for Results")</f>
        <v>Coaching for Results</v>
      </c>
      <c r="E37" s="217"/>
      <c r="F37" s="213"/>
      <c r="G37" s="214"/>
      <c r="H37" s="215"/>
      <c r="I37" s="217"/>
      <c r="J37" s="217"/>
      <c r="K37" s="213"/>
      <c r="L37" s="215"/>
      <c r="M37" s="215"/>
      <c r="N37" s="217"/>
      <c r="O37" s="217"/>
      <c r="P37" s="213"/>
      <c r="Q37" s="215"/>
      <c r="R37" s="215"/>
      <c r="S37" s="217"/>
      <c r="T37" s="217"/>
      <c r="U37" s="213"/>
      <c r="V37" s="215"/>
      <c r="W37" s="215"/>
      <c r="X37" s="217"/>
      <c r="Y37" s="217"/>
      <c r="Z37" s="213"/>
      <c r="AA37" s="215"/>
      <c r="AB37" s="215"/>
      <c r="AC37" s="217"/>
      <c r="AD37" s="217"/>
      <c r="AE37" s="213"/>
      <c r="AF37" s="215"/>
      <c r="AG37" s="215"/>
      <c r="AH37" s="217"/>
      <c r="AI37" s="217"/>
      <c r="AJ37" s="213"/>
    </row>
    <row r="38" spans="1:36" ht="33.75" customHeight="1">
      <c r="A38" s="213"/>
      <c r="B38" s="214">
        <f ca="1">IFERROR(__xludf.DUMMYFUNCTION("""COMPUTED_VALUE"""),746305)</f>
        <v>746305</v>
      </c>
      <c r="C38" s="215" t="str">
        <f ca="1">IFERROR(__xludf.DUMMYFUNCTION("""COMPUTED_VALUE"""),"Intermediate")</f>
        <v>Intermediate</v>
      </c>
      <c r="D38" s="216" t="str">
        <f ca="1">IFERROR(__xludf.DUMMYFUNCTION("""COMPUTED_VALUE"""),"Managing Employee Performance Problems")</f>
        <v>Managing Employee Performance Problems</v>
      </c>
      <c r="E38" s="217"/>
      <c r="F38" s="213"/>
      <c r="G38" s="214"/>
      <c r="H38" s="215"/>
      <c r="I38" s="217"/>
      <c r="J38" s="217"/>
      <c r="K38" s="213"/>
      <c r="L38" s="215"/>
      <c r="M38" s="215"/>
      <c r="N38" s="217"/>
      <c r="O38" s="217"/>
      <c r="P38" s="213"/>
      <c r="Q38" s="215"/>
      <c r="R38" s="215"/>
      <c r="S38" s="217"/>
      <c r="T38" s="217"/>
      <c r="U38" s="213"/>
      <c r="V38" s="215"/>
      <c r="W38" s="215"/>
      <c r="X38" s="217"/>
      <c r="Y38" s="217"/>
      <c r="Z38" s="213"/>
      <c r="AA38" s="215"/>
      <c r="AB38" s="215"/>
      <c r="AC38" s="217"/>
      <c r="AD38" s="217"/>
      <c r="AE38" s="213"/>
      <c r="AF38" s="215"/>
      <c r="AG38" s="215"/>
      <c r="AH38" s="217"/>
      <c r="AI38" s="217"/>
      <c r="AJ38" s="213"/>
    </row>
    <row r="39" spans="1:36" ht="33.75" customHeight="1">
      <c r="A39" s="213"/>
      <c r="B39" s="214">
        <f ca="1">IFERROR(__xludf.DUMMYFUNCTION("""COMPUTED_VALUE"""),126132)</f>
        <v>126132</v>
      </c>
      <c r="C39" s="215" t="str">
        <f ca="1">IFERROR(__xludf.DUMMYFUNCTION("""COMPUTED_VALUE"""),"Intermediate")</f>
        <v>Intermediate</v>
      </c>
      <c r="D39" s="216" t="str">
        <f ca="1">IFERROR(__xludf.DUMMYFUNCTION("""COMPUTED_VALUE"""),"Management Tips")</f>
        <v>Management Tips</v>
      </c>
      <c r="E39" s="217"/>
      <c r="F39" s="213"/>
      <c r="G39" s="214"/>
      <c r="H39" s="215"/>
      <c r="I39" s="217"/>
      <c r="J39" s="217"/>
      <c r="K39" s="213"/>
      <c r="L39" s="215"/>
      <c r="M39" s="215"/>
      <c r="N39" s="217"/>
      <c r="O39" s="217"/>
      <c r="P39" s="213"/>
      <c r="Q39" s="215"/>
      <c r="R39" s="215"/>
      <c r="S39" s="217"/>
      <c r="T39" s="217"/>
      <c r="U39" s="213"/>
      <c r="V39" s="215"/>
      <c r="W39" s="215"/>
      <c r="X39" s="217"/>
      <c r="Y39" s="217"/>
      <c r="Z39" s="213"/>
      <c r="AA39" s="215"/>
      <c r="AB39" s="215"/>
      <c r="AC39" s="217"/>
      <c r="AD39" s="217"/>
      <c r="AE39" s="213"/>
      <c r="AF39" s="215"/>
      <c r="AG39" s="215"/>
      <c r="AH39" s="217"/>
      <c r="AI39" s="217"/>
      <c r="AJ39" s="213"/>
    </row>
    <row r="40" spans="1:36" ht="33.75" customHeight="1">
      <c r="A40" s="213"/>
      <c r="B40" s="214">
        <f ca="1">IFERROR(__xludf.DUMMYFUNCTION("""COMPUTED_VALUE"""),3013243)</f>
        <v>3013243</v>
      </c>
      <c r="C40" s="215" t="str">
        <f ca="1">IFERROR(__xludf.DUMMYFUNCTION("""COMPUTED_VALUE"""),"Intermediate")</f>
        <v>Intermediate</v>
      </c>
      <c r="D40" s="216" t="str">
        <f ca="1">IFERROR(__xludf.DUMMYFUNCTION("""COMPUTED_VALUE"""),"HR Recruiting Communication Strategies to Attract and Retain Top Talent")</f>
        <v>HR Recruiting Communication Strategies to Attract and Retain Top Talent</v>
      </c>
      <c r="E40" s="217"/>
      <c r="F40" s="213"/>
      <c r="G40" s="214"/>
      <c r="H40" s="215"/>
      <c r="I40" s="217"/>
      <c r="J40" s="217"/>
      <c r="K40" s="213"/>
      <c r="L40" s="215"/>
      <c r="M40" s="215"/>
      <c r="N40" s="217"/>
      <c r="O40" s="217"/>
      <c r="P40" s="213"/>
      <c r="Q40" s="215"/>
      <c r="R40" s="215"/>
      <c r="S40" s="217"/>
      <c r="T40" s="217"/>
      <c r="U40" s="213"/>
      <c r="V40" s="215"/>
      <c r="W40" s="215"/>
      <c r="X40" s="217"/>
      <c r="Y40" s="217"/>
      <c r="Z40" s="213"/>
      <c r="AA40" s="215"/>
      <c r="AB40" s="215"/>
      <c r="AC40" s="217"/>
      <c r="AD40" s="217"/>
      <c r="AE40" s="213"/>
      <c r="AF40" s="215"/>
      <c r="AG40" s="215"/>
      <c r="AH40" s="217"/>
      <c r="AI40" s="217"/>
      <c r="AJ40" s="213"/>
    </row>
    <row r="41" spans="1:36" ht="33.75" customHeight="1">
      <c r="A41" s="213"/>
      <c r="B41" s="214">
        <f ca="1">IFERROR(__xludf.DUMMYFUNCTION("""COMPUTED_VALUE"""),2823247)</f>
        <v>2823247</v>
      </c>
      <c r="C41" s="215" t="str">
        <f ca="1">IFERROR(__xludf.DUMMYFUNCTION("""COMPUTED_VALUE"""),"Advanced")</f>
        <v>Advanced</v>
      </c>
      <c r="D41" s="216" t="str">
        <f ca="1">IFERROR(__xludf.DUMMYFUNCTION("""COMPUTED_VALUE"""),"Foundations of Performance Management")</f>
        <v>Foundations of Performance Management</v>
      </c>
      <c r="E41" s="217"/>
      <c r="F41" s="213"/>
      <c r="G41" s="214"/>
      <c r="H41" s="215"/>
      <c r="I41" s="217"/>
      <c r="J41" s="217"/>
      <c r="K41" s="213"/>
      <c r="L41" s="215"/>
      <c r="M41" s="215"/>
      <c r="N41" s="217"/>
      <c r="O41" s="217"/>
      <c r="P41" s="213"/>
      <c r="Q41" s="215"/>
      <c r="R41" s="215"/>
      <c r="S41" s="217"/>
      <c r="T41" s="217"/>
      <c r="U41" s="213"/>
      <c r="V41" s="215"/>
      <c r="W41" s="215"/>
      <c r="X41" s="217"/>
      <c r="Y41" s="217"/>
      <c r="Z41" s="213"/>
      <c r="AA41" s="215"/>
      <c r="AB41" s="215"/>
      <c r="AC41" s="217"/>
      <c r="AD41" s="217"/>
      <c r="AE41" s="213"/>
      <c r="AF41" s="215"/>
      <c r="AG41" s="215"/>
      <c r="AH41" s="217"/>
      <c r="AI41" s="217"/>
      <c r="AJ41" s="213"/>
    </row>
    <row r="42" spans="1:36" ht="33.75" customHeight="1">
      <c r="A42" s="213"/>
      <c r="B42" s="214">
        <f ca="1">IFERROR(__xludf.DUMMYFUNCTION("""COMPUTED_VALUE"""),2823138)</f>
        <v>2823138</v>
      </c>
      <c r="C42" s="215" t="str">
        <f ca="1">IFERROR(__xludf.DUMMYFUNCTION("""COMPUTED_VALUE"""),"Beginner")</f>
        <v>Beginner</v>
      </c>
      <c r="D42" s="216" t="str">
        <f ca="1">IFERROR(__xludf.DUMMYFUNCTION("""COMPUTED_VALUE"""),"Empathy Tips for HR Professionals")</f>
        <v>Empathy Tips for HR Professionals</v>
      </c>
      <c r="E42" s="217"/>
      <c r="F42" s="213"/>
      <c r="G42" s="214"/>
      <c r="H42" s="215"/>
      <c r="I42" s="217"/>
      <c r="J42" s="217"/>
      <c r="K42" s="213"/>
      <c r="L42" s="215"/>
      <c r="M42" s="215"/>
      <c r="N42" s="217"/>
      <c r="O42" s="217"/>
      <c r="P42" s="213"/>
      <c r="Q42" s="215"/>
      <c r="R42" s="215"/>
      <c r="S42" s="217"/>
      <c r="T42" s="217"/>
      <c r="U42" s="213"/>
      <c r="V42" s="215"/>
      <c r="W42" s="215"/>
      <c r="X42" s="217"/>
      <c r="Y42" s="217"/>
      <c r="Z42" s="213"/>
      <c r="AA42" s="215"/>
      <c r="AB42" s="215"/>
      <c r="AC42" s="217"/>
      <c r="AD42" s="217"/>
      <c r="AE42" s="213"/>
      <c r="AF42" s="215"/>
      <c r="AG42" s="215"/>
      <c r="AH42" s="217"/>
      <c r="AI42" s="217"/>
      <c r="AJ42" s="213"/>
    </row>
    <row r="43" spans="1:36" ht="33.75" customHeight="1">
      <c r="A43" s="213"/>
      <c r="B43" s="214">
        <f ca="1">IFERROR(__xludf.DUMMYFUNCTION("""COMPUTED_VALUE"""),647657)</f>
        <v>647657</v>
      </c>
      <c r="C43" s="215" t="str">
        <f ca="1">IFERROR(__xludf.DUMMYFUNCTION("""COMPUTED_VALUE"""),"General")</f>
        <v>General</v>
      </c>
      <c r="D43" s="216" t="str">
        <f ca="1">IFERROR(__xludf.DUMMYFUNCTION("""COMPUTED_VALUE"""),"Boosting Your Team's Productivity")</f>
        <v>Boosting Your Team's Productivity</v>
      </c>
      <c r="E43" s="217"/>
      <c r="F43" s="213"/>
      <c r="G43" s="214"/>
      <c r="H43" s="215"/>
      <c r="I43" s="217"/>
      <c r="J43" s="217"/>
      <c r="K43" s="213"/>
      <c r="L43" s="215"/>
      <c r="M43" s="215"/>
      <c r="N43" s="217"/>
      <c r="O43" s="217"/>
      <c r="P43" s="213"/>
      <c r="Q43" s="215"/>
      <c r="R43" s="215"/>
      <c r="S43" s="217"/>
      <c r="T43" s="217"/>
      <c r="U43" s="213"/>
      <c r="V43" s="215"/>
      <c r="W43" s="215"/>
      <c r="X43" s="217"/>
      <c r="Y43" s="217"/>
      <c r="Z43" s="213"/>
      <c r="AA43" s="215"/>
      <c r="AB43" s="215"/>
      <c r="AC43" s="217"/>
      <c r="AD43" s="217"/>
      <c r="AE43" s="213"/>
      <c r="AF43" s="215"/>
      <c r="AG43" s="215"/>
      <c r="AH43" s="217"/>
      <c r="AI43" s="217"/>
      <c r="AJ43" s="213"/>
    </row>
    <row r="44" spans="1:36" ht="33.75" customHeight="1">
      <c r="A44" s="213"/>
      <c r="B44" s="214">
        <f ca="1">IFERROR(__xludf.DUMMYFUNCTION("""COMPUTED_VALUE"""),3006178)</f>
        <v>3006178</v>
      </c>
      <c r="C44" s="215" t="str">
        <f ca="1">IFERROR(__xludf.DUMMYFUNCTION("""COMPUTED_VALUE"""),"General")</f>
        <v>General</v>
      </c>
      <c r="D44" s="216" t="str">
        <f ca="1">IFERROR(__xludf.DUMMYFUNCTION("""COMPUTED_VALUE"""),"The Upskilling Imperative (Blinkist Summary)")</f>
        <v>The Upskilling Imperative (Blinkist Summary)</v>
      </c>
      <c r="E44" s="217"/>
      <c r="F44" s="213"/>
      <c r="G44" s="214"/>
      <c r="H44" s="215"/>
      <c r="I44" s="217"/>
      <c r="J44" s="217"/>
      <c r="K44" s="213"/>
      <c r="L44" s="215"/>
      <c r="M44" s="215"/>
      <c r="N44" s="217"/>
      <c r="O44" s="217"/>
      <c r="P44" s="213"/>
      <c r="Q44" s="215"/>
      <c r="R44" s="215"/>
      <c r="S44" s="217"/>
      <c r="T44" s="217"/>
      <c r="U44" s="213"/>
      <c r="V44" s="215"/>
      <c r="W44" s="215"/>
      <c r="X44" s="217"/>
      <c r="Y44" s="217"/>
      <c r="Z44" s="213"/>
      <c r="AA44" s="215"/>
      <c r="AB44" s="215"/>
      <c r="AC44" s="217"/>
      <c r="AD44" s="217"/>
      <c r="AE44" s="213"/>
      <c r="AF44" s="215"/>
      <c r="AG44" s="215"/>
      <c r="AH44" s="217"/>
      <c r="AI44" s="217"/>
      <c r="AJ44" s="213"/>
    </row>
    <row r="45" spans="1:36" ht="33.75" customHeight="1">
      <c r="A45" s="213"/>
      <c r="B45" s="214">
        <f ca="1">IFERROR(__xludf.DUMMYFUNCTION("""COMPUTED_VALUE"""),808667)</f>
        <v>808667</v>
      </c>
      <c r="C45" s="215" t="str">
        <f ca="1">IFERROR(__xludf.DUMMYFUNCTION("""COMPUTED_VALUE"""),"Intermediate")</f>
        <v>Intermediate</v>
      </c>
      <c r="D45" s="216" t="str">
        <f ca="1">IFERROR(__xludf.DUMMYFUNCTION("""COMPUTED_VALUE"""),"Building a Coaching Culture: Improving Performance Through Timely Feedback")</f>
        <v>Building a Coaching Culture: Improving Performance Through Timely Feedback</v>
      </c>
      <c r="E45" s="217"/>
      <c r="F45" s="213"/>
      <c r="G45" s="214"/>
      <c r="H45" s="215"/>
      <c r="I45" s="217"/>
      <c r="J45" s="217"/>
      <c r="K45" s="213"/>
      <c r="L45" s="215"/>
      <c r="M45" s="215"/>
      <c r="N45" s="217"/>
      <c r="O45" s="217"/>
      <c r="P45" s="213"/>
      <c r="Q45" s="215"/>
      <c r="R45" s="215"/>
      <c r="S45" s="217"/>
      <c r="T45" s="217"/>
      <c r="U45" s="213"/>
      <c r="V45" s="215"/>
      <c r="W45" s="215"/>
      <c r="X45" s="217"/>
      <c r="Y45" s="217"/>
      <c r="Z45" s="213"/>
      <c r="AA45" s="215"/>
      <c r="AB45" s="215"/>
      <c r="AC45" s="217"/>
      <c r="AD45" s="217"/>
      <c r="AE45" s="213"/>
      <c r="AF45" s="215"/>
      <c r="AG45" s="215"/>
      <c r="AH45" s="217"/>
      <c r="AI45" s="217"/>
      <c r="AJ45" s="213"/>
    </row>
    <row r="46" spans="1:36" ht="33.75" customHeight="1">
      <c r="A46" s="213"/>
      <c r="B46" s="214">
        <f ca="1">IFERROR(__xludf.DUMMYFUNCTION("""COMPUTED_VALUE"""),769279)</f>
        <v>769279</v>
      </c>
      <c r="C46" s="215" t="str">
        <f ca="1">IFERROR(__xludf.DUMMYFUNCTION("""COMPUTED_VALUE"""),"Intermediate")</f>
        <v>Intermediate</v>
      </c>
      <c r="D46" s="216" t="str">
        <f ca="1">IFERROR(__xludf.DUMMYFUNCTION("""COMPUTED_VALUE"""),"Driving Workplace Happiness")</f>
        <v>Driving Workplace Happiness</v>
      </c>
      <c r="E46" s="217"/>
      <c r="F46" s="213"/>
      <c r="G46" s="214"/>
      <c r="H46" s="215"/>
      <c r="I46" s="217"/>
      <c r="J46" s="217"/>
      <c r="K46" s="213"/>
      <c r="L46" s="215"/>
      <c r="M46" s="215"/>
      <c r="N46" s="217"/>
      <c r="O46" s="217"/>
      <c r="P46" s="213"/>
      <c r="Q46" s="215"/>
      <c r="R46" s="215"/>
      <c r="S46" s="217"/>
      <c r="T46" s="217"/>
      <c r="U46" s="213"/>
      <c r="V46" s="215"/>
      <c r="W46" s="215"/>
      <c r="X46" s="217"/>
      <c r="Y46" s="217"/>
      <c r="Z46" s="213"/>
      <c r="AA46" s="215"/>
      <c r="AB46" s="215"/>
      <c r="AC46" s="217"/>
      <c r="AD46" s="217"/>
      <c r="AE46" s="213"/>
      <c r="AF46" s="215"/>
      <c r="AG46" s="215"/>
      <c r="AH46" s="217"/>
      <c r="AI46" s="217"/>
      <c r="AJ46" s="213"/>
    </row>
    <row r="47" spans="1:36" ht="33.75" customHeight="1">
      <c r="A47" s="213"/>
      <c r="B47" s="214">
        <f ca="1">IFERROR(__xludf.DUMMYFUNCTION("""COMPUTED_VALUE"""),2228265)</f>
        <v>2228265</v>
      </c>
      <c r="C47" s="215" t="str">
        <f ca="1">IFERROR(__xludf.DUMMYFUNCTION("""COMPUTED_VALUE"""),"Intermediate")</f>
        <v>Intermediate</v>
      </c>
      <c r="D47" s="216" t="str">
        <f ca="1">IFERROR(__xludf.DUMMYFUNCTION("""COMPUTED_VALUE"""),"Interviewing Techniques")</f>
        <v>Interviewing Techniques</v>
      </c>
      <c r="E47" s="217"/>
      <c r="F47" s="213"/>
      <c r="G47" s="214"/>
      <c r="H47" s="215"/>
      <c r="I47" s="217"/>
      <c r="J47" s="217"/>
      <c r="K47" s="213"/>
      <c r="L47" s="215"/>
      <c r="M47" s="215"/>
      <c r="N47" s="217"/>
      <c r="O47" s="217"/>
      <c r="P47" s="213"/>
      <c r="Q47" s="215"/>
      <c r="R47" s="215"/>
      <c r="S47" s="217"/>
      <c r="T47" s="217"/>
      <c r="U47" s="213"/>
      <c r="V47" s="215"/>
      <c r="W47" s="215"/>
      <c r="X47" s="217"/>
      <c r="Y47" s="217"/>
      <c r="Z47" s="213"/>
      <c r="AA47" s="215"/>
      <c r="AB47" s="215"/>
      <c r="AC47" s="217"/>
      <c r="AD47" s="217"/>
      <c r="AE47" s="213"/>
      <c r="AF47" s="215"/>
      <c r="AG47" s="215"/>
      <c r="AH47" s="217"/>
      <c r="AI47" s="217"/>
      <c r="AJ47" s="213"/>
    </row>
    <row r="48" spans="1:36" ht="33.75" customHeight="1">
      <c r="A48" s="213"/>
      <c r="B48" s="214">
        <f ca="1">IFERROR(__xludf.DUMMYFUNCTION("""COMPUTED_VALUE"""),2825499)</f>
        <v>2825499</v>
      </c>
      <c r="C48" s="215" t="str">
        <f ca="1">IFERROR(__xludf.DUMMYFUNCTION("""COMPUTED_VALUE"""),"Intermediate")</f>
        <v>Intermediate</v>
      </c>
      <c r="D48" s="216" t="str">
        <f ca="1">IFERROR(__xludf.DUMMYFUNCTION("""COMPUTED_VALUE"""),"Predictive Analytics Essential Training for Executives")</f>
        <v>Predictive Analytics Essential Training for Executives</v>
      </c>
      <c r="E48" s="217"/>
      <c r="F48" s="213"/>
      <c r="G48" s="214"/>
      <c r="H48" s="215"/>
      <c r="I48" s="217"/>
      <c r="J48" s="217"/>
      <c r="K48" s="213"/>
      <c r="L48" s="215"/>
      <c r="M48" s="215"/>
      <c r="N48" s="217"/>
      <c r="O48" s="217"/>
      <c r="P48" s="213"/>
      <c r="Q48" s="215"/>
      <c r="R48" s="215"/>
      <c r="S48" s="217"/>
      <c r="T48" s="217"/>
      <c r="U48" s="213"/>
      <c r="V48" s="215"/>
      <c r="W48" s="215"/>
      <c r="X48" s="217"/>
      <c r="Y48" s="217"/>
      <c r="Z48" s="213"/>
      <c r="AA48" s="215"/>
      <c r="AB48" s="215"/>
      <c r="AC48" s="217"/>
      <c r="AD48" s="217"/>
      <c r="AE48" s="213"/>
      <c r="AF48" s="215"/>
      <c r="AG48" s="215"/>
      <c r="AH48" s="217"/>
      <c r="AI48" s="217"/>
      <c r="AJ48" s="213"/>
    </row>
    <row r="49" spans="1:36" ht="33.75" customHeight="1">
      <c r="A49" s="213"/>
      <c r="B49" s="214">
        <f ca="1">IFERROR(__xludf.DUMMYFUNCTION("""COMPUTED_VALUE"""),2832050)</f>
        <v>2832050</v>
      </c>
      <c r="C49" s="215" t="str">
        <f ca="1">IFERROR(__xludf.DUMMYFUNCTION("""COMPUTED_VALUE"""),"Intermediate")</f>
        <v>Intermediate</v>
      </c>
      <c r="D49" s="216" t="str">
        <f ca="1">IFERROR(__xludf.DUMMYFUNCTION("""COMPUTED_VALUE"""),"Running a Design Business: The Staffing Rule Book")</f>
        <v>Running a Design Business: The Staffing Rule Book</v>
      </c>
      <c r="E49" s="217"/>
      <c r="F49" s="213"/>
      <c r="G49" s="214"/>
      <c r="H49" s="215"/>
      <c r="I49" s="217"/>
      <c r="J49" s="217"/>
      <c r="K49" s="213"/>
      <c r="L49" s="215"/>
      <c r="M49" s="215"/>
      <c r="N49" s="217"/>
      <c r="O49" s="217"/>
      <c r="P49" s="213"/>
      <c r="Q49" s="215"/>
      <c r="R49" s="215"/>
      <c r="S49" s="217"/>
      <c r="T49" s="217"/>
      <c r="U49" s="213"/>
      <c r="V49" s="215"/>
      <c r="W49" s="215"/>
      <c r="X49" s="217"/>
      <c r="Y49" s="217"/>
      <c r="Z49" s="213"/>
      <c r="AA49" s="215"/>
      <c r="AB49" s="215"/>
      <c r="AC49" s="217"/>
      <c r="AD49" s="217"/>
      <c r="AE49" s="213"/>
      <c r="AF49" s="215"/>
      <c r="AG49" s="215"/>
      <c r="AH49" s="217"/>
      <c r="AI49" s="217"/>
      <c r="AJ49" s="213"/>
    </row>
    <row r="50" spans="1:36" ht="33.75" customHeight="1">
      <c r="A50" s="213"/>
      <c r="B50" s="214">
        <f ca="1">IFERROR(__xludf.DUMMYFUNCTION("""COMPUTED_VALUE"""),2823546)</f>
        <v>2823546</v>
      </c>
      <c r="C50" s="215" t="str">
        <f ca="1">IFERROR(__xludf.DUMMYFUNCTION("""COMPUTED_VALUE"""),"Intermediate")</f>
        <v>Intermediate</v>
      </c>
      <c r="D50" s="216" t="str">
        <f ca="1">IFERROR(__xludf.DUMMYFUNCTION("""COMPUTED_VALUE"""),"Rolling Out a Diversity and Inclusion Training Program in Your Company")</f>
        <v>Rolling Out a Diversity and Inclusion Training Program in Your Company</v>
      </c>
      <c r="E50" s="217"/>
      <c r="F50" s="213"/>
      <c r="G50" s="214"/>
      <c r="H50" s="215"/>
      <c r="I50" s="217"/>
      <c r="J50" s="217"/>
      <c r="K50" s="213"/>
      <c r="L50" s="215"/>
      <c r="M50" s="215"/>
      <c r="N50" s="217"/>
      <c r="O50" s="217"/>
      <c r="P50" s="213"/>
      <c r="Q50" s="215"/>
      <c r="R50" s="215"/>
      <c r="S50" s="217"/>
      <c r="T50" s="217"/>
      <c r="U50" s="213"/>
      <c r="V50" s="215"/>
      <c r="W50" s="215"/>
      <c r="X50" s="217"/>
      <c r="Y50" s="217"/>
      <c r="Z50" s="213"/>
      <c r="AA50" s="215"/>
      <c r="AB50" s="215"/>
      <c r="AC50" s="217"/>
      <c r="AD50" s="217"/>
      <c r="AE50" s="213"/>
      <c r="AF50" s="215"/>
      <c r="AG50" s="215"/>
      <c r="AH50" s="217"/>
      <c r="AI50" s="217"/>
      <c r="AJ50" s="213"/>
    </row>
    <row r="51" spans="1:36" ht="33.75" customHeight="1">
      <c r="A51" s="213"/>
      <c r="B51" s="214"/>
      <c r="C51" s="215"/>
      <c r="D51" s="216"/>
      <c r="E51" s="217"/>
      <c r="F51" s="213"/>
      <c r="G51" s="214"/>
      <c r="H51" s="215"/>
      <c r="I51" s="217"/>
      <c r="J51" s="217"/>
      <c r="K51" s="213"/>
      <c r="L51" s="215"/>
      <c r="M51" s="215"/>
      <c r="N51" s="217"/>
      <c r="O51" s="217"/>
      <c r="P51" s="213"/>
      <c r="Q51" s="215"/>
      <c r="R51" s="215"/>
      <c r="S51" s="217"/>
      <c r="T51" s="217"/>
      <c r="U51" s="213"/>
      <c r="V51" s="215"/>
      <c r="W51" s="215"/>
      <c r="X51" s="217"/>
      <c r="Y51" s="217"/>
      <c r="Z51" s="213"/>
      <c r="AA51" s="215"/>
      <c r="AB51" s="215"/>
      <c r="AC51" s="217"/>
      <c r="AD51" s="217"/>
      <c r="AE51" s="213"/>
      <c r="AF51" s="215"/>
      <c r="AG51" s="215"/>
      <c r="AH51" s="217"/>
      <c r="AI51" s="217"/>
      <c r="AJ51" s="213"/>
    </row>
    <row r="52" spans="1:36" ht="33.75" customHeight="1">
      <c r="A52" s="213"/>
      <c r="B52" s="214"/>
      <c r="C52" s="215"/>
      <c r="D52" s="216"/>
      <c r="E52" s="217"/>
      <c r="F52" s="213"/>
      <c r="G52" s="214"/>
      <c r="H52" s="215"/>
      <c r="I52" s="217"/>
      <c r="J52" s="217"/>
      <c r="K52" s="213"/>
      <c r="L52" s="215"/>
      <c r="M52" s="215"/>
      <c r="N52" s="217"/>
      <c r="O52" s="217"/>
      <c r="P52" s="213"/>
      <c r="Q52" s="215"/>
      <c r="R52" s="215"/>
      <c r="S52" s="217"/>
      <c r="T52" s="217"/>
      <c r="U52" s="213"/>
      <c r="V52" s="215"/>
      <c r="W52" s="215"/>
      <c r="X52" s="217"/>
      <c r="Y52" s="217"/>
      <c r="Z52" s="213"/>
      <c r="AA52" s="215"/>
      <c r="AB52" s="215"/>
      <c r="AC52" s="217"/>
      <c r="AD52" s="217"/>
      <c r="AE52" s="213"/>
      <c r="AF52" s="215"/>
      <c r="AG52" s="215"/>
      <c r="AH52" s="217"/>
      <c r="AI52" s="217"/>
      <c r="AJ52" s="213"/>
    </row>
    <row r="53" spans="1:36" ht="33.75" customHeight="1">
      <c r="A53" s="213"/>
      <c r="B53" s="214"/>
      <c r="C53" s="215"/>
      <c r="D53" s="216"/>
      <c r="E53" s="217"/>
      <c r="F53" s="213"/>
      <c r="G53" s="214"/>
      <c r="H53" s="215"/>
      <c r="I53" s="217"/>
      <c r="J53" s="217"/>
      <c r="K53" s="213"/>
      <c r="L53" s="215"/>
      <c r="M53" s="215"/>
      <c r="N53" s="217"/>
      <c r="O53" s="217"/>
      <c r="P53" s="213"/>
      <c r="Q53" s="215"/>
      <c r="R53" s="215"/>
      <c r="S53" s="217"/>
      <c r="T53" s="217"/>
      <c r="U53" s="213"/>
      <c r="V53" s="215"/>
      <c r="W53" s="215"/>
      <c r="X53" s="217"/>
      <c r="Y53" s="217"/>
      <c r="Z53" s="213"/>
      <c r="AA53" s="215"/>
      <c r="AB53" s="215"/>
      <c r="AC53" s="217"/>
      <c r="AD53" s="217"/>
      <c r="AE53" s="213"/>
      <c r="AF53" s="215"/>
      <c r="AG53" s="215"/>
      <c r="AH53" s="217"/>
      <c r="AI53" s="217"/>
      <c r="AJ53" s="213"/>
    </row>
    <row r="54" spans="1:36" ht="33.75" customHeight="1">
      <c r="A54" s="213"/>
      <c r="B54" s="214"/>
      <c r="C54" s="215"/>
      <c r="D54" s="216"/>
      <c r="E54" s="217"/>
      <c r="F54" s="213"/>
      <c r="G54" s="214"/>
      <c r="H54" s="215"/>
      <c r="I54" s="217"/>
      <c r="J54" s="217"/>
      <c r="K54" s="213"/>
      <c r="L54" s="215"/>
      <c r="M54" s="215"/>
      <c r="N54" s="217"/>
      <c r="O54" s="217"/>
      <c r="P54" s="213"/>
      <c r="Q54" s="215"/>
      <c r="R54" s="215"/>
      <c r="S54" s="217"/>
      <c r="T54" s="217"/>
      <c r="U54" s="213"/>
      <c r="V54" s="215"/>
      <c r="W54" s="215"/>
      <c r="X54" s="217"/>
      <c r="Y54" s="217"/>
      <c r="Z54" s="213"/>
      <c r="AA54" s="215"/>
      <c r="AB54" s="215"/>
      <c r="AC54" s="217"/>
      <c r="AD54" s="217"/>
      <c r="AE54" s="213"/>
      <c r="AF54" s="215"/>
      <c r="AG54" s="215"/>
      <c r="AH54" s="217"/>
      <c r="AI54" s="217"/>
      <c r="AJ54" s="213"/>
    </row>
    <row r="55" spans="1:36" ht="33.75" customHeight="1">
      <c r="A55" s="213"/>
      <c r="B55" s="214"/>
      <c r="C55" s="215"/>
      <c r="D55" s="216"/>
      <c r="E55" s="217"/>
      <c r="F55" s="213"/>
      <c r="G55" s="214"/>
      <c r="H55" s="215"/>
      <c r="I55" s="217"/>
      <c r="J55" s="217"/>
      <c r="K55" s="213"/>
      <c r="L55" s="215"/>
      <c r="M55" s="215"/>
      <c r="N55" s="217"/>
      <c r="O55" s="217"/>
      <c r="P55" s="213"/>
      <c r="Q55" s="215"/>
      <c r="R55" s="215"/>
      <c r="S55" s="217"/>
      <c r="T55" s="217"/>
      <c r="U55" s="213"/>
      <c r="V55" s="215"/>
      <c r="W55" s="215"/>
      <c r="X55" s="217"/>
      <c r="Y55" s="217"/>
      <c r="Z55" s="213"/>
      <c r="AA55" s="215"/>
      <c r="AB55" s="215"/>
      <c r="AC55" s="217"/>
      <c r="AD55" s="217"/>
      <c r="AE55" s="213"/>
      <c r="AF55" s="215"/>
      <c r="AG55" s="215"/>
      <c r="AH55" s="217"/>
      <c r="AI55" s="217"/>
      <c r="AJ55" s="213"/>
    </row>
    <row r="56" spans="1:36" ht="33.75" customHeight="1">
      <c r="A56" s="213"/>
      <c r="B56" s="214"/>
      <c r="C56" s="215"/>
      <c r="D56" s="216"/>
      <c r="E56" s="217"/>
      <c r="F56" s="213"/>
      <c r="G56" s="214"/>
      <c r="H56" s="215"/>
      <c r="I56" s="217"/>
      <c r="J56" s="217"/>
      <c r="K56" s="213"/>
      <c r="L56" s="215"/>
      <c r="M56" s="215"/>
      <c r="N56" s="217"/>
      <c r="O56" s="217"/>
      <c r="P56" s="213"/>
      <c r="Q56" s="215"/>
      <c r="R56" s="215"/>
      <c r="S56" s="217"/>
      <c r="T56" s="217"/>
      <c r="U56" s="213"/>
      <c r="V56" s="215"/>
      <c r="W56" s="215"/>
      <c r="X56" s="217"/>
      <c r="Y56" s="217"/>
      <c r="Z56" s="213"/>
      <c r="AA56" s="215"/>
      <c r="AB56" s="215"/>
      <c r="AC56" s="217"/>
      <c r="AD56" s="217"/>
      <c r="AE56" s="213"/>
      <c r="AF56" s="215"/>
      <c r="AG56" s="215"/>
      <c r="AH56" s="217"/>
      <c r="AI56" s="217"/>
      <c r="AJ56" s="213"/>
    </row>
    <row r="57" spans="1:36" ht="33.75" customHeight="1">
      <c r="A57" s="213"/>
      <c r="B57" s="214"/>
      <c r="C57" s="215"/>
      <c r="D57" s="216"/>
      <c r="E57" s="217"/>
      <c r="F57" s="213"/>
      <c r="G57" s="214"/>
      <c r="H57" s="215"/>
      <c r="I57" s="217"/>
      <c r="J57" s="217"/>
      <c r="K57" s="213"/>
      <c r="L57" s="215"/>
      <c r="M57" s="215"/>
      <c r="N57" s="217"/>
      <c r="O57" s="217"/>
      <c r="P57" s="213"/>
      <c r="Q57" s="215"/>
      <c r="R57" s="215"/>
      <c r="S57" s="217"/>
      <c r="T57" s="217"/>
      <c r="U57" s="213"/>
      <c r="V57" s="215"/>
      <c r="W57" s="215"/>
      <c r="X57" s="217"/>
      <c r="Y57" s="217"/>
      <c r="Z57" s="213"/>
      <c r="AA57" s="215"/>
      <c r="AB57" s="215"/>
      <c r="AC57" s="217"/>
      <c r="AD57" s="217"/>
      <c r="AE57" s="213"/>
      <c r="AF57" s="215"/>
      <c r="AG57" s="215"/>
      <c r="AH57" s="217"/>
      <c r="AI57" s="217"/>
      <c r="AJ57" s="213"/>
    </row>
    <row r="58" spans="1:36" ht="33.75" customHeight="1">
      <c r="A58" s="213"/>
      <c r="B58" s="214"/>
      <c r="C58" s="215"/>
      <c r="D58" s="216"/>
      <c r="E58" s="217"/>
      <c r="F58" s="213"/>
      <c r="G58" s="214"/>
      <c r="H58" s="215"/>
      <c r="I58" s="217"/>
      <c r="J58" s="217"/>
      <c r="K58" s="213"/>
      <c r="L58" s="215"/>
      <c r="M58" s="215"/>
      <c r="N58" s="217"/>
      <c r="O58" s="217"/>
      <c r="P58" s="213"/>
      <c r="Q58" s="215"/>
      <c r="R58" s="215"/>
      <c r="S58" s="217"/>
      <c r="T58" s="217"/>
      <c r="U58" s="213"/>
      <c r="V58" s="215"/>
      <c r="W58" s="215"/>
      <c r="X58" s="217"/>
      <c r="Y58" s="217"/>
      <c r="Z58" s="213"/>
      <c r="AA58" s="215"/>
      <c r="AB58" s="215"/>
      <c r="AC58" s="217"/>
      <c r="AD58" s="217"/>
      <c r="AE58" s="213"/>
      <c r="AF58" s="215"/>
      <c r="AG58" s="215"/>
      <c r="AH58" s="217"/>
      <c r="AI58" s="217"/>
      <c r="AJ58" s="213"/>
    </row>
    <row r="59" spans="1:36" ht="33.75" customHeight="1">
      <c r="A59" s="213"/>
      <c r="B59" s="214"/>
      <c r="C59" s="215"/>
      <c r="D59" s="216"/>
      <c r="E59" s="217"/>
      <c r="F59" s="213"/>
      <c r="G59" s="214"/>
      <c r="H59" s="215"/>
      <c r="I59" s="217"/>
      <c r="J59" s="217"/>
      <c r="K59" s="213"/>
      <c r="L59" s="215"/>
      <c r="M59" s="215"/>
      <c r="N59" s="217"/>
      <c r="O59" s="217"/>
      <c r="P59" s="213"/>
      <c r="Q59" s="215"/>
      <c r="R59" s="215"/>
      <c r="S59" s="217"/>
      <c r="T59" s="217"/>
      <c r="U59" s="213"/>
      <c r="V59" s="215"/>
      <c r="W59" s="215"/>
      <c r="X59" s="217"/>
      <c r="Y59" s="217"/>
      <c r="Z59" s="213"/>
      <c r="AA59" s="215"/>
      <c r="AB59" s="215"/>
      <c r="AC59" s="217"/>
      <c r="AD59" s="217"/>
      <c r="AE59" s="213"/>
      <c r="AF59" s="215"/>
      <c r="AG59" s="215"/>
      <c r="AH59" s="217"/>
      <c r="AI59" s="217"/>
      <c r="AJ59" s="213"/>
    </row>
    <row r="60" spans="1:36" ht="33.75" customHeight="1">
      <c r="A60" s="213"/>
      <c r="B60" s="214"/>
      <c r="C60" s="215"/>
      <c r="D60" s="216"/>
      <c r="E60" s="217"/>
      <c r="F60" s="213"/>
      <c r="G60" s="214"/>
      <c r="H60" s="215"/>
      <c r="I60" s="217"/>
      <c r="J60" s="217"/>
      <c r="K60" s="213"/>
      <c r="L60" s="215"/>
      <c r="M60" s="215"/>
      <c r="N60" s="217"/>
      <c r="O60" s="217"/>
      <c r="P60" s="213"/>
      <c r="Q60" s="215"/>
      <c r="R60" s="215"/>
      <c r="S60" s="217"/>
      <c r="T60" s="217"/>
      <c r="U60" s="213"/>
      <c r="V60" s="215"/>
      <c r="W60" s="215"/>
      <c r="X60" s="217"/>
      <c r="Y60" s="217"/>
      <c r="Z60" s="213"/>
      <c r="AA60" s="215"/>
      <c r="AB60" s="215"/>
      <c r="AC60" s="217"/>
      <c r="AD60" s="217"/>
      <c r="AE60" s="213"/>
      <c r="AF60" s="215"/>
      <c r="AG60" s="215"/>
      <c r="AH60" s="217"/>
      <c r="AI60" s="217"/>
      <c r="AJ60" s="213"/>
    </row>
    <row r="61" spans="1:36" ht="33.75" customHeight="1">
      <c r="A61" s="213"/>
      <c r="B61" s="214"/>
      <c r="C61" s="215"/>
      <c r="D61" s="216"/>
      <c r="E61" s="217"/>
      <c r="F61" s="213"/>
      <c r="G61" s="214"/>
      <c r="H61" s="215"/>
      <c r="I61" s="217"/>
      <c r="J61" s="217"/>
      <c r="K61" s="213"/>
      <c r="L61" s="215"/>
      <c r="M61" s="215"/>
      <c r="N61" s="217"/>
      <c r="O61" s="217"/>
      <c r="P61" s="213"/>
      <c r="Q61" s="215"/>
      <c r="R61" s="215"/>
      <c r="S61" s="217"/>
      <c r="T61" s="217"/>
      <c r="U61" s="213"/>
      <c r="V61" s="215"/>
      <c r="W61" s="215"/>
      <c r="X61" s="217"/>
      <c r="Y61" s="217"/>
      <c r="Z61" s="213"/>
      <c r="AA61" s="215"/>
      <c r="AB61" s="215"/>
      <c r="AC61" s="217"/>
      <c r="AD61" s="217"/>
      <c r="AE61" s="213"/>
      <c r="AF61" s="215"/>
      <c r="AG61" s="215"/>
      <c r="AH61" s="217"/>
      <c r="AI61" s="217"/>
      <c r="AJ61" s="213"/>
    </row>
    <row r="62" spans="1:36" ht="33.75" customHeight="1">
      <c r="A62" s="213"/>
      <c r="B62" s="214"/>
      <c r="C62" s="215"/>
      <c r="D62" s="216"/>
      <c r="E62" s="217"/>
      <c r="F62" s="213"/>
      <c r="G62" s="214"/>
      <c r="H62" s="215"/>
      <c r="I62" s="217"/>
      <c r="J62" s="217"/>
      <c r="K62" s="213"/>
      <c r="L62" s="215"/>
      <c r="M62" s="215"/>
      <c r="N62" s="217"/>
      <c r="O62" s="217"/>
      <c r="P62" s="213"/>
      <c r="Q62" s="215"/>
      <c r="R62" s="215"/>
      <c r="S62" s="217"/>
      <c r="T62" s="217"/>
      <c r="U62" s="213"/>
      <c r="V62" s="215"/>
      <c r="W62" s="215"/>
      <c r="X62" s="217"/>
      <c r="Y62" s="217"/>
      <c r="Z62" s="213"/>
      <c r="AA62" s="215"/>
      <c r="AB62" s="215"/>
      <c r="AC62" s="217"/>
      <c r="AD62" s="217"/>
      <c r="AE62" s="213"/>
      <c r="AF62" s="215"/>
      <c r="AG62" s="215"/>
      <c r="AH62" s="217"/>
      <c r="AI62" s="217"/>
      <c r="AJ62" s="213"/>
    </row>
    <row r="63" spans="1:36" ht="33.75" customHeight="1">
      <c r="A63" s="213"/>
      <c r="B63" s="214"/>
      <c r="C63" s="215"/>
      <c r="D63" s="216"/>
      <c r="E63" s="217"/>
      <c r="F63" s="213"/>
      <c r="G63" s="214"/>
      <c r="H63" s="215"/>
      <c r="I63" s="217"/>
      <c r="J63" s="217"/>
      <c r="K63" s="213"/>
      <c r="L63" s="215"/>
      <c r="M63" s="215"/>
      <c r="N63" s="217"/>
      <c r="O63" s="217"/>
      <c r="P63" s="213"/>
      <c r="Q63" s="215"/>
      <c r="R63" s="215"/>
      <c r="S63" s="217"/>
      <c r="T63" s="217"/>
      <c r="U63" s="213"/>
      <c r="V63" s="215"/>
      <c r="W63" s="215"/>
      <c r="X63" s="217"/>
      <c r="Y63" s="217"/>
      <c r="Z63" s="213"/>
      <c r="AA63" s="215"/>
      <c r="AB63" s="215"/>
      <c r="AC63" s="217"/>
      <c r="AD63" s="217"/>
      <c r="AE63" s="213"/>
      <c r="AF63" s="215"/>
      <c r="AG63" s="215"/>
      <c r="AH63" s="217"/>
      <c r="AI63" s="217"/>
      <c r="AJ63" s="213"/>
    </row>
    <row r="64" spans="1:36" ht="33.75" customHeight="1">
      <c r="A64" s="213"/>
      <c r="B64" s="214"/>
      <c r="C64" s="215"/>
      <c r="D64" s="216"/>
      <c r="E64" s="217"/>
      <c r="F64" s="213"/>
      <c r="G64" s="214"/>
      <c r="H64" s="215"/>
      <c r="I64" s="217"/>
      <c r="J64" s="217"/>
      <c r="K64" s="213"/>
      <c r="L64" s="215"/>
      <c r="M64" s="215"/>
      <c r="N64" s="217"/>
      <c r="O64" s="217"/>
      <c r="P64" s="213"/>
      <c r="Q64" s="215"/>
      <c r="R64" s="215"/>
      <c r="S64" s="217"/>
      <c r="T64" s="217"/>
      <c r="U64" s="213"/>
      <c r="V64" s="215"/>
      <c r="W64" s="215"/>
      <c r="X64" s="217"/>
      <c r="Y64" s="217"/>
      <c r="Z64" s="213"/>
      <c r="AA64" s="215"/>
      <c r="AB64" s="215"/>
      <c r="AC64" s="217"/>
      <c r="AD64" s="217"/>
      <c r="AE64" s="213"/>
      <c r="AF64" s="215"/>
      <c r="AG64" s="215"/>
      <c r="AH64" s="217"/>
      <c r="AI64" s="217"/>
      <c r="AJ64" s="213"/>
    </row>
    <row r="65" spans="1:36" ht="33.75" customHeight="1">
      <c r="A65" s="213"/>
      <c r="B65" s="214"/>
      <c r="C65" s="215"/>
      <c r="D65" s="216"/>
      <c r="E65" s="217"/>
      <c r="F65" s="213"/>
      <c r="G65" s="214"/>
      <c r="H65" s="215"/>
      <c r="I65" s="217"/>
      <c r="J65" s="217"/>
      <c r="K65" s="213"/>
      <c r="L65" s="215"/>
      <c r="M65" s="215"/>
      <c r="N65" s="217"/>
      <c r="O65" s="217"/>
      <c r="P65" s="213"/>
      <c r="Q65" s="215"/>
      <c r="R65" s="215"/>
      <c r="S65" s="217"/>
      <c r="T65" s="217"/>
      <c r="U65" s="213"/>
      <c r="V65" s="215"/>
      <c r="W65" s="215"/>
      <c r="X65" s="217"/>
      <c r="Y65" s="217"/>
      <c r="Z65" s="213"/>
      <c r="AA65" s="215"/>
      <c r="AB65" s="215"/>
      <c r="AC65" s="217"/>
      <c r="AD65" s="217"/>
      <c r="AE65" s="213"/>
      <c r="AF65" s="215"/>
      <c r="AG65" s="215"/>
      <c r="AH65" s="217"/>
      <c r="AI65" s="217"/>
      <c r="AJ65" s="213"/>
    </row>
    <row r="66" spans="1:36" ht="33.75" customHeight="1">
      <c r="A66" s="213"/>
      <c r="B66" s="214"/>
      <c r="C66" s="215"/>
      <c r="D66" s="216"/>
      <c r="E66" s="217"/>
      <c r="F66" s="213"/>
      <c r="G66" s="214"/>
      <c r="H66" s="215"/>
      <c r="I66" s="217"/>
      <c r="J66" s="217"/>
      <c r="K66" s="213"/>
      <c r="L66" s="215"/>
      <c r="M66" s="215"/>
      <c r="N66" s="217"/>
      <c r="O66" s="217"/>
      <c r="P66" s="213"/>
      <c r="Q66" s="215"/>
      <c r="R66" s="215"/>
      <c r="S66" s="217"/>
      <c r="T66" s="217"/>
      <c r="U66" s="213"/>
      <c r="V66" s="215"/>
      <c r="W66" s="215"/>
      <c r="X66" s="217"/>
      <c r="Y66" s="217"/>
      <c r="Z66" s="213"/>
      <c r="AA66" s="215"/>
      <c r="AB66" s="215"/>
      <c r="AC66" s="217"/>
      <c r="AD66" s="217"/>
      <c r="AE66" s="213"/>
      <c r="AF66" s="215"/>
      <c r="AG66" s="215"/>
      <c r="AH66" s="217"/>
      <c r="AI66" s="217"/>
      <c r="AJ66" s="213"/>
    </row>
    <row r="67" spans="1:36" ht="33.75" customHeight="1">
      <c r="A67" s="213"/>
      <c r="B67" s="214"/>
      <c r="C67" s="215"/>
      <c r="D67" s="216"/>
      <c r="E67" s="217"/>
      <c r="F67" s="213"/>
      <c r="G67" s="214"/>
      <c r="H67" s="215"/>
      <c r="I67" s="217"/>
      <c r="J67" s="217"/>
      <c r="K67" s="213"/>
      <c r="L67" s="215"/>
      <c r="M67" s="215"/>
      <c r="N67" s="217"/>
      <c r="O67" s="217"/>
      <c r="P67" s="213"/>
      <c r="Q67" s="215"/>
      <c r="R67" s="215"/>
      <c r="S67" s="217"/>
      <c r="T67" s="217"/>
      <c r="U67" s="213"/>
      <c r="V67" s="215"/>
      <c r="W67" s="215"/>
      <c r="X67" s="217"/>
      <c r="Y67" s="217"/>
      <c r="Z67" s="213"/>
      <c r="AA67" s="215"/>
      <c r="AB67" s="215"/>
      <c r="AC67" s="217"/>
      <c r="AD67" s="217"/>
      <c r="AE67" s="213"/>
      <c r="AF67" s="215"/>
      <c r="AG67" s="215"/>
      <c r="AH67" s="217"/>
      <c r="AI67" s="217"/>
      <c r="AJ67" s="213"/>
    </row>
    <row r="68" spans="1:36" ht="33.75" customHeight="1">
      <c r="A68" s="213"/>
      <c r="B68" s="214"/>
      <c r="C68" s="215"/>
      <c r="D68" s="216"/>
      <c r="E68" s="217"/>
      <c r="F68" s="213"/>
      <c r="G68" s="214"/>
      <c r="H68" s="215"/>
      <c r="I68" s="217"/>
      <c r="J68" s="217"/>
      <c r="K68" s="213"/>
      <c r="L68" s="215"/>
      <c r="M68" s="215"/>
      <c r="N68" s="217"/>
      <c r="O68" s="217"/>
      <c r="P68" s="213"/>
      <c r="Q68" s="215"/>
      <c r="R68" s="215"/>
      <c r="S68" s="217"/>
      <c r="T68" s="217"/>
      <c r="U68" s="213"/>
      <c r="V68" s="215"/>
      <c r="W68" s="215"/>
      <c r="X68" s="217"/>
      <c r="Y68" s="217"/>
      <c r="Z68" s="213"/>
      <c r="AA68" s="215"/>
      <c r="AB68" s="215"/>
      <c r="AC68" s="217"/>
      <c r="AD68" s="217"/>
      <c r="AE68" s="213"/>
      <c r="AF68" s="215"/>
      <c r="AG68" s="215"/>
      <c r="AH68" s="217"/>
      <c r="AI68" s="217"/>
      <c r="AJ68" s="213"/>
    </row>
    <row r="69" spans="1:36" ht="33.75" customHeight="1">
      <c r="A69" s="213"/>
      <c r="B69" s="214"/>
      <c r="C69" s="215"/>
      <c r="D69" s="216"/>
      <c r="E69" s="217"/>
      <c r="F69" s="213"/>
      <c r="G69" s="214"/>
      <c r="H69" s="215"/>
      <c r="I69" s="217"/>
      <c r="J69" s="217"/>
      <c r="K69" s="213"/>
      <c r="L69" s="215"/>
      <c r="M69" s="215"/>
      <c r="N69" s="217"/>
      <c r="O69" s="217"/>
      <c r="P69" s="213"/>
      <c r="Q69" s="215"/>
      <c r="R69" s="215"/>
      <c r="S69" s="217"/>
      <c r="T69" s="217"/>
      <c r="U69" s="213"/>
      <c r="V69" s="215"/>
      <c r="W69" s="215"/>
      <c r="X69" s="217"/>
      <c r="Y69" s="217"/>
      <c r="Z69" s="213"/>
      <c r="AA69" s="215"/>
      <c r="AB69" s="215"/>
      <c r="AC69" s="217"/>
      <c r="AD69" s="217"/>
      <c r="AE69" s="213"/>
      <c r="AF69" s="215"/>
      <c r="AG69" s="215"/>
      <c r="AH69" s="217"/>
      <c r="AI69" s="217"/>
      <c r="AJ69" s="213"/>
    </row>
    <row r="70" spans="1:36" ht="33.75" customHeight="1">
      <c r="A70" s="213"/>
      <c r="B70" s="214"/>
      <c r="C70" s="215"/>
      <c r="D70" s="216"/>
      <c r="E70" s="217"/>
      <c r="F70" s="213"/>
      <c r="G70" s="214"/>
      <c r="H70" s="215"/>
      <c r="I70" s="217"/>
      <c r="J70" s="217"/>
      <c r="K70" s="213"/>
      <c r="L70" s="215"/>
      <c r="M70" s="215"/>
      <c r="N70" s="217"/>
      <c r="O70" s="217"/>
      <c r="P70" s="213"/>
      <c r="Q70" s="215"/>
      <c r="R70" s="215"/>
      <c r="S70" s="217"/>
      <c r="T70" s="217"/>
      <c r="U70" s="213"/>
      <c r="V70" s="215"/>
      <c r="W70" s="215"/>
      <c r="X70" s="217"/>
      <c r="Y70" s="217"/>
      <c r="Z70" s="213"/>
      <c r="AA70" s="215"/>
      <c r="AB70" s="215"/>
      <c r="AC70" s="217"/>
      <c r="AD70" s="217"/>
      <c r="AE70" s="213"/>
      <c r="AF70" s="215"/>
      <c r="AG70" s="215"/>
      <c r="AH70" s="217"/>
      <c r="AI70" s="217"/>
      <c r="AJ70" s="213"/>
    </row>
    <row r="71" spans="1:36" ht="33.75" customHeight="1">
      <c r="A71" s="213"/>
      <c r="B71" s="214"/>
      <c r="C71" s="215"/>
      <c r="D71" s="216"/>
      <c r="E71" s="217"/>
      <c r="F71" s="213"/>
      <c r="G71" s="214"/>
      <c r="H71" s="215"/>
      <c r="I71" s="217"/>
      <c r="J71" s="217"/>
      <c r="K71" s="213"/>
      <c r="L71" s="215"/>
      <c r="M71" s="215"/>
      <c r="N71" s="217"/>
      <c r="O71" s="217"/>
      <c r="P71" s="213"/>
      <c r="Q71" s="215"/>
      <c r="R71" s="215"/>
      <c r="S71" s="217"/>
      <c r="T71" s="217"/>
      <c r="U71" s="213"/>
      <c r="V71" s="215"/>
      <c r="W71" s="215"/>
      <c r="X71" s="217"/>
      <c r="Y71" s="217"/>
      <c r="Z71" s="213"/>
      <c r="AA71" s="215"/>
      <c r="AB71" s="215"/>
      <c r="AC71" s="217"/>
      <c r="AD71" s="217"/>
      <c r="AE71" s="213"/>
      <c r="AF71" s="215"/>
      <c r="AG71" s="215"/>
      <c r="AH71" s="217"/>
      <c r="AI71" s="217"/>
      <c r="AJ71" s="213"/>
    </row>
    <row r="72" spans="1:36" ht="33.75" customHeight="1">
      <c r="A72" s="213"/>
      <c r="B72" s="214"/>
      <c r="C72" s="215"/>
      <c r="D72" s="216"/>
      <c r="E72" s="217"/>
      <c r="F72" s="213"/>
      <c r="G72" s="214"/>
      <c r="H72" s="215"/>
      <c r="I72" s="217"/>
      <c r="J72" s="217"/>
      <c r="K72" s="213"/>
      <c r="L72" s="215"/>
      <c r="M72" s="215"/>
      <c r="N72" s="217"/>
      <c r="O72" s="217"/>
      <c r="P72" s="213"/>
      <c r="Q72" s="215"/>
      <c r="R72" s="215"/>
      <c r="S72" s="217"/>
      <c r="T72" s="217"/>
      <c r="U72" s="213"/>
      <c r="V72" s="215"/>
      <c r="W72" s="215"/>
      <c r="X72" s="217"/>
      <c r="Y72" s="217"/>
      <c r="Z72" s="213"/>
      <c r="AA72" s="215"/>
      <c r="AB72" s="215"/>
      <c r="AC72" s="217"/>
      <c r="AD72" s="217"/>
      <c r="AE72" s="213"/>
      <c r="AF72" s="215"/>
      <c r="AG72" s="215"/>
      <c r="AH72" s="217"/>
      <c r="AI72" s="217"/>
      <c r="AJ72" s="213"/>
    </row>
    <row r="73" spans="1:36" ht="33.75" customHeight="1">
      <c r="A73" s="213"/>
      <c r="B73" s="214"/>
      <c r="C73" s="215"/>
      <c r="D73" s="216"/>
      <c r="E73" s="217"/>
      <c r="F73" s="213"/>
      <c r="G73" s="214"/>
      <c r="H73" s="215"/>
      <c r="I73" s="217"/>
      <c r="J73" s="217"/>
      <c r="K73" s="213"/>
      <c r="L73" s="215"/>
      <c r="M73" s="215"/>
      <c r="N73" s="217"/>
      <c r="O73" s="217"/>
      <c r="P73" s="213"/>
      <c r="Q73" s="215"/>
      <c r="R73" s="215"/>
      <c r="S73" s="217"/>
      <c r="T73" s="217"/>
      <c r="U73" s="213"/>
      <c r="V73" s="215"/>
      <c r="W73" s="215"/>
      <c r="X73" s="217"/>
      <c r="Y73" s="217"/>
      <c r="Z73" s="213"/>
      <c r="AA73" s="215"/>
      <c r="AB73" s="215"/>
      <c r="AC73" s="217"/>
      <c r="AD73" s="217"/>
      <c r="AE73" s="213"/>
      <c r="AF73" s="215"/>
      <c r="AG73" s="215"/>
      <c r="AH73" s="217"/>
      <c r="AI73" s="217"/>
      <c r="AJ73" s="213"/>
    </row>
    <row r="74" spans="1:36" ht="33.75" customHeight="1">
      <c r="A74" s="213"/>
      <c r="B74" s="214"/>
      <c r="C74" s="215"/>
      <c r="D74" s="216"/>
      <c r="E74" s="217"/>
      <c r="F74" s="213"/>
      <c r="G74" s="214"/>
      <c r="H74" s="215"/>
      <c r="I74" s="217"/>
      <c r="J74" s="217"/>
      <c r="K74" s="213"/>
      <c r="L74" s="215"/>
      <c r="M74" s="215"/>
      <c r="N74" s="217"/>
      <c r="O74" s="217"/>
      <c r="P74" s="213"/>
      <c r="Q74" s="215"/>
      <c r="R74" s="215"/>
      <c r="S74" s="217"/>
      <c r="T74" s="217"/>
      <c r="U74" s="213"/>
      <c r="V74" s="215"/>
      <c r="W74" s="215"/>
      <c r="X74" s="217"/>
      <c r="Y74" s="217"/>
      <c r="Z74" s="213"/>
      <c r="AA74" s="215"/>
      <c r="AB74" s="215"/>
      <c r="AC74" s="217"/>
      <c r="AD74" s="217"/>
      <c r="AE74" s="213"/>
      <c r="AF74" s="215"/>
      <c r="AG74" s="215"/>
      <c r="AH74" s="217"/>
      <c r="AI74" s="217"/>
      <c r="AJ74" s="213"/>
    </row>
    <row r="75" spans="1:36" ht="33.75" customHeight="1">
      <c r="A75" s="213"/>
      <c r="B75" s="214"/>
      <c r="C75" s="215"/>
      <c r="D75" s="216"/>
      <c r="E75" s="217"/>
      <c r="F75" s="213"/>
      <c r="G75" s="214"/>
      <c r="H75" s="215"/>
      <c r="I75" s="217"/>
      <c r="J75" s="217"/>
      <c r="K75" s="213"/>
      <c r="L75" s="215"/>
      <c r="M75" s="215"/>
      <c r="N75" s="217"/>
      <c r="O75" s="217"/>
      <c r="P75" s="213"/>
      <c r="Q75" s="215"/>
      <c r="R75" s="215"/>
      <c r="S75" s="217"/>
      <c r="T75" s="217"/>
      <c r="U75" s="213"/>
      <c r="V75" s="215"/>
      <c r="W75" s="215"/>
      <c r="X75" s="217"/>
      <c r="Y75" s="217"/>
      <c r="Z75" s="213"/>
      <c r="AA75" s="215"/>
      <c r="AB75" s="215"/>
      <c r="AC75" s="217"/>
      <c r="AD75" s="217"/>
      <c r="AE75" s="213"/>
      <c r="AF75" s="215"/>
      <c r="AG75" s="215"/>
      <c r="AH75" s="217"/>
      <c r="AI75" s="217"/>
      <c r="AJ75" s="213"/>
    </row>
    <row r="76" spans="1:36" ht="33.75" customHeight="1">
      <c r="A76" s="213"/>
      <c r="B76" s="214"/>
      <c r="C76" s="215"/>
      <c r="D76" s="216"/>
      <c r="E76" s="217"/>
      <c r="F76" s="213"/>
      <c r="G76" s="214"/>
      <c r="H76" s="215"/>
      <c r="I76" s="217"/>
      <c r="J76" s="217"/>
      <c r="K76" s="213"/>
      <c r="L76" s="215"/>
      <c r="M76" s="215"/>
      <c r="N76" s="217"/>
      <c r="O76" s="217"/>
      <c r="P76" s="213"/>
      <c r="Q76" s="215"/>
      <c r="R76" s="215"/>
      <c r="S76" s="217"/>
      <c r="T76" s="217"/>
      <c r="U76" s="213"/>
      <c r="V76" s="215"/>
      <c r="W76" s="215"/>
      <c r="X76" s="217"/>
      <c r="Y76" s="217"/>
      <c r="Z76" s="213"/>
      <c r="AA76" s="215"/>
      <c r="AB76" s="215"/>
      <c r="AC76" s="217"/>
      <c r="AD76" s="217"/>
      <c r="AE76" s="213"/>
      <c r="AF76" s="215"/>
      <c r="AG76" s="215"/>
      <c r="AH76" s="217"/>
      <c r="AI76" s="217"/>
      <c r="AJ76" s="213"/>
    </row>
    <row r="77" spans="1:36" ht="33.75" customHeight="1">
      <c r="A77" s="213"/>
      <c r="B77" s="214"/>
      <c r="C77" s="215"/>
      <c r="D77" s="216"/>
      <c r="E77" s="217"/>
      <c r="F77" s="213"/>
      <c r="G77" s="214"/>
      <c r="H77" s="215"/>
      <c r="I77" s="217"/>
      <c r="J77" s="217"/>
      <c r="K77" s="213"/>
      <c r="L77" s="215"/>
      <c r="M77" s="215"/>
      <c r="N77" s="217"/>
      <c r="O77" s="217"/>
      <c r="P77" s="213"/>
      <c r="Q77" s="215"/>
      <c r="R77" s="215"/>
      <c r="S77" s="217"/>
      <c r="T77" s="217"/>
      <c r="U77" s="213"/>
      <c r="V77" s="215"/>
      <c r="W77" s="215"/>
      <c r="X77" s="217"/>
      <c r="Y77" s="217"/>
      <c r="Z77" s="213"/>
      <c r="AA77" s="215"/>
      <c r="AB77" s="215"/>
      <c r="AC77" s="217"/>
      <c r="AD77" s="217"/>
      <c r="AE77" s="213"/>
      <c r="AF77" s="215"/>
      <c r="AG77" s="215"/>
      <c r="AH77" s="217"/>
      <c r="AI77" s="217"/>
      <c r="AJ77" s="213"/>
    </row>
    <row r="78" spans="1:36" ht="33.75" customHeight="1">
      <c r="A78" s="213"/>
      <c r="B78" s="214"/>
      <c r="C78" s="215"/>
      <c r="D78" s="216"/>
      <c r="E78" s="217"/>
      <c r="F78" s="213"/>
      <c r="G78" s="214"/>
      <c r="H78" s="215"/>
      <c r="I78" s="217"/>
      <c r="J78" s="217"/>
      <c r="K78" s="213"/>
      <c r="L78" s="215"/>
      <c r="M78" s="215"/>
      <c r="N78" s="217"/>
      <c r="O78" s="217"/>
      <c r="P78" s="213"/>
      <c r="Q78" s="215"/>
      <c r="R78" s="215"/>
      <c r="S78" s="217"/>
      <c r="T78" s="217"/>
      <c r="U78" s="213"/>
      <c r="V78" s="215"/>
      <c r="W78" s="215"/>
      <c r="X78" s="217"/>
      <c r="Y78" s="217"/>
      <c r="Z78" s="213"/>
      <c r="AA78" s="215"/>
      <c r="AB78" s="215"/>
      <c r="AC78" s="217"/>
      <c r="AD78" s="217"/>
      <c r="AE78" s="213"/>
      <c r="AF78" s="215"/>
      <c r="AG78" s="215"/>
      <c r="AH78" s="217"/>
      <c r="AI78" s="217"/>
      <c r="AJ78" s="213"/>
    </row>
    <row r="79" spans="1:36" ht="33.75" customHeight="1">
      <c r="A79" s="213"/>
      <c r="B79" s="214"/>
      <c r="C79" s="215"/>
      <c r="D79" s="216"/>
      <c r="E79" s="217"/>
      <c r="F79" s="213"/>
      <c r="G79" s="214"/>
      <c r="H79" s="215"/>
      <c r="I79" s="217"/>
      <c r="J79" s="217"/>
      <c r="K79" s="213"/>
      <c r="L79" s="215"/>
      <c r="M79" s="215"/>
      <c r="N79" s="217"/>
      <c r="O79" s="217"/>
      <c r="P79" s="213"/>
      <c r="Q79" s="215"/>
      <c r="R79" s="215"/>
      <c r="S79" s="217"/>
      <c r="T79" s="217"/>
      <c r="U79" s="213"/>
      <c r="V79" s="215"/>
      <c r="W79" s="215"/>
      <c r="X79" s="217"/>
      <c r="Y79" s="217"/>
      <c r="Z79" s="213"/>
      <c r="AA79" s="215"/>
      <c r="AB79" s="215"/>
      <c r="AC79" s="217"/>
      <c r="AD79" s="217"/>
      <c r="AE79" s="213"/>
      <c r="AF79" s="215"/>
      <c r="AG79" s="215"/>
      <c r="AH79" s="217"/>
      <c r="AI79" s="217"/>
      <c r="AJ79" s="213"/>
    </row>
    <row r="80" spans="1:36" ht="33.75" customHeight="1">
      <c r="A80" s="213"/>
      <c r="B80" s="214"/>
      <c r="C80" s="215"/>
      <c r="D80" s="216"/>
      <c r="E80" s="217"/>
      <c r="F80" s="213"/>
      <c r="G80" s="214"/>
      <c r="H80" s="215"/>
      <c r="I80" s="217"/>
      <c r="J80" s="217"/>
      <c r="K80" s="213"/>
      <c r="L80" s="215"/>
      <c r="M80" s="215"/>
      <c r="N80" s="217"/>
      <c r="O80" s="217"/>
      <c r="P80" s="213"/>
      <c r="Q80" s="215"/>
      <c r="R80" s="215"/>
      <c r="S80" s="217"/>
      <c r="T80" s="217"/>
      <c r="U80" s="213"/>
      <c r="V80" s="215"/>
      <c r="W80" s="215"/>
      <c r="X80" s="217"/>
      <c r="Y80" s="217"/>
      <c r="Z80" s="213"/>
      <c r="AA80" s="215"/>
      <c r="AB80" s="215"/>
      <c r="AC80" s="217"/>
      <c r="AD80" s="217"/>
      <c r="AE80" s="213"/>
      <c r="AF80" s="215"/>
      <c r="AG80" s="215"/>
      <c r="AH80" s="217"/>
      <c r="AI80" s="217"/>
      <c r="AJ80" s="213"/>
    </row>
    <row r="81" spans="1:36" ht="33.75" customHeight="1">
      <c r="A81" s="213"/>
      <c r="B81" s="214"/>
      <c r="C81" s="215"/>
      <c r="D81" s="216"/>
      <c r="E81" s="217"/>
      <c r="F81" s="213"/>
      <c r="G81" s="214"/>
      <c r="H81" s="215"/>
      <c r="I81" s="217"/>
      <c r="J81" s="217"/>
      <c r="K81" s="213"/>
      <c r="L81" s="215"/>
      <c r="M81" s="215"/>
      <c r="N81" s="217"/>
      <c r="O81" s="217"/>
      <c r="P81" s="213"/>
      <c r="Q81" s="215"/>
      <c r="R81" s="215"/>
      <c r="S81" s="217"/>
      <c r="T81" s="217"/>
      <c r="U81" s="213"/>
      <c r="V81" s="215"/>
      <c r="W81" s="215"/>
      <c r="X81" s="217"/>
      <c r="Y81" s="217"/>
      <c r="Z81" s="213"/>
      <c r="AA81" s="215"/>
      <c r="AB81" s="215"/>
      <c r="AC81" s="217"/>
      <c r="AD81" s="217"/>
      <c r="AE81" s="213"/>
      <c r="AF81" s="215"/>
      <c r="AG81" s="215"/>
      <c r="AH81" s="217"/>
      <c r="AI81" s="217"/>
      <c r="AJ81" s="213"/>
    </row>
    <row r="82" spans="1:36" ht="33.75" customHeight="1">
      <c r="A82" s="213"/>
      <c r="B82" s="214"/>
      <c r="C82" s="215"/>
      <c r="D82" s="216"/>
      <c r="E82" s="217"/>
      <c r="F82" s="213"/>
      <c r="G82" s="214"/>
      <c r="H82" s="215"/>
      <c r="I82" s="217"/>
      <c r="J82" s="217"/>
      <c r="K82" s="213"/>
      <c r="L82" s="215"/>
      <c r="M82" s="215"/>
      <c r="N82" s="217"/>
      <c r="O82" s="217"/>
      <c r="P82" s="213"/>
      <c r="Q82" s="215"/>
      <c r="R82" s="215"/>
      <c r="S82" s="217"/>
      <c r="T82" s="217"/>
      <c r="U82" s="213"/>
      <c r="V82" s="215"/>
      <c r="W82" s="215"/>
      <c r="X82" s="217"/>
      <c r="Y82" s="217"/>
      <c r="Z82" s="213"/>
      <c r="AA82" s="215"/>
      <c r="AB82" s="215"/>
      <c r="AC82" s="217"/>
      <c r="AD82" s="217"/>
      <c r="AE82" s="213"/>
      <c r="AF82" s="215"/>
      <c r="AG82" s="215"/>
      <c r="AH82" s="217"/>
      <c r="AI82" s="217"/>
      <c r="AJ82" s="213"/>
    </row>
    <row r="83" spans="1:36" ht="33.75" customHeight="1">
      <c r="A83" s="213"/>
      <c r="B83" s="214"/>
      <c r="C83" s="215"/>
      <c r="D83" s="216"/>
      <c r="E83" s="217"/>
      <c r="F83" s="213"/>
      <c r="G83" s="214"/>
      <c r="H83" s="215"/>
      <c r="I83" s="217"/>
      <c r="J83" s="217"/>
      <c r="K83" s="213"/>
      <c r="L83" s="215"/>
      <c r="M83" s="215"/>
      <c r="N83" s="217"/>
      <c r="O83" s="217"/>
      <c r="P83" s="213"/>
      <c r="Q83" s="215"/>
      <c r="R83" s="215"/>
      <c r="S83" s="217"/>
      <c r="T83" s="217"/>
      <c r="U83" s="213"/>
      <c r="V83" s="215"/>
      <c r="W83" s="215"/>
      <c r="X83" s="217"/>
      <c r="Y83" s="217"/>
      <c r="Z83" s="213"/>
      <c r="AA83" s="215"/>
      <c r="AB83" s="215"/>
      <c r="AC83" s="217"/>
      <c r="AD83" s="217"/>
      <c r="AE83" s="213"/>
      <c r="AF83" s="215"/>
      <c r="AG83" s="215"/>
      <c r="AH83" s="217"/>
      <c r="AI83" s="217"/>
      <c r="AJ83" s="213"/>
    </row>
    <row r="84" spans="1:36" ht="33.75" customHeight="1">
      <c r="A84" s="213"/>
      <c r="B84" s="214"/>
      <c r="C84" s="215"/>
      <c r="D84" s="216"/>
      <c r="E84" s="217"/>
      <c r="F84" s="213"/>
      <c r="G84" s="214"/>
      <c r="H84" s="215"/>
      <c r="I84" s="217"/>
      <c r="J84" s="217"/>
      <c r="K84" s="213"/>
      <c r="L84" s="215"/>
      <c r="M84" s="215"/>
      <c r="N84" s="217"/>
      <c r="O84" s="217"/>
      <c r="P84" s="213"/>
      <c r="Q84" s="215"/>
      <c r="R84" s="215"/>
      <c r="S84" s="217"/>
      <c r="T84" s="217"/>
      <c r="U84" s="213"/>
      <c r="V84" s="215"/>
      <c r="W84" s="215"/>
      <c r="X84" s="217"/>
      <c r="Y84" s="217"/>
      <c r="Z84" s="213"/>
      <c r="AA84" s="215"/>
      <c r="AB84" s="215"/>
      <c r="AC84" s="217"/>
      <c r="AD84" s="217"/>
      <c r="AE84" s="213"/>
      <c r="AF84" s="215"/>
      <c r="AG84" s="215"/>
      <c r="AH84" s="217"/>
      <c r="AI84" s="217"/>
      <c r="AJ84" s="213"/>
    </row>
    <row r="85" spans="1:36" ht="33.75" customHeight="1">
      <c r="A85" s="213"/>
      <c r="B85" s="214"/>
      <c r="C85" s="215"/>
      <c r="D85" s="216"/>
      <c r="E85" s="217"/>
      <c r="F85" s="213"/>
      <c r="G85" s="214"/>
      <c r="H85" s="215"/>
      <c r="I85" s="217"/>
      <c r="J85" s="217"/>
      <c r="K85" s="213"/>
      <c r="L85" s="215"/>
      <c r="M85" s="215"/>
      <c r="N85" s="217"/>
      <c r="O85" s="217"/>
      <c r="P85" s="213"/>
      <c r="Q85" s="215"/>
      <c r="R85" s="215"/>
      <c r="S85" s="217"/>
      <c r="T85" s="217"/>
      <c r="U85" s="213"/>
      <c r="V85" s="215"/>
      <c r="W85" s="215"/>
      <c r="X85" s="217"/>
      <c r="Y85" s="217"/>
      <c r="Z85" s="213"/>
      <c r="AA85" s="215"/>
      <c r="AB85" s="215"/>
      <c r="AC85" s="217"/>
      <c r="AD85" s="217"/>
      <c r="AE85" s="213"/>
      <c r="AF85" s="215"/>
      <c r="AG85" s="215"/>
      <c r="AH85" s="217"/>
      <c r="AI85" s="217"/>
      <c r="AJ85" s="213"/>
    </row>
    <row r="86" spans="1:36" ht="33.75" customHeight="1">
      <c r="A86" s="213"/>
      <c r="B86" s="214"/>
      <c r="C86" s="215"/>
      <c r="D86" s="216"/>
      <c r="E86" s="217"/>
      <c r="F86" s="213"/>
      <c r="G86" s="214"/>
      <c r="H86" s="215"/>
      <c r="I86" s="217"/>
      <c r="J86" s="217"/>
      <c r="K86" s="213"/>
      <c r="L86" s="215"/>
      <c r="M86" s="215"/>
      <c r="N86" s="217"/>
      <c r="O86" s="217"/>
      <c r="P86" s="213"/>
      <c r="Q86" s="215"/>
      <c r="R86" s="215"/>
      <c r="S86" s="217"/>
      <c r="T86" s="217"/>
      <c r="U86" s="213"/>
      <c r="V86" s="215"/>
      <c r="W86" s="215"/>
      <c r="X86" s="217"/>
      <c r="Y86" s="217"/>
      <c r="Z86" s="213"/>
      <c r="AA86" s="215"/>
      <c r="AB86" s="215"/>
      <c r="AC86" s="217"/>
      <c r="AD86" s="217"/>
      <c r="AE86" s="213"/>
      <c r="AF86" s="215"/>
      <c r="AG86" s="215"/>
      <c r="AH86" s="217"/>
      <c r="AI86" s="217"/>
      <c r="AJ86" s="213"/>
    </row>
    <row r="87" spans="1:36" ht="33.75" customHeight="1">
      <c r="A87" s="213"/>
      <c r="B87" s="214"/>
      <c r="C87" s="215"/>
      <c r="D87" s="216"/>
      <c r="E87" s="217"/>
      <c r="F87" s="213"/>
      <c r="G87" s="214"/>
      <c r="H87" s="215"/>
      <c r="I87" s="217"/>
      <c r="J87" s="217"/>
      <c r="K87" s="213"/>
      <c r="L87" s="215"/>
      <c r="M87" s="215"/>
      <c r="N87" s="217"/>
      <c r="O87" s="217"/>
      <c r="P87" s="213"/>
      <c r="Q87" s="215"/>
      <c r="R87" s="215"/>
      <c r="S87" s="217"/>
      <c r="T87" s="217"/>
      <c r="U87" s="213"/>
      <c r="V87" s="215"/>
      <c r="W87" s="215"/>
      <c r="X87" s="217"/>
      <c r="Y87" s="217"/>
      <c r="Z87" s="213"/>
      <c r="AA87" s="215"/>
      <c r="AB87" s="215"/>
      <c r="AC87" s="217"/>
      <c r="AD87" s="217"/>
      <c r="AE87" s="213"/>
      <c r="AF87" s="215"/>
      <c r="AG87" s="215"/>
      <c r="AH87" s="217"/>
      <c r="AI87" s="217"/>
      <c r="AJ87" s="213"/>
    </row>
    <row r="88" spans="1:36" ht="33.75" customHeight="1">
      <c r="A88" s="213"/>
      <c r="B88" s="214"/>
      <c r="C88" s="215"/>
      <c r="D88" s="217"/>
      <c r="E88" s="217"/>
      <c r="F88" s="213"/>
      <c r="G88" s="214"/>
      <c r="H88" s="215"/>
      <c r="I88" s="217"/>
      <c r="J88" s="217"/>
      <c r="K88" s="213"/>
      <c r="L88" s="215"/>
      <c r="M88" s="215"/>
      <c r="N88" s="217"/>
      <c r="O88" s="217"/>
      <c r="P88" s="213"/>
      <c r="Q88" s="215"/>
      <c r="R88" s="215"/>
      <c r="S88" s="217"/>
      <c r="T88" s="217"/>
      <c r="U88" s="213"/>
      <c r="V88" s="215"/>
      <c r="W88" s="215"/>
      <c r="X88" s="217"/>
      <c r="Y88" s="217"/>
      <c r="Z88" s="213"/>
      <c r="AA88" s="215"/>
      <c r="AB88" s="215"/>
      <c r="AC88" s="217"/>
      <c r="AD88" s="217"/>
      <c r="AE88" s="213"/>
      <c r="AF88" s="215"/>
      <c r="AG88" s="215"/>
      <c r="AH88" s="217"/>
      <c r="AI88" s="217"/>
      <c r="AJ88" s="213"/>
    </row>
    <row r="89" spans="1:36" ht="16">
      <c r="A89" s="213"/>
      <c r="B89" s="214"/>
      <c r="C89" s="215"/>
      <c r="D89" s="216"/>
      <c r="E89" s="217"/>
      <c r="F89" s="213"/>
      <c r="G89" s="214"/>
      <c r="H89" s="215"/>
      <c r="I89" s="217"/>
      <c r="J89" s="217"/>
      <c r="K89" s="213"/>
      <c r="L89" s="215"/>
      <c r="M89" s="215"/>
      <c r="N89" s="217"/>
      <c r="O89" s="217"/>
      <c r="P89" s="213"/>
      <c r="Q89" s="215"/>
      <c r="R89" s="215"/>
      <c r="S89" s="217"/>
      <c r="T89" s="217"/>
      <c r="U89" s="213"/>
      <c r="V89" s="215"/>
      <c r="W89" s="215"/>
      <c r="X89" s="217"/>
      <c r="Y89" s="217"/>
      <c r="Z89" s="213"/>
      <c r="AA89" s="215"/>
      <c r="AB89" s="215"/>
      <c r="AC89" s="217"/>
      <c r="AD89" s="217"/>
      <c r="AE89" s="213"/>
      <c r="AF89" s="215"/>
      <c r="AG89" s="215"/>
      <c r="AH89" s="217"/>
      <c r="AI89" s="217"/>
      <c r="AJ89" s="213"/>
    </row>
    <row r="90" spans="1:36" ht="16">
      <c r="A90" s="213"/>
      <c r="B90" s="214"/>
      <c r="C90" s="215"/>
      <c r="D90" s="216"/>
      <c r="E90" s="217"/>
      <c r="F90" s="213"/>
      <c r="G90" s="214"/>
      <c r="H90" s="215"/>
      <c r="I90" s="217"/>
      <c r="J90" s="217"/>
      <c r="K90" s="213"/>
      <c r="L90" s="215"/>
      <c r="M90" s="215"/>
      <c r="N90" s="217"/>
      <c r="O90" s="217"/>
      <c r="P90" s="213"/>
      <c r="Q90" s="215"/>
      <c r="R90" s="215"/>
      <c r="S90" s="217"/>
      <c r="T90" s="217"/>
      <c r="U90" s="213"/>
      <c r="V90" s="215"/>
      <c r="W90" s="215"/>
      <c r="X90" s="217"/>
      <c r="Y90" s="217"/>
      <c r="Z90" s="213"/>
      <c r="AA90" s="215"/>
      <c r="AB90" s="215"/>
      <c r="AC90" s="217"/>
      <c r="AD90" s="217"/>
      <c r="AE90" s="213"/>
      <c r="AF90" s="215"/>
      <c r="AG90" s="215"/>
      <c r="AH90" s="217"/>
      <c r="AI90" s="217"/>
      <c r="AJ90" s="213"/>
    </row>
    <row r="91" spans="1:36" ht="16">
      <c r="A91" s="213"/>
      <c r="B91" s="214"/>
      <c r="C91" s="215"/>
      <c r="D91" s="216"/>
      <c r="E91" s="217"/>
      <c r="F91" s="213"/>
      <c r="G91" s="214"/>
      <c r="H91" s="215"/>
      <c r="I91" s="217"/>
      <c r="J91" s="217"/>
      <c r="K91" s="213"/>
      <c r="L91" s="215"/>
      <c r="M91" s="215"/>
      <c r="N91" s="217"/>
      <c r="O91" s="217"/>
      <c r="P91" s="213"/>
      <c r="Q91" s="215"/>
      <c r="R91" s="215"/>
      <c r="S91" s="217"/>
      <c r="T91" s="217"/>
      <c r="U91" s="213"/>
      <c r="V91" s="215"/>
      <c r="W91" s="215"/>
      <c r="X91" s="217"/>
      <c r="Y91" s="217"/>
      <c r="Z91" s="213"/>
      <c r="AA91" s="215"/>
      <c r="AB91" s="215"/>
      <c r="AC91" s="217"/>
      <c r="AD91" s="217"/>
      <c r="AE91" s="213"/>
      <c r="AF91" s="215"/>
      <c r="AG91" s="215"/>
      <c r="AH91" s="217"/>
      <c r="AI91" s="217"/>
      <c r="AJ91" s="213"/>
    </row>
    <row r="92" spans="1:36" ht="16">
      <c r="A92" s="213"/>
      <c r="B92" s="214"/>
      <c r="C92" s="215"/>
      <c r="D92" s="216"/>
      <c r="E92" s="217"/>
      <c r="F92" s="213"/>
      <c r="G92" s="214"/>
      <c r="H92" s="215"/>
      <c r="I92" s="217"/>
      <c r="J92" s="217"/>
      <c r="K92" s="213"/>
      <c r="L92" s="215"/>
      <c r="M92" s="215"/>
      <c r="N92" s="217"/>
      <c r="O92" s="217"/>
      <c r="P92" s="213"/>
      <c r="Q92" s="215"/>
      <c r="R92" s="215"/>
      <c r="S92" s="217"/>
      <c r="T92" s="217"/>
      <c r="U92" s="213"/>
      <c r="V92" s="215"/>
      <c r="W92" s="215"/>
      <c r="X92" s="217"/>
      <c r="Y92" s="217"/>
      <c r="Z92" s="213"/>
      <c r="AA92" s="215"/>
      <c r="AB92" s="215"/>
      <c r="AC92" s="217"/>
      <c r="AD92" s="217"/>
      <c r="AE92" s="213"/>
      <c r="AF92" s="215"/>
      <c r="AG92" s="215"/>
      <c r="AH92" s="217"/>
      <c r="AI92" s="217"/>
      <c r="AJ92" s="213"/>
    </row>
    <row r="93" spans="1:36" ht="16">
      <c r="A93" s="213"/>
      <c r="B93" s="214"/>
      <c r="C93" s="215"/>
      <c r="D93" s="216"/>
      <c r="E93" s="217"/>
      <c r="F93" s="213"/>
      <c r="G93" s="214"/>
      <c r="H93" s="215"/>
      <c r="I93" s="217"/>
      <c r="J93" s="217"/>
      <c r="K93" s="213"/>
      <c r="L93" s="215"/>
      <c r="M93" s="215"/>
      <c r="N93" s="217"/>
      <c r="O93" s="217"/>
      <c r="P93" s="213"/>
      <c r="Q93" s="215"/>
      <c r="R93" s="215"/>
      <c r="S93" s="217"/>
      <c r="T93" s="217"/>
      <c r="U93" s="213"/>
      <c r="V93" s="215"/>
      <c r="W93" s="215"/>
      <c r="X93" s="217"/>
      <c r="Y93" s="217"/>
      <c r="Z93" s="213"/>
      <c r="AA93" s="215"/>
      <c r="AB93" s="215"/>
      <c r="AC93" s="217"/>
      <c r="AD93" s="217"/>
      <c r="AE93" s="213"/>
      <c r="AF93" s="215"/>
      <c r="AG93" s="215"/>
      <c r="AH93" s="217"/>
      <c r="AI93" s="217"/>
      <c r="AJ93" s="213"/>
    </row>
    <row r="94" spans="1:36" ht="16">
      <c r="A94" s="213"/>
      <c r="B94" s="214"/>
      <c r="C94" s="215"/>
      <c r="D94" s="216"/>
      <c r="E94" s="217"/>
      <c r="F94" s="213"/>
      <c r="G94" s="214"/>
      <c r="H94" s="215"/>
      <c r="I94" s="217"/>
      <c r="J94" s="217"/>
      <c r="K94" s="213"/>
      <c r="L94" s="215"/>
      <c r="M94" s="215"/>
      <c r="N94" s="217"/>
      <c r="O94" s="217"/>
      <c r="P94" s="213"/>
      <c r="Q94" s="215"/>
      <c r="R94" s="215"/>
      <c r="S94" s="217"/>
      <c r="T94" s="217"/>
      <c r="U94" s="213"/>
      <c r="V94" s="215"/>
      <c r="W94" s="215"/>
      <c r="X94" s="217"/>
      <c r="Y94" s="217"/>
      <c r="Z94" s="213"/>
      <c r="AA94" s="215"/>
      <c r="AB94" s="215"/>
      <c r="AC94" s="217"/>
      <c r="AD94" s="217"/>
      <c r="AE94" s="213"/>
      <c r="AF94" s="215"/>
      <c r="AG94" s="215"/>
      <c r="AH94" s="217"/>
      <c r="AI94" s="217"/>
      <c r="AJ94" s="213"/>
    </row>
    <row r="95" spans="1:36" ht="16">
      <c r="A95" s="213"/>
      <c r="B95" s="214"/>
      <c r="C95" s="215"/>
      <c r="D95" s="216"/>
      <c r="E95" s="217"/>
      <c r="F95" s="213"/>
      <c r="G95" s="214"/>
      <c r="H95" s="215"/>
      <c r="I95" s="217"/>
      <c r="J95" s="217"/>
      <c r="K95" s="213"/>
      <c r="L95" s="215"/>
      <c r="M95" s="215"/>
      <c r="N95" s="217"/>
      <c r="O95" s="217"/>
      <c r="P95" s="213"/>
      <c r="Q95" s="215"/>
      <c r="R95" s="215"/>
      <c r="S95" s="217"/>
      <c r="T95" s="217"/>
      <c r="U95" s="213"/>
      <c r="V95" s="215"/>
      <c r="W95" s="215"/>
      <c r="X95" s="217"/>
      <c r="Y95" s="217"/>
      <c r="Z95" s="213"/>
      <c r="AA95" s="215"/>
      <c r="AB95" s="215"/>
      <c r="AC95" s="217"/>
      <c r="AD95" s="217"/>
      <c r="AE95" s="213"/>
      <c r="AF95" s="215"/>
      <c r="AG95" s="215"/>
      <c r="AH95" s="217"/>
      <c r="AI95" s="217"/>
      <c r="AJ95" s="213"/>
    </row>
    <row r="96" spans="1:36" ht="16">
      <c r="A96" s="213"/>
      <c r="B96" s="214"/>
      <c r="C96" s="215"/>
      <c r="D96" s="217"/>
      <c r="E96" s="217"/>
      <c r="F96" s="213"/>
      <c r="G96" s="214"/>
      <c r="H96" s="215"/>
      <c r="I96" s="217"/>
      <c r="J96" s="217"/>
      <c r="K96" s="213"/>
      <c r="L96" s="215"/>
      <c r="M96" s="215"/>
      <c r="N96" s="217"/>
      <c r="O96" s="217"/>
      <c r="P96" s="213"/>
      <c r="Q96" s="215"/>
      <c r="R96" s="215"/>
      <c r="S96" s="217"/>
      <c r="T96" s="217"/>
      <c r="U96" s="213"/>
      <c r="V96" s="215"/>
      <c r="W96" s="215"/>
      <c r="X96" s="217"/>
      <c r="Y96" s="217"/>
      <c r="Z96" s="213"/>
      <c r="AA96" s="215"/>
      <c r="AB96" s="215"/>
      <c r="AC96" s="217"/>
      <c r="AD96" s="217"/>
      <c r="AE96" s="213"/>
      <c r="AF96" s="215"/>
      <c r="AG96" s="215"/>
      <c r="AH96" s="217"/>
      <c r="AI96" s="217"/>
      <c r="AJ96" s="213"/>
    </row>
    <row r="97" spans="1:36" ht="16">
      <c r="A97" s="213"/>
      <c r="B97" s="214"/>
      <c r="C97" s="215"/>
      <c r="D97" s="217"/>
      <c r="E97" s="217"/>
      <c r="F97" s="213"/>
      <c r="G97" s="214"/>
      <c r="H97" s="215"/>
      <c r="I97" s="217"/>
      <c r="J97" s="217"/>
      <c r="K97" s="213"/>
      <c r="L97" s="215"/>
      <c r="M97" s="215"/>
      <c r="N97" s="217"/>
      <c r="O97" s="217"/>
      <c r="P97" s="213"/>
      <c r="Q97" s="215"/>
      <c r="R97" s="215"/>
      <c r="S97" s="217"/>
      <c r="T97" s="217"/>
      <c r="U97" s="213"/>
      <c r="V97" s="215"/>
      <c r="W97" s="215"/>
      <c r="X97" s="217"/>
      <c r="Y97" s="217"/>
      <c r="Z97" s="213"/>
      <c r="AA97" s="215"/>
      <c r="AB97" s="215"/>
      <c r="AC97" s="217"/>
      <c r="AD97" s="217"/>
      <c r="AE97" s="213"/>
      <c r="AF97" s="215"/>
      <c r="AG97" s="215"/>
      <c r="AH97" s="217"/>
      <c r="AI97" s="217"/>
      <c r="AJ97" s="213"/>
    </row>
    <row r="98" spans="1:36" ht="16">
      <c r="A98" s="213"/>
      <c r="B98" s="214"/>
      <c r="C98" s="215"/>
      <c r="D98" s="217"/>
      <c r="E98" s="217"/>
      <c r="F98" s="213"/>
      <c r="G98" s="214"/>
      <c r="H98" s="215"/>
      <c r="I98" s="217"/>
      <c r="J98" s="217"/>
      <c r="K98" s="213"/>
      <c r="L98" s="215"/>
      <c r="M98" s="215"/>
      <c r="N98" s="217"/>
      <c r="O98" s="217"/>
      <c r="P98" s="213"/>
      <c r="Q98" s="215"/>
      <c r="R98" s="215"/>
      <c r="S98" s="217"/>
      <c r="T98" s="217"/>
      <c r="U98" s="213"/>
      <c r="V98" s="215"/>
      <c r="W98" s="215"/>
      <c r="X98" s="217"/>
      <c r="Y98" s="217"/>
      <c r="Z98" s="213"/>
      <c r="AA98" s="215"/>
      <c r="AB98" s="215"/>
      <c r="AC98" s="217"/>
      <c r="AD98" s="217"/>
      <c r="AE98" s="213"/>
      <c r="AF98" s="215"/>
      <c r="AG98" s="215"/>
      <c r="AH98" s="217"/>
      <c r="AI98" s="217"/>
      <c r="AJ98" s="213"/>
    </row>
    <row r="99" spans="1:36" ht="16">
      <c r="A99" s="213"/>
      <c r="B99" s="214"/>
      <c r="C99" s="215"/>
      <c r="D99" s="217"/>
      <c r="E99" s="217"/>
      <c r="F99" s="213"/>
      <c r="G99" s="214"/>
      <c r="H99" s="215"/>
      <c r="I99" s="218"/>
      <c r="J99" s="219"/>
      <c r="K99" s="213"/>
      <c r="L99" s="215"/>
      <c r="M99" s="215"/>
      <c r="N99" s="220"/>
      <c r="O99" s="220"/>
      <c r="P99" s="213"/>
      <c r="Q99" s="215"/>
      <c r="R99" s="215"/>
      <c r="S99" s="220"/>
      <c r="T99" s="220"/>
      <c r="U99" s="213"/>
      <c r="V99" s="215"/>
      <c r="W99" s="215"/>
      <c r="X99" s="220"/>
      <c r="Y99" s="220"/>
      <c r="Z99" s="213"/>
      <c r="AA99" s="215"/>
      <c r="AB99" s="215"/>
      <c r="AC99" s="221"/>
      <c r="AD99" s="221"/>
      <c r="AE99" s="213"/>
      <c r="AF99" s="215"/>
      <c r="AG99" s="215"/>
      <c r="AH99" s="220"/>
      <c r="AI99" s="220"/>
      <c r="AJ99" s="213"/>
    </row>
  </sheetData>
  <mergeCells count="14">
    <mergeCell ref="B1:E1"/>
    <mergeCell ref="L1:O1"/>
    <mergeCell ref="V1:Y1"/>
    <mergeCell ref="AF1:AI1"/>
    <mergeCell ref="B2:E2"/>
    <mergeCell ref="L2:O2"/>
    <mergeCell ref="V2:Y2"/>
    <mergeCell ref="AF2:AI2"/>
    <mergeCell ref="G1:J1"/>
    <mergeCell ref="G2:J2"/>
    <mergeCell ref="Q1:T1"/>
    <mergeCell ref="Q2:T2"/>
    <mergeCell ref="AA1:AD1"/>
    <mergeCell ref="AA2:AD2"/>
  </mergeCells>
  <hyperlinks>
    <hyperlink ref="D4" r:id="rId1" display="https://www.linkedin.com/learning/jeff-weiner-on-establishing-a-culture-and-a-plan-for-scaling?trk=ondemandfile" xr:uid="{00000000-0004-0000-2000-000000000000}"/>
    <hyperlink ref="E4" r:id="rId2" display="https://www.linkedin.com/learning/paths/advance-your-skills-as-a-manager?trk=ondemandfile" xr:uid="{00000000-0004-0000-2000-000001000000}"/>
    <hyperlink ref="I4" r:id="rId3" display="https://www.linkedin.com/learning/ameliorer-les-performances-des-employes-employees?trk=contentmappingfile" xr:uid="{00000000-0004-0000-2000-000002000000}"/>
    <hyperlink ref="N4" r:id="rId4" display="https://www.linkedin.com/learning/como-administrar-por-objetivos?trk=ondemandfile" xr:uid="{00000000-0004-0000-2000-000003000000}"/>
    <hyperlink ref="O4" r:id="rId5" display="https://es.linkedin.com/learning/paths/profundiza-en-la-busqueda-seleccion-y-retencion-de-talentos?trk=ondemandfile" xr:uid="{00000000-0004-0000-2000-000004000000}"/>
    <hyperlink ref="S4" r:id="rId6" display="https://www.linkedin.com/learning/berufsbild-agiler-projektmanager?trk=ondemandfile" xr:uid="{00000000-0004-0000-2000-000005000000}"/>
    <hyperlink ref="T4" r:id="rId7" display="https://www.linkedin.com/learning/paths/leistungsorientiertes-management?trk=ondemandfile" xr:uid="{00000000-0004-0000-2000-000006000000}"/>
    <hyperlink ref="X4" r:id="rId8" display="https://www.linkedin.com/learning/managing-for-results-3?trk=ondemandfile" xr:uid="{00000000-0004-0000-2000-000007000000}"/>
    <hyperlink ref="AD4" r:id="rId9" display="https://www.linkedin.com/learning/paths/torne-se-um-gestor-de-projetos?trk=ondemandfile" xr:uid="{00000000-0004-0000-2000-000008000000}"/>
    <hyperlink ref="AH4" r:id="rId10" display="https://www.linkedin.com/learning/delivering-employee-feedback-3?trk=ondemandfile" xr:uid="{00000000-0004-0000-2000-000009000000}"/>
    <hyperlink ref="AI4" r:id="rId11" display="https://www.linkedin.com/learning/paths/3db8a531-c16b-3623-9891-2cd47ac19f68?trk=ondemandfile" xr:uid="{00000000-0004-0000-2000-00000A000000}"/>
    <hyperlink ref="D5" r:id="rId12" display="https://www.linkedin.com/learning/creating-a-high-performance-culture?trk=ondemandfile" xr:uid="{00000000-0004-0000-2000-00000B000000}"/>
    <hyperlink ref="E5" r:id="rId13" display="https://www.linkedin.com/learning/paths/become-an-inclusive-leader?trk=ondemandfile" xr:uid="{00000000-0004-0000-2000-00000C000000}"/>
    <hyperlink ref="I5" r:id="rId14" display="https://www.linkedin.com/learning/coacher-et-aider-ses-employes-employees-a-se-developper?trk=contentmappingfile" xr:uid="{00000000-0004-0000-2000-00000D000000}"/>
    <hyperlink ref="N5" r:id="rId15" display="https://www.linkedin.com/learning/como-crear-una-cultura-de-alto-rendimiento?trk=ondemandfile" xr:uid="{00000000-0004-0000-2000-00000E000000}"/>
    <hyperlink ref="O5" r:id="rId16" display="https://es.linkedin.com/learning/paths/conviertete-en-reclutador-de-talentos?trk=ondemandfile" xr:uid="{00000000-0004-0000-2000-00000F000000}"/>
    <hyperlink ref="S5" r:id="rId17" display="https://www.linkedin.com/learning/beurteilungsgesprache-fuhren?trk=ondemandfile" xr:uid="{00000000-0004-0000-2000-000010000000}"/>
    <hyperlink ref="T5" r:id="rId18" display="https://www.linkedin.com/learning/paths/teams-aufbauen-und-fuehren?trk=ondemandfile" xr:uid="{00000000-0004-0000-2000-000011000000}"/>
    <hyperlink ref="X5" r:id="rId19" display="https://www.linkedin.com/learning/managing-virtual-teams?trk=ondemandfile" xr:uid="{00000000-0004-0000-2000-000012000000}"/>
    <hyperlink ref="AC5" r:id="rId20" display="https://www.linkedin.com/learning/como-colaborar-de-forma-eficaz-com-sua-equipe?trk=contentmappingfile" xr:uid="{00000000-0004-0000-2000-000013000000}"/>
    <hyperlink ref="AD5" r:id="rId21" display="https://www.linkedin.com/learning/paths/torne-se-um-lider?trk=ondemandfile" xr:uid="{00000000-0004-0000-2000-000014000000}"/>
    <hyperlink ref="AH5" r:id="rId22" display="https://www.linkedin.com/learning/managing-for-results-2?trk=ondemandfile" xr:uid="{00000000-0004-0000-2000-000015000000}"/>
    <hyperlink ref="AI5" r:id="rId23" display="https://www.linkedin.com/learning/paths/15e85c29-5b7c-3b12-a882-4bfdeb3c83c7?trk=ondemandfile" xr:uid="{00000000-0004-0000-2000-000016000000}"/>
    <hyperlink ref="D6" r:id="rId24" display="https://www.linkedin.com/learning/creating-a-positive-and-healthy-work-environment?trk=ondemandfile" xr:uid="{00000000-0004-0000-2000-000017000000}"/>
    <hyperlink ref="E6" r:id="rId25" display="https://www.linkedin.com/learning/paths/become-a-senior-manager?trk=ondemandfile" xr:uid="{00000000-0004-0000-2000-000018000000}"/>
    <hyperlink ref="I6" r:id="rId26" display="https://www.linkedin.com/learning/coacher-pour-generer-des-resultats?trk=contentmappingfile" xr:uid="{00000000-0004-0000-2000-000019000000}"/>
    <hyperlink ref="N6" r:id="rId27" display="https://www.linkedin.com/learning/como-cultivar-una-mentalidad-de-crecimiento?trk=ondemandfile" xr:uid="{00000000-0004-0000-2000-00001A000000}"/>
    <hyperlink ref="O6" r:id="rId28" display="https://www.linkedin.com/learning/paths/conviertete-en-jefe-de-equipo-2?trk=ondemandfile" xr:uid="{00000000-0004-0000-2000-00001B000000}"/>
    <hyperlink ref="S6" r:id="rId29" display="https://www.linkedin.com/learning/coaching-fur-mehr-wachstum?trk=ondemandfile" xr:uid="{00000000-0004-0000-2000-00001C000000}"/>
    <hyperlink ref="X6" r:id="rId30" display="https://www.linkedin.com/learning/learning-to-be-assertive-14827737?trk=contentmappingfile" xr:uid="{00000000-0004-0000-2000-00001D000000}"/>
    <hyperlink ref="AD6" r:id="rId31" display="https://www.linkedin.com/learning/paths/transforme-se-num-lider-disruptivo?trk=ondemandfile" xr:uid="{00000000-0004-0000-2000-00001E000000}"/>
    <hyperlink ref="AH6" r:id="rId32" display="https://www.linkedin.com/learning/creating-a-high-performance-culture-4?trk=ondemandfile" xr:uid="{00000000-0004-0000-2000-00001F000000}"/>
    <hyperlink ref="AI6" r:id="rId33" display="https://www.linkedin.com/learning/paths/90c69069-2437-32f7-a15c-be75af1531ab?trk=ondemandfile" xr:uid="{00000000-0004-0000-2000-000020000000}"/>
    <hyperlink ref="D7" r:id="rId34" display="https://www.linkedin.com/learning/getting-your-talent-to-bring-their-best-ideas-to-work?trk=ondemandfile" xr:uid="{00000000-0004-0000-2000-000021000000}"/>
    <hyperlink ref="E7" r:id="rId35" display="https://www.linkedin.com/learning/paths/finding-and-retaining-talent?trk=ondemandfile" xr:uid="{00000000-0004-0000-2000-000022000000}"/>
    <hyperlink ref="I7" r:id="rId36" display="https://www.linkedin.com/learning/conseils-d-experte-manager-la-generation-z?trk=contentmappingfile" xr:uid="{00000000-0004-0000-2000-000023000000}"/>
    <hyperlink ref="N7" r:id="rId37" display="https://www.linkedin.com/learning/como-gestionar-a-personas-con-alto-potencial?trk=contentmappingfile" xr:uid="{00000000-0004-0000-2000-000024000000}"/>
    <hyperlink ref="S7" r:id="rId38" display="https://www.linkedin.com/learning/das-personal-der-zukunft?trk=ondemandfile" xr:uid="{00000000-0004-0000-2000-000025000000}"/>
    <hyperlink ref="X7" r:id="rId39" display="https://www.linkedin.com/learning/building-high-performance-teams-3?trk=ondemandfile" xr:uid="{00000000-0004-0000-2000-000026000000}"/>
    <hyperlink ref="AD7" r:id="rId40" display="https://www.linkedin.com/learning/paths/trabalho-remoto-colaboracao-foco-e-produtividade?trk=ondemandfile" xr:uid="{00000000-0004-0000-2000-000027000000}"/>
    <hyperlink ref="AH7" r:id="rId41" display="https://www.linkedin.com/learning/hiring-an-employee-for-managers-2?trk=ondemandfile" xr:uid="{00000000-0004-0000-2000-000028000000}"/>
    <hyperlink ref="D8" r:id="rId42" display="https://www.linkedin.com/learning/employer-branding-to-attract-talent?trk=ondemandfile" xr:uid="{00000000-0004-0000-2000-000029000000}"/>
    <hyperlink ref="E8" r:id="rId43" display="https://www.linkedin.com/learning/paths/improve-your-coaching-skills-as-a-manager?trk=ondemandfile" xr:uid="{00000000-0004-0000-2000-00002A000000}"/>
    <hyperlink ref="N8" r:id="rId44" display="https://www.linkedin.com/learning/como-gestionar-al-personal-de-alto-rendimiento?trk=contentmappingfile" xr:uid="{00000000-0004-0000-2000-00002B000000}"/>
    <hyperlink ref="S8" r:id="rId45" display="https://www.linkedin.com/learning/die-leistung-der-mitarbeiter-innen-steigern?trk=ondemandfile" xr:uid="{00000000-0004-0000-2000-00002C000000}"/>
    <hyperlink ref="X8" r:id="rId46" display="https://www.linkedin.com/learning/management-foundations-4?trk=ondemandfile" xr:uid="{00000000-0004-0000-2000-00002D000000}"/>
    <hyperlink ref="AH8" r:id="rId47" display="https://www.linkedin.com/learning/employee-engagement-3?trk=ondemandfile" xr:uid="{00000000-0004-0000-2000-00002E000000}"/>
    <hyperlink ref="D9" r:id="rId48" display="https://www.linkedin.com/learning/talent-management?trk=ondemandfile" xr:uid="{00000000-0004-0000-2000-00002F000000}"/>
    <hyperlink ref="E9" r:id="rId49" display="https://www.linkedin.com/learning/paths/managing-performance?trk=ondemandfile" xr:uid="{00000000-0004-0000-2000-000030000000}"/>
    <hyperlink ref="I9" r:id="rId50" display="https://www.linkedin.com/learning/developper-la-motivation-et-l-engagement-des-employes-employees?trk=contentmappingfile" xr:uid="{00000000-0004-0000-2000-000031000000}"/>
    <hyperlink ref="N9" r:id="rId51" display="https://www.linkedin.com/learning/como-gestionar-un-equipo-multigeneracional?trk=contentmappingfile" xr:uid="{00000000-0004-0000-2000-000032000000}"/>
    <hyperlink ref="S9" r:id="rId52" display="https://www.linkedin.com/learning/die-unternehmensleistung-messen?trk=ondemandfile" xr:uid="{00000000-0004-0000-2000-000033000000}"/>
    <hyperlink ref="X9" r:id="rId53" display="https://www.linkedin.com/learning/find-and-retain-high-potentials-2?trk=ondemandfile" xr:uid="{00000000-0004-0000-2000-000034000000}"/>
    <hyperlink ref="AC9" r:id="rId54" display="https://www.linkedin.com/learning/como-desenvolver-a-lideranca-de-pensamento?trk=contentmappingfile" xr:uid="{00000000-0004-0000-2000-000035000000}"/>
    <hyperlink ref="AH9" r:id="rId55" display="https://www.linkedin.com/learning/performance-based-hiring-2?trk=ondemandfile" xr:uid="{00000000-0004-0000-2000-000036000000}"/>
    <hyperlink ref="D10" r:id="rId56" display="https://www.linkedin.com/learning/rewarding-employee-performance?trk=ondemandfile" xr:uid="{00000000-0004-0000-2000-000037000000}"/>
    <hyperlink ref="E10" r:id="rId57" display="https://www.linkedin.com/learning/paths/recruit-and-maximize-talent?trk=ondemandfile" xr:uid="{00000000-0004-0000-2000-000038000000}"/>
    <hyperlink ref="I10" r:id="rId58" display="https://www.linkedin.com/learning/devenir-un-manager-bienveillant-une-manager-bienveillante?trk=contentmappingfile" xr:uid="{00000000-0004-0000-2000-000039000000}"/>
    <hyperlink ref="N10" r:id="rId59" display="https://www.linkedin.com/learning/como-hacer-coaching-a-tu-personal-para-obtener-resultados?trk=contentmappingfile" xr:uid="{00000000-0004-0000-2000-00003A000000}"/>
    <hyperlink ref="S10" r:id="rId60" display="https://www.linkedin.com/learning/eine-hochleistungskultur-schaffen?trk=ondemandfile" xr:uid="{00000000-0004-0000-2000-00003B000000}"/>
    <hyperlink ref="X10" r:id="rId61" display="https://www.linkedin.com/learning/overcoming-procrastination-14825895?trk=contentmappingfile" xr:uid="{00000000-0004-0000-2000-00003C000000}"/>
    <hyperlink ref="AC10" r:id="rId62" display="https://www.linkedin.com/learning/como-desenvolver-novas-habilidades-para-o-futuro-do-trabalho?trk=contentmappingfile" xr:uid="{00000000-0004-0000-2000-00003D000000}"/>
    <hyperlink ref="AH10" r:id="rId63" display="https://www.linkedin.com/learning/building-your-team-4?trk=ondemandfile" xr:uid="{00000000-0004-0000-2000-00003E000000}"/>
    <hyperlink ref="D11" r:id="rId64" display="https://www.linkedin.com/learning/employee-experience?trk=ondemandfile" xr:uid="{00000000-0004-0000-2000-00003F000000}"/>
    <hyperlink ref="N11" r:id="rId65" display="https://www.linkedin.com/learning/como-identificar-y-retener-personal-con-alto-potencial?trk=ondemandfile" xr:uid="{00000000-0004-0000-2000-000040000000}"/>
    <hyperlink ref="S11" r:id="rId66" display="https://www.linkedin.com/learning/00-ergebnis-manag?trk=ondemandfile" xr:uid="{00000000-0004-0000-2000-000041000000}"/>
    <hyperlink ref="X11" r:id="rId67" display="https://www.linkedin.com/learning/cultivating-a-growth-mindset-4?trk=ondemandfile" xr:uid="{00000000-0004-0000-2000-000042000000}"/>
    <hyperlink ref="AC11" r:id="rId68" display="https://www.linkedin.com/learning/como-enfrentar-a-ansiedade-no-trabalho?trk=contentmappingfile" xr:uid="{00000000-0004-0000-2000-000043000000}"/>
    <hyperlink ref="AH11" r:id="rId69" display="https://www.linkedin.com/learning/84777a9a-010b-3e75-8b28-27d3706e8c9a?trk=ondemandfile" xr:uid="{00000000-0004-0000-2000-000044000000}"/>
    <hyperlink ref="D12" r:id="rId70" display="https://www.linkedin.com/learning/measuring-team-performance?trk=ondemandfile" xr:uid="{00000000-0004-0000-2000-000045000000}"/>
    <hyperlink ref="I12" r:id="rId71" display="https://www.linkedin.com/learning/etablir-des-objectifs-pour-son-equipe-et-ses-employes-employees?trk=contentmappingfile" xr:uid="{00000000-0004-0000-2000-000046000000}"/>
    <hyperlink ref="N12" r:id="rId72" display="https://www.linkedin.com/learning/como-liderar-equipos-de-alto-potencial?trk=contentmappingfile" xr:uid="{00000000-0004-0000-2000-000047000000}"/>
    <hyperlink ref="S12" r:id="rId73" display="https://www.linkedin.com/learning/handwerkszeug-fur-fuhrungskrafte?trk=ondemandfile" xr:uid="{00000000-0004-0000-2000-000048000000}"/>
    <hyperlink ref="X12" r:id="rId74" display="https://www.linkedin.com/learning/improving-your-listening-skills-14598134?trk=contentmappingfile" xr:uid="{00000000-0004-0000-2000-000049000000}"/>
    <hyperlink ref="AH12" r:id="rId75" display="https://www.linkedin.com/learning/onboarding-new-hires-2?trk=contentmappingfile" xr:uid="{00000000-0004-0000-2000-00004A000000}"/>
    <hyperlink ref="D13" r:id="rId76" display="https://www.linkedin.com/learning/managing-experienced-managers?trk=ondemandfile" xr:uid="{00000000-0004-0000-2000-00004B000000}"/>
    <hyperlink ref="N13" r:id="rId77" display="https://www.linkedin.com/learning/como-medir-el-rendimiento-de-tu-equipo?trk=contentmappingfile" xr:uid="{00000000-0004-0000-2000-00004C000000}"/>
    <hyperlink ref="S13" r:id="rId78" display="https://www.linkedin.com/learning/hochleistungsteams-aufbauen?trk=ondemandfile" xr:uid="{00000000-0004-0000-2000-00004D000000}"/>
    <hyperlink ref="AH13" r:id="rId79" display="https://www.linkedin.com/learning/new-manager-foundations-3?trk=ondemandfile" xr:uid="{00000000-0004-0000-2000-00004E000000}"/>
    <hyperlink ref="D14" r:id="rId80" display="https://www.linkedin.com/learning/developing-a-mentoring-program?trk=ondemandfile" xr:uid="{00000000-0004-0000-2000-00004F000000}"/>
    <hyperlink ref="N14" r:id="rId81" display="https://www.linkedin.com/learning/como-mejorar-el-rendimiento-de-tu-personal?trk=contentmappingfile" xr:uid="{00000000-0004-0000-2000-000050000000}"/>
    <hyperlink ref="S14" r:id="rId82" display="https://www.linkedin.com/learning/mehrere-generationen-managen?trk=ondemandfile" xr:uid="{00000000-0004-0000-2000-000051000000}"/>
    <hyperlink ref="AC14" r:id="rId83" display="https://www.linkedin.com/learning/como-integrar-novos-colaboradores-e-colaboradoras-a-empresa?trk=contentmappingfile" xr:uid="{00000000-0004-0000-2000-000052000000}"/>
    <hyperlink ref="AH14" r:id="rId84" display="https://www.linkedin.com/learning/managing-employee-performance-problems-5?trk=ondemandfile" xr:uid="{00000000-0004-0000-2000-000053000000}"/>
    <hyperlink ref="D15" r:id="rId85" display="https://www.linkedin.com/learning/hr-and-digital-transformation?trk=ondemandfile" xr:uid="{00000000-0004-0000-2000-000054000000}"/>
    <hyperlink ref="I15" r:id="rId86" display="https://www.linkedin.com/learning/gerer-les-employes-tres-performants-employees-tres-performantes?trk=contentmappingfile" xr:uid="{00000000-0004-0000-2000-000055000000}"/>
    <hyperlink ref="N15" r:id="rId87" display="https://www.linkedin.com/learning/como-orientar-y-desarrollar-a-tu-personal?trk=contentmappingfile" xr:uid="{00000000-0004-0000-2000-000056000000}"/>
    <hyperlink ref="S15" r:id="rId88" display="https://www.linkedin.com/learning/mit-schwierigen-mitarbeiter-innen-umgehen?trk=ondemandfile" xr:uid="{00000000-0004-0000-2000-000057000000}"/>
    <hyperlink ref="AH15" r:id="rId89" display="https://www.linkedin.com/learning/management-foundations-2?trk=ondemandfile" xr:uid="{00000000-0004-0000-2000-000058000000}"/>
    <hyperlink ref="D16" r:id="rId90" display="https://www.linkedin.com/learning/finding-and-retaining-high-potentials-9018297?trk=ondemandfile" xr:uid="{00000000-0004-0000-2000-000059000000}"/>
    <hyperlink ref="I16" r:id="rId91" display="https://www.linkedin.com/learning/gerer-les-experts-expertes?trk=contentmappingfile" xr:uid="{00000000-0004-0000-2000-00005A000000}"/>
    <hyperlink ref="N16" r:id="rId92" display="https://www.linkedin.com/learning/el-futuro-de-la-gestion-del-rendimiento?trk=ondemandfile" xr:uid="{00000000-0004-0000-2000-00005B000000}"/>
    <hyperlink ref="S16" r:id="rId93" display="https://www.linkedin.com/learning/00-feedback?trk=ondemandfile" xr:uid="{00000000-0004-0000-2000-00005C000000}"/>
    <hyperlink ref="AH16" r:id="rId94" display="https://www.linkedin.com/learning/managing-a-diverse-team-2?trk=ondemandfile" xr:uid="{00000000-0004-0000-2000-00005D000000}"/>
    <hyperlink ref="D17" r:id="rId95" display="https://www.linkedin.com/learning/people-success-employee-assessments?trk=ondemandfile" xr:uid="{00000000-0004-0000-2000-00005E000000}"/>
    <hyperlink ref="N17" r:id="rId96" display="https://www.linkedin.com/learning/empodera-a-tu-equipo?trk=contentmappingfile" xr:uid="{00000000-0004-0000-2000-00005F000000}"/>
    <hyperlink ref="S17" r:id="rId97" display="https://www.linkedin.com/learning/mitarbeiter-innen-motivieren?trk=ondemandfile" xr:uid="{00000000-0004-0000-2000-000060000000}"/>
    <hyperlink ref="AC17" r:id="rId98" display="https://www.linkedin.com/learning/contratacao-de-colaboradores-tecnicas-para-gerentes?trk=contentmappingfile" xr:uid="{00000000-0004-0000-2000-000061000000}"/>
    <hyperlink ref="AH17" r:id="rId99" display="https://www.linkedin.com/learning/managing-new-managers-4?trk=ondemandfile" xr:uid="{00000000-0004-0000-2000-000062000000}"/>
    <hyperlink ref="D18" r:id="rId100" display="https://www.linkedin.com/learning/managing-experts?trk=ondemandfile" xr:uid="{00000000-0004-0000-2000-000063000000}"/>
    <hyperlink ref="I18" r:id="rId101" display="https://www.linkedin.com/learning/gerer-les-managers-experimentes-experimentees?trk=contentmappingfile" xr:uid="{00000000-0004-0000-2000-000064000000}"/>
    <hyperlink ref="N18" r:id="rId102" display="https://www.linkedin.com/learning/00-performance-review-fundamentals?trk=ondemandfile" xr:uid="{00000000-0004-0000-2000-000065000000}"/>
    <hyperlink ref="S18" r:id="rId103" display="https://www.linkedin.com/learning/feel-good-management?trk=ondemandfile" xr:uid="{00000000-0004-0000-2000-000066000000}"/>
    <hyperlink ref="AH18" r:id="rId104" display="https://www.linkedin.com/learning/managing-virtual-teams-3?trk=ondemandfile" xr:uid="{00000000-0004-0000-2000-000067000000}"/>
    <hyperlink ref="D19" r:id="rId105" display="https://www.linkedin.com/learning/managing-high-performers?trk=ondemandfile" xr:uid="{00000000-0004-0000-2000-000068000000}"/>
    <hyperlink ref="I19" r:id="rId106" display="https://www.linkedin.com/learning/gerer-les-problemes-de-performance-de-ses-employes-employees?trk=contentmappingfile" xr:uid="{00000000-0004-0000-2000-000069000000}"/>
    <hyperlink ref="N19" r:id="rId107" display="https://www.linkedin.com/learning/fundamentos-de-la-gesti-n-empresarial?trk=ondemandfile" xr:uid="{00000000-0004-0000-2000-00006A000000}"/>
    <hyperlink ref="S19" r:id="rId108" display="https://www.linkedin.com/learning/administrative-personalarbeit?trk=ondemandfile" xr:uid="{00000000-0004-0000-2000-00006B000000}"/>
    <hyperlink ref="AH19" r:id="rId109" display="https://www.linkedin.com/learning/b83c5b95-31a5-31a0-9bbe-8eb3a913b66f?trk=ondemandfile" xr:uid="{00000000-0004-0000-2000-00006C000000}"/>
    <hyperlink ref="D20" r:id="rId110" display="https://www.linkedin.com/learning/managing-high-potentials?trk=ondemandfile" xr:uid="{00000000-0004-0000-2000-00006D000000}"/>
    <hyperlink ref="I20" r:id="rId111" display="https://www.linkedin.com/learning/gerer-les-techniciens-techniciennes?trk=contentmappingfile" xr:uid="{00000000-0004-0000-2000-00006E000000}"/>
    <hyperlink ref="N20" r:id="rId112" display="https://www.linkedin.com/learning/gestion-de-equipos-mediante-okr-s-o-misiones-objetivos-y-resultados-clave?trk=contentmappingfile" xr:uid="{00000000-0004-0000-2000-00006F000000}"/>
    <hyperlink ref="S20" r:id="rId113" display="https://www.linkedin.com/learning/die-teamleistung-messen?trk=ondemandfile" xr:uid="{00000000-0004-0000-2000-000070000000}"/>
    <hyperlink ref="AH20" r:id="rId114" display="https://www.linkedin.com/learning/managing-high-potentials-3?trk=ondemandfile" xr:uid="{00000000-0004-0000-2000-000071000000}"/>
    <hyperlink ref="D21" r:id="rId115" display="https://www.linkedin.com/learning/how-to-set-team-and-employee-goals?trk=ondemandfile" xr:uid="{00000000-0004-0000-2000-000072000000}"/>
    <hyperlink ref="I21" r:id="rId116" display="https://www.linkedin.com/learning/gerer-son-stress-au-travail?trk=contentmappingfile" xr:uid="{00000000-0004-0000-2000-000073000000}"/>
    <hyperlink ref="N21" r:id="rId117" display="https://www.linkedin.com/learning/00-managing-employee-performance-problems?trk=ondemandfile" xr:uid="{00000000-0004-0000-2000-000074000000}"/>
    <hyperlink ref="S21" r:id="rId118" display="https://www.linkedin.com/learning/ziele-fur-mitarbeiter-innen-und-teams-setzen?trk=ondemandfile" xr:uid="{00000000-0004-0000-2000-000075000000}"/>
    <hyperlink ref="AH21" r:id="rId119" display="https://www.linkedin.com/learning/managing-high-performers-3?trk=ondemandfile" xr:uid="{00000000-0004-0000-2000-000076000000}"/>
    <hyperlink ref="D22" r:id="rId120" display="https://www.linkedin.com/learning/virtual-performance-reviews-and-feedback?trk=ondemandfile" xr:uid="{00000000-0004-0000-2000-000077000000}"/>
    <hyperlink ref="N22" r:id="rId121" display="https://www.linkedin.com/learning/incrementar-el-compromiso-con-los-programas-de-aprendizaje-electronico?trk=ondemandfile" xr:uid="{00000000-0004-0000-2000-000078000000}"/>
    <hyperlink ref="S22" r:id="rId122" display="https://www.linkedin.com/learning/00-zielvereinbarung?trk=ondemandfile" xr:uid="{00000000-0004-0000-2000-000079000000}"/>
    <hyperlink ref="AC22" r:id="rId123" display="https://www.linkedin.com/learning/gestao-de-novos-cargos-de-gerencia?trk=contentmappingfile" xr:uid="{00000000-0004-0000-2000-00007A000000}"/>
    <hyperlink ref="AH22" r:id="rId124" display="https://www.linkedin.com/learning/performance-management-conducting-performance-reviews-2?trk=ondemandfile" xr:uid="{00000000-0004-0000-2000-00007B000000}"/>
    <hyperlink ref="D23" r:id="rId125" display="https://www.linkedin.com/learning/managers-as-multipliers-of-well-being?trk=ondemandfile" xr:uid="{00000000-0004-0000-2000-00007C000000}"/>
    <hyperlink ref="I23" r:id="rId126" display="https://www.linkedin.com/learning/jeff-weiner-definir-une-culture-et-un-plan-d-evolution?trk=contentmappingfile" xr:uid="{00000000-0004-0000-2000-00007D000000}"/>
    <hyperlink ref="N23" r:id="rId127" display="https://www.linkedin.com/learning/00-jeff-weiner-on-establishing-a-culture-and-a-plan-for-scaling?trk=ondemandfile" xr:uid="{00000000-0004-0000-2000-00007E000000}"/>
    <hyperlink ref="AH23" r:id="rId128" display="https://www.linkedin.com/learning/setting-team-and-employee-goals-3?trk=ondemandfile" xr:uid="{00000000-0004-0000-2000-00007F000000}"/>
    <hyperlink ref="D24" r:id="rId129" display="https://www.linkedin.com/learning/achieving-diversity-as-a-hiring-manager?trk=ondemandfile" xr:uid="{00000000-0004-0000-2000-000080000000}"/>
    <hyperlink ref="N24" r:id="rId130" display="https://www.linkedin.com/learning/microsoft-dynamics-365-for-talent-esencial?trk=ondemandfile" xr:uid="{00000000-0004-0000-2000-000081000000}"/>
    <hyperlink ref="AH24" r:id="rId131" display="https://www.linkedin.com/learning/measuring-team-performance-5?trk=ondemandfile" xr:uid="{00000000-0004-0000-2000-000082000000}"/>
    <hyperlink ref="D25" r:id="rId132" display="https://www.linkedin.com/learning/performance-management-conducting-performance-reviews?trk=ondemandfile" xr:uid="{00000000-0004-0000-2000-000083000000}"/>
    <hyperlink ref="N25" r:id="rId133" display="https://www.linkedin.com/learning/motivaci-n-e-implicaci-n-en-la-empresa?trk=ondemandfile" xr:uid="{00000000-0004-0000-2000-000084000000}"/>
    <hyperlink ref="AH25" r:id="rId134" display="https://www.linkedin.com/learning/coaching-and-developing-employees-3?trk=ondemandfile" xr:uid="{00000000-0004-0000-2000-000085000000}"/>
    <hyperlink ref="D26" r:id="rId135" display="https://www.linkedin.com/learning/performance-management-setting-goals-and-managing-performance?trk=ondemandfile" xr:uid="{00000000-0004-0000-2000-000086000000}"/>
    <hyperlink ref="N26" r:id="rId136" display="https://www.linkedin.com/learning/teletrabajo-y-gestion-de-equipos-remotos?trk=contentmappingfile" xr:uid="{00000000-0004-0000-2000-000087000000}"/>
    <hyperlink ref="AH26" r:id="rId137" display="https://www.linkedin.com/learning/interviewing-techniques?trk=ondemandfile" xr:uid="{00000000-0004-0000-2000-000088000000}"/>
    <hyperlink ref="D27" r:id="rId138" display="https://www.linkedin.com/learning/hiring-an-employee-for-managers?trk=ondemandfile" xr:uid="{00000000-0004-0000-2000-000089000000}"/>
    <hyperlink ref="D28" r:id="rId139" display="https://www.linkedin.com/learning/coaching-and-developing-employees-2019?trk=ondemandfile" xr:uid="{00000000-0004-0000-2000-00008A000000}"/>
    <hyperlink ref="I28" r:id="rId140" display="https://www.linkedin.com/learning/les-fondements-du-nouveau-et-de-la-nouvelle-manager?trk=contentmappingfile" xr:uid="{00000000-0004-0000-2000-00008B000000}"/>
    <hyperlink ref="AC28" r:id="rId141" display="https://www.linkedin.com/learning/principios-basicos-para-novos-cargos-de-gestao?trk=contentmappingfile" xr:uid="{00000000-0004-0000-2000-00008C000000}"/>
    <hyperlink ref="D29" r:id="rId142" display="https://www.linkedin.com/learning/improving-employee-performance?trk=ondemandfile" xr:uid="{00000000-0004-0000-2000-00008D000000}"/>
    <hyperlink ref="D30" r:id="rId143" display="https://www.linkedin.com/learning/managing-virtual-teams-2019?trk=ondemandfile" xr:uid="{00000000-0004-0000-2000-00008E000000}"/>
    <hyperlink ref="D31" r:id="rId144" display="https://www.linkedin.com/learning/motivating-and-engaging-employees-2?trk=ondemandfile" xr:uid="{00000000-0004-0000-2000-00008F000000}"/>
    <hyperlink ref="D32" r:id="rId145" display="https://www.linkedin.com/learning/delegating-tasks?trk=ondemandfile" xr:uid="{00000000-0004-0000-2000-000090000000}"/>
    <hyperlink ref="I32" r:id="rId146" display="https://www.linkedin.com/learning/motiver-ses-equipes-quand-on-est-soi-meme-epuise-et-stresse?trk=contentmappingfile" xr:uid="{00000000-0004-0000-2000-000091000000}"/>
    <hyperlink ref="D33" r:id="rId147" display="https://www.linkedin.com/learning/using-feedback-to-drive-performance?trk=ondemandfile" xr:uid="{00000000-0004-0000-2000-000092000000}"/>
    <hyperlink ref="D34" r:id="rId148" display="https://www.linkedin.com/learning/performance-management-employee-engagement?trk=ondemandfile" xr:uid="{00000000-0004-0000-2000-000093000000}"/>
    <hyperlink ref="I34" r:id="rId149" display="https://www.linkedin.com/learning/se-distinguer-au-travail-grace-au-savoir-etre?trk=contentmappingfile" xr:uid="{00000000-0004-0000-2000-000094000000}"/>
    <hyperlink ref="D35" r:id="rId150" display="https://www.linkedin.com/learning/managing-for-results-2020?trk=ondemandfile" xr:uid="{00000000-0004-0000-2000-000095000000}"/>
    <hyperlink ref="D36" r:id="rId151" display="https://www.linkedin.com/learning/coaching-employees-through-difficult-situations?trk=ondemandfile" xr:uid="{00000000-0004-0000-2000-000096000000}"/>
    <hyperlink ref="D37" r:id="rId152" display="https://www.linkedin.com/learning/coaching-for-results?trk=ondemandfile" xr:uid="{00000000-0004-0000-2000-000097000000}"/>
    <hyperlink ref="D38" r:id="rId153" display="https://www.linkedin.com/learning/managing-employee-performance-problems-2018?trk=ondemandfile" xr:uid="{00000000-0004-0000-2000-000098000000}"/>
    <hyperlink ref="D39" r:id="rId154" display="https://www.linkedin.com/learning/management-tips?trk=ondemandfile" xr:uid="{00000000-0004-0000-2000-000099000000}"/>
    <hyperlink ref="D40" r:id="rId155" display="https://www.linkedin.com/learning/hr-recruiting-communication-strategies-to-attract-and-retain-top-talent?trk=ondemandfile" xr:uid="{00000000-0004-0000-2000-00009A000000}"/>
    <hyperlink ref="D41" r:id="rId156" display="https://www.linkedin.com/learning/foundations-of-performance-management?trk=ondemandfile" xr:uid="{00000000-0004-0000-2000-00009B000000}"/>
    <hyperlink ref="D42" r:id="rId157" display="https://www.linkedin.com/learning/empathy-tips-for-hr-professionals?trk=ondemandfile" xr:uid="{00000000-0004-0000-2000-00009C000000}"/>
    <hyperlink ref="D43" r:id="rId158" display="https://www.linkedin.com/learning/boosting-your-team-s-productivity?trk=ondemandfile" xr:uid="{00000000-0004-0000-2000-00009D000000}"/>
    <hyperlink ref="D44" r:id="rId159" display="https://www.linkedin.com/learning/the-upskilling-imperative-blinkist-summary?trk=ondemandfile" xr:uid="{00000000-0004-0000-2000-00009E000000}"/>
    <hyperlink ref="D45" r:id="rId160" display="https://www.linkedin.com/learning/building-a-coaching-culture-improving-performance-through-timely-feedback?trk=ondemandfile" xr:uid="{00000000-0004-0000-2000-00009F000000}"/>
    <hyperlink ref="D46" r:id="rId161" display="https://www.linkedin.com/learning/driving-workplace-happiness?trk=ondemandfile" xr:uid="{00000000-0004-0000-2000-0000A0000000}"/>
    <hyperlink ref="D47" r:id="rId162" display="https://www.linkedin.com/learning/interviewing-t-echniques-2019?trk=ondemandfile" xr:uid="{00000000-0004-0000-2000-0000A1000000}"/>
    <hyperlink ref="D48" r:id="rId163" display="https://www.linkedin.com/learning/predictive-analytics-essential-training-for-executives?trk=ondemandfile" xr:uid="{00000000-0004-0000-2000-0000A2000000}"/>
    <hyperlink ref="D49" r:id="rId164" display="https://www.linkedin.com/learning/running-a-design-business-the-staffing-rule-book?trk=ondemandfile" xr:uid="{00000000-0004-0000-2000-0000A3000000}"/>
    <hyperlink ref="D50" r:id="rId165" display="https://www.linkedin.com/learning/rolling-out-a-dibs-training-program-in-your-company?trk=ondemandfile" xr:uid="{00000000-0004-0000-2000-0000A4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Click and enter a value from range 'Competency Titles'!A1:A27" xr:uid="{00000000-0002-0000-2000-000000000000}">
          <x14:formula1>
            <xm:f>#REF!</xm:f>
          </x14:formula1>
          <xm:sqref>B1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E06666"/>
    <outlinePr summaryBelow="0" summaryRight="0"/>
  </sheetPr>
  <dimension ref="A1:AJ120"/>
  <sheetViews>
    <sheetView showGridLines="0" workbookViewId="0">
      <pane ySplit="3" topLeftCell="A4" activePane="bottomLeft" state="frozen"/>
      <selection pane="bottomLeft" sqref="A1:XFD1048576"/>
    </sheetView>
  </sheetViews>
  <sheetFormatPr baseColWidth="10" defaultColWidth="11.1640625" defaultRowHeight="15" customHeight="1"/>
  <cols>
    <col min="1" max="1" width="1.1640625" customWidth="1"/>
    <col min="2" max="2" width="11.1640625" customWidth="1"/>
    <col min="3" max="3" width="18.5" customWidth="1"/>
    <col min="4" max="5" width="44.5" customWidth="1"/>
    <col min="6" max="6" width="1.1640625" customWidth="1"/>
    <col min="7" max="7" width="11.1640625" customWidth="1"/>
    <col min="8" max="8" width="19.33203125" customWidth="1"/>
    <col min="9" max="10" width="44.5" customWidth="1"/>
    <col min="11" max="11" width="1.1640625" customWidth="1"/>
    <col min="12" max="12" width="11.1640625" customWidth="1"/>
    <col min="13" max="13" width="20.83203125" customWidth="1"/>
    <col min="14" max="15" width="44.5" customWidth="1"/>
    <col min="16" max="16" width="1.1640625" customWidth="1"/>
    <col min="17" max="17" width="11.1640625" customWidth="1"/>
    <col min="18" max="18" width="19.6640625" customWidth="1"/>
    <col min="19" max="20" width="44.5" customWidth="1"/>
    <col min="21" max="21" width="1.1640625" customWidth="1"/>
    <col min="23" max="23" width="18.6640625" customWidth="1"/>
    <col min="24" max="25" width="44.5" customWidth="1"/>
    <col min="26" max="26" width="1.1640625" customWidth="1"/>
    <col min="27" max="27" width="11.1640625" customWidth="1"/>
    <col min="28" max="28" width="26.6640625" customWidth="1"/>
    <col min="29" max="30" width="44.5" customWidth="1"/>
    <col min="31" max="31" width="1.1640625" customWidth="1"/>
    <col min="32" max="32" width="11.1640625" customWidth="1"/>
    <col min="33" max="33" width="21" customWidth="1"/>
    <col min="34" max="35" width="44.5" customWidth="1"/>
    <col min="36" max="36" width="1.1640625" customWidth="1"/>
  </cols>
  <sheetData>
    <row r="1" spans="1:36" ht="34.5" customHeight="1">
      <c r="A1" s="208"/>
      <c r="B1" s="230" t="s">
        <v>23</v>
      </c>
      <c r="C1" s="222"/>
      <c r="D1" s="222"/>
      <c r="E1" s="222"/>
      <c r="F1" s="208"/>
      <c r="G1" s="230" t="str">
        <f ca="1">IFERROR(__xludf.DUMMYFUNCTION("IFERROR(UNIQUE(FILTER(French!B:B,French!A:A=B1)))"),"Diversité, inclusion et appartenance")</f>
        <v>Diversité, inclusion et appartenance</v>
      </c>
      <c r="H1" s="222"/>
      <c r="I1" s="222"/>
      <c r="J1" s="222"/>
      <c r="K1" s="208"/>
      <c r="L1" s="230" t="str">
        <f ca="1">IFERROR(__xludf.DUMMYFUNCTION("IFERROR((UNIQUE(FILTER(Spanish!B:B,Spanish!A:A=B1))))"),"Valora la diversidad, la inclusión y la pertenencia")</f>
        <v>Valora la diversidad, la inclusión y la pertenencia</v>
      </c>
      <c r="M1" s="222"/>
      <c r="N1" s="222"/>
      <c r="O1" s="222"/>
      <c r="P1" s="208"/>
      <c r="Q1" s="230" t="str">
        <f ca="1">IFERROR(__xludf.DUMMYFUNCTION("IFERROR(UNIQUE(FILTER(German!B:B,German!A:A=B1)))"),"Die Werte Diversität, Inklusion und Zugehörigkeit")</f>
        <v>Die Werte Diversität, Inklusion und Zugehörigkeit</v>
      </c>
      <c r="R1" s="222"/>
      <c r="S1" s="222"/>
      <c r="T1" s="222"/>
      <c r="U1" s="208"/>
      <c r="V1" s="230" t="str">
        <f ca="1">IFERROR(__xludf.DUMMYFUNCTION("IFERROR(UNIQUE(FILTER(Japanese!B:B,Japanese!A:A=B1)))"),"ダイバーシティー、インクルージョン、所属意識の推進")</f>
        <v>ダイバーシティー、インクルージョン、所属意識の推進</v>
      </c>
      <c r="W1" s="222"/>
      <c r="X1" s="222"/>
      <c r="Y1" s="222"/>
      <c r="Z1" s="208"/>
      <c r="AA1" s="230" t="str">
        <f ca="1">IFERROR(__xludf.DUMMYFUNCTION("IFERROR(UNIQUE(FILTER(Portuguese!B:B,Portuguese!A:A=B1)))"),"Diversidade de valores, inclusão e senso de pertencimento")</f>
        <v>Diversidade de valores, inclusão e senso de pertencimento</v>
      </c>
      <c r="AB1" s="222"/>
      <c r="AC1" s="222"/>
      <c r="AD1" s="222"/>
      <c r="AE1" s="208"/>
      <c r="AF1" s="230" t="str">
        <f ca="1">IFERROR(__xludf.DUMMYFUNCTION("IFERROR(UNIQUE(FILTER(Mandarin!B:B,Mandarin!A:A=B1)))"),"多元化、包容性和归属感")</f>
        <v>多元化、包容性和归属感</v>
      </c>
      <c r="AG1" s="222"/>
      <c r="AH1" s="222"/>
      <c r="AI1" s="222"/>
      <c r="AJ1" s="208"/>
    </row>
    <row r="2" spans="1:36" ht="28" customHeight="1">
      <c r="A2" s="209"/>
      <c r="B2" s="234" t="s">
        <v>4713</v>
      </c>
      <c r="C2" s="222"/>
      <c r="D2" s="222"/>
      <c r="E2" s="222"/>
      <c r="F2" s="209"/>
      <c r="G2" s="231" t="s">
        <v>4714</v>
      </c>
      <c r="H2" s="222"/>
      <c r="I2" s="222"/>
      <c r="J2" s="222"/>
      <c r="K2" s="209"/>
      <c r="L2" s="235" t="s">
        <v>4715</v>
      </c>
      <c r="M2" s="222"/>
      <c r="N2" s="222"/>
      <c r="O2" s="222"/>
      <c r="P2" s="209"/>
      <c r="Q2" s="232" t="s">
        <v>4716</v>
      </c>
      <c r="R2" s="222"/>
      <c r="S2" s="222"/>
      <c r="T2" s="222"/>
      <c r="U2" s="209"/>
      <c r="V2" s="236" t="s">
        <v>4717</v>
      </c>
      <c r="W2" s="222"/>
      <c r="X2" s="222"/>
      <c r="Y2" s="222"/>
      <c r="Z2" s="209"/>
      <c r="AA2" s="233" t="s">
        <v>4718</v>
      </c>
      <c r="AB2" s="222"/>
      <c r="AC2" s="222"/>
      <c r="AD2" s="222"/>
      <c r="AE2" s="209"/>
      <c r="AF2" s="237" t="s">
        <v>4719</v>
      </c>
      <c r="AG2" s="222"/>
      <c r="AH2" s="222"/>
      <c r="AI2" s="222"/>
      <c r="AJ2" s="209"/>
    </row>
    <row r="3" spans="1:36" ht="26" customHeight="1">
      <c r="A3" s="210"/>
      <c r="B3" s="211" t="str">
        <f ca="1">IFERROR(__xludf.DUMMYFUNCTION("FILTER(English!B:B,English!A:A=B1)"),"Course IDs")</f>
        <v>Course IDs</v>
      </c>
      <c r="C3" s="211" t="str">
        <f ca="1">IFERROR(__xludf.DUMMYFUNCTION("FILTER(English!C:C,English!A:A=B1)"),"Levels")</f>
        <v>Levels</v>
      </c>
      <c r="D3" s="211" t="str">
        <f ca="1">IFERROR(__xludf.DUMMYFUNCTION("FILTER(English!D:D,English!A:A=B1)"),"Courses")</f>
        <v>Courses</v>
      </c>
      <c r="E3" s="212" t="str">
        <f ca="1">IFERROR(__xludf.DUMMYFUNCTION("FILTER(English!E:E,English!A:A=B1)"),"Learning Paths")</f>
        <v>Learning Paths</v>
      </c>
      <c r="F3" s="210"/>
      <c r="G3" s="211" t="str">
        <f ca="1">IFERROR(__xludf.DUMMYFUNCTION("FILTER(French!C:C,French!B:B=G1)"),"Course IDs")</f>
        <v>Course IDs</v>
      </c>
      <c r="H3" s="211" t="str">
        <f ca="1">IFERROR(__xludf.DUMMYFUNCTION("FILTER(French!D:D,French!B:B=G1)"),"Levels")</f>
        <v>Levels</v>
      </c>
      <c r="I3" s="211" t="str">
        <f ca="1">IFERROR(__xludf.DUMMYFUNCTION("FILTER(French!E:E,French!B:B=G1)"),"Courses")</f>
        <v>Courses</v>
      </c>
      <c r="J3" s="212" t="str">
        <f ca="1">IFERROR(__xludf.DUMMYFUNCTION("FILTER(French!G:G,French!B:B=G1)"),"Learning Paths")</f>
        <v>Learning Paths</v>
      </c>
      <c r="K3" s="210"/>
      <c r="L3" s="211" t="str">
        <f ca="1">IFERROR(__xludf.DUMMYFUNCTION("FILTER(Spanish!C:C,Spanish!B:B=L1)"),"Course IDs")</f>
        <v>Course IDs</v>
      </c>
      <c r="M3" s="211" t="str">
        <f ca="1">IFERROR(__xludf.DUMMYFUNCTION("FILTER(Spanish!D:D,Spanish!B:B=L1)"),"Levels")</f>
        <v>Levels</v>
      </c>
      <c r="N3" s="211" t="str">
        <f ca="1">IFERROR(__xludf.DUMMYFUNCTION("FILTER(Spanish!E:E,Spanish!B:B=L1)"),"Courses")</f>
        <v>Courses</v>
      </c>
      <c r="O3" s="212" t="str">
        <f ca="1">IFERROR(__xludf.DUMMYFUNCTION("FILTER(Spanish!G:G,Spanish!B:B=L1)"),"Learning Paths")</f>
        <v>Learning Paths</v>
      </c>
      <c r="P3" s="210"/>
      <c r="Q3" s="211" t="str">
        <f ca="1">IFERROR(__xludf.DUMMYFUNCTION("FILTER(German!C:C,German!B:B=Q1)"),"Course IDs")</f>
        <v>Course IDs</v>
      </c>
      <c r="R3" s="211" t="str">
        <f ca="1">IFERROR(__xludf.DUMMYFUNCTION("FILTER(German!D:D,German!B:B=Q1)"),"Levels")</f>
        <v>Levels</v>
      </c>
      <c r="S3" s="211" t="str">
        <f ca="1">IFERROR(__xludf.DUMMYFUNCTION("FILTER(German!E:E,German!B:B=Q1)"),"Courses")</f>
        <v>Courses</v>
      </c>
      <c r="T3" s="212" t="str">
        <f ca="1">IFERROR(__xludf.DUMMYFUNCTION("FILTER(German!G:G,German!B:B=Q1)"),"Learning Paths")</f>
        <v>Learning Paths</v>
      </c>
      <c r="U3" s="210"/>
      <c r="V3" s="211" t="str">
        <f ca="1">IFERROR(__xludf.DUMMYFUNCTION("FILTER(Japanese!C:C,Japanese!B:B=V1)"),"Course IDs")</f>
        <v>Course IDs</v>
      </c>
      <c r="W3" s="211" t="str">
        <f ca="1">IFERROR(__xludf.DUMMYFUNCTION("FILTER(Japanese!D:D,Japanese!B:B=V1)"),"Levels")</f>
        <v>Levels</v>
      </c>
      <c r="X3" s="211" t="str">
        <f ca="1">IFERROR(__xludf.DUMMYFUNCTION("FILTER(Japanese!E:E,Japanese!B:B=V1)"),"Courses")</f>
        <v>Courses</v>
      </c>
      <c r="Y3" s="212" t="str">
        <f ca="1">IFERROR(__xludf.DUMMYFUNCTION("FILTER(Japanese!G:G,Japanese!B:B=V1)"),"Learning Paths")</f>
        <v>Learning Paths</v>
      </c>
      <c r="Z3" s="210"/>
      <c r="AA3" s="211" t="str">
        <f ca="1">IFERROR(__xludf.DUMMYFUNCTION("FILTER(Portuguese!C:C,Portuguese!B:B=AA1)"),"Course IDs")</f>
        <v>Course IDs</v>
      </c>
      <c r="AB3" s="211" t="str">
        <f ca="1">IFERROR(__xludf.DUMMYFUNCTION("FILTER(Portuguese!D:D,Portuguese!B:B=AA1)"),"Levels")</f>
        <v>Levels</v>
      </c>
      <c r="AC3" s="211" t="str">
        <f ca="1">IFERROR(__xludf.DUMMYFUNCTION("FILTER(Portuguese!E:E,Portuguese!B:B=AA1)"),"Courses")</f>
        <v>Courses</v>
      </c>
      <c r="AD3" s="212" t="str">
        <f ca="1">IFERROR(__xludf.DUMMYFUNCTION("FILTER(Portuguese!G:G,Portuguese!B:B=AA1)"),"Learning Paths")</f>
        <v>Learning Paths</v>
      </c>
      <c r="AE3" s="210"/>
      <c r="AF3" s="211" t="str">
        <f ca="1">IFERROR(__xludf.DUMMYFUNCTION("FILTER(Mandarin!C:C,Mandarin!B:B=AF1)"),"Course IDs")</f>
        <v>Course IDs</v>
      </c>
      <c r="AG3" s="211" t="str">
        <f ca="1">IFERROR(__xludf.DUMMYFUNCTION("FILTER(Mandarin!D:D,Mandarin!B:B=AF1)"),"Levels")</f>
        <v>Levels</v>
      </c>
      <c r="AH3" s="211" t="str">
        <f ca="1">IFERROR(__xludf.DUMMYFUNCTION("FILTER(Mandarin!E:E,Mandarin!B:B=AF1)"),"Courses")</f>
        <v>Courses</v>
      </c>
      <c r="AI3" s="212" t="str">
        <f ca="1">IFERROR(__xludf.DUMMYFUNCTION("FILTER(Mandarin!G:G,Mandarin!B:B=AF1)"),"Learning Paths")</f>
        <v>Learning Paths</v>
      </c>
      <c r="AJ3" s="210"/>
    </row>
    <row r="4" spans="1:36" ht="33.75" customHeight="1">
      <c r="A4" s="213"/>
      <c r="B4" s="214">
        <f ca="1">IFERROR(__xludf.DUMMYFUNCTION("""COMPUTED_VALUE"""),373562)</f>
        <v>373562</v>
      </c>
      <c r="C4" s="215" t="str">
        <f ca="1">IFERROR(__xludf.DUMMYFUNCTION("""COMPUTED_VALUE"""),"Advanced")</f>
        <v>Advanced</v>
      </c>
      <c r="D4" s="216" t="str">
        <f ca="1">IFERROR(__xludf.DUMMYFUNCTION("""COMPUTED_VALUE"""),"Global Strategy")</f>
        <v>Global Strategy</v>
      </c>
      <c r="E4" s="217" t="str">
        <f ca="1">IFERROR(__xludf.DUMMYFUNCTION("""COMPUTED_VALUE"""),"Become an Inclusive Leader")</f>
        <v>Become an Inclusive Leader</v>
      </c>
      <c r="F4" s="213"/>
      <c r="G4" s="214">
        <f ca="1">IFERROR(__xludf.DUMMYFUNCTION("""COMPUTED_VALUE"""),3156479)</f>
        <v>3156479</v>
      </c>
      <c r="H4" s="215" t="str">
        <f ca="1">IFERROR(__xludf.DUMMYFUNCTION("""COMPUTED_VALUE"""),"All levels")</f>
        <v>All levels</v>
      </c>
      <c r="I4" s="217" t="str">
        <f ca="1">IFERROR(__xludf.DUMMYFUNCTION("""COMPUTED_VALUE"""),"Affronter les préjugés : s'épanouir au-delà de nos différences")</f>
        <v>Affronter les préjugés : s'épanouir au-delà de nos différences</v>
      </c>
      <c r="J4" s="217" t="str">
        <f ca="1">IFERROR(__xludf.DUMMYFUNCTION("""COMPUTED_VALUE"""),"Instaurer une culture du respect au sein de l'entreprise")</f>
        <v>Instaurer une culture du respect au sein de l'entreprise</v>
      </c>
      <c r="K4" s="213"/>
      <c r="L4" s="215">
        <f ca="1">IFERROR(__xludf.DUMMYFUNCTION("""COMPUTED_VALUE"""),3130004)</f>
        <v>3130004</v>
      </c>
      <c r="M4" s="215" t="str">
        <f ca="1">IFERROR(__xludf.DUMMYFUNCTION("""COMPUTED_VALUE"""),"Beginner, Intermediate")</f>
        <v>Beginner, Intermediate</v>
      </c>
      <c r="N4" s="217" t="str">
        <f ca="1">IFERROR(__xludf.DUMMYFUNCTION("""COMPUTED_VALUE"""),"Cómo comunicar sobre temas culturalmente sensibles")</f>
        <v>Cómo comunicar sobre temas culturalmente sensibles</v>
      </c>
      <c r="O4" s="217" t="str">
        <f ca="1">IFERROR(__xludf.DUMMYFUNCTION("""COMPUTED_VALUE"""),"Mujeres en el liderazgo")</f>
        <v>Mujeres en el liderazgo</v>
      </c>
      <c r="P4" s="213"/>
      <c r="Q4" s="215">
        <f ca="1">IFERROR(__xludf.DUMMYFUNCTION("""COMPUTED_VALUE"""),3013966)</f>
        <v>3013966</v>
      </c>
      <c r="R4" s="215" t="str">
        <f ca="1">IFERROR(__xludf.DUMMYFUNCTION("""COMPUTED_VALUE"""),"All levels")</f>
        <v>All levels</v>
      </c>
      <c r="S4" s="217" t="str">
        <f ca="1">IFERROR(__xludf.DUMMYFUNCTION("""COMPUTED_VALUE"""),"10 Mythen über Diversity, Inclusion und Zugehörigkeit am Arbeitsplatz")</f>
        <v>10 Mythen über Diversity, Inclusion und Zugehörigkeit am Arbeitsplatz</v>
      </c>
      <c r="T4" s="217" t="str">
        <f ca="1">IFERROR(__xludf.DUMMYFUNCTION("""COMPUTED_VALUE"""),"Die interkulturelle Kompetenz erweitern")</f>
        <v>Die interkulturelle Kompetenz erweitern</v>
      </c>
      <c r="U4" s="213"/>
      <c r="V4" s="215">
        <f ca="1">IFERROR(__xludf.DUMMYFUNCTION("""COMPUTED_VALUE"""),3115627)</f>
        <v>3115627</v>
      </c>
      <c r="W4" s="215" t="str">
        <f ca="1">IFERROR(__xludf.DUMMYFUNCTION("""COMPUTED_VALUE"""),"Beginner")</f>
        <v>Beginner</v>
      </c>
      <c r="X4" s="217" t="str">
        <f ca="1">IFERROR(__xludf.DUMMYFUNCTION("""COMPUTED_VALUE"""),"LGBTも働きやすい職場環境を作るには")</f>
        <v>LGBTも働きやすい職場環境を作るには</v>
      </c>
      <c r="Y4" s="217" t="str">
        <f ca="1">IFERROR(__xludf.DUMMYFUNCTION("""COMPUTED_VALUE"""),"N/A")</f>
        <v>N/A</v>
      </c>
      <c r="Z4" s="213"/>
      <c r="AA4" s="215">
        <f ca="1">IFERROR(__xludf.DUMMYFUNCTION("""COMPUTED_VALUE"""),2931603)</f>
        <v>2931603</v>
      </c>
      <c r="AB4" s="215" t="str">
        <f ca="1">IFERROR(__xludf.DUMMYFUNCTION("""COMPUTED_VALUE"""),"All levels")</f>
        <v>All levels</v>
      </c>
      <c r="AC4" s="217" t="str">
        <f ca="1">IFERROR(__xludf.DUMMYFUNCTION("""COMPUTED_VALUE"""),"A Comunicação entre Equipes Multiculturais")</f>
        <v>A Comunicação entre Equipes Multiculturais</v>
      </c>
      <c r="AD4" s="217" t="str">
        <f ca="1">IFERROR(__xludf.DUMMYFUNCTION("""COMPUTED_VALUE"""),"Diversidade, Inclusão e Pertencimento para Líderes e Gerentes")</f>
        <v>Diversidade, Inclusão e Pertencimento para Líderes e Gerentes</v>
      </c>
      <c r="AE4" s="213"/>
      <c r="AF4" s="215">
        <f ca="1">IFERROR(__xludf.DUMMYFUNCTION("""COMPUTED_VALUE"""),2825761)</f>
        <v>2825761</v>
      </c>
      <c r="AG4" s="215" t="str">
        <f ca="1">IFERROR(__xludf.DUMMYFUNCTION("""COMPUTED_VALUE"""),"All levels")</f>
        <v>All levels</v>
      </c>
      <c r="AH4" s="217" t="str">
        <f ca="1">IFERROR(__xludf.DUMMYFUNCTION("""COMPUTED_VALUE"""),"DIB: 多元化、包容性与归属感")</f>
        <v>DIB: 多元化、包容性与归属感</v>
      </c>
      <c r="AI4" s="217" t="str">
        <f ca="1">IFERROR(__xludf.DUMMYFUNCTION("""COMPUTED_VALUE"""),"多元化、包容性和归属感（DIB）")</f>
        <v>多元化、包容性和归属感（DIB）</v>
      </c>
      <c r="AJ4" s="213"/>
    </row>
    <row r="5" spans="1:36" ht="30">
      <c r="A5" s="213"/>
      <c r="B5" s="214">
        <f ca="1">IFERROR(__xludf.DUMMYFUNCTION("""COMPUTED_VALUE"""),706917)</f>
        <v>706917</v>
      </c>
      <c r="C5" s="215" t="str">
        <f ca="1">IFERROR(__xludf.DUMMYFUNCTION("""COMPUTED_VALUE"""),"Advanced")</f>
        <v>Advanced</v>
      </c>
      <c r="D5" s="216" t="str">
        <f ca="1">IFERROR(__xludf.DUMMYFUNCTION("""COMPUTED_VALUE"""),"Leading Globally")</f>
        <v>Leading Globally</v>
      </c>
      <c r="E5" s="217" t="str">
        <f ca="1">IFERROR(__xludf.DUMMYFUNCTION("""COMPUTED_VALUE"""),"Become a Thought Leader")</f>
        <v>Become a Thought Leader</v>
      </c>
      <c r="F5" s="213"/>
      <c r="G5" s="214">
        <f ca="1">IFERROR(__xludf.DUMMYFUNCTION("""COMPUTED_VALUE"""),2457036)</f>
        <v>2457036</v>
      </c>
      <c r="H5" s="215" t="str">
        <f ca="1">IFERROR(__xludf.DUMMYFUNCTION("""COMPUTED_VALUE"""),"Intermediate")</f>
        <v>Intermediate</v>
      </c>
      <c r="I5" s="217" t="str">
        <f ca="1">IFERROR(__xludf.DUMMYFUNCTION("""COMPUTED_VALUE"""),"Améliorer son index d'égalité professionnelle")</f>
        <v>Améliorer son index d'égalité professionnelle</v>
      </c>
      <c r="J5" s="217" t="str">
        <f ca="1">IFERROR(__xludf.DUMMYFUNCTION("""COMPUTED_VALUE"""),"Améliorer son leadership en tant que femme")</f>
        <v>Améliorer son leadership en tant que femme</v>
      </c>
      <c r="K5" s="213"/>
      <c r="L5" s="215">
        <f ca="1">IFERROR(__xludf.DUMMYFUNCTION("""COMPUTED_VALUE"""),2928369)</f>
        <v>2928369</v>
      </c>
      <c r="M5" s="215" t="str">
        <f ca="1">IFERROR(__xludf.DUMMYFUNCTION("""COMPUTED_VALUE"""),"Beginner, Intermediate")</f>
        <v>Beginner, Intermediate</v>
      </c>
      <c r="N5" s="217" t="str">
        <f ca="1">IFERROR(__xludf.DUMMYFUNCTION("""COMPUTED_VALUE"""),"Cómo convertirse en un aliado femenino en el trabajo")</f>
        <v>Cómo convertirse en un aliado femenino en el trabajo</v>
      </c>
      <c r="O5" s="217" t="str">
        <f ca="1">IFERROR(__xludf.DUMMYFUNCTION("""COMPUTED_VALUE"""),"Conviértete en líder")</f>
        <v>Conviértete en líder</v>
      </c>
      <c r="P5" s="213"/>
      <c r="Q5" s="215">
        <f ca="1">IFERROR(__xludf.DUMMYFUNCTION("""COMPUTED_VALUE"""),5018592)</f>
        <v>5018592</v>
      </c>
      <c r="R5" s="215" t="str">
        <f ca="1">IFERROR(__xludf.DUMMYFUNCTION("""COMPUTED_VALUE"""),"Advanced")</f>
        <v>Advanced</v>
      </c>
      <c r="S5" s="217" t="str">
        <f ca="1">IFERROR(__xludf.DUMMYFUNCTION("""COMPUTED_VALUE"""),"Diversität und Inklusion in globalen Unternehmen")</f>
        <v>Diversität und Inklusion in globalen Unternehmen</v>
      </c>
      <c r="T5" s="217" t="str">
        <f ca="1">IFERROR(__xludf.DUMMYFUNCTION("""COMPUTED_VALUE"""),"Diversität, Inklusion und Zugehörigkeit im Unternehmen schaffen")</f>
        <v>Diversität, Inklusion und Zugehörigkeit im Unternehmen schaffen</v>
      </c>
      <c r="U5" s="213"/>
      <c r="V5" s="215">
        <f ca="1">IFERROR(__xludf.DUMMYFUNCTION("""COMPUTED_VALUE"""),2869083)</f>
        <v>2869083</v>
      </c>
      <c r="W5" s="215" t="str">
        <f ca="1">IFERROR(__xludf.DUMMYFUNCTION("""COMPUTED_VALUE"""),"Intermediate")</f>
        <v>Intermediate</v>
      </c>
      <c r="X5" s="217" t="str">
        <f ca="1">IFERROR(__xludf.DUMMYFUNCTION("""COMPUTED_VALUE"""),"インクルーシブ・リーダーシップ")</f>
        <v>インクルーシブ・リーダーシップ</v>
      </c>
      <c r="Y5" s="217"/>
      <c r="Z5" s="213"/>
      <c r="AA5" s="215">
        <f ca="1">IFERROR(__xludf.DUMMYFUNCTION("""COMPUTED_VALUE"""),2889453)</f>
        <v>2889453</v>
      </c>
      <c r="AB5" s="215" t="str">
        <f ca="1">IFERROR(__xludf.DUMMYFUNCTION("""COMPUTED_VALUE"""),"All levels")</f>
        <v>All levels</v>
      </c>
      <c r="AC5" s="217" t="str">
        <f ca="1">IFERROR(__xludf.DUMMYFUNCTION("""COMPUTED_VALUE"""),"Ambientes de Trabalho Tóxicos: Da Atitude Passiva à Ação")</f>
        <v>Ambientes de Trabalho Tóxicos: Da Atitude Passiva à Ação</v>
      </c>
      <c r="AD5" s="217" t="str">
        <f ca="1">IFERROR(__xludf.DUMMYFUNCTION("""COMPUTED_VALUE"""),"Como fortalecer suas competências interculturais")</f>
        <v>Como fortalecer suas competências interculturais</v>
      </c>
      <c r="AE5" s="213"/>
      <c r="AF5" s="215">
        <f ca="1">IFERROR(__xludf.DUMMYFUNCTION("""COMPUTED_VALUE"""),5010409)</f>
        <v>5010409</v>
      </c>
      <c r="AG5" s="215" t="str">
        <f ca="1">IFERROR(__xludf.DUMMYFUNCTION("""COMPUTED_VALUE"""),"Advanced")</f>
        <v>Advanced</v>
      </c>
      <c r="AH5" s="217" t="str">
        <f ca="1">IFERROR(__xludf.DUMMYFUNCTION("""COMPUTED_VALUE"""),"全球性企业的多元化与包容性")</f>
        <v>全球性企业的多元化与包容性</v>
      </c>
      <c r="AI5" s="217"/>
      <c r="AJ5" s="213"/>
    </row>
    <row r="6" spans="1:36" ht="30">
      <c r="A6" s="213"/>
      <c r="B6" s="214">
        <f ca="1">IFERROR(__xludf.DUMMYFUNCTION("""COMPUTED_VALUE"""),664805)</f>
        <v>664805</v>
      </c>
      <c r="C6" s="215" t="str">
        <f ca="1">IFERROR(__xludf.DUMMYFUNCTION("""COMPUTED_VALUE"""),"Intermediate")</f>
        <v>Intermediate</v>
      </c>
      <c r="D6" s="216" t="str">
        <f ca="1">IFERROR(__xludf.DUMMYFUNCTION("""COMPUTED_VALUE"""),"Managing Globally")</f>
        <v>Managing Globally</v>
      </c>
      <c r="E6" s="217" t="str">
        <f ca="1">IFERROR(__xludf.DUMMYFUNCTION("""COMPUTED_VALUE"""),"Build a More Equitable and Inclusive Workplace")</f>
        <v>Build a More Equitable and Inclusive Workplace</v>
      </c>
      <c r="F6" s="213"/>
      <c r="G6" s="214">
        <f ca="1">IFERROR(__xludf.DUMMYFUNCTION("""COMPUTED_VALUE"""),648463)</f>
        <v>648463</v>
      </c>
      <c r="H6" s="215" t="str">
        <f ca="1">IFERROR(__xludf.DUMMYFUNCTION("""COMPUTED_VALUE"""),"Beginner")</f>
        <v>Beginner</v>
      </c>
      <c r="I6" s="217" t="str">
        <f ca="1">IFERROR(__xludf.DUMMYFUNCTION("""COMPUTED_VALUE"""),"Communiquer en environnement multiculturel")</f>
        <v>Communiquer en environnement multiculturel</v>
      </c>
      <c r="J6" s="217"/>
      <c r="K6" s="213"/>
      <c r="L6" s="215">
        <f ca="1">IFERROR(__xludf.DUMMYFUNCTION("""COMPUTED_VALUE"""),2839066)</f>
        <v>2839066</v>
      </c>
      <c r="M6" s="215" t="str">
        <f ca="1">IFERROR(__xludf.DUMMYFUNCTION("""COMPUTED_VALUE"""),"All levels")</f>
        <v>All levels</v>
      </c>
      <c r="N6" s="217" t="str">
        <f ca="1">IFERROR(__xludf.DUMMYFUNCTION("""COMPUTED_VALUE"""),"Cómo crear documentos accesibles en Office 365/Microsoft 365")</f>
        <v>Cómo crear documentos accesibles en Office 365/Microsoft 365</v>
      </c>
      <c r="O6" s="217"/>
      <c r="P6" s="213"/>
      <c r="Q6" s="215">
        <f ca="1">IFERROR(__xludf.DUMMYFUNCTION("""COMPUTED_VALUE"""),2921212)</f>
        <v>2921212</v>
      </c>
      <c r="R6" s="215" t="str">
        <f ca="1">IFERROR(__xludf.DUMMYFUNCTION("""COMPUTED_VALUE"""),"All levels")</f>
        <v>All levels</v>
      </c>
      <c r="S6" s="217" t="str">
        <f ca="1">IFERROR(__xludf.DUMMYFUNCTION("""COMPUTED_VALUE"""),"Einfach gendern: gendersensible Sprache in der Unternehmenspraxis")</f>
        <v>Einfach gendern: gendersensible Sprache in der Unternehmenspraxis</v>
      </c>
      <c r="T6" s="217" t="str">
        <f ca="1">IFERROR(__xludf.DUMMYFUNCTION("""COMPUTED_VALUE"""),"Frauen in Führungspositionen")</f>
        <v>Frauen in Führungspositionen</v>
      </c>
      <c r="U6" s="213"/>
      <c r="V6" s="215">
        <f ca="1">IFERROR(__xludf.DUMMYFUNCTION("""COMPUTED_VALUE"""),2892077)</f>
        <v>2892077</v>
      </c>
      <c r="W6" s="215" t="str">
        <f ca="1">IFERROR(__xludf.DUMMYFUNCTION("""COMPUTED_VALUE"""),"All levels")</f>
        <v>All levels</v>
      </c>
      <c r="X6" s="217" t="str">
        <f ca="1">IFERROR(__xludf.DUMMYFUNCTION("""COMPUTED_VALUE"""),"インクルーシブにチームを率いるには")</f>
        <v>インクルーシブにチームを率いるには</v>
      </c>
      <c r="Y6" s="217"/>
      <c r="Z6" s="213"/>
      <c r="AA6" s="215">
        <f ca="1">IFERROR(__xludf.DUMMYFUNCTION("""COMPUTED_VALUE"""),2929559)</f>
        <v>2929559</v>
      </c>
      <c r="AB6" s="215" t="str">
        <f ca="1">IFERROR(__xludf.DUMMYFUNCTION("""COMPUTED_VALUE"""),"All levels")</f>
        <v>All levels</v>
      </c>
      <c r="AC6" s="217" t="str">
        <f ca="1">IFERROR(__xludf.DUMMYFUNCTION("""COMPUTED_VALUE"""),"Boas Práticas para o Sucesso em Projetos Internacionais")</f>
        <v>Boas Práticas para o Sucesso em Projetos Internacionais</v>
      </c>
      <c r="AD6" s="217"/>
      <c r="AE6" s="213"/>
      <c r="AF6" s="215">
        <f ca="1">IFERROR(__xludf.DUMMYFUNCTION("""COMPUTED_VALUE"""),2823606)</f>
        <v>2823606</v>
      </c>
      <c r="AG6" s="215" t="str">
        <f ca="1">IFERROR(__xludf.DUMMYFUNCTION("""COMPUTED_VALUE"""),"Intermediate")</f>
        <v>Intermediate</v>
      </c>
      <c r="AH6" s="217" t="str">
        <f ca="1">IFERROR(__xludf.DUMMYFUNCTION("""COMPUTED_VALUE"""),"全球项目：共识缔造成功")</f>
        <v>全球项目：共识缔造成功</v>
      </c>
      <c r="AI6" s="217"/>
      <c r="AJ6" s="213"/>
    </row>
    <row r="7" spans="1:36" ht="33.75" customHeight="1">
      <c r="A7" s="213"/>
      <c r="B7" s="214">
        <f ca="1">IFERROR(__xludf.DUMMYFUNCTION("""COMPUTED_VALUE"""),645013)</f>
        <v>645013</v>
      </c>
      <c r="C7" s="215" t="str">
        <f ca="1">IFERROR(__xludf.DUMMYFUNCTION("""COMPUTED_VALUE"""),"Intermediate")</f>
        <v>Intermediate</v>
      </c>
      <c r="D7" s="216" t="str">
        <f ca="1">IFERROR(__xludf.DUMMYFUNCTION("""COMPUTED_VALUE"""),"Inclusive Leadership")</f>
        <v>Inclusive Leadership</v>
      </c>
      <c r="E7" s="217" t="str">
        <f ca="1">IFERROR(__xludf.DUMMYFUNCTION("""COMPUTED_VALUE"""),"Diversity, Inclusion and Belonging for All")</f>
        <v>Diversity, Inclusion and Belonging for All</v>
      </c>
      <c r="F7" s="213"/>
      <c r="G7" s="214">
        <f ca="1">IFERROR(__xludf.DUMMYFUNCTION("""COMPUTED_VALUE"""),2874200)</f>
        <v>2874200</v>
      </c>
      <c r="H7" s="215" t="str">
        <f ca="1">IFERROR(__xludf.DUMMYFUNCTION("""COMPUTED_VALUE"""),"Beginner, Intermediate")</f>
        <v>Beginner, Intermediate</v>
      </c>
      <c r="I7" s="217" t="str">
        <f ca="1">IFERROR(__xludf.DUMMYFUNCTION("""COMPUTED_VALUE"""),"Communiquer sur des sujets culturellement sensibles")</f>
        <v>Communiquer sur des sujets culturellement sensibles</v>
      </c>
      <c r="J7" s="217"/>
      <c r="K7" s="213"/>
      <c r="L7" s="215">
        <f ca="1">IFERROR(__xludf.DUMMYFUNCTION("""COMPUTED_VALUE"""),608977)</f>
        <v>608977</v>
      </c>
      <c r="M7" s="215" t="str">
        <f ca="1">IFERROR(__xludf.DUMMYFUNCTION("""COMPUTED_VALUE"""),"Intermediate")</f>
        <v>Intermediate</v>
      </c>
      <c r="N7" s="217" t="str">
        <f ca="1">IFERROR(__xludf.DUMMYFUNCTION("""COMPUTED_VALUE"""),"Cómo crear una cultura de la responsabilidad")</f>
        <v>Cómo crear una cultura de la responsabilidad</v>
      </c>
      <c r="O7" s="217"/>
      <c r="P7" s="213"/>
      <c r="Q7" s="215">
        <f ca="1">IFERROR(__xludf.DUMMYFUNCTION("""COMPUTED_VALUE"""),2815032)</f>
        <v>2815032</v>
      </c>
      <c r="R7" s="215" t="str">
        <f ca="1">IFERROR(__xludf.DUMMYFUNCTION("""COMPUTED_VALUE"""),"All levels")</f>
        <v>All levels</v>
      </c>
      <c r="S7" s="217" t="str">
        <f ca="1">IFERROR(__xludf.DUMMYFUNCTION("""COMPUTED_VALUE"""),"Empathie und Kreativität als neue Schlüsselkompetenzen")</f>
        <v>Empathie und Kreativität als neue Schlüsselkompetenzen</v>
      </c>
      <c r="T7" s="217"/>
      <c r="U7" s="213"/>
      <c r="V7" s="215">
        <f ca="1">IFERROR(__xludf.DUMMYFUNCTION("""COMPUTED_VALUE"""),2916467)</f>
        <v>2916467</v>
      </c>
      <c r="W7" s="215" t="str">
        <f ca="1">IFERROR(__xludf.DUMMYFUNCTION("""COMPUTED_VALUE"""),"Advanced")</f>
        <v>Advanced</v>
      </c>
      <c r="X7" s="217" t="str">
        <f ca="1">IFERROR(__xludf.DUMMYFUNCTION("""COMPUTED_VALUE"""),"グローバル企業におけるダイバーシティとインクルージョン")</f>
        <v>グローバル企業におけるダイバーシティとインクルージョン</v>
      </c>
      <c r="Y7" s="217"/>
      <c r="Z7" s="213"/>
      <c r="AA7" s="215">
        <f ca="1">IFERROR(__xludf.DUMMYFUNCTION("""COMPUTED_VALUE"""),2890471)</f>
        <v>2890471</v>
      </c>
      <c r="AB7" s="215" t="str">
        <f ca="1">IFERROR(__xludf.DUMMYFUNCTION("""COMPUTED_VALUE"""),"All levels")</f>
        <v>All levels</v>
      </c>
      <c r="AC7" s="217" t="str">
        <f ca="1">IFERROR(__xludf.DUMMYFUNCTION("""COMPUTED_VALUE"""),"Como Cultivar a Competência Cultural e a Inclusão no Ambiente de Trabalho")</f>
        <v>Como Cultivar a Competência Cultural e a Inclusão no Ambiente de Trabalho</v>
      </c>
      <c r="AD7" s="217"/>
      <c r="AE7" s="213"/>
      <c r="AF7" s="215">
        <f ca="1">IFERROR(__xludf.DUMMYFUNCTION("""COMPUTED_VALUE"""),2878195)</f>
        <v>2878195</v>
      </c>
      <c r="AG7" s="215" t="str">
        <f ca="1">IFERROR(__xludf.DUMMYFUNCTION("""COMPUTED_VALUE"""),"All levels")</f>
        <v>All levels</v>
      </c>
      <c r="AH7" s="217" t="str">
        <f ca="1">IFERROR(__xludf.DUMMYFUNCTION("""COMPUTED_VALUE"""),"包容性沟通技巧")</f>
        <v>包容性沟通技巧</v>
      </c>
      <c r="AI7" s="217"/>
      <c r="AJ7" s="213"/>
    </row>
    <row r="8" spans="1:36" ht="33.75" customHeight="1">
      <c r="A8" s="213"/>
      <c r="B8" s="214">
        <f ca="1">IFERROR(__xludf.DUMMYFUNCTION("""COMPUTED_VALUE"""),2426605)</f>
        <v>2426605</v>
      </c>
      <c r="C8" s="215" t="str">
        <f ca="1">IFERROR(__xludf.DUMMYFUNCTION("""COMPUTED_VALUE"""),"Beginner")</f>
        <v>Beginner</v>
      </c>
      <c r="D8" s="216" t="str">
        <f ca="1">IFERROR(__xludf.DUMMYFUNCTION("""COMPUTED_VALUE"""),"How to Be an Inclusive Leader (getAbstract Summary)")</f>
        <v>How to Be an Inclusive Leader (getAbstract Summary)</v>
      </c>
      <c r="E8" s="217" t="str">
        <f ca="1">IFERROR(__xludf.DUMMYFUNCTION("""COMPUTED_VALUE"""),"Diversity, Inclusion and Belonging for Leaders and Managers")</f>
        <v>Diversity, Inclusion and Belonging for Leaders and Managers</v>
      </c>
      <c r="F8" s="213"/>
      <c r="G8" s="214">
        <f ca="1">IFERROR(__xludf.DUMMYFUNCTION("""COMPUTED_VALUE"""),2882163)</f>
        <v>2882163</v>
      </c>
      <c r="H8" s="215" t="str">
        <f ca="1">IFERROR(__xludf.DUMMYFUNCTION("""COMPUTED_VALUE"""),"Intermediate")</f>
        <v>Intermediate</v>
      </c>
      <c r="I8" s="217" t="str">
        <f ca="1">IFERROR(__xludf.DUMMYFUNCTION("""COMPUTED_VALUE"""),"Construire un programme d’inclusion de la maladie au travail")</f>
        <v>Construire un programme d’inclusion de la maladie au travail</v>
      </c>
      <c r="J8" s="217"/>
      <c r="K8" s="213"/>
      <c r="L8" s="215">
        <f ca="1">IFERROR(__xludf.DUMMYFUNCTION("""COMPUTED_VALUE"""),3129463)</f>
        <v>3129463</v>
      </c>
      <c r="M8" s="215" t="str">
        <f ca="1">IFERROR(__xludf.DUMMYFUNCTION("""COMPUTED_VALUE"""),"All levels")</f>
        <v>All levels</v>
      </c>
      <c r="N8" s="217" t="str">
        <f ca="1">IFERROR(__xludf.DUMMYFUNCTION("""COMPUTED_VALUE"""),"Cómo cultivar la habilidad y la inclusión cultural")</f>
        <v>Cómo cultivar la habilidad y la inclusión cultural</v>
      </c>
      <c r="O8" s="217"/>
      <c r="P8" s="213"/>
      <c r="Q8" s="215">
        <f ca="1">IFERROR(__xludf.DUMMYFUNCTION("""COMPUTED_VALUE"""),2930143)</f>
        <v>2930143</v>
      </c>
      <c r="R8" s="215" t="str">
        <f ca="1">IFERROR(__xludf.DUMMYFUNCTION("""COMPUTED_VALUE"""),"Beginner")</f>
        <v>Beginner</v>
      </c>
      <c r="S8" s="217" t="str">
        <f ca="1">IFERROR(__xludf.DUMMYFUNCTION("""COMPUTED_VALUE"""),"Erfolgsstrategien für Frauen im Beruf")</f>
        <v>Erfolgsstrategien für Frauen im Beruf</v>
      </c>
      <c r="T8" s="217"/>
      <c r="U8" s="213"/>
      <c r="V8" s="215">
        <f ca="1">IFERROR(__xludf.DUMMYFUNCTION("""COMPUTED_VALUE"""),2915224)</f>
        <v>2915224</v>
      </c>
      <c r="W8" s="215" t="str">
        <f ca="1">IFERROR(__xludf.DUMMYFUNCTION("""COMPUTED_VALUE"""),"Beginner, Intermediate")</f>
        <v>Beginner, Intermediate</v>
      </c>
      <c r="X8" s="217" t="str">
        <f ca="1">IFERROR(__xludf.DUMMYFUNCTION("""COMPUTED_VALUE"""),"こころの知能指数（EQ）の高め方")</f>
        <v>こころの知能指数（EQ）の高め方</v>
      </c>
      <c r="Y8" s="217"/>
      <c r="Z8" s="213"/>
      <c r="AA8" s="215">
        <f ca="1">IFERROR(__xludf.DUMMYFUNCTION("""COMPUTED_VALUE"""),2841352)</f>
        <v>2841352</v>
      </c>
      <c r="AB8" s="215" t="str">
        <f ca="1">IFERROR(__xludf.DUMMYFUNCTION("""COMPUTED_VALUE"""),"Beginner")</f>
        <v>Beginner</v>
      </c>
      <c r="AC8" s="217" t="str">
        <f ca="1">IFERROR(__xludf.DUMMYFUNCTION("""COMPUTED_VALUE"""),"Como Desenvolver a Autoconsciência")</f>
        <v>Como Desenvolver a Autoconsciência</v>
      </c>
      <c r="AD8" s="217"/>
      <c r="AE8" s="213"/>
      <c r="AF8" s="215">
        <f ca="1">IFERROR(__xludf.DUMMYFUNCTION("""COMPUTED_VALUE"""),5020681)</f>
        <v>5020681</v>
      </c>
      <c r="AG8" s="215" t="str">
        <f ca="1">IFERROR(__xludf.DUMMYFUNCTION("""COMPUTED_VALUE"""),"Intermediate")</f>
        <v>Intermediate</v>
      </c>
      <c r="AH8" s="217" t="str">
        <f ca="1">IFERROR(__xludf.DUMMYFUNCTION("""COMPUTED_VALUE"""),"包容性领导力")</f>
        <v>包容性领导力</v>
      </c>
      <c r="AI8" s="217"/>
      <c r="AJ8" s="213"/>
    </row>
    <row r="9" spans="1:36" ht="33.75" customHeight="1">
      <c r="A9" s="213"/>
      <c r="B9" s="214">
        <f ca="1">IFERROR(__xludf.DUMMYFUNCTION("""COMPUTED_VALUE"""),5028617)</f>
        <v>5028617</v>
      </c>
      <c r="C9" s="215" t="str">
        <f ca="1">IFERROR(__xludf.DUMMYFUNCTION("""COMPUTED_VALUE"""),"Intermediate")</f>
        <v>Intermediate</v>
      </c>
      <c r="D9" s="216" t="str">
        <f ca="1">IFERROR(__xludf.DUMMYFUNCTION("""COMPUTED_VALUE"""),"Communicating Values")</f>
        <v>Communicating Values</v>
      </c>
      <c r="E9" s="217" t="str">
        <f ca="1">IFERROR(__xludf.DUMMYFUNCTION("""COMPUTED_VALUE"""),"How to Engage Meaningfully in Allyship and Anti-Racism")</f>
        <v>How to Engage Meaningfully in Allyship and Anti-Racism</v>
      </c>
      <c r="F9" s="213"/>
      <c r="G9" s="214">
        <f ca="1">IFERROR(__xludf.DUMMYFUNCTION("""COMPUTED_VALUE"""),758900)</f>
        <v>758900</v>
      </c>
      <c r="H9" s="215" t="str">
        <f ca="1">IFERROR(__xludf.DUMMYFUNCTION("""COMPUTED_VALUE"""),"Advanced")</f>
        <v>Advanced</v>
      </c>
      <c r="I9" s="217" t="str">
        <f ca="1">IFERROR(__xludf.DUMMYFUNCTION("""COMPUTED_VALUE"""),"Créer un environnement de travail positif et sain")</f>
        <v>Créer un environnement de travail positif et sain</v>
      </c>
      <c r="J9" s="217"/>
      <c r="K9" s="213"/>
      <c r="L9" s="215">
        <f ca="1">IFERROR(__xludf.DUMMYFUNCTION("""COMPUTED_VALUE"""),3146621)</f>
        <v>3146621</v>
      </c>
      <c r="M9" s="215" t="str">
        <f ca="1">IFERROR(__xludf.DUMMYFUNCTION("""COMPUTED_VALUE"""),"Advanced")</f>
        <v>Advanced</v>
      </c>
      <c r="N9" s="217" t="str">
        <f ca="1">IFERROR(__xludf.DUMMYFUNCTION("""COMPUTED_VALUE"""),"Cómo desactivar la comunicación tóxica")</f>
        <v>Cómo desactivar la comunicación tóxica</v>
      </c>
      <c r="O9" s="217"/>
      <c r="P9" s="213"/>
      <c r="Q9" s="215">
        <f ca="1">IFERROR(__xludf.DUMMYFUNCTION("""COMPUTED_VALUE"""),2951126)</f>
        <v>2951126</v>
      </c>
      <c r="R9" s="215" t="str">
        <f ca="1">IFERROR(__xludf.DUMMYFUNCTION("""COMPUTED_VALUE"""),"All levels")</f>
        <v>All levels</v>
      </c>
      <c r="S9" s="217" t="str">
        <f ca="1">IFERROR(__xludf.DUMMYFUNCTION("""COMPUTED_VALUE"""),"Erfolgsstrategien für Frauen in Führungspositionen")</f>
        <v>Erfolgsstrategien für Frauen in Führungspositionen</v>
      </c>
      <c r="T9" s="217"/>
      <c r="U9" s="213"/>
      <c r="V9" s="215">
        <f ca="1">IFERROR(__xludf.DUMMYFUNCTION("""COMPUTED_VALUE"""),2885003)</f>
        <v>2885003</v>
      </c>
      <c r="W9" s="215" t="str">
        <f ca="1">IFERROR(__xludf.DUMMYFUNCTION("""COMPUTED_VALUE"""),"Intermediate")</f>
        <v>Intermediate</v>
      </c>
      <c r="X9" s="217" t="str">
        <f ca="1">IFERROR(__xludf.DUMMYFUNCTION("""COMPUTED_VALUE"""),"さまざまな世代の社員をマネジメントするには")</f>
        <v>さまざまな世代の社員をマネジメントするには</v>
      </c>
      <c r="Y9" s="217"/>
      <c r="Z9" s="213"/>
      <c r="AA9" s="215">
        <f ca="1">IFERROR(__xludf.DUMMYFUNCTION("""COMPUTED_VALUE"""),2895466)</f>
        <v>2895466</v>
      </c>
      <c r="AB9" s="215" t="str">
        <f ca="1">IFERROR(__xludf.DUMMYFUNCTION("""COMPUTED_VALUE"""),"All levels")</f>
        <v>All levels</v>
      </c>
      <c r="AC9" s="217" t="str">
        <f ca="1">IFERROR(__xludf.DUMMYFUNCTION("""COMPUTED_VALUE"""),"Como Desenvolver as Competências Necessárias para Abordar Conversas Inclusivas")</f>
        <v>Como Desenvolver as Competências Necessárias para Abordar Conversas Inclusivas</v>
      </c>
      <c r="AD9" s="217"/>
      <c r="AE9" s="213"/>
      <c r="AF9" s="215">
        <f ca="1">IFERROR(__xludf.DUMMYFUNCTION("""COMPUTED_VALUE"""),803820)</f>
        <v>803820</v>
      </c>
      <c r="AG9" s="215" t="str">
        <f ca="1">IFERROR(__xludf.DUMMYFUNCTION("""COMPUTED_VALUE"""),"All levels")</f>
        <v>All levels</v>
      </c>
      <c r="AH9" s="217" t="str">
        <f ca="1">IFERROR(__xludf.DUMMYFUNCTION("""COMPUTED_VALUE"""),"培养跨文化智商")</f>
        <v>培养跨文化智商</v>
      </c>
      <c r="AI9" s="217"/>
      <c r="AJ9" s="213"/>
    </row>
    <row r="10" spans="1:36" ht="33.75" customHeight="1">
      <c r="A10" s="213"/>
      <c r="B10" s="214">
        <f ca="1">IFERROR(__xludf.DUMMYFUNCTION("""COMPUTED_VALUE"""),2252217)</f>
        <v>2252217</v>
      </c>
      <c r="C10" s="215" t="str">
        <f ca="1">IFERROR(__xludf.DUMMYFUNCTION("""COMPUTED_VALUE"""),"Intermediate")</f>
        <v>Intermediate</v>
      </c>
      <c r="D10" s="216" t="str">
        <f ca="1">IFERROR(__xludf.DUMMYFUNCTION("""COMPUTED_VALUE"""),"Managing Multiple Generations")</f>
        <v>Managing Multiple Generations</v>
      </c>
      <c r="E10" s="217" t="str">
        <f ca="1">IFERROR(__xludf.DUMMYFUNCTION("""COMPUTED_VALUE"""),"Improve Your Coaching Skills as a Manager")</f>
        <v>Improve Your Coaching Skills as a Manager</v>
      </c>
      <c r="F10" s="213"/>
      <c r="G10" s="214">
        <f ca="1">IFERROR(__xludf.DUMMYFUNCTION("""COMPUTED_VALUE"""),707931)</f>
        <v>707931</v>
      </c>
      <c r="H10" s="215" t="str">
        <f ca="1">IFERROR(__xludf.DUMMYFUNCTION("""COMPUTED_VALUE"""),"All levels")</f>
        <v>All levels</v>
      </c>
      <c r="I10" s="217" t="str">
        <f ca="1">IFERROR(__xludf.DUMMYFUNCTION("""COMPUTED_VALUE"""),"Découvrir les biais cognitifs")</f>
        <v>Découvrir les biais cognitifs</v>
      </c>
      <c r="J10" s="217"/>
      <c r="K10" s="213"/>
      <c r="L10" s="215">
        <f ca="1">IFERROR(__xludf.DUMMYFUNCTION("""COMPUTED_VALUE"""),608973)</f>
        <v>608973</v>
      </c>
      <c r="M10" s="215" t="str">
        <f ca="1">IFERROR(__xludf.DUMMYFUNCTION("""COMPUTED_VALUE"""),"All levels")</f>
        <v>All levels</v>
      </c>
      <c r="N10" s="217" t="str">
        <f ca="1">IFERROR(__xludf.DUMMYFUNCTION("""COMPUTED_VALUE"""),"Cómo desarrollar la inteligencia intercultural")</f>
        <v>Cómo desarrollar la inteligencia intercultural</v>
      </c>
      <c r="O10" s="217"/>
      <c r="P10" s="213"/>
      <c r="Q10" s="215">
        <f ca="1">IFERROR(__xludf.DUMMYFUNCTION("""COMPUTED_VALUE"""),3130117)</f>
        <v>3130117</v>
      </c>
      <c r="R10" s="215" t="str">
        <f ca="1">IFERROR(__xludf.DUMMYFUNCTION("""COMPUTED_VALUE"""),"All levels")</f>
        <v>All levels</v>
      </c>
      <c r="S10" s="217" t="str">
        <f ca="1">IFERROR(__xludf.DUMMYFUNCTION("""COMPUTED_VALUE"""),"Fair führen (Blinkist Kernaussagen)")</f>
        <v>Fair führen (Blinkist Kernaussagen)</v>
      </c>
      <c r="T10" s="217"/>
      <c r="U10" s="213"/>
      <c r="V10" s="215">
        <f ca="1">IFERROR(__xludf.DUMMYFUNCTION("""COMPUTED_VALUE"""),2877213)</f>
        <v>2877213</v>
      </c>
      <c r="W10" s="215" t="str">
        <f ca="1">IFERROR(__xludf.DUMMYFUNCTION("""COMPUTED_VALUE"""),"Beginner")</f>
        <v>Beginner</v>
      </c>
      <c r="X10" s="217" t="str">
        <f ca="1">IFERROR(__xludf.DUMMYFUNCTION("""COMPUTED_VALUE"""),"ダイバーシティ 、インクルージョン、ビロンギング")</f>
        <v>ダイバーシティ 、インクルージョン、ビロンギング</v>
      </c>
      <c r="Y10" s="217"/>
      <c r="Z10" s="213"/>
      <c r="AA10" s="215">
        <f ca="1">IFERROR(__xludf.DUMMYFUNCTION("""COMPUTED_VALUE"""),2421638)</f>
        <v>2421638</v>
      </c>
      <c r="AB10" s="215" t="str">
        <f ca="1">IFERROR(__xludf.DUMMYFUNCTION("""COMPUTED_VALUE"""),"Beginner")</f>
        <v>Beginner</v>
      </c>
      <c r="AC10" s="217" t="str">
        <f ca="1">IFERROR(__xludf.DUMMYFUNCTION("""COMPUTED_VALUE"""),"Como Desenvolver um Programa de Diversidade, Inclusão e Senso de Pertencimento")</f>
        <v>Como Desenvolver um Programa de Diversidade, Inclusão e Senso de Pertencimento</v>
      </c>
      <c r="AD10" s="217"/>
      <c r="AE10" s="213"/>
      <c r="AF10" s="215">
        <f ca="1">IFERROR(__xludf.DUMMYFUNCTION("""COMPUTED_VALUE"""),3002652)</f>
        <v>3002652</v>
      </c>
      <c r="AG10" s="215" t="str">
        <f ca="1">IFERROR(__xludf.DUMMYFUNCTION("""COMPUTED_VALUE"""),"All levels")</f>
        <v>All levels</v>
      </c>
      <c r="AH10" s="217" t="str">
        <f ca="1">IFERROR(__xludf.DUMMYFUNCTION("""COMPUTED_VALUE"""),"培养跨文化竞争力和包容性")</f>
        <v>培养跨文化竞争力和包容性</v>
      </c>
      <c r="AI10" s="217"/>
      <c r="AJ10" s="213"/>
    </row>
    <row r="11" spans="1:36" ht="33.75" customHeight="1">
      <c r="A11" s="213"/>
      <c r="B11" s="214">
        <f ca="1">IFERROR(__xludf.DUMMYFUNCTION("""COMPUTED_VALUE"""),625917)</f>
        <v>625917</v>
      </c>
      <c r="C11" s="215" t="str">
        <f ca="1">IFERROR(__xludf.DUMMYFUNCTION("""COMPUTED_VALUE"""),"Intermediate")</f>
        <v>Intermediate</v>
      </c>
      <c r="D11" s="216" t="str">
        <f ca="1">IFERROR(__xludf.DUMMYFUNCTION("""COMPUTED_VALUE"""),"Managing a Multigenerational Workforce")</f>
        <v>Managing a Multigenerational Workforce</v>
      </c>
      <c r="E11" s="217" t="str">
        <f ca="1">IFERROR(__xludf.DUMMYFUNCTION("""COMPUTED_VALUE"""),"Stay Ahead in All Things DIBs")</f>
        <v>Stay Ahead in All Things DIBs</v>
      </c>
      <c r="F11" s="213"/>
      <c r="G11" s="214">
        <f ca="1">IFERROR(__xludf.DUMMYFUNCTION("""COMPUTED_VALUE"""),622394)</f>
        <v>622394</v>
      </c>
      <c r="H11" s="215" t="str">
        <f ca="1">IFERROR(__xludf.DUMMYFUNCTION("""COMPUTED_VALUE"""),"All levels")</f>
        <v>All levels</v>
      </c>
      <c r="I11" s="217" t="str">
        <f ca="1">IFERROR(__xludf.DUMMYFUNCTION("""COMPUTED_VALUE"""),"Développer son intelligence interculturelle")</f>
        <v>Développer son intelligence interculturelle</v>
      </c>
      <c r="J11" s="217"/>
      <c r="K11" s="213"/>
      <c r="L11" s="215">
        <f ca="1">IFERROR(__xludf.DUMMYFUNCTION("""COMPUTED_VALUE"""),3129464)</f>
        <v>3129464</v>
      </c>
      <c r="M11" s="215" t="str">
        <f ca="1">IFERROR(__xludf.DUMMYFUNCTION("""COMPUTED_VALUE"""),"Intermediate")</f>
        <v>Intermediate</v>
      </c>
      <c r="N11" s="217" t="str">
        <f ca="1">IFERROR(__xludf.DUMMYFUNCTION("""COMPUTED_VALUE"""),"Cómo desarrollar un programa de diversidad, inclusión y pertenencia")</f>
        <v>Cómo desarrollar un programa de diversidad, inclusión y pertenencia</v>
      </c>
      <c r="O11" s="217"/>
      <c r="P11" s="213"/>
      <c r="Q11" s="215">
        <f ca="1">IFERROR(__xludf.DUMMYFUNCTION("""COMPUTED_VALUE"""),2841286)</f>
        <v>2841286</v>
      </c>
      <c r="R11" s="215" t="str">
        <f ca="1">IFERROR(__xludf.DUMMYFUNCTION("""COMPUTED_VALUE"""),"All levels")</f>
        <v>All levels</v>
      </c>
      <c r="S11" s="217" t="str">
        <f ca="1">IFERROR(__xludf.DUMMYFUNCTION("""COMPUTED_VALUE"""),"Führungsstärke ausstrahlen: Tipps für Frauen")</f>
        <v>Führungsstärke ausstrahlen: Tipps für Frauen</v>
      </c>
      <c r="T11" s="217"/>
      <c r="U11" s="213"/>
      <c r="V11" s="215">
        <f ca="1">IFERROR(__xludf.DUMMYFUNCTION("""COMPUTED_VALUE"""),3142305)</f>
        <v>3142305</v>
      </c>
      <c r="W11" s="215" t="str">
        <f ca="1">IFERROR(__xludf.DUMMYFUNCTION("""COMPUTED_VALUE"""),"Intermediate")</f>
        <v>Intermediate</v>
      </c>
      <c r="X11" s="217" t="str">
        <f ca="1">IFERROR(__xludf.DUMMYFUNCTION("""COMPUTED_VALUE"""),"ダイバーシティ、インクルージョン、ビロンギングの戦略を立てるには")</f>
        <v>ダイバーシティ、インクルージョン、ビロンギングの戦略を立てるには</v>
      </c>
      <c r="Y11" s="217"/>
      <c r="Z11" s="213"/>
      <c r="AA11" s="215">
        <f ca="1">IFERROR(__xludf.DUMMYFUNCTION("""COMPUTED_VALUE"""),2929560)</f>
        <v>2929560</v>
      </c>
      <c r="AB11" s="215" t="str">
        <f ca="1">IFERROR(__xludf.DUMMYFUNCTION("""COMPUTED_VALUE"""),"Intermediate")</f>
        <v>Intermediate</v>
      </c>
      <c r="AC11" s="217" t="str">
        <f ca="1">IFERROR(__xludf.DUMMYFUNCTION("""COMPUTED_VALUE"""),"Como Gerenciar uma Equipe Diversificada")</f>
        <v>Como Gerenciar uma Equipe Diversificada</v>
      </c>
      <c r="AD11" s="217"/>
      <c r="AE11" s="213"/>
      <c r="AF11" s="215">
        <f ca="1">IFERROR(__xludf.DUMMYFUNCTION("""COMPUTED_VALUE"""),2887002)</f>
        <v>2887002</v>
      </c>
      <c r="AG11" s="215" t="str">
        <f ca="1">IFERROR(__xludf.DUMMYFUNCTION("""COMPUTED_VALUE"""),"Beginner")</f>
        <v>Beginner</v>
      </c>
      <c r="AH11" s="217" t="str">
        <f ca="1">IFERROR(__xludf.DUMMYFUNCTION("""COMPUTED_VALUE"""),"女性推动技术变革：消除偏见")</f>
        <v>女性推动技术变革：消除偏见</v>
      </c>
      <c r="AI11" s="217"/>
      <c r="AJ11" s="213"/>
    </row>
    <row r="12" spans="1:36" ht="33.75" customHeight="1">
      <c r="A12" s="213"/>
      <c r="B12" s="214">
        <f ca="1">IFERROR(__xludf.DUMMYFUNCTION("""COMPUTED_VALUE"""),5022331)</f>
        <v>5022331</v>
      </c>
      <c r="C12" s="215" t="str">
        <f ca="1">IFERROR(__xludf.DUMMYFUNCTION("""COMPUTED_VALUE"""),"Intermediate")</f>
        <v>Intermediate</v>
      </c>
      <c r="D12" s="216" t="str">
        <f ca="1">IFERROR(__xludf.DUMMYFUNCTION("""COMPUTED_VALUE"""),"Collaborative Leadership")</f>
        <v>Collaborative Leadership</v>
      </c>
      <c r="E12" s="217" t="str">
        <f ca="1">IFERROR(__xludf.DUMMYFUNCTION("""COMPUTED_VALUE"""),"Transition from Military to Civilian Employment")</f>
        <v>Transition from Military to Civilian Employment</v>
      </c>
      <c r="F12" s="213"/>
      <c r="G12" s="214">
        <f ca="1">IFERROR(__xludf.DUMMYFUNCTION("""COMPUTED_VALUE"""),2873292)</f>
        <v>2873292</v>
      </c>
      <c r="H12" s="215" t="str">
        <f ca="1">IFERROR(__xludf.DUMMYFUNCTION("""COMPUTED_VALUE"""),"Intermediate")</f>
        <v>Intermediate</v>
      </c>
      <c r="I12" s="217" t="str">
        <f ca="1">IFERROR(__xludf.DUMMYFUNCTION("""COMPUTED_VALUE"""),"Développer un programme de diversité, d'inclusion et d'appartenance")</f>
        <v>Développer un programme de diversité, d'inclusion et d'appartenance</v>
      </c>
      <c r="J12" s="217"/>
      <c r="K12" s="213"/>
      <c r="L12" s="215">
        <f ca="1">IFERROR(__xludf.DUMMYFUNCTION("""COMPUTED_VALUE"""),800903)</f>
        <v>800903</v>
      </c>
      <c r="M12" s="215" t="str">
        <f ca="1">IFERROR(__xludf.DUMMYFUNCTION("""COMPUTED_VALUE"""),"Intermediate")</f>
        <v>Intermediate</v>
      </c>
      <c r="N12" s="217" t="str">
        <f ca="1">IFERROR(__xludf.DUMMYFUNCTION("""COMPUTED_VALUE"""),"Cómo dirigir en un entorno global o internacional")</f>
        <v>Cómo dirigir en un entorno global o internacional</v>
      </c>
      <c r="O12" s="217"/>
      <c r="P12" s="213"/>
      <c r="Q12" s="215">
        <f ca="1">IFERROR(__xludf.DUMMYFUNCTION("""COMPUTED_VALUE"""),2433096)</f>
        <v>2433096</v>
      </c>
      <c r="R12" s="215" t="str">
        <f ca="1">IFERROR(__xludf.DUMMYFUNCTION("""COMPUTED_VALUE"""),"Beginner")</f>
        <v>Beginner</v>
      </c>
      <c r="S12" s="217" t="str">
        <f ca="1">IFERROR(__xludf.DUMMYFUNCTION("""COMPUTED_VALUE"""),"Ihre wirkungsvolle Diversity-Strategie entwickeln")</f>
        <v>Ihre wirkungsvolle Diversity-Strategie entwickeln</v>
      </c>
      <c r="T12" s="217"/>
      <c r="U12" s="213"/>
      <c r="V12" s="215">
        <f ca="1">IFERROR(__xludf.DUMMYFUNCTION("""COMPUTED_VALUE"""),3148360)</f>
        <v>3148360</v>
      </c>
      <c r="W12" s="215" t="str">
        <f ca="1">IFERROR(__xludf.DUMMYFUNCTION("""COMPUTED_VALUE"""),"Intermediate")</f>
        <v>Intermediate</v>
      </c>
      <c r="X12" s="217" t="str">
        <f ca="1">IFERROR(__xludf.DUMMYFUNCTION("""COMPUTED_VALUE"""),"ダイバーシティに配慮した採用戦略")</f>
        <v>ダイバーシティに配慮した採用戦略</v>
      </c>
      <c r="Y12" s="217"/>
      <c r="Z12" s="213"/>
      <c r="AA12" s="215">
        <f ca="1">IFERROR(__xludf.DUMMYFUNCTION("""COMPUTED_VALUE"""),2928593)</f>
        <v>2928593</v>
      </c>
      <c r="AB12" s="215" t="str">
        <f ca="1">IFERROR(__xludf.DUMMYFUNCTION("""COMPUTED_VALUE"""),"All levels")</f>
        <v>All levels</v>
      </c>
      <c r="AC12" s="217" t="str">
        <f ca="1">IFERROR(__xludf.DUMMYFUNCTION("""COMPUTED_VALUE"""),"Como Prevenir o Assédio no Trabalho e Criar um Ambiente Seguro")</f>
        <v>Como Prevenir o Assédio no Trabalho e Criar um Ambiente Seguro</v>
      </c>
      <c r="AD12" s="217"/>
      <c r="AE12" s="213"/>
      <c r="AF12" s="215">
        <f ca="1">IFERROR(__xludf.DUMMYFUNCTION("""COMPUTED_VALUE"""),2257255)</f>
        <v>2257255</v>
      </c>
      <c r="AG12" s="215" t="str">
        <f ca="1">IFERROR(__xludf.DUMMYFUNCTION("""COMPUTED_VALUE"""),"Beginner")</f>
        <v>Beginner</v>
      </c>
      <c r="AH12" s="217" t="str">
        <f ca="1">IFERROR(__xludf.DUMMYFUNCTION("""COMPUTED_VALUE"""),"无意识偏见")</f>
        <v>无意识偏见</v>
      </c>
      <c r="AI12" s="217"/>
      <c r="AJ12" s="213"/>
    </row>
    <row r="13" spans="1:36" ht="33.75" customHeight="1">
      <c r="A13" s="213"/>
      <c r="B13" s="214">
        <f ca="1">IFERROR(__xludf.DUMMYFUNCTION("""COMPUTED_VALUE"""),2819137)</f>
        <v>2819137</v>
      </c>
      <c r="C13" s="215" t="str">
        <f ca="1">IFERROR(__xludf.DUMMYFUNCTION("""COMPUTED_VALUE"""),"Intermediate")</f>
        <v>Intermediate</v>
      </c>
      <c r="D13" s="216" t="str">
        <f ca="1">IFERROR(__xludf.DUMMYFUNCTION("""COMPUTED_VALUE"""),"Developing a Diversity, Inclusion, and Belonging Program")</f>
        <v>Developing a Diversity, Inclusion, and Belonging Program</v>
      </c>
      <c r="E13" s="217" t="str">
        <f ca="1">IFERROR(__xludf.DUMMYFUNCTION("""COMPUTED_VALUE"""),"Transition from Military to Student Life")</f>
        <v>Transition from Military to Student Life</v>
      </c>
      <c r="F13" s="213"/>
      <c r="G13" s="214">
        <f ca="1">IFERROR(__xludf.DUMMYFUNCTION("""COMPUTED_VALUE"""),2215100)</f>
        <v>2215100</v>
      </c>
      <c r="H13" s="215" t="str">
        <f ca="1">IFERROR(__xludf.DUMMYFUNCTION("""COMPUTED_VALUE"""),"Intermediate")</f>
        <v>Intermediate</v>
      </c>
      <c r="I13" s="217" t="str">
        <f ca="1">IFERROR(__xludf.DUMMYFUNCTION("""COMPUTED_VALUE"""),"Devenir un manager bienveillant / une manager bienveillante")</f>
        <v>Devenir un manager bienveillant / une manager bienveillante</v>
      </c>
      <c r="J13" s="217"/>
      <c r="K13" s="213"/>
      <c r="L13" s="215">
        <f ca="1">IFERROR(__xludf.DUMMYFUNCTION("""COMPUTED_VALUE"""),2874023)</f>
        <v>2874023</v>
      </c>
      <c r="M13" s="215" t="str">
        <f ca="1">IFERROR(__xludf.DUMMYFUNCTION("""COMPUTED_VALUE"""),"All levels")</f>
        <v>All levels</v>
      </c>
      <c r="N13" s="217" t="str">
        <f ca="1">IFERROR(__xludf.DUMMYFUNCTION("""COMPUTED_VALUE"""),"Cómo enfrentar los prejuicios: superando nuestras diferencias")</f>
        <v>Cómo enfrentar los prejuicios: superando nuestras diferencias</v>
      </c>
      <c r="O13" s="217"/>
      <c r="P13" s="213"/>
      <c r="Q13" s="215">
        <f ca="1">IFERROR(__xludf.DUMMYFUNCTION("""COMPUTED_VALUE"""),397362)</f>
        <v>397362</v>
      </c>
      <c r="R13" s="215" t="str">
        <f ca="1">IFERROR(__xludf.DUMMYFUNCTION("""COMPUTED_VALUE"""),"All levels")</f>
        <v>All levels</v>
      </c>
      <c r="S13" s="217" t="str">
        <f ca="1">IFERROR(__xludf.DUMMYFUNCTION("""COMPUTED_VALUE"""),"Interkulturelle Kompetenz")</f>
        <v>Interkulturelle Kompetenz</v>
      </c>
      <c r="T13" s="217"/>
      <c r="U13" s="213"/>
      <c r="V13" s="215">
        <f ca="1">IFERROR(__xludf.DUMMYFUNCTION("""COMPUTED_VALUE"""),802206)</f>
        <v>802206</v>
      </c>
      <c r="W13" s="215" t="str">
        <f ca="1">IFERROR(__xludf.DUMMYFUNCTION("""COMPUTED_VALUE"""),"All levels")</f>
        <v>All levels</v>
      </c>
      <c r="X13" s="217" t="str">
        <f ca="1">IFERROR(__xludf.DUMMYFUNCTION("""COMPUTED_VALUE"""),"ビジネスにおける異文化コミュニケーション")</f>
        <v>ビジネスにおける異文化コミュニケーション</v>
      </c>
      <c r="Y13" s="217"/>
      <c r="Z13" s="213"/>
      <c r="AA13" s="215">
        <f ca="1">IFERROR(__xludf.DUMMYFUNCTION("""COMPUTED_VALUE"""),2841351)</f>
        <v>2841351</v>
      </c>
      <c r="AB13" s="215" t="str">
        <f ca="1">IFERROR(__xludf.DUMMYFUNCTION("""COMPUTED_VALUE"""),"Beginner")</f>
        <v>Beginner</v>
      </c>
      <c r="AC13" s="217" t="str">
        <f ca="1">IFERROR(__xludf.DUMMYFUNCTION("""COMPUTED_VALUE"""),"Como se Comunicar com Empatia")</f>
        <v>Como se Comunicar com Empatia</v>
      </c>
      <c r="AD13" s="217"/>
      <c r="AE13" s="213"/>
      <c r="AF13" s="215">
        <f ca="1">IFERROR(__xludf.DUMMYFUNCTION("""COMPUTED_VALUE"""),2822711)</f>
        <v>2822711</v>
      </c>
      <c r="AG13" s="215" t="str">
        <f ca="1">IFERROR(__xludf.DUMMYFUNCTION("""COMPUTED_VALUE"""),"Intermediate")</f>
        <v>Intermediate</v>
      </c>
      <c r="AH13" s="217" t="str">
        <f ca="1">IFERROR(__xludf.DUMMYFUNCTION("""COMPUTED_VALUE"""),"管理企业多元化")</f>
        <v>管理企业多元化</v>
      </c>
      <c r="AI13" s="217"/>
      <c r="AJ13" s="213"/>
    </row>
    <row r="14" spans="1:36" ht="33.75" customHeight="1">
      <c r="A14" s="213"/>
      <c r="B14" s="214">
        <f ca="1">IFERROR(__xludf.DUMMYFUNCTION("""COMPUTED_VALUE"""),2886218)</f>
        <v>2886218</v>
      </c>
      <c r="C14" s="215" t="str">
        <f ca="1">IFERROR(__xludf.DUMMYFUNCTION("""COMPUTED_VALUE"""),"Intermediate")</f>
        <v>Intermediate</v>
      </c>
      <c r="D14" s="216" t="str">
        <f ca="1">IFERROR(__xludf.DUMMYFUNCTION("""COMPUTED_VALUE"""),"Digital Accessibility for the Modern Workplace")</f>
        <v>Digital Accessibility for the Modern Workplace</v>
      </c>
      <c r="E14" s="217" t="str">
        <f ca="1">IFERROR(__xludf.DUMMYFUNCTION("""COMPUTED_VALUE"""),"Women in Leadership")</f>
        <v>Women in Leadership</v>
      </c>
      <c r="F14" s="213"/>
      <c r="G14" s="214">
        <f ca="1">IFERROR(__xludf.DUMMYFUNCTION("""COMPUTED_VALUE"""),447165)</f>
        <v>447165</v>
      </c>
      <c r="H14" s="215" t="str">
        <f ca="1">IFERROR(__xludf.DUMMYFUNCTION("""COMPUTED_VALUE"""),"Beginner")</f>
        <v>Beginner</v>
      </c>
      <c r="I14" s="217" t="str">
        <f ca="1">IFERROR(__xludf.DUMMYFUNCTION("""COMPUTED_VALUE"""),"Diriger grâce à l’intelligence émotionnelle")</f>
        <v>Diriger grâce à l’intelligence émotionnelle</v>
      </c>
      <c r="J14" s="217"/>
      <c r="K14" s="213"/>
      <c r="L14" s="215">
        <f ca="1">IFERROR(__xludf.DUMMYFUNCTION("""COMPUTED_VALUE"""),2931444)</f>
        <v>2931444</v>
      </c>
      <c r="M14" s="215" t="str">
        <f ca="1">IFERROR(__xludf.DUMMYFUNCTION("""COMPUTED_VALUE"""),"Intermediate")</f>
        <v>Intermediate</v>
      </c>
      <c r="N14" s="217" t="str">
        <f ca="1">IFERROR(__xludf.DUMMYFUNCTION("""COMPUTED_VALUE"""),"Cómo gestionar la diversidad")</f>
        <v>Cómo gestionar la diversidad</v>
      </c>
      <c r="O14" s="217"/>
      <c r="P14" s="213"/>
      <c r="Q14" s="215">
        <f ca="1">IFERROR(__xludf.DUMMYFUNCTION("""COMPUTED_VALUE"""),553345)</f>
        <v>553345</v>
      </c>
      <c r="R14" s="215" t="str">
        <f ca="1">IFERROR(__xludf.DUMMYFUNCTION("""COMPUTED_VALUE"""),"All levels")</f>
        <v>All levels</v>
      </c>
      <c r="S14" s="217" t="str">
        <f ca="1">IFERROR(__xludf.DUMMYFUNCTION("""COMPUTED_VALUE"""),"Internationale Personalentwicklung")</f>
        <v>Internationale Personalentwicklung</v>
      </c>
      <c r="T14" s="217"/>
      <c r="U14" s="213"/>
      <c r="V14" s="215">
        <f ca="1">IFERROR(__xludf.DUMMYFUNCTION("""COMPUTED_VALUE"""),3145296)</f>
        <v>3145296</v>
      </c>
      <c r="W14" s="215" t="str">
        <f ca="1">IFERROR(__xludf.DUMMYFUNCTION("""COMPUTED_VALUE"""),"All levels")</f>
        <v>All levels</v>
      </c>
      <c r="X14" s="217" t="str">
        <f ca="1">IFERROR(__xludf.DUMMYFUNCTION("""COMPUTED_VALUE"""),"偏見に立ち向かう：違いを乗り越えて成功するには")</f>
        <v>偏見に立ち向かう：違いを乗り越えて成功するには</v>
      </c>
      <c r="Y14" s="217"/>
      <c r="Z14" s="213"/>
      <c r="AA14" s="215">
        <f ca="1">IFERROR(__xludf.DUMMYFUNCTION("""COMPUTED_VALUE"""),2930665)</f>
        <v>2930665</v>
      </c>
      <c r="AB14" s="215" t="str">
        <f ca="1">IFERROR(__xludf.DUMMYFUNCTION("""COMPUTED_VALUE"""),"Beginner")</f>
        <v>Beginner</v>
      </c>
      <c r="AC14" s="217" t="str">
        <f ca="1">IFERROR(__xludf.DUMMYFUNCTION("""COMPUTED_VALUE"""),"Como Superar o Assédio no Trabalho")</f>
        <v>Como Superar o Assédio no Trabalho</v>
      </c>
      <c r="AD14" s="217"/>
      <c r="AE14" s="213"/>
      <c r="AF14" s="215">
        <f ca="1">IFERROR(__xludf.DUMMYFUNCTION("""COMPUTED_VALUE"""),2824442)</f>
        <v>2824442</v>
      </c>
      <c r="AG14" s="215" t="str">
        <f ca="1">IFERROR(__xludf.DUMMYFUNCTION("""COMPUTED_VALUE"""),"Intermediate")</f>
        <v>Intermediate</v>
      </c>
      <c r="AH14" s="217" t="str">
        <f ca="1">IFERROR(__xludf.DUMMYFUNCTION("""COMPUTED_VALUE"""),"管理多元化团队")</f>
        <v>管理多元化团队</v>
      </c>
      <c r="AI14" s="217"/>
      <c r="AJ14" s="213"/>
    </row>
    <row r="15" spans="1:36" ht="33.75" customHeight="1">
      <c r="A15" s="213"/>
      <c r="B15" s="214">
        <f ca="1">IFERROR(__xludf.DUMMYFUNCTION("""COMPUTED_VALUE"""),3004558)</f>
        <v>3004558</v>
      </c>
      <c r="C15" s="215" t="str">
        <f ca="1">IFERROR(__xludf.DUMMYFUNCTION("""COMPUTED_VALUE"""),"Intermediate")</f>
        <v>Intermediate</v>
      </c>
      <c r="D15" s="216" t="str">
        <f ca="1">IFERROR(__xludf.DUMMYFUNCTION("""COMPUTED_VALUE"""),"Be an Inclusive Organization People Won't Leave")</f>
        <v>Be an Inclusive Organization People Won't Leave</v>
      </c>
      <c r="E15" s="217" t="str">
        <f ca="1">IFERROR(__xludf.DUMMYFUNCTION("""COMPUTED_VALUE"""),"Women Transforming Tech: Navigating Your Career")</f>
        <v>Women Transforming Tech: Navigating Your Career</v>
      </c>
      <c r="F15" s="213"/>
      <c r="G15" s="214">
        <f ca="1">IFERROR(__xludf.DUMMYFUNCTION("""COMPUTED_VALUE"""),3117209)</f>
        <v>3117209</v>
      </c>
      <c r="H15" s="215" t="str">
        <f ca="1">IFERROR(__xludf.DUMMYFUNCTION("""COMPUTED_VALUE"""),"All levels")</f>
        <v>All levels</v>
      </c>
      <c r="I15" s="217" t="str">
        <f ca="1">IFERROR(__xludf.DUMMYFUNCTION("""COMPUTED_VALUE"""),"Faire face au deuil, à la perte et au changement")</f>
        <v>Faire face au deuil, à la perte et au changement</v>
      </c>
      <c r="J15" s="217"/>
      <c r="K15" s="213"/>
      <c r="L15" s="215">
        <f ca="1">IFERROR(__xludf.DUMMYFUNCTION("""COMPUTED_VALUE"""),2880103)</f>
        <v>2880103</v>
      </c>
      <c r="M15" s="215" t="str">
        <f ca="1">IFERROR(__xludf.DUMMYFUNCTION("""COMPUTED_VALUE"""),"Intermediate")</f>
        <v>Intermediate</v>
      </c>
      <c r="N15" s="217" t="str">
        <f ca="1">IFERROR(__xludf.DUMMYFUNCTION("""COMPUTED_VALUE"""),"Cómo gestionar un equipo multigeneracional")</f>
        <v>Cómo gestionar un equipo multigeneracional</v>
      </c>
      <c r="O15" s="217"/>
      <c r="P15" s="213"/>
      <c r="Q15" s="215">
        <f ca="1">IFERROR(__xludf.DUMMYFUNCTION("""COMPUTED_VALUE"""),593919)</f>
        <v>593919</v>
      </c>
      <c r="R15" s="215" t="str">
        <f ca="1">IFERROR(__xludf.DUMMYFUNCTION("""COMPUTED_VALUE"""),"All levels")</f>
        <v>All levels</v>
      </c>
      <c r="S15" s="217" t="str">
        <f ca="1">IFERROR(__xludf.DUMMYFUNCTION("""COMPUTED_VALUE"""),"Jeff Weiner über anteilnehmendes Management")</f>
        <v>Jeff Weiner über anteilnehmendes Management</v>
      </c>
      <c r="T15" s="217"/>
      <c r="U15" s="213"/>
      <c r="V15" s="215">
        <f ca="1">IFERROR(__xludf.DUMMYFUNCTION("""COMPUTED_VALUE"""),5039197)</f>
        <v>5039197</v>
      </c>
      <c r="W15" s="215" t="str">
        <f ca="1">IFERROR(__xludf.DUMMYFUNCTION("""COMPUTED_VALUE"""),"All levels")</f>
        <v>All levels</v>
      </c>
      <c r="X15" s="217" t="str">
        <f ca="1">IFERROR(__xludf.DUMMYFUNCTION("""COMPUTED_VALUE"""),"判断力の高め方")</f>
        <v>判断力の高め方</v>
      </c>
      <c r="Y15" s="217"/>
      <c r="Z15" s="213"/>
      <c r="AA15" s="215">
        <f ca="1">IFERROR(__xludf.DUMMYFUNCTION("""COMPUTED_VALUE"""),2416000)</f>
        <v>2416000</v>
      </c>
      <c r="AB15" s="215" t="str">
        <f ca="1">IFERROR(__xludf.DUMMYFUNCTION("""COMPUTED_VALUE"""),"All levels")</f>
        <v>All levels</v>
      </c>
      <c r="AC15" s="217" t="str">
        <f ca="1">IFERROR(__xludf.DUMMYFUNCTION("""COMPUTED_VALUE"""),"Comunicação Inclusiva com Atenção Plena, Empatia e Compaixão")</f>
        <v>Comunicação Inclusiva com Atenção Plena, Empatia e Compaixão</v>
      </c>
      <c r="AD15" s="217"/>
      <c r="AE15" s="213"/>
      <c r="AF15" s="215">
        <f ca="1">IFERROR(__xludf.DUMMYFUNCTION("""COMPUTED_VALUE"""),2824437)</f>
        <v>2824437</v>
      </c>
      <c r="AG15" s="215" t="str">
        <f ca="1">IFERROR(__xludf.DUMMYFUNCTION("""COMPUTED_VALUE"""),"All levels")</f>
        <v>All levels</v>
      </c>
      <c r="AH15" s="217" t="str">
        <f ca="1">IFERROR(__xludf.DUMMYFUNCTION("""COMPUTED_VALUE"""),"让无力者有力：谈控制力")</f>
        <v>让无力者有力：谈控制力</v>
      </c>
      <c r="AI15" s="217"/>
      <c r="AJ15" s="213"/>
    </row>
    <row r="16" spans="1:36" ht="33.75" customHeight="1">
      <c r="A16" s="213"/>
      <c r="B16" s="214">
        <f ca="1">IFERROR(__xludf.DUMMYFUNCTION("""COMPUTED_VALUE"""),2874004)</f>
        <v>2874004</v>
      </c>
      <c r="C16" s="215" t="str">
        <f ca="1">IFERROR(__xludf.DUMMYFUNCTION("""COMPUTED_VALUE"""),"Beginner")</f>
        <v>Beginner</v>
      </c>
      <c r="D16" s="216" t="str">
        <f ca="1">IFERROR(__xludf.DUMMYFUNCTION("""COMPUTED_VALUE"""),"Leading Your Org on a Journey of Allyship")</f>
        <v>Leading Your Org on a Journey of Allyship</v>
      </c>
      <c r="E16" s="217"/>
      <c r="F16" s="213"/>
      <c r="G16" s="214">
        <f ca="1">IFERROR(__xludf.DUMMYFUNCTION("""COMPUTED_VALUE"""),2428547)</f>
        <v>2428547</v>
      </c>
      <c r="H16" s="215" t="str">
        <f ca="1">IFERROR(__xludf.DUMMYFUNCTION("""COMPUTED_VALUE"""),"All levels")</f>
        <v>All levels</v>
      </c>
      <c r="I16" s="217" t="str">
        <f ca="1">IFERROR(__xludf.DUMMYFUNCTION("""COMPUTED_VALUE"""),"Faire face aux microagressions au travail")</f>
        <v>Faire face aux microagressions au travail</v>
      </c>
      <c r="J16" s="217"/>
      <c r="K16" s="213"/>
      <c r="L16" s="215">
        <f ca="1">IFERROR(__xludf.DUMMYFUNCTION("""COMPUTED_VALUE"""),2880069)</f>
        <v>2880069</v>
      </c>
      <c r="M16" s="215" t="str">
        <f ca="1">IFERROR(__xludf.DUMMYFUNCTION("""COMPUTED_VALUE"""),"All levels")</f>
        <v>All levels</v>
      </c>
      <c r="N16" s="217" t="str">
        <f ca="1">IFERROR(__xludf.DUMMYFUNCTION("""COMPUTED_VALUE"""),"Cómo impulsar el cambio y el antirracismo")</f>
        <v>Cómo impulsar el cambio y el antirracismo</v>
      </c>
      <c r="O16" s="217"/>
      <c r="P16" s="213"/>
      <c r="Q16" s="215">
        <f ca="1">IFERROR(__xludf.DUMMYFUNCTION("""COMPUTED_VALUE"""),2923226)</f>
        <v>2923226</v>
      </c>
      <c r="R16" s="215" t="str">
        <f ca="1">IFERROR(__xludf.DUMMYFUNCTION("""COMPUTED_VALUE"""),"Intermediate")</f>
        <v>Intermediate</v>
      </c>
      <c r="S16" s="217" t="str">
        <f ca="1">IFERROR(__xludf.DUMMYFUNCTION("""COMPUTED_VALUE"""),"Mehrere Generationen managen")</f>
        <v>Mehrere Generationen managen</v>
      </c>
      <c r="T16" s="217"/>
      <c r="U16" s="213"/>
      <c r="V16" s="215">
        <f ca="1">IFERROR(__xludf.DUMMYFUNCTION("""COMPUTED_VALUE"""),2400570)</f>
        <v>2400570</v>
      </c>
      <c r="W16" s="215" t="str">
        <f ca="1">IFERROR(__xludf.DUMMYFUNCTION("""COMPUTED_VALUE"""),"Beginner, Intermediate")</f>
        <v>Beginner, Intermediate</v>
      </c>
      <c r="X16" s="217" t="str">
        <f ca="1">IFERROR(__xludf.DUMMYFUNCTION("""COMPUTED_VALUE"""),"協力的なリーダーになるには")</f>
        <v>協力的なリーダーになるには</v>
      </c>
      <c r="Y16" s="217"/>
      <c r="Z16" s="213"/>
      <c r="AA16" s="215">
        <f ca="1">IFERROR(__xludf.DUMMYFUNCTION("""COMPUTED_VALUE"""),2928589)</f>
        <v>2928589</v>
      </c>
      <c r="AB16" s="215" t="str">
        <f ca="1">IFERROR(__xludf.DUMMYFUNCTION("""COMPUTED_VALUE"""),"Beginner")</f>
        <v>Beginner</v>
      </c>
      <c r="AC16" s="217" t="str">
        <f ca="1">IFERROR(__xludf.DUMMYFUNCTION("""COMPUTED_VALUE"""),"Cultura Organizacional: Conceito, Tipos e Como Definir a Sua")</f>
        <v>Cultura Organizacional: Conceito, Tipos e Como Definir a Sua</v>
      </c>
      <c r="AD16" s="217"/>
      <c r="AE16" s="213"/>
      <c r="AF16" s="215">
        <f ca="1">IFERROR(__xludf.DUMMYFUNCTION("""COMPUTED_VALUE"""),2823607)</f>
        <v>2823607</v>
      </c>
      <c r="AG16" s="215" t="str">
        <f ca="1">IFERROR(__xludf.DUMMYFUNCTION("""COMPUTED_VALUE"""),"All levels")</f>
        <v>All levels</v>
      </c>
      <c r="AH16" s="217" t="str">
        <f ca="1">IFERROR(__xludf.DUMMYFUNCTION("""COMPUTED_VALUE"""),"跨国团队的社交规则")</f>
        <v>跨国团队的社交规则</v>
      </c>
      <c r="AI16" s="217"/>
      <c r="AJ16" s="213"/>
    </row>
    <row r="17" spans="1:36" ht="33.75" customHeight="1">
      <c r="A17" s="213"/>
      <c r="B17" s="214">
        <f ca="1">IFERROR(__xludf.DUMMYFUNCTION("""COMPUTED_VALUE"""),797725)</f>
        <v>797725</v>
      </c>
      <c r="C17" s="215" t="str">
        <f ca="1">IFERROR(__xludf.DUMMYFUNCTION("""COMPUTED_VALUE"""),"Beginner")</f>
        <v>Beginner</v>
      </c>
      <c r="D17" s="216" t="str">
        <f ca="1">IFERROR(__xludf.DUMMYFUNCTION("""COMPUTED_VALUE"""),"Managing Someone Older Than You")</f>
        <v>Managing Someone Older Than You</v>
      </c>
      <c r="E17" s="217"/>
      <c r="F17" s="213"/>
      <c r="G17" s="214">
        <f ca="1">IFERROR(__xludf.DUMMYFUNCTION("""COMPUTED_VALUE"""),3201153)</f>
        <v>3201153</v>
      </c>
      <c r="H17" s="215" t="str">
        <f ca="1">IFERROR(__xludf.DUMMYFUNCTION("""COMPUTED_VALUE"""),"All levels")</f>
        <v>All levels</v>
      </c>
      <c r="I17" s="217" t="str">
        <f ca="1">IFERROR(__xludf.DUMMYFUNCTION("""COMPUTED_VALUE"""),"Favoriser l’inclusion LGBTQ+ au travail")</f>
        <v>Favoriser l’inclusion LGBTQ+ au travail</v>
      </c>
      <c r="J17" s="217"/>
      <c r="K17" s="213"/>
      <c r="L17" s="215">
        <f ca="1">IFERROR(__xludf.DUMMYFUNCTION("""COMPUTED_VALUE"""),587151)</f>
        <v>587151</v>
      </c>
      <c r="M17" s="215" t="str">
        <f ca="1">IFERROR(__xludf.DUMMYFUNCTION("""COMPUTED_VALUE"""),"Intermediate")</f>
        <v>Intermediate</v>
      </c>
      <c r="N17" s="217" t="str">
        <f ca="1">IFERROR(__xludf.DUMMYFUNCTION("""COMPUTED_VALUE"""),"Cómo liderar a la generación Y")</f>
        <v>Cómo liderar a la generación Y</v>
      </c>
      <c r="O17" s="217"/>
      <c r="P17" s="213"/>
      <c r="Q17" s="215">
        <f ca="1">IFERROR(__xludf.DUMMYFUNCTION("""COMPUTED_VALUE"""),423478)</f>
        <v>423478</v>
      </c>
      <c r="R17" s="215" t="str">
        <f ca="1">IFERROR(__xludf.DUMMYFUNCTION("""COMPUTED_VALUE"""),"Intermediate")</f>
        <v>Intermediate</v>
      </c>
      <c r="S17" s="217" t="str">
        <f ca="1">IFERROR(__xludf.DUMMYFUNCTION("""COMPUTED_VALUE"""),"Multikulturelle Teams führen")</f>
        <v>Multikulturelle Teams führen</v>
      </c>
      <c r="T17" s="217"/>
      <c r="U17" s="213"/>
      <c r="V17" s="215">
        <f ca="1">IFERROR(__xludf.DUMMYFUNCTION("""COMPUTED_VALUE"""),2848301)</f>
        <v>2848301</v>
      </c>
      <c r="W17" s="215" t="str">
        <f ca="1">IFERROR(__xludf.DUMMYFUNCTION("""COMPUTED_VALUE"""),"Beginner, Intermediate")</f>
        <v>Beginner, Intermediate</v>
      </c>
      <c r="X17" s="217" t="str">
        <f ca="1">IFERROR(__xludf.DUMMYFUNCTION("""COMPUTED_VALUE"""),"女性が職場で活躍するための成功戦略")</f>
        <v>女性が職場で活躍するための成功戦略</v>
      </c>
      <c r="Y17" s="217"/>
      <c r="Z17" s="213"/>
      <c r="AA17" s="215">
        <f ca="1">IFERROR(__xludf.DUMMYFUNCTION("""COMPUTED_VALUE"""),2459040)</f>
        <v>2459040</v>
      </c>
      <c r="AB17" s="215" t="str">
        <f ca="1">IFERROR(__xludf.DUMMYFUNCTION("""COMPUTED_VALUE"""),"All levels")</f>
        <v>All levels</v>
      </c>
      <c r="AC17" s="217" t="str">
        <f ca="1">IFERROR(__xludf.DUMMYFUNCTION("""COMPUTED_VALUE"""),"Dez Mitos sobre Diversidade e Inclusão no Trabalho")</f>
        <v>Dez Mitos sobre Diversidade e Inclusão no Trabalho</v>
      </c>
      <c r="AD17" s="217"/>
      <c r="AE17" s="213"/>
      <c r="AF17" s="215">
        <f ca="1">IFERROR(__xludf.DUMMYFUNCTION("""COMPUTED_VALUE"""),2883007)</f>
        <v>2883007</v>
      </c>
      <c r="AG17" s="215" t="str">
        <f ca="1">IFERROR(__xludf.DUMMYFUNCTION("""COMPUTED_VALUE"""),"All levels")</f>
        <v>All levels</v>
      </c>
      <c r="AH17" s="217" t="str">
        <f ca="1">IFERROR(__xludf.DUMMYFUNCTION("""COMPUTED_VALUE"""),"领导包容型团队")</f>
        <v>领导包容型团队</v>
      </c>
      <c r="AI17" s="217"/>
      <c r="AJ17" s="213"/>
    </row>
    <row r="18" spans="1:36" ht="33.75" customHeight="1">
      <c r="A18" s="213"/>
      <c r="B18" s="214">
        <f ca="1">IFERROR(__xludf.DUMMYFUNCTION("""COMPUTED_VALUE"""),2875338)</f>
        <v>2875338</v>
      </c>
      <c r="C18" s="215" t="str">
        <f ca="1">IFERROR(__xludf.DUMMYFUNCTION("""COMPUTED_VALUE"""),"Beginner")</f>
        <v>Beginner</v>
      </c>
      <c r="D18" s="216" t="str">
        <f ca="1">IFERROR(__xludf.DUMMYFUNCTION("""COMPUTED_VALUE"""),"Supporting Workers with Disabilities")</f>
        <v>Supporting Workers with Disabilities</v>
      </c>
      <c r="E18" s="217"/>
      <c r="F18" s="213"/>
      <c r="G18" s="214">
        <f ca="1">IFERROR(__xludf.DUMMYFUNCTION("""COMPUTED_VALUE"""),568987)</f>
        <v>568987</v>
      </c>
      <c r="H18" s="215" t="str">
        <f ca="1">IFERROR(__xludf.DUMMYFUNCTION("""COMPUTED_VALUE"""),"Intermediate")</f>
        <v>Intermediate</v>
      </c>
      <c r="I18" s="217" t="str">
        <f ca="1">IFERROR(__xludf.DUMMYFUNCTION("""COMPUTED_VALUE"""),"Gérer des équipes virtuelles")</f>
        <v>Gérer des équipes virtuelles</v>
      </c>
      <c r="J18" s="217"/>
      <c r="K18" s="213"/>
      <c r="L18" s="215">
        <f ca="1">IFERROR(__xludf.DUMMYFUNCTION("""COMPUTED_VALUE"""),2924306)</f>
        <v>2924306</v>
      </c>
      <c r="M18" s="215" t="str">
        <f ca="1">IFERROR(__xludf.DUMMYFUNCTION("""COMPUTED_VALUE"""),"All levels")</f>
        <v>All levels</v>
      </c>
      <c r="N18" s="217" t="str">
        <f ca="1">IFERROR(__xludf.DUMMYFUNCTION("""COMPUTED_VALUE"""),"Cómo liderar equipos inclusivos")</f>
        <v>Cómo liderar equipos inclusivos</v>
      </c>
      <c r="O18" s="217"/>
      <c r="P18" s="213"/>
      <c r="Q18" s="215">
        <f ca="1">IFERROR(__xludf.DUMMYFUNCTION("""COMPUTED_VALUE"""),195408)</f>
        <v>195408</v>
      </c>
      <c r="R18" s="215" t="str">
        <f ca="1">IFERROR(__xludf.DUMMYFUNCTION("""COMPUTED_VALUE"""),"All levels")</f>
        <v>All levels</v>
      </c>
      <c r="S18" s="217" t="str">
        <f ca="1">IFERROR(__xludf.DUMMYFUNCTION("""COMPUTED_VALUE"""),"Sich und andere besser verstehen")</f>
        <v>Sich und andere besser verstehen</v>
      </c>
      <c r="T18" s="217"/>
      <c r="U18" s="213"/>
      <c r="V18" s="215">
        <f ca="1">IFERROR(__xludf.DUMMYFUNCTION("""COMPUTED_VALUE"""),2418739)</f>
        <v>2418739</v>
      </c>
      <c r="W18" s="215" t="str">
        <f ca="1">IFERROR(__xludf.DUMMYFUNCTION("""COMPUTED_VALUE"""),"Beginner, Intermediate")</f>
        <v>Beginner, Intermediate</v>
      </c>
      <c r="X18" s="217" t="str">
        <f ca="1">IFERROR(__xludf.DUMMYFUNCTION("""COMPUTED_VALUE"""),"文化的にセンシティブな問題について話すには")</f>
        <v>文化的にセンシティブな問題について話すには</v>
      </c>
      <c r="Y18" s="217"/>
      <c r="Z18" s="213"/>
      <c r="AA18" s="215">
        <f ca="1">IFERROR(__xludf.DUMMYFUNCTION("""COMPUTED_VALUE"""),2877301)</f>
        <v>2877301</v>
      </c>
      <c r="AB18" s="215" t="str">
        <f ca="1">IFERROR(__xludf.DUMMYFUNCTION("""COMPUTED_VALUE"""),"Beginner, Intermediate")</f>
        <v>Beginner, Intermediate</v>
      </c>
      <c r="AC18" s="217" t="str">
        <f ca="1">IFERROR(__xludf.DUMMYFUNCTION("""COMPUTED_VALUE"""),"Diversidade Cultural nas Comunicações: Como Conversar Sobre Assuntos Delicados")</f>
        <v>Diversidade Cultural nas Comunicações: Como Conversar Sobre Assuntos Delicados</v>
      </c>
      <c r="AD18" s="217"/>
      <c r="AE18" s="213"/>
      <c r="AF18" s="215">
        <f ca="1">IFERROR(__xludf.DUMMYFUNCTION("""COMPUTED_VALUE"""),773691)</f>
        <v>773691</v>
      </c>
      <c r="AG18" s="215" t="str">
        <f ca="1">IFERROR(__xludf.DUMMYFUNCTION("""COMPUTED_VALUE"""),"Beginner")</f>
        <v>Beginner</v>
      </c>
      <c r="AH18" s="217" t="str">
        <f ca="1">IFERROR(__xludf.DUMMYFUNCTION("""COMPUTED_VALUE"""),"高情商领导")</f>
        <v>高情商领导</v>
      </c>
      <c r="AI18" s="217"/>
      <c r="AJ18" s="213"/>
    </row>
    <row r="19" spans="1:36" ht="33.75" customHeight="1">
      <c r="A19" s="213"/>
      <c r="B19" s="214">
        <f ca="1">IFERROR(__xludf.DUMMYFUNCTION("""COMPUTED_VALUE"""),2873256)</f>
        <v>2873256</v>
      </c>
      <c r="C19" s="215" t="str">
        <f ca="1">IFERROR(__xludf.DUMMYFUNCTION("""COMPUTED_VALUE"""),"Beginner")</f>
        <v>Beginner</v>
      </c>
      <c r="D19" s="216" t="str">
        <f ca="1">IFERROR(__xludf.DUMMYFUNCTION("""COMPUTED_VALUE"""),"Inclusive Tech: The Case for Inclusive Leadership")</f>
        <v>Inclusive Tech: The Case for Inclusive Leadership</v>
      </c>
      <c r="E19" s="217"/>
      <c r="F19" s="213"/>
      <c r="G19" s="214">
        <f ca="1">IFERROR(__xludf.DUMMYFUNCTION("""COMPUTED_VALUE"""),604067)</f>
        <v>604067</v>
      </c>
      <c r="H19" s="215" t="str">
        <f ca="1">IFERROR(__xludf.DUMMYFUNCTION("""COMPUTED_VALUE"""),"All levels")</f>
        <v>All levels</v>
      </c>
      <c r="I19" s="217" t="str">
        <f ca="1">IFERROR(__xludf.DUMMYFUNCTION("""COMPUTED_VALUE"""),"Jeff Weiner – Le management compassionnel")</f>
        <v>Jeff Weiner – Le management compassionnel</v>
      </c>
      <c r="J19" s="217"/>
      <c r="K19" s="213"/>
      <c r="L19" s="215">
        <f ca="1">IFERROR(__xludf.DUMMYFUNCTION("""COMPUTED_VALUE"""),2996869)</f>
        <v>2996869</v>
      </c>
      <c r="M19" s="215" t="str">
        <f ca="1">IFERROR(__xludf.DUMMYFUNCTION("""COMPUTED_VALUE"""),"All levels")</f>
        <v>All levels</v>
      </c>
      <c r="N19" s="217" t="str">
        <f ca="1">IFERROR(__xludf.DUMMYFUNCTION("""COMPUTED_VALUE"""),"Cómo ser parte de un ambiente de trabajo positivo")</f>
        <v>Cómo ser parte de un ambiente de trabajo positivo</v>
      </c>
      <c r="O19" s="217"/>
      <c r="P19" s="213"/>
      <c r="Q19" s="215">
        <f ca="1">IFERROR(__xludf.DUMMYFUNCTION("""COMPUTED_VALUE"""),2398093)</f>
        <v>2398093</v>
      </c>
      <c r="R19" s="215" t="str">
        <f ca="1">IFERROR(__xludf.DUMMYFUNCTION("""COMPUTED_VALUE"""),"Beginner")</f>
        <v>Beginner</v>
      </c>
      <c r="S19" s="217" t="str">
        <f ca="1">IFERROR(__xludf.DUMMYFUNCTION("""COMPUTED_VALUE"""),"Social Diversity - Unternehmenserfolg durch soziale Vielfalt")</f>
        <v>Social Diversity - Unternehmenserfolg durch soziale Vielfalt</v>
      </c>
      <c r="T19" s="217"/>
      <c r="U19" s="213"/>
      <c r="V19" s="215">
        <f ca="1">IFERROR(__xludf.DUMMYFUNCTION("""COMPUTED_VALUE"""),2916465)</f>
        <v>2916465</v>
      </c>
      <c r="W19" s="215" t="str">
        <f ca="1">IFERROR(__xludf.DUMMYFUNCTION("""COMPUTED_VALUE"""),"Intermediate")</f>
        <v>Intermediate</v>
      </c>
      <c r="X19" s="217" t="str">
        <f ca="1">IFERROR(__xludf.DUMMYFUNCTION("""COMPUTED_VALUE"""),"海外事業で成果を上げるマネジメント術")</f>
        <v>海外事業で成果を上げるマネジメント術</v>
      </c>
      <c r="Y19" s="217"/>
      <c r="Z19" s="213"/>
      <c r="AA19" s="215">
        <f ca="1">IFERROR(__xludf.DUMMYFUNCTION("""COMPUTED_VALUE"""),779493)</f>
        <v>779493</v>
      </c>
      <c r="AB19" s="215" t="str">
        <f ca="1">IFERROR(__xludf.DUMMYFUNCTION("""COMPUTED_VALUE"""),"Advanced")</f>
        <v>Advanced</v>
      </c>
      <c r="AC19" s="217" t="str">
        <f ca="1">IFERROR(__xludf.DUMMYFUNCTION("""COMPUTED_VALUE"""),"Diversidade e Inclusão em uma Empresa Global")</f>
        <v>Diversidade e Inclusão em uma Empresa Global</v>
      </c>
      <c r="AD19" s="217"/>
      <c r="AE19" s="213"/>
      <c r="AF19" s="215"/>
      <c r="AG19" s="215"/>
      <c r="AH19" s="217"/>
      <c r="AI19" s="217"/>
      <c r="AJ19" s="213"/>
    </row>
    <row r="20" spans="1:36" ht="33.75" customHeight="1">
      <c r="A20" s="213"/>
      <c r="B20" s="214">
        <f ca="1">IFERROR(__xludf.DUMMYFUNCTION("""COMPUTED_VALUE"""),2882010)</f>
        <v>2882010</v>
      </c>
      <c r="C20" s="215" t="str">
        <f ca="1">IFERROR(__xludf.DUMMYFUNCTION("""COMPUTED_VALUE"""),"Beginner + Intermediate")</f>
        <v>Beginner + Intermediate</v>
      </c>
      <c r="D20" s="216" t="str">
        <f ca="1">IFERROR(__xludf.DUMMYFUNCTION("""COMPUTED_VALUE"""),"Recruiting Diverse Talent as a Hiring Manager")</f>
        <v>Recruiting Diverse Talent as a Hiring Manager</v>
      </c>
      <c r="E20" s="217"/>
      <c r="F20" s="213"/>
      <c r="G20" s="214">
        <f ca="1">IFERROR(__xludf.DUMMYFUNCTION("""COMPUTED_VALUE"""),2883001)</f>
        <v>2883001</v>
      </c>
      <c r="H20" s="215" t="str">
        <f ca="1">IFERROR(__xludf.DUMMYFUNCTION("""COMPUTED_VALUE"""),"Intermediate")</f>
        <v>Intermediate</v>
      </c>
      <c r="I20" s="217" t="str">
        <f ca="1">IFERROR(__xludf.DUMMYFUNCTION("""COMPUTED_VALUE"""),"La minute de formation : L'inclusion et la diversité intergénérationnelle au travail")</f>
        <v>La minute de formation : L'inclusion et la diversité intergénérationnelle au travail</v>
      </c>
      <c r="J20" s="217"/>
      <c r="K20" s="213"/>
      <c r="L20" s="215">
        <f ca="1">IFERROR(__xludf.DUMMYFUNCTION("""COMPUTED_VALUE"""),5025675)</f>
        <v>5025675</v>
      </c>
      <c r="M20" s="215" t="str">
        <f ca="1">IFERROR(__xludf.DUMMYFUNCTION("""COMPUTED_VALUE"""),"Beginner")</f>
        <v>Beginner</v>
      </c>
      <c r="N20" s="217" t="str">
        <f ca="1">IFERROR(__xludf.DUMMYFUNCTION("""COMPUTED_VALUE"""),"Cómo superar los sesgos cognitivos")</f>
        <v>Cómo superar los sesgos cognitivos</v>
      </c>
      <c r="O20" s="217"/>
      <c r="P20" s="213"/>
      <c r="Q20" s="215">
        <f ca="1">IFERROR(__xludf.DUMMYFUNCTION("""COMPUTED_VALUE"""),5018536)</f>
        <v>5018536</v>
      </c>
      <c r="R20" s="215" t="str">
        <f ca="1">IFERROR(__xludf.DUMMYFUNCTION("""COMPUTED_VALUE"""),"Beginner")</f>
        <v>Beginner</v>
      </c>
      <c r="S20" s="217" t="str">
        <f ca="1">IFERROR(__xludf.DUMMYFUNCTION("""COMPUTED_VALUE"""),"Unconscious Bias – Unbewusste Denkmuster erkennen und ändern")</f>
        <v>Unconscious Bias – Unbewusste Denkmuster erkennen und ändern</v>
      </c>
      <c r="T20" s="217"/>
      <c r="U20" s="213"/>
      <c r="V20" s="215">
        <f ca="1">IFERROR(__xludf.DUMMYFUNCTION("""COMPUTED_VALUE"""),3141506)</f>
        <v>3141506</v>
      </c>
      <c r="W20" s="215" t="str">
        <f ca="1">IFERROR(__xludf.DUMMYFUNCTION("""COMPUTED_VALUE"""),"All levels")</f>
        <v>All levels</v>
      </c>
      <c r="X20" s="217" t="str">
        <f ca="1">IFERROR(__xludf.DUMMYFUNCTION("""COMPUTED_VALUE"""),"異文化理解能力とインクルージョンを育むには")</f>
        <v>異文化理解能力とインクルージョンを育むには</v>
      </c>
      <c r="Y20" s="217"/>
      <c r="Z20" s="213"/>
      <c r="AA20" s="215">
        <f ca="1">IFERROR(__xludf.DUMMYFUNCTION("""COMPUTED_VALUE"""),2929564)</f>
        <v>2929564</v>
      </c>
      <c r="AB20" s="215" t="str">
        <f ca="1">IFERROR(__xludf.DUMMYFUNCTION("""COMPUTED_VALUE"""),"Beginner")</f>
        <v>Beginner</v>
      </c>
      <c r="AC20" s="217" t="str">
        <f ca="1">IFERROR(__xludf.DUMMYFUNCTION("""COMPUTED_VALUE"""),"Diversidade, Inclusão e Senso de Pertencimento")</f>
        <v>Diversidade, Inclusão e Senso de Pertencimento</v>
      </c>
      <c r="AD20" s="217"/>
      <c r="AE20" s="213"/>
      <c r="AF20" s="215"/>
      <c r="AG20" s="215"/>
      <c r="AH20" s="217"/>
      <c r="AI20" s="217"/>
      <c r="AJ20" s="213"/>
    </row>
    <row r="21" spans="1:36" ht="33.75" customHeight="1">
      <c r="A21" s="213"/>
      <c r="B21" s="214">
        <f ca="1">IFERROR(__xludf.DUMMYFUNCTION("""COMPUTED_VALUE"""),696328)</f>
        <v>696328</v>
      </c>
      <c r="C21" s="215" t="str">
        <f ca="1">IFERROR(__xludf.DUMMYFUNCTION("""COMPUTED_VALUE"""),"Beginner + Intermediate")</f>
        <v>Beginner + Intermediate</v>
      </c>
      <c r="D21" s="216" t="str">
        <f ca="1">IFERROR(__xludf.DUMMYFUNCTION("""COMPUTED_VALUE"""),"New Manager Foundations")</f>
        <v>New Manager Foundations</v>
      </c>
      <c r="E21" s="217"/>
      <c r="F21" s="213"/>
      <c r="G21" s="214">
        <f ca="1">IFERROR(__xludf.DUMMYFUNCTION("""COMPUTED_VALUE"""),2814053)</f>
        <v>2814053</v>
      </c>
      <c r="H21" s="215" t="str">
        <f ca="1">IFERROR(__xludf.DUMMYFUNCTION("""COMPUTED_VALUE"""),"All levels")</f>
        <v>All levels</v>
      </c>
      <c r="I21" s="217" t="str">
        <f ca="1">IFERROR(__xludf.DUMMYFUNCTION("""COMPUTED_VALUE"""),"La présence exécutive pour les femmes")</f>
        <v>La présence exécutive pour les femmes</v>
      </c>
      <c r="J21" s="217"/>
      <c r="K21" s="213"/>
      <c r="L21" s="215">
        <f ca="1">IFERROR(__xludf.DUMMYFUNCTION("""COMPUTED_VALUE"""),2877037)</f>
        <v>2877037</v>
      </c>
      <c r="M21" s="215" t="str">
        <f ca="1">IFERROR(__xludf.DUMMYFUNCTION("""COMPUTED_VALUE"""),"Intermediate")</f>
        <v>Intermediate</v>
      </c>
      <c r="N21" s="217" t="str">
        <f ca="1">IFERROR(__xludf.DUMMYFUNCTION("""COMPUTED_VALUE"""),"Comprender e integrar la diversidad funcional")</f>
        <v>Comprender e integrar la diversidad funcional</v>
      </c>
      <c r="O21" s="217"/>
      <c r="P21" s="213"/>
      <c r="Q21" s="215">
        <f ca="1">IFERROR(__xludf.DUMMYFUNCTION("""COMPUTED_VALUE"""),2385098)</f>
        <v>2385098</v>
      </c>
      <c r="R21" s="215" t="str">
        <f ca="1">IFERROR(__xludf.DUMMYFUNCTION("""COMPUTED_VALUE"""),"All levels")</f>
        <v>All levels</v>
      </c>
      <c r="S21" s="217" t="str">
        <f ca="1">IFERROR(__xludf.DUMMYFUNCTION("""COMPUTED_VALUE"""),"Unconscious Bias entgegenwirken – Diversität und Inklusion in der Arbeitswelt fördern")</f>
        <v>Unconscious Bias entgegenwirken – Diversität und Inklusion in der Arbeitswelt fördern</v>
      </c>
      <c r="T21" s="217"/>
      <c r="U21" s="213"/>
      <c r="V21" s="215">
        <f ca="1">IFERROR(__xludf.DUMMYFUNCTION("""COMPUTED_VALUE"""),2917522)</f>
        <v>2917522</v>
      </c>
      <c r="W21" s="215" t="str">
        <f ca="1">IFERROR(__xludf.DUMMYFUNCTION("""COMPUTED_VALUE"""),"All levels")</f>
        <v>All levels</v>
      </c>
      <c r="X21" s="217" t="str">
        <f ca="1">IFERROR(__xludf.DUMMYFUNCTION("""COMPUTED_VALUE"""),"異文化理解能力を高めるには")</f>
        <v>異文化理解能力を高めるには</v>
      </c>
      <c r="Y21" s="217"/>
      <c r="Z21" s="213"/>
      <c r="AA21" s="215">
        <f ca="1">IFERROR(__xludf.DUMMYFUNCTION("""COMPUTED_VALUE"""),2931598)</f>
        <v>2931598</v>
      </c>
      <c r="AB21" s="215" t="str">
        <f ca="1">IFERROR(__xludf.DUMMYFUNCTION("""COMPUTED_VALUE"""),"Intermediate")</f>
        <v>Intermediate</v>
      </c>
      <c r="AC21" s="217" t="str">
        <f ca="1">IFERROR(__xludf.DUMMYFUNCTION("""COMPUTED_VALUE"""),"Gestão da Diversidade nas Organizações")</f>
        <v>Gestão da Diversidade nas Organizações</v>
      </c>
      <c r="AD21" s="217"/>
      <c r="AE21" s="213"/>
      <c r="AF21" s="215"/>
      <c r="AG21" s="215"/>
      <c r="AH21" s="217"/>
      <c r="AI21" s="217"/>
      <c r="AJ21" s="213"/>
    </row>
    <row r="22" spans="1:36" ht="33.75" customHeight="1">
      <c r="A22" s="213"/>
      <c r="B22" s="214">
        <f ca="1">IFERROR(__xludf.DUMMYFUNCTION("""COMPUTED_VALUE"""),698662)</f>
        <v>698662</v>
      </c>
      <c r="C22" s="215" t="str">
        <f ca="1">IFERROR(__xludf.DUMMYFUNCTION("""COMPUTED_VALUE"""),"Beginner + Intermediate")</f>
        <v>Beginner + Intermediate</v>
      </c>
      <c r="D22" s="216" t="str">
        <f ca="1">IFERROR(__xludf.DUMMYFUNCTION("""COMPUTED_VALUE"""),"Business Law for Managers")</f>
        <v>Business Law for Managers</v>
      </c>
      <c r="E22" s="217"/>
      <c r="F22" s="213"/>
      <c r="G22" s="214">
        <f ca="1">IFERROR(__xludf.DUMMYFUNCTION("""COMPUTED_VALUE"""),2457227)</f>
        <v>2457227</v>
      </c>
      <c r="H22" s="215" t="str">
        <f ca="1">IFERROR(__xludf.DUMMYFUNCTION("""COMPUTED_VALUE"""),"All levels")</f>
        <v>All levels</v>
      </c>
      <c r="I22" s="217" t="str">
        <f ca="1">IFERROR(__xludf.DUMMYFUNCTION("""COMPUTED_VALUE"""),"Le leadership inclusif : Devenir un allié / une alliée")</f>
        <v>Le leadership inclusif : Devenir un allié / une alliée</v>
      </c>
      <c r="J22" s="217"/>
      <c r="K22" s="213"/>
      <c r="L22" s="215">
        <f ca="1">IFERROR(__xludf.DUMMYFUNCTION("""COMPUTED_VALUE"""),561639)</f>
        <v>561639</v>
      </c>
      <c r="M22" s="215" t="str">
        <f ca="1">IFERROR(__xludf.DUMMYFUNCTION("""COMPUTED_VALUE"""),"All levels")</f>
        <v>All levels</v>
      </c>
      <c r="N22" s="217" t="str">
        <f ca="1">IFERROR(__xludf.DUMMYFUNCTION("""COMPUTED_VALUE"""),"Comunicación intercultural")</f>
        <v>Comunicación intercultural</v>
      </c>
      <c r="O22" s="217"/>
      <c r="P22" s="213"/>
      <c r="Q22" s="215">
        <f ca="1">IFERROR(__xludf.DUMMYFUNCTION("""COMPUTED_VALUE"""),593052)</f>
        <v>593052</v>
      </c>
      <c r="R22" s="215" t="str">
        <f ca="1">IFERROR(__xludf.DUMMYFUNCTION("""COMPUTED_VALUE"""),"Intermediate")</f>
        <v>Intermediate</v>
      </c>
      <c r="S22" s="217" t="str">
        <f ca="1">IFERROR(__xludf.DUMMYFUNCTION("""COMPUTED_VALUE"""),"Verantwortung als Teil der Unternehmenskultur")</f>
        <v>Verantwortung als Teil der Unternehmenskultur</v>
      </c>
      <c r="T22" s="217"/>
      <c r="U22" s="213"/>
      <c r="V22" s="215">
        <f ca="1">IFERROR(__xludf.DUMMYFUNCTION("""COMPUTED_VALUE"""),2885002)</f>
        <v>2885002</v>
      </c>
      <c r="W22" s="215" t="str">
        <f ca="1">IFERROR(__xludf.DUMMYFUNCTION("""COMPUTED_VALUE"""),"All levels")</f>
        <v>All levels</v>
      </c>
      <c r="X22" s="217" t="str">
        <f ca="1">IFERROR(__xludf.DUMMYFUNCTION("""COMPUTED_VALUE"""),"職場でセンシティブなトピックについて話すには")</f>
        <v>職場でセンシティブなトピックについて話すには</v>
      </c>
      <c r="Y22" s="217"/>
      <c r="Z22" s="213"/>
      <c r="AA22" s="215">
        <f ca="1">IFERROR(__xludf.DUMMYFUNCTION("""COMPUTED_VALUE"""),2929563)</f>
        <v>2929563</v>
      </c>
      <c r="AB22" s="215" t="str">
        <f ca="1">IFERROR(__xludf.DUMMYFUNCTION("""COMPUTED_VALUE"""),"All levels")</f>
        <v>All levels</v>
      </c>
      <c r="AC22" s="217" t="str">
        <f ca="1">IFERROR(__xludf.DUMMYFUNCTION("""COMPUTED_VALUE"""),"Gestão de Projetos Internacionais")</f>
        <v>Gestão de Projetos Internacionais</v>
      </c>
      <c r="AD22" s="217"/>
      <c r="AE22" s="213"/>
      <c r="AF22" s="215"/>
      <c r="AG22" s="215"/>
      <c r="AH22" s="217"/>
      <c r="AI22" s="217"/>
      <c r="AJ22" s="213"/>
    </row>
    <row r="23" spans="1:36" ht="33.75" customHeight="1">
      <c r="A23" s="213"/>
      <c r="B23" s="214">
        <f ca="1">IFERROR(__xludf.DUMMYFUNCTION("""COMPUTED_VALUE"""),5038200)</f>
        <v>5038200</v>
      </c>
      <c r="C23" s="215" t="str">
        <f ca="1">IFERROR(__xludf.DUMMYFUNCTION("""COMPUTED_VALUE"""),"General")</f>
        <v>General</v>
      </c>
      <c r="D23" s="216" t="str">
        <f ca="1">IFERROR(__xludf.DUMMYFUNCTION("""COMPUTED_VALUE"""),"Managing Generation Z")</f>
        <v>Managing Generation Z</v>
      </c>
      <c r="E23" s="217"/>
      <c r="F23" s="213"/>
      <c r="G23" s="214">
        <f ca="1">IFERROR(__xludf.DUMMYFUNCTION("""COMPUTED_VALUE"""),2994035)</f>
        <v>2994035</v>
      </c>
      <c r="H23" s="215" t="str">
        <f ca="1">IFERROR(__xludf.DUMMYFUNCTION("""COMPUTED_VALUE"""),"All levels")</f>
        <v>All levels</v>
      </c>
      <c r="I23" s="217" t="str">
        <f ca="1">IFERROR(__xludf.DUMMYFUNCTION("""COMPUTED_VALUE"""),"Les femmes transforment la Tech : Déjouer les biais")</f>
        <v>Les femmes transforment la Tech : Déjouer les biais</v>
      </c>
      <c r="J23" s="217"/>
      <c r="K23" s="213"/>
      <c r="L23" s="215">
        <f ca="1">IFERROR(__xludf.DUMMYFUNCTION("""COMPUTED_VALUE"""),5025681)</f>
        <v>5025681</v>
      </c>
      <c r="M23" s="215" t="str">
        <f ca="1">IFERROR(__xludf.DUMMYFUNCTION("""COMPUTED_VALUE"""),"Advanced")</f>
        <v>Advanced</v>
      </c>
      <c r="N23" s="217" t="str">
        <f ca="1">IFERROR(__xludf.DUMMYFUNCTION("""COMPUTED_VALUE"""),"Diversidad e inclusión en empresas globales")</f>
        <v>Diversidad e inclusión en empresas globales</v>
      </c>
      <c r="O23" s="217"/>
      <c r="P23" s="213"/>
      <c r="Q23" s="215">
        <f ca="1">IFERROR(__xludf.DUMMYFUNCTION("""COMPUTED_VALUE"""),641774)</f>
        <v>641774</v>
      </c>
      <c r="R23" s="215" t="str">
        <f ca="1">IFERROR(__xludf.DUMMYFUNCTION("""COMPUTED_VALUE"""),"Intermediate")</f>
        <v>Intermediate</v>
      </c>
      <c r="S23" s="217" t="str">
        <f ca="1">IFERROR(__xludf.DUMMYFUNCTION("""COMPUTED_VALUE"""),"Werteorientiertes Management")</f>
        <v>Werteorientiertes Management</v>
      </c>
      <c r="T23" s="217"/>
      <c r="U23" s="213"/>
      <c r="V23" s="215">
        <f ca="1">IFERROR(__xludf.DUMMYFUNCTION("""COMPUTED_VALUE"""),2883006)</f>
        <v>2883006</v>
      </c>
      <c r="W23" s="215" t="str">
        <f ca="1">IFERROR(__xludf.DUMMYFUNCTION("""COMPUTED_VALUE"""),"All levels")</f>
        <v>All levels</v>
      </c>
      <c r="X23" s="217" t="str">
        <f ca="1">IFERROR(__xludf.DUMMYFUNCTION("""COMPUTED_VALUE"""),"職場での人種差別に取り組むには")</f>
        <v>職場での人種差別に取り組むには</v>
      </c>
      <c r="Y23" s="217"/>
      <c r="Z23" s="213"/>
      <c r="AA23" s="215">
        <f ca="1">IFERROR(__xludf.DUMMYFUNCTION("""COMPUTED_VALUE"""),2910528)</f>
        <v>2910528</v>
      </c>
      <c r="AB23" s="215" t="str">
        <f ca="1">IFERROR(__xludf.DUMMYFUNCTION("""COMPUTED_VALUE"""),"Intermediate")</f>
        <v>Intermediate</v>
      </c>
      <c r="AC23" s="217" t="str">
        <f ca="1">IFERROR(__xludf.DUMMYFUNCTION("""COMPUTED_VALUE"""),"Gestão Intercultural nas Organizações")</f>
        <v>Gestão Intercultural nas Organizações</v>
      </c>
      <c r="AD23" s="217"/>
      <c r="AE23" s="213"/>
      <c r="AF23" s="215"/>
      <c r="AG23" s="215"/>
      <c r="AH23" s="217"/>
      <c r="AI23" s="217"/>
      <c r="AJ23" s="213"/>
    </row>
    <row r="24" spans="1:36" ht="33.75" customHeight="1">
      <c r="A24" s="213"/>
      <c r="B24" s="214">
        <f ca="1">IFERROR(__xludf.DUMMYFUNCTION("""COMPUTED_VALUE"""),784280)</f>
        <v>784280</v>
      </c>
      <c r="C24" s="215" t="str">
        <f ca="1">IFERROR(__xludf.DUMMYFUNCTION("""COMPUTED_VALUE"""),"General")</f>
        <v>General</v>
      </c>
      <c r="D24" s="216" t="str">
        <f ca="1">IFERROR(__xludf.DUMMYFUNCTION("""COMPUTED_VALUE"""),"Leading Inclusive Teams")</f>
        <v>Leading Inclusive Teams</v>
      </c>
      <c r="E24" s="217"/>
      <c r="F24" s="213"/>
      <c r="G24" s="214">
        <f ca="1">IFERROR(__xludf.DUMMYFUNCTION("""COMPUTED_VALUE"""),748690)</f>
        <v>748690</v>
      </c>
      <c r="H24" s="215" t="str">
        <f ca="1">IFERROR(__xludf.DUMMYFUNCTION("""COMPUTED_VALUE"""),"Beginner")</f>
        <v>Beginner</v>
      </c>
      <c r="I24" s="217" t="str">
        <f ca="1">IFERROR(__xludf.DUMMYFUNCTION("""COMPUTED_VALUE"""),"Les fondements de l'outil MBTI")</f>
        <v>Les fondements de l'outil MBTI</v>
      </c>
      <c r="J24" s="217"/>
      <c r="K24" s="213"/>
      <c r="L24" s="215">
        <f ca="1">IFERROR(__xludf.DUMMYFUNCTION("""COMPUTED_VALUE"""),3103621)</f>
        <v>3103621</v>
      </c>
      <c r="M24" s="215" t="str">
        <f ca="1">IFERROR(__xludf.DUMMYFUNCTION("""COMPUTED_VALUE"""),"Beginner")</f>
        <v>Beginner</v>
      </c>
      <c r="N24" s="217" t="str">
        <f ca="1">IFERROR(__xludf.DUMMYFUNCTION("""COMPUTED_VALUE"""),"Diversidad, inclusión, y pertenencia")</f>
        <v>Diversidad, inclusión, y pertenencia</v>
      </c>
      <c r="O24" s="217"/>
      <c r="P24" s="213"/>
      <c r="Q24" s="215">
        <f ca="1">IFERROR(__xludf.DUMMYFUNCTION("""COMPUTED_VALUE"""),2434087)</f>
        <v>2434087</v>
      </c>
      <c r="R24" s="215" t="str">
        <f ca="1">IFERROR(__xludf.DUMMYFUNCTION("""COMPUTED_VALUE"""),"Beginner")</f>
        <v>Beginner</v>
      </c>
      <c r="S24" s="217" t="str">
        <f ca="1">IFERROR(__xludf.DUMMYFUNCTION("""COMPUTED_VALUE"""),"Wertschätzende Kommunikation – Trotz Unterschieden erfolgreich kommunizieren")</f>
        <v>Wertschätzende Kommunikation – Trotz Unterschieden erfolgreich kommunizieren</v>
      </c>
      <c r="T24" s="217"/>
      <c r="U24" s="213"/>
      <c r="V24" s="215">
        <f ca="1">IFERROR(__xludf.DUMMYFUNCTION("""COMPUTED_VALUE"""),3144302)</f>
        <v>3144302</v>
      </c>
      <c r="W24" s="215" t="str">
        <f ca="1">IFERROR(__xludf.DUMMYFUNCTION("""COMPUTED_VALUE"""),"All levels")</f>
        <v>All levels</v>
      </c>
      <c r="X24" s="217" t="str">
        <f ca="1">IFERROR(__xludf.DUMMYFUNCTION("""COMPUTED_VALUE"""),"職場で声をあげるには：傍観者から一歩踏み出すために")</f>
        <v>職場で声をあげるには：傍観者から一歩踏み出すために</v>
      </c>
      <c r="Y24" s="217"/>
      <c r="Z24" s="213"/>
      <c r="AA24" s="215">
        <f ca="1">IFERROR(__xludf.DUMMYFUNCTION("""COMPUTED_VALUE"""),2928602)</f>
        <v>2928602</v>
      </c>
      <c r="AB24" s="215" t="str">
        <f ca="1">IFERROR(__xludf.DUMMYFUNCTION("""COMPUTED_VALUE"""),"All levels")</f>
        <v>All levels</v>
      </c>
      <c r="AC24" s="217" t="str">
        <f ca="1">IFERROR(__xludf.DUMMYFUNCTION("""COMPUTED_VALUE"""),"Histórias de vida: mulheres na tecnologia")</f>
        <v>Histórias de vida: mulheres na tecnologia</v>
      </c>
      <c r="AD24" s="217"/>
      <c r="AE24" s="213"/>
      <c r="AF24" s="215"/>
      <c r="AG24" s="215"/>
      <c r="AH24" s="217"/>
      <c r="AI24" s="217"/>
      <c r="AJ24" s="213"/>
    </row>
    <row r="25" spans="1:36" ht="33.75" customHeight="1">
      <c r="A25" s="213"/>
      <c r="B25" s="214">
        <f ca="1">IFERROR(__xludf.DUMMYFUNCTION("""COMPUTED_VALUE"""),656779)</f>
        <v>656779</v>
      </c>
      <c r="C25" s="215" t="str">
        <f ca="1">IFERROR(__xludf.DUMMYFUNCTION("""COMPUTED_VALUE"""),"Intermediate")</f>
        <v>Intermediate</v>
      </c>
      <c r="D25" s="216" t="str">
        <f ca="1">IFERROR(__xludf.DUMMYFUNCTION("""COMPUTED_VALUE"""),"Managing a Diverse Team")</f>
        <v>Managing a Diverse Team</v>
      </c>
      <c r="E25" s="217"/>
      <c r="F25" s="213"/>
      <c r="G25" s="214">
        <f ca="1">IFERROR(__xludf.DUMMYFUNCTION("""COMPUTED_VALUE"""),3103347)</f>
        <v>3103347</v>
      </c>
      <c r="H25" s="215" t="str">
        <f ca="1">IFERROR(__xludf.DUMMYFUNCTION("""COMPUTED_VALUE"""),"All levels")</f>
        <v>All levels</v>
      </c>
      <c r="I25" s="217" t="str">
        <f ca="1">IFERROR(__xludf.DUMMYFUNCTION("""COMPUTED_VALUE"""),"Les fondements du graphisme inclusif")</f>
        <v>Les fondements du graphisme inclusif</v>
      </c>
      <c r="J25" s="217"/>
      <c r="K25" s="213"/>
      <c r="L25" s="215">
        <f ca="1">IFERROR(__xludf.DUMMYFUNCTION("""COMPUTED_VALUE"""),800897)</f>
        <v>800897</v>
      </c>
      <c r="M25" s="215" t="str">
        <f ca="1">IFERROR(__xludf.DUMMYFUNCTION("""COMPUTED_VALUE"""),"Beginner, Intermediate")</f>
        <v>Beginner, Intermediate</v>
      </c>
      <c r="N25" s="217" t="str">
        <f ca="1">IFERROR(__xludf.DUMMYFUNCTION("""COMPUTED_VALUE"""),"Estrategias exitosas para mujeres en el ambiente de trabajo")</f>
        <v>Estrategias exitosas para mujeres en el ambiente de trabajo</v>
      </c>
      <c r="O25" s="217"/>
      <c r="P25" s="213"/>
      <c r="Q25" s="215"/>
      <c r="R25" s="215"/>
      <c r="S25" s="217"/>
      <c r="T25" s="217"/>
      <c r="U25" s="213"/>
      <c r="V25" s="215"/>
      <c r="W25" s="215"/>
      <c r="X25" s="217"/>
      <c r="Y25" s="217"/>
      <c r="Z25" s="213"/>
      <c r="AA25" s="215">
        <f ca="1">IFERROR(__xludf.DUMMYFUNCTION("""COMPUTED_VALUE"""),3154987)</f>
        <v>3154987</v>
      </c>
      <c r="AB25" s="215" t="str">
        <f ca="1">IFERROR(__xludf.DUMMYFUNCTION("""COMPUTED_VALUE"""),"All levels")</f>
        <v>All levels</v>
      </c>
      <c r="AC25" s="217" t="str">
        <f ca="1">IFERROR(__xludf.DUMMYFUNCTION("""COMPUTED_VALUE"""),"Kwame Christian Responde Sobre Como Abordar Assuntos Raciais")</f>
        <v>Kwame Christian Responde Sobre Como Abordar Assuntos Raciais</v>
      </c>
      <c r="AD25" s="217"/>
      <c r="AE25" s="213"/>
      <c r="AF25" s="215"/>
      <c r="AG25" s="215"/>
      <c r="AH25" s="217"/>
      <c r="AI25" s="217"/>
      <c r="AJ25" s="213"/>
    </row>
    <row r="26" spans="1:36" ht="33.75" customHeight="1">
      <c r="A26" s="213"/>
      <c r="B26" s="214">
        <f ca="1">IFERROR(__xludf.DUMMYFUNCTION("""COMPUTED_VALUE"""),647652)</f>
        <v>647652</v>
      </c>
      <c r="C26" s="215" t="str">
        <f ca="1">IFERROR(__xludf.DUMMYFUNCTION("""COMPUTED_VALUE"""),"Intermediate")</f>
        <v>Intermediate</v>
      </c>
      <c r="D26" s="216" t="str">
        <f ca="1">IFERROR(__xludf.DUMMYFUNCTION("""COMPUTED_VALUE"""),"Igniting Emotional Engagement")</f>
        <v>Igniting Emotional Engagement</v>
      </c>
      <c r="E26" s="217"/>
      <c r="F26" s="213"/>
      <c r="G26" s="214">
        <f ca="1">IFERROR(__xludf.DUMMYFUNCTION("""COMPUTED_VALUE"""),789571)</f>
        <v>789571</v>
      </c>
      <c r="H26" s="215" t="str">
        <f ca="1">IFERROR(__xludf.DUMMYFUNCTION("""COMPUTED_VALUE"""),"Intermediate")</f>
        <v>Intermediate</v>
      </c>
      <c r="I26" s="217" t="str">
        <f ca="1">IFERROR(__xludf.DUMMYFUNCTION("""COMPUTED_VALUE"""),"Manager en environnement multiculturel")</f>
        <v>Manager en environnement multiculturel</v>
      </c>
      <c r="J26" s="217"/>
      <c r="K26" s="213"/>
      <c r="L26" s="215">
        <f ca="1">IFERROR(__xludf.DUMMYFUNCTION("""COMPUTED_VALUE"""),2375090)</f>
        <v>2375090</v>
      </c>
      <c r="M26" s="215" t="str">
        <f ca="1">IFERROR(__xludf.DUMMYFUNCTION("""COMPUTED_VALUE"""),"Beginner, Intermediate")</f>
        <v>Beginner, Intermediate</v>
      </c>
      <c r="N26" s="217" t="str">
        <f ca="1">IFERROR(__xludf.DUMMYFUNCTION("""COMPUTED_VALUE"""),"Habilidades de conversación inclusiva")</f>
        <v>Habilidades de conversación inclusiva</v>
      </c>
      <c r="O26" s="217"/>
      <c r="P26" s="213"/>
      <c r="Q26" s="215"/>
      <c r="R26" s="215"/>
      <c r="S26" s="217"/>
      <c r="T26" s="217"/>
      <c r="U26" s="213"/>
      <c r="V26" s="215"/>
      <c r="W26" s="215"/>
      <c r="X26" s="217"/>
      <c r="Y26" s="217"/>
      <c r="Z26" s="213"/>
      <c r="AA26" s="215">
        <f ca="1">IFERROR(__xludf.DUMMYFUNCTION("""COMPUTED_VALUE"""),753076)</f>
        <v>753076</v>
      </c>
      <c r="AB26" s="215" t="str">
        <f ca="1">IFERROR(__xludf.DUMMYFUNCTION("""COMPUTED_VALUE"""),"Beginner")</f>
        <v>Beginner</v>
      </c>
      <c r="AC26" s="217" t="str">
        <f ca="1">IFERROR(__xludf.DUMMYFUNCTION("""COMPUTED_VALUE"""),"Liderança com Inteligência Emocional")</f>
        <v>Liderança com Inteligência Emocional</v>
      </c>
      <c r="AD26" s="217"/>
      <c r="AE26" s="213"/>
      <c r="AF26" s="215"/>
      <c r="AG26" s="215"/>
      <c r="AH26" s="217"/>
      <c r="AI26" s="217"/>
      <c r="AJ26" s="213"/>
    </row>
    <row r="27" spans="1:36" ht="33.75" customHeight="1">
      <c r="A27" s="213"/>
      <c r="B27" s="214">
        <f ca="1">IFERROR(__xludf.DUMMYFUNCTION("""COMPUTED_VALUE"""),2878236)</f>
        <v>2878236</v>
      </c>
      <c r="C27" s="215" t="str">
        <f ca="1">IFERROR(__xludf.DUMMYFUNCTION("""COMPUTED_VALUE"""),"Intermediate")</f>
        <v>Intermediate</v>
      </c>
      <c r="D27" s="216" t="str">
        <f ca="1">IFERROR(__xludf.DUMMYFUNCTION("""COMPUTED_VALUE"""),"Hiring and Supporting Neurodiversity in the Workplace")</f>
        <v>Hiring and Supporting Neurodiversity in the Workplace</v>
      </c>
      <c r="E27" s="217"/>
      <c r="F27" s="213"/>
      <c r="G27" s="214">
        <f ca="1">IFERROR(__xludf.DUMMYFUNCTION("""COMPUTED_VALUE"""),575060)</f>
        <v>575060</v>
      </c>
      <c r="H27" s="215" t="str">
        <f ca="1">IFERROR(__xludf.DUMMYFUNCTION("""COMPUTED_VALUE"""),"Intermediate")</f>
        <v>Intermediate</v>
      </c>
      <c r="I27" s="217" t="str">
        <f ca="1">IFERROR(__xludf.DUMMYFUNCTION("""COMPUTED_VALUE"""),"Manager les nouvelles générations")</f>
        <v>Manager les nouvelles générations</v>
      </c>
      <c r="J27" s="217"/>
      <c r="K27" s="213"/>
      <c r="L27" s="215">
        <f ca="1">IFERROR(__xludf.DUMMYFUNCTION("""COMPUTED_VALUE"""),3002365)</f>
        <v>3002365</v>
      </c>
      <c r="M27" s="215" t="str">
        <f ca="1">IFERROR(__xludf.DUMMYFUNCTION("""COMPUTED_VALUE"""),"Advanced")</f>
        <v>Advanced</v>
      </c>
      <c r="N27" s="217" t="str">
        <f ca="1">IFERROR(__xludf.DUMMYFUNCTION("""COMPUTED_VALUE"""),"Integrar personas con diversidad funcional en la empresa")</f>
        <v>Integrar personas con diversidad funcional en la empresa</v>
      </c>
      <c r="O27" s="217"/>
      <c r="P27" s="213"/>
      <c r="Q27" s="215"/>
      <c r="R27" s="215"/>
      <c r="S27" s="217"/>
      <c r="T27" s="217"/>
      <c r="U27" s="213"/>
      <c r="V27" s="215"/>
      <c r="W27" s="215"/>
      <c r="X27" s="217"/>
      <c r="Y27" s="217"/>
      <c r="Z27" s="213"/>
      <c r="AA27" s="215">
        <f ca="1">IFERROR(__xludf.DUMMYFUNCTION("""COMPUTED_VALUE"""),2877209)</f>
        <v>2877209</v>
      </c>
      <c r="AB27" s="215" t="str">
        <f ca="1">IFERROR(__xludf.DUMMYFUNCTION("""COMPUTED_VALUE"""),"Intermediate")</f>
        <v>Intermediate</v>
      </c>
      <c r="AC27" s="217" t="str">
        <f ca="1">IFERROR(__xludf.DUMMYFUNCTION("""COMPUTED_VALUE"""),"Liderança Feminina: Como Superar Desafios no Trabalho e Criar um Ambiente Colaborativo")</f>
        <v>Liderança Feminina: Como Superar Desafios no Trabalho e Criar um Ambiente Colaborativo</v>
      </c>
      <c r="AD27" s="217"/>
      <c r="AE27" s="213"/>
      <c r="AF27" s="215"/>
      <c r="AG27" s="215"/>
      <c r="AH27" s="217"/>
      <c r="AI27" s="217"/>
      <c r="AJ27" s="213"/>
    </row>
    <row r="28" spans="1:36" ht="33.75" customHeight="1">
      <c r="A28" s="213"/>
      <c r="B28" s="214">
        <f ca="1">IFERROR(__xludf.DUMMYFUNCTION("""COMPUTED_VALUE"""),2892004)</f>
        <v>2892004</v>
      </c>
      <c r="C28" s="215" t="str">
        <f ca="1">IFERROR(__xludf.DUMMYFUNCTION("""COMPUTED_VALUE"""),"Intermediate")</f>
        <v>Intermediate</v>
      </c>
      <c r="D28" s="216" t="str">
        <f ca="1">IFERROR(__xludf.DUMMYFUNCTION("""COMPUTED_VALUE"""),"A Manager's Guide to Inclusive Teams")</f>
        <v>A Manager's Guide to Inclusive Teams</v>
      </c>
      <c r="E28" s="217"/>
      <c r="F28" s="213"/>
      <c r="G28" s="214">
        <f ca="1">IFERROR(__xludf.DUMMYFUNCTION("""COMPUTED_VALUE"""),2813271)</f>
        <v>2813271</v>
      </c>
      <c r="H28" s="215" t="str">
        <f ca="1">IFERROR(__xludf.DUMMYFUNCTION("""COMPUTED_VALUE"""),"All levels")</f>
        <v>All levels</v>
      </c>
      <c r="I28" s="217" t="str">
        <f ca="1">IFERROR(__xludf.DUMMYFUNCTION("""COMPUTED_VALUE"""),"Mixité et carrière au féminin")</f>
        <v>Mixité et carrière au féminin</v>
      </c>
      <c r="J28" s="217"/>
      <c r="K28" s="213"/>
      <c r="L28" s="215">
        <f ca="1">IFERROR(__xludf.DUMMYFUNCTION("""COMPUTED_VALUE"""),3129462)</f>
        <v>3129462</v>
      </c>
      <c r="M28" s="215" t="str">
        <f ca="1">IFERROR(__xludf.DUMMYFUNCTION("""COMPUTED_VALUE"""),"All levels")</f>
        <v>All levels</v>
      </c>
      <c r="N28" s="217" t="str">
        <f ca="1">IFERROR(__xludf.DUMMYFUNCTION("""COMPUTED_VALUE"""),"Involúcrate en lo que sucede a tu alrededor: De espectador a protagonista")</f>
        <v>Involúcrate en lo que sucede a tu alrededor: De espectador a protagonista</v>
      </c>
      <c r="O28" s="217"/>
      <c r="P28" s="213"/>
      <c r="Q28" s="215"/>
      <c r="R28" s="215"/>
      <c r="S28" s="217"/>
      <c r="T28" s="217"/>
      <c r="U28" s="213"/>
      <c r="V28" s="215"/>
      <c r="W28" s="215"/>
      <c r="X28" s="217"/>
      <c r="Y28" s="217"/>
      <c r="Z28" s="213"/>
      <c r="AA28" s="215">
        <f ca="1">IFERROR(__xludf.DUMMYFUNCTION("""COMPUTED_VALUE"""),2434279)</f>
        <v>2434279</v>
      </c>
      <c r="AB28" s="215" t="str">
        <f ca="1">IFERROR(__xludf.DUMMYFUNCTION("""COMPUTED_VALUE"""),"Advanced")</f>
        <v>Advanced</v>
      </c>
      <c r="AC28" s="217" t="str">
        <f ca="1">IFERROR(__xludf.DUMMYFUNCTION("""COMPUTED_VALUE"""),"Liderança Global: Como Gerenciar a Complexidade e a Diversidade")</f>
        <v>Liderança Global: Como Gerenciar a Complexidade e a Diversidade</v>
      </c>
      <c r="AD28" s="217"/>
      <c r="AE28" s="213"/>
      <c r="AF28" s="215"/>
      <c r="AG28" s="215"/>
      <c r="AH28" s="217"/>
      <c r="AI28" s="217"/>
      <c r="AJ28" s="213"/>
    </row>
    <row r="29" spans="1:36" ht="33.75" customHeight="1">
      <c r="A29" s="213"/>
      <c r="B29" s="214">
        <f ca="1">IFERROR(__xludf.DUMMYFUNCTION("""COMPUTED_VALUE"""),2875305)</f>
        <v>2875305</v>
      </c>
      <c r="C29" s="215" t="str">
        <f ca="1">IFERROR(__xludf.DUMMYFUNCTION("""COMPUTED_VALUE"""),"Beginner + Intermediate")</f>
        <v>Beginner + Intermediate</v>
      </c>
      <c r="D29" s="216" t="str">
        <f ca="1">IFERROR(__xludf.DUMMYFUNCTION("""COMPUTED_VALUE"""),"Empowering BIPOC through Mentorship")</f>
        <v>Empowering BIPOC through Mentorship</v>
      </c>
      <c r="E29" s="217"/>
      <c r="F29" s="213"/>
      <c r="G29" s="214">
        <f ca="1">IFERROR(__xludf.DUMMYFUNCTION("""COMPUTED_VALUE"""),697575)</f>
        <v>697575</v>
      </c>
      <c r="H29" s="215" t="str">
        <f ca="1">IFERROR(__xludf.DUMMYFUNCTION("""COMPUTED_VALUE"""),"Intermediate")</f>
        <v>Intermediate</v>
      </c>
      <c r="I29" s="217" t="str">
        <f ca="1">IFERROR(__xludf.DUMMYFUNCTION("""COMPUTED_VALUE"""),"Penser et intégrer la diversité en entreprise")</f>
        <v>Penser et intégrer la diversité en entreprise</v>
      </c>
      <c r="J29" s="217"/>
      <c r="K29" s="213"/>
      <c r="L29" s="215">
        <f ca="1">IFERROR(__xludf.DUMMYFUNCTION("""COMPUTED_VALUE"""),588023)</f>
        <v>588023</v>
      </c>
      <c r="M29" s="215" t="str">
        <f ca="1">IFERROR(__xludf.DUMMYFUNCTION("""COMPUTED_VALUE"""),"All levels")</f>
        <v>All levels</v>
      </c>
      <c r="N29" s="217" t="str">
        <f ca="1">IFERROR(__xludf.DUMMYFUNCTION("""COMPUTED_VALUE"""),"Jeff Weiner y cómo establecer una cultura y un plan de crecimiento")</f>
        <v>Jeff Weiner y cómo establecer una cultura y un plan de crecimiento</v>
      </c>
      <c r="O29" s="217"/>
      <c r="P29" s="213"/>
      <c r="Q29" s="215"/>
      <c r="R29" s="215"/>
      <c r="S29" s="217"/>
      <c r="T29" s="217"/>
      <c r="U29" s="213"/>
      <c r="V29" s="215"/>
      <c r="W29" s="215"/>
      <c r="X29" s="217"/>
      <c r="Y29" s="217"/>
      <c r="Z29" s="213"/>
      <c r="AA29" s="215">
        <f ca="1">IFERROR(__xludf.DUMMYFUNCTION("""COMPUTED_VALUE"""),801466)</f>
        <v>801466</v>
      </c>
      <c r="AB29" s="215" t="str">
        <f ca="1">IFERROR(__xludf.DUMMYFUNCTION("""COMPUTED_VALUE"""),"Intermediate")</f>
        <v>Intermediate</v>
      </c>
      <c r="AC29" s="217" t="str">
        <f ca="1">IFERROR(__xludf.DUMMYFUNCTION("""COMPUTED_VALUE"""),"Liderança Inclusiva")</f>
        <v>Liderança Inclusiva</v>
      </c>
      <c r="AD29" s="217"/>
      <c r="AE29" s="213"/>
      <c r="AF29" s="215"/>
      <c r="AG29" s="215"/>
      <c r="AH29" s="217"/>
      <c r="AI29" s="217"/>
      <c r="AJ29" s="213"/>
    </row>
    <row r="30" spans="1:36" ht="33.75" customHeight="1">
      <c r="A30" s="213"/>
      <c r="B30" s="214">
        <f ca="1">IFERROR(__xludf.DUMMYFUNCTION("""COMPUTED_VALUE"""),2825692)</f>
        <v>2825692</v>
      </c>
      <c r="C30" s="215" t="str">
        <f ca="1">IFERROR(__xludf.DUMMYFUNCTION("""COMPUTED_VALUE"""),"Intermediate")</f>
        <v>Intermediate</v>
      </c>
      <c r="D30" s="216" t="str">
        <f ca="1">IFERROR(__xludf.DUMMYFUNCTION("""COMPUTED_VALUE"""),"Inclusive Selling: Selling Across Culture, Race, and Gender Differences")</f>
        <v>Inclusive Selling: Selling Across Culture, Race, and Gender Differences</v>
      </c>
      <c r="E30" s="217"/>
      <c r="F30" s="213"/>
      <c r="G30" s="214">
        <f ca="1">IFERROR(__xludf.DUMMYFUNCTION("""COMPUTED_VALUE"""),2920036)</f>
        <v>2920036</v>
      </c>
      <c r="H30" s="215" t="str">
        <f ca="1">IFERROR(__xludf.DUMMYFUNCTION("""COMPUTED_VALUE"""),"Intermediate")</f>
        <v>Intermediate</v>
      </c>
      <c r="I30" s="217" t="str">
        <f ca="1">IFERROR(__xludf.DUMMYFUNCTION("""COMPUTED_VALUE"""),"PowerPoint : Rendre ses présentations accessibles à tous")</f>
        <v>PowerPoint : Rendre ses présentations accessibles à tous</v>
      </c>
      <c r="J30" s="217"/>
      <c r="K30" s="213"/>
      <c r="L30" s="215">
        <f ca="1">IFERROR(__xludf.DUMMYFUNCTION("""COMPUTED_VALUE"""),2924307)</f>
        <v>2924307</v>
      </c>
      <c r="M30" s="215" t="str">
        <f ca="1">IFERROR(__xludf.DUMMYFUNCTION("""COMPUTED_VALUE"""),"All levels")</f>
        <v>All levels</v>
      </c>
      <c r="N30" s="217" t="str">
        <f ca="1">IFERROR(__xludf.DUMMYFUNCTION("""COMPUTED_VALUE"""),"La ética empresarial")</f>
        <v>La ética empresarial</v>
      </c>
      <c r="O30" s="217"/>
      <c r="P30" s="213"/>
      <c r="Q30" s="215"/>
      <c r="R30" s="215"/>
      <c r="S30" s="217"/>
      <c r="T30" s="217"/>
      <c r="U30" s="213"/>
      <c r="V30" s="215"/>
      <c r="W30" s="215"/>
      <c r="X30" s="217"/>
      <c r="Y30" s="217"/>
      <c r="Z30" s="213"/>
      <c r="AA30" s="215">
        <f ca="1">IFERROR(__xludf.DUMMYFUNCTION("""COMPUTED_VALUE"""),2896676)</f>
        <v>2896676</v>
      </c>
      <c r="AB30" s="215" t="str">
        <f ca="1">IFERROR(__xludf.DUMMYFUNCTION("""COMPUTED_VALUE"""),"Advanced")</f>
        <v>Advanced</v>
      </c>
      <c r="AC30" s="217" t="str">
        <f ca="1">IFERROR(__xludf.DUMMYFUNCTION("""COMPUTED_VALUE"""),"Mulheres na Liderança: Como Impulsionar a Equidade nas Organizações")</f>
        <v>Mulheres na Liderança: Como Impulsionar a Equidade nas Organizações</v>
      </c>
      <c r="AD30" s="217"/>
      <c r="AE30" s="213"/>
      <c r="AF30" s="215"/>
      <c r="AG30" s="215"/>
      <c r="AH30" s="217"/>
      <c r="AI30" s="217"/>
      <c r="AJ30" s="213"/>
    </row>
    <row r="31" spans="1:36" ht="33.75" customHeight="1">
      <c r="A31" s="213"/>
      <c r="B31" s="214">
        <f ca="1">IFERROR(__xludf.DUMMYFUNCTION("""COMPUTED_VALUE"""),2424408)</f>
        <v>2424408</v>
      </c>
      <c r="C31" s="215" t="str">
        <f ca="1">IFERROR(__xludf.DUMMYFUNCTION("""COMPUTED_VALUE"""),"Intermediate")</f>
        <v>Intermediate</v>
      </c>
      <c r="D31" s="216" t="str">
        <f ca="1">IFERROR(__xludf.DUMMYFUNCTION("""COMPUTED_VALUE"""),"Creating Inclusive Learning Experiences")</f>
        <v>Creating Inclusive Learning Experiences</v>
      </c>
      <c r="E31" s="217"/>
      <c r="F31" s="213"/>
      <c r="G31" s="214">
        <f ca="1">IFERROR(__xludf.DUMMYFUNCTION("""COMPUTED_VALUE"""),2458198)</f>
        <v>2458198</v>
      </c>
      <c r="H31" s="215" t="str">
        <f ca="1">IFERROR(__xludf.DUMMYFUNCTION("""COMPUTED_VALUE"""),"All levels")</f>
        <v>All levels</v>
      </c>
      <c r="I31" s="217" t="str">
        <f ca="1">IFERROR(__xludf.DUMMYFUNCTION("""COMPUTED_VALUE"""),"Promouvoir la neurodiversité au travail")</f>
        <v>Promouvoir la neurodiversité au travail</v>
      </c>
      <c r="J31" s="217"/>
      <c r="K31" s="213"/>
      <c r="L31" s="215">
        <f ca="1">IFERROR(__xludf.DUMMYFUNCTION("""COMPUTED_VALUE"""),2841036)</f>
        <v>2841036</v>
      </c>
      <c r="M31" s="215" t="str">
        <f ca="1">IFERROR(__xludf.DUMMYFUNCTION("""COMPUTED_VALUE"""),"All levels")</f>
        <v>All levels</v>
      </c>
      <c r="N31" s="217" t="str">
        <f ca="1">IFERROR(__xludf.DUMMYFUNCTION("""COMPUTED_VALUE"""),"La importancia del lenguaje inclusivo")</f>
        <v>La importancia del lenguaje inclusivo</v>
      </c>
      <c r="O31" s="217"/>
      <c r="P31" s="213"/>
      <c r="Q31" s="215"/>
      <c r="R31" s="215"/>
      <c r="S31" s="217"/>
      <c r="T31" s="217"/>
      <c r="U31" s="213"/>
      <c r="V31" s="215"/>
      <c r="W31" s="215"/>
      <c r="X31" s="217"/>
      <c r="Y31" s="217"/>
      <c r="Z31" s="213"/>
      <c r="AA31" s="215">
        <f ca="1">IFERROR(__xludf.DUMMYFUNCTION("""COMPUTED_VALUE"""),2908963)</f>
        <v>2908963</v>
      </c>
      <c r="AB31" s="215" t="str">
        <f ca="1">IFERROR(__xludf.DUMMYFUNCTION("""COMPUTED_VALUE"""),"Beginner, Intermediate")</f>
        <v>Beginner, Intermediate</v>
      </c>
      <c r="AC31" s="217" t="str">
        <f ca="1">IFERROR(__xludf.DUMMYFUNCTION("""COMPUTED_VALUE"""),"Mulheres na Liderança: Estratégias Eficazes para o Sucesso Profissional")</f>
        <v>Mulheres na Liderança: Estratégias Eficazes para o Sucesso Profissional</v>
      </c>
      <c r="AD31" s="217"/>
      <c r="AE31" s="213"/>
      <c r="AF31" s="215"/>
      <c r="AG31" s="215"/>
      <c r="AH31" s="217"/>
      <c r="AI31" s="217"/>
      <c r="AJ31" s="213"/>
    </row>
    <row r="32" spans="1:36" ht="30">
      <c r="A32" s="213"/>
      <c r="B32" s="214">
        <f ca="1">IFERROR(__xludf.DUMMYFUNCTION("""COMPUTED_VALUE"""),2875147)</f>
        <v>2875147</v>
      </c>
      <c r="C32" s="215" t="str">
        <f ca="1">IFERROR(__xludf.DUMMYFUNCTION("""COMPUTED_VALUE"""),"General")</f>
        <v>General</v>
      </c>
      <c r="D32" s="216" t="str">
        <f ca="1">IFERROR(__xludf.DUMMYFUNCTION("""COMPUTED_VALUE"""),"How to Speak Up Against Racism at Work")</f>
        <v>How to Speak Up Against Racism at Work</v>
      </c>
      <c r="E32" s="217"/>
      <c r="F32" s="213"/>
      <c r="G32" s="214">
        <f ca="1">IFERROR(__xludf.DUMMYFUNCTION("""COMPUTED_VALUE"""),3000006)</f>
        <v>3000006</v>
      </c>
      <c r="H32" s="215" t="str">
        <f ca="1">IFERROR(__xludf.DUMMYFUNCTION("""COMPUTED_VALUE"""),"Intermediate")</f>
        <v>Intermediate</v>
      </c>
      <c r="I32" s="217" t="str">
        <f ca="1">IFERROR(__xludf.DUMMYFUNCTION("""COMPUTED_VALUE"""),"Recruter en pensant à la diversité")</f>
        <v>Recruter en pensant à la diversité</v>
      </c>
      <c r="J32" s="217"/>
      <c r="K32" s="213"/>
      <c r="L32" s="215">
        <f ca="1">IFERROR(__xludf.DUMMYFUNCTION("""COMPUTED_VALUE"""),2841033)</f>
        <v>2841033</v>
      </c>
      <c r="M32" s="215" t="str">
        <f ca="1">IFERROR(__xludf.DUMMYFUNCTION("""COMPUTED_VALUE"""),"All levels")</f>
        <v>All levels</v>
      </c>
      <c r="N32" s="217" t="str">
        <f ca="1">IFERROR(__xludf.DUMMYFUNCTION("""COMPUTED_VALUE"""),"La salud: Tu mejor talento")</f>
        <v>La salud: Tu mejor talento</v>
      </c>
      <c r="O32" s="217"/>
      <c r="P32" s="213"/>
      <c r="Q32" s="215"/>
      <c r="R32" s="215"/>
      <c r="S32" s="217"/>
      <c r="T32" s="217"/>
      <c r="U32" s="213"/>
      <c r="V32" s="215"/>
      <c r="W32" s="215"/>
      <c r="X32" s="217"/>
      <c r="Y32" s="217"/>
      <c r="Z32" s="213"/>
      <c r="AA32" s="215">
        <f ca="1">IFERROR(__xludf.DUMMYFUNCTION("""COMPUTED_VALUE"""),2392461)</f>
        <v>2392461</v>
      </c>
      <c r="AB32" s="215" t="str">
        <f ca="1">IFERROR(__xludf.DUMMYFUNCTION("""COMPUTED_VALUE"""),"Beginner")</f>
        <v>Beginner</v>
      </c>
      <c r="AC32" s="217" t="str">
        <f ca="1">IFERROR(__xludf.DUMMYFUNCTION("""COMPUTED_VALUE"""),"Mulheres na Tecnologia: Como Romper a Barreira de Gênero")</f>
        <v>Mulheres na Tecnologia: Como Romper a Barreira de Gênero</v>
      </c>
      <c r="AD32" s="217"/>
      <c r="AE32" s="213"/>
      <c r="AF32" s="215"/>
      <c r="AG32" s="215"/>
      <c r="AH32" s="217"/>
      <c r="AI32" s="217"/>
      <c r="AJ32" s="213"/>
    </row>
    <row r="33" spans="1:36" ht="33.75" customHeight="1">
      <c r="A33" s="213"/>
      <c r="B33" s="214">
        <f ca="1">IFERROR(__xludf.DUMMYFUNCTION("""COMPUTED_VALUE"""),2878007)</f>
        <v>2878007</v>
      </c>
      <c r="C33" s="215" t="str">
        <f ca="1">IFERROR(__xludf.DUMMYFUNCTION("""COMPUTED_VALUE"""),"General")</f>
        <v>General</v>
      </c>
      <c r="D33" s="216" t="str">
        <f ca="1">IFERROR(__xludf.DUMMYFUNCTION("""COMPUTED_VALUE"""),"Supporting Allyship and Anti-Racism at Work")</f>
        <v>Supporting Allyship and Anti-Racism at Work</v>
      </c>
      <c r="E33" s="217"/>
      <c r="F33" s="213"/>
      <c r="G33" s="214">
        <f ca="1">IFERROR(__xludf.DUMMYFUNCTION("""COMPUTED_VALUE"""),2921390)</f>
        <v>2921390</v>
      </c>
      <c r="H33" s="215" t="str">
        <f ca="1">IFERROR(__xludf.DUMMYFUNCTION("""COMPUTED_VALUE"""),"Intermediate")</f>
        <v>Intermediate</v>
      </c>
      <c r="I33" s="217" t="str">
        <f ca="1">IFERROR(__xludf.DUMMYFUNCTION("""COMPUTED_VALUE"""),"Réussir en entreprise en tant que femme")</f>
        <v>Réussir en entreprise en tant que femme</v>
      </c>
      <c r="J33" s="217"/>
      <c r="K33" s="213"/>
      <c r="L33" s="215">
        <f ca="1">IFERROR(__xludf.DUMMYFUNCTION("""COMPUTED_VALUE"""),2221545)</f>
        <v>2221545</v>
      </c>
      <c r="M33" s="215" t="str">
        <f ca="1">IFERROR(__xludf.DUMMYFUNCTION("""COMPUTED_VALUE"""),"Intermediate")</f>
        <v>Intermediate</v>
      </c>
      <c r="N33" s="217" t="str">
        <f ca="1">IFERROR(__xludf.DUMMYFUNCTION("""COMPUTED_VALUE"""),"Liderazgo inclusivo")</f>
        <v>Liderazgo inclusivo</v>
      </c>
      <c r="O33" s="217"/>
      <c r="P33" s="213"/>
      <c r="Q33" s="215"/>
      <c r="R33" s="215"/>
      <c r="S33" s="217"/>
      <c r="T33" s="217"/>
      <c r="U33" s="213"/>
      <c r="V33" s="215"/>
      <c r="W33" s="215"/>
      <c r="X33" s="217"/>
      <c r="Y33" s="217"/>
      <c r="Z33" s="213"/>
      <c r="AA33" s="215">
        <f ca="1">IFERROR(__xludf.DUMMYFUNCTION("""COMPUTED_VALUE"""),753066)</f>
        <v>753066</v>
      </c>
      <c r="AB33" s="215" t="str">
        <f ca="1">IFERROR(__xludf.DUMMYFUNCTION("""COMPUTED_VALUE"""),"Intermediate")</f>
        <v>Intermediate</v>
      </c>
      <c r="AC33" s="217" t="str">
        <f ca="1">IFERROR(__xludf.DUMMYFUNCTION("""COMPUTED_VALUE"""),"O Poder da Autenticidade na Liderança 4.0")</f>
        <v>O Poder da Autenticidade na Liderança 4.0</v>
      </c>
      <c r="AD33" s="217"/>
      <c r="AE33" s="213"/>
      <c r="AF33" s="215"/>
      <c r="AG33" s="215"/>
      <c r="AH33" s="217"/>
      <c r="AI33" s="217"/>
      <c r="AJ33" s="213"/>
    </row>
    <row r="34" spans="1:36" ht="33.75" customHeight="1">
      <c r="A34" s="213"/>
      <c r="B34" s="214">
        <f ca="1">IFERROR(__xludf.DUMMYFUNCTION("""COMPUTED_VALUE"""),2886117)</f>
        <v>2886117</v>
      </c>
      <c r="C34" s="215" t="str">
        <f ca="1">IFERROR(__xludf.DUMMYFUNCTION("""COMPUTED_VALUE"""),"General")</f>
        <v>General</v>
      </c>
      <c r="D34" s="216" t="str">
        <f ca="1">IFERROR(__xludf.DUMMYFUNCTION("""COMPUTED_VALUE"""),"A Guide to ERGs (Employee Resource Groups)")</f>
        <v>A Guide to ERGs (Employee Resource Groups)</v>
      </c>
      <c r="E34" s="217"/>
      <c r="F34" s="213"/>
      <c r="G34" s="214">
        <f ca="1">IFERROR(__xludf.DUMMYFUNCTION("""COMPUTED_VALUE"""),2454243)</f>
        <v>2454243</v>
      </c>
      <c r="H34" s="215" t="str">
        <f ca="1">IFERROR(__xludf.DUMMYFUNCTION("""COMPUTED_VALUE"""),"All levels")</f>
        <v>All levels</v>
      </c>
      <c r="I34" s="217" t="str">
        <f ca="1">IFERROR(__xludf.DUMMYFUNCTION("""COMPUTED_VALUE"""),"S'exprimer contre les discriminations au travail")</f>
        <v>S'exprimer contre les discriminations au travail</v>
      </c>
      <c r="J34" s="217"/>
      <c r="K34" s="213"/>
      <c r="L34" s="215">
        <f ca="1">IFERROR(__xludf.DUMMYFUNCTION("""COMPUTED_VALUE"""),800904)</f>
        <v>800904</v>
      </c>
      <c r="M34" s="215" t="str">
        <f ca="1">IFERROR(__xludf.DUMMYFUNCTION("""COMPUTED_VALUE"""),"Intermediate")</f>
        <v>Intermediate</v>
      </c>
      <c r="N34" s="217" t="str">
        <f ca="1">IFERROR(__xludf.DUMMYFUNCTION("""COMPUTED_VALUE"""),"Presencia ejecutiva para mujeres")</f>
        <v>Presencia ejecutiva para mujeres</v>
      </c>
      <c r="O34" s="217"/>
      <c r="P34" s="213"/>
      <c r="Q34" s="215"/>
      <c r="R34" s="215"/>
      <c r="S34" s="217"/>
      <c r="T34" s="217"/>
      <c r="U34" s="213"/>
      <c r="V34" s="215"/>
      <c r="W34" s="215"/>
      <c r="X34" s="217"/>
      <c r="Y34" s="217"/>
      <c r="Z34" s="213"/>
      <c r="AA34" s="215">
        <f ca="1">IFERROR(__xludf.DUMMYFUNCTION("""COMPUTED_VALUE"""),2841354)</f>
        <v>2841354</v>
      </c>
      <c r="AB34" s="215" t="str">
        <f ca="1">IFERROR(__xludf.DUMMYFUNCTION("""COMPUTED_VALUE"""),"All levels")</f>
        <v>All levels</v>
      </c>
      <c r="AC34" s="217" t="str">
        <f ca="1">IFERROR(__xludf.DUMMYFUNCTION("""COMPUTED_VALUE"""),"Presença Executiva para Mulheres em Cargos de Liderança")</f>
        <v>Presença Executiva para Mulheres em Cargos de Liderança</v>
      </c>
      <c r="AD34" s="217"/>
      <c r="AE34" s="213"/>
      <c r="AF34" s="215"/>
      <c r="AG34" s="215"/>
      <c r="AH34" s="217"/>
      <c r="AI34" s="217"/>
      <c r="AJ34" s="213"/>
    </row>
    <row r="35" spans="1:36" ht="33.75" customHeight="1">
      <c r="A35" s="213"/>
      <c r="B35" s="214">
        <f ca="1">IFERROR(__xludf.DUMMYFUNCTION("""COMPUTED_VALUE"""),664811)</f>
        <v>664811</v>
      </c>
      <c r="C35" s="215" t="str">
        <f ca="1">IFERROR(__xludf.DUMMYFUNCTION("""COMPUTED_VALUE"""),"Advanced")</f>
        <v>Advanced</v>
      </c>
      <c r="D35" s="216" t="str">
        <f ca="1">IFERROR(__xludf.DUMMYFUNCTION("""COMPUTED_VALUE"""),"Diversity and Inclusion in a Global Enterprise")</f>
        <v>Diversity and Inclusion in a Global Enterprise</v>
      </c>
      <c r="E35" s="217"/>
      <c r="F35" s="213"/>
      <c r="G35" s="214"/>
      <c r="H35" s="215"/>
      <c r="I35" s="217"/>
      <c r="J35" s="217"/>
      <c r="K35" s="213"/>
      <c r="L35" s="215">
        <f ca="1">IFERROR(__xludf.DUMMYFUNCTION("""COMPUTED_VALUE"""),2372096)</f>
        <v>2372096</v>
      </c>
      <c r="M35" s="215" t="str">
        <f ca="1">IFERROR(__xludf.DUMMYFUNCTION("""COMPUTED_VALUE"""),"All levels")</f>
        <v>All levels</v>
      </c>
      <c r="N35" s="217" t="str">
        <f ca="1">IFERROR(__xludf.DUMMYFUNCTION("""COMPUTED_VALUE"""),"Presencia ejecutiva: Sugerencias para las mujeres")</f>
        <v>Presencia ejecutiva: Sugerencias para las mujeres</v>
      </c>
      <c r="O35" s="217"/>
      <c r="P35" s="213"/>
      <c r="Q35" s="215"/>
      <c r="R35" s="215"/>
      <c r="S35" s="217"/>
      <c r="T35" s="217"/>
      <c r="U35" s="213"/>
      <c r="V35" s="215"/>
      <c r="W35" s="215"/>
      <c r="X35" s="217"/>
      <c r="Y35" s="217"/>
      <c r="Z35" s="213"/>
      <c r="AA35" s="215">
        <f ca="1">IFERROR(__xludf.DUMMYFUNCTION("""COMPUTED_VALUE"""),2382603)</f>
        <v>2382603</v>
      </c>
      <c r="AB35" s="215" t="str">
        <f ca="1">IFERROR(__xludf.DUMMYFUNCTION("""COMPUTED_VALUE"""),"All levels")</f>
        <v>All levels</v>
      </c>
      <c r="AC35" s="217" t="str">
        <f ca="1">IFERROR(__xludf.DUMMYFUNCTION("""COMPUTED_VALUE"""),"Vieses Inconscientes: Como Lidar com a Diversidade Cultural nas Empresas")</f>
        <v>Vieses Inconscientes: Como Lidar com a Diversidade Cultural nas Empresas</v>
      </c>
      <c r="AD35" s="217"/>
      <c r="AE35" s="213"/>
      <c r="AF35" s="215"/>
      <c r="AG35" s="215"/>
      <c r="AH35" s="217"/>
      <c r="AI35" s="217"/>
      <c r="AJ35" s="213"/>
    </row>
    <row r="36" spans="1:36" ht="33.75" customHeight="1">
      <c r="A36" s="213"/>
      <c r="B36" s="214">
        <f ca="1">IFERROR(__xludf.DUMMYFUNCTION("""COMPUTED_VALUE"""),5022325)</f>
        <v>5022325</v>
      </c>
      <c r="C36" s="215" t="str">
        <f ca="1">IFERROR(__xludf.DUMMYFUNCTION("""COMPUTED_VALUE"""),"Advanced")</f>
        <v>Advanced</v>
      </c>
      <c r="D36" s="216" t="str">
        <f ca="1">IFERROR(__xludf.DUMMYFUNCTION("""COMPUTED_VALUE"""),"Leveraging Neuroscience in the Workplace")</f>
        <v>Leveraging Neuroscience in the Workplace</v>
      </c>
      <c r="E36" s="217"/>
      <c r="F36" s="213"/>
      <c r="G36" s="214"/>
      <c r="H36" s="215"/>
      <c r="I36" s="217"/>
      <c r="J36" s="217"/>
      <c r="K36" s="213"/>
      <c r="L36" s="215"/>
      <c r="M36" s="215"/>
      <c r="N36" s="217"/>
      <c r="O36" s="217"/>
      <c r="P36" s="213"/>
      <c r="Q36" s="215"/>
      <c r="R36" s="215"/>
      <c r="S36" s="217"/>
      <c r="T36" s="217"/>
      <c r="U36" s="213"/>
      <c r="V36" s="215"/>
      <c r="W36" s="215"/>
      <c r="X36" s="217"/>
      <c r="Y36" s="217"/>
      <c r="Z36" s="213"/>
      <c r="AA36" s="215"/>
      <c r="AB36" s="215"/>
      <c r="AC36" s="217"/>
      <c r="AD36" s="217"/>
      <c r="AE36" s="213"/>
      <c r="AF36" s="215"/>
      <c r="AG36" s="215"/>
      <c r="AH36" s="217"/>
      <c r="AI36" s="217"/>
      <c r="AJ36" s="213"/>
    </row>
    <row r="37" spans="1:36" ht="33.75" customHeight="1">
      <c r="A37" s="213"/>
      <c r="B37" s="214">
        <f ca="1">IFERROR(__xludf.DUMMYFUNCTION("""COMPUTED_VALUE"""),2877283)</f>
        <v>2877283</v>
      </c>
      <c r="C37" s="215" t="str">
        <f ca="1">IFERROR(__xludf.DUMMYFUNCTION("""COMPUTED_VALUE"""),"Beginner")</f>
        <v>Beginner</v>
      </c>
      <c r="D37" s="216" t="str">
        <f ca="1">IFERROR(__xludf.DUMMYFUNCTION("""COMPUTED_VALUE"""),"Creating a Great Place to Work for All")</f>
        <v>Creating a Great Place to Work for All</v>
      </c>
      <c r="E37" s="217"/>
      <c r="F37" s="213"/>
      <c r="G37" s="214"/>
      <c r="H37" s="215"/>
      <c r="I37" s="217"/>
      <c r="J37" s="217"/>
      <c r="K37" s="213"/>
      <c r="L37" s="215"/>
      <c r="M37" s="215"/>
      <c r="N37" s="217"/>
      <c r="O37" s="217"/>
      <c r="P37" s="213"/>
      <c r="Q37" s="215"/>
      <c r="R37" s="215"/>
      <c r="S37" s="217"/>
      <c r="T37" s="217"/>
      <c r="U37" s="213"/>
      <c r="V37" s="215"/>
      <c r="W37" s="215"/>
      <c r="X37" s="217"/>
      <c r="Y37" s="217"/>
      <c r="Z37" s="213"/>
      <c r="AA37" s="215"/>
      <c r="AB37" s="215"/>
      <c r="AC37" s="217"/>
      <c r="AD37" s="217"/>
      <c r="AE37" s="213"/>
      <c r="AF37" s="215"/>
      <c r="AG37" s="215"/>
      <c r="AH37" s="217"/>
      <c r="AI37" s="217"/>
      <c r="AJ37" s="213"/>
    </row>
    <row r="38" spans="1:36" ht="33.75" customHeight="1">
      <c r="A38" s="213"/>
      <c r="B38" s="214">
        <f ca="1">IFERROR(__xludf.DUMMYFUNCTION("""COMPUTED_VALUE"""),2837225)</f>
        <v>2837225</v>
      </c>
      <c r="C38" s="215" t="str">
        <f ca="1">IFERROR(__xludf.DUMMYFUNCTION("""COMPUTED_VALUE"""),"Beginner")</f>
        <v>Beginner</v>
      </c>
      <c r="D38" s="216" t="str">
        <f ca="1">IFERROR(__xludf.DUMMYFUNCTION("""COMPUTED_VALUE"""),"Out and Proud: Approaching LGBT Issues in the Workplace")</f>
        <v>Out and Proud: Approaching LGBT Issues in the Workplace</v>
      </c>
      <c r="E38" s="217"/>
      <c r="F38" s="213"/>
      <c r="G38" s="214"/>
      <c r="H38" s="215"/>
      <c r="I38" s="217"/>
      <c r="J38" s="217"/>
      <c r="K38" s="213"/>
      <c r="L38" s="215"/>
      <c r="M38" s="215"/>
      <c r="N38" s="217"/>
      <c r="O38" s="217"/>
      <c r="P38" s="213"/>
      <c r="Q38" s="215"/>
      <c r="R38" s="215"/>
      <c r="S38" s="217"/>
      <c r="T38" s="217"/>
      <c r="U38" s="213"/>
      <c r="V38" s="215"/>
      <c r="W38" s="215"/>
      <c r="X38" s="217"/>
      <c r="Y38" s="217"/>
      <c r="Z38" s="213"/>
      <c r="AA38" s="215"/>
      <c r="AB38" s="215"/>
      <c r="AC38" s="217"/>
      <c r="AD38" s="217"/>
      <c r="AE38" s="213"/>
      <c r="AF38" s="215"/>
      <c r="AG38" s="215"/>
      <c r="AH38" s="217"/>
      <c r="AI38" s="217"/>
      <c r="AJ38" s="213"/>
    </row>
    <row r="39" spans="1:36" ht="33.75" customHeight="1">
      <c r="A39" s="213"/>
      <c r="B39" s="214">
        <f ca="1">IFERROR(__xludf.DUMMYFUNCTION("""COMPUTED_VALUE"""),2819028)</f>
        <v>2819028</v>
      </c>
      <c r="C39" s="215" t="str">
        <f ca="1">IFERROR(__xludf.DUMMYFUNCTION("""COMPUTED_VALUE"""),"Beginner")</f>
        <v>Beginner</v>
      </c>
      <c r="D39" s="216" t="str">
        <f ca="1">IFERROR(__xludf.DUMMYFUNCTION("""COMPUTED_VALUE"""),"Diversity, Inclusion, and Belonging")</f>
        <v>Diversity, Inclusion, and Belonging</v>
      </c>
      <c r="E39" s="217"/>
      <c r="F39" s="213"/>
      <c r="G39" s="214"/>
      <c r="H39" s="215"/>
      <c r="I39" s="217"/>
      <c r="J39" s="217"/>
      <c r="K39" s="213"/>
      <c r="L39" s="215"/>
      <c r="M39" s="215"/>
      <c r="N39" s="217"/>
      <c r="O39" s="217"/>
      <c r="P39" s="213"/>
      <c r="Q39" s="215"/>
      <c r="R39" s="215"/>
      <c r="S39" s="217"/>
      <c r="T39" s="217"/>
      <c r="U39" s="213"/>
      <c r="V39" s="215"/>
      <c r="W39" s="215"/>
      <c r="X39" s="217"/>
      <c r="Y39" s="217"/>
      <c r="Z39" s="213"/>
      <c r="AA39" s="215"/>
      <c r="AB39" s="215"/>
      <c r="AC39" s="217"/>
      <c r="AD39" s="217"/>
      <c r="AE39" s="213"/>
      <c r="AF39" s="215"/>
      <c r="AG39" s="215"/>
      <c r="AH39" s="217"/>
      <c r="AI39" s="217"/>
      <c r="AJ39" s="213"/>
    </row>
    <row r="40" spans="1:36" ht="33.75" customHeight="1">
      <c r="A40" s="213"/>
      <c r="B40" s="214">
        <f ca="1">IFERROR(__xludf.DUMMYFUNCTION("""COMPUTED_VALUE"""),794118)</f>
        <v>794118</v>
      </c>
      <c r="C40" s="215" t="str">
        <f ca="1">IFERROR(__xludf.DUMMYFUNCTION("""COMPUTED_VALUE"""),"Beginner")</f>
        <v>Beginner</v>
      </c>
      <c r="D40" s="216" t="str">
        <f ca="1">IFERROR(__xludf.DUMMYFUNCTION("""COMPUTED_VALUE"""),"Teaching Civility in the Workplace")</f>
        <v>Teaching Civility in the Workplace</v>
      </c>
      <c r="E40" s="217"/>
      <c r="F40" s="213"/>
      <c r="G40" s="214"/>
      <c r="H40" s="215"/>
      <c r="I40" s="217"/>
      <c r="J40" s="217"/>
      <c r="K40" s="213"/>
      <c r="L40" s="215"/>
      <c r="M40" s="215"/>
      <c r="N40" s="217"/>
      <c r="O40" s="217"/>
      <c r="P40" s="213"/>
      <c r="Q40" s="215"/>
      <c r="R40" s="215"/>
      <c r="S40" s="217"/>
      <c r="T40" s="217"/>
      <c r="U40" s="213"/>
      <c r="V40" s="215"/>
      <c r="W40" s="215"/>
      <c r="X40" s="217"/>
      <c r="Y40" s="217"/>
      <c r="Z40" s="213"/>
      <c r="AA40" s="215"/>
      <c r="AB40" s="215"/>
      <c r="AC40" s="217"/>
      <c r="AD40" s="217"/>
      <c r="AE40" s="213"/>
      <c r="AF40" s="215"/>
      <c r="AG40" s="215"/>
      <c r="AH40" s="217"/>
      <c r="AI40" s="217"/>
      <c r="AJ40" s="213"/>
    </row>
    <row r="41" spans="1:36" ht="33.75" customHeight="1">
      <c r="A41" s="213"/>
      <c r="B41" s="214">
        <f ca="1">IFERROR(__xludf.DUMMYFUNCTION("""COMPUTED_VALUE"""),2807859)</f>
        <v>2807859</v>
      </c>
      <c r="C41" s="215" t="str">
        <f ca="1">IFERROR(__xludf.DUMMYFUNCTION("""COMPUTED_VALUE"""),"Beginner")</f>
        <v>Beginner</v>
      </c>
      <c r="D41" s="216" t="str">
        <f ca="1">IFERROR(__xludf.DUMMYFUNCTION("""COMPUTED_VALUE"""),"Women Transforming Tech: Voices from the Field")</f>
        <v>Women Transforming Tech: Voices from the Field</v>
      </c>
      <c r="E41" s="217"/>
      <c r="F41" s="213"/>
      <c r="G41" s="214"/>
      <c r="H41" s="215"/>
      <c r="I41" s="217"/>
      <c r="J41" s="217"/>
      <c r="K41" s="213"/>
      <c r="L41" s="215"/>
      <c r="M41" s="215"/>
      <c r="N41" s="217"/>
      <c r="O41" s="217"/>
      <c r="P41" s="213"/>
      <c r="Q41" s="215"/>
      <c r="R41" s="215"/>
      <c r="S41" s="217"/>
      <c r="T41" s="217"/>
      <c r="U41" s="213"/>
      <c r="V41" s="215"/>
      <c r="W41" s="215"/>
      <c r="X41" s="217"/>
      <c r="Y41" s="217"/>
      <c r="Z41" s="213"/>
      <c r="AA41" s="215"/>
      <c r="AB41" s="215"/>
      <c r="AC41" s="217"/>
      <c r="AD41" s="217"/>
      <c r="AE41" s="213"/>
      <c r="AF41" s="215"/>
      <c r="AG41" s="215"/>
      <c r="AH41" s="217"/>
      <c r="AI41" s="217"/>
      <c r="AJ41" s="213"/>
    </row>
    <row r="42" spans="1:36" ht="33.75" customHeight="1">
      <c r="A42" s="213"/>
      <c r="B42" s="214">
        <f ca="1">IFERROR(__xludf.DUMMYFUNCTION("""COMPUTED_VALUE"""),2810166)</f>
        <v>2810166</v>
      </c>
      <c r="C42" s="215" t="str">
        <f ca="1">IFERROR(__xludf.DUMMYFUNCTION("""COMPUTED_VALUE"""),"Beginner")</f>
        <v>Beginner</v>
      </c>
      <c r="D42" s="216" t="str">
        <f ca="1">IFERROR(__xludf.DUMMYFUNCTION("""COMPUTED_VALUE"""),"Women Transforming Tech: Breaking Bias")</f>
        <v>Women Transforming Tech: Breaking Bias</v>
      </c>
      <c r="E42" s="217"/>
      <c r="F42" s="213"/>
      <c r="G42" s="214"/>
      <c r="H42" s="215"/>
      <c r="I42" s="217"/>
      <c r="J42" s="217"/>
      <c r="K42" s="213"/>
      <c r="L42" s="215"/>
      <c r="M42" s="215"/>
      <c r="N42" s="217"/>
      <c r="O42" s="217"/>
      <c r="P42" s="213"/>
      <c r="Q42" s="215"/>
      <c r="R42" s="215"/>
      <c r="S42" s="217"/>
      <c r="T42" s="217"/>
      <c r="U42" s="213"/>
      <c r="V42" s="215"/>
      <c r="W42" s="215"/>
      <c r="X42" s="217"/>
      <c r="Y42" s="217"/>
      <c r="Z42" s="213"/>
      <c r="AA42" s="215"/>
      <c r="AB42" s="215"/>
      <c r="AC42" s="217"/>
      <c r="AD42" s="217"/>
      <c r="AE42" s="213"/>
      <c r="AF42" s="215"/>
      <c r="AG42" s="215"/>
      <c r="AH42" s="217"/>
      <c r="AI42" s="217"/>
      <c r="AJ42" s="213"/>
    </row>
    <row r="43" spans="1:36" ht="33.75" customHeight="1">
      <c r="A43" s="213"/>
      <c r="B43" s="214">
        <f ca="1">IFERROR(__xludf.DUMMYFUNCTION("""COMPUTED_VALUE"""),765323)</f>
        <v>765323</v>
      </c>
      <c r="C43" s="215" t="str">
        <f ca="1">IFERROR(__xludf.DUMMYFUNCTION("""COMPUTED_VALUE"""),"Beginner")</f>
        <v>Beginner</v>
      </c>
      <c r="D43" s="216" t="str">
        <f ca="1">IFERROR(__xludf.DUMMYFUNCTION("""COMPUTED_VALUE"""),"Teaching with LinkedIn Learning")</f>
        <v>Teaching with LinkedIn Learning</v>
      </c>
      <c r="E43" s="217"/>
      <c r="F43" s="213"/>
      <c r="G43" s="214"/>
      <c r="H43" s="215"/>
      <c r="I43" s="217"/>
      <c r="J43" s="217"/>
      <c r="K43" s="213"/>
      <c r="L43" s="215"/>
      <c r="M43" s="215"/>
      <c r="N43" s="217"/>
      <c r="O43" s="217"/>
      <c r="P43" s="213"/>
      <c r="Q43" s="215"/>
      <c r="R43" s="215"/>
      <c r="S43" s="217"/>
      <c r="T43" s="217"/>
      <c r="U43" s="213"/>
      <c r="V43" s="215"/>
      <c r="W43" s="215"/>
      <c r="X43" s="217"/>
      <c r="Y43" s="217"/>
      <c r="Z43" s="213"/>
      <c r="AA43" s="215"/>
      <c r="AB43" s="215"/>
      <c r="AC43" s="217"/>
      <c r="AD43" s="217"/>
      <c r="AE43" s="213"/>
      <c r="AF43" s="215"/>
      <c r="AG43" s="215"/>
      <c r="AH43" s="217"/>
      <c r="AI43" s="217"/>
      <c r="AJ43" s="213"/>
    </row>
    <row r="44" spans="1:36" ht="33.75" customHeight="1">
      <c r="A44" s="213"/>
      <c r="B44" s="214">
        <f ca="1">IFERROR(__xludf.DUMMYFUNCTION("""COMPUTED_VALUE"""),797726)</f>
        <v>797726</v>
      </c>
      <c r="C44" s="215" t="str">
        <f ca="1">IFERROR(__xludf.DUMMYFUNCTION("""COMPUTED_VALUE"""),"Beginner")</f>
        <v>Beginner</v>
      </c>
      <c r="D44" s="216" t="str">
        <f ca="1">IFERROR(__xludf.DUMMYFUNCTION("""COMPUTED_VALUE"""),"Marketing to Diverse Audiences")</f>
        <v>Marketing to Diverse Audiences</v>
      </c>
      <c r="E44" s="217"/>
      <c r="F44" s="213"/>
      <c r="G44" s="214"/>
      <c r="H44" s="215"/>
      <c r="I44" s="217"/>
      <c r="J44" s="217"/>
      <c r="K44" s="213"/>
      <c r="L44" s="215"/>
      <c r="M44" s="215"/>
      <c r="N44" s="217"/>
      <c r="O44" s="217"/>
      <c r="P44" s="213"/>
      <c r="Q44" s="215"/>
      <c r="R44" s="215"/>
      <c r="S44" s="217"/>
      <c r="T44" s="217"/>
      <c r="U44" s="213"/>
      <c r="V44" s="215"/>
      <c r="W44" s="215"/>
      <c r="X44" s="217"/>
      <c r="Y44" s="217"/>
      <c r="Z44" s="213"/>
      <c r="AA44" s="215"/>
      <c r="AB44" s="215"/>
      <c r="AC44" s="217"/>
      <c r="AD44" s="217"/>
      <c r="AE44" s="213"/>
      <c r="AF44" s="215"/>
      <c r="AG44" s="215"/>
      <c r="AH44" s="217"/>
      <c r="AI44" s="217"/>
      <c r="AJ44" s="213"/>
    </row>
    <row r="45" spans="1:36" ht="33.75" customHeight="1">
      <c r="A45" s="213"/>
      <c r="B45" s="214">
        <f ca="1">IFERROR(__xludf.DUMMYFUNCTION("""COMPUTED_VALUE"""),2812492)</f>
        <v>2812492</v>
      </c>
      <c r="C45" s="215" t="str">
        <f ca="1">IFERROR(__xludf.DUMMYFUNCTION("""COMPUTED_VALUE"""),"Beginner")</f>
        <v>Beginner</v>
      </c>
      <c r="D45" s="216" t="str">
        <f ca="1">IFERROR(__xludf.DUMMYFUNCTION("""COMPUTED_VALUE"""),"Overcoming Imposter Syndrome")</f>
        <v>Overcoming Imposter Syndrome</v>
      </c>
      <c r="E45" s="217"/>
      <c r="F45" s="213"/>
      <c r="G45" s="214"/>
      <c r="H45" s="215"/>
      <c r="I45" s="217"/>
      <c r="J45" s="217"/>
      <c r="K45" s="213"/>
      <c r="L45" s="215"/>
      <c r="M45" s="215"/>
      <c r="N45" s="217"/>
      <c r="O45" s="217"/>
      <c r="P45" s="213"/>
      <c r="Q45" s="215"/>
      <c r="R45" s="215"/>
      <c r="S45" s="217"/>
      <c r="T45" s="217"/>
      <c r="U45" s="213"/>
      <c r="V45" s="215"/>
      <c r="W45" s="215"/>
      <c r="X45" s="217"/>
      <c r="Y45" s="217"/>
      <c r="Z45" s="213"/>
      <c r="AA45" s="215"/>
      <c r="AB45" s="215"/>
      <c r="AC45" s="217"/>
      <c r="AD45" s="217"/>
      <c r="AE45" s="213"/>
      <c r="AF45" s="215"/>
      <c r="AG45" s="215"/>
      <c r="AH45" s="217"/>
      <c r="AI45" s="217"/>
      <c r="AJ45" s="213"/>
    </row>
    <row r="46" spans="1:36" ht="33.75" customHeight="1">
      <c r="A46" s="213"/>
      <c r="B46" s="214">
        <f ca="1">IFERROR(__xludf.DUMMYFUNCTION("""COMPUTED_VALUE"""),2811024)</f>
        <v>2811024</v>
      </c>
      <c r="C46" s="215" t="str">
        <f ca="1">IFERROR(__xludf.DUMMYFUNCTION("""COMPUTED_VALUE"""),"Beginner")</f>
        <v>Beginner</v>
      </c>
      <c r="D46" s="216" t="str">
        <f ca="1">IFERROR(__xludf.DUMMYFUNCTION("""COMPUTED_VALUE"""),"Women Transforming Tech: Building Your Brand")</f>
        <v>Women Transforming Tech: Building Your Brand</v>
      </c>
      <c r="E46" s="217"/>
      <c r="F46" s="213"/>
      <c r="G46" s="214"/>
      <c r="H46" s="215"/>
      <c r="I46" s="217"/>
      <c r="J46" s="217"/>
      <c r="K46" s="213"/>
      <c r="L46" s="215"/>
      <c r="M46" s="215"/>
      <c r="N46" s="217"/>
      <c r="O46" s="217"/>
      <c r="P46" s="213"/>
      <c r="Q46" s="215"/>
      <c r="R46" s="215"/>
      <c r="S46" s="217"/>
      <c r="T46" s="217"/>
      <c r="U46" s="213"/>
      <c r="V46" s="215"/>
      <c r="W46" s="215"/>
      <c r="X46" s="217"/>
      <c r="Y46" s="217"/>
      <c r="Z46" s="213"/>
      <c r="AA46" s="215"/>
      <c r="AB46" s="215"/>
      <c r="AC46" s="217"/>
      <c r="AD46" s="217"/>
      <c r="AE46" s="213"/>
      <c r="AF46" s="215"/>
      <c r="AG46" s="215"/>
      <c r="AH46" s="217"/>
      <c r="AI46" s="217"/>
      <c r="AJ46" s="213"/>
    </row>
    <row r="47" spans="1:36" ht="33.75" customHeight="1">
      <c r="A47" s="213"/>
      <c r="B47" s="214">
        <f ca="1">IFERROR(__xludf.DUMMYFUNCTION("""COMPUTED_VALUE"""),2805907)</f>
        <v>2805907</v>
      </c>
      <c r="C47" s="215" t="str">
        <f ca="1">IFERROR(__xludf.DUMMYFUNCTION("""COMPUTED_VALUE"""),"Beginner")</f>
        <v>Beginner</v>
      </c>
      <c r="D47" s="216" t="str">
        <f ca="1">IFERROR(__xludf.DUMMYFUNCTION("""COMPUTED_VALUE"""),"Women Transforming Tech: Finding Sponsors")</f>
        <v>Women Transforming Tech: Finding Sponsors</v>
      </c>
      <c r="E47" s="217"/>
      <c r="F47" s="213"/>
      <c r="G47" s="214"/>
      <c r="H47" s="215"/>
      <c r="I47" s="217"/>
      <c r="J47" s="217"/>
      <c r="K47" s="213"/>
      <c r="L47" s="215"/>
      <c r="M47" s="215"/>
      <c r="N47" s="217"/>
      <c r="O47" s="217"/>
      <c r="P47" s="213"/>
      <c r="Q47" s="215"/>
      <c r="R47" s="215"/>
      <c r="S47" s="217"/>
      <c r="T47" s="217"/>
      <c r="U47" s="213"/>
      <c r="V47" s="215"/>
      <c r="W47" s="215"/>
      <c r="X47" s="217"/>
      <c r="Y47" s="217"/>
      <c r="Z47" s="213"/>
      <c r="AA47" s="215"/>
      <c r="AB47" s="215"/>
      <c r="AC47" s="217"/>
      <c r="AD47" s="217"/>
      <c r="AE47" s="213"/>
      <c r="AF47" s="215"/>
      <c r="AG47" s="215"/>
      <c r="AH47" s="217"/>
      <c r="AI47" s="217"/>
      <c r="AJ47" s="213"/>
    </row>
    <row r="48" spans="1:36" ht="33.75" customHeight="1">
      <c r="A48" s="213"/>
      <c r="B48" s="214">
        <f ca="1">IFERROR(__xludf.DUMMYFUNCTION("""COMPUTED_VALUE"""),2807858)</f>
        <v>2807858</v>
      </c>
      <c r="C48" s="215" t="str">
        <f ca="1">IFERROR(__xludf.DUMMYFUNCTION("""COMPUTED_VALUE"""),"Beginner")</f>
        <v>Beginner</v>
      </c>
      <c r="D48" s="216" t="str">
        <f ca="1">IFERROR(__xludf.DUMMYFUNCTION("""COMPUTED_VALUE"""),"Women Transforming Tech: Getting Strategic with Your Career")</f>
        <v>Women Transforming Tech: Getting Strategic with Your Career</v>
      </c>
      <c r="E48" s="217"/>
      <c r="F48" s="213"/>
      <c r="G48" s="214"/>
      <c r="H48" s="215"/>
      <c r="I48" s="217"/>
      <c r="J48" s="217"/>
      <c r="K48" s="213"/>
      <c r="L48" s="215"/>
      <c r="M48" s="215"/>
      <c r="N48" s="217"/>
      <c r="O48" s="217"/>
      <c r="P48" s="213"/>
      <c r="Q48" s="215"/>
      <c r="R48" s="215"/>
      <c r="S48" s="217"/>
      <c r="T48" s="217"/>
      <c r="U48" s="213"/>
      <c r="V48" s="215"/>
      <c r="W48" s="215"/>
      <c r="X48" s="217"/>
      <c r="Y48" s="217"/>
      <c r="Z48" s="213"/>
      <c r="AA48" s="215"/>
      <c r="AB48" s="215"/>
      <c r="AC48" s="217"/>
      <c r="AD48" s="217"/>
      <c r="AE48" s="213"/>
      <c r="AF48" s="215"/>
      <c r="AG48" s="215"/>
      <c r="AH48" s="217"/>
      <c r="AI48" s="217"/>
      <c r="AJ48" s="213"/>
    </row>
    <row r="49" spans="1:36" ht="33.75" customHeight="1">
      <c r="A49" s="213"/>
      <c r="B49" s="214">
        <f ca="1">IFERROR(__xludf.DUMMYFUNCTION("""COMPUTED_VALUE"""),2808545)</f>
        <v>2808545</v>
      </c>
      <c r="C49" s="215" t="str">
        <f ca="1">IFERROR(__xludf.DUMMYFUNCTION("""COMPUTED_VALUE"""),"Beginner")</f>
        <v>Beginner</v>
      </c>
      <c r="D49" s="216" t="str">
        <f ca="1">IFERROR(__xludf.DUMMYFUNCTION("""COMPUTED_VALUE"""),"Women Transforming Tech: Networking")</f>
        <v>Women Transforming Tech: Networking</v>
      </c>
      <c r="E49" s="217"/>
      <c r="F49" s="213"/>
      <c r="G49" s="214"/>
      <c r="H49" s="215"/>
      <c r="I49" s="217"/>
      <c r="J49" s="217"/>
      <c r="K49" s="213"/>
      <c r="L49" s="215"/>
      <c r="M49" s="215"/>
      <c r="N49" s="217"/>
      <c r="O49" s="217"/>
      <c r="P49" s="213"/>
      <c r="Q49" s="215"/>
      <c r="R49" s="215"/>
      <c r="S49" s="217"/>
      <c r="T49" s="217"/>
      <c r="U49" s="213"/>
      <c r="V49" s="215"/>
      <c r="W49" s="215"/>
      <c r="X49" s="217"/>
      <c r="Y49" s="217"/>
      <c r="Z49" s="213"/>
      <c r="AA49" s="215"/>
      <c r="AB49" s="215"/>
      <c r="AC49" s="217"/>
      <c r="AD49" s="217"/>
      <c r="AE49" s="213"/>
      <c r="AF49" s="215"/>
      <c r="AG49" s="215"/>
      <c r="AH49" s="217"/>
      <c r="AI49" s="217"/>
      <c r="AJ49" s="213"/>
    </row>
    <row r="50" spans="1:36" ht="33.75" customHeight="1">
      <c r="A50" s="213"/>
      <c r="B50" s="214">
        <f ca="1">IFERROR(__xludf.DUMMYFUNCTION("""COMPUTED_VALUE"""),2825335)</f>
        <v>2825335</v>
      </c>
      <c r="C50" s="215" t="str">
        <f ca="1">IFERROR(__xludf.DUMMYFUNCTION("""COMPUTED_VALUE"""),"Beginner")</f>
        <v>Beginner</v>
      </c>
      <c r="D50" s="216" t="str">
        <f ca="1">IFERROR(__xludf.DUMMYFUNCTION("""COMPUTED_VALUE"""),"Finding and Doing the One Thing")</f>
        <v>Finding and Doing the One Thing</v>
      </c>
      <c r="E50" s="217"/>
      <c r="F50" s="213"/>
      <c r="G50" s="214"/>
      <c r="H50" s="215"/>
      <c r="I50" s="217"/>
      <c r="J50" s="217"/>
      <c r="K50" s="213"/>
      <c r="L50" s="215"/>
      <c r="M50" s="215"/>
      <c r="N50" s="217"/>
      <c r="O50" s="217"/>
      <c r="P50" s="213"/>
      <c r="Q50" s="215"/>
      <c r="R50" s="215"/>
      <c r="S50" s="217"/>
      <c r="T50" s="217"/>
      <c r="U50" s="213"/>
      <c r="V50" s="215"/>
      <c r="W50" s="215"/>
      <c r="X50" s="217"/>
      <c r="Y50" s="217"/>
      <c r="Z50" s="213"/>
      <c r="AA50" s="215"/>
      <c r="AB50" s="215"/>
      <c r="AC50" s="217"/>
      <c r="AD50" s="217"/>
      <c r="AE50" s="213"/>
      <c r="AF50" s="215"/>
      <c r="AG50" s="215"/>
      <c r="AH50" s="217"/>
      <c r="AI50" s="217"/>
      <c r="AJ50" s="213"/>
    </row>
    <row r="51" spans="1:36" ht="33.75" customHeight="1">
      <c r="A51" s="213"/>
      <c r="B51" s="214">
        <f ca="1">IFERROR(__xludf.DUMMYFUNCTION("""COMPUTED_VALUE"""),2813256)</f>
        <v>2813256</v>
      </c>
      <c r="C51" s="215" t="str">
        <f ca="1">IFERROR(__xludf.DUMMYFUNCTION("""COMPUTED_VALUE"""),"Beginner")</f>
        <v>Beginner</v>
      </c>
      <c r="D51" s="216" t="str">
        <f ca="1">IFERROR(__xludf.DUMMYFUNCTION("""COMPUTED_VALUE"""),"Connecting with Your Millennial Manager")</f>
        <v>Connecting with Your Millennial Manager</v>
      </c>
      <c r="E51" s="217"/>
      <c r="F51" s="213"/>
      <c r="G51" s="214"/>
      <c r="H51" s="215"/>
      <c r="I51" s="217"/>
      <c r="J51" s="217"/>
      <c r="K51" s="213"/>
      <c r="L51" s="215"/>
      <c r="M51" s="215"/>
      <c r="N51" s="217"/>
      <c r="O51" s="217"/>
      <c r="P51" s="213"/>
      <c r="Q51" s="215"/>
      <c r="R51" s="215"/>
      <c r="S51" s="217"/>
      <c r="T51" s="217"/>
      <c r="U51" s="213"/>
      <c r="V51" s="215"/>
      <c r="W51" s="215"/>
      <c r="X51" s="217"/>
      <c r="Y51" s="217"/>
      <c r="Z51" s="213"/>
      <c r="AA51" s="215"/>
      <c r="AB51" s="215"/>
      <c r="AC51" s="217"/>
      <c r="AD51" s="217"/>
      <c r="AE51" s="213"/>
      <c r="AF51" s="215"/>
      <c r="AG51" s="215"/>
      <c r="AH51" s="217"/>
      <c r="AI51" s="217"/>
      <c r="AJ51" s="213"/>
    </row>
    <row r="52" spans="1:36" ht="33.75" customHeight="1">
      <c r="A52" s="213"/>
      <c r="B52" s="214">
        <f ca="1">IFERROR(__xludf.DUMMYFUNCTION("""COMPUTED_VALUE"""),2841554)</f>
        <v>2841554</v>
      </c>
      <c r="C52" s="215" t="str">
        <f ca="1">IFERROR(__xludf.DUMMYFUNCTION("""COMPUTED_VALUE"""),"Beginner")</f>
        <v>Beginner</v>
      </c>
      <c r="D52" s="216" t="str">
        <f ca="1">IFERROR(__xludf.DUMMYFUNCTION("""COMPUTED_VALUE"""),"Inclusion During Difficult Times")</f>
        <v>Inclusion During Difficult Times</v>
      </c>
      <c r="E52" s="217"/>
      <c r="F52" s="213"/>
      <c r="G52" s="214"/>
      <c r="H52" s="215"/>
      <c r="I52" s="217"/>
      <c r="J52" s="217"/>
      <c r="K52" s="213"/>
      <c r="L52" s="215"/>
      <c r="M52" s="215"/>
      <c r="N52" s="217"/>
      <c r="O52" s="217"/>
      <c r="P52" s="213"/>
      <c r="Q52" s="215"/>
      <c r="R52" s="215"/>
      <c r="S52" s="217"/>
      <c r="T52" s="217"/>
      <c r="U52" s="213"/>
      <c r="V52" s="215"/>
      <c r="W52" s="215"/>
      <c r="X52" s="217"/>
      <c r="Y52" s="217"/>
      <c r="Z52" s="213"/>
      <c r="AA52" s="215"/>
      <c r="AB52" s="215"/>
      <c r="AC52" s="217"/>
      <c r="AD52" s="217"/>
      <c r="AE52" s="213"/>
      <c r="AF52" s="215"/>
      <c r="AG52" s="215"/>
      <c r="AH52" s="217"/>
      <c r="AI52" s="217"/>
      <c r="AJ52" s="213"/>
    </row>
    <row r="53" spans="1:36" ht="33.75" customHeight="1">
      <c r="A53" s="213"/>
      <c r="B53" s="214">
        <f ca="1">IFERROR(__xludf.DUMMYFUNCTION("""COMPUTED_VALUE"""),2818142)</f>
        <v>2818142</v>
      </c>
      <c r="C53" s="215" t="str">
        <f ca="1">IFERROR(__xludf.DUMMYFUNCTION("""COMPUTED_VALUE"""),"Beginner")</f>
        <v>Beginner</v>
      </c>
      <c r="D53" s="216" t="str">
        <f ca="1">IFERROR(__xludf.DUMMYFUNCTION("""COMPUTED_VALUE"""),"Own It: The Power of Women at Work")</f>
        <v>Own It: The Power of Women at Work</v>
      </c>
      <c r="E53" s="217"/>
      <c r="F53" s="213"/>
      <c r="G53" s="214"/>
      <c r="H53" s="215"/>
      <c r="I53" s="217"/>
      <c r="J53" s="217"/>
      <c r="K53" s="213"/>
      <c r="L53" s="215"/>
      <c r="M53" s="215"/>
      <c r="N53" s="217"/>
      <c r="O53" s="217"/>
      <c r="P53" s="213"/>
      <c r="Q53" s="215"/>
      <c r="R53" s="215"/>
      <c r="S53" s="217"/>
      <c r="T53" s="217"/>
      <c r="U53" s="213"/>
      <c r="V53" s="215"/>
      <c r="W53" s="215"/>
      <c r="X53" s="217"/>
      <c r="Y53" s="217"/>
      <c r="Z53" s="213"/>
      <c r="AA53" s="215"/>
      <c r="AB53" s="215"/>
      <c r="AC53" s="217"/>
      <c r="AD53" s="217"/>
      <c r="AE53" s="213"/>
      <c r="AF53" s="215"/>
      <c r="AG53" s="215"/>
      <c r="AH53" s="217"/>
      <c r="AI53" s="217"/>
      <c r="AJ53" s="213"/>
    </row>
    <row r="54" spans="1:36" ht="33.75" customHeight="1">
      <c r="A54" s="213"/>
      <c r="B54" s="214">
        <f ca="1">IFERROR(__xludf.DUMMYFUNCTION("""COMPUTED_VALUE"""),2848272)</f>
        <v>2848272</v>
      </c>
      <c r="C54" s="215" t="str">
        <f ca="1">IFERROR(__xludf.DUMMYFUNCTION("""COMPUTED_VALUE"""),"Beginner")</f>
        <v>Beginner</v>
      </c>
      <c r="D54" s="216" t="str">
        <f ca="1">IFERROR(__xludf.DUMMYFUNCTION("""COMPUTED_VALUE"""),"Inclusive Mindset for Committed Allies")</f>
        <v>Inclusive Mindset for Committed Allies</v>
      </c>
      <c r="E54" s="217"/>
      <c r="F54" s="213"/>
      <c r="G54" s="214"/>
      <c r="H54" s="215"/>
      <c r="I54" s="217"/>
      <c r="J54" s="217"/>
      <c r="K54" s="213"/>
      <c r="L54" s="215"/>
      <c r="M54" s="215"/>
      <c r="N54" s="217"/>
      <c r="O54" s="217"/>
      <c r="P54" s="213"/>
      <c r="Q54" s="215"/>
      <c r="R54" s="215"/>
      <c r="S54" s="217"/>
      <c r="T54" s="217"/>
      <c r="U54" s="213"/>
      <c r="V54" s="215"/>
      <c r="W54" s="215"/>
      <c r="X54" s="217"/>
      <c r="Y54" s="217"/>
      <c r="Z54" s="213"/>
      <c r="AA54" s="215"/>
      <c r="AB54" s="215"/>
      <c r="AC54" s="217"/>
      <c r="AD54" s="217"/>
      <c r="AE54" s="213"/>
      <c r="AF54" s="215"/>
      <c r="AG54" s="215"/>
      <c r="AH54" s="217"/>
      <c r="AI54" s="217"/>
      <c r="AJ54" s="213"/>
    </row>
    <row r="55" spans="1:36" ht="33.75" customHeight="1">
      <c r="A55" s="213"/>
      <c r="B55" s="214">
        <f ca="1">IFERROR(__xludf.DUMMYFUNCTION("""COMPUTED_VALUE"""),2825698)</f>
        <v>2825698</v>
      </c>
      <c r="C55" s="215" t="str">
        <f ca="1">IFERROR(__xludf.DUMMYFUNCTION("""COMPUTED_VALUE"""),"Beginner")</f>
        <v>Beginner</v>
      </c>
      <c r="D55" s="216" t="str">
        <f ca="1">IFERROR(__xludf.DUMMYFUNCTION("""COMPUTED_VALUE"""),"Inclusive Mindset")</f>
        <v>Inclusive Mindset</v>
      </c>
      <c r="E55" s="217"/>
      <c r="F55" s="213"/>
      <c r="G55" s="214"/>
      <c r="H55" s="215"/>
      <c r="I55" s="217"/>
      <c r="J55" s="217"/>
      <c r="K55" s="213"/>
      <c r="L55" s="215"/>
      <c r="M55" s="215"/>
      <c r="N55" s="217"/>
      <c r="O55" s="217"/>
      <c r="P55" s="213"/>
      <c r="Q55" s="215"/>
      <c r="R55" s="215"/>
      <c r="S55" s="217"/>
      <c r="T55" s="217"/>
      <c r="U55" s="213"/>
      <c r="V55" s="215"/>
      <c r="W55" s="215"/>
      <c r="X55" s="217"/>
      <c r="Y55" s="217"/>
      <c r="Z55" s="213"/>
      <c r="AA55" s="215"/>
      <c r="AB55" s="215"/>
      <c r="AC55" s="217"/>
      <c r="AD55" s="217"/>
      <c r="AE55" s="213"/>
      <c r="AF55" s="215"/>
      <c r="AG55" s="215"/>
      <c r="AH55" s="217"/>
      <c r="AI55" s="217"/>
      <c r="AJ55" s="213"/>
    </row>
    <row r="56" spans="1:36" ht="33.75" customHeight="1">
      <c r="A56" s="213"/>
      <c r="B56" s="214">
        <f ca="1">IFERROR(__xludf.DUMMYFUNCTION("""COMPUTED_VALUE"""),2853001)</f>
        <v>2853001</v>
      </c>
      <c r="C56" s="215" t="str">
        <f ca="1">IFERROR(__xludf.DUMMYFUNCTION("""COMPUTED_VALUE"""),"Beginner")</f>
        <v>Beginner</v>
      </c>
      <c r="D56" s="216" t="str">
        <f ca="1">IFERROR(__xludf.DUMMYFUNCTION("""COMPUTED_VALUE"""),"Empathy in Business: Design for Success")</f>
        <v>Empathy in Business: Design for Success</v>
      </c>
      <c r="E56" s="217"/>
      <c r="F56" s="213"/>
      <c r="G56" s="214"/>
      <c r="H56" s="215"/>
      <c r="I56" s="217"/>
      <c r="J56" s="217"/>
      <c r="K56" s="213"/>
      <c r="L56" s="215"/>
      <c r="M56" s="215"/>
      <c r="N56" s="217"/>
      <c r="O56" s="217"/>
      <c r="P56" s="213"/>
      <c r="Q56" s="215"/>
      <c r="R56" s="215"/>
      <c r="S56" s="217"/>
      <c r="T56" s="217"/>
      <c r="U56" s="213"/>
      <c r="V56" s="215"/>
      <c r="W56" s="215"/>
      <c r="X56" s="217"/>
      <c r="Y56" s="217"/>
      <c r="Z56" s="213"/>
      <c r="AA56" s="215"/>
      <c r="AB56" s="215"/>
      <c r="AC56" s="217"/>
      <c r="AD56" s="217"/>
      <c r="AE56" s="213"/>
      <c r="AF56" s="215"/>
      <c r="AG56" s="215"/>
      <c r="AH56" s="217"/>
      <c r="AI56" s="217"/>
      <c r="AJ56" s="213"/>
    </row>
    <row r="57" spans="1:36" ht="33.75" customHeight="1">
      <c r="A57" s="213"/>
      <c r="B57" s="214">
        <f ca="1">IFERROR(__xludf.DUMMYFUNCTION("""COMPUTED_VALUE"""),2865036)</f>
        <v>2865036</v>
      </c>
      <c r="C57" s="215" t="str">
        <f ca="1">IFERROR(__xludf.DUMMYFUNCTION("""COMPUTED_VALUE"""),"Beginner")</f>
        <v>Beginner</v>
      </c>
      <c r="D57" s="216" t="str">
        <f ca="1">IFERROR(__xludf.DUMMYFUNCTION("""COMPUTED_VALUE"""),"The Power of Introverts")</f>
        <v>The Power of Introverts</v>
      </c>
      <c r="E57" s="217"/>
      <c r="F57" s="213"/>
      <c r="G57" s="214"/>
      <c r="H57" s="215"/>
      <c r="I57" s="217"/>
      <c r="J57" s="217"/>
      <c r="K57" s="213"/>
      <c r="L57" s="215"/>
      <c r="M57" s="215"/>
      <c r="N57" s="217"/>
      <c r="O57" s="217"/>
      <c r="P57" s="213"/>
      <c r="Q57" s="215"/>
      <c r="R57" s="215"/>
      <c r="S57" s="217"/>
      <c r="T57" s="217"/>
      <c r="U57" s="213"/>
      <c r="V57" s="215"/>
      <c r="W57" s="215"/>
      <c r="X57" s="217"/>
      <c r="Y57" s="217"/>
      <c r="Z57" s="213"/>
      <c r="AA57" s="215"/>
      <c r="AB57" s="215"/>
      <c r="AC57" s="217"/>
      <c r="AD57" s="217"/>
      <c r="AE57" s="213"/>
      <c r="AF57" s="215"/>
      <c r="AG57" s="215"/>
      <c r="AH57" s="217"/>
      <c r="AI57" s="217"/>
      <c r="AJ57" s="213"/>
    </row>
    <row r="58" spans="1:36" ht="33.75" customHeight="1">
      <c r="A58" s="213"/>
      <c r="B58" s="214">
        <f ca="1">IFERROR(__xludf.DUMMYFUNCTION("""COMPUTED_VALUE"""),2877077)</f>
        <v>2877077</v>
      </c>
      <c r="C58" s="215" t="str">
        <f ca="1">IFERROR(__xludf.DUMMYFUNCTION("""COMPUTED_VALUE"""),"Beginner")</f>
        <v>Beginner</v>
      </c>
      <c r="D58" s="216" t="str">
        <f ca="1">IFERROR(__xludf.DUMMYFUNCTION("""COMPUTED_VALUE"""),"The Science of Compassion: An Introduction")</f>
        <v>The Science of Compassion: An Introduction</v>
      </c>
      <c r="E58" s="217"/>
      <c r="F58" s="213"/>
      <c r="G58" s="214"/>
      <c r="H58" s="215"/>
      <c r="I58" s="217"/>
      <c r="J58" s="217"/>
      <c r="K58" s="213"/>
      <c r="L58" s="215"/>
      <c r="M58" s="215"/>
      <c r="N58" s="217"/>
      <c r="O58" s="217"/>
      <c r="P58" s="213"/>
      <c r="Q58" s="215"/>
      <c r="R58" s="215"/>
      <c r="S58" s="217"/>
      <c r="T58" s="217"/>
      <c r="U58" s="213"/>
      <c r="V58" s="215"/>
      <c r="W58" s="215"/>
      <c r="X58" s="217"/>
      <c r="Y58" s="217"/>
      <c r="Z58" s="213"/>
      <c r="AA58" s="215"/>
      <c r="AB58" s="215"/>
      <c r="AC58" s="217"/>
      <c r="AD58" s="217"/>
      <c r="AE58" s="213"/>
      <c r="AF58" s="215"/>
      <c r="AG58" s="215"/>
      <c r="AH58" s="217"/>
      <c r="AI58" s="217"/>
      <c r="AJ58" s="213"/>
    </row>
    <row r="59" spans="1:36" ht="33.75" customHeight="1">
      <c r="A59" s="213"/>
      <c r="B59" s="214">
        <f ca="1">IFERROR(__xludf.DUMMYFUNCTION("""COMPUTED_VALUE"""),2877078)</f>
        <v>2877078</v>
      </c>
      <c r="C59" s="215" t="str">
        <f ca="1">IFERROR(__xludf.DUMMYFUNCTION("""COMPUTED_VALUE"""),"Beginner")</f>
        <v>Beginner</v>
      </c>
      <c r="D59" s="216" t="str">
        <f ca="1">IFERROR(__xludf.DUMMYFUNCTION("""COMPUTED_VALUE"""),"The Upward Spiral of Compassion")</f>
        <v>The Upward Spiral of Compassion</v>
      </c>
      <c r="E59" s="217"/>
      <c r="F59" s="213"/>
      <c r="G59" s="214"/>
      <c r="H59" s="215"/>
      <c r="I59" s="217"/>
      <c r="J59" s="217"/>
      <c r="K59" s="213"/>
      <c r="L59" s="215"/>
      <c r="M59" s="215"/>
      <c r="N59" s="217"/>
      <c r="O59" s="217"/>
      <c r="P59" s="213"/>
      <c r="Q59" s="215"/>
      <c r="R59" s="215"/>
      <c r="S59" s="217"/>
      <c r="T59" s="217"/>
      <c r="U59" s="213"/>
      <c r="V59" s="215"/>
      <c r="W59" s="215"/>
      <c r="X59" s="217"/>
      <c r="Y59" s="217"/>
      <c r="Z59" s="213"/>
      <c r="AA59" s="215"/>
      <c r="AB59" s="215"/>
      <c r="AC59" s="217"/>
      <c r="AD59" s="217"/>
      <c r="AE59" s="213"/>
      <c r="AF59" s="215"/>
      <c r="AG59" s="215"/>
      <c r="AH59" s="217"/>
      <c r="AI59" s="217"/>
      <c r="AJ59" s="213"/>
    </row>
    <row r="60" spans="1:36" ht="33.75" customHeight="1">
      <c r="A60" s="213"/>
      <c r="B60" s="214">
        <f ca="1">IFERROR(__xludf.DUMMYFUNCTION("""COMPUTED_VALUE"""),2874328)</f>
        <v>2874328</v>
      </c>
      <c r="C60" s="215" t="str">
        <f ca="1">IFERROR(__xludf.DUMMYFUNCTION("""COMPUTED_VALUE"""),"Beginner")</f>
        <v>Beginner</v>
      </c>
      <c r="D60" s="216" t="str">
        <f ca="1">IFERROR(__xludf.DUMMYFUNCTION("""COMPUTED_VALUE"""),"Podcast Pioneer: Jad Abumrad and His Radiolab Journey")</f>
        <v>Podcast Pioneer: Jad Abumrad and His Radiolab Journey</v>
      </c>
      <c r="E60" s="217"/>
      <c r="F60" s="213"/>
      <c r="G60" s="214"/>
      <c r="H60" s="215"/>
      <c r="I60" s="217"/>
      <c r="J60" s="217"/>
      <c r="K60" s="213"/>
      <c r="L60" s="215"/>
      <c r="M60" s="215"/>
      <c r="N60" s="217"/>
      <c r="O60" s="217"/>
      <c r="P60" s="213"/>
      <c r="Q60" s="215"/>
      <c r="R60" s="215"/>
      <c r="S60" s="217"/>
      <c r="T60" s="217"/>
      <c r="U60" s="213"/>
      <c r="V60" s="215"/>
      <c r="W60" s="215"/>
      <c r="X60" s="217"/>
      <c r="Y60" s="217"/>
      <c r="Z60" s="213"/>
      <c r="AA60" s="215"/>
      <c r="AB60" s="215"/>
      <c r="AC60" s="217"/>
      <c r="AD60" s="217"/>
      <c r="AE60" s="213"/>
      <c r="AF60" s="215"/>
      <c r="AG60" s="215"/>
      <c r="AH60" s="217"/>
      <c r="AI60" s="217"/>
      <c r="AJ60" s="213"/>
    </row>
    <row r="61" spans="1:36" ht="33.75" customHeight="1">
      <c r="A61" s="213"/>
      <c r="B61" s="214">
        <f ca="1">IFERROR(__xludf.DUMMYFUNCTION("""COMPUTED_VALUE"""),2876327)</f>
        <v>2876327</v>
      </c>
      <c r="C61" s="215" t="str">
        <f ca="1">IFERROR(__xludf.DUMMYFUNCTION("""COMPUTED_VALUE"""),"Beginner")</f>
        <v>Beginner</v>
      </c>
      <c r="D61" s="216" t="str">
        <f ca="1">IFERROR(__xludf.DUMMYFUNCTION("""COMPUTED_VALUE"""),"CEO Mona Ataya Redefines the Working Mother")</f>
        <v>CEO Mona Ataya Redefines the Working Mother</v>
      </c>
      <c r="E61" s="217"/>
      <c r="F61" s="213"/>
      <c r="G61" s="214"/>
      <c r="H61" s="215"/>
      <c r="I61" s="217"/>
      <c r="J61" s="217"/>
      <c r="K61" s="213"/>
      <c r="L61" s="215"/>
      <c r="M61" s="215"/>
      <c r="N61" s="217"/>
      <c r="O61" s="217"/>
      <c r="P61" s="213"/>
      <c r="Q61" s="215"/>
      <c r="R61" s="215"/>
      <c r="S61" s="217"/>
      <c r="T61" s="217"/>
      <c r="U61" s="213"/>
      <c r="V61" s="215"/>
      <c r="W61" s="215"/>
      <c r="X61" s="217"/>
      <c r="Y61" s="217"/>
      <c r="Z61" s="213"/>
      <c r="AA61" s="215"/>
      <c r="AB61" s="215"/>
      <c r="AC61" s="217"/>
      <c r="AD61" s="217"/>
      <c r="AE61" s="213"/>
      <c r="AF61" s="215"/>
      <c r="AG61" s="215"/>
      <c r="AH61" s="217"/>
      <c r="AI61" s="217"/>
      <c r="AJ61" s="213"/>
    </row>
    <row r="62" spans="1:36" ht="33.75" customHeight="1">
      <c r="A62" s="213"/>
      <c r="B62" s="214">
        <f ca="1">IFERROR(__xludf.DUMMYFUNCTION("""COMPUTED_VALUE"""),758621)</f>
        <v>758621</v>
      </c>
      <c r="C62" s="215" t="str">
        <f ca="1">IFERROR(__xludf.DUMMYFUNCTION("""COMPUTED_VALUE"""),"Beginner")</f>
        <v>Beginner</v>
      </c>
      <c r="D62" s="216" t="str">
        <f ca="1">IFERROR(__xludf.DUMMYFUNCTION("""COMPUTED_VALUE"""),"Multinational Communication in the Workplace")</f>
        <v>Multinational Communication in the Workplace</v>
      </c>
      <c r="E62" s="217"/>
      <c r="F62" s="213"/>
      <c r="G62" s="214"/>
      <c r="H62" s="215"/>
      <c r="I62" s="217"/>
      <c r="J62" s="217"/>
      <c r="K62" s="213"/>
      <c r="L62" s="215"/>
      <c r="M62" s="215"/>
      <c r="N62" s="217"/>
      <c r="O62" s="217"/>
      <c r="P62" s="213"/>
      <c r="Q62" s="215"/>
      <c r="R62" s="215"/>
      <c r="S62" s="217"/>
      <c r="T62" s="217"/>
      <c r="U62" s="213"/>
      <c r="V62" s="215"/>
      <c r="W62" s="215"/>
      <c r="X62" s="217"/>
      <c r="Y62" s="217"/>
      <c r="Z62" s="213"/>
      <c r="AA62" s="215"/>
      <c r="AB62" s="215"/>
      <c r="AC62" s="217"/>
      <c r="AD62" s="217"/>
      <c r="AE62" s="213"/>
      <c r="AF62" s="215"/>
      <c r="AG62" s="215"/>
      <c r="AH62" s="217"/>
      <c r="AI62" s="217"/>
      <c r="AJ62" s="213"/>
    </row>
    <row r="63" spans="1:36" ht="33.75" customHeight="1">
      <c r="A63" s="213"/>
      <c r="B63" s="214">
        <f ca="1">IFERROR(__xludf.DUMMYFUNCTION("""COMPUTED_VALUE"""),515183)</f>
        <v>515183</v>
      </c>
      <c r="C63" s="215" t="str">
        <f ca="1">IFERROR(__xludf.DUMMYFUNCTION("""COMPUTED_VALUE"""),"Beginner")</f>
        <v>Beginner</v>
      </c>
      <c r="D63" s="216" t="str">
        <f ca="1">IFERROR(__xludf.DUMMYFUNCTION("""COMPUTED_VALUE"""),"Unconscious Bias")</f>
        <v>Unconscious Bias</v>
      </c>
      <c r="E63" s="217"/>
      <c r="F63" s="213"/>
      <c r="G63" s="214"/>
      <c r="H63" s="215"/>
      <c r="I63" s="217"/>
      <c r="J63" s="217"/>
      <c r="K63" s="213"/>
      <c r="L63" s="215"/>
      <c r="M63" s="215"/>
      <c r="N63" s="217"/>
      <c r="O63" s="217"/>
      <c r="P63" s="213"/>
      <c r="Q63" s="215"/>
      <c r="R63" s="215"/>
      <c r="S63" s="217"/>
      <c r="T63" s="217"/>
      <c r="U63" s="213"/>
      <c r="V63" s="215"/>
      <c r="W63" s="215"/>
      <c r="X63" s="217"/>
      <c r="Y63" s="217"/>
      <c r="Z63" s="213"/>
      <c r="AA63" s="215"/>
      <c r="AB63" s="215"/>
      <c r="AC63" s="217"/>
      <c r="AD63" s="217"/>
      <c r="AE63" s="213"/>
      <c r="AF63" s="215"/>
      <c r="AG63" s="215"/>
      <c r="AH63" s="217"/>
      <c r="AI63" s="217"/>
      <c r="AJ63" s="213"/>
    </row>
    <row r="64" spans="1:36" ht="33.75" customHeight="1">
      <c r="A64" s="213"/>
      <c r="B64" s="214">
        <f ca="1">IFERROR(__xludf.DUMMYFUNCTION("""COMPUTED_VALUE"""),2874250)</f>
        <v>2874250</v>
      </c>
      <c r="C64" s="215" t="str">
        <f ca="1">IFERROR(__xludf.DUMMYFUNCTION("""COMPUTED_VALUE"""),"Beginner")</f>
        <v>Beginner</v>
      </c>
      <c r="D64" s="216" t="str">
        <f ca="1">IFERROR(__xludf.DUMMYFUNCTION("""COMPUTED_VALUE"""),"Connecting Engagement and Inclusion to a Culture of Performance")</f>
        <v>Connecting Engagement and Inclusion to a Culture of Performance</v>
      </c>
      <c r="E64" s="217"/>
      <c r="F64" s="213"/>
      <c r="G64" s="214"/>
      <c r="H64" s="215"/>
      <c r="I64" s="217"/>
      <c r="J64" s="217"/>
      <c r="K64" s="213"/>
      <c r="L64" s="215"/>
      <c r="M64" s="215"/>
      <c r="N64" s="217"/>
      <c r="O64" s="217"/>
      <c r="P64" s="213"/>
      <c r="Q64" s="215"/>
      <c r="R64" s="215"/>
      <c r="S64" s="217"/>
      <c r="T64" s="217"/>
      <c r="U64" s="213"/>
      <c r="V64" s="215"/>
      <c r="W64" s="215"/>
      <c r="X64" s="217"/>
      <c r="Y64" s="217"/>
      <c r="Z64" s="213"/>
      <c r="AA64" s="215"/>
      <c r="AB64" s="215"/>
      <c r="AC64" s="217"/>
      <c r="AD64" s="217"/>
      <c r="AE64" s="213"/>
      <c r="AF64" s="215"/>
      <c r="AG64" s="215"/>
      <c r="AH64" s="217"/>
      <c r="AI64" s="217"/>
      <c r="AJ64" s="213"/>
    </row>
    <row r="65" spans="1:36" ht="33.75" customHeight="1">
      <c r="A65" s="213"/>
      <c r="B65" s="214">
        <f ca="1">IFERROR(__xludf.DUMMYFUNCTION("""COMPUTED_VALUE"""),2421702)</f>
        <v>2421702</v>
      </c>
      <c r="C65" s="215" t="str">
        <f ca="1">IFERROR(__xludf.DUMMYFUNCTION("""COMPUTED_VALUE"""),"Beginner")</f>
        <v>Beginner</v>
      </c>
      <c r="D65" s="216" t="str">
        <f ca="1">IFERROR(__xludf.DUMMYFUNCTION("""COMPUTED_VALUE"""),"Branding Your Authentic Self")</f>
        <v>Branding Your Authentic Self</v>
      </c>
      <c r="E65" s="217"/>
      <c r="F65" s="213"/>
      <c r="G65" s="214"/>
      <c r="H65" s="215"/>
      <c r="I65" s="217"/>
      <c r="J65" s="217"/>
      <c r="K65" s="213"/>
      <c r="L65" s="215"/>
      <c r="M65" s="215"/>
      <c r="N65" s="217"/>
      <c r="O65" s="217"/>
      <c r="P65" s="213"/>
      <c r="Q65" s="215"/>
      <c r="R65" s="215"/>
      <c r="S65" s="217"/>
      <c r="T65" s="217"/>
      <c r="U65" s="213"/>
      <c r="V65" s="215"/>
      <c r="W65" s="215"/>
      <c r="X65" s="217"/>
      <c r="Y65" s="217"/>
      <c r="Z65" s="213"/>
      <c r="AA65" s="215"/>
      <c r="AB65" s="215"/>
      <c r="AC65" s="217"/>
      <c r="AD65" s="217"/>
      <c r="AE65" s="213"/>
      <c r="AF65" s="215"/>
      <c r="AG65" s="215"/>
      <c r="AH65" s="217"/>
      <c r="AI65" s="217"/>
      <c r="AJ65" s="213"/>
    </row>
    <row r="66" spans="1:36" ht="33.75" customHeight="1">
      <c r="A66" s="213"/>
      <c r="B66" s="214">
        <f ca="1">IFERROR(__xludf.DUMMYFUNCTION("""COMPUTED_VALUE"""),2427504)</f>
        <v>2427504</v>
      </c>
      <c r="C66" s="215" t="str">
        <f ca="1">IFERROR(__xludf.DUMMYFUNCTION("""COMPUTED_VALUE"""),"Beginner")</f>
        <v>Beginner</v>
      </c>
      <c r="D66" s="216" t="str">
        <f ca="1">IFERROR(__xludf.DUMMYFUNCTION("""COMPUTED_VALUE"""),"The Value of Employee Resource Groups")</f>
        <v>The Value of Employee Resource Groups</v>
      </c>
      <c r="E66" s="217"/>
      <c r="F66" s="213"/>
      <c r="G66" s="214"/>
      <c r="H66" s="215"/>
      <c r="I66" s="217"/>
      <c r="J66" s="217"/>
      <c r="K66" s="213"/>
      <c r="L66" s="215"/>
      <c r="M66" s="215"/>
      <c r="N66" s="217"/>
      <c r="O66" s="217"/>
      <c r="P66" s="213"/>
      <c r="Q66" s="215"/>
      <c r="R66" s="215"/>
      <c r="S66" s="217"/>
      <c r="T66" s="217"/>
      <c r="U66" s="213"/>
      <c r="V66" s="215"/>
      <c r="W66" s="215"/>
      <c r="X66" s="217"/>
      <c r="Y66" s="217"/>
      <c r="Z66" s="213"/>
      <c r="AA66" s="215"/>
      <c r="AB66" s="215"/>
      <c r="AC66" s="217"/>
      <c r="AD66" s="217"/>
      <c r="AE66" s="213"/>
      <c r="AF66" s="215"/>
      <c r="AG66" s="215"/>
      <c r="AH66" s="217"/>
      <c r="AI66" s="217"/>
      <c r="AJ66" s="213"/>
    </row>
    <row r="67" spans="1:36" ht="33.75" customHeight="1">
      <c r="A67" s="213"/>
      <c r="B67" s="214">
        <f ca="1">IFERROR(__xludf.DUMMYFUNCTION("""COMPUTED_VALUE"""),2427506)</f>
        <v>2427506</v>
      </c>
      <c r="C67" s="215" t="str">
        <f ca="1">IFERROR(__xludf.DUMMYFUNCTION("""COMPUTED_VALUE"""),"Beginner")</f>
        <v>Beginner</v>
      </c>
      <c r="D67" s="216" t="str">
        <f ca="1">IFERROR(__xludf.DUMMYFUNCTION("""COMPUTED_VALUE"""),"Emotional Intelligence as an Inclusivity Booster")</f>
        <v>Emotional Intelligence as an Inclusivity Booster</v>
      </c>
      <c r="E67" s="217"/>
      <c r="F67" s="213"/>
      <c r="G67" s="214"/>
      <c r="H67" s="215"/>
      <c r="I67" s="217"/>
      <c r="J67" s="217"/>
      <c r="K67" s="213"/>
      <c r="L67" s="215"/>
      <c r="M67" s="215"/>
      <c r="N67" s="217"/>
      <c r="O67" s="217"/>
      <c r="P67" s="213"/>
      <c r="Q67" s="215"/>
      <c r="R67" s="215"/>
      <c r="S67" s="217"/>
      <c r="T67" s="217"/>
      <c r="U67" s="213"/>
      <c r="V67" s="215"/>
      <c r="W67" s="215"/>
      <c r="X67" s="217"/>
      <c r="Y67" s="217"/>
      <c r="Z67" s="213"/>
      <c r="AA67" s="215"/>
      <c r="AB67" s="215"/>
      <c r="AC67" s="217"/>
      <c r="AD67" s="217"/>
      <c r="AE67" s="213"/>
      <c r="AF67" s="215"/>
      <c r="AG67" s="215"/>
      <c r="AH67" s="217"/>
      <c r="AI67" s="217"/>
      <c r="AJ67" s="213"/>
    </row>
    <row r="68" spans="1:36" ht="33.75" customHeight="1">
      <c r="A68" s="213"/>
      <c r="B68" s="214">
        <f ca="1">IFERROR(__xludf.DUMMYFUNCTION("""COMPUTED_VALUE"""),2427505)</f>
        <v>2427505</v>
      </c>
      <c r="C68" s="215" t="str">
        <f ca="1">IFERROR(__xludf.DUMMYFUNCTION("""COMPUTED_VALUE"""),"Beginner")</f>
        <v>Beginner</v>
      </c>
      <c r="D68" s="216" t="str">
        <f ca="1">IFERROR(__xludf.DUMMYFUNCTION("""COMPUTED_VALUE"""),"Mentorship, Sponsorship, and Lifting Others as You Climb")</f>
        <v>Mentorship, Sponsorship, and Lifting Others as You Climb</v>
      </c>
      <c r="E68" s="217"/>
      <c r="F68" s="213"/>
      <c r="G68" s="214"/>
      <c r="H68" s="215"/>
      <c r="I68" s="217"/>
      <c r="J68" s="217"/>
      <c r="K68" s="213"/>
      <c r="L68" s="215"/>
      <c r="M68" s="215"/>
      <c r="N68" s="217"/>
      <c r="O68" s="217"/>
      <c r="P68" s="213"/>
      <c r="Q68" s="215"/>
      <c r="R68" s="215"/>
      <c r="S68" s="217"/>
      <c r="T68" s="217"/>
      <c r="U68" s="213"/>
      <c r="V68" s="215"/>
      <c r="W68" s="215"/>
      <c r="X68" s="217"/>
      <c r="Y68" s="217"/>
      <c r="Z68" s="213"/>
      <c r="AA68" s="215"/>
      <c r="AB68" s="215"/>
      <c r="AC68" s="217"/>
      <c r="AD68" s="217"/>
      <c r="AE68" s="213"/>
      <c r="AF68" s="215"/>
      <c r="AG68" s="215"/>
      <c r="AH68" s="217"/>
      <c r="AI68" s="217"/>
      <c r="AJ68" s="213"/>
    </row>
    <row r="69" spans="1:36" ht="33.75" customHeight="1">
      <c r="A69" s="213"/>
      <c r="B69" s="214">
        <f ca="1">IFERROR(__xludf.DUMMYFUNCTION("""COMPUTED_VALUE"""),3154786)</f>
        <v>3154786</v>
      </c>
      <c r="C69" s="215" t="str">
        <f ca="1">IFERROR(__xludf.DUMMYFUNCTION("""COMPUTED_VALUE"""),"Beginner")</f>
        <v>Beginner</v>
      </c>
      <c r="D69" s="216" t="str">
        <f ca="1">IFERROR(__xludf.DUMMYFUNCTION("""COMPUTED_VALUE"""),"Mindfulness, Diversity, and the Quest for Inclusion")</f>
        <v>Mindfulness, Diversity, and the Quest for Inclusion</v>
      </c>
      <c r="E69" s="217"/>
      <c r="F69" s="213"/>
      <c r="G69" s="214"/>
      <c r="H69" s="215"/>
      <c r="I69" s="217"/>
      <c r="J69" s="217"/>
      <c r="K69" s="213"/>
      <c r="L69" s="215"/>
      <c r="M69" s="215"/>
      <c r="N69" s="217"/>
      <c r="O69" s="217"/>
      <c r="P69" s="213"/>
      <c r="Q69" s="215"/>
      <c r="R69" s="215"/>
      <c r="S69" s="217"/>
      <c r="T69" s="217"/>
      <c r="U69" s="213"/>
      <c r="V69" s="215"/>
      <c r="W69" s="215"/>
      <c r="X69" s="217"/>
      <c r="Y69" s="217"/>
      <c r="Z69" s="213"/>
      <c r="AA69" s="215"/>
      <c r="AB69" s="215"/>
      <c r="AC69" s="217"/>
      <c r="AD69" s="217"/>
      <c r="AE69" s="213"/>
      <c r="AF69" s="215"/>
      <c r="AG69" s="215"/>
      <c r="AH69" s="217"/>
      <c r="AI69" s="217"/>
      <c r="AJ69" s="213"/>
    </row>
    <row r="70" spans="1:36" ht="33.75" customHeight="1">
      <c r="A70" s="213"/>
      <c r="B70" s="214">
        <f ca="1">IFERROR(__xludf.DUMMYFUNCTION("""COMPUTED_VALUE"""),3007730)</f>
        <v>3007730</v>
      </c>
      <c r="C70" s="215" t="str">
        <f ca="1">IFERROR(__xludf.DUMMYFUNCTION("""COMPUTED_VALUE"""),"Beginner")</f>
        <v>Beginner</v>
      </c>
      <c r="D70" s="216" t="str">
        <f ca="1">IFERROR(__xludf.DUMMYFUNCTION("""COMPUTED_VALUE"""),"Talking Boldly: When Inclusion Meets Politics at the Office")</f>
        <v>Talking Boldly: When Inclusion Meets Politics at the Office</v>
      </c>
      <c r="E70" s="217"/>
      <c r="F70" s="213"/>
      <c r="G70" s="214"/>
      <c r="H70" s="215"/>
      <c r="I70" s="217"/>
      <c r="J70" s="217"/>
      <c r="K70" s="213"/>
      <c r="L70" s="215"/>
      <c r="M70" s="215"/>
      <c r="N70" s="217"/>
      <c r="O70" s="217"/>
      <c r="P70" s="213"/>
      <c r="Q70" s="215"/>
      <c r="R70" s="215"/>
      <c r="S70" s="217"/>
      <c r="T70" s="217"/>
      <c r="U70" s="213"/>
      <c r="V70" s="215"/>
      <c r="W70" s="215"/>
      <c r="X70" s="217"/>
      <c r="Y70" s="217"/>
      <c r="Z70" s="213"/>
      <c r="AA70" s="215"/>
      <c r="AB70" s="215"/>
      <c r="AC70" s="217"/>
      <c r="AD70" s="217"/>
      <c r="AE70" s="213"/>
      <c r="AF70" s="215"/>
      <c r="AG70" s="215"/>
      <c r="AH70" s="217"/>
      <c r="AI70" s="217"/>
      <c r="AJ70" s="213"/>
    </row>
    <row r="71" spans="1:36" ht="33.75" customHeight="1">
      <c r="A71" s="213"/>
      <c r="B71" s="214">
        <f ca="1">IFERROR(__xludf.DUMMYFUNCTION("""COMPUTED_VALUE"""),3009566)</f>
        <v>3009566</v>
      </c>
      <c r="C71" s="215" t="str">
        <f ca="1">IFERROR(__xludf.DUMMYFUNCTION("""COMPUTED_VALUE"""),"Beginner")</f>
        <v>Beginner</v>
      </c>
      <c r="D71" s="216" t="str">
        <f ca="1">IFERROR(__xludf.DUMMYFUNCTION("""COMPUTED_VALUE"""),"Building Inclusive Work Communities")</f>
        <v>Building Inclusive Work Communities</v>
      </c>
      <c r="E71" s="217"/>
      <c r="F71" s="213"/>
      <c r="G71" s="214"/>
      <c r="H71" s="215"/>
      <c r="I71" s="217"/>
      <c r="J71" s="217"/>
      <c r="K71" s="213"/>
      <c r="L71" s="215"/>
      <c r="M71" s="215"/>
      <c r="N71" s="217"/>
      <c r="O71" s="217"/>
      <c r="P71" s="213"/>
      <c r="Q71" s="215"/>
      <c r="R71" s="215"/>
      <c r="S71" s="217"/>
      <c r="T71" s="217"/>
      <c r="U71" s="213"/>
      <c r="V71" s="215"/>
      <c r="W71" s="215"/>
      <c r="X71" s="217"/>
      <c r="Y71" s="217"/>
      <c r="Z71" s="213"/>
      <c r="AA71" s="215"/>
      <c r="AB71" s="215"/>
      <c r="AC71" s="217"/>
      <c r="AD71" s="217"/>
      <c r="AE71" s="213"/>
      <c r="AF71" s="215"/>
      <c r="AG71" s="215"/>
      <c r="AH71" s="217"/>
      <c r="AI71" s="217"/>
      <c r="AJ71" s="213"/>
    </row>
    <row r="72" spans="1:36" ht="33.75" customHeight="1">
      <c r="A72" s="213"/>
      <c r="B72" s="214">
        <f ca="1">IFERROR(__xludf.DUMMYFUNCTION("""COMPUTED_VALUE"""),3010525)</f>
        <v>3010525</v>
      </c>
      <c r="C72" s="215" t="str">
        <f ca="1">IFERROR(__xludf.DUMMYFUNCTION("""COMPUTED_VALUE"""),"Beginner")</f>
        <v>Beginner</v>
      </c>
      <c r="D72" s="216" t="str">
        <f ca="1">IFERROR(__xludf.DUMMYFUNCTION("""COMPUTED_VALUE"""),"Developing Your Authentic Self to Ignite Change")</f>
        <v>Developing Your Authentic Self to Ignite Change</v>
      </c>
      <c r="E72" s="217"/>
      <c r="F72" s="213"/>
      <c r="G72" s="214"/>
      <c r="H72" s="215"/>
      <c r="I72" s="217"/>
      <c r="J72" s="217"/>
      <c r="K72" s="213"/>
      <c r="L72" s="215"/>
      <c r="M72" s="215"/>
      <c r="N72" s="217"/>
      <c r="O72" s="217"/>
      <c r="P72" s="213"/>
      <c r="Q72" s="215"/>
      <c r="R72" s="215"/>
      <c r="S72" s="217"/>
      <c r="T72" s="217"/>
      <c r="U72" s="213"/>
      <c r="V72" s="215"/>
      <c r="W72" s="215"/>
      <c r="X72" s="217"/>
      <c r="Y72" s="217"/>
      <c r="Z72" s="213"/>
      <c r="AA72" s="215"/>
      <c r="AB72" s="215"/>
      <c r="AC72" s="217"/>
      <c r="AD72" s="217"/>
      <c r="AE72" s="213"/>
      <c r="AF72" s="215"/>
      <c r="AG72" s="215"/>
      <c r="AH72" s="217"/>
      <c r="AI72" s="217"/>
      <c r="AJ72" s="213"/>
    </row>
    <row r="73" spans="1:36" ht="33.75" customHeight="1">
      <c r="A73" s="213"/>
      <c r="B73" s="214">
        <f ca="1">IFERROR(__xludf.DUMMYFUNCTION("""COMPUTED_VALUE"""),3011516)</f>
        <v>3011516</v>
      </c>
      <c r="C73" s="215" t="str">
        <f ca="1">IFERROR(__xludf.DUMMYFUNCTION("""COMPUTED_VALUE"""),"Beginner")</f>
        <v>Beginner</v>
      </c>
      <c r="D73" s="216" t="str">
        <f ca="1">IFERROR(__xludf.DUMMYFUNCTION("""COMPUTED_VALUE"""),"How to Succeed as a Latina in a Global Work Environment")</f>
        <v>How to Succeed as a Latina in a Global Work Environment</v>
      </c>
      <c r="E73" s="217"/>
      <c r="F73" s="213"/>
      <c r="G73" s="214"/>
      <c r="H73" s="215"/>
      <c r="I73" s="217"/>
      <c r="J73" s="217"/>
      <c r="K73" s="213"/>
      <c r="L73" s="215"/>
      <c r="M73" s="215"/>
      <c r="N73" s="217"/>
      <c r="O73" s="217"/>
      <c r="P73" s="213"/>
      <c r="Q73" s="215"/>
      <c r="R73" s="215"/>
      <c r="S73" s="217"/>
      <c r="T73" s="217"/>
      <c r="U73" s="213"/>
      <c r="V73" s="215"/>
      <c r="W73" s="215"/>
      <c r="X73" s="217"/>
      <c r="Y73" s="217"/>
      <c r="Z73" s="213"/>
      <c r="AA73" s="215"/>
      <c r="AB73" s="215"/>
      <c r="AC73" s="217"/>
      <c r="AD73" s="217"/>
      <c r="AE73" s="213"/>
      <c r="AF73" s="215"/>
      <c r="AG73" s="215"/>
      <c r="AH73" s="217"/>
      <c r="AI73" s="217"/>
      <c r="AJ73" s="213"/>
    </row>
    <row r="74" spans="1:36" ht="33.75" customHeight="1">
      <c r="A74" s="213"/>
      <c r="B74" s="214">
        <f ca="1">IFERROR(__xludf.DUMMYFUNCTION("""COMPUTED_VALUE"""),3013248)</f>
        <v>3013248</v>
      </c>
      <c r="C74" s="215" t="str">
        <f ca="1">IFERROR(__xludf.DUMMYFUNCTION("""COMPUTED_VALUE"""),"Beginner")</f>
        <v>Beginner</v>
      </c>
      <c r="D74" s="216" t="str">
        <f ca="1">IFERROR(__xludf.DUMMYFUNCTION("""COMPUTED_VALUE"""),"Fair and Effective Interviewing for Diversity and Inclusion")</f>
        <v>Fair and Effective Interviewing for Diversity and Inclusion</v>
      </c>
      <c r="E74" s="217"/>
      <c r="F74" s="213"/>
      <c r="G74" s="214"/>
      <c r="H74" s="215"/>
      <c r="I74" s="217"/>
      <c r="J74" s="217"/>
      <c r="K74" s="213"/>
      <c r="L74" s="215"/>
      <c r="M74" s="215"/>
      <c r="N74" s="217"/>
      <c r="O74" s="217"/>
      <c r="P74" s="213"/>
      <c r="Q74" s="215"/>
      <c r="R74" s="215"/>
      <c r="S74" s="217"/>
      <c r="T74" s="217"/>
      <c r="U74" s="213"/>
      <c r="V74" s="215"/>
      <c r="W74" s="215"/>
      <c r="X74" s="217"/>
      <c r="Y74" s="217"/>
      <c r="Z74" s="213"/>
      <c r="AA74" s="215"/>
      <c r="AB74" s="215"/>
      <c r="AC74" s="217"/>
      <c r="AD74" s="217"/>
      <c r="AE74" s="213"/>
      <c r="AF74" s="215"/>
      <c r="AG74" s="215"/>
      <c r="AH74" s="217"/>
      <c r="AI74" s="217"/>
      <c r="AJ74" s="213"/>
    </row>
    <row r="75" spans="1:36" ht="33.75" customHeight="1">
      <c r="A75" s="213"/>
      <c r="B75" s="214">
        <f ca="1">IFERROR(__xludf.DUMMYFUNCTION("""COMPUTED_VALUE"""),3003657)</f>
        <v>3003657</v>
      </c>
      <c r="C75" s="215" t="str">
        <f ca="1">IFERROR(__xludf.DUMMYFUNCTION("""COMPUTED_VALUE"""),"Beginner")</f>
        <v>Beginner</v>
      </c>
      <c r="D75" s="216" t="str">
        <f ca="1">IFERROR(__xludf.DUMMYFUNCTION("""COMPUTED_VALUE"""),"Diversity and Inclusion in Marketing: Inclusive Language for Marketers")</f>
        <v>Diversity and Inclusion in Marketing: Inclusive Language for Marketers</v>
      </c>
      <c r="E75" s="217"/>
      <c r="F75" s="213"/>
      <c r="G75" s="214"/>
      <c r="H75" s="215"/>
      <c r="I75" s="217"/>
      <c r="J75" s="217"/>
      <c r="K75" s="213"/>
      <c r="L75" s="215"/>
      <c r="M75" s="215"/>
      <c r="N75" s="217"/>
      <c r="O75" s="217"/>
      <c r="P75" s="213"/>
      <c r="Q75" s="215"/>
      <c r="R75" s="215"/>
      <c r="S75" s="217"/>
      <c r="T75" s="217"/>
      <c r="U75" s="213"/>
      <c r="V75" s="215"/>
      <c r="W75" s="215"/>
      <c r="X75" s="217"/>
      <c r="Y75" s="217"/>
      <c r="Z75" s="213"/>
      <c r="AA75" s="215"/>
      <c r="AB75" s="215"/>
      <c r="AC75" s="217"/>
      <c r="AD75" s="217"/>
      <c r="AE75" s="213"/>
      <c r="AF75" s="215"/>
      <c r="AG75" s="215"/>
      <c r="AH75" s="217"/>
      <c r="AI75" s="217"/>
      <c r="AJ75" s="213"/>
    </row>
    <row r="76" spans="1:36" ht="33.75" customHeight="1">
      <c r="A76" s="213"/>
      <c r="B76" s="214">
        <f ca="1">IFERROR(__xludf.DUMMYFUNCTION("""COMPUTED_VALUE"""),3013036)</f>
        <v>3013036</v>
      </c>
      <c r="C76" s="215" t="str">
        <f ca="1">IFERROR(__xludf.DUMMYFUNCTION("""COMPUTED_VALUE"""),"Beginner")</f>
        <v>Beginner</v>
      </c>
      <c r="D76" s="216" t="str">
        <f ca="1">IFERROR(__xludf.DUMMYFUNCTION("""COMPUTED_VALUE"""),"Creating Safe Spaces for Tough Conversations at Work")</f>
        <v>Creating Safe Spaces for Tough Conversations at Work</v>
      </c>
      <c r="E76" s="217"/>
      <c r="F76" s="213"/>
      <c r="G76" s="214"/>
      <c r="H76" s="215"/>
      <c r="I76" s="217"/>
      <c r="J76" s="217"/>
      <c r="K76" s="213"/>
      <c r="L76" s="215"/>
      <c r="M76" s="215"/>
      <c r="N76" s="217"/>
      <c r="O76" s="217"/>
      <c r="P76" s="213"/>
      <c r="Q76" s="215"/>
      <c r="R76" s="215"/>
      <c r="S76" s="217"/>
      <c r="T76" s="217"/>
      <c r="U76" s="213"/>
      <c r="V76" s="215"/>
      <c r="W76" s="215"/>
      <c r="X76" s="217"/>
      <c r="Y76" s="217"/>
      <c r="Z76" s="213"/>
      <c r="AA76" s="215"/>
      <c r="AB76" s="215"/>
      <c r="AC76" s="217"/>
      <c r="AD76" s="217"/>
      <c r="AE76" s="213"/>
      <c r="AF76" s="215"/>
      <c r="AG76" s="215"/>
      <c r="AH76" s="217"/>
      <c r="AI76" s="217"/>
      <c r="AJ76" s="213"/>
    </row>
    <row r="77" spans="1:36" ht="33.75" customHeight="1">
      <c r="A77" s="213"/>
      <c r="B77" s="214">
        <f ca="1">IFERROR(__xludf.DUMMYFUNCTION("""COMPUTED_VALUE"""),3008555)</f>
        <v>3008555</v>
      </c>
      <c r="C77" s="215" t="str">
        <f ca="1">IFERROR(__xludf.DUMMYFUNCTION("""COMPUTED_VALUE"""),"Beginner")</f>
        <v>Beginner</v>
      </c>
      <c r="D77" s="216" t="str">
        <f ca="1">IFERROR(__xludf.DUMMYFUNCTION("""COMPUTED_VALUE"""),"Strategies to Foster Inclusive Language at Work")</f>
        <v>Strategies to Foster Inclusive Language at Work</v>
      </c>
      <c r="E77" s="217"/>
      <c r="F77" s="213"/>
      <c r="G77" s="214"/>
      <c r="H77" s="215"/>
      <c r="I77" s="217"/>
      <c r="J77" s="217"/>
      <c r="K77" s="213"/>
      <c r="L77" s="215"/>
      <c r="M77" s="215"/>
      <c r="N77" s="217"/>
      <c r="O77" s="217"/>
      <c r="P77" s="213"/>
      <c r="Q77" s="215"/>
      <c r="R77" s="215"/>
      <c r="S77" s="217"/>
      <c r="T77" s="217"/>
      <c r="U77" s="213"/>
      <c r="V77" s="215"/>
      <c r="W77" s="215"/>
      <c r="X77" s="217"/>
      <c r="Y77" s="217"/>
      <c r="Z77" s="213"/>
      <c r="AA77" s="215"/>
      <c r="AB77" s="215"/>
      <c r="AC77" s="217"/>
      <c r="AD77" s="217"/>
      <c r="AE77" s="213"/>
      <c r="AF77" s="215"/>
      <c r="AG77" s="215"/>
      <c r="AH77" s="217"/>
      <c r="AI77" s="217"/>
      <c r="AJ77" s="213"/>
    </row>
    <row r="78" spans="1:36" ht="33.75" customHeight="1">
      <c r="A78" s="213"/>
      <c r="B78" s="214">
        <f ca="1">IFERROR(__xludf.DUMMYFUNCTION("""COMPUTED_VALUE"""),2835086)</f>
        <v>2835086</v>
      </c>
      <c r="C78" s="215" t="str">
        <f ca="1">IFERROR(__xludf.DUMMYFUNCTION("""COMPUTED_VALUE"""),"Beginner + Intermediate")</f>
        <v>Beginner + Intermediate</v>
      </c>
      <c r="D78" s="216" t="str">
        <f ca="1">IFERROR(__xludf.DUMMYFUNCTION("""COMPUTED_VALUE"""),"Gender in Negotiation")</f>
        <v>Gender in Negotiation</v>
      </c>
      <c r="E78" s="217"/>
      <c r="F78" s="213"/>
      <c r="G78" s="214"/>
      <c r="H78" s="215"/>
      <c r="I78" s="217"/>
      <c r="J78" s="217"/>
      <c r="K78" s="213"/>
      <c r="L78" s="215"/>
      <c r="M78" s="215"/>
      <c r="N78" s="217"/>
      <c r="O78" s="217"/>
      <c r="P78" s="213"/>
      <c r="Q78" s="215"/>
      <c r="R78" s="215"/>
      <c r="S78" s="217"/>
      <c r="T78" s="217"/>
      <c r="U78" s="213"/>
      <c r="V78" s="215"/>
      <c r="W78" s="215"/>
      <c r="X78" s="217"/>
      <c r="Y78" s="217"/>
      <c r="Z78" s="213"/>
      <c r="AA78" s="215"/>
      <c r="AB78" s="215"/>
      <c r="AC78" s="217"/>
      <c r="AD78" s="217"/>
      <c r="AE78" s="213"/>
      <c r="AF78" s="215"/>
      <c r="AG78" s="215"/>
      <c r="AH78" s="217"/>
      <c r="AI78" s="217"/>
      <c r="AJ78" s="213"/>
    </row>
    <row r="79" spans="1:36" ht="33.75" customHeight="1">
      <c r="A79" s="213"/>
      <c r="B79" s="214">
        <f ca="1">IFERROR(__xludf.DUMMYFUNCTION("""COMPUTED_VALUE"""),625918)</f>
        <v>625918</v>
      </c>
      <c r="C79" s="215" t="str">
        <f ca="1">IFERROR(__xludf.DUMMYFUNCTION("""COMPUTED_VALUE"""),"Beginner + Intermediate")</f>
        <v>Beginner + Intermediate</v>
      </c>
      <c r="D79" s="216" t="str">
        <f ca="1">IFERROR(__xludf.DUMMYFUNCTION("""COMPUTED_VALUE"""),"Proven Success Strategies for Women at Work")</f>
        <v>Proven Success Strategies for Women at Work</v>
      </c>
      <c r="E79" s="217"/>
      <c r="F79" s="213"/>
      <c r="G79" s="214"/>
      <c r="H79" s="215"/>
      <c r="I79" s="217"/>
      <c r="J79" s="217"/>
      <c r="K79" s="213"/>
      <c r="L79" s="215"/>
      <c r="M79" s="215"/>
      <c r="N79" s="217"/>
      <c r="O79" s="217"/>
      <c r="P79" s="213"/>
      <c r="Q79" s="215"/>
      <c r="R79" s="215"/>
      <c r="S79" s="217"/>
      <c r="T79" s="217"/>
      <c r="U79" s="213"/>
      <c r="V79" s="215"/>
      <c r="W79" s="215"/>
      <c r="X79" s="217"/>
      <c r="Y79" s="217"/>
      <c r="Z79" s="213"/>
      <c r="AA79" s="215"/>
      <c r="AB79" s="215"/>
      <c r="AC79" s="217"/>
      <c r="AD79" s="217"/>
      <c r="AE79" s="213"/>
      <c r="AF79" s="215"/>
      <c r="AG79" s="215"/>
      <c r="AH79" s="217"/>
      <c r="AI79" s="217"/>
      <c r="AJ79" s="213"/>
    </row>
    <row r="80" spans="1:36" ht="33.75" customHeight="1">
      <c r="A80" s="213"/>
      <c r="B80" s="214">
        <f ca="1">IFERROR(__xludf.DUMMYFUNCTION("""COMPUTED_VALUE"""),2824254)</f>
        <v>2824254</v>
      </c>
      <c r="C80" s="215" t="str">
        <f ca="1">IFERROR(__xludf.DUMMYFUNCTION("""COMPUTED_VALUE"""),"Beginner + Intermediate")</f>
        <v>Beginner + Intermediate</v>
      </c>
      <c r="D80" s="216" t="str">
        <f ca="1">IFERROR(__xludf.DUMMYFUNCTION("""COMPUTED_VALUE"""),"How to Be a Good Mentee and Mentor")</f>
        <v>How to Be a Good Mentee and Mentor</v>
      </c>
      <c r="E80" s="217"/>
      <c r="F80" s="213"/>
      <c r="G80" s="214"/>
      <c r="H80" s="215"/>
      <c r="I80" s="217"/>
      <c r="J80" s="217"/>
      <c r="K80" s="213"/>
      <c r="L80" s="215"/>
      <c r="M80" s="215"/>
      <c r="N80" s="217"/>
      <c r="O80" s="217"/>
      <c r="P80" s="213"/>
      <c r="Q80" s="215"/>
      <c r="R80" s="215"/>
      <c r="S80" s="217"/>
      <c r="T80" s="217"/>
      <c r="U80" s="213"/>
      <c r="V80" s="215"/>
      <c r="W80" s="215"/>
      <c r="X80" s="217"/>
      <c r="Y80" s="217"/>
      <c r="Z80" s="213"/>
      <c r="AA80" s="215"/>
      <c r="AB80" s="215"/>
      <c r="AC80" s="217"/>
      <c r="AD80" s="217"/>
      <c r="AE80" s="213"/>
      <c r="AF80" s="215"/>
      <c r="AG80" s="215"/>
      <c r="AH80" s="217"/>
      <c r="AI80" s="217"/>
      <c r="AJ80" s="213"/>
    </row>
    <row r="81" spans="1:36" ht="33.75" customHeight="1">
      <c r="A81" s="213"/>
      <c r="B81" s="214">
        <f ca="1">IFERROR(__xludf.DUMMYFUNCTION("""COMPUTED_VALUE"""),2835068)</f>
        <v>2835068</v>
      </c>
      <c r="C81" s="215" t="str">
        <f ca="1">IFERROR(__xludf.DUMMYFUNCTION("""COMPUTED_VALUE"""),"Beginner + Intermediate")</f>
        <v>Beginner + Intermediate</v>
      </c>
      <c r="D81" s="216" t="str">
        <f ca="1">IFERROR(__xludf.DUMMYFUNCTION("""COMPUTED_VALUE"""),"Preparing to Lead: Developing Mental Toughness in Yourself")</f>
        <v>Preparing to Lead: Developing Mental Toughness in Yourself</v>
      </c>
      <c r="E81" s="217"/>
      <c r="F81" s="213"/>
      <c r="G81" s="214"/>
      <c r="H81" s="215"/>
      <c r="I81" s="217"/>
      <c r="J81" s="217"/>
      <c r="K81" s="213"/>
      <c r="L81" s="215"/>
      <c r="M81" s="215"/>
      <c r="N81" s="217"/>
      <c r="O81" s="217"/>
      <c r="P81" s="213"/>
      <c r="Q81" s="215"/>
      <c r="R81" s="215"/>
      <c r="S81" s="217"/>
      <c r="T81" s="217"/>
      <c r="U81" s="213"/>
      <c r="V81" s="215"/>
      <c r="W81" s="215"/>
      <c r="X81" s="217"/>
      <c r="Y81" s="217"/>
      <c r="Z81" s="213"/>
      <c r="AA81" s="215"/>
      <c r="AB81" s="215"/>
      <c r="AC81" s="217"/>
      <c r="AD81" s="217"/>
      <c r="AE81" s="213"/>
      <c r="AF81" s="215"/>
      <c r="AG81" s="215"/>
      <c r="AH81" s="217"/>
      <c r="AI81" s="217"/>
      <c r="AJ81" s="213"/>
    </row>
    <row r="82" spans="1:36" ht="33.75" customHeight="1">
      <c r="A82" s="213"/>
      <c r="B82" s="214">
        <f ca="1">IFERROR(__xludf.DUMMYFUNCTION("""COMPUTED_VALUE"""),664802)</f>
        <v>664802</v>
      </c>
      <c r="C82" s="215" t="str">
        <f ca="1">IFERROR(__xludf.DUMMYFUNCTION("""COMPUTED_VALUE"""),"Beginner + Intermediate")</f>
        <v>Beginner + Intermediate</v>
      </c>
      <c r="D82" s="216" t="str">
        <f ca="1">IFERROR(__xludf.DUMMYFUNCTION("""COMPUTED_VALUE"""),"Communicating about Culturally Sensitive Issues")</f>
        <v>Communicating about Culturally Sensitive Issues</v>
      </c>
      <c r="E82" s="217"/>
      <c r="F82" s="213"/>
      <c r="G82" s="214"/>
      <c r="H82" s="215"/>
      <c r="I82" s="217"/>
      <c r="J82" s="217"/>
      <c r="K82" s="213"/>
      <c r="L82" s="215"/>
      <c r="M82" s="215"/>
      <c r="N82" s="217"/>
      <c r="O82" s="217"/>
      <c r="P82" s="213"/>
      <c r="Q82" s="215"/>
      <c r="R82" s="215"/>
      <c r="S82" s="217"/>
      <c r="T82" s="217"/>
      <c r="U82" s="213"/>
      <c r="V82" s="215"/>
      <c r="W82" s="215"/>
      <c r="X82" s="217"/>
      <c r="Y82" s="217"/>
      <c r="Z82" s="213"/>
      <c r="AA82" s="215"/>
      <c r="AB82" s="215"/>
      <c r="AC82" s="217"/>
      <c r="AD82" s="217"/>
      <c r="AE82" s="213"/>
      <c r="AF82" s="215"/>
      <c r="AG82" s="215"/>
      <c r="AH82" s="217"/>
      <c r="AI82" s="217"/>
      <c r="AJ82" s="213"/>
    </row>
    <row r="83" spans="1:36" ht="33.75" customHeight="1">
      <c r="A83" s="213"/>
      <c r="B83" s="214">
        <f ca="1">IFERROR(__xludf.DUMMYFUNCTION("""COMPUTED_VALUE"""),2892592)</f>
        <v>2892592</v>
      </c>
      <c r="C83" s="215" t="str">
        <f ca="1">IFERROR(__xludf.DUMMYFUNCTION("""COMPUTED_VALUE"""),"General")</f>
        <v>General</v>
      </c>
      <c r="D83" s="216" t="str">
        <f ca="1">IFERROR(__xludf.DUMMYFUNCTION("""COMPUTED_VALUE"""),"Understanding and Supporting Asian Employees")</f>
        <v>Understanding and Supporting Asian Employees</v>
      </c>
      <c r="E83" s="217"/>
      <c r="F83" s="213"/>
      <c r="G83" s="214"/>
      <c r="H83" s="215"/>
      <c r="I83" s="217"/>
      <c r="J83" s="217"/>
      <c r="K83" s="213"/>
      <c r="L83" s="215"/>
      <c r="M83" s="215"/>
      <c r="N83" s="217"/>
      <c r="O83" s="217"/>
      <c r="P83" s="213"/>
      <c r="Q83" s="215"/>
      <c r="R83" s="215"/>
      <c r="S83" s="217"/>
      <c r="T83" s="217"/>
      <c r="U83" s="213"/>
      <c r="V83" s="215"/>
      <c r="W83" s="215"/>
      <c r="X83" s="217"/>
      <c r="Y83" s="217"/>
      <c r="Z83" s="213"/>
      <c r="AA83" s="215"/>
      <c r="AB83" s="215"/>
      <c r="AC83" s="217"/>
      <c r="AD83" s="217"/>
      <c r="AE83" s="213"/>
      <c r="AF83" s="215"/>
      <c r="AG83" s="215"/>
      <c r="AH83" s="217"/>
      <c r="AI83" s="217"/>
      <c r="AJ83" s="213"/>
    </row>
    <row r="84" spans="1:36" ht="33.75" customHeight="1">
      <c r="A84" s="213"/>
      <c r="B84" s="214">
        <f ca="1">IFERROR(__xludf.DUMMYFUNCTION("""COMPUTED_VALUE"""),746261)</f>
        <v>746261</v>
      </c>
      <c r="C84" s="215" t="str">
        <f ca="1">IFERROR(__xludf.DUMMYFUNCTION("""COMPUTED_VALUE"""),"General")</f>
        <v>General</v>
      </c>
      <c r="D84" s="216" t="str">
        <f ca="1">IFERROR(__xludf.DUMMYFUNCTION("""COMPUTED_VALUE"""),"Communicating Across Cultures")</f>
        <v>Communicating Across Cultures</v>
      </c>
      <c r="E84" s="217"/>
      <c r="F84" s="213"/>
      <c r="G84" s="214"/>
      <c r="H84" s="215"/>
      <c r="I84" s="217"/>
      <c r="J84" s="217"/>
      <c r="K84" s="213"/>
      <c r="L84" s="215"/>
      <c r="M84" s="215"/>
      <c r="N84" s="217"/>
      <c r="O84" s="217"/>
      <c r="P84" s="213"/>
      <c r="Q84" s="215"/>
      <c r="R84" s="215"/>
      <c r="S84" s="217"/>
      <c r="T84" s="217"/>
      <c r="U84" s="213"/>
      <c r="V84" s="215"/>
      <c r="W84" s="215"/>
      <c r="X84" s="217"/>
      <c r="Y84" s="217"/>
      <c r="Z84" s="213"/>
      <c r="AA84" s="215"/>
      <c r="AB84" s="215"/>
      <c r="AC84" s="217"/>
      <c r="AD84" s="217"/>
      <c r="AE84" s="213"/>
      <c r="AF84" s="215"/>
      <c r="AG84" s="215"/>
      <c r="AH84" s="217"/>
      <c r="AI84" s="217"/>
      <c r="AJ84" s="213"/>
    </row>
    <row r="85" spans="1:36" ht="33.75" customHeight="1">
      <c r="A85" s="213"/>
      <c r="B85" s="214">
        <f ca="1">IFERROR(__xludf.DUMMYFUNCTION("""COMPUTED_VALUE"""),704110)</f>
        <v>704110</v>
      </c>
      <c r="C85" s="215" t="str">
        <f ca="1">IFERROR(__xludf.DUMMYFUNCTION("""COMPUTED_VALUE"""),"General")</f>
        <v>General</v>
      </c>
      <c r="D85" s="216" t="str">
        <f ca="1">IFERROR(__xludf.DUMMYFUNCTION("""COMPUTED_VALUE"""),"Confronting Bias: Thriving Across Our Differences")</f>
        <v>Confronting Bias: Thriving Across Our Differences</v>
      </c>
      <c r="E85" s="217"/>
      <c r="F85" s="213"/>
      <c r="G85" s="214"/>
      <c r="H85" s="215"/>
      <c r="I85" s="217"/>
      <c r="J85" s="217"/>
      <c r="K85" s="213"/>
      <c r="L85" s="215"/>
      <c r="M85" s="215"/>
      <c r="N85" s="217"/>
      <c r="O85" s="217"/>
      <c r="P85" s="213"/>
      <c r="Q85" s="215"/>
      <c r="R85" s="215"/>
      <c r="S85" s="217"/>
      <c r="T85" s="217"/>
      <c r="U85" s="213"/>
      <c r="V85" s="215"/>
      <c r="W85" s="215"/>
      <c r="X85" s="217"/>
      <c r="Y85" s="217"/>
      <c r="Z85" s="213"/>
      <c r="AA85" s="215"/>
      <c r="AB85" s="215"/>
      <c r="AC85" s="217"/>
      <c r="AD85" s="217"/>
      <c r="AE85" s="213"/>
      <c r="AF85" s="215"/>
      <c r="AG85" s="215"/>
      <c r="AH85" s="217"/>
      <c r="AI85" s="217"/>
      <c r="AJ85" s="213"/>
    </row>
    <row r="86" spans="1:36" ht="33.75" customHeight="1">
      <c r="A86" s="213"/>
      <c r="B86" s="214">
        <f ca="1">IFERROR(__xludf.DUMMYFUNCTION("""COMPUTED_VALUE"""),642484)</f>
        <v>642484</v>
      </c>
      <c r="C86" s="215" t="str">
        <f ca="1">IFERROR(__xludf.DUMMYFUNCTION("""COMPUTED_VALUE"""),"General")</f>
        <v>General</v>
      </c>
      <c r="D86" s="216" t="str">
        <f ca="1">IFERROR(__xludf.DUMMYFUNCTION("""COMPUTED_VALUE"""),"Creating Change: Diversity and Inclusion in the Tech Industry")</f>
        <v>Creating Change: Diversity and Inclusion in the Tech Industry</v>
      </c>
      <c r="E86" s="217"/>
      <c r="F86" s="213"/>
      <c r="G86" s="214"/>
      <c r="H86" s="215"/>
      <c r="I86" s="217"/>
      <c r="J86" s="217"/>
      <c r="K86" s="213"/>
      <c r="L86" s="215"/>
      <c r="M86" s="215"/>
      <c r="N86" s="217"/>
      <c r="O86" s="217"/>
      <c r="P86" s="213"/>
      <c r="Q86" s="215"/>
      <c r="R86" s="215"/>
      <c r="S86" s="217"/>
      <c r="T86" s="217"/>
      <c r="U86" s="213"/>
      <c r="V86" s="215"/>
      <c r="W86" s="215"/>
      <c r="X86" s="217"/>
      <c r="Y86" s="217"/>
      <c r="Z86" s="213"/>
      <c r="AA86" s="215"/>
      <c r="AB86" s="215"/>
      <c r="AC86" s="217"/>
      <c r="AD86" s="217"/>
      <c r="AE86" s="213"/>
      <c r="AF86" s="215"/>
      <c r="AG86" s="215"/>
      <c r="AH86" s="217"/>
      <c r="AI86" s="217"/>
      <c r="AJ86" s="213"/>
    </row>
    <row r="87" spans="1:36" ht="33.75" customHeight="1">
      <c r="A87" s="213"/>
      <c r="B87" s="214">
        <f ca="1">IFERROR(__xludf.DUMMYFUNCTION("""COMPUTED_VALUE"""),373788)</f>
        <v>373788</v>
      </c>
      <c r="C87" s="215" t="str">
        <f ca="1">IFERROR(__xludf.DUMMYFUNCTION("""COMPUTED_VALUE"""),"General")</f>
        <v>General</v>
      </c>
      <c r="D87" s="216" t="str">
        <f ca="1">IFERROR(__xludf.DUMMYFUNCTION("""COMPUTED_VALUE"""),"Developing Cross-Cultural Intelligence")</f>
        <v>Developing Cross-Cultural Intelligence</v>
      </c>
      <c r="E87" s="217"/>
      <c r="F87" s="213"/>
      <c r="G87" s="214"/>
      <c r="H87" s="215"/>
      <c r="I87" s="217"/>
      <c r="J87" s="217"/>
      <c r="K87" s="213"/>
      <c r="L87" s="215"/>
      <c r="M87" s="215"/>
      <c r="N87" s="217"/>
      <c r="O87" s="217"/>
      <c r="P87" s="213"/>
      <c r="Q87" s="215"/>
      <c r="R87" s="215"/>
      <c r="S87" s="217"/>
      <c r="T87" s="217"/>
      <c r="U87" s="213"/>
      <c r="V87" s="215"/>
      <c r="W87" s="215"/>
      <c r="X87" s="217"/>
      <c r="Y87" s="217"/>
      <c r="Z87" s="213"/>
      <c r="AA87" s="215"/>
      <c r="AB87" s="215"/>
      <c r="AC87" s="217"/>
      <c r="AD87" s="217"/>
      <c r="AE87" s="213"/>
      <c r="AF87" s="215"/>
      <c r="AG87" s="215"/>
      <c r="AH87" s="217"/>
      <c r="AI87" s="217"/>
      <c r="AJ87" s="213"/>
    </row>
    <row r="88" spans="1:36" ht="33.75" customHeight="1">
      <c r="A88" s="213"/>
      <c r="B88" s="214">
        <f ca="1">IFERROR(__xludf.DUMMYFUNCTION("""COMPUTED_VALUE"""),756276)</f>
        <v>756276</v>
      </c>
      <c r="C88" s="215" t="str">
        <f ca="1">IFERROR(__xludf.DUMMYFUNCTION("""COMPUTED_VALUE"""),"General")</f>
        <v>General</v>
      </c>
      <c r="D88" s="217" t="str">
        <f ca="1">IFERROR(__xludf.DUMMYFUNCTION("""COMPUTED_VALUE"""),"Social Interactions for Multinational Teams")</f>
        <v>Social Interactions for Multinational Teams</v>
      </c>
      <c r="E88" s="217"/>
      <c r="F88" s="213"/>
      <c r="G88" s="214"/>
      <c r="H88" s="215"/>
      <c r="I88" s="217"/>
      <c r="J88" s="217"/>
      <c r="K88" s="213"/>
      <c r="L88" s="215"/>
      <c r="M88" s="215"/>
      <c r="N88" s="217"/>
      <c r="O88" s="217"/>
      <c r="P88" s="213"/>
      <c r="Q88" s="215"/>
      <c r="R88" s="215"/>
      <c r="S88" s="217"/>
      <c r="T88" s="217"/>
      <c r="U88" s="213"/>
      <c r="V88" s="215"/>
      <c r="W88" s="215"/>
      <c r="X88" s="217"/>
      <c r="Y88" s="217"/>
      <c r="Z88" s="213"/>
      <c r="AA88" s="215"/>
      <c r="AB88" s="215"/>
      <c r="AC88" s="217"/>
      <c r="AD88" s="217"/>
      <c r="AE88" s="213"/>
      <c r="AF88" s="215"/>
      <c r="AG88" s="215"/>
      <c r="AH88" s="217"/>
      <c r="AI88" s="217"/>
      <c r="AJ88" s="213"/>
    </row>
    <row r="89" spans="1:36" ht="16">
      <c r="A89" s="213"/>
      <c r="B89" s="214">
        <f ca="1">IFERROR(__xludf.DUMMYFUNCTION("""COMPUTED_VALUE"""),779733)</f>
        <v>779733</v>
      </c>
      <c r="C89" s="215" t="str">
        <f ca="1">IFERROR(__xludf.DUMMYFUNCTION("""COMPUTED_VALUE"""),"General")</f>
        <v>General</v>
      </c>
      <c r="D89" s="216" t="str">
        <f ca="1">IFERROR(__xludf.DUMMYFUNCTION("""COMPUTED_VALUE"""),"Cultivating Cultural Competence and Inclusion")</f>
        <v>Cultivating Cultural Competence and Inclusion</v>
      </c>
      <c r="E89" s="217"/>
      <c r="F89" s="213"/>
      <c r="G89" s="214"/>
      <c r="H89" s="215"/>
      <c r="I89" s="217"/>
      <c r="J89" s="217"/>
      <c r="K89" s="213"/>
      <c r="L89" s="215"/>
      <c r="M89" s="215"/>
      <c r="N89" s="217"/>
      <c r="O89" s="217"/>
      <c r="P89" s="213"/>
      <c r="Q89" s="215"/>
      <c r="R89" s="215"/>
      <c r="S89" s="217"/>
      <c r="T89" s="217"/>
      <c r="U89" s="213"/>
      <c r="V89" s="215"/>
      <c r="W89" s="215"/>
      <c r="X89" s="217"/>
      <c r="Y89" s="217"/>
      <c r="Z89" s="213"/>
      <c r="AA89" s="215"/>
      <c r="AB89" s="215"/>
      <c r="AC89" s="217"/>
      <c r="AD89" s="217"/>
      <c r="AE89" s="213"/>
      <c r="AF89" s="215"/>
      <c r="AG89" s="215"/>
      <c r="AH89" s="217"/>
      <c r="AI89" s="217"/>
      <c r="AJ89" s="213"/>
    </row>
    <row r="90" spans="1:36" ht="16">
      <c r="A90" s="213"/>
      <c r="B90" s="214">
        <f ca="1">IFERROR(__xludf.DUMMYFUNCTION("""COMPUTED_VALUE"""),5040392)</f>
        <v>5040392</v>
      </c>
      <c r="C90" s="215" t="str">
        <f ca="1">IFERROR(__xludf.DUMMYFUNCTION("""COMPUTED_VALUE"""),"General")</f>
        <v>General</v>
      </c>
      <c r="D90" s="216" t="str">
        <f ca="1">IFERROR(__xludf.DUMMYFUNCTION("""COMPUTED_VALUE"""),"Fighting Gender Bias at Work")</f>
        <v>Fighting Gender Bias at Work</v>
      </c>
      <c r="E90" s="217"/>
      <c r="F90" s="213"/>
      <c r="G90" s="214"/>
      <c r="H90" s="215"/>
      <c r="I90" s="217"/>
      <c r="J90" s="217"/>
      <c r="K90" s="213"/>
      <c r="L90" s="215"/>
      <c r="M90" s="215"/>
      <c r="N90" s="217"/>
      <c r="O90" s="217"/>
      <c r="P90" s="213"/>
      <c r="Q90" s="215"/>
      <c r="R90" s="215"/>
      <c r="S90" s="217"/>
      <c r="T90" s="217"/>
      <c r="U90" s="213"/>
      <c r="V90" s="215"/>
      <c r="W90" s="215"/>
      <c r="X90" s="217"/>
      <c r="Y90" s="217"/>
      <c r="Z90" s="213"/>
      <c r="AA90" s="215"/>
      <c r="AB90" s="215"/>
      <c r="AC90" s="217"/>
      <c r="AD90" s="217"/>
      <c r="AE90" s="213"/>
      <c r="AF90" s="215"/>
      <c r="AG90" s="215"/>
      <c r="AH90" s="217"/>
      <c r="AI90" s="217"/>
      <c r="AJ90" s="213"/>
    </row>
    <row r="91" spans="1:36" ht="16">
      <c r="A91" s="213"/>
      <c r="B91" s="214">
        <f ca="1">IFERROR(__xludf.DUMMYFUNCTION("""COMPUTED_VALUE"""),716048)</f>
        <v>716048</v>
      </c>
      <c r="C91" s="215" t="str">
        <f ca="1">IFERROR(__xludf.DUMMYFUNCTION("""COMPUTED_VALUE"""),"General")</f>
        <v>General</v>
      </c>
      <c r="D91" s="216" t="str">
        <f ca="1">IFERROR(__xludf.DUMMYFUNCTION("""COMPUTED_VALUE"""),"Preventing Harassment in the Workplace")</f>
        <v>Preventing Harassment in the Workplace</v>
      </c>
      <c r="E91" s="217"/>
      <c r="F91" s="213"/>
      <c r="G91" s="214"/>
      <c r="H91" s="215"/>
      <c r="I91" s="217"/>
      <c r="J91" s="217"/>
      <c r="K91" s="213"/>
      <c r="L91" s="215"/>
      <c r="M91" s="215"/>
      <c r="N91" s="217"/>
      <c r="O91" s="217"/>
      <c r="P91" s="213"/>
      <c r="Q91" s="215"/>
      <c r="R91" s="215"/>
      <c r="S91" s="217"/>
      <c r="T91" s="217"/>
      <c r="U91" s="213"/>
      <c r="V91" s="215"/>
      <c r="W91" s="215"/>
      <c r="X91" s="217"/>
      <c r="Y91" s="217"/>
      <c r="Z91" s="213"/>
      <c r="AA91" s="215"/>
      <c r="AB91" s="215"/>
      <c r="AC91" s="217"/>
      <c r="AD91" s="217"/>
      <c r="AE91" s="213"/>
      <c r="AF91" s="215"/>
      <c r="AG91" s="215"/>
      <c r="AH91" s="217"/>
      <c r="AI91" s="217"/>
      <c r="AJ91" s="213"/>
    </row>
    <row r="92" spans="1:36" ht="16">
      <c r="A92" s="213"/>
      <c r="B92" s="214">
        <f ca="1">IFERROR(__xludf.DUMMYFUNCTION("""COMPUTED_VALUE"""),5025098)</f>
        <v>5025098</v>
      </c>
      <c r="C92" s="215" t="str">
        <f ca="1">IFERROR(__xludf.DUMMYFUNCTION("""COMPUTED_VALUE"""),"General")</f>
        <v>General</v>
      </c>
      <c r="D92" s="216" t="str">
        <f ca="1">IFERROR(__xludf.DUMMYFUNCTION("""COMPUTED_VALUE"""),"Skills for Inclusive Conversations")</f>
        <v>Skills for Inclusive Conversations</v>
      </c>
      <c r="E92" s="217"/>
      <c r="F92" s="213"/>
      <c r="G92" s="214"/>
      <c r="H92" s="215"/>
      <c r="I92" s="217"/>
      <c r="J92" s="217"/>
      <c r="K92" s="213"/>
      <c r="L92" s="215"/>
      <c r="M92" s="215"/>
      <c r="N92" s="217"/>
      <c r="O92" s="217"/>
      <c r="P92" s="213"/>
      <c r="Q92" s="215"/>
      <c r="R92" s="215"/>
      <c r="S92" s="217"/>
      <c r="T92" s="217"/>
      <c r="U92" s="213"/>
      <c r="V92" s="215"/>
      <c r="W92" s="215"/>
      <c r="X92" s="217"/>
      <c r="Y92" s="217"/>
      <c r="Z92" s="213"/>
      <c r="AA92" s="215"/>
      <c r="AB92" s="215"/>
      <c r="AC92" s="217"/>
      <c r="AD92" s="217"/>
      <c r="AE92" s="213"/>
      <c r="AF92" s="215"/>
      <c r="AG92" s="215"/>
      <c r="AH92" s="217"/>
      <c r="AI92" s="217"/>
      <c r="AJ92" s="213"/>
    </row>
    <row r="93" spans="1:36" ht="16">
      <c r="A93" s="213"/>
      <c r="B93" s="214">
        <f ca="1">IFERROR(__xludf.DUMMYFUNCTION("""COMPUTED_VALUE"""),2800408)</f>
        <v>2800408</v>
      </c>
      <c r="C93" s="215" t="str">
        <f ca="1">IFERROR(__xludf.DUMMYFUNCTION("""COMPUTED_VALUE"""),"General")</f>
        <v>General</v>
      </c>
      <c r="D93" s="216" t="str">
        <f ca="1">IFERROR(__xludf.DUMMYFUNCTION("""COMPUTED_VALUE"""),"Leadership in Tech")</f>
        <v>Leadership in Tech</v>
      </c>
      <c r="E93" s="217"/>
      <c r="F93" s="213"/>
      <c r="G93" s="214"/>
      <c r="H93" s="215"/>
      <c r="I93" s="217"/>
      <c r="J93" s="217"/>
      <c r="K93" s="213"/>
      <c r="L93" s="215"/>
      <c r="M93" s="215"/>
      <c r="N93" s="217"/>
      <c r="O93" s="217"/>
      <c r="P93" s="213"/>
      <c r="Q93" s="215"/>
      <c r="R93" s="215"/>
      <c r="S93" s="217"/>
      <c r="T93" s="217"/>
      <c r="U93" s="213"/>
      <c r="V93" s="215"/>
      <c r="W93" s="215"/>
      <c r="X93" s="217"/>
      <c r="Y93" s="217"/>
      <c r="Z93" s="213"/>
      <c r="AA93" s="215"/>
      <c r="AB93" s="215"/>
      <c r="AC93" s="217"/>
      <c r="AD93" s="217"/>
      <c r="AE93" s="213"/>
      <c r="AF93" s="215"/>
      <c r="AG93" s="215"/>
      <c r="AH93" s="217"/>
      <c r="AI93" s="217"/>
      <c r="AJ93" s="213"/>
    </row>
    <row r="94" spans="1:36" ht="30">
      <c r="A94" s="213"/>
      <c r="B94" s="214">
        <f ca="1">IFERROR(__xludf.DUMMYFUNCTION("""COMPUTED_VALUE"""),2839076)</f>
        <v>2839076</v>
      </c>
      <c r="C94" s="215" t="str">
        <f ca="1">IFERROR(__xludf.DUMMYFUNCTION("""COMPUTED_VALUE"""),"General")</f>
        <v>General</v>
      </c>
      <c r="D94" s="216" t="str">
        <f ca="1">IFERROR(__xludf.DUMMYFUNCTION("""COMPUTED_VALUE"""),"Awakening Compassion at Work (Blinkist Summary)")</f>
        <v>Awakening Compassion at Work (Blinkist Summary)</v>
      </c>
      <c r="E94" s="217"/>
      <c r="F94" s="213"/>
      <c r="G94" s="214"/>
      <c r="H94" s="215"/>
      <c r="I94" s="217"/>
      <c r="J94" s="217"/>
      <c r="K94" s="213"/>
      <c r="L94" s="215"/>
      <c r="M94" s="215"/>
      <c r="N94" s="217"/>
      <c r="O94" s="217"/>
      <c r="P94" s="213"/>
      <c r="Q94" s="215"/>
      <c r="R94" s="215"/>
      <c r="S94" s="217"/>
      <c r="T94" s="217"/>
      <c r="U94" s="213"/>
      <c r="V94" s="215"/>
      <c r="W94" s="215"/>
      <c r="X94" s="217"/>
      <c r="Y94" s="217"/>
      <c r="Z94" s="213"/>
      <c r="AA94" s="215"/>
      <c r="AB94" s="215"/>
      <c r="AC94" s="217"/>
      <c r="AD94" s="217"/>
      <c r="AE94" s="213"/>
      <c r="AF94" s="215"/>
      <c r="AG94" s="215"/>
      <c r="AH94" s="217"/>
      <c r="AI94" s="217"/>
      <c r="AJ94" s="213"/>
    </row>
    <row r="95" spans="1:36" ht="16">
      <c r="A95" s="213"/>
      <c r="B95" s="214">
        <f ca="1">IFERROR(__xludf.DUMMYFUNCTION("""COMPUTED_VALUE"""),2864030)</f>
        <v>2864030</v>
      </c>
      <c r="C95" s="215" t="str">
        <f ca="1">IFERROR(__xludf.DUMMYFUNCTION("""COMPUTED_VALUE"""),"General")</f>
        <v>General</v>
      </c>
      <c r="D95" s="216" t="str">
        <f ca="1">IFERROR(__xludf.DUMMYFUNCTION("""COMPUTED_VALUE"""),"Driving Change and Anti-Racism")</f>
        <v>Driving Change and Anti-Racism</v>
      </c>
      <c r="E95" s="217"/>
      <c r="F95" s="213"/>
      <c r="G95" s="214"/>
      <c r="H95" s="215"/>
      <c r="I95" s="217"/>
      <c r="J95" s="217"/>
      <c r="K95" s="213"/>
      <c r="L95" s="215"/>
      <c r="M95" s="215"/>
      <c r="N95" s="217"/>
      <c r="O95" s="217"/>
      <c r="P95" s="213"/>
      <c r="Q95" s="215"/>
      <c r="R95" s="215"/>
      <c r="S95" s="217"/>
      <c r="T95" s="217"/>
      <c r="U95" s="213"/>
      <c r="V95" s="215"/>
      <c r="W95" s="215"/>
      <c r="X95" s="217"/>
      <c r="Y95" s="217"/>
      <c r="Z95" s="213"/>
      <c r="AA95" s="215"/>
      <c r="AB95" s="215"/>
      <c r="AC95" s="217"/>
      <c r="AD95" s="217"/>
      <c r="AE95" s="213"/>
      <c r="AF95" s="215"/>
      <c r="AG95" s="215"/>
      <c r="AH95" s="217"/>
      <c r="AI95" s="217"/>
      <c r="AJ95" s="213"/>
    </row>
    <row r="96" spans="1:36" ht="30">
      <c r="A96" s="213"/>
      <c r="B96" s="214">
        <f ca="1">IFERROR(__xludf.DUMMYFUNCTION("""COMPUTED_VALUE"""),2848321)</f>
        <v>2848321</v>
      </c>
      <c r="C96" s="215" t="str">
        <f ca="1">IFERROR(__xludf.DUMMYFUNCTION("""COMPUTED_VALUE"""),"General")</f>
        <v>General</v>
      </c>
      <c r="D96" s="217" t="str">
        <f ca="1">IFERROR(__xludf.DUMMYFUNCTION("""COMPUTED_VALUE"""),"Difficult Conversations: Talking About Race at Work")</f>
        <v>Difficult Conversations: Talking About Race at Work</v>
      </c>
      <c r="E96" s="217"/>
      <c r="F96" s="213"/>
      <c r="G96" s="214"/>
      <c r="H96" s="215"/>
      <c r="I96" s="217"/>
      <c r="J96" s="217"/>
      <c r="K96" s="213"/>
      <c r="L96" s="215"/>
      <c r="M96" s="215"/>
      <c r="N96" s="217"/>
      <c r="O96" s="217"/>
      <c r="P96" s="213"/>
      <c r="Q96" s="215"/>
      <c r="R96" s="215"/>
      <c r="S96" s="217"/>
      <c r="T96" s="217"/>
      <c r="U96" s="213"/>
      <c r="V96" s="215"/>
      <c r="W96" s="215"/>
      <c r="X96" s="217"/>
      <c r="Y96" s="217"/>
      <c r="Z96" s="213"/>
      <c r="AA96" s="215"/>
      <c r="AB96" s="215"/>
      <c r="AC96" s="217"/>
      <c r="AD96" s="217"/>
      <c r="AE96" s="213"/>
      <c r="AF96" s="215"/>
      <c r="AG96" s="215"/>
      <c r="AH96" s="217"/>
      <c r="AI96" s="217"/>
      <c r="AJ96" s="213"/>
    </row>
    <row r="97" spans="1:36" ht="16">
      <c r="A97" s="213"/>
      <c r="B97" s="214">
        <f ca="1">IFERROR(__xludf.DUMMYFUNCTION("""COMPUTED_VALUE"""),2866005)</f>
        <v>2866005</v>
      </c>
      <c r="C97" s="215" t="str">
        <f ca="1">IFERROR(__xludf.DUMMYFUNCTION("""COMPUTED_VALUE"""),"General")</f>
        <v>General</v>
      </c>
      <c r="D97" s="217" t="str">
        <f ca="1">IFERROR(__xludf.DUMMYFUNCTION("""COMPUTED_VALUE"""),"Just Ask: Kwame Christian on Discussing Race")</f>
        <v>Just Ask: Kwame Christian on Discussing Race</v>
      </c>
      <c r="E97" s="217"/>
      <c r="F97" s="213"/>
      <c r="G97" s="214"/>
      <c r="H97" s="215"/>
      <c r="I97" s="217"/>
      <c r="J97" s="217"/>
      <c r="K97" s="213"/>
      <c r="L97" s="215"/>
      <c r="M97" s="215"/>
      <c r="N97" s="217"/>
      <c r="O97" s="217"/>
      <c r="P97" s="213"/>
      <c r="Q97" s="215"/>
      <c r="R97" s="215"/>
      <c r="S97" s="217"/>
      <c r="T97" s="217"/>
      <c r="U97" s="213"/>
      <c r="V97" s="215"/>
      <c r="W97" s="215"/>
      <c r="X97" s="217"/>
      <c r="Y97" s="217"/>
      <c r="Z97" s="213"/>
      <c r="AA97" s="215"/>
      <c r="AB97" s="215"/>
      <c r="AC97" s="217"/>
      <c r="AD97" s="217"/>
      <c r="AE97" s="213"/>
      <c r="AF97" s="215"/>
      <c r="AG97" s="215"/>
      <c r="AH97" s="217"/>
      <c r="AI97" s="217"/>
      <c r="AJ97" s="213"/>
    </row>
    <row r="98" spans="1:36" ht="16">
      <c r="A98" s="213"/>
      <c r="B98" s="214">
        <f ca="1">IFERROR(__xludf.DUMMYFUNCTION("""COMPUTED_VALUE"""),2864299)</f>
        <v>2864299</v>
      </c>
      <c r="C98" s="215" t="str">
        <f ca="1">IFERROR(__xludf.DUMMYFUNCTION("""COMPUTED_VALUE"""),"General")</f>
        <v>General</v>
      </c>
      <c r="D98" s="217" t="str">
        <f ca="1">IFERROR(__xludf.DUMMYFUNCTION("""COMPUTED_VALUE"""),"Color and Cultural Connections")</f>
        <v>Color and Cultural Connections</v>
      </c>
      <c r="E98" s="217"/>
      <c r="F98" s="213"/>
      <c r="G98" s="214"/>
      <c r="H98" s="215"/>
      <c r="I98" s="217"/>
      <c r="J98" s="217"/>
      <c r="K98" s="213"/>
      <c r="L98" s="215"/>
      <c r="M98" s="215"/>
      <c r="N98" s="217"/>
      <c r="O98" s="217"/>
      <c r="P98" s="213"/>
      <c r="Q98" s="215"/>
      <c r="R98" s="215"/>
      <c r="S98" s="217"/>
      <c r="T98" s="217"/>
      <c r="U98" s="213"/>
      <c r="V98" s="215"/>
      <c r="W98" s="215"/>
      <c r="X98" s="217"/>
      <c r="Y98" s="217"/>
      <c r="Z98" s="213"/>
      <c r="AA98" s="215"/>
      <c r="AB98" s="215"/>
      <c r="AC98" s="217"/>
      <c r="AD98" s="217"/>
      <c r="AE98" s="213"/>
      <c r="AF98" s="215"/>
      <c r="AG98" s="215"/>
      <c r="AH98" s="217"/>
      <c r="AI98" s="217"/>
      <c r="AJ98" s="213"/>
    </row>
    <row r="99" spans="1:36" ht="16">
      <c r="A99" s="213"/>
      <c r="B99" s="214">
        <f ca="1">IFERROR(__xludf.DUMMYFUNCTION("""COMPUTED_VALUE"""),5002835)</f>
        <v>5002835</v>
      </c>
      <c r="C99" s="215" t="str">
        <f ca="1">IFERROR(__xludf.DUMMYFUNCTION("""COMPUTED_VALUE"""),"General")</f>
        <v>General</v>
      </c>
      <c r="D99" s="217" t="str">
        <f ca="1">IFERROR(__xludf.DUMMYFUNCTION("""COMPUTED_VALUE"""),"Becoming a Male Ally at Work")</f>
        <v>Becoming a Male Ally at Work</v>
      </c>
      <c r="E99" s="217"/>
      <c r="F99" s="213"/>
      <c r="G99" s="214"/>
      <c r="H99" s="215"/>
      <c r="I99" s="218"/>
      <c r="J99" s="219"/>
      <c r="K99" s="213"/>
      <c r="L99" s="215"/>
      <c r="M99" s="215"/>
      <c r="N99" s="220"/>
      <c r="O99" s="220"/>
      <c r="P99" s="213"/>
      <c r="Q99" s="215"/>
      <c r="R99" s="215"/>
      <c r="S99" s="220"/>
      <c r="T99" s="220"/>
      <c r="U99" s="213"/>
      <c r="V99" s="215"/>
      <c r="W99" s="215"/>
      <c r="X99" s="220"/>
      <c r="Y99" s="220"/>
      <c r="Z99" s="213"/>
      <c r="AA99" s="215"/>
      <c r="AB99" s="215"/>
      <c r="AC99" s="221"/>
      <c r="AD99" s="221"/>
      <c r="AE99" s="213"/>
      <c r="AF99" s="215"/>
      <c r="AG99" s="215"/>
      <c r="AH99" s="220"/>
      <c r="AI99" s="220"/>
      <c r="AJ99" s="213"/>
    </row>
    <row r="100" spans="1:36" ht="15" customHeight="1">
      <c r="B100">
        <f ca="1">IFERROR(__xludf.DUMMYFUNCTION("""COMPUTED_VALUE"""),543904)</f>
        <v>543904</v>
      </c>
      <c r="C100" t="str">
        <f ca="1">IFERROR(__xludf.DUMMYFUNCTION("""COMPUTED_VALUE"""),"General")</f>
        <v>General</v>
      </c>
      <c r="D100" t="str">
        <f ca="1">IFERROR(__xludf.DUMMYFUNCTION("""COMPUTED_VALUE"""),"John Maeda on Design, Business, and Inclusion")</f>
        <v>John Maeda on Design, Business, and Inclusion</v>
      </c>
    </row>
    <row r="101" spans="1:36" ht="15" customHeight="1">
      <c r="B101">
        <f ca="1">IFERROR(__xludf.DUMMYFUNCTION("""COMPUTED_VALUE"""),758616)</f>
        <v>758616</v>
      </c>
      <c r="C101" t="str">
        <f ca="1">IFERROR(__xludf.DUMMYFUNCTION("""COMPUTED_VALUE"""),"General")</f>
        <v>General</v>
      </c>
      <c r="D101" t="str">
        <f ca="1">IFERROR(__xludf.DUMMYFUNCTION("""COMPUTED_VALUE"""),"Shane Snow on Dream Teams")</f>
        <v>Shane Snow on Dream Teams</v>
      </c>
    </row>
    <row r="102" spans="1:36" ht="15" customHeight="1">
      <c r="B102">
        <f ca="1">IFERROR(__xludf.DUMMYFUNCTION("""COMPUTED_VALUE"""),2825696)</f>
        <v>2825696</v>
      </c>
      <c r="C102" t="str">
        <f ca="1">IFERROR(__xludf.DUMMYFUNCTION("""COMPUTED_VALUE"""),"General")</f>
        <v>General</v>
      </c>
      <c r="D102" t="str">
        <f ca="1">IFERROR(__xludf.DUMMYFUNCTION("""COMPUTED_VALUE"""),"Speaking Up At Work")</f>
        <v>Speaking Up At Work</v>
      </c>
    </row>
    <row r="103" spans="1:36" ht="15" customHeight="1">
      <c r="B103">
        <f ca="1">IFERROR(__xludf.DUMMYFUNCTION("""COMPUTED_VALUE"""),5028612)</f>
        <v>5028612</v>
      </c>
      <c r="C103" t="str">
        <f ca="1">IFERROR(__xludf.DUMMYFUNCTION("""COMPUTED_VALUE"""),"General")</f>
        <v>General</v>
      </c>
      <c r="D103" t="str">
        <f ca="1">IFERROR(__xludf.DUMMYFUNCTION("""COMPUTED_VALUE"""),"Bystander Training: From Bystander to Upstander")</f>
        <v>Bystander Training: From Bystander to Upstander</v>
      </c>
    </row>
    <row r="104" spans="1:36" ht="15" customHeight="1">
      <c r="B104">
        <f ca="1">IFERROR(__xludf.DUMMYFUNCTION("""COMPUTED_VALUE"""),2883104)</f>
        <v>2883104</v>
      </c>
      <c r="C104" t="str">
        <f ca="1">IFERROR(__xludf.DUMMYFUNCTION("""COMPUTED_VALUE"""),"General")</f>
        <v>General</v>
      </c>
      <c r="D104" t="str">
        <f ca="1">IFERROR(__xludf.DUMMYFUNCTION("""COMPUTED_VALUE"""),"How to Be More Inclusive")</f>
        <v>How to Be More Inclusive</v>
      </c>
    </row>
    <row r="105" spans="1:36" ht="15" customHeight="1">
      <c r="B105">
        <f ca="1">IFERROR(__xludf.DUMMYFUNCTION("""COMPUTED_VALUE"""),2428262)</f>
        <v>2428262</v>
      </c>
      <c r="C105" t="str">
        <f ca="1">IFERROR(__xludf.DUMMYFUNCTION("""COMPUTED_VALUE"""),"General")</f>
        <v>General</v>
      </c>
      <c r="D105" t="str">
        <f ca="1">IFERROR(__xludf.DUMMYFUNCTION("""COMPUTED_VALUE"""),"Digital Accessibility for the Modern Workplace (with Audio Descriptions)")</f>
        <v>Digital Accessibility for the Modern Workplace (with Audio Descriptions)</v>
      </c>
    </row>
    <row r="106" spans="1:36" ht="15" customHeight="1">
      <c r="B106">
        <f ca="1">IFERROR(__xludf.DUMMYFUNCTION("""COMPUTED_VALUE"""),2873211)</f>
        <v>2873211</v>
      </c>
      <c r="C106" t="str">
        <f ca="1">IFERROR(__xludf.DUMMYFUNCTION("""COMPUTED_VALUE"""),"General")</f>
        <v>General</v>
      </c>
      <c r="D106" t="str">
        <f ca="1">IFERROR(__xludf.DUMMYFUNCTION("""COMPUTED_VALUE"""),"Succeeding as an LGBT Professional")</f>
        <v>Succeeding as an LGBT Professional</v>
      </c>
    </row>
    <row r="107" spans="1:36" ht="15" customHeight="1">
      <c r="B107">
        <f ca="1">IFERROR(__xludf.DUMMYFUNCTION("""COMPUTED_VALUE"""),2886191)</f>
        <v>2886191</v>
      </c>
      <c r="C107" t="str">
        <f ca="1">IFERROR(__xludf.DUMMYFUNCTION("""COMPUTED_VALUE"""),"General")</f>
        <v>General</v>
      </c>
      <c r="D107" t="str">
        <f ca="1">IFERROR(__xludf.DUMMYFUNCTION("""COMPUTED_VALUE"""),"Discussing Racism with Dr. Christina Greer")</f>
        <v>Discussing Racism with Dr. Christina Greer</v>
      </c>
    </row>
    <row r="108" spans="1:36" ht="15" customHeight="1">
      <c r="B108">
        <f ca="1">IFERROR(__xludf.DUMMYFUNCTION("""COMPUTED_VALUE"""),2833038)</f>
        <v>2833038</v>
      </c>
      <c r="C108" t="str">
        <f ca="1">IFERROR(__xludf.DUMMYFUNCTION("""COMPUTED_VALUE"""),"General")</f>
        <v>General</v>
      </c>
      <c r="D108" t="str">
        <f ca="1">IFERROR(__xludf.DUMMYFUNCTION("""COMPUTED_VALUE"""),"Becoming an Ally to All")</f>
        <v>Becoming an Ally to All</v>
      </c>
    </row>
    <row r="109" spans="1:36" ht="15" customHeight="1">
      <c r="B109">
        <f ca="1">IFERROR(__xludf.DUMMYFUNCTION("""COMPUTED_VALUE"""),2877284)</f>
        <v>2877284</v>
      </c>
      <c r="C109" t="str">
        <f ca="1">IFERROR(__xludf.DUMMYFUNCTION("""COMPUTED_VALUE"""),"General")</f>
        <v>General</v>
      </c>
      <c r="D109" t="str">
        <f ca="1">IFERROR(__xludf.DUMMYFUNCTION("""COMPUTED_VALUE"""),"Architectural Design: The WE Way for Workplace Inclusivity")</f>
        <v>Architectural Design: The WE Way for Workplace Inclusivity</v>
      </c>
    </row>
    <row r="110" spans="1:36" ht="15" customHeight="1">
      <c r="B110">
        <f ca="1">IFERROR(__xludf.DUMMYFUNCTION("""COMPUTED_VALUE"""),2835067)</f>
        <v>2835067</v>
      </c>
      <c r="C110" t="str">
        <f ca="1">IFERROR(__xludf.DUMMYFUNCTION("""COMPUTED_VALUE"""),"General")</f>
        <v>General</v>
      </c>
      <c r="D110" t="str">
        <f ca="1">IFERROR(__xludf.DUMMYFUNCTION("""COMPUTED_VALUE"""),"Uncovering Your Authentic Self at Work")</f>
        <v>Uncovering Your Authentic Self at Work</v>
      </c>
    </row>
    <row r="111" spans="1:36" ht="15" customHeight="1">
      <c r="B111">
        <f ca="1">IFERROR(__xludf.DUMMYFUNCTION("""COMPUTED_VALUE"""),2896887)</f>
        <v>2896887</v>
      </c>
      <c r="C111" t="str">
        <f ca="1">IFERROR(__xludf.DUMMYFUNCTION("""COMPUTED_VALUE"""),"General")</f>
        <v>General</v>
      </c>
      <c r="D111" t="str">
        <f ca="1">IFERROR(__xludf.DUMMYFUNCTION("""COMPUTED_VALUE"""),"Reshuffle: A Special Series on the New World of Work")</f>
        <v>Reshuffle: A Special Series on the New World of Work</v>
      </c>
    </row>
    <row r="112" spans="1:36" ht="15" customHeight="1">
      <c r="B112">
        <f ca="1">IFERROR(__xludf.DUMMYFUNCTION("""COMPUTED_VALUE"""),2424508)</f>
        <v>2424508</v>
      </c>
      <c r="C112" t="str">
        <f ca="1">IFERROR(__xludf.DUMMYFUNCTION("""COMPUTED_VALUE"""),"General")</f>
        <v>General</v>
      </c>
      <c r="D112" t="str">
        <f ca="1">IFERROR(__xludf.DUMMYFUNCTION("""COMPUTED_VALUE"""),"Communicating Across Cultures Virtually")</f>
        <v>Communicating Across Cultures Virtually</v>
      </c>
    </row>
    <row r="113" spans="2:4" ht="15" customHeight="1">
      <c r="B113">
        <f ca="1">IFERROR(__xludf.DUMMYFUNCTION("""COMPUTED_VALUE"""),2425282)</f>
        <v>2425282</v>
      </c>
      <c r="C113" t="str">
        <f ca="1">IFERROR(__xludf.DUMMYFUNCTION("""COMPUTED_VALUE"""),"General")</f>
        <v>General</v>
      </c>
      <c r="D113" t="str">
        <f ca="1">IFERROR(__xludf.DUMMYFUNCTION("""COMPUTED_VALUE"""),"Unlocking Authentic Communication in a Culturally-Diverse Workplace")</f>
        <v>Unlocking Authentic Communication in a Culturally-Diverse Workplace</v>
      </c>
    </row>
    <row r="114" spans="2:4" ht="15" customHeight="1">
      <c r="B114">
        <f ca="1">IFERROR(__xludf.DUMMYFUNCTION("""COMPUTED_VALUE"""),2426448)</f>
        <v>2426448</v>
      </c>
      <c r="C114" t="str">
        <f ca="1">IFERROR(__xludf.DUMMYFUNCTION("""COMPUTED_VALUE"""),"General")</f>
        <v>General</v>
      </c>
      <c r="D114" t="str">
        <f ca="1">IFERROR(__xludf.DUMMYFUNCTION("""COMPUTED_VALUE"""),"Success Strategies for Women in the Workplace")</f>
        <v>Success Strategies for Women in the Workplace</v>
      </c>
    </row>
    <row r="115" spans="2:4" ht="15" customHeight="1">
      <c r="B115">
        <f ca="1">IFERROR(__xludf.DUMMYFUNCTION("""COMPUTED_VALUE"""),2825601)</f>
        <v>2825601</v>
      </c>
      <c r="C115" t="str">
        <f ca="1">IFERROR(__xludf.DUMMYFUNCTION("""COMPUTED_VALUE"""),"Intermediate")</f>
        <v>Intermediate</v>
      </c>
      <c r="D115" t="str">
        <f ca="1">IFERROR(__xludf.DUMMYFUNCTION("""COMPUTED_VALUE"""),"Creating a Connection Culture")</f>
        <v>Creating a Connection Culture</v>
      </c>
    </row>
    <row r="116" spans="2:4" ht="15" customHeight="1">
      <c r="B116">
        <f ca="1">IFERROR(__xludf.DUMMYFUNCTION("""COMPUTED_VALUE"""),2824379)</f>
        <v>2824379</v>
      </c>
      <c r="C116" t="str">
        <f ca="1">IFERROR(__xludf.DUMMYFUNCTION("""COMPUTED_VALUE"""),"Intermediate")</f>
        <v>Intermediate</v>
      </c>
      <c r="D116" t="str">
        <f ca="1">IFERROR(__xludf.DUMMYFUNCTION("""COMPUTED_VALUE"""),"Fostering Belonging as a Leader")</f>
        <v>Fostering Belonging as a Leader</v>
      </c>
    </row>
    <row r="117" spans="2:4" ht="15" customHeight="1">
      <c r="B117">
        <f ca="1">IFERROR(__xludf.DUMMYFUNCTION("""COMPUTED_VALUE"""),800197)</f>
        <v>800197</v>
      </c>
      <c r="C117" t="str">
        <f ca="1">IFERROR(__xludf.DUMMYFUNCTION("""COMPUTED_VALUE"""),"Intermediate")</f>
        <v>Intermediate</v>
      </c>
      <c r="D117" t="str">
        <f ca="1">IFERROR(__xludf.DUMMYFUNCTION("""COMPUTED_VALUE"""),"Leadership Strategies for Women")</f>
        <v>Leadership Strategies for Women</v>
      </c>
    </row>
    <row r="118" spans="2:4" ht="15" customHeight="1">
      <c r="B118">
        <f ca="1">IFERROR(__xludf.DUMMYFUNCTION("""COMPUTED_VALUE"""),441831)</f>
        <v>441831</v>
      </c>
      <c r="C118" t="str">
        <f ca="1">IFERROR(__xludf.DUMMYFUNCTION("""COMPUTED_VALUE"""),"Intermediate")</f>
        <v>Intermediate</v>
      </c>
      <c r="D118" t="str">
        <f ca="1">IFERROR(__xludf.DUMMYFUNCTION("""COMPUTED_VALUE"""),"Recruiting Veterans")</f>
        <v>Recruiting Veterans</v>
      </c>
    </row>
    <row r="119" spans="2:4" ht="15" customHeight="1">
      <c r="B119">
        <f ca="1">IFERROR(__xludf.DUMMYFUNCTION("""COMPUTED_VALUE"""),2822684)</f>
        <v>2822684</v>
      </c>
      <c r="C119" t="str">
        <f ca="1">IFERROR(__xludf.DUMMYFUNCTION("""COMPUTED_VALUE"""),"General")</f>
        <v>General</v>
      </c>
      <c r="D119" t="str">
        <f ca="1">IFERROR(__xludf.DUMMYFUNCTION("""COMPUTED_VALUE"""),"Empathy at Work")</f>
        <v>Empathy at Work</v>
      </c>
    </row>
    <row r="120" spans="2:4" ht="15" customHeight="1">
      <c r="B120">
        <f ca="1">IFERROR(__xludf.DUMMYFUNCTION("""COMPUTED_VALUE"""),2823580)</f>
        <v>2823580</v>
      </c>
      <c r="C120" t="str">
        <f ca="1">IFERROR(__xludf.DUMMYFUNCTION("""COMPUTED_VALUE"""),"Intermediate")</f>
        <v>Intermediate</v>
      </c>
      <c r="D120" t="str">
        <f ca="1">IFERROR(__xludf.DUMMYFUNCTION("""COMPUTED_VALUE"""),"Uncovering Unconscious Bias in Recruiting and Interviewing")</f>
        <v>Uncovering Unconscious Bias in Recruiting and Interviewing</v>
      </c>
    </row>
  </sheetData>
  <mergeCells count="14">
    <mergeCell ref="B1:E1"/>
    <mergeCell ref="L1:O1"/>
    <mergeCell ref="V1:Y1"/>
    <mergeCell ref="AF1:AI1"/>
    <mergeCell ref="B2:E2"/>
    <mergeCell ref="L2:O2"/>
    <mergeCell ref="V2:Y2"/>
    <mergeCell ref="AF2:AI2"/>
    <mergeCell ref="G1:J1"/>
    <mergeCell ref="G2:J2"/>
    <mergeCell ref="Q1:T1"/>
    <mergeCell ref="Q2:T2"/>
    <mergeCell ref="AA1:AD1"/>
    <mergeCell ref="AA2:AD2"/>
  </mergeCells>
  <hyperlinks>
    <hyperlink ref="D4" r:id="rId1" display="https://www.linkedin.com/learning/global-strategy?trk=ondemandfile" xr:uid="{00000000-0004-0000-2100-000000000000}"/>
    <hyperlink ref="E4" r:id="rId2" display="https://www.linkedin.com/learning/paths/become-an-inclusive-leader?trk=ondemandfile" xr:uid="{00000000-0004-0000-2100-000001000000}"/>
    <hyperlink ref="N4" r:id="rId3" display="https://www.linkedin.com/learning/como-comunicar-sobre-temas-culturalmente-sensibles?trk=ondemandfile" xr:uid="{00000000-0004-0000-2100-000002000000}"/>
    <hyperlink ref="O4" r:id="rId4" display="https://www.linkedin.com/learning/paths/mujeres-en-el-liderazgo?trk=ondemandfile" xr:uid="{00000000-0004-0000-2100-000003000000}"/>
    <hyperlink ref="S4" r:id="rId5" display="https://www.linkedin.com/learning/10-mythen-uber-diversity-inclusion-und-zugehorigkeit-am-arbeitsplatz?trk=contentmappingfile" xr:uid="{00000000-0004-0000-2100-000004000000}"/>
    <hyperlink ref="T4" r:id="rId6" display="https://www.linkedin.com/learning/paths/die-interkulturelle-kompetenz-erweitern?trk=ondemandfile" xr:uid="{00000000-0004-0000-2100-000005000000}"/>
    <hyperlink ref="X4" r:id="rId7" display="https://www.linkedin.com/learning/creating-an-lgbt-friendly-work-environment?trk=ondemandfile" xr:uid="{00000000-0004-0000-2100-000006000000}"/>
    <hyperlink ref="AD4" r:id="rId8" display="https://www.linkedin.com/learning/paths/diversidade-inclusao-e-pertencimento-para-lideres-e-gerentes?trk=ondemandfile" xr:uid="{00000000-0004-0000-2100-000007000000}"/>
    <hyperlink ref="AH4" r:id="rId9" display="https://www.linkedin.com/learning/diversity-inclusion-and-belonging?trk=ondemandfile" xr:uid="{00000000-0004-0000-2100-000008000000}"/>
    <hyperlink ref="AI4" r:id="rId10" display="https://www.linkedin.com/learning/paths/38d7beaf-5ae2-37ca-8ff3-93e2f5dac41e?trk=ondemandfile" xr:uid="{00000000-0004-0000-2100-000009000000}"/>
    <hyperlink ref="D5" r:id="rId11" display="https://www.linkedin.com/learning/leading-globally?trk=ondemandfile" xr:uid="{00000000-0004-0000-2100-00000A000000}"/>
    <hyperlink ref="E5" r:id="rId12" display="https://www.linkedin.com/learning/paths/become-a-thought-leader?trk=ondemandfile" xr:uid="{00000000-0004-0000-2100-00000B000000}"/>
    <hyperlink ref="I5" r:id="rId13" display="https://www.linkedin.com/learning/ameliorer-son-index-d-egalite-professionnelle?trk=contentmappingfile" xr:uid="{00000000-0004-0000-2100-00000C000000}"/>
    <hyperlink ref="N5" r:id="rId14" display="https://www.linkedin.com/learning/como-convertirse-en-un-aliado-femenino-en-el-trabajo?trk=ondemandfile" xr:uid="{00000000-0004-0000-2100-00000D000000}"/>
    <hyperlink ref="O5" r:id="rId15" display="https://www.linkedin.com/learning/paths/conviertete-en-lider?trk=ondemandfile" xr:uid="{00000000-0004-0000-2100-00000E000000}"/>
    <hyperlink ref="S5" r:id="rId16" display="https://www.linkedin.com/learning/diversitat-und-inklusion-in-globalen-unternehmen?trk=ondemandfile" xr:uid="{00000000-0004-0000-2100-00000F000000}"/>
    <hyperlink ref="T5" r:id="rId17" display="https://de.linkedin.com/learning/paths/diversitat-inklusion-und-zugehorigkeit-im-unternehmen-schaffen?trk=ondemandfile" xr:uid="{00000000-0004-0000-2100-000010000000}"/>
    <hyperlink ref="X5" r:id="rId18" display="https://www.linkedin.com/learning/inclusive-leadership-3?trk=ondemandfile" xr:uid="{00000000-0004-0000-2100-000011000000}"/>
    <hyperlink ref="AD5" r:id="rId19" display="https://www.linkedin.com/learning/paths/como-fortalecer-suas-competencias-interculturais?trk=ondemandfile" xr:uid="{00000000-0004-0000-2100-000012000000}"/>
    <hyperlink ref="AH5" r:id="rId20" display="https://www.linkedin.com/learning/diversity-and-inclusion-in-a-global-enterprise-2?trk=ondemandfile" xr:uid="{00000000-0004-0000-2100-000013000000}"/>
    <hyperlink ref="D6" r:id="rId21" display="https://www.linkedin.com/learning/managing-globally?trk=ondemandfile" xr:uid="{00000000-0004-0000-2100-000014000000}"/>
    <hyperlink ref="E6" r:id="rId22" display="https://www.linkedin.com/learning/paths/build-a-more-equitable-and-inclusive-workplace?trk=ondemandfile" xr:uid="{00000000-0004-0000-2100-000015000000}"/>
    <hyperlink ref="N6" r:id="rId23" display="https://www.linkedin.com/learning/como-crear-documentos-accesibles-en-office-365-microsoft-365?trk=ondemandfile" xr:uid="{00000000-0004-0000-2100-000016000000}"/>
    <hyperlink ref="S6" r:id="rId24" display="https://www.linkedin.com/learning/einfach-gendern-gendersensible-sprache-in-der-unternehmenspraxis?trk=ondemandfile" xr:uid="{00000000-0004-0000-2100-000017000000}"/>
    <hyperlink ref="T6" r:id="rId25" display="https://www.linkedin.com/learning/paths/frauen-in-fuhrungspositionen?trk=ondemandfile" xr:uid="{00000000-0004-0000-2100-000018000000}"/>
    <hyperlink ref="X6" r:id="rId26" display="https://www.linkedin.com/learning/leading-inclusive-teams-14683165?trk=contentmappingfile" xr:uid="{00000000-0004-0000-2100-000019000000}"/>
    <hyperlink ref="AH6" r:id="rId27" display="https://www.linkedin.com/learning/agreements-for-success-in-global-projects-2?trk=ondemandfile" xr:uid="{00000000-0004-0000-2100-00001A000000}"/>
    <hyperlink ref="D7" r:id="rId28" display="https://www.linkedin.com/learning/inclusive-leadership?trk=ondemandfile" xr:uid="{00000000-0004-0000-2100-00001B000000}"/>
    <hyperlink ref="E7" r:id="rId29" display="https://www.linkedin.com/learning/paths/diversity-inclusion-and-belonging-for-all?trk=ondemandfile" xr:uid="{00000000-0004-0000-2100-00001C000000}"/>
    <hyperlink ref="N7" r:id="rId30" display="https://www.linkedin.com/learning/00-building-accountability-into-your-culture?trk=ondemandfile" xr:uid="{00000000-0004-0000-2100-00001D000000}"/>
    <hyperlink ref="S7" r:id="rId31" display="https://www.linkedin.com/learning/empathie-und-kreativitat-als-neue-schlusselkompetenzen?trk=ondemandfile" xr:uid="{00000000-0004-0000-2100-00001E000000}"/>
    <hyperlink ref="X7" r:id="rId32" display="https://www.linkedin.com/learning/diversity-and-inclusion-in-a-global-enterprise-5?trk=ondemandfile" xr:uid="{00000000-0004-0000-2100-00001F000000}"/>
    <hyperlink ref="AH7" r:id="rId33" display="https://www.linkedin.com/learning/skills-for-inclusive-conversations-2?trk=ondemandfile" xr:uid="{00000000-0004-0000-2100-000020000000}"/>
    <hyperlink ref="D8" r:id="rId34" display="https://www.linkedin.com/learning/how-to-be-an-inclusive-leader-getabstract-summary?trk=ondemandfile" xr:uid="{00000000-0004-0000-2100-000021000000}"/>
    <hyperlink ref="E8" r:id="rId35" display="https://www.linkedin.com/learning/paths/diversity-inclusion-and-belonging-for-leaders-and-managers?trk=ondemandfile" xr:uid="{00000000-0004-0000-2100-000022000000}"/>
    <hyperlink ref="N8" r:id="rId36" display="https://www.linkedin.com/learning/como-cultivar-la-habilidad-y-la-inclusion-cultural?trk=ondemandfile" xr:uid="{00000000-0004-0000-2100-000023000000}"/>
    <hyperlink ref="S8" r:id="rId37" display="https://www.linkedin.com/learning/erfolgsstrategien-fur-frauen-im-beruf?trk=ondemandfile" xr:uid="{00000000-0004-0000-2100-000024000000}"/>
    <hyperlink ref="X8" r:id="rId38" display="https://www.linkedin.com/learning/leading-with-emotional-intelligence?trk=ondemandfile" xr:uid="{00000000-0004-0000-2100-000025000000}"/>
    <hyperlink ref="AH8" r:id="rId39" display="https://www.linkedin.com/learning/inclusive-leadership-2?trk=ondemandfile" xr:uid="{00000000-0004-0000-2100-000026000000}"/>
    <hyperlink ref="D9" r:id="rId40" display="https://www.linkedin.com/learning/communicating-values?trk=ondemandfile" xr:uid="{00000000-0004-0000-2100-000027000000}"/>
    <hyperlink ref="E9" r:id="rId41" display="https://www.linkedin.com/learning/paths/how-to-engage-meaningfully-in-allyship-and-anti-racism?trk=ondemandfile" xr:uid="{00000000-0004-0000-2100-000028000000}"/>
    <hyperlink ref="N9" r:id="rId42" display="https://www.linkedin.com/learning/como-desactivar-la-comunicacion-toxica?trk=ondemandfile" xr:uid="{00000000-0004-0000-2100-000029000000}"/>
    <hyperlink ref="S9" r:id="rId43" display="https://www.linkedin.com/learning/erfolgsstrategien-fur-frauen-in-fuhrungspositionen?trk=ondemandfile" xr:uid="{00000000-0004-0000-2100-00002A000000}"/>
    <hyperlink ref="X9" r:id="rId44" display="https://www.linkedin.com/learning/managing-multiple-generations-8332500?trk=ondemandfile" xr:uid="{00000000-0004-0000-2100-00002B000000}"/>
    <hyperlink ref="AC9" r:id="rId45" display="https://www.linkedin.com/learning/como-desenvolver-as-competencias-necessarias-para-abordar-conversas-inclusivas?trk=contentmappingfile" xr:uid="{00000000-0004-0000-2100-00002C000000}"/>
    <hyperlink ref="AH9" r:id="rId46" display="https://www.linkedin.com/learning/developing-cross-cultural-intelligence-4?trk=ondemandfile" xr:uid="{00000000-0004-0000-2100-00002D000000}"/>
    <hyperlink ref="D10" r:id="rId47" display="https://www.linkedin.com/learning/managing-multiple-generations-2?trk=ondemandfile" xr:uid="{00000000-0004-0000-2100-00002E000000}"/>
    <hyperlink ref="E10" r:id="rId48" display="https://www.linkedin.com/learning/paths/improve-your-coaching-skills-as-a-manager?trk=ondemandfile" xr:uid="{00000000-0004-0000-2100-00002F000000}"/>
    <hyperlink ref="N10" r:id="rId49" display="https://www.linkedin.com/learning/00-developing-cross-cultural-intelligence?trk=ondemandfile" xr:uid="{00000000-0004-0000-2100-000030000000}"/>
    <hyperlink ref="S10" r:id="rId50" display="https://www.linkedin.com/learning/fair-fuhren-blinkist-kernaussagen?trk=ondemandfile" xr:uid="{00000000-0004-0000-2100-000031000000}"/>
    <hyperlink ref="X10" r:id="rId51" display="https://www.linkedin.com/learning/diversity-inclusion-and-belonging-4?trk=contentmappingfile" xr:uid="{00000000-0004-0000-2100-000032000000}"/>
    <hyperlink ref="AH10" r:id="rId52" display="https://www.linkedin.com/learning/cultivating-cultural-competence-and-inclusion-9619710?trk=contentmappingfile" xr:uid="{00000000-0004-0000-2100-000033000000}"/>
    <hyperlink ref="D11" r:id="rId53" display="https://www.linkedin.com/learning/managing-a-multigenerational-workforce?trk=ondemandfile" xr:uid="{00000000-0004-0000-2100-000034000000}"/>
    <hyperlink ref="E11" r:id="rId54" display="https://www.linkedin.com/learning/paths/stay-ahead-in-all-things-dibs?trk=ondemandfile" xr:uid="{00000000-0004-0000-2100-000035000000}"/>
    <hyperlink ref="N11" r:id="rId55" display="https://www.linkedin.com/learning/como-desarrollar-un-programa-de-diversidad-inclusion-y-pertenencia?trk=ondemandfile" xr:uid="{00000000-0004-0000-2100-000036000000}"/>
    <hyperlink ref="S11" r:id="rId56" display="https://www.linkedin.com/learning/fuhrungsstarke-ausstrahlen-tipps-fur-frauen?trk=ondemandfile" xr:uid="{00000000-0004-0000-2100-000037000000}"/>
    <hyperlink ref="X11" r:id="rId57" display="https://www.linkedin.com/learning/developing-a-diversity-inclusion-and-belonging-program-14391853?trk=contentmappingfile" xr:uid="{00000000-0004-0000-2100-000038000000}"/>
    <hyperlink ref="AH11" r:id="rId58" display="https://www.linkedin.com/learning/women-transforming-tech-breaking-bias?trk=ondemandfile" xr:uid="{00000000-0004-0000-2100-000039000000}"/>
    <hyperlink ref="D12" r:id="rId59" display="https://www.linkedin.com/learning/collaborative-leadership?trk=ondemandfile" xr:uid="{00000000-0004-0000-2100-00003A000000}"/>
    <hyperlink ref="E12" r:id="rId60" display="https://www.linkedin.com/learning/paths/transition-from-military-to-civilian-employment?trk=ondemandfile" xr:uid="{00000000-0004-0000-2100-00003B000000}"/>
    <hyperlink ref="I12" r:id="rId61" display="https://www.linkedin.com/learning/developper-un-programme-de-diversite-d-inclusion-et-d-appartenance?trk=contentmappingfile" xr:uid="{00000000-0004-0000-2100-00003C000000}"/>
    <hyperlink ref="N12" r:id="rId62" display="https://www.linkedin.com/learning/como-dirigir-en-un-entorno-global-o-internacional?trk=ondemandfile" xr:uid="{00000000-0004-0000-2100-00003D000000}"/>
    <hyperlink ref="S12" r:id="rId63" display="https://www.linkedin.com/learning/ihre-wirkungsvolle-diversity-strategie-entwickeln?trk=contentmappingfile" xr:uid="{00000000-0004-0000-2100-00003E000000}"/>
    <hyperlink ref="X12" r:id="rId64" display="https://www.linkedin.com/learning/diversity-recruiting-14836915?trk=contentmappingfile" xr:uid="{00000000-0004-0000-2100-00003F000000}"/>
    <hyperlink ref="AC12" r:id="rId65" display="https://www.linkedin.com/learning/como-prevenir-o-assedio-no-trabalho-e-criar-um-ambiente-seguro?trk=contentmappingfile" xr:uid="{00000000-0004-0000-2100-000040000000}"/>
    <hyperlink ref="AH12" r:id="rId66" display="https://www.linkedin.com/learning/unconscious-bias-4?trk=ondemandfile" xr:uid="{00000000-0004-0000-2100-000041000000}"/>
    <hyperlink ref="D13" r:id="rId67" display="https://www.linkedin.com/learning/developing-a-diversity-inclusion-and-belonging-program?trk=ondemandfile" xr:uid="{00000000-0004-0000-2100-000042000000}"/>
    <hyperlink ref="E13" r:id="rId68" display="https://www.linkedin.com/learning/paths/transition-from-military-to-student-life?trk=ondemandfile?" xr:uid="{00000000-0004-0000-2100-000043000000}"/>
    <hyperlink ref="I13" r:id="rId69" display="https://www.linkedin.com/learning/devenir-un-manager-bienveillant-une-manager-bienveillante?trk=contentmappingfile" xr:uid="{00000000-0004-0000-2100-000044000000}"/>
    <hyperlink ref="N13" r:id="rId70" display="https://www.linkedin.com/learning/como-enfrentar-los-prejuicios-superando-nuestras-diferencias?trk=ondemandfile" xr:uid="{00000000-0004-0000-2100-000045000000}"/>
    <hyperlink ref="S13" r:id="rId71" display="https://www.linkedin.com/learning/interkulturelle-kompetenz?trk=ondemandfile" xr:uid="{00000000-0004-0000-2100-000046000000}"/>
    <hyperlink ref="X13" r:id="rId72" display="https://www.linkedin.com/learning/cross-cultural-communication-in-business?trk=ondemandfile" xr:uid="{00000000-0004-0000-2100-000047000000}"/>
    <hyperlink ref="AH13" r:id="rId73" display="https://www.linkedin.com/learning/managing-diversity?trk=ondemandfile" xr:uid="{00000000-0004-0000-2100-000048000000}"/>
    <hyperlink ref="D14" r:id="rId74" display="https://www.linkedin.com/learning/accessibility-for-the-workplace?trk=ondemandfile" xr:uid="{00000000-0004-0000-2100-000049000000}"/>
    <hyperlink ref="E14" r:id="rId75" display="https://www.linkedin.com/learning/paths/women-in-leadership-3?trk=ondemandfile" xr:uid="{00000000-0004-0000-2100-00004A000000}"/>
    <hyperlink ref="N14" r:id="rId76" display="https://www.linkedin.com/learning/como-gestionar-la-diversidad?trk=ondemandfile" xr:uid="{00000000-0004-0000-2100-00004B000000}"/>
    <hyperlink ref="S14" r:id="rId77" display="https://www.linkedin.com/learning/internationale-personalentwicklung?trk=ondemandfile" xr:uid="{00000000-0004-0000-2100-00004C000000}"/>
    <hyperlink ref="X14" r:id="rId78" display="https://www.linkedin.com/learning/confronting-bias-thriving-across-our-differences-14254791?trk=contentmappingfile" xr:uid="{00000000-0004-0000-2100-00004D000000}"/>
    <hyperlink ref="AC14" r:id="rId79" display="https://www.linkedin.com/learning/como-superar-o-assedio-no-trabalho?trk=contentmappingfile" xr:uid="{00000000-0004-0000-2100-00004E000000}"/>
    <hyperlink ref="AH14" r:id="rId80" display="https://www.linkedin.com/learning/managing-a-diverse-team-2?trk=ondemandfile" xr:uid="{00000000-0004-0000-2100-00004F000000}"/>
    <hyperlink ref="D15" r:id="rId81" display="https://www.linkedin.com/learning/be-an-inclusive-organization-people-won-t-leave?trk=ondemandfile" xr:uid="{00000000-0004-0000-2100-000050000000}"/>
    <hyperlink ref="E15" r:id="rId82" display="https://www.linkedin.com/learning/paths/women-transforming-tech-navigating-your-career?trk=ondemandfile" xr:uid="{00000000-0004-0000-2100-000051000000}"/>
    <hyperlink ref="N15" r:id="rId83" display="https://www.linkedin.com/learning/como-gestionar-un-equipo-multigeneracional?trk=contentmappingfile" xr:uid="{00000000-0004-0000-2100-000052000000}"/>
    <hyperlink ref="S15" r:id="rId84" display="https://www.linkedin.com/learning/00-anteilmanag?trk=ondemandfile" xr:uid="{00000000-0004-0000-2100-000053000000}"/>
    <hyperlink ref="X15" r:id="rId85" display="https://www.linkedin.com/learning/improving-your-judgment-3?trk=ondemandfile" xr:uid="{00000000-0004-0000-2100-000054000000}"/>
    <hyperlink ref="AH15" r:id="rId86" display="https://www.linkedin.com/learning/powerless-to-powerful-taking-control-2?trk=ondemandfile" xr:uid="{00000000-0004-0000-2100-000055000000}"/>
    <hyperlink ref="D16" r:id="rId87" display="https://www.linkedin.com/learning/leading-your-org-on-a-journey-of-allyship?trk=ondemandfile" xr:uid="{00000000-0004-0000-2100-000056000000}"/>
    <hyperlink ref="I16" r:id="rId88" display="https://www.linkedin.com/learning/faire-face-aux-microagressions-au-travail?trk=contentmappingfile" xr:uid="{00000000-0004-0000-2100-000057000000}"/>
    <hyperlink ref="N16" r:id="rId89" display="https://www.linkedin.com/learning/como-impulsar-el-cambio-y-el-antirracismo?trk=ondemandfile" xr:uid="{00000000-0004-0000-2100-000058000000}"/>
    <hyperlink ref="S16" r:id="rId90" display="https://www.linkedin.com/learning/mehrere-generationen-managen?trk=ondemandfile" xr:uid="{00000000-0004-0000-2100-000059000000}"/>
    <hyperlink ref="X16" r:id="rId91" display="https://www.linkedin.com/learning/collaborative-leadership-9064543?trk=ondemandfile" xr:uid="{00000000-0004-0000-2100-00005A000000}"/>
    <hyperlink ref="AH16" r:id="rId92" display="https://www.linkedin.com/learning/social-interactions-for-multinational-teams-2?trk=ondemandfile" xr:uid="{00000000-0004-0000-2100-00005B000000}"/>
    <hyperlink ref="D17" r:id="rId93" display="https://www.linkedin.com/learning/managing-someone-older-than-you?trk=ondemandfile" xr:uid="{00000000-0004-0000-2100-00005C000000}"/>
    <hyperlink ref="I17" r:id="rId94" display="https://www.linkedin.com/learning/favoriser-l-inclusion-lgbtq-plus-au-travail?trk=contentmappingfile" xr:uid="{00000000-0004-0000-2100-00005D000000}"/>
    <hyperlink ref="N17" r:id="rId95" display="https://www.linkedin.com/learning/como-liderar-a-la-generacion-y?trk=contentmappingfile" xr:uid="{00000000-0004-0000-2100-00005E000000}"/>
    <hyperlink ref="S17" r:id="rId96" display="https://www.linkedin.com/learning/multikulturelle-teams-f-hren?trk=ondemandfile" xr:uid="{00000000-0004-0000-2100-00005F000000}"/>
    <hyperlink ref="X17" r:id="rId97" display="https://www.linkedin.com/learning/proven-success-strategies-for-women-at-work-4?trk=ondemandfile" xr:uid="{00000000-0004-0000-2100-000060000000}"/>
    <hyperlink ref="AC17" r:id="rId98" display="https://www.linkedin.com/learning/dez-mitos-sobre-diversidade-e-inclusao-no-trabalho?trk=contentmappingfile" xr:uid="{00000000-0004-0000-2100-000061000000}"/>
    <hyperlink ref="AH17" r:id="rId99" display="https://www.linkedin.com/learning/leading-inclusive-teams-3?trk=ondemandfile" xr:uid="{00000000-0004-0000-2100-000062000000}"/>
    <hyperlink ref="D18" r:id="rId100" display="https://www.linkedin.com/learning/supporting-workers-with-disabilities?trk=ondemandfile" xr:uid="{00000000-0004-0000-2100-000063000000}"/>
    <hyperlink ref="N18" r:id="rId101" display="https://www.linkedin.com/learning/como-liderar-equipos-inclusivos?trk=ondemandfile" xr:uid="{00000000-0004-0000-2100-000064000000}"/>
    <hyperlink ref="S18" r:id="rId102" display="https://www.linkedin.com/learning/sich-und-andere-besser-verstehen?trk=ondemandfile" xr:uid="{00000000-0004-0000-2100-000065000000}"/>
    <hyperlink ref="X18" r:id="rId103" display="https://www.linkedin.com/learning/communicating-about-culturally-sensitive-issues-9588614?trk=contentmappingfile" xr:uid="{00000000-0004-0000-2100-000066000000}"/>
    <hyperlink ref="AH18" r:id="rId104" display="https://www.linkedin.com/learning/leading-with-emotional-intelligence-2?trk=ondemandfile" xr:uid="{00000000-0004-0000-2100-000067000000}"/>
    <hyperlink ref="D19" r:id="rId105" display="https://www.linkedin.com/learning/inclusive-tech-the-case-for-inclusive-leadership?trk=ondemandfile" xr:uid="{00000000-0004-0000-2100-000068000000}"/>
    <hyperlink ref="N19" r:id="rId106" display="https://www.linkedin.com/learning/como-ser-parte-de-un-ambiente-de-trabajo-positivo?trk=ondemandfile" xr:uid="{00000000-0004-0000-2100-000069000000}"/>
    <hyperlink ref="S19" r:id="rId107" display="https://www.linkedin.com/learning/social-diversity-unternehmenserfolg-durch-soziale-vielfalt?trk=ondemandfile" xr:uid="{00000000-0004-0000-2100-00006A000000}"/>
    <hyperlink ref="X19" r:id="rId108" display="https://www.linkedin.com/learning/managing-globally-4?trk=ondemandfile" xr:uid="{00000000-0004-0000-2100-00006B000000}"/>
    <hyperlink ref="D20" r:id="rId109" display="https://www.linkedin.com/learning/achieving-diversity-as-a-hiring-manager?trk=ondemandfile" xr:uid="{00000000-0004-0000-2100-00006C000000}"/>
    <hyperlink ref="N20" r:id="rId110" display="https://www.linkedin.com/learning/como-superar-los-sesgos-cognitivos?trk=ondemandfile" xr:uid="{00000000-0004-0000-2100-00006D000000}"/>
    <hyperlink ref="S20" r:id="rId111" display="https://www.linkedin.com/learning/unconscious-bias-unbewusste-denkmuster-erkennen-und-andern?trk=ondemandfile" xr:uid="{00000000-0004-0000-2100-00006E000000}"/>
    <hyperlink ref="X20" r:id="rId112" display="https://www.linkedin.com/learning/cultivating-cultural-competence-and-inclusion-14487222?trk=contentmappingfile" xr:uid="{00000000-0004-0000-2100-00006F000000}"/>
    <hyperlink ref="D21" r:id="rId113" display="https://www.linkedin.com/learning/new-manager-foundations-2?trk=ondemandfile" xr:uid="{00000000-0004-0000-2100-000070000000}"/>
    <hyperlink ref="N21" r:id="rId114" display="https://www.linkedin.com/learning/comprender-e-integrar-la-diversidad-funcional?trk=ondemandfile" xr:uid="{00000000-0004-0000-2100-000071000000}"/>
    <hyperlink ref="S21" r:id="rId115" display="https://www.linkedin.com/learning/unconscious-bias-entgegenwirken-diversitat-und-inklusion-in-der-arbeitswelt-fordern?trk=ondemandfile" xr:uid="{00000000-0004-0000-2100-000072000000}"/>
    <hyperlink ref="X21" r:id="rId116" display="https://www.linkedin.com/learning/3b9a9e9f-36fd-3413-8e43-080652af9039?trk=ondemandfile" xr:uid="{00000000-0004-0000-2100-000073000000}"/>
    <hyperlink ref="D22" r:id="rId117" display="https://www.linkedin.com/learning/business-law-for-managers?trk=ondemandfile" xr:uid="{00000000-0004-0000-2100-000074000000}"/>
    <hyperlink ref="I22" r:id="rId118" display="https://www.linkedin.com/learning/le-leadership-inclusif-devenir-un-allie-une-alliee?trk=contentmappingfile" xr:uid="{00000000-0004-0000-2100-000075000000}"/>
    <hyperlink ref="N22" r:id="rId119" display="https://www.linkedin.com/learning/00-comunicacion-intercultural?trk=ondemandfile" xr:uid="{00000000-0004-0000-2100-000076000000}"/>
    <hyperlink ref="S22" r:id="rId120" display="https://www.linkedin.com/learning/00-fragenfuehren?trk=ondemandfile" xr:uid="{00000000-0004-0000-2100-000077000000}"/>
    <hyperlink ref="X22" r:id="rId121" display="https://www.linkedin.com/learning/skills-for-inclusive-conversations-8953451?trk=ondemandfile" xr:uid="{00000000-0004-0000-2100-000078000000}"/>
    <hyperlink ref="D23" r:id="rId122" display="https://www.linkedin.com/learning/managing-generation-z?trk=ondemandfile" xr:uid="{00000000-0004-0000-2100-000079000000}"/>
    <hyperlink ref="N23" r:id="rId123" display="https://www.linkedin.com/learning/diversidad-e-inclusion-en-empresas-globales?trk=ondemandfile" xr:uid="{00000000-0004-0000-2100-00007A000000}"/>
    <hyperlink ref="S23" r:id="rId124" display="https://www.linkedin.com/learning/werteorientiertes-management?trk=ondemandfile" xr:uid="{00000000-0004-0000-2100-00007B000000}"/>
    <hyperlink ref="X23" r:id="rId125" display="https://www.linkedin.com/learning/driving-change-and-anti-racism-14252577?trk=ondemandfile" xr:uid="{00000000-0004-0000-2100-00007C000000}"/>
    <hyperlink ref="D24" r:id="rId126" display="https://www.linkedin.com/learning/leading-inclusive-teams?trk=ondemandfile" xr:uid="{00000000-0004-0000-2100-00007D000000}"/>
    <hyperlink ref="N24" r:id="rId127" display="https://www.linkedin.com/learning/diversidad-inclusion-y-pertenencia?trk=ondemandfile" xr:uid="{00000000-0004-0000-2100-00007E000000}"/>
    <hyperlink ref="S24" r:id="rId128" display="https://www.linkedin.com/learning/wertschatzende-kommunikation-trotz-unterschieden-erfolgreich-kommunizieren?trk=contentmappingfile" xr:uid="{00000000-0004-0000-2100-00007F000000}"/>
    <hyperlink ref="X24" r:id="rId129" display="https://www.linkedin.com/learning/bystander-training-from-bystander-to-upstander-9242703?trk=contentmappingfile" xr:uid="{00000000-0004-0000-2100-000080000000}"/>
    <hyperlink ref="D25" r:id="rId130" display="https://www.linkedin.com/learning/managing-a-diverse-team?trk=ondemandfile" xr:uid="{00000000-0004-0000-2100-000081000000}"/>
    <hyperlink ref="N25" r:id="rId131" display="https://www.linkedin.com/learning/estrategias-exitosas-para-mujeres-en-el-ambiente-de-trabajo?trk=ondemandfile" xr:uid="{00000000-0004-0000-2100-000082000000}"/>
    <hyperlink ref="AC25" r:id="rId132" display="https://www.linkedin.com/learning/kwame-christian-responde-sobre-como-abordar-assuntos-raciais?trk=contentmappingfile" xr:uid="{00000000-0004-0000-2100-000083000000}"/>
    <hyperlink ref="D26" r:id="rId133" display="https://www.linkedin.com/learning/igniting-emotional-engagement?trk=ondemandfile" xr:uid="{00000000-0004-0000-2100-000084000000}"/>
    <hyperlink ref="I26" r:id="rId134" display="https://www.linkedin.com/learning/manager-en-environnement-multiculturel?trk=ondemandfile" xr:uid="{00000000-0004-0000-2100-000085000000}"/>
    <hyperlink ref="N26" r:id="rId135" display="https://www.linkedin.com/learning/habilidades-de-conversacion-inclusiva?trk=ondemandfile" xr:uid="{00000000-0004-0000-2100-000086000000}"/>
    <hyperlink ref="D27" r:id="rId136" display="https://www.linkedin.com/learning/hiring-and-supporting-neurodiversity-in-the-workplace?trk=ondemandfile" xr:uid="{00000000-0004-0000-2100-000087000000}"/>
    <hyperlink ref="N27" r:id="rId137" display="https://www.linkedin.com/learning/integrar-personas-con-diversidad-funcional-en-la-empresa?trk=contentmappingfile" xr:uid="{00000000-0004-0000-2100-000088000000}"/>
    <hyperlink ref="D28" r:id="rId138" display="https://www.linkedin.com/learning/a-manager-s-guide-to-inclusive-teams?trk=ondemandfile" xr:uid="{00000000-0004-0000-2100-000089000000}"/>
    <hyperlink ref="N28" r:id="rId139" display="https://www.linkedin.com/learning/involucrate-en-lo-que-sucede-a-tu-alrededor-de-espectador-a-protagonista?trk=ondemandfile" xr:uid="{00000000-0004-0000-2100-00008A000000}"/>
    <hyperlink ref="AC28" r:id="rId140" display="https://www.linkedin.com/learning/lideranca-global-como-gerenciar-a-complexidade-e-a-diversidade?trk=contentmappingfile" xr:uid="{00000000-0004-0000-2100-00008B000000}"/>
    <hyperlink ref="D29" r:id="rId141" display="https://www.linkedin.com/learning/empowering-bipoc-through-mentorship?trk=ondemandfile" xr:uid="{00000000-0004-0000-2100-00008C000000}"/>
    <hyperlink ref="N29" r:id="rId142" display="https://www.linkedin.com/learning/00-jeff-weiner-on-establishing-a-culture-and-a-plan-for-scaling?trk=ondemandfile" xr:uid="{00000000-0004-0000-2100-00008D000000}"/>
    <hyperlink ref="D30" r:id="rId143" display="https://www.linkedin.com/learning/inclusive-selling-selling-across-culture-race-and-gender-differences?trk=ondemandfile" xr:uid="{00000000-0004-0000-2100-00008E000000}"/>
    <hyperlink ref="N30" r:id="rId144" display="https://www.linkedin.com/learning/business-ethics-3?trk=ondemandfile" xr:uid="{00000000-0004-0000-2100-00008F000000}"/>
    <hyperlink ref="AC30" r:id="rId145" display="https://www.linkedin.com/learning/mulheres-na-lideranca-como-impulsionar-a-equidade-nas-organizacoes?trk=contentmappingfile" xr:uid="{00000000-0004-0000-2100-000090000000}"/>
    <hyperlink ref="D31" r:id="rId146" display="https://www.linkedin.com/learning/creating-inclusive-learning-experiences?trk=ondemandfile" xr:uid="{00000000-0004-0000-2100-000091000000}"/>
    <hyperlink ref="I31" r:id="rId147" display="https://www.linkedin.com/learning/promouvoir-la-neurodiversite-au-travail?trk=contentmappingfile" xr:uid="{00000000-0004-0000-2100-000092000000}"/>
    <hyperlink ref="N31" r:id="rId148" display="https://www.linkedin.com/learning/la-importancia-del-lenguaje-inclusivo?trk=ondemandfile" xr:uid="{00000000-0004-0000-2100-000093000000}"/>
    <hyperlink ref="D32" r:id="rId149" display="https://www.linkedin.com/learning/how-to-speak-up-against-racism-at-work?trk=ondemandfile" xr:uid="{00000000-0004-0000-2100-000094000000}"/>
    <hyperlink ref="I32" r:id="rId150" display="https://www.linkedin.com/learning/recruter-en-pensant-a-la-diversite?trk=contentmappingfile" xr:uid="{00000000-0004-0000-2100-000095000000}"/>
    <hyperlink ref="N32" r:id="rId151" display="https://www.linkedin.com/learning/la-salud-tu-mejor-talento?trk=ondemandfile" xr:uid="{00000000-0004-0000-2100-000096000000}"/>
    <hyperlink ref="D33" r:id="rId152" display="https://www.linkedin.com/learning/how-to-foster-antiracist-workplaces-a-practical-guide-for-all-employees?trk=ondemandfile" xr:uid="{00000000-0004-0000-2100-000097000000}"/>
    <hyperlink ref="N33" r:id="rId153" display="https://www.linkedin.com/learning/liderazgo-inclusivo?trk=ondemandfile" xr:uid="{00000000-0004-0000-2100-000098000000}"/>
    <hyperlink ref="D34" r:id="rId154" display="https://www.linkedin.com/learning/a-guide-to-ergs-employee-resource-groups?trk=ondemandfile" xr:uid="{00000000-0004-0000-2100-000099000000}"/>
    <hyperlink ref="I34" r:id="rId155" display="https://www.linkedin.com/learning/s-exprimer-contre-les-discriminations-au-travail?trk=contentmappingfile" xr:uid="{00000000-0004-0000-2100-00009A000000}"/>
    <hyperlink ref="N34" r:id="rId156" display="https://www.linkedin.com/learning/executive-presence-for-women-2?trk=ondemandfile" xr:uid="{00000000-0004-0000-2100-00009B000000}"/>
    <hyperlink ref="D35" r:id="rId157" display="https://www.linkedin.com/learning/diversity-and-inclusion-in-a-global-enterprise?trk=ondemandfile" xr:uid="{00000000-0004-0000-2100-00009C000000}"/>
    <hyperlink ref="N35" r:id="rId158" display="https://www.linkedin.com/learning/presencia-ejecutiva-sugerencias-para-las-mujeres?trk=ondemandfile" xr:uid="{00000000-0004-0000-2100-00009D000000}"/>
    <hyperlink ref="D36" r:id="rId159" display="https://www.linkedin.com/learning/leveraging-neuroscience-for-business-impact?trk=ondemandfile" xr:uid="{00000000-0004-0000-2100-00009E000000}"/>
    <hyperlink ref="D37" r:id="rId160" display="https://www.linkedin.com/learning/creating-a-great-place-to-work-for-all?trk=ondemandfile" xr:uid="{00000000-0004-0000-2100-00009F000000}"/>
    <hyperlink ref="D38" r:id="rId161" display="https://www.linkedin.com/learning/out-and-proud-approaching-lgbt-issues-in-the-workplace?trk=ondemandfile" xr:uid="{00000000-0004-0000-2100-0000A0000000}"/>
    <hyperlink ref="D39" r:id="rId162" display="https://www.linkedin.com/learning/diversity-inclusion-and-belonging-2?trk=ondemandfile" xr:uid="{00000000-0004-0000-2100-0000A1000000}"/>
    <hyperlink ref="D40" r:id="rId163" display="https://www.linkedin.com/learning/teaching-civility-in-the-workplace?trk=ondemandfile" xr:uid="{00000000-0004-0000-2100-0000A2000000}"/>
    <hyperlink ref="D41" r:id="rId164" display="https://www.linkedin.com/learning/women-transforming-tech-round-table-discussion?trk=ondemandfile" xr:uid="{00000000-0004-0000-2100-0000A3000000}"/>
    <hyperlink ref="D42" r:id="rId165" display="https://www.linkedin.com/learning/women-transforming-tech-breaking-bias-2?trk=ondemandfile" xr:uid="{00000000-0004-0000-2100-0000A4000000}"/>
    <hyperlink ref="D43" r:id="rId166" display="https://www.linkedin.com/learning/teaching-with-linkedin-learning?trk=ondemandfile" xr:uid="{00000000-0004-0000-2100-0000A5000000}"/>
    <hyperlink ref="D44" r:id="rId167" display="https://www.linkedin.com/learning/marketing-to-diverse-audiences?trk=ondemandfile" xr:uid="{00000000-0004-0000-2100-0000A6000000}"/>
    <hyperlink ref="D45" r:id="rId168" display="https://www.linkedin.com/learning/overcoming-imposter-syndrome?trk=ondemandfile" xr:uid="{00000000-0004-0000-2100-0000A7000000}"/>
    <hyperlink ref="D46" r:id="rId169" display="https://www.linkedin.com/learning/women-transforming-tech-building-your-brand?trk=ondemandfile" xr:uid="{00000000-0004-0000-2100-0000A8000000}"/>
    <hyperlink ref="D47" r:id="rId170" display="https://www.linkedin.com/learning/women-transforming-tech-finding-a-mentor?trk=ondemandfile" xr:uid="{00000000-0004-0000-2100-0000A9000000}"/>
    <hyperlink ref="D48" r:id="rId171" display="https://www.linkedin.com/learning/women-transforming-tech-breaking-in-and-staying-in-the-industry?trk=ondemandfile" xr:uid="{00000000-0004-0000-2100-0000AA000000}"/>
    <hyperlink ref="D49" r:id="rId172" display="https://www.linkedin.com/learning/women-transforming-tech-networking?trk=ondemandfile" xr:uid="{00000000-0004-0000-2100-0000AB000000}"/>
    <hyperlink ref="D50" r:id="rId173" display="https://www.linkedin.com/learning/finding-and-doing-the-one-thing?trk=ondemandfile" xr:uid="{00000000-0004-0000-2100-0000AC000000}"/>
    <hyperlink ref="D51" r:id="rId174" display="https://www.linkedin.com/learning/collaborating-with-your-millennial-manager?trk=ondemandfile" xr:uid="{00000000-0004-0000-2100-0000AD000000}"/>
    <hyperlink ref="D52" r:id="rId175" display="https://www.linkedin.com/learning/inclusion-during-difficult-times?trk=ondemandfile" xr:uid="{00000000-0004-0000-2100-0000AE000000}"/>
    <hyperlink ref="D53" r:id="rId176" display="https://www.linkedin.com/learning/own-it-the-power-of-women-at-work?trk=ondemandfile" xr:uid="{00000000-0004-0000-2100-0000AF000000}"/>
    <hyperlink ref="D54" r:id="rId177" display="https://www.linkedin.com/learning/allyship-for-all?trk=ondemandfile" xr:uid="{00000000-0004-0000-2100-0000B0000000}"/>
    <hyperlink ref="D55" r:id="rId178" display="https://www.linkedin.com/learning/inclusive-communication?trk=ondemandfile" xr:uid="{00000000-0004-0000-2100-0000B1000000}"/>
    <hyperlink ref="D56" r:id="rId179" display="https://www.linkedin.com/learning/empathy-in-business-design-for-success?trk=ondemandfile" xr:uid="{00000000-0004-0000-2100-0000B2000000}"/>
    <hyperlink ref="D57" r:id="rId180" display="https://www.linkedin.com/learning/the-power-of-introverts?trk=ondemandfile" xr:uid="{00000000-0004-0000-2100-0000B3000000}"/>
    <hyperlink ref="D58" r:id="rId181" display="https://www.linkedin.com/learning/the-science-of-compassion-an-introduction?trk=ondemandfile" xr:uid="{00000000-0004-0000-2100-0000B4000000}"/>
    <hyperlink ref="D59" r:id="rId182" display="https://www.linkedin.com/learning/the-science-of-compassion-the-upward-spiral-of-compassion?trk=ondemandfile" xr:uid="{00000000-0004-0000-2100-0000B5000000}"/>
    <hyperlink ref="D60" r:id="rId183" display="https://www.linkedin.com/learning/al-empire-course-03?trk=ondemandfile" xr:uid="{00000000-0004-0000-2100-0000B6000000}"/>
    <hyperlink ref="D61" r:id="rId184" display="https://www.linkedin.com/learning/al-empire-course-04?trk=ondemandfile" xr:uid="{00000000-0004-0000-2100-0000B7000000}"/>
    <hyperlink ref="D62" r:id="rId185" display="https://www.linkedin.com/learning/esl-for-business-multinational-communication-in-the-workplace?trk=ondemandfile" xr:uid="{00000000-0004-0000-2100-0000B8000000}"/>
    <hyperlink ref="D63" r:id="rId186" display="https://www.linkedin.com/learning/unconscious-bias?trk=ondemandfile" xr:uid="{00000000-0004-0000-2100-0000B9000000}"/>
    <hyperlink ref="D64" r:id="rId187" display="https://www.linkedin.com/learning/connecting-engagement-and-inclusion-to-a-culture-of-performance?trk=ondemandfile" xr:uid="{00000000-0004-0000-2100-0000BA000000}"/>
    <hyperlink ref="D65" r:id="rId188" display="https://www.linkedin.com/learning/branding-your-authentic-self?trk=ondemandfile" xr:uid="{00000000-0004-0000-2100-0000BB000000}"/>
    <hyperlink ref="D66" r:id="rId189" display="https://www.linkedin.com/learning/the-value-of-employee-resource-groups?trk=ondemandfile" xr:uid="{00000000-0004-0000-2100-0000BC000000}"/>
    <hyperlink ref="D67" r:id="rId190" display="https://www.linkedin.com/learning/emotional-intelligence-as-an-inclusivity-booster?trk=ondemandfile" xr:uid="{00000000-0004-0000-2100-0000BD000000}"/>
    <hyperlink ref="D68" r:id="rId191" display="https://www.linkedin.com/learning/mentorship-sponsorship-and-lifting-others-as-you-climb?trk=ondemandfile" xr:uid="{00000000-0004-0000-2100-0000BE000000}"/>
    <hyperlink ref="D69" r:id="rId192" display="https://www.linkedin.com/learning/mindfulness-diversity-and-the-quest-for-inclusion?trk=ondemandfile" xr:uid="{00000000-0004-0000-2100-0000BF000000}"/>
    <hyperlink ref="D70" r:id="rId193" display="https://www.linkedin.com/learning/talking-boldly-when-inclusion-meets-politics-at-the-office?trk=ondemandfile" xr:uid="{00000000-0004-0000-2100-0000C0000000}"/>
    <hyperlink ref="D71" r:id="rId194" display="https://www.linkedin.com/learning/building-inclusive-work-communities?trk=ondemandfile" xr:uid="{00000000-0004-0000-2100-0000C1000000}"/>
    <hyperlink ref="D72" r:id="rId195" display="https://www.linkedin.com/learning/developing-your-authentic-self-to-ignite-change?trk=ondemandfile" xr:uid="{00000000-0004-0000-2100-0000C2000000}"/>
    <hyperlink ref="D73" r:id="rId196" display="https://www.linkedin.com/learning/how-to-succeed-as-a-latina-in-a-global-work-environment?trk=ondemandfile" xr:uid="{00000000-0004-0000-2100-0000C3000000}"/>
    <hyperlink ref="D74" r:id="rId197" display="https://www.linkedin.com/learning/fair-and-effective-interviewing-for-diversity-and-inclusion?trk=ondemandfile" xr:uid="{00000000-0004-0000-2100-0000C4000000}"/>
    <hyperlink ref="D75" r:id="rId198" display="https://www.linkedin.com/learning/diversity-and-inclusion-in-marketing-inclusive-language-for-marketers?trk=ondemandfile" xr:uid="{00000000-0004-0000-2100-0000C5000000}"/>
    <hyperlink ref="D76" r:id="rId199" display="https://www.linkedin.com/learning/creating-safe-spaces-for-tough-conversations-at-work?trk=contentmappingfile" xr:uid="{00000000-0004-0000-2100-0000C6000000}"/>
    <hyperlink ref="D77" r:id="rId200" display="https://www.linkedin.com/learning/strategies-to-foster-inclusive-language-at-work?trk=contentmappingfile" xr:uid="{00000000-0004-0000-2100-0000C7000000}"/>
    <hyperlink ref="D78" r:id="rId201" display="https://www.linkedin.com/learning/gender-in-negotiation?trk=ondemandfile" xr:uid="{00000000-0004-0000-2100-0000C8000000}"/>
    <hyperlink ref="D79" r:id="rId202" display="https://www.linkedin.com/learning/proven-success-strategies-for-women-at-work?trk=ondemandfile" xr:uid="{00000000-0004-0000-2100-0000C9000000}"/>
    <hyperlink ref="D80" r:id="rId203" display="https://www.linkedin.com/learning/how-to-be-a-good-mentee?trk=ondemandfile" xr:uid="{00000000-0004-0000-2100-0000CA000000}"/>
    <hyperlink ref="D81" r:id="rId204" display="https://www.linkedin.com/learning/preparing-to-lead-developing-mental-toughness-in-yourself?trk=ondemandfile" xr:uid="{00000000-0004-0000-2100-0000CB000000}"/>
    <hyperlink ref="D82" r:id="rId205" display="https://www.linkedin.com/learning/communicating-about-culturally-sensitive-issues?trk=ondemandfile" xr:uid="{00000000-0004-0000-2100-0000CC000000}"/>
    <hyperlink ref="D83" r:id="rId206" display="https://www.linkedin.com/learning/understanding-and-supporting-asian-employees?trk=ondemandfile" xr:uid="{00000000-0004-0000-2100-0000CD000000}"/>
    <hyperlink ref="D84" r:id="rId207" display="https://www.linkedin.com/learning/communicating-across-cultures-2?trk=ondemandfile" xr:uid="{00000000-0004-0000-2100-0000CE000000}"/>
    <hyperlink ref="D85" r:id="rId208" display="https://www.linkedin.com/learning/confronting-bias-thriving-across-our-differences?trk=ondemandfile" xr:uid="{00000000-0004-0000-2100-0000CF000000}"/>
    <hyperlink ref="D86" r:id="rId209" display="https://www.linkedin.com/learning/creating-change-diversity-and-inclusion-in-the-tech-industry?trk=ondemandfile" xr:uid="{00000000-0004-0000-2100-0000D0000000}"/>
    <hyperlink ref="D87" r:id="rId210" display="https://www.linkedin.com/learning/developing-cross-cultural-intelligence?trk=ondemandfile" xr:uid="{00000000-0004-0000-2100-0000D1000000}"/>
    <hyperlink ref="D88" r:id="rId211" display="https://www.linkedin.com/learning/esl-for-business-social-interactions-for-multinational-teams?trk=ondemandfile" xr:uid="{00000000-0004-0000-2100-0000D2000000}"/>
    <hyperlink ref="D89" r:id="rId212" display="https://www.linkedin.com/learning/cultivating-cultural-competence-and-inclusion?trk=ondemandfile" xr:uid="{00000000-0004-0000-2100-0000D3000000}"/>
    <hyperlink ref="D90" r:id="rId213" display="https://www.linkedin.com/learning/50-ways-to-fight-bias?trk=ondemandfile" xr:uid="{00000000-0004-0000-2100-0000D4000000}"/>
    <hyperlink ref="D91" r:id="rId214" display="https://www.linkedin.com/learning/negotiating-power-and-preventing-harassment?trk=ondemandfile" xr:uid="{00000000-0004-0000-2100-0000D5000000}"/>
    <hyperlink ref="D92" r:id="rId215" display="https://www.linkedin.com/learning/having-bold-and-inclusive-conversations?trk=ondemandfile" xr:uid="{00000000-0004-0000-2100-0000D6000000}"/>
    <hyperlink ref="D93" r:id="rId216" display="https://www.linkedin.com/learning/leadership-in-tech?trk=ondemandfile" xr:uid="{00000000-0004-0000-2100-0000D7000000}"/>
    <hyperlink ref="D94" r:id="rId217" display="https://www.linkedin.com/learning/awakening-compassion-at-work-blinkist-summary?trk=ondemandfile" xr:uid="{00000000-0004-0000-2100-0000D8000000}"/>
    <hyperlink ref="D95" r:id="rId218" display="https://www.linkedin.com/learning/driving-change-and-anti-racism?trk=ondemandfile" xr:uid="{00000000-0004-0000-2100-0000D9000000}"/>
    <hyperlink ref="D96" r:id="rId219" display="https://www.linkedin.com/learning/difficult-conversations-talking-about-race-at-work?trk=ondemandfile" xr:uid="{00000000-0004-0000-2100-0000DA000000}"/>
    <hyperlink ref="D97" r:id="rId220" display="https://www.linkedin.com/learning/just-ask-kwame-christian-on-discussing-race?trk=ondemandfile" xr:uid="{00000000-0004-0000-2100-0000DB000000}"/>
    <hyperlink ref="D98" r:id="rId221" display="https://www.linkedin.com/learning/color-and-cultural-connections?trk=ondemandfile" xr:uid="{00000000-0004-0000-2100-0000DC000000}"/>
    <hyperlink ref="D99" r:id="rId222" display="https://www.linkedin.com/learning/becoming-a-male-ally-at-work?trk=ondemandfile" xr:uid="{00000000-0004-0000-2100-0000DD000000}"/>
    <hyperlink ref="D100" r:id="rId223" display="https://www.linkedin.com/learning/john-maeda-on-design-business-and-inclusion?trk=ondemandfile" xr:uid="{00000000-0004-0000-2100-0000DE000000}"/>
    <hyperlink ref="D101" r:id="rId224" display="https://www.linkedin.com/learning/shane-snow-on-dream-teams?trk=ondemandfile" xr:uid="{00000000-0004-0000-2100-0000DF000000}"/>
    <hyperlink ref="D102" r:id="rId225" display="https://www.linkedin.com/learning/speaking-up-at-work?trk=ondemandfile" xr:uid="{00000000-0004-0000-2100-0000E0000000}"/>
    <hyperlink ref="D103" r:id="rId226" display="https://www.linkedin.com/learning/bystander-training-from-bystander-to-upstander?trk=ondemandfile" xr:uid="{00000000-0004-0000-2100-0000E1000000}"/>
    <hyperlink ref="D104" r:id="rId227" display="https://www.linkedin.com/learning/how-to-be-more-inclusive?trk=ondemandfile" xr:uid="{00000000-0004-0000-2100-0000E2000000}"/>
    <hyperlink ref="D105" r:id="rId228" display="https://www.linkedin.com/learning/digital-accessibility-for-the-modern-workplace-with-audio-descriptions?trk=ondemandfile" xr:uid="{00000000-0004-0000-2100-0000E3000000}"/>
    <hyperlink ref="D106" r:id="rId229" display="https://www.linkedin.com/learning/succeeding-as-an-lgbt-professional?trk=ondemandfile" xr:uid="{00000000-0004-0000-2100-0000E4000000}"/>
    <hyperlink ref="D107" r:id="rId230" display="https://www.linkedin.com/learning/discussing-racism-with-dr-christina-greer?trk=ondemandfile" xr:uid="{00000000-0004-0000-2100-0000E5000000}"/>
    <hyperlink ref="D108" r:id="rId231" display="https://www.linkedin.com/learning/becoming-an-ally-to-all?trk=ondemandfile" xr:uid="{00000000-0004-0000-2100-0000E6000000}"/>
    <hyperlink ref="D109" r:id="rId232" display="https://www.linkedin.com/learning/architectural-design-the-we-way-for-workplace-inclusivity?trk=ondemandfile" xr:uid="{00000000-0004-0000-2100-0000E7000000}"/>
    <hyperlink ref="D110" r:id="rId233" display="https://www.linkedin.com/learning/building-a-more-authentic-workplace?trk=ondemandfile" xr:uid="{00000000-0004-0000-2100-0000E8000000}"/>
    <hyperlink ref="D111" r:id="rId234" display="https://www.linkedin.com/learning/reshuffle-a-special-series-on-the-new-world-of-work?trk=ondemandfile" xr:uid="{00000000-0004-0000-2100-0000E9000000}"/>
    <hyperlink ref="D112" r:id="rId235" display="https://www.linkedin.com/learning/communicating-across-cultures-virtually?trk=ondemandfile" xr:uid="{00000000-0004-0000-2100-0000EA000000}"/>
    <hyperlink ref="D113" r:id="rId236" display="https://www.linkedin.com/learning/unlocking-authentic-communication-in-a-culturally-diverse-workplace?trk=ondemandfile" xr:uid="{00000000-0004-0000-2100-0000EB000000}"/>
    <hyperlink ref="D114" r:id="rId237" display="https://www.linkedin.com/learning/success-strategies-for-women-in-the-workplace?trk=ondemandfile" xr:uid="{00000000-0004-0000-2100-0000EC000000}"/>
    <hyperlink ref="D115" r:id="rId238" display="https://www.linkedin.com/learning/creating-a-connection-culture?trk=ondemandfile" xr:uid="{00000000-0004-0000-2100-0000ED000000}"/>
    <hyperlink ref="D116" r:id="rId239" display="https://www.linkedin.com/learning/fostering-belonging-as-a-leader?trk=ondemandfile" xr:uid="{00000000-0004-0000-2100-0000EE000000}"/>
    <hyperlink ref="D117" r:id="rId240" display="https://www.linkedin.com/learning/leadership-strategies-for-women?trk=ondemandfile" xr:uid="{00000000-0004-0000-2100-0000EF000000}"/>
    <hyperlink ref="D118" r:id="rId241" display="https://www.linkedin.com/learning/recruiting-veterans?trk=ondemandfile" xr:uid="{00000000-0004-0000-2100-0000F0000000}"/>
    <hyperlink ref="D119" r:id="rId242" display="https://www.linkedin.com/learning/empathy-at-work?trk=ondemandfile" xr:uid="{00000000-0004-0000-2100-0000F1000000}"/>
    <hyperlink ref="D120" r:id="rId243" display="https://www.linkedin.com/learning/uncovering-unconscious-bias-in-recruiting-and-interviewing?trk=ondemandfile" xr:uid="{00000000-0004-0000-2100-0000F2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Click and enter a value from range 'Competency Titles'!A1:A27" xr:uid="{00000000-0002-0000-2100-000000000000}">
          <x14:formula1>
            <xm:f>#REF!</xm:f>
          </x14:formula1>
          <xm:sqref>B1</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900FF"/>
    <outlinePr summaryBelow="0" summaryRight="0"/>
  </sheetPr>
  <dimension ref="A1:AJ99"/>
  <sheetViews>
    <sheetView showGridLines="0" workbookViewId="0">
      <pane ySplit="3" topLeftCell="A4" activePane="bottomLeft" state="frozen"/>
      <selection pane="bottomLeft" sqref="A1:XFD1048576"/>
    </sheetView>
  </sheetViews>
  <sheetFormatPr baseColWidth="10" defaultColWidth="11.1640625" defaultRowHeight="15" customHeight="1"/>
  <cols>
    <col min="1" max="1" width="1.1640625" customWidth="1"/>
    <col min="2" max="2" width="11.1640625" customWidth="1"/>
    <col min="3" max="3" width="18.5" customWidth="1"/>
    <col min="4" max="5" width="44.5" customWidth="1"/>
    <col min="6" max="6" width="1.1640625" customWidth="1"/>
    <col min="7" max="7" width="11.1640625" customWidth="1"/>
    <col min="8" max="8" width="19.33203125" customWidth="1"/>
    <col min="9" max="10" width="44.5" customWidth="1"/>
    <col min="11" max="11" width="1.1640625" customWidth="1"/>
    <col min="12" max="12" width="11.1640625" customWidth="1"/>
    <col min="13" max="13" width="20.83203125" customWidth="1"/>
    <col min="14" max="15" width="44.5" customWidth="1"/>
    <col min="16" max="16" width="1.1640625" customWidth="1"/>
    <col min="17" max="17" width="11.1640625" customWidth="1"/>
    <col min="18" max="18" width="19.6640625" customWidth="1"/>
    <col min="19" max="20" width="44.5" customWidth="1"/>
    <col min="21" max="21" width="1.1640625" customWidth="1"/>
    <col min="23" max="23" width="18.6640625" customWidth="1"/>
    <col min="24" max="25" width="44.5" customWidth="1"/>
    <col min="26" max="26" width="1.1640625" customWidth="1"/>
    <col min="27" max="27" width="11.1640625" customWidth="1"/>
    <col min="28" max="28" width="26.6640625" customWidth="1"/>
    <col min="29" max="30" width="44.5" customWidth="1"/>
    <col min="31" max="31" width="1.1640625" customWidth="1"/>
    <col min="32" max="32" width="11.1640625" customWidth="1"/>
    <col min="33" max="33" width="21" customWidth="1"/>
    <col min="34" max="35" width="44.5" customWidth="1"/>
    <col min="36" max="36" width="1.1640625" customWidth="1"/>
  </cols>
  <sheetData>
    <row r="1" spans="1:36" ht="34.5" customHeight="1">
      <c r="A1" s="208"/>
      <c r="B1" s="230" t="s">
        <v>24</v>
      </c>
      <c r="C1" s="222"/>
      <c r="D1" s="222"/>
      <c r="E1" s="222"/>
      <c r="F1" s="208"/>
      <c r="G1" s="230" t="str">
        <f ca="1">IFERROR(__xludf.DUMMYFUNCTION("IFERROR(UNIQUE(FILTER(French!B:B,French!A:A=B1)))"),"Compétences rédactionnelles")</f>
        <v>Compétences rédactionnelles</v>
      </c>
      <c r="H1" s="222"/>
      <c r="I1" s="222"/>
      <c r="J1" s="222"/>
      <c r="K1" s="208"/>
      <c r="L1" s="230" t="str">
        <f ca="1">IFERROR(__xludf.DUMMYFUNCTION("IFERROR((UNIQUE(FILTER(Spanish!B:B,Spanish!A:A=B1))))"),"Habilidades y competencias de escritura")</f>
        <v>Habilidades y competencias de escritura</v>
      </c>
      <c r="M1" s="222"/>
      <c r="N1" s="222"/>
      <c r="O1" s="222"/>
      <c r="P1" s="208"/>
      <c r="Q1" s="230" t="str">
        <f ca="1">IFERROR(__xludf.DUMMYFUNCTION("IFERROR(UNIQUE(FILTER(German!B:B,German!A:A=B1)))"),"Schreibfähigkeiten")</f>
        <v>Schreibfähigkeiten</v>
      </c>
      <c r="R1" s="222"/>
      <c r="S1" s="222"/>
      <c r="T1" s="222"/>
      <c r="U1" s="208"/>
      <c r="V1" s="230" t="str">
        <f ca="1">IFERROR(__xludf.DUMMYFUNCTION("IFERROR(UNIQUE(FILTER(Japanese!B:B,Japanese!A:A=B1)))"),"文章作成スキルと文章力の向上")</f>
        <v>文章作成スキルと文章力の向上</v>
      </c>
      <c r="W1" s="222"/>
      <c r="X1" s="222"/>
      <c r="Y1" s="222"/>
      <c r="Z1" s="208"/>
      <c r="AA1" s="230" t="str">
        <f ca="1">IFERROR(__xludf.DUMMYFUNCTION("IFERROR(UNIQUE(FILTER(Portuguese!B:B,Portuguese!A:A=B1)))"),"Proficiência e competências de escrita")</f>
        <v>Proficiência e competências de escrita</v>
      </c>
      <c r="AB1" s="222"/>
      <c r="AC1" s="222"/>
      <c r="AD1" s="222"/>
      <c r="AE1" s="208"/>
      <c r="AF1" s="230" t="str">
        <f ca="1">IFERROR(__xludf.DUMMYFUNCTION("IFERROR(UNIQUE(FILTER(Mandarin!B:B,Mandarin!A:A=B1)))"),"写作技能")</f>
        <v>写作技能</v>
      </c>
      <c r="AG1" s="222"/>
      <c r="AH1" s="222"/>
      <c r="AI1" s="222"/>
      <c r="AJ1" s="208"/>
    </row>
    <row r="2" spans="1:36" ht="28" customHeight="1">
      <c r="A2" s="209"/>
      <c r="B2" s="234" t="s">
        <v>4713</v>
      </c>
      <c r="C2" s="222"/>
      <c r="D2" s="222"/>
      <c r="E2" s="222"/>
      <c r="F2" s="209"/>
      <c r="G2" s="231" t="s">
        <v>4714</v>
      </c>
      <c r="H2" s="222"/>
      <c r="I2" s="222"/>
      <c r="J2" s="222"/>
      <c r="K2" s="209"/>
      <c r="L2" s="235" t="s">
        <v>4715</v>
      </c>
      <c r="M2" s="222"/>
      <c r="N2" s="222"/>
      <c r="O2" s="222"/>
      <c r="P2" s="209"/>
      <c r="Q2" s="232" t="s">
        <v>4716</v>
      </c>
      <c r="R2" s="222"/>
      <c r="S2" s="222"/>
      <c r="T2" s="222"/>
      <c r="U2" s="209"/>
      <c r="V2" s="236" t="s">
        <v>4717</v>
      </c>
      <c r="W2" s="222"/>
      <c r="X2" s="222"/>
      <c r="Y2" s="222"/>
      <c r="Z2" s="209"/>
      <c r="AA2" s="233" t="s">
        <v>4718</v>
      </c>
      <c r="AB2" s="222"/>
      <c r="AC2" s="222"/>
      <c r="AD2" s="222"/>
      <c r="AE2" s="209"/>
      <c r="AF2" s="237" t="s">
        <v>4719</v>
      </c>
      <c r="AG2" s="222"/>
      <c r="AH2" s="222"/>
      <c r="AI2" s="222"/>
      <c r="AJ2" s="209"/>
    </row>
    <row r="3" spans="1:36" ht="26" customHeight="1">
      <c r="A3" s="210"/>
      <c r="B3" s="211" t="str">
        <f ca="1">IFERROR(__xludf.DUMMYFUNCTION("FILTER(English!B:B,English!A:A=B1)"),"Course IDs")</f>
        <v>Course IDs</v>
      </c>
      <c r="C3" s="211" t="str">
        <f ca="1">IFERROR(__xludf.DUMMYFUNCTION("FILTER(English!C:C,English!A:A=B1)"),"Levels")</f>
        <v>Levels</v>
      </c>
      <c r="D3" s="211" t="str">
        <f ca="1">IFERROR(__xludf.DUMMYFUNCTION("FILTER(English!D:D,English!A:A=B1)"),"Courses")</f>
        <v>Courses</v>
      </c>
      <c r="E3" s="212" t="str">
        <f ca="1">IFERROR(__xludf.DUMMYFUNCTION("FILTER(English!E:E,English!A:A=B1)"),"Learning Paths")</f>
        <v>Learning Paths</v>
      </c>
      <c r="F3" s="210"/>
      <c r="G3" s="211" t="str">
        <f ca="1">IFERROR(__xludf.DUMMYFUNCTION("FILTER(French!C:C,French!B:B=G1)"),"Course IDs")</f>
        <v>Course IDs</v>
      </c>
      <c r="H3" s="211" t="str">
        <f ca="1">IFERROR(__xludf.DUMMYFUNCTION("FILTER(French!D:D,French!B:B=G1)"),"Levels")</f>
        <v>Levels</v>
      </c>
      <c r="I3" s="211" t="str">
        <f ca="1">IFERROR(__xludf.DUMMYFUNCTION("FILTER(French!E:E,French!B:B=G1)"),"Courses")</f>
        <v>Courses</v>
      </c>
      <c r="J3" s="212" t="str">
        <f ca="1">IFERROR(__xludf.DUMMYFUNCTION("FILTER(French!G:G,French!B:B=G1)"),"Learning Paths")</f>
        <v>Learning Paths</v>
      </c>
      <c r="K3" s="210"/>
      <c r="L3" s="211" t="str">
        <f ca="1">IFERROR(__xludf.DUMMYFUNCTION("FILTER(Spanish!C:C,Spanish!B:B=L1)"),"Course IDs")</f>
        <v>Course IDs</v>
      </c>
      <c r="M3" s="211" t="str">
        <f ca="1">IFERROR(__xludf.DUMMYFUNCTION("FILTER(Spanish!D:D,Spanish!B:B=L1)"),"Levels")</f>
        <v>Levels</v>
      </c>
      <c r="N3" s="211" t="str">
        <f ca="1">IFERROR(__xludf.DUMMYFUNCTION("FILTER(Spanish!E:E,Spanish!B:B=L1)"),"Courses")</f>
        <v>Courses</v>
      </c>
      <c r="O3" s="212" t="str">
        <f ca="1">IFERROR(__xludf.DUMMYFUNCTION("FILTER(Spanish!G:G,Spanish!B:B=L1)"),"Learning Paths")</f>
        <v>Learning Paths</v>
      </c>
      <c r="P3" s="210"/>
      <c r="Q3" s="211" t="str">
        <f ca="1">IFERROR(__xludf.DUMMYFUNCTION("FILTER(German!C:C,German!B:B=Q1)"),"Course IDs")</f>
        <v>Course IDs</v>
      </c>
      <c r="R3" s="211" t="str">
        <f ca="1">IFERROR(__xludf.DUMMYFUNCTION("FILTER(German!D:D,German!B:B=Q1)"),"Levels")</f>
        <v>Levels</v>
      </c>
      <c r="S3" s="211" t="str">
        <f ca="1">IFERROR(__xludf.DUMMYFUNCTION("FILTER(German!E:E,German!B:B=Q1)"),"Courses")</f>
        <v>Courses</v>
      </c>
      <c r="T3" s="212" t="str">
        <f ca="1">IFERROR(__xludf.DUMMYFUNCTION("FILTER(German!G:G,German!B:B=Q1)"),"Learning Paths")</f>
        <v>Learning Paths</v>
      </c>
      <c r="U3" s="210"/>
      <c r="V3" s="211" t="str">
        <f ca="1">IFERROR(__xludf.DUMMYFUNCTION("FILTER(Japanese!C:C,Japanese!B:B=V1)"),"Course IDs")</f>
        <v>Course IDs</v>
      </c>
      <c r="W3" s="211" t="str">
        <f ca="1">IFERROR(__xludf.DUMMYFUNCTION("FILTER(Japanese!D:D,Japanese!B:B=V1)"),"Levels")</f>
        <v>Levels</v>
      </c>
      <c r="X3" s="211" t="str">
        <f ca="1">IFERROR(__xludf.DUMMYFUNCTION("FILTER(Japanese!E:E,Japanese!B:B=V1)"),"Courses")</f>
        <v>Courses</v>
      </c>
      <c r="Y3" s="212" t="str">
        <f ca="1">IFERROR(__xludf.DUMMYFUNCTION("FILTER(Japanese!G:G,Japanese!B:B=V1)"),"Learning Paths")</f>
        <v>Learning Paths</v>
      </c>
      <c r="Z3" s="210"/>
      <c r="AA3" s="211" t="str">
        <f ca="1">IFERROR(__xludf.DUMMYFUNCTION("FILTER(Portuguese!C:C,Portuguese!B:B=AA1)"),"Course IDs")</f>
        <v>Course IDs</v>
      </c>
      <c r="AB3" s="211" t="str">
        <f ca="1">IFERROR(__xludf.DUMMYFUNCTION("FILTER(Portuguese!D:D,Portuguese!B:B=AA1)"),"Levels")</f>
        <v>Levels</v>
      </c>
      <c r="AC3" s="211" t="str">
        <f ca="1">IFERROR(__xludf.DUMMYFUNCTION("FILTER(Portuguese!E:E,Portuguese!B:B=AA1)"),"Courses")</f>
        <v>Courses</v>
      </c>
      <c r="AD3" s="212" t="str">
        <f ca="1">IFERROR(__xludf.DUMMYFUNCTION("FILTER(Portuguese!G:G,Portuguese!B:B=AA1)"),"Learning Paths")</f>
        <v>Learning Paths</v>
      </c>
      <c r="AE3" s="210"/>
      <c r="AF3" s="211" t="str">
        <f ca="1">IFERROR(__xludf.DUMMYFUNCTION("FILTER(Mandarin!C:C,Mandarin!B:B=AF1)"),"Course IDs")</f>
        <v>Course IDs</v>
      </c>
      <c r="AG3" s="211" t="str">
        <f ca="1">IFERROR(__xludf.DUMMYFUNCTION("FILTER(Mandarin!D:D,Mandarin!B:B=AF1)"),"Levels")</f>
        <v>Levels</v>
      </c>
      <c r="AH3" s="211" t="str">
        <f ca="1">IFERROR(__xludf.DUMMYFUNCTION("FILTER(Mandarin!E:E,Mandarin!B:B=AF1)"),"Courses")</f>
        <v>Courses</v>
      </c>
      <c r="AI3" s="212" t="str">
        <f ca="1">IFERROR(__xludf.DUMMYFUNCTION("FILTER(Mandarin!G:G,Mandarin!B:B=AF1)"),"Learning Paths")</f>
        <v>Learning Paths</v>
      </c>
      <c r="AJ3" s="210"/>
    </row>
    <row r="4" spans="1:36" ht="33.75" customHeight="1">
      <c r="A4" s="213"/>
      <c r="B4" s="214">
        <f ca="1">IFERROR(__xludf.DUMMYFUNCTION("""COMPUTED_VALUE"""),373556)</f>
        <v>373556</v>
      </c>
      <c r="C4" s="215" t="str">
        <f ca="1">IFERROR(__xludf.DUMMYFUNCTION("""COMPUTED_VALUE"""),"Advanced")</f>
        <v>Advanced</v>
      </c>
      <c r="D4" s="216" t="str">
        <f ca="1">IFERROR(__xludf.DUMMYFUNCTION("""COMPUTED_VALUE"""),"Advanced Grammar")</f>
        <v>Advanced Grammar</v>
      </c>
      <c r="E4" s="217" t="str">
        <f ca="1">IFERROR(__xludf.DUMMYFUNCTION("""COMPUTED_VALUE"""),"Become a Content Strategist")</f>
        <v>Become a Content Strategist</v>
      </c>
      <c r="F4" s="213"/>
      <c r="G4" s="214">
        <f ca="1">IFERROR(__xludf.DUMMYFUNCTION("""COMPUTED_VALUE"""),2431000)</f>
        <v>2431000</v>
      </c>
      <c r="H4" s="215" t="str">
        <f ca="1">IFERROR(__xludf.DUMMYFUNCTION("""COMPUTED_VALUE"""),"All levels")</f>
        <v>All levels</v>
      </c>
      <c r="I4" s="217" t="str">
        <f ca="1">IFERROR(__xludf.DUMMYFUNCTION("""COMPUTED_VALUE"""),"10 conseils pour construire un CV percutant")</f>
        <v>10 conseils pour construire un CV percutant</v>
      </c>
      <c r="J4" s="217" t="str">
        <f ca="1">IFERROR(__xludf.DUMMYFUNCTION("""COMPUTED_VALUE"""),"Maîtriser la grammaire et l'orthographe française")</f>
        <v>Maîtriser la grammaire et l'orthographe française</v>
      </c>
      <c r="K4" s="213"/>
      <c r="L4" s="215">
        <f ca="1">IFERROR(__xludf.DUMMYFUNCTION("""COMPUTED_VALUE"""),2817202)</f>
        <v>2817202</v>
      </c>
      <c r="M4" s="215" t="str">
        <f ca="1">IFERROR(__xludf.DUMMYFUNCTION("""COMPUTED_VALUE"""),"All levels")</f>
        <v>All levels</v>
      </c>
      <c r="N4" s="217" t="str">
        <f ca="1">IFERROR(__xludf.DUMMYFUNCTION("""COMPUTED_VALUE"""),"Aprende a tomar notas en dispositivos digitales")</f>
        <v>Aprende a tomar notas en dispositivos digitales</v>
      </c>
      <c r="O4" s="217" t="str">
        <f ca="1">IFERROR(__xludf.DUMMYFUNCTION("""COMPUTED_VALUE"""),"Conviértete en editor de e-books")</f>
        <v>Conviértete en editor de e-books</v>
      </c>
      <c r="P4" s="213"/>
      <c r="Q4" s="215">
        <f ca="1">IFERROR(__xludf.DUMMYFUNCTION("""COMPUTED_VALUE"""),533419)</f>
        <v>533419</v>
      </c>
      <c r="R4" s="215" t="str">
        <f ca="1">IFERROR(__xludf.DUMMYFUNCTION("""COMPUTED_VALUE"""),"All levels")</f>
        <v>All levels</v>
      </c>
      <c r="S4" s="217" t="str">
        <f ca="1">IFERROR(__xludf.DUMMYFUNCTION("""COMPUTED_VALUE"""),"Berichte schreiben")</f>
        <v>Berichte schreiben</v>
      </c>
      <c r="T4" s="217" t="str">
        <f ca="1">IFERROR(__xludf.DUMMYFUNCTION("""COMPUTED_VALUE"""),"Bessere Texte schreiben")</f>
        <v>Bessere Texte schreiben</v>
      </c>
      <c r="U4" s="213"/>
      <c r="V4" s="215">
        <f ca="1">IFERROR(__xludf.DUMMYFUNCTION("""COMPUTED_VALUE"""),3103025)</f>
        <v>3103025</v>
      </c>
      <c r="W4" s="215" t="str">
        <f ca="1">IFERROR(__xludf.DUMMYFUNCTION("""COMPUTED_VALUE"""),"Beginner")</f>
        <v>Beginner</v>
      </c>
      <c r="X4" s="217" t="str">
        <f ca="1">IFERROR(__xludf.DUMMYFUNCTION("""COMPUTED_VALUE"""),"ビジネスマナーの基礎：ツールとドキュメント")</f>
        <v>ビジネスマナーの基礎：ツールとドキュメント</v>
      </c>
      <c r="Y4" s="217" t="str">
        <f ca="1">IFERROR(__xludf.DUMMYFUNCTION("""COMPUTED_VALUE"""),"N/A")</f>
        <v>N/A</v>
      </c>
      <c r="Z4" s="213"/>
      <c r="AA4" s="215">
        <f ca="1">IFERROR(__xludf.DUMMYFUNCTION("""COMPUTED_VALUE"""),2931604)</f>
        <v>2931604</v>
      </c>
      <c r="AB4" s="215" t="str">
        <f ca="1">IFERROR(__xludf.DUMMYFUNCTION("""COMPUTED_VALUE"""),"Beginner")</f>
        <v>Beginner</v>
      </c>
      <c r="AC4" s="217" t="str">
        <f ca="1">IFERROR(__xludf.DUMMYFUNCTION("""COMPUTED_VALUE"""),"Atendimento ao Cliente: Como Escrever E-mails")</f>
        <v>Atendimento ao Cliente: Como Escrever E-mails</v>
      </c>
      <c r="AD4" s="217"/>
      <c r="AE4" s="213"/>
      <c r="AF4" s="215">
        <f ca="1">IFERROR(__xludf.DUMMYFUNCTION("""COMPUTED_VALUE"""),3055239)</f>
        <v>3055239</v>
      </c>
      <c r="AG4" s="215" t="str">
        <f ca="1">IFERROR(__xludf.DUMMYFUNCTION("""COMPUTED_VALUE"""),"Intermediate")</f>
        <v>Intermediate</v>
      </c>
      <c r="AH4" s="217" t="str">
        <f ca="1">IFERROR(__xludf.DUMMYFUNCTION("""COMPUTED_VALUE"""),"商务英语：电子邮件")</f>
        <v>商务英语：电子邮件</v>
      </c>
      <c r="AI4" s="217" t="str">
        <f ca="1">IFERROR(__xludf.DUMMYFUNCTION("""COMPUTED_VALUE"""),"N/A")</f>
        <v>N/A</v>
      </c>
      <c r="AJ4" s="213"/>
    </row>
    <row r="5" spans="1:36" ht="30">
      <c r="A5" s="213"/>
      <c r="B5" s="214">
        <f ca="1">IFERROR(__xludf.DUMMYFUNCTION("""COMPUTED_VALUE"""),721925)</f>
        <v>721925</v>
      </c>
      <c r="C5" s="215" t="str">
        <f ca="1">IFERROR(__xludf.DUMMYFUNCTION("""COMPUTED_VALUE"""),"Advanced")</f>
        <v>Advanced</v>
      </c>
      <c r="D5" s="216" t="str">
        <f ca="1">IFERROR(__xludf.DUMMYFUNCTION("""COMPUTED_VALUE"""),"Editing Mastery: How to Edit Writing to Perfection")</f>
        <v>Editing Mastery: How to Edit Writing to Perfection</v>
      </c>
      <c r="E5" s="217" t="str">
        <f ca="1">IFERROR(__xludf.DUMMYFUNCTION("""COMPUTED_VALUE"""),"Develop Your Writing Skills ")</f>
        <v xml:space="preserve">Develop Your Writing Skills </v>
      </c>
      <c r="F5" s="213"/>
      <c r="G5" s="214">
        <f ca="1">IFERROR(__xludf.DUMMYFUNCTION("""COMPUTED_VALUE"""),399439)</f>
        <v>399439</v>
      </c>
      <c r="H5" s="215" t="str">
        <f ca="1">IFERROR(__xludf.DUMMYFUNCTION("""COMPUTED_VALUE"""),"All levels")</f>
        <v>All levels</v>
      </c>
      <c r="I5" s="217" t="str">
        <f ca="1">IFERROR(__xludf.DUMMYFUNCTION("""COMPUTED_VALUE"""),"Déjouer les principaux pièges de la langue française")</f>
        <v>Déjouer les principaux pièges de la langue française</v>
      </c>
      <c r="J5" s="217"/>
      <c r="K5" s="213"/>
      <c r="L5" s="215">
        <f ca="1">IFERROR(__xludf.DUMMYFUNCTION("""COMPUTED_VALUE"""),496129)</f>
        <v>496129</v>
      </c>
      <c r="M5" s="215" t="str">
        <f ca="1">IFERROR(__xludf.DUMMYFUNCTION("""COMPUTED_VALUE"""),"All levels")</f>
        <v>All levels</v>
      </c>
      <c r="N5" s="217" t="str">
        <f ca="1">IFERROR(__xludf.DUMMYFUNCTION("""COMPUTED_VALUE"""),"Cómo comunicar de forma efectiva por email")</f>
        <v>Cómo comunicar de forma efectiva por email</v>
      </c>
      <c r="O5" s="217" t="str">
        <f ca="1">IFERROR(__xludf.DUMMYFUNCTION("""COMPUTED_VALUE"""),"Domina el arte del email con Outlook 216")</f>
        <v>Domina el arte del email con Outlook 216</v>
      </c>
      <c r="P5" s="213"/>
      <c r="Q5" s="215">
        <f ca="1">IFERROR(__xludf.DUMMYFUNCTION("""COMPUTED_VALUE"""),3001833)</f>
        <v>3001833</v>
      </c>
      <c r="R5" s="215" t="str">
        <f ca="1">IFERROR(__xludf.DUMMYFUNCTION("""COMPUTED_VALUE"""),"Beginner")</f>
        <v>Beginner</v>
      </c>
      <c r="S5" s="217" t="str">
        <f ca="1">IFERROR(__xludf.DUMMYFUNCTION("""COMPUTED_VALUE"""),"Content Creation: Ihr Redaktionsplan für Blogs und Social Media")</f>
        <v>Content Creation: Ihr Redaktionsplan für Blogs und Social Media</v>
      </c>
      <c r="T5" s="217"/>
      <c r="U5" s="213"/>
      <c r="V5" s="215">
        <f ca="1">IFERROR(__xludf.DUMMYFUNCTION("""COMPUTED_VALUE"""),2874057)</f>
        <v>2874057</v>
      </c>
      <c r="W5" s="215" t="str">
        <f ca="1">IFERROR(__xludf.DUMMYFUNCTION("""COMPUTED_VALUE"""),"Beginner")</f>
        <v>Beginner</v>
      </c>
      <c r="X5" s="217" t="str">
        <f ca="1">IFERROR(__xludf.DUMMYFUNCTION("""COMPUTED_VALUE"""),"ビジネス英語の基礎：メールを作成する")</f>
        <v>ビジネス英語の基礎：メールを作成する</v>
      </c>
      <c r="Y5" s="217"/>
      <c r="Z5" s="213"/>
      <c r="AA5" s="215">
        <f ca="1">IFERROR(__xludf.DUMMYFUNCTION("""COMPUTED_VALUE"""),2458034)</f>
        <v>2458034</v>
      </c>
      <c r="AB5" s="215" t="str">
        <f ca="1">IFERROR(__xludf.DUMMYFUNCTION("""COMPUTED_VALUE"""),"All levels")</f>
        <v>All levels</v>
      </c>
      <c r="AC5" s="217" t="str">
        <f ca="1">IFERROR(__xludf.DUMMYFUNCTION("""COMPUTED_VALUE"""),"Como Escrever Artigos com Maestria")</f>
        <v>Como Escrever Artigos com Maestria</v>
      </c>
      <c r="AD5" s="217"/>
      <c r="AE5" s="213"/>
      <c r="AF5" s="215"/>
      <c r="AG5" s="215"/>
      <c r="AH5" s="217"/>
      <c r="AI5" s="217"/>
      <c r="AJ5" s="213"/>
    </row>
    <row r="6" spans="1:36" ht="45">
      <c r="A6" s="213"/>
      <c r="B6" s="214">
        <f ca="1">IFERROR(__xludf.DUMMYFUNCTION("""COMPUTED_VALUE"""),699320)</f>
        <v>699320</v>
      </c>
      <c r="C6" s="215" t="str">
        <f ca="1">IFERROR(__xludf.DUMMYFUNCTION("""COMPUTED_VALUE"""),"Beginner")</f>
        <v>Beginner</v>
      </c>
      <c r="D6" s="216" t="str">
        <f ca="1">IFERROR(__xludf.DUMMYFUNCTION("""COMPUTED_VALUE"""),"Writing Case Studies")</f>
        <v>Writing Case Studies</v>
      </c>
      <c r="E6" s="217"/>
      <c r="F6" s="213"/>
      <c r="G6" s="214">
        <f ca="1">IFERROR(__xludf.DUMMYFUNCTION("""COMPUTED_VALUE"""),561095)</f>
        <v>561095</v>
      </c>
      <c r="H6" s="215" t="str">
        <f ca="1">IFERROR(__xludf.DUMMYFUNCTION("""COMPUTED_VALUE"""),"All levels")</f>
        <v>All levels</v>
      </c>
      <c r="I6" s="217" t="str">
        <f ca="1">IFERROR(__xludf.DUMMYFUNCTION("""COMPUTED_VALUE"""),"Écrire des e-mails professionnels")</f>
        <v>Écrire des e-mails professionnels</v>
      </c>
      <c r="J6" s="217"/>
      <c r="K6" s="213"/>
      <c r="L6" s="215">
        <f ca="1">IFERROR(__xludf.DUMMYFUNCTION("""COMPUTED_VALUE"""),2924140)</f>
        <v>2924140</v>
      </c>
      <c r="M6" s="215" t="str">
        <f ca="1">IFERROR(__xludf.DUMMYFUNCTION("""COMPUTED_VALUE"""),"All levels")</f>
        <v>All levels</v>
      </c>
      <c r="N6" s="217" t="str">
        <f ca="1">IFERROR(__xludf.DUMMYFUNCTION("""COMPUTED_VALUE"""),"Cómo escribir con eficacia")</f>
        <v>Cómo escribir con eficacia</v>
      </c>
      <c r="O6" s="217" t="str">
        <f ca="1">IFERROR(__xludf.DUMMYFUNCTION("""COMPUTED_VALUE"""),"Profundiza la gestión de documentos digitales con Adobe Acrobat XI")</f>
        <v>Profundiza la gestión de documentos digitales con Adobe Acrobat XI</v>
      </c>
      <c r="P6" s="213"/>
      <c r="Q6" s="215">
        <f ca="1">IFERROR(__xludf.DUMMYFUNCTION("""COMPUTED_VALUE"""),2919496)</f>
        <v>2919496</v>
      </c>
      <c r="R6" s="215" t="str">
        <f ca="1">IFERROR(__xludf.DUMMYFUNCTION("""COMPUTED_VALUE"""),"Beginner, Intermediate")</f>
        <v>Beginner, Intermediate</v>
      </c>
      <c r="S6" s="217" t="str">
        <f ca="1">IFERROR(__xludf.DUMMYFUNCTION("""COMPUTED_VALUE"""),"Corporate Blogs – Grundlagen")</f>
        <v>Corporate Blogs – Grundlagen</v>
      </c>
      <c r="T6" s="217"/>
      <c r="U6" s="213"/>
      <c r="V6" s="215"/>
      <c r="W6" s="215"/>
      <c r="X6" s="217"/>
      <c r="Y6" s="217"/>
      <c r="Z6" s="213"/>
      <c r="AA6" s="215">
        <f ca="1">IFERROR(__xludf.DUMMYFUNCTION("""COMPUTED_VALUE"""),2897031)</f>
        <v>2897031</v>
      </c>
      <c r="AB6" s="215" t="str">
        <f ca="1">IFERROR(__xludf.DUMMYFUNCTION("""COMPUTED_VALUE"""),"Intermediate")</f>
        <v>Intermediate</v>
      </c>
      <c r="AC6" s="217" t="str">
        <f ca="1">IFERROR(__xludf.DUMMYFUNCTION("""COMPUTED_VALUE"""),"Inglês Comercial: Como Escrever E-mails Empresariais Bem-Sucedidos / Business English: Writing successful business emails")</f>
        <v>Inglês Comercial: Como Escrever E-mails Empresariais Bem-Sucedidos / Business English: Writing successful business emails</v>
      </c>
      <c r="AD6" s="217" t="str">
        <f ca="1">IFERROR(__xludf.DUMMYFUNCTION("""COMPUTED_VALUE"""),"N/A")</f>
        <v>N/A</v>
      </c>
      <c r="AE6" s="213"/>
      <c r="AF6" s="215"/>
      <c r="AG6" s="215"/>
      <c r="AH6" s="217"/>
      <c r="AI6" s="217"/>
      <c r="AJ6" s="213"/>
    </row>
    <row r="7" spans="1:36" ht="33.75" customHeight="1">
      <c r="A7" s="213"/>
      <c r="B7" s="214">
        <f ca="1">IFERROR(__xludf.DUMMYFUNCTION("""COMPUTED_VALUE"""),699319)</f>
        <v>699319</v>
      </c>
      <c r="C7" s="215" t="str">
        <f ca="1">IFERROR(__xludf.DUMMYFUNCTION("""COMPUTED_VALUE"""),"Beginner")</f>
        <v>Beginner</v>
      </c>
      <c r="D7" s="216" t="str">
        <f ca="1">IFERROR(__xludf.DUMMYFUNCTION("""COMPUTED_VALUE"""),"Writing White Papers")</f>
        <v>Writing White Papers</v>
      </c>
      <c r="E7" s="217"/>
      <c r="F7" s="213"/>
      <c r="G7" s="214">
        <f ca="1">IFERROR(__xludf.DUMMYFUNCTION("""COMPUTED_VALUE"""),561047)</f>
        <v>561047</v>
      </c>
      <c r="H7" s="215" t="str">
        <f ca="1">IFERROR(__xludf.DUMMYFUNCTION("""COMPUTED_VALUE"""),"Beginner")</f>
        <v>Beginner</v>
      </c>
      <c r="I7" s="217" t="str">
        <f ca="1">IFERROR(__xludf.DUMMYFUNCTION("""COMPUTED_VALUE"""),"Écrire pour le web")</f>
        <v>Écrire pour le web</v>
      </c>
      <c r="J7" s="217"/>
      <c r="K7" s="213"/>
      <c r="L7" s="215">
        <f ca="1">IFERROR(__xludf.DUMMYFUNCTION("""COMPUTED_VALUE"""),2818133)</f>
        <v>2818133</v>
      </c>
      <c r="M7" s="215" t="str">
        <f ca="1">IFERROR(__xludf.DUMMYFUNCTION("""COMPUTED_VALUE"""),"Beginner")</f>
        <v>Beginner</v>
      </c>
      <c r="N7" s="217" t="str">
        <f ca="1">IFERROR(__xludf.DUMMYFUNCTION("""COMPUTED_VALUE"""),"Cómo escribir correos electrónicos de servicio al cliente")</f>
        <v>Cómo escribir correos electrónicos de servicio al cliente</v>
      </c>
      <c r="O7" s="217" t="str">
        <f ca="1">IFERROR(__xludf.DUMMYFUNCTION("""COMPUTED_VALUE"""),"Domina el arte del email con Outlook 216 para Mac")</f>
        <v>Domina el arte del email con Outlook 216 para Mac</v>
      </c>
      <c r="P7" s="213"/>
      <c r="Q7" s="215">
        <f ca="1">IFERROR(__xludf.DUMMYFUNCTION("""COMPUTED_VALUE"""),793649)</f>
        <v>793649</v>
      </c>
      <c r="R7" s="215" t="str">
        <f ca="1">IFERROR(__xludf.DUMMYFUNCTION("""COMPUTED_VALUE"""),"All levels")</f>
        <v>All levels</v>
      </c>
      <c r="S7" s="217" t="str">
        <f ca="1">IFERROR(__xludf.DUMMYFUNCTION("""COMPUTED_VALUE"""),"Deutsch – aber richtig")</f>
        <v>Deutsch – aber richtig</v>
      </c>
      <c r="T7" s="217"/>
      <c r="U7" s="213"/>
      <c r="V7" s="215"/>
      <c r="W7" s="215"/>
      <c r="X7" s="217"/>
      <c r="Y7" s="217"/>
      <c r="Z7" s="213"/>
      <c r="AA7" s="215">
        <f ca="1">IFERROR(__xludf.DUMMYFUNCTION("""COMPUTED_VALUE"""),3152727)</f>
        <v>3152727</v>
      </c>
      <c r="AB7" s="215" t="str">
        <f ca="1">IFERROR(__xludf.DUMMYFUNCTION("""COMPUTED_VALUE"""),"Intermediate")</f>
        <v>Intermediate</v>
      </c>
      <c r="AC7" s="217" t="str">
        <f ca="1">IFERROR(__xludf.DUMMYFUNCTION("""COMPUTED_VALUE"""),"Inglês Comercial: Como Impressionar em Entrevistas de Emprego On-line / Business English: Mastering Your Online Interview")</f>
        <v>Inglês Comercial: Como Impressionar em Entrevistas de Emprego On-line / Business English: Mastering Your Online Interview</v>
      </c>
      <c r="AD7" s="217"/>
      <c r="AE7" s="213"/>
      <c r="AF7" s="215"/>
      <c r="AG7" s="215"/>
      <c r="AH7" s="217"/>
      <c r="AI7" s="217"/>
      <c r="AJ7" s="213"/>
    </row>
    <row r="8" spans="1:36" ht="33.75" customHeight="1">
      <c r="A8" s="213"/>
      <c r="B8" s="214">
        <f ca="1">IFERROR(__xludf.DUMMYFUNCTION("""COMPUTED_VALUE"""),2811710)</f>
        <v>2811710</v>
      </c>
      <c r="C8" s="215" t="str">
        <f ca="1">IFERROR(__xludf.DUMMYFUNCTION("""COMPUTED_VALUE"""),"Beginner")</f>
        <v>Beginner</v>
      </c>
      <c r="D8" s="216" t="str">
        <f ca="1">IFERROR(__xludf.DUMMYFUNCTION("""COMPUTED_VALUE"""),"Grammar Girl’s Quick and Dirty Tips for Better Writing")</f>
        <v>Grammar Girl’s Quick and Dirty Tips for Better Writing</v>
      </c>
      <c r="E8" s="217"/>
      <c r="F8" s="213"/>
      <c r="G8" s="214">
        <f ca="1">IFERROR(__xludf.DUMMYFUNCTION("""COMPUTED_VALUE"""),2885011)</f>
        <v>2885011</v>
      </c>
      <c r="H8" s="215" t="str">
        <f ca="1">IFERROR(__xludf.DUMMYFUNCTION("""COMPUTED_VALUE"""),"Intermediate")</f>
        <v>Intermediate</v>
      </c>
      <c r="I8" s="217" t="str">
        <f ca="1">IFERROR(__xludf.DUMMYFUNCTION("""COMPUTED_VALUE"""),"L'anglais des affaires : Écrire des e-mails professionnels (cours en anglais)")</f>
        <v>L'anglais des affaires : Écrire des e-mails professionnels (cours en anglais)</v>
      </c>
      <c r="J8" s="217"/>
      <c r="K8" s="213"/>
      <c r="L8" s="215">
        <f ca="1">IFERROR(__xludf.DUMMYFUNCTION("""COMPUTED_VALUE"""),680879)</f>
        <v>680879</v>
      </c>
      <c r="M8" s="215" t="str">
        <f ca="1">IFERROR(__xludf.DUMMYFUNCTION("""COMPUTED_VALUE"""),"Beginner, Intermediate")</f>
        <v>Beginner, Intermediate</v>
      </c>
      <c r="N8" s="217" t="str">
        <f ca="1">IFERROR(__xludf.DUMMYFUNCTION("""COMPUTED_VALUE"""),"Fundamentos de dactilografía")</f>
        <v>Fundamentos de dactilografía</v>
      </c>
      <c r="O8" s="217" t="str">
        <f ca="1">IFERROR(__xludf.DUMMYFUNCTION("""COMPUTED_VALUE"""),"Profundiza la gestión de documentos digitales con Adobe Acrobat DC")</f>
        <v>Profundiza la gestión de documentos digitales con Adobe Acrobat DC</v>
      </c>
      <c r="P8" s="213"/>
      <c r="Q8" s="215">
        <f ca="1">IFERROR(__xludf.DUMMYFUNCTION("""COMPUTED_VALUE"""),460323)</f>
        <v>460323</v>
      </c>
      <c r="R8" s="215" t="str">
        <f ca="1">IFERROR(__xludf.DUMMYFUNCTION("""COMPUTED_VALUE"""),"Beginner")</f>
        <v>Beginner</v>
      </c>
      <c r="S8" s="217" t="str">
        <f ca="1">IFERROR(__xludf.DUMMYFUNCTION("""COMPUTED_VALUE"""),"Drehbücher schreiben")</f>
        <v>Drehbücher schreiben</v>
      </c>
      <c r="T8" s="217"/>
      <c r="U8" s="213"/>
      <c r="V8" s="215"/>
      <c r="W8" s="215"/>
      <c r="X8" s="217"/>
      <c r="Y8" s="217"/>
      <c r="Z8" s="213"/>
      <c r="AA8" s="215"/>
      <c r="AB8" s="215"/>
      <c r="AC8" s="217"/>
      <c r="AD8" s="217"/>
      <c r="AE8" s="213"/>
      <c r="AF8" s="215"/>
      <c r="AG8" s="215"/>
      <c r="AH8" s="217"/>
      <c r="AI8" s="217"/>
      <c r="AJ8" s="213"/>
    </row>
    <row r="9" spans="1:36" ht="33.75" customHeight="1">
      <c r="A9" s="213"/>
      <c r="B9" s="214">
        <f ca="1">IFERROR(__xludf.DUMMYFUNCTION("""COMPUTED_VALUE"""),2819138)</f>
        <v>2819138</v>
      </c>
      <c r="C9" s="215" t="str">
        <f ca="1">IFERROR(__xludf.DUMMYFUNCTION("""COMPUTED_VALUE"""),"Beginner")</f>
        <v>Beginner</v>
      </c>
      <c r="D9" s="216" t="str">
        <f ca="1">IFERROR(__xludf.DUMMYFUNCTION("""COMPUTED_VALUE"""),"Tips for Better Business Writing")</f>
        <v>Tips for Better Business Writing</v>
      </c>
      <c r="E9" s="217"/>
      <c r="F9" s="213"/>
      <c r="G9" s="214">
        <f ca="1">IFERROR(__xludf.DUMMYFUNCTION("""COMPUTED_VALUE"""),561028)</f>
        <v>561028</v>
      </c>
      <c r="H9" s="215" t="str">
        <f ca="1">IFERROR(__xludf.DUMMYFUNCTION("""COMPUTED_VALUE"""),"Beginner, Intermediate")</f>
        <v>Beginner, Intermediate</v>
      </c>
      <c r="I9" s="217" t="str">
        <f ca="1">IFERROR(__xludf.DUMMYFUNCTION("""COMPUTED_VALUE"""),"Les fondements de la langue française : La ponctuation")</f>
        <v>Les fondements de la langue française : La ponctuation</v>
      </c>
      <c r="J9" s="217"/>
      <c r="K9" s="213"/>
      <c r="L9" s="215">
        <f ca="1">IFERROR(__xludf.DUMMYFUNCTION("""COMPUTED_VALUE"""),762663)</f>
        <v>762663</v>
      </c>
      <c r="M9" s="215" t="str">
        <f ca="1">IFERROR(__xludf.DUMMYFUNCTION("""COMPUTED_VALUE"""),"Beginner, Intermediate")</f>
        <v>Beginner, Intermediate</v>
      </c>
      <c r="N9" s="217" t="str">
        <f ca="1">IFERROR(__xludf.DUMMYFUNCTION("""COMPUTED_VALUE"""),"Fundamentos de la narrativa o storytelling")</f>
        <v>Fundamentos de la narrativa o storytelling</v>
      </c>
      <c r="O9" s="217"/>
      <c r="P9" s="213"/>
      <c r="Q9" s="215">
        <f ca="1">IFERROR(__xludf.DUMMYFUNCTION("""COMPUTED_VALUE"""),561066)</f>
        <v>561066</v>
      </c>
      <c r="R9" s="215" t="str">
        <f ca="1">IFERROR(__xludf.DUMMYFUNCTION("""COMPUTED_VALUE"""),"Beginner")</f>
        <v>Beginner</v>
      </c>
      <c r="S9" s="217" t="str">
        <f ca="1">IFERROR(__xludf.DUMMYFUNCTION("""COMPUTED_VALUE"""),"Einen Marketingplan schreiben")</f>
        <v>Einen Marketingplan schreiben</v>
      </c>
      <c r="T9" s="217"/>
      <c r="U9" s="213"/>
      <c r="V9" s="215"/>
      <c r="W9" s="215"/>
      <c r="X9" s="217"/>
      <c r="Y9" s="217"/>
      <c r="Z9" s="213"/>
      <c r="AA9" s="215"/>
      <c r="AB9" s="215"/>
      <c r="AC9" s="217"/>
      <c r="AD9" s="217"/>
      <c r="AE9" s="213"/>
      <c r="AF9" s="215"/>
      <c r="AG9" s="215"/>
      <c r="AH9" s="217"/>
      <c r="AI9" s="217"/>
      <c r="AJ9" s="213"/>
    </row>
    <row r="10" spans="1:36" ht="33.75" customHeight="1">
      <c r="A10" s="213"/>
      <c r="B10" s="214">
        <f ca="1">IFERROR(__xludf.DUMMYFUNCTION("""COMPUTED_VALUE"""),2819187)</f>
        <v>2819187</v>
      </c>
      <c r="C10" s="215" t="str">
        <f ca="1">IFERROR(__xludf.DUMMYFUNCTION("""COMPUTED_VALUE"""),"Beginner")</f>
        <v>Beginner</v>
      </c>
      <c r="D10" s="216" t="str">
        <f ca="1">IFERROR(__xludf.DUMMYFUNCTION("""COMPUTED_VALUE"""),"Writing a Marketing Plan")</f>
        <v>Writing a Marketing Plan</v>
      </c>
      <c r="E10" s="217"/>
      <c r="F10" s="213"/>
      <c r="G10" s="214">
        <f ca="1">IFERROR(__xludf.DUMMYFUNCTION("""COMPUTED_VALUE"""),707967)</f>
        <v>707967</v>
      </c>
      <c r="H10" s="215" t="str">
        <f ca="1">IFERROR(__xludf.DUMMYFUNCTION("""COMPUTED_VALUE"""),"Beginner, Intermediate")</f>
        <v>Beginner, Intermediate</v>
      </c>
      <c r="I10" s="217" t="str">
        <f ca="1">IFERROR(__xludf.DUMMYFUNCTION("""COMPUTED_VALUE"""),"Les fondements de l'anglais des affaires : Écrire des e-mails")</f>
        <v>Les fondements de l'anglais des affaires : Écrire des e-mails</v>
      </c>
      <c r="J10" s="217"/>
      <c r="K10" s="213"/>
      <c r="L10" s="215">
        <f ca="1">IFERROR(__xludf.DUMMYFUNCTION("""COMPUTED_VALUE"""),652638)</f>
        <v>652638</v>
      </c>
      <c r="M10" s="215" t="str">
        <f ca="1">IFERROR(__xludf.DUMMYFUNCTION("""COMPUTED_VALUE"""),"Beginner")</f>
        <v>Beginner</v>
      </c>
      <c r="N10" s="217" t="str">
        <f ca="1">IFERROR(__xludf.DUMMYFUNCTION("""COMPUTED_VALUE"""),"Fundamentos de redacción de textos para negocios")</f>
        <v>Fundamentos de redacción de textos para negocios</v>
      </c>
      <c r="O10" s="217"/>
      <c r="P10" s="213"/>
      <c r="Q10" s="215">
        <f ca="1">IFERROR(__xludf.DUMMYFUNCTION("""COMPUTED_VALUE"""),2921212)</f>
        <v>2921212</v>
      </c>
      <c r="R10" s="215" t="str">
        <f ca="1">IFERROR(__xludf.DUMMYFUNCTION("""COMPUTED_VALUE"""),"All levels")</f>
        <v>All levels</v>
      </c>
      <c r="S10" s="217" t="str">
        <f ca="1">IFERROR(__xludf.DUMMYFUNCTION("""COMPUTED_VALUE"""),"Einfach gendern: gendersensible Sprache in der Unternehmenspraxis")</f>
        <v>Einfach gendern: gendersensible Sprache in der Unternehmenspraxis</v>
      </c>
      <c r="T10" s="217"/>
      <c r="U10" s="213"/>
      <c r="V10" s="215"/>
      <c r="W10" s="215"/>
      <c r="X10" s="217"/>
      <c r="Y10" s="217"/>
      <c r="Z10" s="213"/>
      <c r="AA10" s="215"/>
      <c r="AB10" s="215"/>
      <c r="AC10" s="217"/>
      <c r="AD10" s="217"/>
      <c r="AE10" s="213"/>
      <c r="AF10" s="215"/>
      <c r="AG10" s="215"/>
      <c r="AH10" s="217"/>
      <c r="AI10" s="217"/>
      <c r="AJ10" s="213"/>
    </row>
    <row r="11" spans="1:36" ht="33.75" customHeight="1">
      <c r="A11" s="213"/>
      <c r="B11" s="214">
        <f ca="1">IFERROR(__xludf.DUMMYFUNCTION("""COMPUTED_VALUE"""),2876264)</f>
        <v>2876264</v>
      </c>
      <c r="C11" s="215" t="str">
        <f ca="1">IFERROR(__xludf.DUMMYFUNCTION("""COMPUTED_VALUE"""),"Beginner")</f>
        <v>Beginner</v>
      </c>
      <c r="D11" s="216" t="str">
        <f ca="1">IFERROR(__xludf.DUMMYFUNCTION("""COMPUTED_VALUE"""),"Writing Emails People Want to Read")</f>
        <v>Writing Emails People Want to Read</v>
      </c>
      <c r="E11" s="217"/>
      <c r="F11" s="213"/>
      <c r="G11" s="214">
        <f ca="1">IFERROR(__xludf.DUMMYFUNCTION("""COMPUTED_VALUE"""),457515)</f>
        <v>457515</v>
      </c>
      <c r="H11" s="215" t="str">
        <f ca="1">IFERROR(__xludf.DUMMYFUNCTION("""COMPUTED_VALUE"""),"All levels")</f>
        <v>All levels</v>
      </c>
      <c r="I11" s="217" t="str">
        <f ca="1">IFERROR(__xludf.DUMMYFUNCTION("""COMPUTED_VALUE"""),"Optimiser la prise de notes")</f>
        <v>Optimiser la prise de notes</v>
      </c>
      <c r="J11" s="217"/>
      <c r="K11" s="213"/>
      <c r="L11" s="215">
        <f ca="1">IFERROR(__xludf.DUMMYFUNCTION("""COMPUTED_VALUE"""),778028)</f>
        <v>778028</v>
      </c>
      <c r="M11" s="215" t="str">
        <f ca="1">IFERROR(__xludf.DUMMYFUNCTION("""COMPUTED_VALUE"""),"Beginner")</f>
        <v>Beginner</v>
      </c>
      <c r="N11" s="217" t="str">
        <f ca="1">IFERROR(__xludf.DUMMYFUNCTION("""COMPUTED_VALUE"""),"Fundamentos del content marketing: Blogs")</f>
        <v>Fundamentos del content marketing: Blogs</v>
      </c>
      <c r="O11" s="217"/>
      <c r="P11" s="213"/>
      <c r="Q11" s="215">
        <f ca="1">IFERROR(__xludf.DUMMYFUNCTION("""COMPUTED_VALUE"""),461917)</f>
        <v>461917</v>
      </c>
      <c r="R11" s="215" t="str">
        <f ca="1">IFERROR(__xludf.DUMMYFUNCTION("""COMPUTED_VALUE"""),"All levels")</f>
        <v>All levels</v>
      </c>
      <c r="S11" s="217" t="str">
        <f ca="1">IFERROR(__xludf.DUMMYFUNCTION("""COMPUTED_VALUE"""),"E-Mails schreiben")</f>
        <v>E-Mails schreiben</v>
      </c>
      <c r="T11" s="217"/>
      <c r="U11" s="213"/>
      <c r="V11" s="215"/>
      <c r="W11" s="215"/>
      <c r="X11" s="217"/>
      <c r="Y11" s="217"/>
      <c r="Z11" s="213"/>
      <c r="AA11" s="215"/>
      <c r="AB11" s="215"/>
      <c r="AC11" s="217"/>
      <c r="AD11" s="217"/>
      <c r="AE11" s="213"/>
      <c r="AF11" s="215"/>
      <c r="AG11" s="215"/>
      <c r="AH11" s="217"/>
      <c r="AI11" s="217"/>
      <c r="AJ11" s="213"/>
    </row>
    <row r="12" spans="1:36" ht="33.75" customHeight="1">
      <c r="A12" s="213"/>
      <c r="B12" s="214">
        <f ca="1">IFERROR(__xludf.DUMMYFUNCTION("""COMPUTED_VALUE"""),3011515)</f>
        <v>3011515</v>
      </c>
      <c r="C12" s="215" t="str">
        <f ca="1">IFERROR(__xludf.DUMMYFUNCTION("""COMPUTED_VALUE"""),"Beginner")</f>
        <v>Beginner</v>
      </c>
      <c r="D12" s="216" t="str">
        <f ca="1">IFERROR(__xludf.DUMMYFUNCTION("""COMPUTED_VALUE"""),"Is There A Book In You? Learn to Create Your Own Masterpiece")</f>
        <v>Is There A Book In You? Learn to Create Your Own Masterpiece</v>
      </c>
      <c r="E12" s="217"/>
      <c r="F12" s="213"/>
      <c r="G12" s="214">
        <f ca="1">IFERROR(__xludf.DUMMYFUNCTION("""COMPUTED_VALUE"""),707965)</f>
        <v>707965</v>
      </c>
      <c r="H12" s="215" t="str">
        <f ca="1">IFERROR(__xludf.DUMMYFUNCTION("""COMPUTED_VALUE"""),"Advanced")</f>
        <v>Advanced</v>
      </c>
      <c r="I12" s="217" t="str">
        <f ca="1">IFERROR(__xludf.DUMMYFUNCTION("""COMPUTED_VALUE"""),"Préparer la certification Voltaire")</f>
        <v>Préparer la certification Voltaire</v>
      </c>
      <c r="J12" s="217"/>
      <c r="K12" s="213"/>
      <c r="L12" s="215">
        <f ca="1">IFERROR(__xludf.DUMMYFUNCTION("""COMPUTED_VALUE"""),778029)</f>
        <v>778029</v>
      </c>
      <c r="M12" s="215" t="str">
        <f ca="1">IFERROR(__xludf.DUMMYFUNCTION("""COMPUTED_VALUE"""),"Intermediate")</f>
        <v>Intermediate</v>
      </c>
      <c r="N12" s="217" t="str">
        <f ca="1">IFERROR(__xludf.DUMMYFUNCTION("""COMPUTED_VALUE"""),"Fundamentos del content marketing: Cómo redactar un post exitoso")</f>
        <v>Fundamentos del content marketing: Cómo redactar un post exitoso</v>
      </c>
      <c r="O12" s="217"/>
      <c r="P12" s="213"/>
      <c r="Q12" s="215">
        <f ca="1">IFERROR(__xludf.DUMMYFUNCTION("""COMPUTED_VALUE"""),2390267)</f>
        <v>2390267</v>
      </c>
      <c r="R12" s="215" t="str">
        <f ca="1">IFERROR(__xludf.DUMMYFUNCTION("""COMPUTED_VALUE"""),"All levels")</f>
        <v>All levels</v>
      </c>
      <c r="S12" s="217" t="str">
        <f ca="1">IFERROR(__xludf.DUMMYFUNCTION("""COMPUTED_VALUE"""),"Ihre Kompetenz mit einem Buch zeigen")</f>
        <v>Ihre Kompetenz mit einem Buch zeigen</v>
      </c>
      <c r="T12" s="217"/>
      <c r="U12" s="213"/>
      <c r="V12" s="215"/>
      <c r="W12" s="215"/>
      <c r="X12" s="217"/>
      <c r="Y12" s="217"/>
      <c r="Z12" s="213"/>
      <c r="AA12" s="215"/>
      <c r="AB12" s="215"/>
      <c r="AC12" s="217"/>
      <c r="AD12" s="217"/>
      <c r="AE12" s="213"/>
      <c r="AF12" s="215"/>
      <c r="AG12" s="215"/>
      <c r="AH12" s="217"/>
      <c r="AI12" s="217"/>
      <c r="AJ12" s="213"/>
    </row>
    <row r="13" spans="1:36" ht="33.75" customHeight="1">
      <c r="A13" s="213"/>
      <c r="B13" s="214">
        <f ca="1">IFERROR(__xludf.DUMMYFUNCTION("""COMPUTED_VALUE"""),661747)</f>
        <v>661747</v>
      </c>
      <c r="C13" s="215" t="str">
        <f ca="1">IFERROR(__xludf.DUMMYFUNCTION("""COMPUTED_VALUE"""),"Beginner + Intermediate")</f>
        <v>Beginner + Intermediate</v>
      </c>
      <c r="D13" s="216" t="str">
        <f ca="1">IFERROR(__xludf.DUMMYFUNCTION("""COMPUTED_VALUE"""),"Technical Writing: Quick Start Guides")</f>
        <v>Technical Writing: Quick Start Guides</v>
      </c>
      <c r="E13" s="217"/>
      <c r="F13" s="213"/>
      <c r="G13" s="214">
        <f ca="1">IFERROR(__xludf.DUMMYFUNCTION("""COMPUTED_VALUE"""),459714)</f>
        <v>459714</v>
      </c>
      <c r="H13" s="215" t="str">
        <f ca="1">IFERROR(__xludf.DUMMYFUNCTION("""COMPUTED_VALUE"""),"All levels")</f>
        <v>All levels</v>
      </c>
      <c r="I13" s="217" t="str">
        <f ca="1">IFERROR(__xludf.DUMMYFUNCTION("""COMPUTED_VALUE"""),"Rédiger un compte rendu de réunion")</f>
        <v>Rédiger un compte rendu de réunion</v>
      </c>
      <c r="J13" s="217"/>
      <c r="K13" s="213"/>
      <c r="L13" s="215">
        <f ca="1">IFERROR(__xludf.DUMMYFUNCTION("""COMPUTED_VALUE"""),2423442)</f>
        <v>2423442</v>
      </c>
      <c r="M13" s="215" t="str">
        <f ca="1">IFERROR(__xludf.DUMMYFUNCTION("""COMPUTED_VALUE"""),"Intermediate")</f>
        <v>Intermediate</v>
      </c>
      <c r="N13" s="217" t="str">
        <f ca="1">IFERROR(__xludf.DUMMYFUNCTION("""COMPUTED_VALUE"""),"Inglés de negocios: Cómo escribir correos electrónicos de negocios con éxito")</f>
        <v>Inglés de negocios: Cómo escribir correos electrónicos de negocios con éxito</v>
      </c>
      <c r="O13" s="217"/>
      <c r="P13" s="213"/>
      <c r="Q13" s="215">
        <f ca="1">IFERROR(__xludf.DUMMYFUNCTION("""COMPUTED_VALUE"""),2921359)</f>
        <v>2921359</v>
      </c>
      <c r="R13" s="215" t="str">
        <f ca="1">IFERROR(__xludf.DUMMYFUNCTION("""COMPUTED_VALUE"""),"Beginner")</f>
        <v>Beginner</v>
      </c>
      <c r="S13" s="217" t="str">
        <f ca="1">IFERROR(__xludf.DUMMYFUNCTION("""COMPUTED_VALUE"""),"Kreatives Texten: Wortspiele, Metaphern &amp; Co.")</f>
        <v>Kreatives Texten: Wortspiele, Metaphern &amp; Co.</v>
      </c>
      <c r="T13" s="217"/>
      <c r="U13" s="213"/>
      <c r="V13" s="215"/>
      <c r="W13" s="215"/>
      <c r="X13" s="217"/>
      <c r="Y13" s="217"/>
      <c r="Z13" s="213"/>
      <c r="AA13" s="215"/>
      <c r="AB13" s="215"/>
      <c r="AC13" s="217"/>
      <c r="AD13" s="217"/>
      <c r="AE13" s="213"/>
      <c r="AF13" s="215"/>
      <c r="AG13" s="215"/>
      <c r="AH13" s="217"/>
      <c r="AI13" s="217"/>
      <c r="AJ13" s="213"/>
    </row>
    <row r="14" spans="1:36" ht="33.75" customHeight="1">
      <c r="A14" s="213"/>
      <c r="B14" s="214">
        <f ca="1">IFERROR(__xludf.DUMMYFUNCTION("""COMPUTED_VALUE"""),2823292)</f>
        <v>2823292</v>
      </c>
      <c r="C14" s="215" t="str">
        <f ca="1">IFERROR(__xludf.DUMMYFUNCTION("""COMPUTED_VALUE"""),"General")</f>
        <v>General</v>
      </c>
      <c r="D14" s="216" t="str">
        <f ca="1">IFERROR(__xludf.DUMMYFUNCTION("""COMPUTED_VALUE"""),"Writing Articles")</f>
        <v>Writing Articles</v>
      </c>
      <c r="E14" s="217"/>
      <c r="F14" s="213"/>
      <c r="G14" s="214">
        <f ca="1">IFERROR(__xludf.DUMMYFUNCTION("""COMPUTED_VALUE"""),707966)</f>
        <v>707966</v>
      </c>
      <c r="H14" s="215" t="str">
        <f ca="1">IFERROR(__xludf.DUMMYFUNCTION("""COMPUTED_VALUE"""),"Intermediate")</f>
        <v>Intermediate</v>
      </c>
      <c r="I14" s="217" t="str">
        <f ca="1">IFERROR(__xludf.DUMMYFUNCTION("""COMPUTED_VALUE"""),"Rédiger un rapport de stage")</f>
        <v>Rédiger un rapport de stage</v>
      </c>
      <c r="J14" s="217"/>
      <c r="K14" s="213"/>
      <c r="L14" s="215">
        <f ca="1">IFERROR(__xludf.DUMMYFUNCTION("""COMPUTED_VALUE"""),2887060)</f>
        <v>2887060</v>
      </c>
      <c r="M14" s="215" t="str">
        <f ca="1">IFERROR(__xludf.DUMMYFUNCTION("""COMPUTED_VALUE"""),"All levels")</f>
        <v>All levels</v>
      </c>
      <c r="N14" s="217" t="str">
        <f ca="1">IFERROR(__xludf.DUMMYFUNCTION("""COMPUTED_VALUE"""),"Refresca tus conocimientos de la lengua española: Estilo y arquitectura de las frases")</f>
        <v>Refresca tus conocimientos de la lengua española: Estilo y arquitectura de las frases</v>
      </c>
      <c r="O14" s="217"/>
      <c r="P14" s="213"/>
      <c r="Q14" s="215">
        <f ca="1">IFERROR(__xludf.DUMMYFUNCTION("""COMPUTED_VALUE"""),2951128)</f>
        <v>2951128</v>
      </c>
      <c r="R14" s="215" t="str">
        <f ca="1">IFERROR(__xludf.DUMMYFUNCTION("""COMPUTED_VALUE"""),"Beginner")</f>
        <v>Beginner</v>
      </c>
      <c r="S14" s="217" t="str">
        <f ca="1">IFERROR(__xludf.DUMMYFUNCTION("""COMPUTED_VALUE"""),"Presse- und Öffentlichkeitsarbeit für kleine und mittlere Unternehmen")</f>
        <v>Presse- und Öffentlichkeitsarbeit für kleine und mittlere Unternehmen</v>
      </c>
      <c r="T14" s="217"/>
      <c r="U14" s="213"/>
      <c r="V14" s="215"/>
      <c r="W14" s="215"/>
      <c r="X14" s="217"/>
      <c r="Y14" s="217"/>
      <c r="Z14" s="213"/>
      <c r="AA14" s="215"/>
      <c r="AB14" s="215"/>
      <c r="AC14" s="217"/>
      <c r="AD14" s="217"/>
      <c r="AE14" s="213"/>
      <c r="AF14" s="215"/>
      <c r="AG14" s="215"/>
      <c r="AH14" s="217"/>
      <c r="AI14" s="217"/>
      <c r="AJ14" s="213"/>
    </row>
    <row r="15" spans="1:36" ht="33.75" customHeight="1">
      <c r="A15" s="213"/>
      <c r="B15" s="214">
        <f ca="1">IFERROR(__xludf.DUMMYFUNCTION("""COMPUTED_VALUE"""),2254042)</f>
        <v>2254042</v>
      </c>
      <c r="C15" s="215" t="str">
        <f ca="1">IFERROR(__xludf.DUMMYFUNCTION("""COMPUTED_VALUE"""),"General")</f>
        <v>General</v>
      </c>
      <c r="D15" s="216" t="str">
        <f ca="1">IFERROR(__xludf.DUMMYFUNCTION("""COMPUTED_VALUE"""),"Writing a Tech Resume")</f>
        <v>Writing a Tech Resume</v>
      </c>
      <c r="E15" s="217"/>
      <c r="F15" s="213"/>
      <c r="G15" s="214">
        <f ca="1">IFERROR(__xludf.DUMMYFUNCTION("""COMPUTED_VALUE"""),398636)</f>
        <v>398636</v>
      </c>
      <c r="H15" s="215" t="str">
        <f ca="1">IFERROR(__xludf.DUMMYFUNCTION("""COMPUTED_VALUE"""),"All levels")</f>
        <v>All levels</v>
      </c>
      <c r="I15" s="217" t="str">
        <f ca="1">IFERROR(__xludf.DUMMYFUNCTION("""COMPUTED_VALUE"""),"Relire et corriger des textes")</f>
        <v>Relire et corriger des textes</v>
      </c>
      <c r="J15" s="217"/>
      <c r="K15" s="213"/>
      <c r="L15" s="215">
        <f ca="1">IFERROR(__xludf.DUMMYFUNCTION("""COMPUTED_VALUE"""),2988448)</f>
        <v>2988448</v>
      </c>
      <c r="M15" s="215" t="str">
        <f ca="1">IFERROR(__xludf.DUMMYFUNCTION("""COMPUTED_VALUE"""),"Intermediate")</f>
        <v>Intermediate</v>
      </c>
      <c r="N15" s="217" t="str">
        <f ca="1">IFERROR(__xludf.DUMMYFUNCTION("""COMPUTED_VALUE"""),"Refresca tus conocimientos de la lengua española: Uso de las tildes")</f>
        <v>Refresca tus conocimientos de la lengua española: Uso de las tildes</v>
      </c>
      <c r="O15" s="217"/>
      <c r="P15" s="213"/>
      <c r="Q15" s="215">
        <f ca="1">IFERROR(__xludf.DUMMYFUNCTION("""COMPUTED_VALUE"""),501013)</f>
        <v>501013</v>
      </c>
      <c r="R15" s="215" t="str">
        <f ca="1">IFERROR(__xludf.DUMMYFUNCTION("""COMPUTED_VALUE"""),"All levels")</f>
        <v>All levels</v>
      </c>
      <c r="S15" s="217" t="str">
        <f ca="1">IFERROR(__xludf.DUMMYFUNCTION("""COMPUTED_VALUE"""),"Professionelle Bewerbungsunterlagen erstellen")</f>
        <v>Professionelle Bewerbungsunterlagen erstellen</v>
      </c>
      <c r="T15" s="217"/>
      <c r="U15" s="213"/>
      <c r="V15" s="215"/>
      <c r="W15" s="215"/>
      <c r="X15" s="217"/>
      <c r="Y15" s="217"/>
      <c r="Z15" s="213"/>
      <c r="AA15" s="215"/>
      <c r="AB15" s="215"/>
      <c r="AC15" s="217"/>
      <c r="AD15" s="217"/>
      <c r="AE15" s="213"/>
      <c r="AF15" s="215"/>
      <c r="AG15" s="215"/>
      <c r="AH15" s="217"/>
      <c r="AI15" s="217"/>
      <c r="AJ15" s="213"/>
    </row>
    <row r="16" spans="1:36" ht="33.75" customHeight="1">
      <c r="A16" s="213"/>
      <c r="B16" s="214">
        <f ca="1">IFERROR(__xludf.DUMMYFUNCTION("""COMPUTED_VALUE"""),2824200)</f>
        <v>2824200</v>
      </c>
      <c r="C16" s="215" t="str">
        <f ca="1">IFERROR(__xludf.DUMMYFUNCTION("""COMPUTED_VALUE"""),"General")</f>
        <v>General</v>
      </c>
      <c r="D16" s="216" t="str">
        <f ca="1">IFERROR(__xludf.DUMMYFUNCTION("""COMPUTED_VALUE"""),"Writing in Plain Language")</f>
        <v>Writing in Plain Language</v>
      </c>
      <c r="E16" s="217"/>
      <c r="F16" s="213"/>
      <c r="G16" s="214">
        <f ca="1">IFERROR(__xludf.DUMMYFUNCTION("""COMPUTED_VALUE"""),2422670)</f>
        <v>2422670</v>
      </c>
      <c r="H16" s="215" t="str">
        <f ca="1">IFERROR(__xludf.DUMMYFUNCTION("""COMPUTED_VALUE"""),"Intermediate")</f>
        <v>Intermediate</v>
      </c>
      <c r="I16" s="217" t="str">
        <f ca="1">IFERROR(__xludf.DUMMYFUNCTION("""COMPUTED_VALUE"""),"Word : Créer une newsletter (Microsoft 365/Office 365)")</f>
        <v>Word : Créer une newsletter (Microsoft 365/Office 365)</v>
      </c>
      <c r="J16" s="217"/>
      <c r="K16" s="213"/>
      <c r="L16" s="215">
        <f ca="1">IFERROR(__xludf.DUMMYFUNCTION("""COMPUTED_VALUE"""),762662)</f>
        <v>762662</v>
      </c>
      <c r="M16" s="215" t="str">
        <f ca="1">IFERROR(__xludf.DUMMYFUNCTION("""COMPUTED_VALUE"""),"Intermediate")</f>
        <v>Intermediate</v>
      </c>
      <c r="N16" s="217" t="str">
        <f ca="1">IFERROR(__xludf.DUMMYFUNCTION("""COMPUTED_VALUE"""),"Técnicas de escritura creativa para negocios: Trucos")</f>
        <v>Técnicas de escritura creativa para negocios: Trucos</v>
      </c>
      <c r="O16" s="217"/>
      <c r="P16" s="213"/>
      <c r="Q16" s="215">
        <f ca="1">IFERROR(__xludf.DUMMYFUNCTION("""COMPUTED_VALUE"""),393155)</f>
        <v>393155</v>
      </c>
      <c r="R16" s="215" t="str">
        <f ca="1">IFERROR(__xludf.DUMMYFUNCTION("""COMPUTED_VALUE"""),"Beginner, Intermediate")</f>
        <v>Beginner, Intermediate</v>
      </c>
      <c r="S16" s="217" t="str">
        <f ca="1">IFERROR(__xludf.DUMMYFUNCTION("""COMPUTED_VALUE"""),"SEO-gerechte Texte")</f>
        <v>SEO-gerechte Texte</v>
      </c>
      <c r="T16" s="217"/>
      <c r="U16" s="213"/>
      <c r="V16" s="215"/>
      <c r="W16" s="215"/>
      <c r="X16" s="217"/>
      <c r="Y16" s="217"/>
      <c r="Z16" s="213"/>
      <c r="AA16" s="215"/>
      <c r="AB16" s="215"/>
      <c r="AC16" s="217"/>
      <c r="AD16" s="217"/>
      <c r="AE16" s="213"/>
      <c r="AF16" s="215"/>
      <c r="AG16" s="215"/>
      <c r="AH16" s="217"/>
      <c r="AI16" s="217"/>
      <c r="AJ16" s="213"/>
    </row>
    <row r="17" spans="1:36" ht="33.75" customHeight="1">
      <c r="A17" s="213"/>
      <c r="B17" s="214">
        <f ca="1">IFERROR(__xludf.DUMMYFUNCTION("""COMPUTED_VALUE"""),791333)</f>
        <v>791333</v>
      </c>
      <c r="C17" s="215" t="str">
        <f ca="1">IFERROR(__xludf.DUMMYFUNCTION("""COMPUTED_VALUE"""),"General")</f>
        <v>General</v>
      </c>
      <c r="D17" s="216" t="str">
        <f ca="1">IFERROR(__xludf.DUMMYFUNCTION("""COMPUTED_VALUE"""),"Productivity Hacks for Writers")</f>
        <v>Productivity Hacks for Writers</v>
      </c>
      <c r="E17" s="217"/>
      <c r="F17" s="213"/>
      <c r="G17" s="214"/>
      <c r="H17" s="215"/>
      <c r="I17" s="217"/>
      <c r="J17" s="217"/>
      <c r="K17" s="213"/>
      <c r="L17" s="215">
        <f ca="1">IFERROR(__xludf.DUMMYFUNCTION("""COMPUTED_VALUE"""),651772)</f>
        <v>651772</v>
      </c>
      <c r="M17" s="215" t="str">
        <f ca="1">IFERROR(__xludf.DUMMYFUNCTION("""COMPUTED_VALUE"""),"Beginner")</f>
        <v>Beginner</v>
      </c>
      <c r="N17" s="217" t="str">
        <f ca="1">IFERROR(__xludf.DUMMYFUNCTION("""COMPUTED_VALUE"""),"Toma de notas para profesionales")</f>
        <v>Toma de notas para profesionales</v>
      </c>
      <c r="O17" s="217"/>
      <c r="P17" s="213"/>
      <c r="Q17" s="215">
        <f ca="1">IFERROR(__xludf.DUMMYFUNCTION("""COMPUTED_VALUE"""),195157)</f>
        <v>195157</v>
      </c>
      <c r="R17" s="215" t="str">
        <f ca="1">IFERROR(__xludf.DUMMYFUNCTION("""COMPUTED_VALUE"""),"All levels")</f>
        <v>All levels</v>
      </c>
      <c r="S17" s="217" t="str">
        <f ca="1">IFERROR(__xludf.DUMMYFUNCTION("""COMPUTED_VALUE"""),"Treffende Texte")</f>
        <v>Treffende Texte</v>
      </c>
      <c r="T17" s="217"/>
      <c r="U17" s="213"/>
      <c r="V17" s="215"/>
      <c r="W17" s="215"/>
      <c r="X17" s="217"/>
      <c r="Y17" s="217"/>
      <c r="Z17" s="213"/>
      <c r="AA17" s="215"/>
      <c r="AB17" s="215"/>
      <c r="AC17" s="217"/>
      <c r="AD17" s="217"/>
      <c r="AE17" s="213"/>
      <c r="AF17" s="215"/>
      <c r="AG17" s="215"/>
      <c r="AH17" s="217"/>
      <c r="AI17" s="217"/>
      <c r="AJ17" s="213"/>
    </row>
    <row r="18" spans="1:36" ht="33.75" customHeight="1">
      <c r="A18" s="213"/>
      <c r="B18" s="214">
        <f ca="1">IFERROR(__xludf.DUMMYFUNCTION("""COMPUTED_VALUE"""),580625)</f>
        <v>580625</v>
      </c>
      <c r="C18" s="215" t="str">
        <f ca="1">IFERROR(__xludf.DUMMYFUNCTION("""COMPUTED_VALUE"""),"General")</f>
        <v>General</v>
      </c>
      <c r="D18" s="216" t="str">
        <f ca="1">IFERROR(__xludf.DUMMYFUNCTION("""COMPUTED_VALUE"""),"Writing a Business Case")</f>
        <v>Writing a Business Case</v>
      </c>
      <c r="E18" s="217"/>
      <c r="F18" s="213"/>
      <c r="G18" s="214"/>
      <c r="H18" s="215"/>
      <c r="I18" s="217"/>
      <c r="J18" s="217"/>
      <c r="K18" s="213"/>
      <c r="L18" s="215"/>
      <c r="M18" s="215"/>
      <c r="N18" s="217"/>
      <c r="O18" s="217"/>
      <c r="P18" s="213"/>
      <c r="Q18" s="215">
        <f ca="1">IFERROR(__xludf.DUMMYFUNCTION("""COMPUTED_VALUE"""),2293216)</f>
        <v>2293216</v>
      </c>
      <c r="R18" s="215" t="str">
        <f ca="1">IFERROR(__xludf.DUMMYFUNCTION("""COMPUTED_VALUE"""),"All levels")</f>
        <v>All levels</v>
      </c>
      <c r="S18" s="217" t="str">
        <f ca="1">IFERROR(__xludf.DUMMYFUNCTION("""COMPUTED_VALUE"""),"Wie Rechtschreibung auf die Reputation einzahlt")</f>
        <v>Wie Rechtschreibung auf die Reputation einzahlt</v>
      </c>
      <c r="T18" s="217"/>
      <c r="U18" s="213"/>
      <c r="V18" s="215"/>
      <c r="W18" s="215"/>
      <c r="X18" s="217"/>
      <c r="Y18" s="217"/>
      <c r="Z18" s="213"/>
      <c r="AA18" s="215"/>
      <c r="AB18" s="215"/>
      <c r="AC18" s="217"/>
      <c r="AD18" s="217"/>
      <c r="AE18" s="213"/>
      <c r="AF18" s="215"/>
      <c r="AG18" s="215"/>
      <c r="AH18" s="217"/>
      <c r="AI18" s="217"/>
      <c r="AJ18" s="213"/>
    </row>
    <row r="19" spans="1:36" ht="33.75" customHeight="1">
      <c r="A19" s="213"/>
      <c r="B19" s="214">
        <f ca="1">IFERROR(__xludf.DUMMYFUNCTION("""COMPUTED_VALUE"""),642461)</f>
        <v>642461</v>
      </c>
      <c r="C19" s="215" t="str">
        <f ca="1">IFERROR(__xludf.DUMMYFUNCTION("""COMPUTED_VALUE"""),"General")</f>
        <v>General</v>
      </c>
      <c r="D19" s="216" t="str">
        <f ca="1">IFERROR(__xludf.DUMMYFUNCTION("""COMPUTED_VALUE"""),"Writing a Compelling Blog Post")</f>
        <v>Writing a Compelling Blog Post</v>
      </c>
      <c r="E19" s="217"/>
      <c r="F19" s="213"/>
      <c r="G19" s="214"/>
      <c r="H19" s="215"/>
      <c r="I19" s="217"/>
      <c r="J19" s="217"/>
      <c r="K19" s="213"/>
      <c r="L19" s="215"/>
      <c r="M19" s="215"/>
      <c r="N19" s="217"/>
      <c r="O19" s="217"/>
      <c r="P19" s="213"/>
      <c r="Q19" s="215">
        <f ca="1">IFERROR(__xludf.DUMMYFUNCTION("""COMPUTED_VALUE"""),448326)</f>
        <v>448326</v>
      </c>
      <c r="R19" s="215" t="str">
        <f ca="1">IFERROR(__xludf.DUMMYFUNCTION("""COMPUTED_VALUE"""),"Beginner")</f>
        <v>Beginner</v>
      </c>
      <c r="S19" s="217" t="str">
        <f ca="1">IFERROR(__xludf.DUMMYFUNCTION("""COMPUTED_VALUE"""),"Wissenschaftliche Arbeiten schreiben")</f>
        <v>Wissenschaftliche Arbeiten schreiben</v>
      </c>
      <c r="T19" s="217"/>
      <c r="U19" s="213"/>
      <c r="V19" s="215"/>
      <c r="W19" s="215"/>
      <c r="X19" s="217"/>
      <c r="Y19" s="217"/>
      <c r="Z19" s="213"/>
      <c r="AA19" s="215"/>
      <c r="AB19" s="215"/>
      <c r="AC19" s="217"/>
      <c r="AD19" s="217"/>
      <c r="AE19" s="213"/>
      <c r="AF19" s="215"/>
      <c r="AG19" s="215"/>
      <c r="AH19" s="217"/>
      <c r="AI19" s="217"/>
      <c r="AJ19" s="213"/>
    </row>
    <row r="20" spans="1:36" ht="33.75" customHeight="1">
      <c r="A20" s="213"/>
      <c r="B20" s="214">
        <f ca="1">IFERROR(__xludf.DUMMYFUNCTION("""COMPUTED_VALUE"""),608988)</f>
        <v>608988</v>
      </c>
      <c r="C20" s="215" t="str">
        <f ca="1">IFERROR(__xludf.DUMMYFUNCTION("""COMPUTED_VALUE"""),"General")</f>
        <v>General</v>
      </c>
      <c r="D20" s="216" t="str">
        <f ca="1">IFERROR(__xludf.DUMMYFUNCTION("""COMPUTED_VALUE"""),"Writing Formal Business Letters and Emails")</f>
        <v>Writing Formal Business Letters and Emails</v>
      </c>
      <c r="E20" s="217"/>
      <c r="F20" s="213"/>
      <c r="G20" s="214"/>
      <c r="H20" s="215"/>
      <c r="I20" s="217"/>
      <c r="J20" s="217"/>
      <c r="K20" s="213"/>
      <c r="L20" s="215"/>
      <c r="M20" s="215"/>
      <c r="N20" s="217"/>
      <c r="O20" s="217"/>
      <c r="P20" s="213"/>
      <c r="Q20" s="215"/>
      <c r="R20" s="215"/>
      <c r="S20" s="217"/>
      <c r="T20" s="217"/>
      <c r="U20" s="213"/>
      <c r="V20" s="215"/>
      <c r="W20" s="215"/>
      <c r="X20" s="217"/>
      <c r="Y20" s="217"/>
      <c r="Z20" s="213"/>
      <c r="AA20" s="215"/>
      <c r="AB20" s="215"/>
      <c r="AC20" s="217"/>
      <c r="AD20" s="217"/>
      <c r="AE20" s="213"/>
      <c r="AF20" s="215"/>
      <c r="AG20" s="215"/>
      <c r="AH20" s="217"/>
      <c r="AI20" s="217"/>
      <c r="AJ20" s="213"/>
    </row>
    <row r="21" spans="1:36" ht="33.75" customHeight="1">
      <c r="A21" s="213"/>
      <c r="B21" s="214">
        <f ca="1">IFERROR(__xludf.DUMMYFUNCTION("""COMPUTED_VALUE"""),373555)</f>
        <v>373555</v>
      </c>
      <c r="C21" s="215" t="str">
        <f ca="1">IFERROR(__xludf.DUMMYFUNCTION("""COMPUTED_VALUE"""),"General")</f>
        <v>General</v>
      </c>
      <c r="D21" s="216" t="str">
        <f ca="1">IFERROR(__xludf.DUMMYFUNCTION("""COMPUTED_VALUE"""),"Writing in Plain English")</f>
        <v>Writing in Plain English</v>
      </c>
      <c r="E21" s="217"/>
      <c r="F21" s="213"/>
      <c r="G21" s="214"/>
      <c r="H21" s="215"/>
      <c r="I21" s="217"/>
      <c r="J21" s="217"/>
      <c r="K21" s="213"/>
      <c r="L21" s="215"/>
      <c r="M21" s="215"/>
      <c r="N21" s="217"/>
      <c r="O21" s="217"/>
      <c r="P21" s="213"/>
      <c r="Q21" s="215"/>
      <c r="R21" s="215"/>
      <c r="S21" s="217"/>
      <c r="T21" s="217"/>
      <c r="U21" s="213"/>
      <c r="V21" s="215"/>
      <c r="W21" s="215"/>
      <c r="X21" s="217"/>
      <c r="Y21" s="217"/>
      <c r="Z21" s="213"/>
      <c r="AA21" s="215"/>
      <c r="AB21" s="215"/>
      <c r="AC21" s="217"/>
      <c r="AD21" s="217"/>
      <c r="AE21" s="213"/>
      <c r="AF21" s="215"/>
      <c r="AG21" s="215"/>
      <c r="AH21" s="217"/>
      <c r="AI21" s="217"/>
      <c r="AJ21" s="213"/>
    </row>
    <row r="22" spans="1:36" ht="33.75" customHeight="1">
      <c r="A22" s="213"/>
      <c r="B22" s="214">
        <f ca="1">IFERROR(__xludf.DUMMYFUNCTION("""COMPUTED_VALUE"""),574671)</f>
        <v>574671</v>
      </c>
      <c r="C22" s="215" t="str">
        <f ca="1">IFERROR(__xludf.DUMMYFUNCTION("""COMPUTED_VALUE"""),"General")</f>
        <v>General</v>
      </c>
      <c r="D22" s="216" t="str">
        <f ca="1">IFERROR(__xludf.DUMMYFUNCTION("""COMPUTED_VALUE"""),"Writing Under a Deadline")</f>
        <v>Writing Under a Deadline</v>
      </c>
      <c r="E22" s="217"/>
      <c r="F22" s="213"/>
      <c r="G22" s="214"/>
      <c r="H22" s="215"/>
      <c r="I22" s="217"/>
      <c r="J22" s="217"/>
      <c r="K22" s="213"/>
      <c r="L22" s="215"/>
      <c r="M22" s="215"/>
      <c r="N22" s="217"/>
      <c r="O22" s="217"/>
      <c r="P22" s="213"/>
      <c r="Q22" s="215"/>
      <c r="R22" s="215"/>
      <c r="S22" s="217"/>
      <c r="T22" s="217"/>
      <c r="U22" s="213"/>
      <c r="V22" s="215"/>
      <c r="W22" s="215"/>
      <c r="X22" s="217"/>
      <c r="Y22" s="217"/>
      <c r="Z22" s="213"/>
      <c r="AA22" s="215"/>
      <c r="AB22" s="215"/>
      <c r="AC22" s="217"/>
      <c r="AD22" s="217"/>
      <c r="AE22" s="213"/>
      <c r="AF22" s="215"/>
      <c r="AG22" s="215"/>
      <c r="AH22" s="217"/>
      <c r="AI22" s="217"/>
      <c r="AJ22" s="213"/>
    </row>
    <row r="23" spans="1:36" ht="33.75" customHeight="1">
      <c r="A23" s="213"/>
      <c r="B23" s="214">
        <f ca="1">IFERROR(__xludf.DUMMYFUNCTION("""COMPUTED_VALUE"""),721923)</f>
        <v>721923</v>
      </c>
      <c r="C23" s="215" t="str">
        <f ca="1">IFERROR(__xludf.DUMMYFUNCTION("""COMPUTED_VALUE"""),"General")</f>
        <v>General</v>
      </c>
      <c r="D23" s="216" t="str">
        <f ca="1">IFERROR(__xludf.DUMMYFUNCTION("""COMPUTED_VALUE"""),"Writing with Flair: How to Become an Exceptional Writer")</f>
        <v>Writing with Flair: How to Become an Exceptional Writer</v>
      </c>
      <c r="E23" s="217"/>
      <c r="F23" s="213"/>
      <c r="G23" s="214"/>
      <c r="H23" s="215"/>
      <c r="I23" s="217"/>
      <c r="J23" s="217"/>
      <c r="K23" s="213"/>
      <c r="L23" s="215"/>
      <c r="M23" s="215"/>
      <c r="N23" s="217"/>
      <c r="O23" s="217"/>
      <c r="P23" s="213"/>
      <c r="Q23" s="215"/>
      <c r="R23" s="215"/>
      <c r="S23" s="217"/>
      <c r="T23" s="217"/>
      <c r="U23" s="213"/>
      <c r="V23" s="215"/>
      <c r="W23" s="215"/>
      <c r="X23" s="217"/>
      <c r="Y23" s="217"/>
      <c r="Z23" s="213"/>
      <c r="AA23" s="215"/>
      <c r="AB23" s="215"/>
      <c r="AC23" s="217"/>
      <c r="AD23" s="217"/>
      <c r="AE23" s="213"/>
      <c r="AF23" s="215"/>
      <c r="AG23" s="215"/>
      <c r="AH23" s="217"/>
      <c r="AI23" s="217"/>
      <c r="AJ23" s="213"/>
    </row>
    <row r="24" spans="1:36" ht="33.75" customHeight="1">
      <c r="A24" s="213"/>
      <c r="B24" s="214">
        <f ca="1">IFERROR(__xludf.DUMMYFUNCTION("""COMPUTED_VALUE"""),699321)</f>
        <v>699321</v>
      </c>
      <c r="C24" s="215" t="str">
        <f ca="1">IFERROR(__xludf.DUMMYFUNCTION("""COMPUTED_VALUE"""),"General")</f>
        <v>General</v>
      </c>
      <c r="D24" s="216" t="str">
        <f ca="1">IFERROR(__xludf.DUMMYFUNCTION("""COMPUTED_VALUE"""),"Writing with Impact")</f>
        <v>Writing with Impact</v>
      </c>
      <c r="E24" s="217"/>
      <c r="F24" s="213"/>
      <c r="G24" s="214"/>
      <c r="H24" s="215"/>
      <c r="I24" s="217"/>
      <c r="J24" s="217"/>
      <c r="K24" s="213"/>
      <c r="L24" s="215"/>
      <c r="M24" s="215"/>
      <c r="N24" s="217"/>
      <c r="O24" s="217"/>
      <c r="P24" s="213"/>
      <c r="Q24" s="215"/>
      <c r="R24" s="215"/>
      <c r="S24" s="217"/>
      <c r="T24" s="217"/>
      <c r="U24" s="213"/>
      <c r="V24" s="215"/>
      <c r="W24" s="215"/>
      <c r="X24" s="217"/>
      <c r="Y24" s="217"/>
      <c r="Z24" s="213"/>
      <c r="AA24" s="215"/>
      <c r="AB24" s="215"/>
      <c r="AC24" s="217"/>
      <c r="AD24" s="217"/>
      <c r="AE24" s="213"/>
      <c r="AF24" s="215"/>
      <c r="AG24" s="215"/>
      <c r="AH24" s="217"/>
      <c r="AI24" s="217"/>
      <c r="AJ24" s="213"/>
    </row>
    <row r="25" spans="1:36" ht="33.75" customHeight="1">
      <c r="A25" s="213"/>
      <c r="B25" s="214">
        <f ca="1">IFERROR(__xludf.DUMMYFUNCTION("""COMPUTED_VALUE"""),89962)</f>
        <v>89962</v>
      </c>
      <c r="C25" s="215" t="str">
        <f ca="1">IFERROR(__xludf.DUMMYFUNCTION("""COMPUTED_VALUE"""),"General")</f>
        <v>General</v>
      </c>
      <c r="D25" s="216" t="str">
        <f ca="1">IFERROR(__xludf.DUMMYFUNCTION("""COMPUTED_VALUE"""),"Writing: The Craft of Story")</f>
        <v>Writing: The Craft of Story</v>
      </c>
      <c r="E25" s="217"/>
      <c r="F25" s="213"/>
      <c r="G25" s="214"/>
      <c r="H25" s="215"/>
      <c r="I25" s="217"/>
      <c r="J25" s="217"/>
      <c r="K25" s="213"/>
      <c r="L25" s="215"/>
      <c r="M25" s="215"/>
      <c r="N25" s="217"/>
      <c r="O25" s="217"/>
      <c r="P25" s="213"/>
      <c r="Q25" s="215"/>
      <c r="R25" s="215"/>
      <c r="S25" s="217"/>
      <c r="T25" s="217"/>
      <c r="U25" s="213"/>
      <c r="V25" s="215"/>
      <c r="W25" s="215"/>
      <c r="X25" s="217"/>
      <c r="Y25" s="217"/>
      <c r="Z25" s="213"/>
      <c r="AA25" s="215"/>
      <c r="AB25" s="215"/>
      <c r="AC25" s="217"/>
      <c r="AD25" s="217"/>
      <c r="AE25" s="213"/>
      <c r="AF25" s="215"/>
      <c r="AG25" s="215"/>
      <c r="AH25" s="217"/>
      <c r="AI25" s="217"/>
      <c r="AJ25" s="213"/>
    </row>
    <row r="26" spans="1:36" ht="33.75" customHeight="1">
      <c r="A26" s="213"/>
      <c r="B26" s="214">
        <f ca="1">IFERROR(__xludf.DUMMYFUNCTION("""COMPUTED_VALUE"""),2227598)</f>
        <v>2227598</v>
      </c>
      <c r="C26" s="215" t="str">
        <f ca="1">IFERROR(__xludf.DUMMYFUNCTION("""COMPUTED_VALUE"""),"General")</f>
        <v>General</v>
      </c>
      <c r="D26" s="216" t="str">
        <f ca="1">IFERROR(__xludf.DUMMYFUNCTION("""COMPUTED_VALUE"""),"Conquering Writer's Block")</f>
        <v>Conquering Writer's Block</v>
      </c>
      <c r="E26" s="217"/>
      <c r="F26" s="213"/>
      <c r="G26" s="214"/>
      <c r="H26" s="215"/>
      <c r="I26" s="217"/>
      <c r="J26" s="217"/>
      <c r="K26" s="213"/>
      <c r="L26" s="215"/>
      <c r="M26" s="215"/>
      <c r="N26" s="217"/>
      <c r="O26" s="217"/>
      <c r="P26" s="213"/>
      <c r="Q26" s="215"/>
      <c r="R26" s="215"/>
      <c r="S26" s="217"/>
      <c r="T26" s="217"/>
      <c r="U26" s="213"/>
      <c r="V26" s="215"/>
      <c r="W26" s="215"/>
      <c r="X26" s="217"/>
      <c r="Y26" s="217"/>
      <c r="Z26" s="213"/>
      <c r="AA26" s="215"/>
      <c r="AB26" s="215"/>
      <c r="AC26" s="217"/>
      <c r="AD26" s="217"/>
      <c r="AE26" s="213"/>
      <c r="AF26" s="215"/>
      <c r="AG26" s="215"/>
      <c r="AH26" s="217"/>
      <c r="AI26" s="217"/>
      <c r="AJ26" s="213"/>
    </row>
    <row r="27" spans="1:36" ht="33.75" customHeight="1">
      <c r="A27" s="213"/>
      <c r="B27" s="214">
        <f ca="1">IFERROR(__xludf.DUMMYFUNCTION("""COMPUTED_VALUE"""),2800332)</f>
        <v>2800332</v>
      </c>
      <c r="C27" s="215" t="str">
        <f ca="1">IFERROR(__xludf.DUMMYFUNCTION("""COMPUTED_VALUE"""),"General")</f>
        <v>General</v>
      </c>
      <c r="D27" s="216" t="str">
        <f ca="1">IFERROR(__xludf.DUMMYFUNCTION("""COMPUTED_VALUE"""),"Running a Design Business: Writing and Pricing Winning Proposals")</f>
        <v>Running a Design Business: Writing and Pricing Winning Proposals</v>
      </c>
      <c r="E27" s="217"/>
      <c r="F27" s="213"/>
      <c r="G27" s="214"/>
      <c r="H27" s="215"/>
      <c r="I27" s="217"/>
      <c r="J27" s="217"/>
      <c r="K27" s="213"/>
      <c r="L27" s="215"/>
      <c r="M27" s="215"/>
      <c r="N27" s="217"/>
      <c r="O27" s="217"/>
      <c r="P27" s="213"/>
      <c r="Q27" s="215"/>
      <c r="R27" s="215"/>
      <c r="S27" s="217"/>
      <c r="T27" s="217"/>
      <c r="U27" s="213"/>
      <c r="V27" s="215"/>
      <c r="W27" s="215"/>
      <c r="X27" s="217"/>
      <c r="Y27" s="217"/>
      <c r="Z27" s="213"/>
      <c r="AA27" s="215"/>
      <c r="AB27" s="215"/>
      <c r="AC27" s="217"/>
      <c r="AD27" s="217"/>
      <c r="AE27" s="213"/>
      <c r="AF27" s="215"/>
      <c r="AG27" s="215"/>
      <c r="AH27" s="217"/>
      <c r="AI27" s="217"/>
      <c r="AJ27" s="213"/>
    </row>
    <row r="28" spans="1:36" ht="33.75" customHeight="1">
      <c r="A28" s="213"/>
      <c r="B28" s="214">
        <f ca="1">IFERROR(__xludf.DUMMYFUNCTION("""COMPUTED_VALUE"""),2806193)</f>
        <v>2806193</v>
      </c>
      <c r="C28" s="215" t="str">
        <f ca="1">IFERROR(__xludf.DUMMYFUNCTION("""COMPUTED_VALUE"""),"General")</f>
        <v>General</v>
      </c>
      <c r="D28" s="216" t="str">
        <f ca="1">IFERROR(__xludf.DUMMYFUNCTION("""COMPUTED_VALUE"""),"Tips for Writing Business Emails")</f>
        <v>Tips for Writing Business Emails</v>
      </c>
      <c r="E28" s="217"/>
      <c r="F28" s="213"/>
      <c r="G28" s="214"/>
      <c r="H28" s="215"/>
      <c r="I28" s="217"/>
      <c r="J28" s="217"/>
      <c r="K28" s="213"/>
      <c r="L28" s="215"/>
      <c r="M28" s="215"/>
      <c r="N28" s="217"/>
      <c r="O28" s="217"/>
      <c r="P28" s="213"/>
      <c r="Q28" s="215"/>
      <c r="R28" s="215"/>
      <c r="S28" s="217"/>
      <c r="T28" s="217"/>
      <c r="U28" s="213"/>
      <c r="V28" s="215"/>
      <c r="W28" s="215"/>
      <c r="X28" s="217"/>
      <c r="Y28" s="217"/>
      <c r="Z28" s="213"/>
      <c r="AA28" s="215"/>
      <c r="AB28" s="215"/>
      <c r="AC28" s="217"/>
      <c r="AD28" s="217"/>
      <c r="AE28" s="213"/>
      <c r="AF28" s="215"/>
      <c r="AG28" s="215"/>
      <c r="AH28" s="217"/>
      <c r="AI28" s="217"/>
      <c r="AJ28" s="213"/>
    </row>
    <row r="29" spans="1:36" ht="33.75" customHeight="1">
      <c r="A29" s="213"/>
      <c r="B29" s="214">
        <f ca="1">IFERROR(__xludf.DUMMYFUNCTION("""COMPUTED_VALUE"""),2835072)</f>
        <v>2835072</v>
      </c>
      <c r="C29" s="215" t="str">
        <f ca="1">IFERROR(__xludf.DUMMYFUNCTION("""COMPUTED_VALUE"""),"General")</f>
        <v>General</v>
      </c>
      <c r="D29" s="216" t="str">
        <f ca="1">IFERROR(__xludf.DUMMYFUNCTION("""COMPUTED_VALUE"""),"Writing with Commonly Confused Words")</f>
        <v>Writing with Commonly Confused Words</v>
      </c>
      <c r="E29" s="217"/>
      <c r="F29" s="213"/>
      <c r="G29" s="214"/>
      <c r="H29" s="215"/>
      <c r="I29" s="217"/>
      <c r="J29" s="217"/>
      <c r="K29" s="213"/>
      <c r="L29" s="215"/>
      <c r="M29" s="215"/>
      <c r="N29" s="217"/>
      <c r="O29" s="217"/>
      <c r="P29" s="213"/>
      <c r="Q29" s="215"/>
      <c r="R29" s="215"/>
      <c r="S29" s="217"/>
      <c r="T29" s="217"/>
      <c r="U29" s="213"/>
      <c r="V29" s="215"/>
      <c r="W29" s="215"/>
      <c r="X29" s="217"/>
      <c r="Y29" s="217"/>
      <c r="Z29" s="213"/>
      <c r="AA29" s="215"/>
      <c r="AB29" s="215"/>
      <c r="AC29" s="217"/>
      <c r="AD29" s="217"/>
      <c r="AE29" s="213"/>
      <c r="AF29" s="215"/>
      <c r="AG29" s="215"/>
      <c r="AH29" s="217"/>
      <c r="AI29" s="217"/>
      <c r="AJ29" s="213"/>
    </row>
    <row r="30" spans="1:36" ht="33.75" customHeight="1">
      <c r="A30" s="213"/>
      <c r="B30" s="214">
        <f ca="1">IFERROR(__xludf.DUMMYFUNCTION("""COMPUTED_VALUE"""),791334)</f>
        <v>791334</v>
      </c>
      <c r="C30" s="215" t="str">
        <f ca="1">IFERROR(__xludf.DUMMYFUNCTION("""COMPUTED_VALUE"""),"General")</f>
        <v>General</v>
      </c>
      <c r="D30" s="216" t="str">
        <f ca="1">IFERROR(__xludf.DUMMYFUNCTION("""COMPUTED_VALUE"""),"Sell Your Novel to a Major Publisher")</f>
        <v>Sell Your Novel to a Major Publisher</v>
      </c>
      <c r="E30" s="217"/>
      <c r="F30" s="213"/>
      <c r="G30" s="214"/>
      <c r="H30" s="215"/>
      <c r="I30" s="217"/>
      <c r="J30" s="217"/>
      <c r="K30" s="213"/>
      <c r="L30" s="215"/>
      <c r="M30" s="215"/>
      <c r="N30" s="217"/>
      <c r="O30" s="217"/>
      <c r="P30" s="213"/>
      <c r="Q30" s="215"/>
      <c r="R30" s="215"/>
      <c r="S30" s="217"/>
      <c r="T30" s="217"/>
      <c r="U30" s="213"/>
      <c r="V30" s="215"/>
      <c r="W30" s="215"/>
      <c r="X30" s="217"/>
      <c r="Y30" s="217"/>
      <c r="Z30" s="213"/>
      <c r="AA30" s="215"/>
      <c r="AB30" s="215"/>
      <c r="AC30" s="217"/>
      <c r="AD30" s="217"/>
      <c r="AE30" s="213"/>
      <c r="AF30" s="215"/>
      <c r="AG30" s="215"/>
      <c r="AH30" s="217"/>
      <c r="AI30" s="217"/>
      <c r="AJ30" s="213"/>
    </row>
    <row r="31" spans="1:36" ht="33.75" customHeight="1">
      <c r="A31" s="213"/>
      <c r="B31" s="214">
        <f ca="1">IFERROR(__xludf.DUMMYFUNCTION("""COMPUTED_VALUE"""),802833)</f>
        <v>802833</v>
      </c>
      <c r="C31" s="215" t="str">
        <f ca="1">IFERROR(__xludf.DUMMYFUNCTION("""COMPUTED_VALUE"""),"General")</f>
        <v>General</v>
      </c>
      <c r="D31" s="216" t="str">
        <f ca="1">IFERROR(__xludf.DUMMYFUNCTION("""COMPUTED_VALUE"""),"The Foundations of Fiction")</f>
        <v>The Foundations of Fiction</v>
      </c>
      <c r="E31" s="217"/>
      <c r="F31" s="213"/>
      <c r="G31" s="214"/>
      <c r="H31" s="215"/>
      <c r="I31" s="217"/>
      <c r="J31" s="217"/>
      <c r="K31" s="213"/>
      <c r="L31" s="215"/>
      <c r="M31" s="215"/>
      <c r="N31" s="217"/>
      <c r="O31" s="217"/>
      <c r="P31" s="213"/>
      <c r="Q31" s="215"/>
      <c r="R31" s="215"/>
      <c r="S31" s="217"/>
      <c r="T31" s="217"/>
      <c r="U31" s="213"/>
      <c r="V31" s="215"/>
      <c r="W31" s="215"/>
      <c r="X31" s="217"/>
      <c r="Y31" s="217"/>
      <c r="Z31" s="213"/>
      <c r="AA31" s="215"/>
      <c r="AB31" s="215"/>
      <c r="AC31" s="217"/>
      <c r="AD31" s="217"/>
      <c r="AE31" s="213"/>
      <c r="AF31" s="215"/>
      <c r="AG31" s="215"/>
      <c r="AH31" s="217"/>
      <c r="AI31" s="217"/>
      <c r="AJ31" s="213"/>
    </row>
    <row r="32" spans="1:36" ht="16">
      <c r="A32" s="213"/>
      <c r="B32" s="214">
        <f ca="1">IFERROR(__xludf.DUMMYFUNCTION("""COMPUTED_VALUE"""),2825739)</f>
        <v>2825739</v>
      </c>
      <c r="C32" s="215" t="str">
        <f ca="1">IFERROR(__xludf.DUMMYFUNCTION("""COMPUTED_VALUE"""),"General")</f>
        <v>General</v>
      </c>
      <c r="D32" s="216" t="str">
        <f ca="1">IFERROR(__xludf.DUMMYFUNCTION("""COMPUTED_VALUE"""),"Writing and Delivering Speeches")</f>
        <v>Writing and Delivering Speeches</v>
      </c>
      <c r="E32" s="217"/>
      <c r="F32" s="213"/>
      <c r="G32" s="214"/>
      <c r="H32" s="215"/>
      <c r="I32" s="217"/>
      <c r="J32" s="217"/>
      <c r="K32" s="213"/>
      <c r="L32" s="215"/>
      <c r="M32" s="215"/>
      <c r="N32" s="217"/>
      <c r="O32" s="217"/>
      <c r="P32" s="213"/>
      <c r="Q32" s="215"/>
      <c r="R32" s="215"/>
      <c r="S32" s="217"/>
      <c r="T32" s="217"/>
      <c r="U32" s="213"/>
      <c r="V32" s="215"/>
      <c r="W32" s="215"/>
      <c r="X32" s="217"/>
      <c r="Y32" s="217"/>
      <c r="Z32" s="213"/>
      <c r="AA32" s="215"/>
      <c r="AB32" s="215"/>
      <c r="AC32" s="217"/>
      <c r="AD32" s="217"/>
      <c r="AE32" s="213"/>
      <c r="AF32" s="215"/>
      <c r="AG32" s="215"/>
      <c r="AH32" s="217"/>
      <c r="AI32" s="217"/>
      <c r="AJ32" s="213"/>
    </row>
    <row r="33" spans="1:36" ht="33.75" customHeight="1">
      <c r="A33" s="213"/>
      <c r="B33" s="214">
        <f ca="1">IFERROR(__xludf.DUMMYFUNCTION("""COMPUTED_VALUE"""),2888117)</f>
        <v>2888117</v>
      </c>
      <c r="C33" s="215" t="str">
        <f ca="1">IFERROR(__xludf.DUMMYFUNCTION("""COMPUTED_VALUE"""),"Intermediate")</f>
        <v>Intermediate</v>
      </c>
      <c r="D33" s="216" t="str">
        <f ca="1">IFERROR(__xludf.DUMMYFUNCTION("""COMPUTED_VALUE"""),"Cold Email Prospecting")</f>
        <v>Cold Email Prospecting</v>
      </c>
      <c r="E33" s="217"/>
      <c r="F33" s="213"/>
      <c r="G33" s="214"/>
      <c r="H33" s="215"/>
      <c r="I33" s="217"/>
      <c r="J33" s="217"/>
      <c r="K33" s="213"/>
      <c r="L33" s="215"/>
      <c r="M33" s="215"/>
      <c r="N33" s="217"/>
      <c r="O33" s="217"/>
      <c r="P33" s="213"/>
      <c r="Q33" s="215"/>
      <c r="R33" s="215"/>
      <c r="S33" s="217"/>
      <c r="T33" s="217"/>
      <c r="U33" s="213"/>
      <c r="V33" s="215"/>
      <c r="W33" s="215"/>
      <c r="X33" s="217"/>
      <c r="Y33" s="217"/>
      <c r="Z33" s="213"/>
      <c r="AA33" s="215"/>
      <c r="AB33" s="215"/>
      <c r="AC33" s="217"/>
      <c r="AD33" s="217"/>
      <c r="AE33" s="213"/>
      <c r="AF33" s="215"/>
      <c r="AG33" s="215"/>
      <c r="AH33" s="217"/>
      <c r="AI33" s="217"/>
      <c r="AJ33" s="213"/>
    </row>
    <row r="34" spans="1:36" ht="33.75" customHeight="1">
      <c r="A34" s="213"/>
      <c r="B34" s="214">
        <f ca="1">IFERROR(__xludf.DUMMYFUNCTION("""COMPUTED_VALUE"""),721926)</f>
        <v>721926</v>
      </c>
      <c r="C34" s="215" t="str">
        <f ca="1">IFERROR(__xludf.DUMMYFUNCTION("""COMPUTED_VALUE"""),"Intermediate")</f>
        <v>Intermediate</v>
      </c>
      <c r="D34" s="216" t="str">
        <f ca="1">IFERROR(__xludf.DUMMYFUNCTION("""COMPUTED_VALUE"""),"Ninja Writing: The Four Levels of Writing Mastery")</f>
        <v>Ninja Writing: The Four Levels of Writing Mastery</v>
      </c>
      <c r="E34" s="217"/>
      <c r="F34" s="213"/>
      <c r="G34" s="214"/>
      <c r="H34" s="215"/>
      <c r="I34" s="217"/>
      <c r="J34" s="217"/>
      <c r="K34" s="213"/>
      <c r="L34" s="215"/>
      <c r="M34" s="215"/>
      <c r="N34" s="217"/>
      <c r="O34" s="217"/>
      <c r="P34" s="213"/>
      <c r="Q34" s="215"/>
      <c r="R34" s="215"/>
      <c r="S34" s="217"/>
      <c r="T34" s="217"/>
      <c r="U34" s="213"/>
      <c r="V34" s="215"/>
      <c r="W34" s="215"/>
      <c r="X34" s="217"/>
      <c r="Y34" s="217"/>
      <c r="Z34" s="213"/>
      <c r="AA34" s="215"/>
      <c r="AB34" s="215"/>
      <c r="AC34" s="217"/>
      <c r="AD34" s="217"/>
      <c r="AE34" s="213"/>
      <c r="AF34" s="215"/>
      <c r="AG34" s="215"/>
      <c r="AH34" s="217"/>
      <c r="AI34" s="217"/>
      <c r="AJ34" s="213"/>
    </row>
    <row r="35" spans="1:36" ht="33.75" customHeight="1">
      <c r="A35" s="213"/>
      <c r="B35" s="214">
        <f ca="1">IFERROR(__xludf.DUMMYFUNCTION("""COMPUTED_VALUE"""),461915)</f>
        <v>461915</v>
      </c>
      <c r="C35" s="215" t="str">
        <f ca="1">IFERROR(__xludf.DUMMYFUNCTION("""COMPUTED_VALUE"""),"Intermediate")</f>
        <v>Intermediate</v>
      </c>
      <c r="D35" s="216" t="str">
        <f ca="1">IFERROR(__xludf.DUMMYFUNCTION("""COMPUTED_VALUE"""),"Writing Headlines")</f>
        <v>Writing Headlines</v>
      </c>
      <c r="E35" s="217"/>
      <c r="F35" s="213"/>
      <c r="G35" s="214"/>
      <c r="H35" s="215"/>
      <c r="I35" s="217"/>
      <c r="J35" s="217"/>
      <c r="K35" s="213"/>
      <c r="L35" s="215"/>
      <c r="M35" s="215"/>
      <c r="N35" s="217"/>
      <c r="O35" s="217"/>
      <c r="P35" s="213"/>
      <c r="Q35" s="215"/>
      <c r="R35" s="215"/>
      <c r="S35" s="217"/>
      <c r="T35" s="217"/>
      <c r="U35" s="213"/>
      <c r="V35" s="215"/>
      <c r="W35" s="215"/>
      <c r="X35" s="217"/>
      <c r="Y35" s="217"/>
      <c r="Z35" s="213"/>
      <c r="AA35" s="215"/>
      <c r="AB35" s="215"/>
      <c r="AC35" s="217"/>
      <c r="AD35" s="217"/>
      <c r="AE35" s="213"/>
      <c r="AF35" s="215"/>
      <c r="AG35" s="215"/>
      <c r="AH35" s="217"/>
      <c r="AI35" s="217"/>
      <c r="AJ35" s="213"/>
    </row>
    <row r="36" spans="1:36" ht="33.75" customHeight="1">
      <c r="A36" s="213"/>
      <c r="B36" s="214"/>
      <c r="C36" s="215"/>
      <c r="D36" s="216"/>
      <c r="E36" s="217"/>
      <c r="F36" s="213"/>
      <c r="G36" s="214"/>
      <c r="H36" s="215"/>
      <c r="I36" s="217"/>
      <c r="J36" s="217"/>
      <c r="K36" s="213"/>
      <c r="L36" s="215"/>
      <c r="M36" s="215"/>
      <c r="N36" s="217"/>
      <c r="O36" s="217"/>
      <c r="P36" s="213"/>
      <c r="Q36" s="215"/>
      <c r="R36" s="215"/>
      <c r="S36" s="217"/>
      <c r="T36" s="217"/>
      <c r="U36" s="213"/>
      <c r="V36" s="215"/>
      <c r="W36" s="215"/>
      <c r="X36" s="217"/>
      <c r="Y36" s="217"/>
      <c r="Z36" s="213"/>
      <c r="AA36" s="215"/>
      <c r="AB36" s="215"/>
      <c r="AC36" s="217"/>
      <c r="AD36" s="217"/>
      <c r="AE36" s="213"/>
      <c r="AF36" s="215"/>
      <c r="AG36" s="215"/>
      <c r="AH36" s="217"/>
      <c r="AI36" s="217"/>
      <c r="AJ36" s="213"/>
    </row>
    <row r="37" spans="1:36" ht="33.75" customHeight="1">
      <c r="A37" s="213"/>
      <c r="B37" s="214"/>
      <c r="C37" s="215"/>
      <c r="D37" s="216"/>
      <c r="E37" s="217"/>
      <c r="F37" s="213"/>
      <c r="G37" s="214"/>
      <c r="H37" s="215"/>
      <c r="I37" s="217"/>
      <c r="J37" s="217"/>
      <c r="K37" s="213"/>
      <c r="L37" s="215"/>
      <c r="M37" s="215"/>
      <c r="N37" s="217"/>
      <c r="O37" s="217"/>
      <c r="P37" s="213"/>
      <c r="Q37" s="215"/>
      <c r="R37" s="215"/>
      <c r="S37" s="217"/>
      <c r="T37" s="217"/>
      <c r="U37" s="213"/>
      <c r="V37" s="215"/>
      <c r="W37" s="215"/>
      <c r="X37" s="217"/>
      <c r="Y37" s="217"/>
      <c r="Z37" s="213"/>
      <c r="AA37" s="215"/>
      <c r="AB37" s="215"/>
      <c r="AC37" s="217"/>
      <c r="AD37" s="217"/>
      <c r="AE37" s="213"/>
      <c r="AF37" s="215"/>
      <c r="AG37" s="215"/>
      <c r="AH37" s="217"/>
      <c r="AI37" s="217"/>
      <c r="AJ37" s="213"/>
    </row>
    <row r="38" spans="1:36" ht="33.75" customHeight="1">
      <c r="A38" s="213"/>
      <c r="B38" s="214"/>
      <c r="C38" s="215"/>
      <c r="D38" s="216"/>
      <c r="E38" s="217"/>
      <c r="F38" s="213"/>
      <c r="G38" s="214"/>
      <c r="H38" s="215"/>
      <c r="I38" s="217"/>
      <c r="J38" s="217"/>
      <c r="K38" s="213"/>
      <c r="L38" s="215"/>
      <c r="M38" s="215"/>
      <c r="N38" s="217"/>
      <c r="O38" s="217"/>
      <c r="P38" s="213"/>
      <c r="Q38" s="215"/>
      <c r="R38" s="215"/>
      <c r="S38" s="217"/>
      <c r="T38" s="217"/>
      <c r="U38" s="213"/>
      <c r="V38" s="215"/>
      <c r="W38" s="215"/>
      <c r="X38" s="217"/>
      <c r="Y38" s="217"/>
      <c r="Z38" s="213"/>
      <c r="AA38" s="215"/>
      <c r="AB38" s="215"/>
      <c r="AC38" s="217"/>
      <c r="AD38" s="217"/>
      <c r="AE38" s="213"/>
      <c r="AF38" s="215"/>
      <c r="AG38" s="215"/>
      <c r="AH38" s="217"/>
      <c r="AI38" s="217"/>
      <c r="AJ38" s="213"/>
    </row>
    <row r="39" spans="1:36" ht="33.75" customHeight="1">
      <c r="A39" s="213"/>
      <c r="B39" s="214"/>
      <c r="C39" s="215"/>
      <c r="D39" s="216"/>
      <c r="E39" s="217"/>
      <c r="F39" s="213"/>
      <c r="G39" s="214"/>
      <c r="H39" s="215"/>
      <c r="I39" s="217"/>
      <c r="J39" s="217"/>
      <c r="K39" s="213"/>
      <c r="L39" s="215"/>
      <c r="M39" s="215"/>
      <c r="N39" s="217"/>
      <c r="O39" s="217"/>
      <c r="P39" s="213"/>
      <c r="Q39" s="215"/>
      <c r="R39" s="215"/>
      <c r="S39" s="217"/>
      <c r="T39" s="217"/>
      <c r="U39" s="213"/>
      <c r="V39" s="215"/>
      <c r="W39" s="215"/>
      <c r="X39" s="217"/>
      <c r="Y39" s="217"/>
      <c r="Z39" s="213"/>
      <c r="AA39" s="215"/>
      <c r="AB39" s="215"/>
      <c r="AC39" s="217"/>
      <c r="AD39" s="217"/>
      <c r="AE39" s="213"/>
      <c r="AF39" s="215"/>
      <c r="AG39" s="215"/>
      <c r="AH39" s="217"/>
      <c r="AI39" s="217"/>
      <c r="AJ39" s="213"/>
    </row>
    <row r="40" spans="1:36" ht="33.75" customHeight="1">
      <c r="A40" s="213"/>
      <c r="B40" s="214"/>
      <c r="C40" s="215"/>
      <c r="D40" s="216"/>
      <c r="E40" s="217"/>
      <c r="F40" s="213"/>
      <c r="G40" s="214"/>
      <c r="H40" s="215"/>
      <c r="I40" s="217"/>
      <c r="J40" s="217"/>
      <c r="K40" s="213"/>
      <c r="L40" s="215"/>
      <c r="M40" s="215"/>
      <c r="N40" s="217"/>
      <c r="O40" s="217"/>
      <c r="P40" s="213"/>
      <c r="Q40" s="215"/>
      <c r="R40" s="215"/>
      <c r="S40" s="217"/>
      <c r="T40" s="217"/>
      <c r="U40" s="213"/>
      <c r="V40" s="215"/>
      <c r="W40" s="215"/>
      <c r="X40" s="217"/>
      <c r="Y40" s="217"/>
      <c r="Z40" s="213"/>
      <c r="AA40" s="215"/>
      <c r="AB40" s="215"/>
      <c r="AC40" s="217"/>
      <c r="AD40" s="217"/>
      <c r="AE40" s="213"/>
      <c r="AF40" s="215"/>
      <c r="AG40" s="215"/>
      <c r="AH40" s="217"/>
      <c r="AI40" s="217"/>
      <c r="AJ40" s="213"/>
    </row>
    <row r="41" spans="1:36" ht="33.75" customHeight="1">
      <c r="A41" s="213"/>
      <c r="B41" s="214"/>
      <c r="C41" s="215"/>
      <c r="D41" s="216"/>
      <c r="E41" s="217"/>
      <c r="F41" s="213"/>
      <c r="G41" s="214"/>
      <c r="H41" s="215"/>
      <c r="I41" s="217"/>
      <c r="J41" s="217"/>
      <c r="K41" s="213"/>
      <c r="L41" s="215"/>
      <c r="M41" s="215"/>
      <c r="N41" s="217"/>
      <c r="O41" s="217"/>
      <c r="P41" s="213"/>
      <c r="Q41" s="215"/>
      <c r="R41" s="215"/>
      <c r="S41" s="217"/>
      <c r="T41" s="217"/>
      <c r="U41" s="213"/>
      <c r="V41" s="215"/>
      <c r="W41" s="215"/>
      <c r="X41" s="217"/>
      <c r="Y41" s="217"/>
      <c r="Z41" s="213"/>
      <c r="AA41" s="215"/>
      <c r="AB41" s="215"/>
      <c r="AC41" s="217"/>
      <c r="AD41" s="217"/>
      <c r="AE41" s="213"/>
      <c r="AF41" s="215"/>
      <c r="AG41" s="215"/>
      <c r="AH41" s="217"/>
      <c r="AI41" s="217"/>
      <c r="AJ41" s="213"/>
    </row>
    <row r="42" spans="1:36" ht="33.75" customHeight="1">
      <c r="A42" s="213"/>
      <c r="B42" s="214"/>
      <c r="C42" s="215"/>
      <c r="D42" s="216"/>
      <c r="E42" s="217"/>
      <c r="F42" s="213"/>
      <c r="G42" s="214"/>
      <c r="H42" s="215"/>
      <c r="I42" s="217"/>
      <c r="J42" s="217"/>
      <c r="K42" s="213"/>
      <c r="L42" s="215"/>
      <c r="M42" s="215"/>
      <c r="N42" s="217"/>
      <c r="O42" s="217"/>
      <c r="P42" s="213"/>
      <c r="Q42" s="215"/>
      <c r="R42" s="215"/>
      <c r="S42" s="217"/>
      <c r="T42" s="217"/>
      <c r="U42" s="213"/>
      <c r="V42" s="215"/>
      <c r="W42" s="215"/>
      <c r="X42" s="217"/>
      <c r="Y42" s="217"/>
      <c r="Z42" s="213"/>
      <c r="AA42" s="215"/>
      <c r="AB42" s="215"/>
      <c r="AC42" s="217"/>
      <c r="AD42" s="217"/>
      <c r="AE42" s="213"/>
      <c r="AF42" s="215"/>
      <c r="AG42" s="215"/>
      <c r="AH42" s="217"/>
      <c r="AI42" s="217"/>
      <c r="AJ42" s="213"/>
    </row>
    <row r="43" spans="1:36" ht="33.75" customHeight="1">
      <c r="A43" s="213"/>
      <c r="B43" s="214"/>
      <c r="C43" s="215"/>
      <c r="D43" s="216"/>
      <c r="E43" s="217"/>
      <c r="F43" s="213"/>
      <c r="G43" s="214"/>
      <c r="H43" s="215"/>
      <c r="I43" s="217"/>
      <c r="J43" s="217"/>
      <c r="K43" s="213"/>
      <c r="L43" s="215"/>
      <c r="M43" s="215"/>
      <c r="N43" s="217"/>
      <c r="O43" s="217"/>
      <c r="P43" s="213"/>
      <c r="Q43" s="215"/>
      <c r="R43" s="215"/>
      <c r="S43" s="217"/>
      <c r="T43" s="217"/>
      <c r="U43" s="213"/>
      <c r="V43" s="215"/>
      <c r="W43" s="215"/>
      <c r="X43" s="217"/>
      <c r="Y43" s="217"/>
      <c r="Z43" s="213"/>
      <c r="AA43" s="215"/>
      <c r="AB43" s="215"/>
      <c r="AC43" s="217"/>
      <c r="AD43" s="217"/>
      <c r="AE43" s="213"/>
      <c r="AF43" s="215"/>
      <c r="AG43" s="215"/>
      <c r="AH43" s="217"/>
      <c r="AI43" s="217"/>
      <c r="AJ43" s="213"/>
    </row>
    <row r="44" spans="1:36" ht="33.75" customHeight="1">
      <c r="A44" s="213"/>
      <c r="B44" s="214"/>
      <c r="C44" s="215"/>
      <c r="D44" s="216"/>
      <c r="E44" s="217"/>
      <c r="F44" s="213"/>
      <c r="G44" s="214"/>
      <c r="H44" s="215"/>
      <c r="I44" s="217"/>
      <c r="J44" s="217"/>
      <c r="K44" s="213"/>
      <c r="L44" s="215"/>
      <c r="M44" s="215"/>
      <c r="N44" s="217"/>
      <c r="O44" s="217"/>
      <c r="P44" s="213"/>
      <c r="Q44" s="215"/>
      <c r="R44" s="215"/>
      <c r="S44" s="217"/>
      <c r="T44" s="217"/>
      <c r="U44" s="213"/>
      <c r="V44" s="215"/>
      <c r="W44" s="215"/>
      <c r="X44" s="217"/>
      <c r="Y44" s="217"/>
      <c r="Z44" s="213"/>
      <c r="AA44" s="215"/>
      <c r="AB44" s="215"/>
      <c r="AC44" s="217"/>
      <c r="AD44" s="217"/>
      <c r="AE44" s="213"/>
      <c r="AF44" s="215"/>
      <c r="AG44" s="215"/>
      <c r="AH44" s="217"/>
      <c r="AI44" s="217"/>
      <c r="AJ44" s="213"/>
    </row>
    <row r="45" spans="1:36" ht="33.75" customHeight="1">
      <c r="A45" s="213"/>
      <c r="B45" s="214"/>
      <c r="C45" s="215"/>
      <c r="D45" s="216"/>
      <c r="E45" s="217"/>
      <c r="F45" s="213"/>
      <c r="G45" s="214"/>
      <c r="H45" s="215"/>
      <c r="I45" s="217"/>
      <c r="J45" s="217"/>
      <c r="K45" s="213"/>
      <c r="L45" s="215"/>
      <c r="M45" s="215"/>
      <c r="N45" s="217"/>
      <c r="O45" s="217"/>
      <c r="P45" s="213"/>
      <c r="Q45" s="215"/>
      <c r="R45" s="215"/>
      <c r="S45" s="217"/>
      <c r="T45" s="217"/>
      <c r="U45" s="213"/>
      <c r="V45" s="215"/>
      <c r="W45" s="215"/>
      <c r="X45" s="217"/>
      <c r="Y45" s="217"/>
      <c r="Z45" s="213"/>
      <c r="AA45" s="215"/>
      <c r="AB45" s="215"/>
      <c r="AC45" s="217"/>
      <c r="AD45" s="217"/>
      <c r="AE45" s="213"/>
      <c r="AF45" s="215"/>
      <c r="AG45" s="215"/>
      <c r="AH45" s="217"/>
      <c r="AI45" s="217"/>
      <c r="AJ45" s="213"/>
    </row>
    <row r="46" spans="1:36" ht="33.75" customHeight="1">
      <c r="A46" s="213"/>
      <c r="B46" s="214"/>
      <c r="C46" s="215"/>
      <c r="D46" s="216"/>
      <c r="E46" s="217"/>
      <c r="F46" s="213"/>
      <c r="G46" s="214"/>
      <c r="H46" s="215"/>
      <c r="I46" s="217"/>
      <c r="J46" s="217"/>
      <c r="K46" s="213"/>
      <c r="L46" s="215"/>
      <c r="M46" s="215"/>
      <c r="N46" s="217"/>
      <c r="O46" s="217"/>
      <c r="P46" s="213"/>
      <c r="Q46" s="215"/>
      <c r="R46" s="215"/>
      <c r="S46" s="217"/>
      <c r="T46" s="217"/>
      <c r="U46" s="213"/>
      <c r="V46" s="215"/>
      <c r="W46" s="215"/>
      <c r="X46" s="217"/>
      <c r="Y46" s="217"/>
      <c r="Z46" s="213"/>
      <c r="AA46" s="215"/>
      <c r="AB46" s="215"/>
      <c r="AC46" s="217"/>
      <c r="AD46" s="217"/>
      <c r="AE46" s="213"/>
      <c r="AF46" s="215"/>
      <c r="AG46" s="215"/>
      <c r="AH46" s="217"/>
      <c r="AI46" s="217"/>
      <c r="AJ46" s="213"/>
    </row>
    <row r="47" spans="1:36" ht="33.75" customHeight="1">
      <c r="A47" s="213"/>
      <c r="B47" s="214"/>
      <c r="C47" s="215"/>
      <c r="D47" s="216"/>
      <c r="E47" s="217"/>
      <c r="F47" s="213"/>
      <c r="G47" s="214"/>
      <c r="H47" s="215"/>
      <c r="I47" s="217"/>
      <c r="J47" s="217"/>
      <c r="K47" s="213"/>
      <c r="L47" s="215"/>
      <c r="M47" s="215"/>
      <c r="N47" s="217"/>
      <c r="O47" s="217"/>
      <c r="P47" s="213"/>
      <c r="Q47" s="215"/>
      <c r="R47" s="215"/>
      <c r="S47" s="217"/>
      <c r="T47" s="217"/>
      <c r="U47" s="213"/>
      <c r="V47" s="215"/>
      <c r="W47" s="215"/>
      <c r="X47" s="217"/>
      <c r="Y47" s="217"/>
      <c r="Z47" s="213"/>
      <c r="AA47" s="215"/>
      <c r="AB47" s="215"/>
      <c r="AC47" s="217"/>
      <c r="AD47" s="217"/>
      <c r="AE47" s="213"/>
      <c r="AF47" s="215"/>
      <c r="AG47" s="215"/>
      <c r="AH47" s="217"/>
      <c r="AI47" s="217"/>
      <c r="AJ47" s="213"/>
    </row>
    <row r="48" spans="1:36" ht="33.75" customHeight="1">
      <c r="A48" s="213"/>
      <c r="B48" s="214"/>
      <c r="C48" s="215"/>
      <c r="D48" s="216"/>
      <c r="E48" s="217"/>
      <c r="F48" s="213"/>
      <c r="G48" s="214"/>
      <c r="H48" s="215"/>
      <c r="I48" s="217"/>
      <c r="J48" s="217"/>
      <c r="K48" s="213"/>
      <c r="L48" s="215"/>
      <c r="M48" s="215"/>
      <c r="N48" s="217"/>
      <c r="O48" s="217"/>
      <c r="P48" s="213"/>
      <c r="Q48" s="215"/>
      <c r="R48" s="215"/>
      <c r="S48" s="217"/>
      <c r="T48" s="217"/>
      <c r="U48" s="213"/>
      <c r="V48" s="215"/>
      <c r="W48" s="215"/>
      <c r="X48" s="217"/>
      <c r="Y48" s="217"/>
      <c r="Z48" s="213"/>
      <c r="AA48" s="215"/>
      <c r="AB48" s="215"/>
      <c r="AC48" s="217"/>
      <c r="AD48" s="217"/>
      <c r="AE48" s="213"/>
      <c r="AF48" s="215"/>
      <c r="AG48" s="215"/>
      <c r="AH48" s="217"/>
      <c r="AI48" s="217"/>
      <c r="AJ48" s="213"/>
    </row>
    <row r="49" spans="1:36" ht="33.75" customHeight="1">
      <c r="A49" s="213"/>
      <c r="B49" s="214"/>
      <c r="C49" s="215"/>
      <c r="D49" s="216"/>
      <c r="E49" s="217"/>
      <c r="F49" s="213"/>
      <c r="G49" s="214"/>
      <c r="H49" s="215"/>
      <c r="I49" s="217"/>
      <c r="J49" s="217"/>
      <c r="K49" s="213"/>
      <c r="L49" s="215"/>
      <c r="M49" s="215"/>
      <c r="N49" s="217"/>
      <c r="O49" s="217"/>
      <c r="P49" s="213"/>
      <c r="Q49" s="215"/>
      <c r="R49" s="215"/>
      <c r="S49" s="217"/>
      <c r="T49" s="217"/>
      <c r="U49" s="213"/>
      <c r="V49" s="215"/>
      <c r="W49" s="215"/>
      <c r="X49" s="217"/>
      <c r="Y49" s="217"/>
      <c r="Z49" s="213"/>
      <c r="AA49" s="215"/>
      <c r="AB49" s="215"/>
      <c r="AC49" s="217"/>
      <c r="AD49" s="217"/>
      <c r="AE49" s="213"/>
      <c r="AF49" s="215"/>
      <c r="AG49" s="215"/>
      <c r="AH49" s="217"/>
      <c r="AI49" s="217"/>
      <c r="AJ49" s="213"/>
    </row>
    <row r="50" spans="1:36" ht="33.75" customHeight="1">
      <c r="A50" s="213"/>
      <c r="B50" s="214"/>
      <c r="C50" s="215"/>
      <c r="D50" s="216"/>
      <c r="E50" s="217"/>
      <c r="F50" s="213"/>
      <c r="G50" s="214"/>
      <c r="H50" s="215"/>
      <c r="I50" s="217"/>
      <c r="J50" s="217"/>
      <c r="K50" s="213"/>
      <c r="L50" s="215"/>
      <c r="M50" s="215"/>
      <c r="N50" s="217"/>
      <c r="O50" s="217"/>
      <c r="P50" s="213"/>
      <c r="Q50" s="215"/>
      <c r="R50" s="215"/>
      <c r="S50" s="217"/>
      <c r="T50" s="217"/>
      <c r="U50" s="213"/>
      <c r="V50" s="215"/>
      <c r="W50" s="215"/>
      <c r="X50" s="217"/>
      <c r="Y50" s="217"/>
      <c r="Z50" s="213"/>
      <c r="AA50" s="215"/>
      <c r="AB50" s="215"/>
      <c r="AC50" s="217"/>
      <c r="AD50" s="217"/>
      <c r="AE50" s="213"/>
      <c r="AF50" s="215"/>
      <c r="AG50" s="215"/>
      <c r="AH50" s="217"/>
      <c r="AI50" s="217"/>
      <c r="AJ50" s="213"/>
    </row>
    <row r="51" spans="1:36" ht="33.75" customHeight="1">
      <c r="A51" s="213"/>
      <c r="B51" s="214"/>
      <c r="C51" s="215"/>
      <c r="D51" s="216"/>
      <c r="E51" s="217"/>
      <c r="F51" s="213"/>
      <c r="G51" s="214"/>
      <c r="H51" s="215"/>
      <c r="I51" s="217"/>
      <c r="J51" s="217"/>
      <c r="K51" s="213"/>
      <c r="L51" s="215"/>
      <c r="M51" s="215"/>
      <c r="N51" s="217"/>
      <c r="O51" s="217"/>
      <c r="P51" s="213"/>
      <c r="Q51" s="215"/>
      <c r="R51" s="215"/>
      <c r="S51" s="217"/>
      <c r="T51" s="217"/>
      <c r="U51" s="213"/>
      <c r="V51" s="215"/>
      <c r="W51" s="215"/>
      <c r="X51" s="217"/>
      <c r="Y51" s="217"/>
      <c r="Z51" s="213"/>
      <c r="AA51" s="215"/>
      <c r="AB51" s="215"/>
      <c r="AC51" s="217"/>
      <c r="AD51" s="217"/>
      <c r="AE51" s="213"/>
      <c r="AF51" s="215"/>
      <c r="AG51" s="215"/>
      <c r="AH51" s="217"/>
      <c r="AI51" s="217"/>
      <c r="AJ51" s="213"/>
    </row>
    <row r="52" spans="1:36" ht="33.75" customHeight="1">
      <c r="A52" s="213"/>
      <c r="B52" s="214"/>
      <c r="C52" s="215"/>
      <c r="D52" s="216"/>
      <c r="E52" s="217"/>
      <c r="F52" s="213"/>
      <c r="G52" s="214"/>
      <c r="H52" s="215"/>
      <c r="I52" s="217"/>
      <c r="J52" s="217"/>
      <c r="K52" s="213"/>
      <c r="L52" s="215"/>
      <c r="M52" s="215"/>
      <c r="N52" s="217"/>
      <c r="O52" s="217"/>
      <c r="P52" s="213"/>
      <c r="Q52" s="215"/>
      <c r="R52" s="215"/>
      <c r="S52" s="217"/>
      <c r="T52" s="217"/>
      <c r="U52" s="213"/>
      <c r="V52" s="215"/>
      <c r="W52" s="215"/>
      <c r="X52" s="217"/>
      <c r="Y52" s="217"/>
      <c r="Z52" s="213"/>
      <c r="AA52" s="215"/>
      <c r="AB52" s="215"/>
      <c r="AC52" s="217"/>
      <c r="AD52" s="217"/>
      <c r="AE52" s="213"/>
      <c r="AF52" s="215"/>
      <c r="AG52" s="215"/>
      <c r="AH52" s="217"/>
      <c r="AI52" s="217"/>
      <c r="AJ52" s="213"/>
    </row>
    <row r="53" spans="1:36" ht="33.75" customHeight="1">
      <c r="A53" s="213"/>
      <c r="B53" s="214"/>
      <c r="C53" s="215"/>
      <c r="D53" s="216"/>
      <c r="E53" s="217"/>
      <c r="F53" s="213"/>
      <c r="G53" s="214"/>
      <c r="H53" s="215"/>
      <c r="I53" s="217"/>
      <c r="J53" s="217"/>
      <c r="K53" s="213"/>
      <c r="L53" s="215"/>
      <c r="M53" s="215"/>
      <c r="N53" s="217"/>
      <c r="O53" s="217"/>
      <c r="P53" s="213"/>
      <c r="Q53" s="215"/>
      <c r="R53" s="215"/>
      <c r="S53" s="217"/>
      <c r="T53" s="217"/>
      <c r="U53" s="213"/>
      <c r="V53" s="215"/>
      <c r="W53" s="215"/>
      <c r="X53" s="217"/>
      <c r="Y53" s="217"/>
      <c r="Z53" s="213"/>
      <c r="AA53" s="215"/>
      <c r="AB53" s="215"/>
      <c r="AC53" s="217"/>
      <c r="AD53" s="217"/>
      <c r="AE53" s="213"/>
      <c r="AF53" s="215"/>
      <c r="AG53" s="215"/>
      <c r="AH53" s="217"/>
      <c r="AI53" s="217"/>
      <c r="AJ53" s="213"/>
    </row>
    <row r="54" spans="1:36" ht="33.75" customHeight="1">
      <c r="A54" s="213"/>
      <c r="B54" s="214"/>
      <c r="C54" s="215"/>
      <c r="D54" s="216"/>
      <c r="E54" s="217"/>
      <c r="F54" s="213"/>
      <c r="G54" s="214"/>
      <c r="H54" s="215"/>
      <c r="I54" s="217"/>
      <c r="J54" s="217"/>
      <c r="K54" s="213"/>
      <c r="L54" s="215"/>
      <c r="M54" s="215"/>
      <c r="N54" s="217"/>
      <c r="O54" s="217"/>
      <c r="P54" s="213"/>
      <c r="Q54" s="215"/>
      <c r="R54" s="215"/>
      <c r="S54" s="217"/>
      <c r="T54" s="217"/>
      <c r="U54" s="213"/>
      <c r="V54" s="215"/>
      <c r="W54" s="215"/>
      <c r="X54" s="217"/>
      <c r="Y54" s="217"/>
      <c r="Z54" s="213"/>
      <c r="AA54" s="215"/>
      <c r="AB54" s="215"/>
      <c r="AC54" s="217"/>
      <c r="AD54" s="217"/>
      <c r="AE54" s="213"/>
      <c r="AF54" s="215"/>
      <c r="AG54" s="215"/>
      <c r="AH54" s="217"/>
      <c r="AI54" s="217"/>
      <c r="AJ54" s="213"/>
    </row>
    <row r="55" spans="1:36" ht="33.75" customHeight="1">
      <c r="A55" s="213"/>
      <c r="B55" s="214"/>
      <c r="C55" s="215"/>
      <c r="D55" s="216"/>
      <c r="E55" s="217"/>
      <c r="F55" s="213"/>
      <c r="G55" s="214"/>
      <c r="H55" s="215"/>
      <c r="I55" s="217"/>
      <c r="J55" s="217"/>
      <c r="K55" s="213"/>
      <c r="L55" s="215"/>
      <c r="M55" s="215"/>
      <c r="N55" s="217"/>
      <c r="O55" s="217"/>
      <c r="P55" s="213"/>
      <c r="Q55" s="215"/>
      <c r="R55" s="215"/>
      <c r="S55" s="217"/>
      <c r="T55" s="217"/>
      <c r="U55" s="213"/>
      <c r="V55" s="215"/>
      <c r="W55" s="215"/>
      <c r="X55" s="217"/>
      <c r="Y55" s="217"/>
      <c r="Z55" s="213"/>
      <c r="AA55" s="215"/>
      <c r="AB55" s="215"/>
      <c r="AC55" s="217"/>
      <c r="AD55" s="217"/>
      <c r="AE55" s="213"/>
      <c r="AF55" s="215"/>
      <c r="AG55" s="215"/>
      <c r="AH55" s="217"/>
      <c r="AI55" s="217"/>
      <c r="AJ55" s="213"/>
    </row>
    <row r="56" spans="1:36" ht="33.75" customHeight="1">
      <c r="A56" s="213"/>
      <c r="B56" s="214"/>
      <c r="C56" s="215"/>
      <c r="D56" s="216"/>
      <c r="E56" s="217"/>
      <c r="F56" s="213"/>
      <c r="G56" s="214"/>
      <c r="H56" s="215"/>
      <c r="I56" s="217"/>
      <c r="J56" s="217"/>
      <c r="K56" s="213"/>
      <c r="L56" s="215"/>
      <c r="M56" s="215"/>
      <c r="N56" s="217"/>
      <c r="O56" s="217"/>
      <c r="P56" s="213"/>
      <c r="Q56" s="215"/>
      <c r="R56" s="215"/>
      <c r="S56" s="217"/>
      <c r="T56" s="217"/>
      <c r="U56" s="213"/>
      <c r="V56" s="215"/>
      <c r="W56" s="215"/>
      <c r="X56" s="217"/>
      <c r="Y56" s="217"/>
      <c r="Z56" s="213"/>
      <c r="AA56" s="215"/>
      <c r="AB56" s="215"/>
      <c r="AC56" s="217"/>
      <c r="AD56" s="217"/>
      <c r="AE56" s="213"/>
      <c r="AF56" s="215"/>
      <c r="AG56" s="215"/>
      <c r="AH56" s="217"/>
      <c r="AI56" s="217"/>
      <c r="AJ56" s="213"/>
    </row>
    <row r="57" spans="1:36" ht="33.75" customHeight="1">
      <c r="A57" s="213"/>
      <c r="B57" s="214"/>
      <c r="C57" s="215"/>
      <c r="D57" s="216"/>
      <c r="E57" s="217"/>
      <c r="F57" s="213"/>
      <c r="G57" s="214"/>
      <c r="H57" s="215"/>
      <c r="I57" s="217"/>
      <c r="J57" s="217"/>
      <c r="K57" s="213"/>
      <c r="L57" s="215"/>
      <c r="M57" s="215"/>
      <c r="N57" s="217"/>
      <c r="O57" s="217"/>
      <c r="P57" s="213"/>
      <c r="Q57" s="215"/>
      <c r="R57" s="215"/>
      <c r="S57" s="217"/>
      <c r="T57" s="217"/>
      <c r="U57" s="213"/>
      <c r="V57" s="215"/>
      <c r="W57" s="215"/>
      <c r="X57" s="217"/>
      <c r="Y57" s="217"/>
      <c r="Z57" s="213"/>
      <c r="AA57" s="215"/>
      <c r="AB57" s="215"/>
      <c r="AC57" s="217"/>
      <c r="AD57" s="217"/>
      <c r="AE57" s="213"/>
      <c r="AF57" s="215"/>
      <c r="AG57" s="215"/>
      <c r="AH57" s="217"/>
      <c r="AI57" s="217"/>
      <c r="AJ57" s="213"/>
    </row>
    <row r="58" spans="1:36" ht="33.75" customHeight="1">
      <c r="A58" s="213"/>
      <c r="B58" s="214"/>
      <c r="C58" s="215"/>
      <c r="D58" s="216"/>
      <c r="E58" s="217"/>
      <c r="F58" s="213"/>
      <c r="G58" s="214"/>
      <c r="H58" s="215"/>
      <c r="I58" s="217"/>
      <c r="J58" s="217"/>
      <c r="K58" s="213"/>
      <c r="L58" s="215"/>
      <c r="M58" s="215"/>
      <c r="N58" s="217"/>
      <c r="O58" s="217"/>
      <c r="P58" s="213"/>
      <c r="Q58" s="215"/>
      <c r="R58" s="215"/>
      <c r="S58" s="217"/>
      <c r="T58" s="217"/>
      <c r="U58" s="213"/>
      <c r="V58" s="215"/>
      <c r="W58" s="215"/>
      <c r="X58" s="217"/>
      <c r="Y58" s="217"/>
      <c r="Z58" s="213"/>
      <c r="AA58" s="215"/>
      <c r="AB58" s="215"/>
      <c r="AC58" s="217"/>
      <c r="AD58" s="217"/>
      <c r="AE58" s="213"/>
      <c r="AF58" s="215"/>
      <c r="AG58" s="215"/>
      <c r="AH58" s="217"/>
      <c r="AI58" s="217"/>
      <c r="AJ58" s="213"/>
    </row>
    <row r="59" spans="1:36" ht="33.75" customHeight="1">
      <c r="A59" s="213"/>
      <c r="B59" s="214"/>
      <c r="C59" s="215"/>
      <c r="D59" s="216"/>
      <c r="E59" s="217"/>
      <c r="F59" s="213"/>
      <c r="G59" s="214"/>
      <c r="H59" s="215"/>
      <c r="I59" s="217"/>
      <c r="J59" s="217"/>
      <c r="K59" s="213"/>
      <c r="L59" s="215"/>
      <c r="M59" s="215"/>
      <c r="N59" s="217"/>
      <c r="O59" s="217"/>
      <c r="P59" s="213"/>
      <c r="Q59" s="215"/>
      <c r="R59" s="215"/>
      <c r="S59" s="217"/>
      <c r="T59" s="217"/>
      <c r="U59" s="213"/>
      <c r="V59" s="215"/>
      <c r="W59" s="215"/>
      <c r="X59" s="217"/>
      <c r="Y59" s="217"/>
      <c r="Z59" s="213"/>
      <c r="AA59" s="215"/>
      <c r="AB59" s="215"/>
      <c r="AC59" s="217"/>
      <c r="AD59" s="217"/>
      <c r="AE59" s="213"/>
      <c r="AF59" s="215"/>
      <c r="AG59" s="215"/>
      <c r="AH59" s="217"/>
      <c r="AI59" s="217"/>
      <c r="AJ59" s="213"/>
    </row>
    <row r="60" spans="1:36" ht="33.75" customHeight="1">
      <c r="A60" s="213"/>
      <c r="B60" s="214"/>
      <c r="C60" s="215"/>
      <c r="D60" s="216"/>
      <c r="E60" s="217"/>
      <c r="F60" s="213"/>
      <c r="G60" s="214"/>
      <c r="H60" s="215"/>
      <c r="I60" s="217"/>
      <c r="J60" s="217"/>
      <c r="K60" s="213"/>
      <c r="L60" s="215"/>
      <c r="M60" s="215"/>
      <c r="N60" s="217"/>
      <c r="O60" s="217"/>
      <c r="P60" s="213"/>
      <c r="Q60" s="215"/>
      <c r="R60" s="215"/>
      <c r="S60" s="217"/>
      <c r="T60" s="217"/>
      <c r="U60" s="213"/>
      <c r="V60" s="215"/>
      <c r="W60" s="215"/>
      <c r="X60" s="217"/>
      <c r="Y60" s="217"/>
      <c r="Z60" s="213"/>
      <c r="AA60" s="215"/>
      <c r="AB60" s="215"/>
      <c r="AC60" s="217"/>
      <c r="AD60" s="217"/>
      <c r="AE60" s="213"/>
      <c r="AF60" s="215"/>
      <c r="AG60" s="215"/>
      <c r="AH60" s="217"/>
      <c r="AI60" s="217"/>
      <c r="AJ60" s="213"/>
    </row>
    <row r="61" spans="1:36" ht="33.75" customHeight="1">
      <c r="A61" s="213"/>
      <c r="B61" s="214"/>
      <c r="C61" s="215"/>
      <c r="D61" s="216"/>
      <c r="E61" s="217"/>
      <c r="F61" s="213"/>
      <c r="G61" s="214"/>
      <c r="H61" s="215"/>
      <c r="I61" s="217"/>
      <c r="J61" s="217"/>
      <c r="K61" s="213"/>
      <c r="L61" s="215"/>
      <c r="M61" s="215"/>
      <c r="N61" s="217"/>
      <c r="O61" s="217"/>
      <c r="P61" s="213"/>
      <c r="Q61" s="215"/>
      <c r="R61" s="215"/>
      <c r="S61" s="217"/>
      <c r="T61" s="217"/>
      <c r="U61" s="213"/>
      <c r="V61" s="215"/>
      <c r="W61" s="215"/>
      <c r="X61" s="217"/>
      <c r="Y61" s="217"/>
      <c r="Z61" s="213"/>
      <c r="AA61" s="215"/>
      <c r="AB61" s="215"/>
      <c r="AC61" s="217"/>
      <c r="AD61" s="217"/>
      <c r="AE61" s="213"/>
      <c r="AF61" s="215"/>
      <c r="AG61" s="215"/>
      <c r="AH61" s="217"/>
      <c r="AI61" s="217"/>
      <c r="AJ61" s="213"/>
    </row>
    <row r="62" spans="1:36" ht="33.75" customHeight="1">
      <c r="A62" s="213"/>
      <c r="B62" s="214"/>
      <c r="C62" s="215"/>
      <c r="D62" s="216"/>
      <c r="E62" s="217"/>
      <c r="F62" s="213"/>
      <c r="G62" s="214"/>
      <c r="H62" s="215"/>
      <c r="I62" s="217"/>
      <c r="J62" s="217"/>
      <c r="K62" s="213"/>
      <c r="L62" s="215"/>
      <c r="M62" s="215"/>
      <c r="N62" s="217"/>
      <c r="O62" s="217"/>
      <c r="P62" s="213"/>
      <c r="Q62" s="215"/>
      <c r="R62" s="215"/>
      <c r="S62" s="217"/>
      <c r="T62" s="217"/>
      <c r="U62" s="213"/>
      <c r="V62" s="215"/>
      <c r="W62" s="215"/>
      <c r="X62" s="217"/>
      <c r="Y62" s="217"/>
      <c r="Z62" s="213"/>
      <c r="AA62" s="215"/>
      <c r="AB62" s="215"/>
      <c r="AC62" s="217"/>
      <c r="AD62" s="217"/>
      <c r="AE62" s="213"/>
      <c r="AF62" s="215"/>
      <c r="AG62" s="215"/>
      <c r="AH62" s="217"/>
      <c r="AI62" s="217"/>
      <c r="AJ62" s="213"/>
    </row>
    <row r="63" spans="1:36" ht="33.75" customHeight="1">
      <c r="A63" s="213"/>
      <c r="B63" s="214"/>
      <c r="C63" s="215"/>
      <c r="D63" s="216"/>
      <c r="E63" s="217"/>
      <c r="F63" s="213"/>
      <c r="G63" s="214"/>
      <c r="H63" s="215"/>
      <c r="I63" s="217"/>
      <c r="J63" s="217"/>
      <c r="K63" s="213"/>
      <c r="L63" s="215"/>
      <c r="M63" s="215"/>
      <c r="N63" s="217"/>
      <c r="O63" s="217"/>
      <c r="P63" s="213"/>
      <c r="Q63" s="215"/>
      <c r="R63" s="215"/>
      <c r="S63" s="217"/>
      <c r="T63" s="217"/>
      <c r="U63" s="213"/>
      <c r="V63" s="215"/>
      <c r="W63" s="215"/>
      <c r="X63" s="217"/>
      <c r="Y63" s="217"/>
      <c r="Z63" s="213"/>
      <c r="AA63" s="215"/>
      <c r="AB63" s="215"/>
      <c r="AC63" s="217"/>
      <c r="AD63" s="217"/>
      <c r="AE63" s="213"/>
      <c r="AF63" s="215"/>
      <c r="AG63" s="215"/>
      <c r="AH63" s="217"/>
      <c r="AI63" s="217"/>
      <c r="AJ63" s="213"/>
    </row>
    <row r="64" spans="1:36" ht="33.75" customHeight="1">
      <c r="A64" s="213"/>
      <c r="B64" s="214"/>
      <c r="C64" s="215"/>
      <c r="D64" s="216"/>
      <c r="E64" s="217"/>
      <c r="F64" s="213"/>
      <c r="G64" s="214"/>
      <c r="H64" s="215"/>
      <c r="I64" s="217"/>
      <c r="J64" s="217"/>
      <c r="K64" s="213"/>
      <c r="L64" s="215"/>
      <c r="M64" s="215"/>
      <c r="N64" s="217"/>
      <c r="O64" s="217"/>
      <c r="P64" s="213"/>
      <c r="Q64" s="215"/>
      <c r="R64" s="215"/>
      <c r="S64" s="217"/>
      <c r="T64" s="217"/>
      <c r="U64" s="213"/>
      <c r="V64" s="215"/>
      <c r="W64" s="215"/>
      <c r="X64" s="217"/>
      <c r="Y64" s="217"/>
      <c r="Z64" s="213"/>
      <c r="AA64" s="215"/>
      <c r="AB64" s="215"/>
      <c r="AC64" s="217"/>
      <c r="AD64" s="217"/>
      <c r="AE64" s="213"/>
      <c r="AF64" s="215"/>
      <c r="AG64" s="215"/>
      <c r="AH64" s="217"/>
      <c r="AI64" s="217"/>
      <c r="AJ64" s="213"/>
    </row>
    <row r="65" spans="1:36" ht="33.75" customHeight="1">
      <c r="A65" s="213"/>
      <c r="B65" s="214"/>
      <c r="C65" s="215"/>
      <c r="D65" s="216"/>
      <c r="E65" s="217"/>
      <c r="F65" s="213"/>
      <c r="G65" s="214"/>
      <c r="H65" s="215"/>
      <c r="I65" s="217"/>
      <c r="J65" s="217"/>
      <c r="K65" s="213"/>
      <c r="L65" s="215"/>
      <c r="M65" s="215"/>
      <c r="N65" s="217"/>
      <c r="O65" s="217"/>
      <c r="P65" s="213"/>
      <c r="Q65" s="215"/>
      <c r="R65" s="215"/>
      <c r="S65" s="217"/>
      <c r="T65" s="217"/>
      <c r="U65" s="213"/>
      <c r="V65" s="215"/>
      <c r="W65" s="215"/>
      <c r="X65" s="217"/>
      <c r="Y65" s="217"/>
      <c r="Z65" s="213"/>
      <c r="AA65" s="215"/>
      <c r="AB65" s="215"/>
      <c r="AC65" s="217"/>
      <c r="AD65" s="217"/>
      <c r="AE65" s="213"/>
      <c r="AF65" s="215"/>
      <c r="AG65" s="215"/>
      <c r="AH65" s="217"/>
      <c r="AI65" s="217"/>
      <c r="AJ65" s="213"/>
    </row>
    <row r="66" spans="1:36" ht="33.75" customHeight="1">
      <c r="A66" s="213"/>
      <c r="B66" s="214"/>
      <c r="C66" s="215"/>
      <c r="D66" s="216"/>
      <c r="E66" s="217"/>
      <c r="F66" s="213"/>
      <c r="G66" s="214"/>
      <c r="H66" s="215"/>
      <c r="I66" s="217"/>
      <c r="J66" s="217"/>
      <c r="K66" s="213"/>
      <c r="L66" s="215"/>
      <c r="M66" s="215"/>
      <c r="N66" s="217"/>
      <c r="O66" s="217"/>
      <c r="P66" s="213"/>
      <c r="Q66" s="215"/>
      <c r="R66" s="215"/>
      <c r="S66" s="217"/>
      <c r="T66" s="217"/>
      <c r="U66" s="213"/>
      <c r="V66" s="215"/>
      <c r="W66" s="215"/>
      <c r="X66" s="217"/>
      <c r="Y66" s="217"/>
      <c r="Z66" s="213"/>
      <c r="AA66" s="215"/>
      <c r="AB66" s="215"/>
      <c r="AC66" s="217"/>
      <c r="AD66" s="217"/>
      <c r="AE66" s="213"/>
      <c r="AF66" s="215"/>
      <c r="AG66" s="215"/>
      <c r="AH66" s="217"/>
      <c r="AI66" s="217"/>
      <c r="AJ66" s="213"/>
    </row>
    <row r="67" spans="1:36" ht="33.75" customHeight="1">
      <c r="A67" s="213"/>
      <c r="B67" s="214"/>
      <c r="C67" s="215"/>
      <c r="D67" s="216"/>
      <c r="E67" s="217"/>
      <c r="F67" s="213"/>
      <c r="G67" s="214"/>
      <c r="H67" s="215"/>
      <c r="I67" s="217"/>
      <c r="J67" s="217"/>
      <c r="K67" s="213"/>
      <c r="L67" s="215"/>
      <c r="M67" s="215"/>
      <c r="N67" s="217"/>
      <c r="O67" s="217"/>
      <c r="P67" s="213"/>
      <c r="Q67" s="215"/>
      <c r="R67" s="215"/>
      <c r="S67" s="217"/>
      <c r="T67" s="217"/>
      <c r="U67" s="213"/>
      <c r="V67" s="215"/>
      <c r="W67" s="215"/>
      <c r="X67" s="217"/>
      <c r="Y67" s="217"/>
      <c r="Z67" s="213"/>
      <c r="AA67" s="215"/>
      <c r="AB67" s="215"/>
      <c r="AC67" s="217"/>
      <c r="AD67" s="217"/>
      <c r="AE67" s="213"/>
      <c r="AF67" s="215"/>
      <c r="AG67" s="215"/>
      <c r="AH67" s="217"/>
      <c r="AI67" s="217"/>
      <c r="AJ67" s="213"/>
    </row>
    <row r="68" spans="1:36" ht="33.75" customHeight="1">
      <c r="A68" s="213"/>
      <c r="B68" s="214"/>
      <c r="C68" s="215"/>
      <c r="D68" s="216"/>
      <c r="E68" s="217"/>
      <c r="F68" s="213"/>
      <c r="G68" s="214"/>
      <c r="H68" s="215"/>
      <c r="I68" s="217"/>
      <c r="J68" s="217"/>
      <c r="K68" s="213"/>
      <c r="L68" s="215"/>
      <c r="M68" s="215"/>
      <c r="N68" s="217"/>
      <c r="O68" s="217"/>
      <c r="P68" s="213"/>
      <c r="Q68" s="215"/>
      <c r="R68" s="215"/>
      <c r="S68" s="217"/>
      <c r="T68" s="217"/>
      <c r="U68" s="213"/>
      <c r="V68" s="215"/>
      <c r="W68" s="215"/>
      <c r="X68" s="217"/>
      <c r="Y68" s="217"/>
      <c r="Z68" s="213"/>
      <c r="AA68" s="215"/>
      <c r="AB68" s="215"/>
      <c r="AC68" s="217"/>
      <c r="AD68" s="217"/>
      <c r="AE68" s="213"/>
      <c r="AF68" s="215"/>
      <c r="AG68" s="215"/>
      <c r="AH68" s="217"/>
      <c r="AI68" s="217"/>
      <c r="AJ68" s="213"/>
    </row>
    <row r="69" spans="1:36" ht="33.75" customHeight="1">
      <c r="A69" s="213"/>
      <c r="B69" s="214"/>
      <c r="C69" s="215"/>
      <c r="D69" s="216"/>
      <c r="E69" s="217"/>
      <c r="F69" s="213"/>
      <c r="G69" s="214"/>
      <c r="H69" s="215"/>
      <c r="I69" s="217"/>
      <c r="J69" s="217"/>
      <c r="K69" s="213"/>
      <c r="L69" s="215"/>
      <c r="M69" s="215"/>
      <c r="N69" s="217"/>
      <c r="O69" s="217"/>
      <c r="P69" s="213"/>
      <c r="Q69" s="215"/>
      <c r="R69" s="215"/>
      <c r="S69" s="217"/>
      <c r="T69" s="217"/>
      <c r="U69" s="213"/>
      <c r="V69" s="215"/>
      <c r="W69" s="215"/>
      <c r="X69" s="217"/>
      <c r="Y69" s="217"/>
      <c r="Z69" s="213"/>
      <c r="AA69" s="215"/>
      <c r="AB69" s="215"/>
      <c r="AC69" s="217"/>
      <c r="AD69" s="217"/>
      <c r="AE69" s="213"/>
      <c r="AF69" s="215"/>
      <c r="AG69" s="215"/>
      <c r="AH69" s="217"/>
      <c r="AI69" s="217"/>
      <c r="AJ69" s="213"/>
    </row>
    <row r="70" spans="1:36" ht="33.75" customHeight="1">
      <c r="A70" s="213"/>
      <c r="B70" s="214"/>
      <c r="C70" s="215"/>
      <c r="D70" s="216"/>
      <c r="E70" s="217"/>
      <c r="F70" s="213"/>
      <c r="G70" s="214"/>
      <c r="H70" s="215"/>
      <c r="I70" s="217"/>
      <c r="J70" s="217"/>
      <c r="K70" s="213"/>
      <c r="L70" s="215"/>
      <c r="M70" s="215"/>
      <c r="N70" s="217"/>
      <c r="O70" s="217"/>
      <c r="P70" s="213"/>
      <c r="Q70" s="215"/>
      <c r="R70" s="215"/>
      <c r="S70" s="217"/>
      <c r="T70" s="217"/>
      <c r="U70" s="213"/>
      <c r="V70" s="215"/>
      <c r="W70" s="215"/>
      <c r="X70" s="217"/>
      <c r="Y70" s="217"/>
      <c r="Z70" s="213"/>
      <c r="AA70" s="215"/>
      <c r="AB70" s="215"/>
      <c r="AC70" s="217"/>
      <c r="AD70" s="217"/>
      <c r="AE70" s="213"/>
      <c r="AF70" s="215"/>
      <c r="AG70" s="215"/>
      <c r="AH70" s="217"/>
      <c r="AI70" s="217"/>
      <c r="AJ70" s="213"/>
    </row>
    <row r="71" spans="1:36" ht="33.75" customHeight="1">
      <c r="A71" s="213"/>
      <c r="B71" s="214"/>
      <c r="C71" s="215"/>
      <c r="D71" s="216"/>
      <c r="E71" s="217"/>
      <c r="F71" s="213"/>
      <c r="G71" s="214"/>
      <c r="H71" s="215"/>
      <c r="I71" s="217"/>
      <c r="J71" s="217"/>
      <c r="K71" s="213"/>
      <c r="L71" s="215"/>
      <c r="M71" s="215"/>
      <c r="N71" s="217"/>
      <c r="O71" s="217"/>
      <c r="P71" s="213"/>
      <c r="Q71" s="215"/>
      <c r="R71" s="215"/>
      <c r="S71" s="217"/>
      <c r="T71" s="217"/>
      <c r="U71" s="213"/>
      <c r="V71" s="215"/>
      <c r="W71" s="215"/>
      <c r="X71" s="217"/>
      <c r="Y71" s="217"/>
      <c r="Z71" s="213"/>
      <c r="AA71" s="215"/>
      <c r="AB71" s="215"/>
      <c r="AC71" s="217"/>
      <c r="AD71" s="217"/>
      <c r="AE71" s="213"/>
      <c r="AF71" s="215"/>
      <c r="AG71" s="215"/>
      <c r="AH71" s="217"/>
      <c r="AI71" s="217"/>
      <c r="AJ71" s="213"/>
    </row>
    <row r="72" spans="1:36" ht="33.75" customHeight="1">
      <c r="A72" s="213"/>
      <c r="B72" s="214"/>
      <c r="C72" s="215"/>
      <c r="D72" s="216"/>
      <c r="E72" s="217"/>
      <c r="F72" s="213"/>
      <c r="G72" s="214"/>
      <c r="H72" s="215"/>
      <c r="I72" s="217"/>
      <c r="J72" s="217"/>
      <c r="K72" s="213"/>
      <c r="L72" s="215"/>
      <c r="M72" s="215"/>
      <c r="N72" s="217"/>
      <c r="O72" s="217"/>
      <c r="P72" s="213"/>
      <c r="Q72" s="215"/>
      <c r="R72" s="215"/>
      <c r="S72" s="217"/>
      <c r="T72" s="217"/>
      <c r="U72" s="213"/>
      <c r="V72" s="215"/>
      <c r="W72" s="215"/>
      <c r="X72" s="217"/>
      <c r="Y72" s="217"/>
      <c r="Z72" s="213"/>
      <c r="AA72" s="215"/>
      <c r="AB72" s="215"/>
      <c r="AC72" s="217"/>
      <c r="AD72" s="217"/>
      <c r="AE72" s="213"/>
      <c r="AF72" s="215"/>
      <c r="AG72" s="215"/>
      <c r="AH72" s="217"/>
      <c r="AI72" s="217"/>
      <c r="AJ72" s="213"/>
    </row>
    <row r="73" spans="1:36" ht="33.75" customHeight="1">
      <c r="A73" s="213"/>
      <c r="B73" s="214"/>
      <c r="C73" s="215"/>
      <c r="D73" s="216"/>
      <c r="E73" s="217"/>
      <c r="F73" s="213"/>
      <c r="G73" s="214"/>
      <c r="H73" s="215"/>
      <c r="I73" s="217"/>
      <c r="J73" s="217"/>
      <c r="K73" s="213"/>
      <c r="L73" s="215"/>
      <c r="M73" s="215"/>
      <c r="N73" s="217"/>
      <c r="O73" s="217"/>
      <c r="P73" s="213"/>
      <c r="Q73" s="215"/>
      <c r="R73" s="215"/>
      <c r="S73" s="217"/>
      <c r="T73" s="217"/>
      <c r="U73" s="213"/>
      <c r="V73" s="215"/>
      <c r="W73" s="215"/>
      <c r="X73" s="217"/>
      <c r="Y73" s="217"/>
      <c r="Z73" s="213"/>
      <c r="AA73" s="215"/>
      <c r="AB73" s="215"/>
      <c r="AC73" s="217"/>
      <c r="AD73" s="217"/>
      <c r="AE73" s="213"/>
      <c r="AF73" s="215"/>
      <c r="AG73" s="215"/>
      <c r="AH73" s="217"/>
      <c r="AI73" s="217"/>
      <c r="AJ73" s="213"/>
    </row>
    <row r="74" spans="1:36" ht="33.75" customHeight="1">
      <c r="A74" s="213"/>
      <c r="B74" s="214"/>
      <c r="C74" s="215"/>
      <c r="D74" s="216"/>
      <c r="E74" s="217"/>
      <c r="F74" s="213"/>
      <c r="G74" s="214"/>
      <c r="H74" s="215"/>
      <c r="I74" s="217"/>
      <c r="J74" s="217"/>
      <c r="K74" s="213"/>
      <c r="L74" s="215"/>
      <c r="M74" s="215"/>
      <c r="N74" s="217"/>
      <c r="O74" s="217"/>
      <c r="P74" s="213"/>
      <c r="Q74" s="215"/>
      <c r="R74" s="215"/>
      <c r="S74" s="217"/>
      <c r="T74" s="217"/>
      <c r="U74" s="213"/>
      <c r="V74" s="215"/>
      <c r="W74" s="215"/>
      <c r="X74" s="217"/>
      <c r="Y74" s="217"/>
      <c r="Z74" s="213"/>
      <c r="AA74" s="215"/>
      <c r="AB74" s="215"/>
      <c r="AC74" s="217"/>
      <c r="AD74" s="217"/>
      <c r="AE74" s="213"/>
      <c r="AF74" s="215"/>
      <c r="AG74" s="215"/>
      <c r="AH74" s="217"/>
      <c r="AI74" s="217"/>
      <c r="AJ74" s="213"/>
    </row>
    <row r="75" spans="1:36" ht="33.75" customHeight="1">
      <c r="A75" s="213"/>
      <c r="B75" s="214"/>
      <c r="C75" s="215"/>
      <c r="D75" s="216"/>
      <c r="E75" s="217"/>
      <c r="F75" s="213"/>
      <c r="G75" s="214"/>
      <c r="H75" s="215"/>
      <c r="I75" s="217"/>
      <c r="J75" s="217"/>
      <c r="K75" s="213"/>
      <c r="L75" s="215"/>
      <c r="M75" s="215"/>
      <c r="N75" s="217"/>
      <c r="O75" s="217"/>
      <c r="P75" s="213"/>
      <c r="Q75" s="215"/>
      <c r="R75" s="215"/>
      <c r="S75" s="217"/>
      <c r="T75" s="217"/>
      <c r="U75" s="213"/>
      <c r="V75" s="215"/>
      <c r="W75" s="215"/>
      <c r="X75" s="217"/>
      <c r="Y75" s="217"/>
      <c r="Z75" s="213"/>
      <c r="AA75" s="215"/>
      <c r="AB75" s="215"/>
      <c r="AC75" s="217"/>
      <c r="AD75" s="217"/>
      <c r="AE75" s="213"/>
      <c r="AF75" s="215"/>
      <c r="AG75" s="215"/>
      <c r="AH75" s="217"/>
      <c r="AI75" s="217"/>
      <c r="AJ75" s="213"/>
    </row>
    <row r="76" spans="1:36" ht="33.75" customHeight="1">
      <c r="A76" s="213"/>
      <c r="B76" s="214"/>
      <c r="C76" s="215"/>
      <c r="D76" s="216"/>
      <c r="E76" s="217"/>
      <c r="F76" s="213"/>
      <c r="G76" s="214"/>
      <c r="H76" s="215"/>
      <c r="I76" s="217"/>
      <c r="J76" s="217"/>
      <c r="K76" s="213"/>
      <c r="L76" s="215"/>
      <c r="M76" s="215"/>
      <c r="N76" s="217"/>
      <c r="O76" s="217"/>
      <c r="P76" s="213"/>
      <c r="Q76" s="215"/>
      <c r="R76" s="215"/>
      <c r="S76" s="217"/>
      <c r="T76" s="217"/>
      <c r="U76" s="213"/>
      <c r="V76" s="215"/>
      <c r="W76" s="215"/>
      <c r="X76" s="217"/>
      <c r="Y76" s="217"/>
      <c r="Z76" s="213"/>
      <c r="AA76" s="215"/>
      <c r="AB76" s="215"/>
      <c r="AC76" s="217"/>
      <c r="AD76" s="217"/>
      <c r="AE76" s="213"/>
      <c r="AF76" s="215"/>
      <c r="AG76" s="215"/>
      <c r="AH76" s="217"/>
      <c r="AI76" s="217"/>
      <c r="AJ76" s="213"/>
    </row>
    <row r="77" spans="1:36" ht="33.75" customHeight="1">
      <c r="A77" s="213"/>
      <c r="B77" s="214"/>
      <c r="C77" s="215"/>
      <c r="D77" s="216"/>
      <c r="E77" s="217"/>
      <c r="F77" s="213"/>
      <c r="G77" s="214"/>
      <c r="H77" s="215"/>
      <c r="I77" s="217"/>
      <c r="J77" s="217"/>
      <c r="K77" s="213"/>
      <c r="L77" s="215"/>
      <c r="M77" s="215"/>
      <c r="N77" s="217"/>
      <c r="O77" s="217"/>
      <c r="P77" s="213"/>
      <c r="Q77" s="215"/>
      <c r="R77" s="215"/>
      <c r="S77" s="217"/>
      <c r="T77" s="217"/>
      <c r="U77" s="213"/>
      <c r="V77" s="215"/>
      <c r="W77" s="215"/>
      <c r="X77" s="217"/>
      <c r="Y77" s="217"/>
      <c r="Z77" s="213"/>
      <c r="AA77" s="215"/>
      <c r="AB77" s="215"/>
      <c r="AC77" s="217"/>
      <c r="AD77" s="217"/>
      <c r="AE77" s="213"/>
      <c r="AF77" s="215"/>
      <c r="AG77" s="215"/>
      <c r="AH77" s="217"/>
      <c r="AI77" s="217"/>
      <c r="AJ77" s="213"/>
    </row>
    <row r="78" spans="1:36" ht="33.75" customHeight="1">
      <c r="A78" s="213"/>
      <c r="B78" s="214"/>
      <c r="C78" s="215"/>
      <c r="D78" s="216"/>
      <c r="E78" s="217"/>
      <c r="F78" s="213"/>
      <c r="G78" s="214"/>
      <c r="H78" s="215"/>
      <c r="I78" s="217"/>
      <c r="J78" s="217"/>
      <c r="K78" s="213"/>
      <c r="L78" s="215"/>
      <c r="M78" s="215"/>
      <c r="N78" s="217"/>
      <c r="O78" s="217"/>
      <c r="P78" s="213"/>
      <c r="Q78" s="215"/>
      <c r="R78" s="215"/>
      <c r="S78" s="217"/>
      <c r="T78" s="217"/>
      <c r="U78" s="213"/>
      <c r="V78" s="215"/>
      <c r="W78" s="215"/>
      <c r="X78" s="217"/>
      <c r="Y78" s="217"/>
      <c r="Z78" s="213"/>
      <c r="AA78" s="215"/>
      <c r="AB78" s="215"/>
      <c r="AC78" s="217"/>
      <c r="AD78" s="217"/>
      <c r="AE78" s="213"/>
      <c r="AF78" s="215"/>
      <c r="AG78" s="215"/>
      <c r="AH78" s="217"/>
      <c r="AI78" s="217"/>
      <c r="AJ78" s="213"/>
    </row>
    <row r="79" spans="1:36" ht="33.75" customHeight="1">
      <c r="A79" s="213"/>
      <c r="B79" s="214"/>
      <c r="C79" s="215"/>
      <c r="D79" s="216"/>
      <c r="E79" s="217"/>
      <c r="F79" s="213"/>
      <c r="G79" s="214"/>
      <c r="H79" s="215"/>
      <c r="I79" s="217"/>
      <c r="J79" s="217"/>
      <c r="K79" s="213"/>
      <c r="L79" s="215"/>
      <c r="M79" s="215"/>
      <c r="N79" s="217"/>
      <c r="O79" s="217"/>
      <c r="P79" s="213"/>
      <c r="Q79" s="215"/>
      <c r="R79" s="215"/>
      <c r="S79" s="217"/>
      <c r="T79" s="217"/>
      <c r="U79" s="213"/>
      <c r="V79" s="215"/>
      <c r="W79" s="215"/>
      <c r="X79" s="217"/>
      <c r="Y79" s="217"/>
      <c r="Z79" s="213"/>
      <c r="AA79" s="215"/>
      <c r="AB79" s="215"/>
      <c r="AC79" s="217"/>
      <c r="AD79" s="217"/>
      <c r="AE79" s="213"/>
      <c r="AF79" s="215"/>
      <c r="AG79" s="215"/>
      <c r="AH79" s="217"/>
      <c r="AI79" s="217"/>
      <c r="AJ79" s="213"/>
    </row>
    <row r="80" spans="1:36" ht="33.75" customHeight="1">
      <c r="A80" s="213"/>
      <c r="B80" s="214"/>
      <c r="C80" s="215"/>
      <c r="D80" s="216"/>
      <c r="E80" s="217"/>
      <c r="F80" s="213"/>
      <c r="G80" s="214"/>
      <c r="H80" s="215"/>
      <c r="I80" s="217"/>
      <c r="J80" s="217"/>
      <c r="K80" s="213"/>
      <c r="L80" s="215"/>
      <c r="M80" s="215"/>
      <c r="N80" s="217"/>
      <c r="O80" s="217"/>
      <c r="P80" s="213"/>
      <c r="Q80" s="215"/>
      <c r="R80" s="215"/>
      <c r="S80" s="217"/>
      <c r="T80" s="217"/>
      <c r="U80" s="213"/>
      <c r="V80" s="215"/>
      <c r="W80" s="215"/>
      <c r="X80" s="217"/>
      <c r="Y80" s="217"/>
      <c r="Z80" s="213"/>
      <c r="AA80" s="215"/>
      <c r="AB80" s="215"/>
      <c r="AC80" s="217"/>
      <c r="AD80" s="217"/>
      <c r="AE80" s="213"/>
      <c r="AF80" s="215"/>
      <c r="AG80" s="215"/>
      <c r="AH80" s="217"/>
      <c r="AI80" s="217"/>
      <c r="AJ80" s="213"/>
    </row>
    <row r="81" spans="1:36" ht="33.75" customHeight="1">
      <c r="A81" s="213"/>
      <c r="B81" s="214"/>
      <c r="C81" s="215"/>
      <c r="D81" s="216"/>
      <c r="E81" s="217"/>
      <c r="F81" s="213"/>
      <c r="G81" s="214"/>
      <c r="H81" s="215"/>
      <c r="I81" s="217"/>
      <c r="J81" s="217"/>
      <c r="K81" s="213"/>
      <c r="L81" s="215"/>
      <c r="M81" s="215"/>
      <c r="N81" s="217"/>
      <c r="O81" s="217"/>
      <c r="P81" s="213"/>
      <c r="Q81" s="215"/>
      <c r="R81" s="215"/>
      <c r="S81" s="217"/>
      <c r="T81" s="217"/>
      <c r="U81" s="213"/>
      <c r="V81" s="215"/>
      <c r="W81" s="215"/>
      <c r="X81" s="217"/>
      <c r="Y81" s="217"/>
      <c r="Z81" s="213"/>
      <c r="AA81" s="215"/>
      <c r="AB81" s="215"/>
      <c r="AC81" s="217"/>
      <c r="AD81" s="217"/>
      <c r="AE81" s="213"/>
      <c r="AF81" s="215"/>
      <c r="AG81" s="215"/>
      <c r="AH81" s="217"/>
      <c r="AI81" s="217"/>
      <c r="AJ81" s="213"/>
    </row>
    <row r="82" spans="1:36" ht="33.75" customHeight="1">
      <c r="A82" s="213"/>
      <c r="B82" s="214"/>
      <c r="C82" s="215"/>
      <c r="D82" s="216"/>
      <c r="E82" s="217"/>
      <c r="F82" s="213"/>
      <c r="G82" s="214"/>
      <c r="H82" s="215"/>
      <c r="I82" s="217"/>
      <c r="J82" s="217"/>
      <c r="K82" s="213"/>
      <c r="L82" s="215"/>
      <c r="M82" s="215"/>
      <c r="N82" s="217"/>
      <c r="O82" s="217"/>
      <c r="P82" s="213"/>
      <c r="Q82" s="215"/>
      <c r="R82" s="215"/>
      <c r="S82" s="217"/>
      <c r="T82" s="217"/>
      <c r="U82" s="213"/>
      <c r="V82" s="215"/>
      <c r="W82" s="215"/>
      <c r="X82" s="217"/>
      <c r="Y82" s="217"/>
      <c r="Z82" s="213"/>
      <c r="AA82" s="215"/>
      <c r="AB82" s="215"/>
      <c r="AC82" s="217"/>
      <c r="AD82" s="217"/>
      <c r="AE82" s="213"/>
      <c r="AF82" s="215"/>
      <c r="AG82" s="215"/>
      <c r="AH82" s="217"/>
      <c r="AI82" s="217"/>
      <c r="AJ82" s="213"/>
    </row>
    <row r="83" spans="1:36" ht="33.75" customHeight="1">
      <c r="A83" s="213"/>
      <c r="B83" s="214"/>
      <c r="C83" s="215"/>
      <c r="D83" s="216"/>
      <c r="E83" s="217"/>
      <c r="F83" s="213"/>
      <c r="G83" s="214"/>
      <c r="H83" s="215"/>
      <c r="I83" s="217"/>
      <c r="J83" s="217"/>
      <c r="K83" s="213"/>
      <c r="L83" s="215"/>
      <c r="M83" s="215"/>
      <c r="N83" s="217"/>
      <c r="O83" s="217"/>
      <c r="P83" s="213"/>
      <c r="Q83" s="215"/>
      <c r="R83" s="215"/>
      <c r="S83" s="217"/>
      <c r="T83" s="217"/>
      <c r="U83" s="213"/>
      <c r="V83" s="215"/>
      <c r="W83" s="215"/>
      <c r="X83" s="217"/>
      <c r="Y83" s="217"/>
      <c r="Z83" s="213"/>
      <c r="AA83" s="215"/>
      <c r="AB83" s="215"/>
      <c r="AC83" s="217"/>
      <c r="AD83" s="217"/>
      <c r="AE83" s="213"/>
      <c r="AF83" s="215"/>
      <c r="AG83" s="215"/>
      <c r="AH83" s="217"/>
      <c r="AI83" s="217"/>
      <c r="AJ83" s="213"/>
    </row>
    <row r="84" spans="1:36" ht="33.75" customHeight="1">
      <c r="A84" s="213"/>
      <c r="B84" s="214"/>
      <c r="C84" s="215"/>
      <c r="D84" s="216"/>
      <c r="E84" s="217"/>
      <c r="F84" s="213"/>
      <c r="G84" s="214"/>
      <c r="H84" s="215"/>
      <c r="I84" s="217"/>
      <c r="J84" s="217"/>
      <c r="K84" s="213"/>
      <c r="L84" s="215"/>
      <c r="M84" s="215"/>
      <c r="N84" s="217"/>
      <c r="O84" s="217"/>
      <c r="P84" s="213"/>
      <c r="Q84" s="215"/>
      <c r="R84" s="215"/>
      <c r="S84" s="217"/>
      <c r="T84" s="217"/>
      <c r="U84" s="213"/>
      <c r="V84" s="215"/>
      <c r="W84" s="215"/>
      <c r="X84" s="217"/>
      <c r="Y84" s="217"/>
      <c r="Z84" s="213"/>
      <c r="AA84" s="215"/>
      <c r="AB84" s="215"/>
      <c r="AC84" s="217"/>
      <c r="AD84" s="217"/>
      <c r="AE84" s="213"/>
      <c r="AF84" s="215"/>
      <c r="AG84" s="215"/>
      <c r="AH84" s="217"/>
      <c r="AI84" s="217"/>
      <c r="AJ84" s="213"/>
    </row>
    <row r="85" spans="1:36" ht="33.75" customHeight="1">
      <c r="A85" s="213"/>
      <c r="B85" s="214"/>
      <c r="C85" s="215"/>
      <c r="D85" s="216"/>
      <c r="E85" s="217"/>
      <c r="F85" s="213"/>
      <c r="G85" s="214"/>
      <c r="H85" s="215"/>
      <c r="I85" s="217"/>
      <c r="J85" s="217"/>
      <c r="K85" s="213"/>
      <c r="L85" s="215"/>
      <c r="M85" s="215"/>
      <c r="N85" s="217"/>
      <c r="O85" s="217"/>
      <c r="P85" s="213"/>
      <c r="Q85" s="215"/>
      <c r="R85" s="215"/>
      <c r="S85" s="217"/>
      <c r="T85" s="217"/>
      <c r="U85" s="213"/>
      <c r="V85" s="215"/>
      <c r="W85" s="215"/>
      <c r="X85" s="217"/>
      <c r="Y85" s="217"/>
      <c r="Z85" s="213"/>
      <c r="AA85" s="215"/>
      <c r="AB85" s="215"/>
      <c r="AC85" s="217"/>
      <c r="AD85" s="217"/>
      <c r="AE85" s="213"/>
      <c r="AF85" s="215"/>
      <c r="AG85" s="215"/>
      <c r="AH85" s="217"/>
      <c r="AI85" s="217"/>
      <c r="AJ85" s="213"/>
    </row>
    <row r="86" spans="1:36" ht="33.75" customHeight="1">
      <c r="A86" s="213"/>
      <c r="B86" s="214"/>
      <c r="C86" s="215"/>
      <c r="D86" s="216"/>
      <c r="E86" s="217"/>
      <c r="F86" s="213"/>
      <c r="G86" s="214"/>
      <c r="H86" s="215"/>
      <c r="I86" s="217"/>
      <c r="J86" s="217"/>
      <c r="K86" s="213"/>
      <c r="L86" s="215"/>
      <c r="M86" s="215"/>
      <c r="N86" s="217"/>
      <c r="O86" s="217"/>
      <c r="P86" s="213"/>
      <c r="Q86" s="215"/>
      <c r="R86" s="215"/>
      <c r="S86" s="217"/>
      <c r="T86" s="217"/>
      <c r="U86" s="213"/>
      <c r="V86" s="215"/>
      <c r="W86" s="215"/>
      <c r="X86" s="217"/>
      <c r="Y86" s="217"/>
      <c r="Z86" s="213"/>
      <c r="AA86" s="215"/>
      <c r="AB86" s="215"/>
      <c r="AC86" s="217"/>
      <c r="AD86" s="217"/>
      <c r="AE86" s="213"/>
      <c r="AF86" s="215"/>
      <c r="AG86" s="215"/>
      <c r="AH86" s="217"/>
      <c r="AI86" s="217"/>
      <c r="AJ86" s="213"/>
    </row>
    <row r="87" spans="1:36" ht="33.75" customHeight="1">
      <c r="A87" s="213"/>
      <c r="B87" s="214"/>
      <c r="C87" s="215"/>
      <c r="D87" s="216"/>
      <c r="E87" s="217"/>
      <c r="F87" s="213"/>
      <c r="G87" s="214"/>
      <c r="H87" s="215"/>
      <c r="I87" s="217"/>
      <c r="J87" s="217"/>
      <c r="K87" s="213"/>
      <c r="L87" s="215"/>
      <c r="M87" s="215"/>
      <c r="N87" s="217"/>
      <c r="O87" s="217"/>
      <c r="P87" s="213"/>
      <c r="Q87" s="215"/>
      <c r="R87" s="215"/>
      <c r="S87" s="217"/>
      <c r="T87" s="217"/>
      <c r="U87" s="213"/>
      <c r="V87" s="215"/>
      <c r="W87" s="215"/>
      <c r="X87" s="217"/>
      <c r="Y87" s="217"/>
      <c r="Z87" s="213"/>
      <c r="AA87" s="215"/>
      <c r="AB87" s="215"/>
      <c r="AC87" s="217"/>
      <c r="AD87" s="217"/>
      <c r="AE87" s="213"/>
      <c r="AF87" s="215"/>
      <c r="AG87" s="215"/>
      <c r="AH87" s="217"/>
      <c r="AI87" s="217"/>
      <c r="AJ87" s="213"/>
    </row>
    <row r="88" spans="1:36" ht="33.75" customHeight="1">
      <c r="A88" s="213"/>
      <c r="B88" s="214"/>
      <c r="C88" s="215"/>
      <c r="D88" s="217"/>
      <c r="E88" s="217"/>
      <c r="F88" s="213"/>
      <c r="G88" s="214"/>
      <c r="H88" s="215"/>
      <c r="I88" s="217"/>
      <c r="J88" s="217"/>
      <c r="K88" s="213"/>
      <c r="L88" s="215"/>
      <c r="M88" s="215"/>
      <c r="N88" s="217"/>
      <c r="O88" s="217"/>
      <c r="P88" s="213"/>
      <c r="Q88" s="215"/>
      <c r="R88" s="215"/>
      <c r="S88" s="217"/>
      <c r="T88" s="217"/>
      <c r="U88" s="213"/>
      <c r="V88" s="215"/>
      <c r="W88" s="215"/>
      <c r="X88" s="217"/>
      <c r="Y88" s="217"/>
      <c r="Z88" s="213"/>
      <c r="AA88" s="215"/>
      <c r="AB88" s="215"/>
      <c r="AC88" s="217"/>
      <c r="AD88" s="217"/>
      <c r="AE88" s="213"/>
      <c r="AF88" s="215"/>
      <c r="AG88" s="215"/>
      <c r="AH88" s="217"/>
      <c r="AI88" s="217"/>
      <c r="AJ88" s="213"/>
    </row>
    <row r="89" spans="1:36" ht="16">
      <c r="A89" s="213"/>
      <c r="B89" s="214"/>
      <c r="C89" s="215"/>
      <c r="D89" s="216"/>
      <c r="E89" s="217"/>
      <c r="F89" s="213"/>
      <c r="G89" s="214"/>
      <c r="H89" s="215"/>
      <c r="I89" s="217"/>
      <c r="J89" s="217"/>
      <c r="K89" s="213"/>
      <c r="L89" s="215"/>
      <c r="M89" s="215"/>
      <c r="N89" s="217"/>
      <c r="O89" s="217"/>
      <c r="P89" s="213"/>
      <c r="Q89" s="215"/>
      <c r="R89" s="215"/>
      <c r="S89" s="217"/>
      <c r="T89" s="217"/>
      <c r="U89" s="213"/>
      <c r="V89" s="215"/>
      <c r="W89" s="215"/>
      <c r="X89" s="217"/>
      <c r="Y89" s="217"/>
      <c r="Z89" s="213"/>
      <c r="AA89" s="215"/>
      <c r="AB89" s="215"/>
      <c r="AC89" s="217"/>
      <c r="AD89" s="217"/>
      <c r="AE89" s="213"/>
      <c r="AF89" s="215"/>
      <c r="AG89" s="215"/>
      <c r="AH89" s="217"/>
      <c r="AI89" s="217"/>
      <c r="AJ89" s="213"/>
    </row>
    <row r="90" spans="1:36" ht="16">
      <c r="A90" s="213"/>
      <c r="B90" s="214"/>
      <c r="C90" s="215"/>
      <c r="D90" s="216"/>
      <c r="E90" s="217"/>
      <c r="F90" s="213"/>
      <c r="G90" s="214"/>
      <c r="H90" s="215"/>
      <c r="I90" s="217"/>
      <c r="J90" s="217"/>
      <c r="K90" s="213"/>
      <c r="L90" s="215"/>
      <c r="M90" s="215"/>
      <c r="N90" s="217"/>
      <c r="O90" s="217"/>
      <c r="P90" s="213"/>
      <c r="Q90" s="215"/>
      <c r="R90" s="215"/>
      <c r="S90" s="217"/>
      <c r="T90" s="217"/>
      <c r="U90" s="213"/>
      <c r="V90" s="215"/>
      <c r="W90" s="215"/>
      <c r="X90" s="217"/>
      <c r="Y90" s="217"/>
      <c r="Z90" s="213"/>
      <c r="AA90" s="215"/>
      <c r="AB90" s="215"/>
      <c r="AC90" s="217"/>
      <c r="AD90" s="217"/>
      <c r="AE90" s="213"/>
      <c r="AF90" s="215"/>
      <c r="AG90" s="215"/>
      <c r="AH90" s="217"/>
      <c r="AI90" s="217"/>
      <c r="AJ90" s="213"/>
    </row>
    <row r="91" spans="1:36" ht="16">
      <c r="A91" s="213"/>
      <c r="B91" s="214"/>
      <c r="C91" s="215"/>
      <c r="D91" s="216"/>
      <c r="E91" s="217"/>
      <c r="F91" s="213"/>
      <c r="G91" s="214"/>
      <c r="H91" s="215"/>
      <c r="I91" s="217"/>
      <c r="J91" s="217"/>
      <c r="K91" s="213"/>
      <c r="L91" s="215"/>
      <c r="M91" s="215"/>
      <c r="N91" s="217"/>
      <c r="O91" s="217"/>
      <c r="P91" s="213"/>
      <c r="Q91" s="215"/>
      <c r="R91" s="215"/>
      <c r="S91" s="217"/>
      <c r="T91" s="217"/>
      <c r="U91" s="213"/>
      <c r="V91" s="215"/>
      <c r="W91" s="215"/>
      <c r="X91" s="217"/>
      <c r="Y91" s="217"/>
      <c r="Z91" s="213"/>
      <c r="AA91" s="215"/>
      <c r="AB91" s="215"/>
      <c r="AC91" s="217"/>
      <c r="AD91" s="217"/>
      <c r="AE91" s="213"/>
      <c r="AF91" s="215"/>
      <c r="AG91" s="215"/>
      <c r="AH91" s="217"/>
      <c r="AI91" s="217"/>
      <c r="AJ91" s="213"/>
    </row>
    <row r="92" spans="1:36" ht="16">
      <c r="A92" s="213"/>
      <c r="B92" s="214"/>
      <c r="C92" s="215"/>
      <c r="D92" s="216"/>
      <c r="E92" s="217"/>
      <c r="F92" s="213"/>
      <c r="G92" s="214"/>
      <c r="H92" s="215"/>
      <c r="I92" s="217"/>
      <c r="J92" s="217"/>
      <c r="K92" s="213"/>
      <c r="L92" s="215"/>
      <c r="M92" s="215"/>
      <c r="N92" s="217"/>
      <c r="O92" s="217"/>
      <c r="P92" s="213"/>
      <c r="Q92" s="215"/>
      <c r="R92" s="215"/>
      <c r="S92" s="217"/>
      <c r="T92" s="217"/>
      <c r="U92" s="213"/>
      <c r="V92" s="215"/>
      <c r="W92" s="215"/>
      <c r="X92" s="217"/>
      <c r="Y92" s="217"/>
      <c r="Z92" s="213"/>
      <c r="AA92" s="215"/>
      <c r="AB92" s="215"/>
      <c r="AC92" s="217"/>
      <c r="AD92" s="217"/>
      <c r="AE92" s="213"/>
      <c r="AF92" s="215"/>
      <c r="AG92" s="215"/>
      <c r="AH92" s="217"/>
      <c r="AI92" s="217"/>
      <c r="AJ92" s="213"/>
    </row>
    <row r="93" spans="1:36" ht="16">
      <c r="A93" s="213"/>
      <c r="B93" s="214"/>
      <c r="C93" s="215"/>
      <c r="D93" s="216"/>
      <c r="E93" s="217"/>
      <c r="F93" s="213"/>
      <c r="G93" s="214"/>
      <c r="H93" s="215"/>
      <c r="I93" s="217"/>
      <c r="J93" s="217"/>
      <c r="K93" s="213"/>
      <c r="L93" s="215"/>
      <c r="M93" s="215"/>
      <c r="N93" s="217"/>
      <c r="O93" s="217"/>
      <c r="P93" s="213"/>
      <c r="Q93" s="215"/>
      <c r="R93" s="215"/>
      <c r="S93" s="217"/>
      <c r="T93" s="217"/>
      <c r="U93" s="213"/>
      <c r="V93" s="215"/>
      <c r="W93" s="215"/>
      <c r="X93" s="217"/>
      <c r="Y93" s="217"/>
      <c r="Z93" s="213"/>
      <c r="AA93" s="215"/>
      <c r="AB93" s="215"/>
      <c r="AC93" s="217"/>
      <c r="AD93" s="217"/>
      <c r="AE93" s="213"/>
      <c r="AF93" s="215"/>
      <c r="AG93" s="215"/>
      <c r="AH93" s="217"/>
      <c r="AI93" s="217"/>
      <c r="AJ93" s="213"/>
    </row>
    <row r="94" spans="1:36" ht="16">
      <c r="A94" s="213"/>
      <c r="B94" s="214"/>
      <c r="C94" s="215"/>
      <c r="D94" s="216"/>
      <c r="E94" s="217"/>
      <c r="F94" s="213"/>
      <c r="G94" s="214"/>
      <c r="H94" s="215"/>
      <c r="I94" s="217"/>
      <c r="J94" s="217"/>
      <c r="K94" s="213"/>
      <c r="L94" s="215"/>
      <c r="M94" s="215"/>
      <c r="N94" s="217"/>
      <c r="O94" s="217"/>
      <c r="P94" s="213"/>
      <c r="Q94" s="215"/>
      <c r="R94" s="215"/>
      <c r="S94" s="217"/>
      <c r="T94" s="217"/>
      <c r="U94" s="213"/>
      <c r="V94" s="215"/>
      <c r="W94" s="215"/>
      <c r="X94" s="217"/>
      <c r="Y94" s="217"/>
      <c r="Z94" s="213"/>
      <c r="AA94" s="215"/>
      <c r="AB94" s="215"/>
      <c r="AC94" s="217"/>
      <c r="AD94" s="217"/>
      <c r="AE94" s="213"/>
      <c r="AF94" s="215"/>
      <c r="AG94" s="215"/>
      <c r="AH94" s="217"/>
      <c r="AI94" s="217"/>
      <c r="AJ94" s="213"/>
    </row>
    <row r="95" spans="1:36" ht="16">
      <c r="A95" s="213"/>
      <c r="B95" s="214"/>
      <c r="C95" s="215"/>
      <c r="D95" s="216"/>
      <c r="E95" s="217"/>
      <c r="F95" s="213"/>
      <c r="G95" s="214"/>
      <c r="H95" s="215"/>
      <c r="I95" s="217"/>
      <c r="J95" s="217"/>
      <c r="K95" s="213"/>
      <c r="L95" s="215"/>
      <c r="M95" s="215"/>
      <c r="N95" s="217"/>
      <c r="O95" s="217"/>
      <c r="P95" s="213"/>
      <c r="Q95" s="215"/>
      <c r="R95" s="215"/>
      <c r="S95" s="217"/>
      <c r="T95" s="217"/>
      <c r="U95" s="213"/>
      <c r="V95" s="215"/>
      <c r="W95" s="215"/>
      <c r="X95" s="217"/>
      <c r="Y95" s="217"/>
      <c r="Z95" s="213"/>
      <c r="AA95" s="215"/>
      <c r="AB95" s="215"/>
      <c r="AC95" s="217"/>
      <c r="AD95" s="217"/>
      <c r="AE95" s="213"/>
      <c r="AF95" s="215"/>
      <c r="AG95" s="215"/>
      <c r="AH95" s="217"/>
      <c r="AI95" s="217"/>
      <c r="AJ95" s="213"/>
    </row>
    <row r="96" spans="1:36" ht="16">
      <c r="A96" s="213"/>
      <c r="B96" s="214"/>
      <c r="C96" s="215"/>
      <c r="D96" s="217"/>
      <c r="E96" s="217"/>
      <c r="F96" s="213"/>
      <c r="G96" s="214"/>
      <c r="H96" s="215"/>
      <c r="I96" s="217"/>
      <c r="J96" s="217"/>
      <c r="K96" s="213"/>
      <c r="L96" s="215"/>
      <c r="M96" s="215"/>
      <c r="N96" s="217"/>
      <c r="O96" s="217"/>
      <c r="P96" s="213"/>
      <c r="Q96" s="215"/>
      <c r="R96" s="215"/>
      <c r="S96" s="217"/>
      <c r="T96" s="217"/>
      <c r="U96" s="213"/>
      <c r="V96" s="215"/>
      <c r="W96" s="215"/>
      <c r="X96" s="217"/>
      <c r="Y96" s="217"/>
      <c r="Z96" s="213"/>
      <c r="AA96" s="215"/>
      <c r="AB96" s="215"/>
      <c r="AC96" s="217"/>
      <c r="AD96" s="217"/>
      <c r="AE96" s="213"/>
      <c r="AF96" s="215"/>
      <c r="AG96" s="215"/>
      <c r="AH96" s="217"/>
      <c r="AI96" s="217"/>
      <c r="AJ96" s="213"/>
    </row>
    <row r="97" spans="1:36" ht="16">
      <c r="A97" s="213"/>
      <c r="B97" s="214"/>
      <c r="C97" s="215"/>
      <c r="D97" s="217"/>
      <c r="E97" s="217"/>
      <c r="F97" s="213"/>
      <c r="G97" s="214"/>
      <c r="H97" s="215"/>
      <c r="I97" s="217"/>
      <c r="J97" s="217"/>
      <c r="K97" s="213"/>
      <c r="L97" s="215"/>
      <c r="M97" s="215"/>
      <c r="N97" s="217"/>
      <c r="O97" s="217"/>
      <c r="P97" s="213"/>
      <c r="Q97" s="215"/>
      <c r="R97" s="215"/>
      <c r="S97" s="217"/>
      <c r="T97" s="217"/>
      <c r="U97" s="213"/>
      <c r="V97" s="215"/>
      <c r="W97" s="215"/>
      <c r="X97" s="217"/>
      <c r="Y97" s="217"/>
      <c r="Z97" s="213"/>
      <c r="AA97" s="215"/>
      <c r="AB97" s="215"/>
      <c r="AC97" s="217"/>
      <c r="AD97" s="217"/>
      <c r="AE97" s="213"/>
      <c r="AF97" s="215"/>
      <c r="AG97" s="215"/>
      <c r="AH97" s="217"/>
      <c r="AI97" s="217"/>
      <c r="AJ97" s="213"/>
    </row>
    <row r="98" spans="1:36" ht="16">
      <c r="A98" s="213"/>
      <c r="B98" s="214"/>
      <c r="C98" s="215"/>
      <c r="D98" s="217"/>
      <c r="E98" s="217"/>
      <c r="F98" s="213"/>
      <c r="G98" s="214"/>
      <c r="H98" s="215"/>
      <c r="I98" s="217"/>
      <c r="J98" s="217"/>
      <c r="K98" s="213"/>
      <c r="L98" s="215"/>
      <c r="M98" s="215"/>
      <c r="N98" s="217"/>
      <c r="O98" s="217"/>
      <c r="P98" s="213"/>
      <c r="Q98" s="215"/>
      <c r="R98" s="215"/>
      <c r="S98" s="217"/>
      <c r="T98" s="217"/>
      <c r="U98" s="213"/>
      <c r="V98" s="215"/>
      <c r="W98" s="215"/>
      <c r="X98" s="217"/>
      <c r="Y98" s="217"/>
      <c r="Z98" s="213"/>
      <c r="AA98" s="215"/>
      <c r="AB98" s="215"/>
      <c r="AC98" s="217"/>
      <c r="AD98" s="217"/>
      <c r="AE98" s="213"/>
      <c r="AF98" s="215"/>
      <c r="AG98" s="215"/>
      <c r="AH98" s="217"/>
      <c r="AI98" s="217"/>
      <c r="AJ98" s="213"/>
    </row>
    <row r="99" spans="1:36" ht="16">
      <c r="A99" s="213"/>
      <c r="B99" s="214"/>
      <c r="C99" s="215"/>
      <c r="D99" s="217"/>
      <c r="E99" s="217"/>
      <c r="F99" s="213"/>
      <c r="G99" s="214"/>
      <c r="H99" s="215"/>
      <c r="I99" s="218"/>
      <c r="J99" s="219"/>
      <c r="K99" s="213"/>
      <c r="L99" s="215"/>
      <c r="M99" s="215"/>
      <c r="N99" s="220"/>
      <c r="O99" s="220"/>
      <c r="P99" s="213"/>
      <c r="Q99" s="215"/>
      <c r="R99" s="215"/>
      <c r="S99" s="220"/>
      <c r="T99" s="220"/>
      <c r="U99" s="213"/>
      <c r="V99" s="215"/>
      <c r="W99" s="215"/>
      <c r="X99" s="220"/>
      <c r="Y99" s="220"/>
      <c r="Z99" s="213"/>
      <c r="AA99" s="215"/>
      <c r="AB99" s="215"/>
      <c r="AC99" s="221"/>
      <c r="AD99" s="221"/>
      <c r="AE99" s="213"/>
      <c r="AF99" s="215"/>
      <c r="AG99" s="215"/>
      <c r="AH99" s="220"/>
      <c r="AI99" s="220"/>
      <c r="AJ99" s="213"/>
    </row>
  </sheetData>
  <mergeCells count="14">
    <mergeCell ref="B1:E1"/>
    <mergeCell ref="L1:O1"/>
    <mergeCell ref="V1:Y1"/>
    <mergeCell ref="AF1:AI1"/>
    <mergeCell ref="B2:E2"/>
    <mergeCell ref="L2:O2"/>
    <mergeCell ref="V2:Y2"/>
    <mergeCell ref="AF2:AI2"/>
    <mergeCell ref="G1:J1"/>
    <mergeCell ref="G2:J2"/>
    <mergeCell ref="Q1:T1"/>
    <mergeCell ref="Q2:T2"/>
    <mergeCell ref="AA1:AD1"/>
    <mergeCell ref="AA2:AD2"/>
  </mergeCells>
  <hyperlinks>
    <hyperlink ref="D4" r:id="rId1" display="https://www.linkedin.com/learning/advanced-grammar?trk=ondemandfile" xr:uid="{00000000-0004-0000-2200-000000000000}"/>
    <hyperlink ref="E4" r:id="rId2" display="https://www.linkedin.com/learning/paths/become-a-content-strategist-7?trk=ondemandfile" xr:uid="{00000000-0004-0000-2200-000001000000}"/>
    <hyperlink ref="I4" r:id="rId3" display="https://www.linkedin.com/learning/10-conseils-pour-construire-un-cv-percutant?trk=contentmappingfile" xr:uid="{00000000-0004-0000-2200-000002000000}"/>
    <hyperlink ref="N4" r:id="rId4" display="https://www.linkedin.com/learning/aprende-a-tomar-notas-en-dispositivos-digitales?trk=ondemandfile" xr:uid="{00000000-0004-0000-2200-000003000000}"/>
    <hyperlink ref="O4" r:id="rId5" display="https://www.linkedin.com/learning/paths/conviertete-en-editor-de-e-books?trk=ondemandfile" xr:uid="{00000000-0004-0000-2200-000004000000}"/>
    <hyperlink ref="S4" r:id="rId6" display="https://www.linkedin.com/learning/berichte-schreiben?trk=ondemandfile" xr:uid="{00000000-0004-0000-2200-000005000000}"/>
    <hyperlink ref="T4" r:id="rId7" display="https://www.linkedin.com/learning/paths/bessere-texte-schreiben?trk=ondemandfile" xr:uid="{00000000-0004-0000-2200-000006000000}"/>
    <hyperlink ref="X4" r:id="rId8" display="https://www.linkedin.com/learning/business-etiquette-foundations-tools-and-documents?trk=ondemandfile" xr:uid="{00000000-0004-0000-2200-000007000000}"/>
    <hyperlink ref="AH4" r:id="rId9" display="https://www.linkedin.com/learning/business-english-writing-successful-business-emails-15824757?trk=contentmappingfile" xr:uid="{00000000-0004-0000-2200-000008000000}"/>
    <hyperlink ref="D5" r:id="rId10" display="https://www.linkedin.com/learning/editing-mastery-how-to-edit-writing-to-perfection?trk=ondemandfile" xr:uid="{00000000-0004-0000-2200-000009000000}"/>
    <hyperlink ref="E5" r:id="rId11" display="https://www.linkedin.com/learning/paths/develop-your-writing-skills?trk=ondemandfile" xr:uid="{00000000-0004-0000-2200-00000A000000}"/>
    <hyperlink ref="N5" r:id="rId12" display="https://www.linkedin.com/learning/como-comunicar-de-forma-efectiva-por-email?trk=ondemandfile" xr:uid="{00000000-0004-0000-2200-00000B000000}"/>
    <hyperlink ref="O5" r:id="rId13" display="https://www.linkedin.com/learning/paths/domina-el-arte-del-email-con-outlook-2016?trk=ondemandfile" xr:uid="{00000000-0004-0000-2200-00000C000000}"/>
    <hyperlink ref="S5" r:id="rId14" display="https://www.linkedin.com/learning/content-creation-ihr-redaktionsplan-fur-blogs-und-social-media?trk=contentmappingfile" xr:uid="{00000000-0004-0000-2200-00000D000000}"/>
    <hyperlink ref="X5" r:id="rId15" display="https://www.linkedin.com/learning/business-english-foundations-mail?trk=ondemandfile" xr:uid="{00000000-0004-0000-2200-00000E000000}"/>
    <hyperlink ref="AC5" r:id="rId16" display="https://www.linkedin.com/learning/como-escrever-artigos-com-maestria?trk=contentmappingfile" xr:uid="{00000000-0004-0000-2200-00000F000000}"/>
    <hyperlink ref="D6" r:id="rId17" display="https://www.linkedin.com/learning/writing-case-studies?trk=ondemandfile" xr:uid="{00000000-0004-0000-2200-000010000000}"/>
    <hyperlink ref="N6" r:id="rId18" display="https://www.linkedin.com/learning/como-escribir-con-eficacia?trk=ondemandfile" xr:uid="{00000000-0004-0000-2200-000011000000}"/>
    <hyperlink ref="O6" r:id="rId19" display="https://www.linkedin.com/learning/paths/profundiza-la-gestion-de-documentos-digitales-con-adobe-acrobat-xi?trk=ondemandfile" xr:uid="{00000000-0004-0000-2200-000012000000}"/>
    <hyperlink ref="S6" r:id="rId20" display="https://www.linkedin.com/learning/corporate-blogs-grundlagen-2?trk=ondemandfile" xr:uid="{00000000-0004-0000-2200-000013000000}"/>
    <hyperlink ref="D7" r:id="rId21" display="https://www.linkedin.com/learning/writing-white-papers?trk=ondemandfile" xr:uid="{00000000-0004-0000-2200-000014000000}"/>
    <hyperlink ref="N7" r:id="rId22" display="https://www.linkedin.com/learning/como-escribir-correos-electronicos-de-servicio-al-cliente?trk=ondemandfile" xr:uid="{00000000-0004-0000-2200-000015000000}"/>
    <hyperlink ref="O7" r:id="rId23" display="https://www.linkedin.com/learning/paths/domina-el-arte-del-email-con-outlook-2016-para-mac?trk=ondemandfile" xr:uid="{00000000-0004-0000-2200-000016000000}"/>
    <hyperlink ref="S7" r:id="rId24" display="https://www.linkedin.com/learning/deutsch-aber-richtig?trk=ondemandfile" xr:uid="{00000000-0004-0000-2200-000017000000}"/>
    <hyperlink ref="D8" r:id="rId25" display="https://www.linkedin.com/learning/grammar-girl-s-quick-and-dirty-tips-for-better-writing?trk=ondemandfile" xr:uid="{00000000-0004-0000-2200-000018000000}"/>
    <hyperlink ref="N8" r:id="rId26" display="https://www.linkedin.com/learning/00-fundamentos-de-dactilografia?trk=ondemandfile" xr:uid="{00000000-0004-0000-2200-000019000000}"/>
    <hyperlink ref="O8" r:id="rId27" display="https://www.linkedin.com/learning/paths/profundiza-la-gestion-de-documentos-digitales-con-adobe-acrobat-dc?trk=ondemandfile" xr:uid="{00000000-0004-0000-2200-00001A000000}"/>
    <hyperlink ref="S8" r:id="rId28" display="https://www.linkedin.com/learning/drehb-cher-schreiben?trk=ondemandfile" xr:uid="{00000000-0004-0000-2200-00001B000000}"/>
    <hyperlink ref="D9" r:id="rId29" display="https://www.linkedin.com/learning/quick-tips-for-better-business-writing?trk=ondemandfile" xr:uid="{00000000-0004-0000-2200-00001C000000}"/>
    <hyperlink ref="N9" r:id="rId30" display="https://www.linkedin.com/learning/00-fundamentos-de-la-curacion-de-contenidos?trk=ondemandfile" xr:uid="{00000000-0004-0000-2200-00001D000000}"/>
    <hyperlink ref="S9" r:id="rId31" display="https://www.linkedin.com/learning/einen-marketingplan-schreiben?trk=ondemandfile" xr:uid="{00000000-0004-0000-2200-00001E000000}"/>
    <hyperlink ref="D10" r:id="rId32" display="https://www.linkedin.com/learning/writing-a-marketing-plan-2?trk=ondemandfile" xr:uid="{00000000-0004-0000-2200-00001F000000}"/>
    <hyperlink ref="N10" r:id="rId33" display="https://www.linkedin.com/learning/00-fundamentos-de-escritura-para-negocios?trk=ondemandfile" xr:uid="{00000000-0004-0000-2200-000020000000}"/>
    <hyperlink ref="S10" r:id="rId34" display="https://www.linkedin.com/learning/einfach-gendern-gendersensible-sprache-in-der-unternehmenspraxis?trk=ondemandfile" xr:uid="{00000000-0004-0000-2200-000021000000}"/>
    <hyperlink ref="D11" r:id="rId35" display="https://www.linkedin.com/learning/writing-emails-people-want-to-read?trk=ondemandfile" xr:uid="{00000000-0004-0000-2200-000022000000}"/>
    <hyperlink ref="N11" r:id="rId36" display="https://www.linkedin.com/learning/00-fundamentos-del-content-marketing-blogs?trk=ondemandfile" xr:uid="{00000000-0004-0000-2200-000023000000}"/>
    <hyperlink ref="S11" r:id="rId37" display="https://www.linkedin.com/learning/e-mails-schreiben?trk=ondemandfile" xr:uid="{00000000-0004-0000-2200-000024000000}"/>
    <hyperlink ref="D12" r:id="rId38" display="https://www.linkedin.com/learning/is-there-a-book-in-you-learn-to-create-your-own-masterpiece?trk=ondemandfile" xr:uid="{00000000-0004-0000-2200-000025000000}"/>
    <hyperlink ref="N12" r:id="rId39" display="https://www.linkedin.com/learning/00-como-redactar-un-post-exitoso?trk=ondemandfile" xr:uid="{00000000-0004-0000-2200-000026000000}"/>
    <hyperlink ref="S12" r:id="rId40" display="https://www.linkedin.com/learning/ihre-kompetenz-mit-einem-buch-zeigen?trk=contentmappingfile" xr:uid="{00000000-0004-0000-2200-000027000000}"/>
    <hyperlink ref="D13" r:id="rId41" display="https://www.linkedin.com/learning/technical-writing-quick-start-guides?trk=ondemandfile" xr:uid="{00000000-0004-0000-2200-000028000000}"/>
    <hyperlink ref="N13" r:id="rId42" display="https://www.linkedin.com/learning/ingles-de-negocios-como-escribir-correos-electronicos-de-negocios-con-exito?trk=ondemandfile" xr:uid="{00000000-0004-0000-2200-000029000000}"/>
    <hyperlink ref="S13" r:id="rId43" display="https://www.linkedin.com/learning/kreatives-texten-wortspiele-metaphern-co?trk=ondemandfile" xr:uid="{00000000-0004-0000-2200-00002A000000}"/>
    <hyperlink ref="D14" r:id="rId44" display="https://www.linkedin.com/learning/writing-articles-2?trk=ondemandfile" xr:uid="{00000000-0004-0000-2200-00002B000000}"/>
    <hyperlink ref="N14" r:id="rId45" display="https://www.linkedin.com/learning/refresca-tus-conocimientos-de-la-lengua-espanola-estilo-y-arquitectura-de-las-frases?trk=contentmappingfile" xr:uid="{00000000-0004-0000-2200-00002C000000}"/>
    <hyperlink ref="S14" r:id="rId46" display="https://www.linkedin.com/learning/presse-und-offentlichkeitsarbeit-fur-kleine-und-mittlere-unternehmen?trk=ondemandfile" xr:uid="{00000000-0004-0000-2200-00002D000000}"/>
    <hyperlink ref="D15" r:id="rId47" display="https://www.linkedin.com/learning/writing-a-tech-resume?trk=ondemandfile" xr:uid="{00000000-0004-0000-2200-00002E000000}"/>
    <hyperlink ref="N15" r:id="rId48" display="https://www.linkedin.com/learning/profundiza-la-lengua-espanola-uso-de-las-tildes?trk=ondemandfile" xr:uid="{00000000-0004-0000-2200-00002F000000}"/>
    <hyperlink ref="S15" r:id="rId49" display="https://www.linkedin.com/learning/professionelle-bewerbungsunterlagen-erstellen?trk=ondemandfile" xr:uid="{00000000-0004-0000-2200-000030000000}"/>
    <hyperlink ref="D16" r:id="rId50" display="https://www.linkedin.com/learning/writing-in-plain-language?trk=ondemandfile" xr:uid="{00000000-0004-0000-2200-000031000000}"/>
    <hyperlink ref="I16" r:id="rId51" display="https://www.linkedin.com/learning/word-creer-une-newsletter-microsoft-365-office-365?trk=contentmappingfile" xr:uid="{00000000-0004-0000-2200-000032000000}"/>
    <hyperlink ref="N16" r:id="rId52" display="https://www.linkedin.com/learning/tecnicas-de-escritura-creativa-para-negocios-trucos?trk=contentmappingfile" xr:uid="{00000000-0004-0000-2200-000033000000}"/>
    <hyperlink ref="S16" r:id="rId53" display="https://www.linkedin.com/learning/seo-gerechte-texte?trk=ondemandfile" xr:uid="{00000000-0004-0000-2200-000034000000}"/>
    <hyperlink ref="D17" r:id="rId54" display="https://www.linkedin.com/learning/productivity-hacks-for-writers?trk=ondemandfile" xr:uid="{00000000-0004-0000-2200-000035000000}"/>
    <hyperlink ref="N17" r:id="rId55" display="https://www.linkedin.com/learning/00-pdd-2?trk=ondemandfile" xr:uid="{00000000-0004-0000-2200-000036000000}"/>
    <hyperlink ref="S17" r:id="rId56" display="https://www.linkedin.com/learning/treffende-texte?trk=ondemandfile" xr:uid="{00000000-0004-0000-2200-000037000000}"/>
    <hyperlink ref="D18" r:id="rId57" display="https://www.linkedin.com/learning/writing-a-business-case?trk=ondemandfile" xr:uid="{00000000-0004-0000-2200-000038000000}"/>
    <hyperlink ref="S18" r:id="rId58" display="https://www.linkedin.com/learning/wie-rechtschreibung-auf-die-reputation-einzahlt?trk=ondemandfile" xr:uid="{00000000-0004-0000-2200-000039000000}"/>
    <hyperlink ref="D19" r:id="rId59" display="https://www.linkedin.com/learning/writing-a-compelling-blog-post?trk=ondemandfile" xr:uid="{00000000-0004-0000-2200-00003A000000}"/>
    <hyperlink ref="S19" r:id="rId60" display="https://www.linkedin.com/learning/wissenschaftliche-arbeiten-schreiben?trk=ondemandfile" xr:uid="{00000000-0004-0000-2200-00003B000000}"/>
    <hyperlink ref="D20" r:id="rId61" display="https://www.linkedin.com/learning/writing-formal-business-letters-and-emails?trk=ondemandfile" xr:uid="{00000000-0004-0000-2200-00003C000000}"/>
    <hyperlink ref="D21" r:id="rId62" display="https://www.linkedin.com/learning/writing-in-plain-english?trk=ondemandfile" xr:uid="{00000000-0004-0000-2200-00003D000000}"/>
    <hyperlink ref="D22" r:id="rId63" display="https://www.linkedin.com/learning/writing-under-a-deadline?trk=ondemandfile" xr:uid="{00000000-0004-0000-2200-00003E000000}"/>
    <hyperlink ref="D23" r:id="rId64" display="https://www.linkedin.com/learning/writing-with-flair-how-to-become-an-exceptional-writer?trk=ondemandfile" xr:uid="{00000000-0004-0000-2200-00003F000000}"/>
    <hyperlink ref="D24" r:id="rId65" display="https://www.linkedin.com/learning/writing-with-impact?trk=ondemandfile" xr:uid="{00000000-0004-0000-2200-000040000000}"/>
    <hyperlink ref="D25" r:id="rId66" display="https://www.linkedin.com/learning/writing-fundamentals-the-craft-of-story?trk=ondemandfile" xr:uid="{00000000-0004-0000-2200-000041000000}"/>
    <hyperlink ref="D26" r:id="rId67" display="https://www.linkedin.com/learning/conquering-writer-s-block?trk=ondemandfile" xr:uid="{00000000-0004-0000-2200-000042000000}"/>
    <hyperlink ref="D27" r:id="rId68" display="https://www.linkedin.com/learning/running-a-design-business-writing-and-pricing-winning-proposals?trk=ondemandfile" xr:uid="{00000000-0004-0000-2200-000043000000}"/>
    <hyperlink ref="D28" r:id="rId69" display="https://www.linkedin.com/learning/quick-tips-for-writing-business-emails?trk=ondemandfile" xr:uid="{00000000-0004-0000-2200-000044000000}"/>
    <hyperlink ref="D29" r:id="rId70" display="https://www.linkedin.com/learning/writing-with-commonly-confused-words?trk=ondemandfile" xr:uid="{00000000-0004-0000-2200-000045000000}"/>
    <hyperlink ref="D30" r:id="rId71" display="https://www.linkedin.com/learning/sell-your-novel-to-a-major-publisher?trk=ondemandfile" xr:uid="{00000000-0004-0000-2200-000046000000}"/>
    <hyperlink ref="D31" r:id="rId72" display="https://www.linkedin.com/learning/the-foundations-of-fiction?trk=ondemandfile" xr:uid="{00000000-0004-0000-2200-000047000000}"/>
    <hyperlink ref="D32" r:id="rId73" display="https://www.linkedin.com/learning/writing-and-delivering-speeches?trk=ondemandfile" xr:uid="{00000000-0004-0000-2200-000048000000}"/>
    <hyperlink ref="D33" r:id="rId74" display="https://www.linkedin.com/learning/cold-email-prospecting?trk=ondemandfile" xr:uid="{00000000-0004-0000-2200-000049000000}"/>
    <hyperlink ref="D34" r:id="rId75" display="https://www.linkedin.com/learning/ninja-writing-the-four-levels-of-writing-mastery?trk=ondemandfile" xr:uid="{00000000-0004-0000-2200-00004A000000}"/>
    <hyperlink ref="D35" r:id="rId76" display="https://www.linkedin.com/learning/writing-headlines?trk=ondemandfile" xr:uid="{00000000-0004-0000-2200-00004B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Click and enter a value from range 'Competency Titles'!A1:A27" xr:uid="{00000000-0002-0000-2200-000000000000}">
          <x14:formula1>
            <xm:f>#REF!</xm:f>
          </x14:formula1>
          <xm:sqref>B1</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38761D"/>
    <outlinePr summaryBelow="0" summaryRight="0"/>
  </sheetPr>
  <dimension ref="A1:AJ133"/>
  <sheetViews>
    <sheetView showGridLines="0" workbookViewId="0">
      <pane ySplit="3" topLeftCell="A4" activePane="bottomLeft" state="frozen"/>
      <selection pane="bottomLeft" sqref="A1:XFD1048576"/>
    </sheetView>
  </sheetViews>
  <sheetFormatPr baseColWidth="10" defaultColWidth="11.1640625" defaultRowHeight="15" customHeight="1"/>
  <cols>
    <col min="1" max="1" width="1.1640625" customWidth="1"/>
    <col min="2" max="2" width="11.1640625" customWidth="1"/>
    <col min="3" max="3" width="18.5" customWidth="1"/>
    <col min="4" max="5" width="44.5" customWidth="1"/>
    <col min="6" max="6" width="1.1640625" customWidth="1"/>
    <col min="7" max="7" width="11.1640625" customWidth="1"/>
    <col min="8" max="8" width="19.33203125" customWidth="1"/>
    <col min="9" max="10" width="44.5" customWidth="1"/>
    <col min="11" max="11" width="1.1640625" customWidth="1"/>
    <col min="12" max="12" width="11.1640625" customWidth="1"/>
    <col min="13" max="13" width="20.83203125" customWidth="1"/>
    <col min="14" max="15" width="44.5" customWidth="1"/>
    <col min="16" max="16" width="1.1640625" customWidth="1"/>
    <col min="17" max="17" width="11.1640625" customWidth="1"/>
    <col min="18" max="18" width="19.6640625" customWidth="1"/>
    <col min="19" max="20" width="44.5" customWidth="1"/>
    <col min="21" max="21" width="1.1640625" customWidth="1"/>
    <col min="23" max="23" width="18.6640625" customWidth="1"/>
    <col min="24" max="25" width="44.5" customWidth="1"/>
    <col min="26" max="26" width="1.1640625" customWidth="1"/>
    <col min="27" max="27" width="11.1640625" customWidth="1"/>
    <col min="28" max="28" width="26.6640625" customWidth="1"/>
    <col min="29" max="30" width="44.5" customWidth="1"/>
    <col min="31" max="31" width="1.1640625" customWidth="1"/>
    <col min="32" max="32" width="11.1640625" customWidth="1"/>
    <col min="33" max="33" width="21" customWidth="1"/>
    <col min="34" max="35" width="44.5" customWidth="1"/>
    <col min="36" max="36" width="1.1640625" customWidth="1"/>
  </cols>
  <sheetData>
    <row r="1" spans="1:36" ht="34.5" customHeight="1">
      <c r="A1" s="208"/>
      <c r="B1" s="230" t="s">
        <v>25</v>
      </c>
      <c r="C1" s="222"/>
      <c r="D1" s="222"/>
      <c r="E1" s="222"/>
      <c r="F1" s="208"/>
      <c r="G1" s="230" t="str">
        <f ca="1">IFERROR(__xludf.DUMMYFUNCTION("IFERROR(UNIQUE(FILTER(French!B:B,French!A:A=B1)))"),"Soin de soi, Bien-être, Pleine conscience")</f>
        <v>Soin de soi, Bien-être, Pleine conscience</v>
      </c>
      <c r="H1" s="222"/>
      <c r="I1" s="222"/>
      <c r="J1" s="222"/>
      <c r="K1" s="208"/>
      <c r="L1" s="230" t="str">
        <f ca="1">IFERROR(__xludf.DUMMYFUNCTION("IFERROR((UNIQUE(FILTER(Spanish!B:B,Spanish!A:A=B1))))"),"Autocuidado, Bienestar, Mindfulness")</f>
        <v>Autocuidado, Bienestar, Mindfulness</v>
      </c>
      <c r="M1" s="222"/>
      <c r="N1" s="222"/>
      <c r="O1" s="222"/>
      <c r="P1" s="208"/>
      <c r="Q1" s="230" t="str">
        <f ca="1">IFERROR(__xludf.DUMMYFUNCTION("IFERROR(UNIQUE(FILTER(German!B:B,German!A:A=B1)))"),"Selbstfürsorge, Wohlbefinden, Achtsamkeit")</f>
        <v>Selbstfürsorge, Wohlbefinden, Achtsamkeit</v>
      </c>
      <c r="R1" s="222"/>
      <c r="S1" s="222"/>
      <c r="T1" s="222"/>
      <c r="U1" s="208"/>
      <c r="V1" s="230" t="str">
        <f ca="1">IFERROR(__xludf.DUMMYFUNCTION("IFERROR(UNIQUE(FILTER(Japanese!B:B,Japanese!A:A=B1)))"),"セルフケア、幸福、マインドフルネス")</f>
        <v>セルフケア、幸福、マインドフルネス</v>
      </c>
      <c r="W1" s="222"/>
      <c r="X1" s="222"/>
      <c r="Y1" s="222"/>
      <c r="Z1" s="208"/>
      <c r="AA1" s="230" t="str">
        <f ca="1">IFERROR(__xludf.DUMMYFUNCTION("IFERROR(UNIQUE(FILTER(Portuguese!B:B,Portuguese!A:A=B1)))"),"Autocuidado, bem-estar, atenção plena")</f>
        <v>Autocuidado, bem-estar, atenção plena</v>
      </c>
      <c r="AB1" s="222"/>
      <c r="AC1" s="222"/>
      <c r="AD1" s="222"/>
      <c r="AE1" s="208"/>
      <c r="AF1" s="230" t="str">
        <f ca="1">IFERROR(__xludf.DUMMYFUNCTION("IFERROR(UNIQUE(FILTER(Mandarin!B:B,Mandarin!A:A=B1)))"),"自我保健、健康、正念")</f>
        <v>自我保健、健康、正念</v>
      </c>
      <c r="AG1" s="222"/>
      <c r="AH1" s="222"/>
      <c r="AI1" s="222"/>
      <c r="AJ1" s="208"/>
    </row>
    <row r="2" spans="1:36" ht="28" customHeight="1">
      <c r="A2" s="209"/>
      <c r="B2" s="234" t="s">
        <v>4713</v>
      </c>
      <c r="C2" s="222"/>
      <c r="D2" s="222"/>
      <c r="E2" s="222"/>
      <c r="F2" s="209"/>
      <c r="G2" s="231" t="s">
        <v>4714</v>
      </c>
      <c r="H2" s="222"/>
      <c r="I2" s="222"/>
      <c r="J2" s="222"/>
      <c r="K2" s="209"/>
      <c r="L2" s="235" t="s">
        <v>4715</v>
      </c>
      <c r="M2" s="222"/>
      <c r="N2" s="222"/>
      <c r="O2" s="222"/>
      <c r="P2" s="209"/>
      <c r="Q2" s="232" t="s">
        <v>4716</v>
      </c>
      <c r="R2" s="222"/>
      <c r="S2" s="222"/>
      <c r="T2" s="222"/>
      <c r="U2" s="209"/>
      <c r="V2" s="236" t="s">
        <v>4717</v>
      </c>
      <c r="W2" s="222"/>
      <c r="X2" s="222"/>
      <c r="Y2" s="222"/>
      <c r="Z2" s="209"/>
      <c r="AA2" s="233" t="s">
        <v>4718</v>
      </c>
      <c r="AB2" s="222"/>
      <c r="AC2" s="222"/>
      <c r="AD2" s="222"/>
      <c r="AE2" s="209"/>
      <c r="AF2" s="237" t="s">
        <v>4719</v>
      </c>
      <c r="AG2" s="222"/>
      <c r="AH2" s="222"/>
      <c r="AI2" s="222"/>
      <c r="AJ2" s="209"/>
    </row>
    <row r="3" spans="1:36" ht="26" customHeight="1">
      <c r="A3" s="210"/>
      <c r="B3" s="211" t="str">
        <f ca="1">IFERROR(__xludf.DUMMYFUNCTION("FILTER(English!B:B,English!A:A=B1)"),"Course IDs")</f>
        <v>Course IDs</v>
      </c>
      <c r="C3" s="211" t="str">
        <f ca="1">IFERROR(__xludf.DUMMYFUNCTION("FILTER(English!C:C,English!A:A=B1)"),"Levels")</f>
        <v>Levels</v>
      </c>
      <c r="D3" s="211" t="str">
        <f ca="1">IFERROR(__xludf.DUMMYFUNCTION("FILTER(English!D:D,English!A:A=B1)"),"Courses")</f>
        <v>Courses</v>
      </c>
      <c r="E3" s="212" t="str">
        <f ca="1">IFERROR(__xludf.DUMMYFUNCTION("FILTER(English!E:E,English!A:A=B1)"),"Learning Paths")</f>
        <v>Learning Paths</v>
      </c>
      <c r="F3" s="210"/>
      <c r="G3" s="211" t="str">
        <f ca="1">IFERROR(__xludf.DUMMYFUNCTION("FILTER(French!C:C,French!B:B=G1)"),"Course IDs")</f>
        <v>Course IDs</v>
      </c>
      <c r="H3" s="211" t="str">
        <f ca="1">IFERROR(__xludf.DUMMYFUNCTION("FILTER(French!D:D,French!B:B=G1)"),"Levels")</f>
        <v>Levels</v>
      </c>
      <c r="I3" s="211" t="str">
        <f ca="1">IFERROR(__xludf.DUMMYFUNCTION("FILTER(French!E:E,French!B:B=G1)"),"Courses")</f>
        <v>Courses</v>
      </c>
      <c r="J3" s="212" t="str">
        <f ca="1">IFERROR(__xludf.DUMMYFUNCTION("FILTER(French!G:G,French!B:B=G1)"),"Learning Paths")</f>
        <v>Learning Paths</v>
      </c>
      <c r="K3" s="210"/>
      <c r="L3" s="211" t="str">
        <f ca="1">IFERROR(__xludf.DUMMYFUNCTION("FILTER(Spanish!C:C,Spanish!B:B=L1)"),"Course IDs")</f>
        <v>Course IDs</v>
      </c>
      <c r="M3" s="211" t="str">
        <f ca="1">IFERROR(__xludf.DUMMYFUNCTION("FILTER(Spanish!D:D,Spanish!B:B=L1)"),"Levels")</f>
        <v>Levels</v>
      </c>
      <c r="N3" s="211" t="str">
        <f ca="1">IFERROR(__xludf.DUMMYFUNCTION("FILTER(Spanish!E:E,Spanish!B:B=L1)"),"Courses")</f>
        <v>Courses</v>
      </c>
      <c r="O3" s="212" t="str">
        <f ca="1">IFERROR(__xludf.DUMMYFUNCTION("FILTER(Spanish!G:G,Spanish!B:B=L1)"),"Learning Paths")</f>
        <v>Learning Paths</v>
      </c>
      <c r="P3" s="210"/>
      <c r="Q3" s="211" t="str">
        <f ca="1">IFERROR(__xludf.DUMMYFUNCTION("FILTER(German!C:C,German!B:B=Q1)"),"Course IDs")</f>
        <v>Course IDs</v>
      </c>
      <c r="R3" s="211" t="str">
        <f ca="1">IFERROR(__xludf.DUMMYFUNCTION("FILTER(German!D:D,German!B:B=Q1)"),"Levels")</f>
        <v>Levels</v>
      </c>
      <c r="S3" s="211" t="str">
        <f ca="1">IFERROR(__xludf.DUMMYFUNCTION("FILTER(German!E:E,German!B:B=Q1)"),"Courses")</f>
        <v>Courses</v>
      </c>
      <c r="T3" s="212" t="str">
        <f ca="1">IFERROR(__xludf.DUMMYFUNCTION("FILTER(German!G:G,German!B:B=Q1)"),"Learning Paths")</f>
        <v>Learning Paths</v>
      </c>
      <c r="U3" s="210"/>
      <c r="V3" s="211" t="str">
        <f ca="1">IFERROR(__xludf.DUMMYFUNCTION("FILTER(Japanese!C:C,Japanese!B:B=V1)"),"Course IDs")</f>
        <v>Course IDs</v>
      </c>
      <c r="W3" s="211" t="str">
        <f ca="1">IFERROR(__xludf.DUMMYFUNCTION("FILTER(Japanese!D:D,Japanese!B:B=V1)"),"Levels")</f>
        <v>Levels</v>
      </c>
      <c r="X3" s="211" t="str">
        <f ca="1">IFERROR(__xludf.DUMMYFUNCTION("FILTER(Japanese!E:E,Japanese!B:B=V1)"),"Courses")</f>
        <v>Courses</v>
      </c>
      <c r="Y3" s="212" t="str">
        <f ca="1">IFERROR(__xludf.DUMMYFUNCTION("FILTER(Japanese!G:G,Japanese!B:B=V1)"),"Learning Paths")</f>
        <v>Learning Paths</v>
      </c>
      <c r="Z3" s="210"/>
      <c r="AA3" s="211" t="str">
        <f ca="1">IFERROR(__xludf.DUMMYFUNCTION("FILTER(Portuguese!C:C,Portuguese!B:B=AA1)"),"Course IDs")</f>
        <v>Course IDs</v>
      </c>
      <c r="AB3" s="211" t="str">
        <f ca="1">IFERROR(__xludf.DUMMYFUNCTION("FILTER(Portuguese!D:D,Portuguese!B:B=AA1)"),"Levels")</f>
        <v>Levels</v>
      </c>
      <c r="AC3" s="211" t="str">
        <f ca="1">IFERROR(__xludf.DUMMYFUNCTION("FILTER(Portuguese!E:E,Portuguese!B:B=AA1)"),"Courses")</f>
        <v>Courses</v>
      </c>
      <c r="AD3" s="212" t="str">
        <f ca="1">IFERROR(__xludf.DUMMYFUNCTION("FILTER(Portuguese!G:G,Portuguese!B:B=AA1)"),"Learning Paths")</f>
        <v>Learning Paths</v>
      </c>
      <c r="AE3" s="210"/>
      <c r="AF3" s="211" t="str">
        <f ca="1">IFERROR(__xludf.DUMMYFUNCTION("FILTER(Mandarin!C:C,Mandarin!B:B=AF1)"),"Course IDs")</f>
        <v>Course IDs</v>
      </c>
      <c r="AG3" s="211" t="str">
        <f ca="1">IFERROR(__xludf.DUMMYFUNCTION("FILTER(Mandarin!D:D,Mandarin!B:B=AF1)"),"Levels")</f>
        <v>Levels</v>
      </c>
      <c r="AH3" s="211" t="str">
        <f ca="1">IFERROR(__xludf.DUMMYFUNCTION("FILTER(Mandarin!E:E,Mandarin!B:B=AF1)"),"Courses")</f>
        <v>Courses</v>
      </c>
      <c r="AI3" s="212" t="str">
        <f ca="1">IFERROR(__xludf.DUMMYFUNCTION("FILTER(Mandarin!G:G,Mandarin!B:B=AF1)"),"Learning Paths")</f>
        <v>Learning Paths</v>
      </c>
      <c r="AJ3" s="210"/>
    </row>
    <row r="4" spans="1:36" ht="33.75" customHeight="1">
      <c r="A4" s="213"/>
      <c r="B4" s="214">
        <f ca="1">IFERROR(__xludf.DUMMYFUNCTION("""COMPUTED_VALUE"""),624208)</f>
        <v>624208</v>
      </c>
      <c r="C4" s="215" t="str">
        <f ca="1">IFERROR(__xludf.DUMMYFUNCTION("""COMPUTED_VALUE"""),"Advanced")</f>
        <v>Advanced</v>
      </c>
      <c r="D4" s="216" t="str">
        <f ca="1">IFERROR(__xludf.DUMMYFUNCTION("""COMPUTED_VALUE"""),"Creating a Positive and Healthy Work Environment")</f>
        <v>Creating a Positive and Healthy Work Environment</v>
      </c>
      <c r="E4" s="217" t="str">
        <f ca="1">IFERROR(__xludf.DUMMYFUNCTION("""COMPUTED_VALUE"""),"Manage Change and Develop Your Adaptability Skills")</f>
        <v>Manage Change and Develop Your Adaptability Skills</v>
      </c>
      <c r="F4" s="213"/>
      <c r="G4" s="214">
        <f ca="1">IFERROR(__xludf.DUMMYFUNCTION("""COMPUTED_VALUE"""),2882006)</f>
        <v>2882006</v>
      </c>
      <c r="H4" s="215" t="str">
        <f ca="1">IFERROR(__xludf.DUMMYFUNCTION("""COMPUTED_VALUE"""),"All levels")</f>
        <v>All levels</v>
      </c>
      <c r="I4" s="217" t="str">
        <f ca="1">IFERROR(__xludf.DUMMYFUNCTION("""COMPUTED_VALUE"""),"10 minutes, un livre : Cultiver la pleine conscience")</f>
        <v>10 minutes, un livre : Cultiver la pleine conscience</v>
      </c>
      <c r="J4" s="217" t="str">
        <f ca="1">IFERROR(__xludf.DUMMYFUNCTION("""COMPUTED_VALUE"""),"Promouvoir le bien-être en période de changement et d'incertitude")</f>
        <v>Promouvoir le bien-être en période de changement et d'incertitude</v>
      </c>
      <c r="K4" s="213"/>
      <c r="L4" s="215">
        <f ca="1">IFERROR(__xludf.DUMMYFUNCTION("""COMPUTED_VALUE"""),3159317)</f>
        <v>3159317</v>
      </c>
      <c r="M4" s="215" t="str">
        <f ca="1">IFERROR(__xludf.DUMMYFUNCTION("""COMPUTED_VALUE"""),"All levels")</f>
        <v>All levels</v>
      </c>
      <c r="N4" s="217" t="str">
        <f ca="1">IFERROR(__xludf.DUMMYFUNCTION("""COMPUTED_VALUE"""),"Activa el cuerpo: Ejercicios fáciles y simples para tonificar el cuerpo entero")</f>
        <v>Activa el cuerpo: Ejercicios fáciles y simples para tonificar el cuerpo entero</v>
      </c>
      <c r="O4" s="217"/>
      <c r="P4" s="213"/>
      <c r="Q4" s="215">
        <f ca="1">IFERROR(__xludf.DUMMYFUNCTION("""COMPUTED_VALUE"""),3147744)</f>
        <v>3147744</v>
      </c>
      <c r="R4" s="215" t="str">
        <f ca="1">IFERROR(__xludf.DUMMYFUNCTION("""COMPUTED_VALUE"""),"Beginner")</f>
        <v>Beginner</v>
      </c>
      <c r="S4" s="217" t="str">
        <f ca="1">IFERROR(__xludf.DUMMYFUNCTION("""COMPUTED_VALUE"""),"Achtsamkeit im Beruf durch Meditation: Achtsame Interaktion")</f>
        <v>Achtsamkeit im Beruf durch Meditation: Achtsame Interaktion</v>
      </c>
      <c r="T4" s="217" t="str">
        <f ca="1">IFERROR(__xludf.DUMMYFUNCTION("""COMPUTED_VALUE"""),"N/A")</f>
        <v>N/A</v>
      </c>
      <c r="U4" s="213"/>
      <c r="V4" s="215">
        <f ca="1">IFERROR(__xludf.DUMMYFUNCTION("""COMPUTED_VALUE"""),2915381)</f>
        <v>2915381</v>
      </c>
      <c r="W4" s="215" t="str">
        <f ca="1">IFERROR(__xludf.DUMMYFUNCTION("""COMPUTED_VALUE"""),"All levels")</f>
        <v>All levels</v>
      </c>
      <c r="X4" s="217" t="str">
        <f ca="1">IFERROR(__xludf.DUMMYFUNCTION("""COMPUTED_VALUE"""),"マインドフルネス入門")</f>
        <v>マインドフルネス入門</v>
      </c>
      <c r="Y4" s="217" t="str">
        <f ca="1">IFERROR(__xludf.DUMMYFUNCTION("""COMPUTED_VALUE"""),"N/A")</f>
        <v>N/A</v>
      </c>
      <c r="Z4" s="213"/>
      <c r="AA4" s="215">
        <f ca="1">IFERROR(__xludf.DUMMYFUNCTION("""COMPUTED_VALUE"""),2889453)</f>
        <v>2889453</v>
      </c>
      <c r="AB4" s="215" t="str">
        <f ca="1">IFERROR(__xludf.DUMMYFUNCTION("""COMPUTED_VALUE"""),"All levels")</f>
        <v>All levels</v>
      </c>
      <c r="AC4" s="217" t="str">
        <f ca="1">IFERROR(__xludf.DUMMYFUNCTION("""COMPUTED_VALUE"""),"Ambientes de Trabalho Tóxicos: Da Atitude Passiva à Ação")</f>
        <v>Ambientes de Trabalho Tóxicos: Da Atitude Passiva à Ação</v>
      </c>
      <c r="AD4" s="217"/>
      <c r="AE4" s="213"/>
      <c r="AF4" s="215">
        <f ca="1">IFERROR(__xludf.DUMMYFUNCTION("""COMPUTED_VALUE"""),2876171)</f>
        <v>2876171</v>
      </c>
      <c r="AG4" s="215" t="str">
        <f ca="1">IFERROR(__xludf.DUMMYFUNCTION("""COMPUTED_VALUE"""),"Beginner")</f>
        <v>Beginner</v>
      </c>
      <c r="AH4" s="217" t="str">
        <f ca="1">IFERROR(__xludf.DUMMYFUNCTION("""COMPUTED_VALUE"""),"保持积极的工作态度")</f>
        <v>保持积极的工作态度</v>
      </c>
      <c r="AI4" s="217" t="str">
        <f ca="1">IFERROR(__xludf.DUMMYFUNCTION("""COMPUTED_VALUE"""),"N/A")</f>
        <v>N/A</v>
      </c>
      <c r="AJ4" s="213"/>
    </row>
    <row r="5" spans="1:36" ht="45">
      <c r="A5" s="213"/>
      <c r="B5" s="214">
        <f ca="1">IFERROR(__xludf.DUMMYFUNCTION("""COMPUTED_VALUE"""),2823579)</f>
        <v>2823579</v>
      </c>
      <c r="C5" s="215" t="str">
        <f ca="1">IFERROR(__xludf.DUMMYFUNCTION("""COMPUTED_VALUE"""),"Advanced")</f>
        <v>Advanced</v>
      </c>
      <c r="D5" s="216" t="str">
        <f ca="1">IFERROR(__xludf.DUMMYFUNCTION("""COMPUTED_VALUE"""),"Adaptive Leadership for VUCA Challenges")</f>
        <v>Adaptive Leadership for VUCA Challenges</v>
      </c>
      <c r="E5" s="217" t="str">
        <f ca="1">IFERROR(__xludf.DUMMYFUNCTION("""COMPUTED_VALUE"""),"Remote Working: Setting Yourself and Your Teams Up for Success")</f>
        <v>Remote Working: Setting Yourself and Your Teams Up for Success</v>
      </c>
      <c r="F5" s="213"/>
      <c r="G5" s="214">
        <f ca="1">IFERROR(__xludf.DUMMYFUNCTION("""COMPUTED_VALUE"""),2390306)</f>
        <v>2390306</v>
      </c>
      <c r="H5" s="215" t="str">
        <f ca="1">IFERROR(__xludf.DUMMYFUNCTION("""COMPUTED_VALUE"""),"All levels")</f>
        <v>All levels</v>
      </c>
      <c r="I5" s="217" t="str">
        <f ca="1">IFERROR(__xludf.DUMMYFUNCTION("""COMPUTED_VALUE"""),"10 minutes, un livre : En finir avec les auto-sabotages")</f>
        <v>10 minutes, un livre : En finir avec les auto-sabotages</v>
      </c>
      <c r="J5" s="217"/>
      <c r="K5" s="213"/>
      <c r="L5" s="215">
        <f ca="1">IFERROR(__xludf.DUMMYFUNCTION("""COMPUTED_VALUE"""),3163261)</f>
        <v>3163261</v>
      </c>
      <c r="M5" s="215" t="str">
        <f ca="1">IFERROR(__xludf.DUMMYFUNCTION("""COMPUTED_VALUE"""),"All levels")</f>
        <v>All levels</v>
      </c>
      <c r="N5" s="217" t="str">
        <f ca="1">IFERROR(__xludf.DUMMYFUNCTION("""COMPUTED_VALUE"""),"Activa el cuerpo: Entrena tus glúteos, abdominales y piernas de forma divertida y sencilla")</f>
        <v>Activa el cuerpo: Entrena tus glúteos, abdominales y piernas de forma divertida y sencilla</v>
      </c>
      <c r="O5" s="217"/>
      <c r="P5" s="213"/>
      <c r="Q5" s="215">
        <f ca="1">IFERROR(__xludf.DUMMYFUNCTION("""COMPUTED_VALUE"""),3147743)</f>
        <v>3147743</v>
      </c>
      <c r="R5" s="215" t="str">
        <f ca="1">IFERROR(__xludf.DUMMYFUNCTION("""COMPUTED_VALUE"""),"Beginner")</f>
        <v>Beginner</v>
      </c>
      <c r="S5" s="217" t="str">
        <f ca="1">IFERROR(__xludf.DUMMYFUNCTION("""COMPUTED_VALUE"""),"Achtsamkeit im Beruf durch Meditation: Innere Haltung")</f>
        <v>Achtsamkeit im Beruf durch Meditation: Innere Haltung</v>
      </c>
      <c r="T5" s="217"/>
      <c r="U5" s="213"/>
      <c r="V5" s="215">
        <f ca="1">IFERROR(__xludf.DUMMYFUNCTION("""COMPUTED_VALUE"""),2849241)</f>
        <v>2849241</v>
      </c>
      <c r="W5" s="215" t="str">
        <f ca="1">IFERROR(__xludf.DUMMYFUNCTION("""COMPUTED_VALUE"""),"Beginner")</f>
        <v>Beginner</v>
      </c>
      <c r="X5" s="217" t="str">
        <f ca="1">IFERROR(__xludf.DUMMYFUNCTION("""COMPUTED_VALUE"""),"燃え尽き症候群を防ぐには")</f>
        <v>燃え尽き症候群を防ぐには</v>
      </c>
      <c r="Y5" s="217"/>
      <c r="Z5" s="213"/>
      <c r="AA5" s="215">
        <f ca="1">IFERROR(__xludf.DUMMYFUNCTION("""COMPUTED_VALUE"""),3201142)</f>
        <v>3201142</v>
      </c>
      <c r="AB5" s="215" t="str">
        <f ca="1">IFERROR(__xludf.DUMMYFUNCTION("""COMPUTED_VALUE"""),"All levels")</f>
        <v>All levels</v>
      </c>
      <c r="AC5" s="217" t="str">
        <f ca="1">IFERROR(__xludf.DUMMYFUNCTION("""COMPUTED_VALUE"""),"Como Apoiar sua Equipe na Gestão da Ansiedade")</f>
        <v>Como Apoiar sua Equipe na Gestão da Ansiedade</v>
      </c>
      <c r="AD5" s="217"/>
      <c r="AE5" s="213"/>
      <c r="AF5" s="215">
        <f ca="1">IFERROR(__xludf.DUMMYFUNCTION("""COMPUTED_VALUE"""),3102030)</f>
        <v>3102030</v>
      </c>
      <c r="AG5" s="215" t="str">
        <f ca="1">IFERROR(__xludf.DUMMYFUNCTION("""COMPUTED_VALUE"""),"Beginner")</f>
        <v>Beginner</v>
      </c>
      <c r="AH5" s="217" t="str">
        <f ca="1">IFERROR(__xludf.DUMMYFUNCTION("""COMPUTED_VALUE"""),"压力下的表现力")</f>
        <v>压力下的表现力</v>
      </c>
      <c r="AI5" s="217"/>
      <c r="AJ5" s="213"/>
    </row>
    <row r="6" spans="1:36" ht="30">
      <c r="A6" s="213"/>
      <c r="B6" s="214">
        <f ca="1">IFERROR(__xludf.DUMMYFUNCTION("""COMPUTED_VALUE"""),2825404)</f>
        <v>2825404</v>
      </c>
      <c r="C6" s="215" t="str">
        <f ca="1">IFERROR(__xludf.DUMMYFUNCTION("""COMPUTED_VALUE"""),"Beginner")</f>
        <v>Beginner</v>
      </c>
      <c r="D6" s="216" t="str">
        <f ca="1">IFERROR(__xludf.DUMMYFUNCTION("""COMPUTED_VALUE"""),"Leading with Fearless Mindfulness")</f>
        <v>Leading with Fearless Mindfulness</v>
      </c>
      <c r="E6" s="217" t="str">
        <f ca="1">IFERROR(__xludf.DUMMYFUNCTION("""COMPUTED_VALUE"""),"Staying Positive and Productive during Uncertainty")</f>
        <v>Staying Positive and Productive during Uncertainty</v>
      </c>
      <c r="F6" s="213"/>
      <c r="G6" s="214">
        <f ca="1">IFERROR(__xludf.DUMMYFUNCTION("""COMPUTED_VALUE"""),3202239)</f>
        <v>3202239</v>
      </c>
      <c r="H6" s="215" t="str">
        <f ca="1">IFERROR(__xludf.DUMMYFUNCTION("""COMPUTED_VALUE"""),"All levels")</f>
        <v>All levels</v>
      </c>
      <c r="I6" s="217" t="str">
        <f ca="1">IFERROR(__xludf.DUMMYFUNCTION("""COMPUTED_VALUE"""),"10 minutes, un livre : L'art de la Méditation")</f>
        <v>10 minutes, un livre : L'art de la Méditation</v>
      </c>
      <c r="J6" s="217"/>
      <c r="K6" s="213"/>
      <c r="L6" s="215">
        <f ca="1">IFERROR(__xludf.DUMMYFUNCTION("""COMPUTED_VALUE"""),3160293)</f>
        <v>3160293</v>
      </c>
      <c r="M6" s="215" t="str">
        <f ca="1">IFERROR(__xludf.DUMMYFUNCTION("""COMPUTED_VALUE"""),"All levels")</f>
        <v>All levels</v>
      </c>
      <c r="N6" s="217" t="str">
        <f ca="1">IFERROR(__xludf.DUMMYFUNCTION("""COMPUTED_VALUE"""),"Activa el cuerpo: Entrenamiento divertido y completo")</f>
        <v>Activa el cuerpo: Entrenamiento divertido y completo</v>
      </c>
      <c r="O6" s="217"/>
      <c r="P6" s="213"/>
      <c r="Q6" s="215">
        <f ca="1">IFERROR(__xludf.DUMMYFUNCTION("""COMPUTED_VALUE"""),3144647)</f>
        <v>3144647</v>
      </c>
      <c r="R6" s="215" t="str">
        <f ca="1">IFERROR(__xludf.DUMMYFUNCTION("""COMPUTED_VALUE"""),"Beginner")</f>
        <v>Beginner</v>
      </c>
      <c r="S6" s="217" t="str">
        <f ca="1">IFERROR(__xludf.DUMMYFUNCTION("""COMPUTED_VALUE"""),"Achtsamkeit im Beruf durch Meditation: Präsenz und Offenheit")</f>
        <v>Achtsamkeit im Beruf durch Meditation: Präsenz und Offenheit</v>
      </c>
      <c r="T6" s="217"/>
      <c r="U6" s="213"/>
      <c r="V6" s="215">
        <f ca="1">IFERROR(__xludf.DUMMYFUNCTION("""COMPUTED_VALUE"""),780519)</f>
        <v>780519</v>
      </c>
      <c r="W6" s="215" t="str">
        <f ca="1">IFERROR(__xludf.DUMMYFUNCTION("""COMPUTED_VALUE"""),"All levels")</f>
        <v>All levels</v>
      </c>
      <c r="X6" s="217" t="str">
        <f ca="1">IFERROR(__xludf.DUMMYFUNCTION("""COMPUTED_VALUE"""),"困難から立ち直るには")</f>
        <v>困難から立ち直るには</v>
      </c>
      <c r="Y6" s="217"/>
      <c r="Z6" s="213"/>
      <c r="AA6" s="215">
        <f ca="1">IFERROR(__xludf.DUMMYFUNCTION("""COMPUTED_VALUE"""),2386413)</f>
        <v>2386413</v>
      </c>
      <c r="AB6" s="215" t="str">
        <f ca="1">IFERROR(__xludf.DUMMYFUNCTION("""COMPUTED_VALUE"""),"All levels")</f>
        <v>All levels</v>
      </c>
      <c r="AC6" s="217" t="str">
        <f ca="1">IFERROR(__xludf.DUMMYFUNCTION("""COMPUTED_VALUE"""),"Como Conciliar o Trabalho Remoto com a Vida Familiar em Tempos de Crise")</f>
        <v>Como Conciliar o Trabalho Remoto com a Vida Familiar em Tempos de Crise</v>
      </c>
      <c r="AD6" s="217"/>
      <c r="AE6" s="213"/>
      <c r="AF6" s="215">
        <f ca="1">IFERROR(__xludf.DUMMYFUNCTION("""COMPUTED_VALUE"""),3104033)</f>
        <v>3104033</v>
      </c>
      <c r="AG6" s="215" t="str">
        <f ca="1">IFERROR(__xludf.DUMMYFUNCTION("""COMPUTED_VALUE"""),"All levels")</f>
        <v>All levels</v>
      </c>
      <c r="AH6" s="217" t="str">
        <f ca="1">IFERROR(__xludf.DUMMYFUNCTION("""COMPUTED_VALUE"""),"压力管理驱动正向改变")</f>
        <v>压力管理驱动正向改变</v>
      </c>
      <c r="AI6" s="217"/>
      <c r="AJ6" s="213"/>
    </row>
    <row r="7" spans="1:36" ht="33.75" customHeight="1">
      <c r="A7" s="213"/>
      <c r="B7" s="214">
        <f ca="1">IFERROR(__xludf.DUMMYFUNCTION("""COMPUTED_VALUE"""),2443016)</f>
        <v>2443016</v>
      </c>
      <c r="C7" s="215" t="str">
        <f ca="1">IFERROR(__xludf.DUMMYFUNCTION("""COMPUTED_VALUE"""),"Beginner")</f>
        <v>Beginner</v>
      </c>
      <c r="D7" s="216" t="str">
        <f ca="1">IFERROR(__xludf.DUMMYFUNCTION("""COMPUTED_VALUE"""),"Career Wellness Nano Tips with Shadé Zahrai")</f>
        <v>Career Wellness Nano Tips with Shadé Zahrai</v>
      </c>
      <c r="E7" s="217" t="str">
        <f ca="1">IFERROR(__xludf.DUMMYFUNCTION("""COMPUTED_VALUE"""),"Support your Mental Health During Challenging Times")</f>
        <v>Support your Mental Health During Challenging Times</v>
      </c>
      <c r="F7" s="213"/>
      <c r="G7" s="214">
        <f ca="1">IFERROR(__xludf.DUMMYFUNCTION("""COMPUTED_VALUE"""),2823374)</f>
        <v>2823374</v>
      </c>
      <c r="H7" s="215" t="str">
        <f ca="1">IFERROR(__xludf.DUMMYFUNCTION("""COMPUTED_VALUE"""),"All levels")</f>
        <v>All levels</v>
      </c>
      <c r="I7" s="217" t="str">
        <f ca="1">IFERROR(__xludf.DUMMYFUNCTION("""COMPUTED_VALUE"""),"Apprendre à mieux se connaître")</f>
        <v>Apprendre à mieux se connaître</v>
      </c>
      <c r="J7" s="217"/>
      <c r="K7" s="213"/>
      <c r="L7" s="215">
        <f ca="1">IFERROR(__xludf.DUMMYFUNCTION("""COMPUTED_VALUE"""),3166190)</f>
        <v>3166190</v>
      </c>
      <c r="M7" s="215" t="str">
        <f ca="1">IFERROR(__xludf.DUMMYFUNCTION("""COMPUTED_VALUE"""),"All levels")</f>
        <v>All levels</v>
      </c>
      <c r="N7" s="217" t="str">
        <f ca="1">IFERROR(__xludf.DUMMYFUNCTION("""COMPUTED_VALUE"""),"Activa el cuerpo: Entrenamiento fácil y sencillo de cardio y fuerza")</f>
        <v>Activa el cuerpo: Entrenamiento fácil y sencillo de cardio y fuerza</v>
      </c>
      <c r="O7" s="217"/>
      <c r="P7" s="213"/>
      <c r="Q7" s="215">
        <f ca="1">IFERROR(__xludf.DUMMYFUNCTION("""COMPUTED_VALUE"""),3144648)</f>
        <v>3144648</v>
      </c>
      <c r="R7" s="215" t="str">
        <f ca="1">IFERROR(__xludf.DUMMYFUNCTION("""COMPUTED_VALUE"""),"Beginner")</f>
        <v>Beginner</v>
      </c>
      <c r="S7" s="217" t="str">
        <f ca="1">IFERROR(__xludf.DUMMYFUNCTION("""COMPUTED_VALUE"""),"Achtsamkeit im Beruf durch Meditation: Resilienz")</f>
        <v>Achtsamkeit im Beruf durch Meditation: Resilienz</v>
      </c>
      <c r="T7" s="217"/>
      <c r="U7" s="213"/>
      <c r="V7" s="215">
        <f ca="1">IFERROR(__xludf.DUMMYFUNCTION("""COMPUTED_VALUE"""),2892003)</f>
        <v>2892003</v>
      </c>
      <c r="W7" s="215" t="str">
        <f ca="1">IFERROR(__xludf.DUMMYFUNCTION("""COMPUTED_VALUE"""),"Beginner")</f>
        <v>Beginner</v>
      </c>
      <c r="X7" s="217" t="str">
        <f ca="1">IFERROR(__xludf.DUMMYFUNCTION("""COMPUTED_VALUE"""),"ストレスとうまく付き合う")</f>
        <v>ストレスとうまく付き合う</v>
      </c>
      <c r="Y7" s="217"/>
      <c r="Z7" s="213"/>
      <c r="AA7" s="215">
        <f ca="1">IFERROR(__xludf.DUMMYFUNCTION("""COMPUTED_VALUE"""),3202148)</f>
        <v>3202148</v>
      </c>
      <c r="AB7" s="215" t="str">
        <f ca="1">IFERROR(__xludf.DUMMYFUNCTION("""COMPUTED_VALUE"""),"All levels")</f>
        <v>All levels</v>
      </c>
      <c r="AC7" s="217" t="str">
        <f ca="1">IFERROR(__xludf.DUMMYFUNCTION("""COMPUTED_VALUE"""),"Como Enfrentar a Ansiedade no Trabalho")</f>
        <v>Como Enfrentar a Ansiedade no Trabalho</v>
      </c>
      <c r="AD7" s="217"/>
      <c r="AE7" s="213"/>
      <c r="AF7" s="215">
        <f ca="1">IFERROR(__xludf.DUMMYFUNCTION("""COMPUTED_VALUE"""),5014551)</f>
        <v>5014551</v>
      </c>
      <c r="AG7" s="215" t="str">
        <f ca="1">IFERROR(__xludf.DUMMYFUNCTION("""COMPUTED_VALUE"""),"All levels")</f>
        <v>All levels</v>
      </c>
      <c r="AH7" s="217" t="str">
        <f ca="1">IFERROR(__xludf.DUMMYFUNCTION("""COMPUTED_VALUE"""),"正念：活在当下的艺术")</f>
        <v>正念：活在当下的艺术</v>
      </c>
      <c r="AI7" s="217"/>
      <c r="AJ7" s="213"/>
    </row>
    <row r="8" spans="1:36" ht="33.75" customHeight="1">
      <c r="A8" s="213"/>
      <c r="B8" s="214">
        <f ca="1">IFERROR(__xludf.DUMMYFUNCTION("""COMPUTED_VALUE"""),2823257)</f>
        <v>2823257</v>
      </c>
      <c r="C8" s="215" t="str">
        <f ca="1">IFERROR(__xludf.DUMMYFUNCTION("""COMPUTED_VALUE"""),"Beginner")</f>
        <v>Beginner</v>
      </c>
      <c r="D8" s="216" t="str">
        <f ca="1">IFERROR(__xludf.DUMMYFUNCTION("""COMPUTED_VALUE"""),"Overcoming Overwhelm")</f>
        <v>Overcoming Overwhelm</v>
      </c>
      <c r="E8" s="217" t="str">
        <f ca="1">IFERROR(__xludf.DUMMYFUNCTION("""COMPUTED_VALUE"""),"Supporting Your Well-Being during Times of Change and Uncertainty")</f>
        <v>Supporting Your Well-Being during Times of Change and Uncertainty</v>
      </c>
      <c r="F8" s="213"/>
      <c r="G8" s="214">
        <f ca="1">IFERROR(__xludf.DUMMYFUNCTION("""COMPUTED_VALUE"""),3161000)</f>
        <v>3161000</v>
      </c>
      <c r="H8" s="215" t="str">
        <f ca="1">IFERROR(__xludf.DUMMYFUNCTION("""COMPUTED_VALUE"""),"All levels")</f>
        <v>All levels</v>
      </c>
      <c r="I8" s="217" t="str">
        <f ca="1">IFERROR(__xludf.DUMMYFUNCTION("""COMPUTED_VALUE"""),"Avoir confiance en soi")</f>
        <v>Avoir confiance en soi</v>
      </c>
      <c r="J8" s="217"/>
      <c r="K8" s="213"/>
      <c r="L8" s="215">
        <f ca="1">IFERROR(__xludf.DUMMYFUNCTION("""COMPUTED_VALUE"""),3165260)</f>
        <v>3165260</v>
      </c>
      <c r="M8" s="215" t="str">
        <f ca="1">IFERROR(__xludf.DUMMYFUNCTION("""COMPUTED_VALUE"""),"All levels")</f>
        <v>All levels</v>
      </c>
      <c r="N8" s="217" t="str">
        <f ca="1">IFERROR(__xludf.DUMMYFUNCTION("""COMPUTED_VALUE"""),"Activa el cuerpo: Mejora tu coordinación y agilidad con este entrenamiento")</f>
        <v>Activa el cuerpo: Mejora tu coordinación y agilidad con este entrenamiento</v>
      </c>
      <c r="O8" s="217"/>
      <c r="P8" s="213"/>
      <c r="Q8" s="215">
        <f ca="1">IFERROR(__xludf.DUMMYFUNCTION("""COMPUTED_VALUE"""),2803013)</f>
        <v>2803013</v>
      </c>
      <c r="R8" s="215" t="str">
        <f ca="1">IFERROR(__xludf.DUMMYFUNCTION("""COMPUTED_VALUE"""),"All levels")</f>
        <v>All levels</v>
      </c>
      <c r="S8" s="217" t="str">
        <f ca="1">IFERROR(__xludf.DUMMYFUNCTION("""COMPUTED_VALUE"""),"Achtsamkeit kennenlernen und entwickeln")</f>
        <v>Achtsamkeit kennenlernen und entwickeln</v>
      </c>
      <c r="T8" s="217"/>
      <c r="U8" s="213"/>
      <c r="V8" s="215">
        <f ca="1">IFERROR(__xludf.DUMMYFUNCTION("""COMPUTED_VALUE"""),3145296)</f>
        <v>3145296</v>
      </c>
      <c r="W8" s="215" t="str">
        <f ca="1">IFERROR(__xludf.DUMMYFUNCTION("""COMPUTED_VALUE"""),"All levels")</f>
        <v>All levels</v>
      </c>
      <c r="X8" s="217" t="str">
        <f ca="1">IFERROR(__xludf.DUMMYFUNCTION("""COMPUTED_VALUE"""),"偏見に立ち向かう：違いを乗り越えて成功するには")</f>
        <v>偏見に立ち向かう：違いを乗り越えて成功するには</v>
      </c>
      <c r="Y8" s="217"/>
      <c r="Z8" s="213"/>
      <c r="AA8" s="215">
        <f ca="1">IFERROR(__xludf.DUMMYFUNCTION("""COMPUTED_VALUE"""),2841360)</f>
        <v>2841360</v>
      </c>
      <c r="AB8" s="215" t="str">
        <f ca="1">IFERROR(__xludf.DUMMYFUNCTION("""COMPUTED_VALUE"""),"Beginner, Intermediate")</f>
        <v>Beginner, Intermediate</v>
      </c>
      <c r="AC8" s="217" t="str">
        <f ca="1">IFERROR(__xludf.DUMMYFUNCTION("""COMPUTED_VALUE"""),"Como Gerenciar o Estresse para Promover Mudanças Positivas")</f>
        <v>Como Gerenciar o Estresse para Promover Mudanças Positivas</v>
      </c>
      <c r="AD8" s="217"/>
      <c r="AE8" s="213"/>
      <c r="AF8" s="215"/>
      <c r="AG8" s="215"/>
      <c r="AH8" s="217"/>
      <c r="AI8" s="217"/>
      <c r="AJ8" s="213"/>
    </row>
    <row r="9" spans="1:36" ht="33.75" customHeight="1">
      <c r="A9" s="213"/>
      <c r="B9" s="214">
        <f ca="1">IFERROR(__xludf.DUMMYFUNCTION("""COMPUTED_VALUE"""),2825335)</f>
        <v>2825335</v>
      </c>
      <c r="C9" s="215" t="str">
        <f ca="1">IFERROR(__xludf.DUMMYFUNCTION("""COMPUTED_VALUE"""),"Beginner")</f>
        <v>Beginner</v>
      </c>
      <c r="D9" s="216" t="str">
        <f ca="1">IFERROR(__xludf.DUMMYFUNCTION("""COMPUTED_VALUE"""),"Finding and Doing the One Thing")</f>
        <v>Finding and Doing the One Thing</v>
      </c>
      <c r="E9" s="217" t="str">
        <f ca="1">IFERROR(__xludf.DUMMYFUNCTION("""COMPUTED_VALUE"""),"Developing Resilience and Grit")</f>
        <v>Developing Resilience and Grit</v>
      </c>
      <c r="F9" s="213"/>
      <c r="G9" s="214">
        <f ca="1">IFERROR(__xludf.DUMMYFUNCTION("""COMPUTED_VALUE"""),2841038)</f>
        <v>2841038</v>
      </c>
      <c r="H9" s="215" t="str">
        <f ca="1">IFERROR(__xludf.DUMMYFUNCTION("""COMPUTED_VALUE"""),"All levels")</f>
        <v>All levels</v>
      </c>
      <c r="I9" s="217" t="str">
        <f ca="1">IFERROR(__xludf.DUMMYFUNCTION("""COMPUTED_VALUE"""),"Bien-être au travail avec la méthode Yogist")</f>
        <v>Bien-être au travail avec la méthode Yogist</v>
      </c>
      <c r="J9" s="217"/>
      <c r="K9" s="213"/>
      <c r="L9" s="215">
        <f ca="1">IFERROR(__xludf.DUMMYFUNCTION("""COMPUTED_VALUE"""),3165261)</f>
        <v>3165261</v>
      </c>
      <c r="M9" s="215" t="str">
        <f ca="1">IFERROR(__xludf.DUMMYFUNCTION("""COMPUTED_VALUE"""),"All levels")</f>
        <v>All levels</v>
      </c>
      <c r="N9" s="217" t="str">
        <f ca="1">IFERROR(__xludf.DUMMYFUNCTION("""COMPUTED_VALUE"""),"Activa el cuerpo: Rutina de entrenamiento de cardio fácil y divertida")</f>
        <v>Activa el cuerpo: Rutina de entrenamiento de cardio fácil y divertida</v>
      </c>
      <c r="O9" s="217"/>
      <c r="P9" s="213"/>
      <c r="Q9" s="215">
        <f ca="1">IFERROR(__xludf.DUMMYFUNCTION("""COMPUTED_VALUE"""),2384409)</f>
        <v>2384409</v>
      </c>
      <c r="R9" s="215" t="str">
        <f ca="1">IFERROR(__xludf.DUMMYFUNCTION("""COMPUTED_VALUE"""),"All levels")</f>
        <v>All levels</v>
      </c>
      <c r="S9" s="217" t="str">
        <f ca="1">IFERROR(__xludf.DUMMYFUNCTION("""COMPUTED_VALUE"""),"Das Frustjobkillerbuch (Blinkist Kernaussagen)")</f>
        <v>Das Frustjobkillerbuch (Blinkist Kernaussagen)</v>
      </c>
      <c r="T9" s="217"/>
      <c r="U9" s="213"/>
      <c r="V9" s="215">
        <f ca="1">IFERROR(__xludf.DUMMYFUNCTION("""COMPUTED_VALUE"""),2414721)</f>
        <v>2414721</v>
      </c>
      <c r="W9" s="215" t="str">
        <f ca="1">IFERROR(__xludf.DUMMYFUNCTION("""COMPUTED_VALUE"""),"All levels")</f>
        <v>All levels</v>
      </c>
      <c r="X9" s="217" t="str">
        <f ca="1">IFERROR(__xludf.DUMMYFUNCTION("""COMPUTED_VALUE"""),"ストレスに対処するには")</f>
        <v>ストレスに対処するには</v>
      </c>
      <c r="Y9" s="217"/>
      <c r="Z9" s="213"/>
      <c r="AA9" s="215">
        <f ca="1">IFERROR(__xludf.DUMMYFUNCTION("""COMPUTED_VALUE"""),5014845)</f>
        <v>5014845</v>
      </c>
      <c r="AB9" s="215" t="str">
        <f ca="1">IFERROR(__xludf.DUMMYFUNCTION("""COMPUTED_VALUE"""),"All levels")</f>
        <v>All levels</v>
      </c>
      <c r="AC9" s="217" t="str">
        <f ca="1">IFERROR(__xludf.DUMMYFUNCTION("""COMPUTED_VALUE"""),"Como Lidar com o Estresse no Trabalho")</f>
        <v>Como Lidar com o Estresse no Trabalho</v>
      </c>
      <c r="AD9" s="217"/>
      <c r="AE9" s="213"/>
      <c r="AF9" s="215"/>
      <c r="AG9" s="215"/>
      <c r="AH9" s="217"/>
      <c r="AI9" s="217"/>
      <c r="AJ9" s="213"/>
    </row>
    <row r="10" spans="1:36" ht="33.75" customHeight="1">
      <c r="A10" s="213"/>
      <c r="B10" s="214">
        <f ca="1">IFERROR(__xludf.DUMMYFUNCTION("""COMPUTED_VALUE"""),585224)</f>
        <v>585224</v>
      </c>
      <c r="C10" s="215" t="str">
        <f ca="1">IFERROR(__xludf.DUMMYFUNCTION("""COMPUTED_VALUE"""),"Beginner")</f>
        <v>Beginner</v>
      </c>
      <c r="D10" s="216" t="str">
        <f ca="1">IFERROR(__xludf.DUMMYFUNCTION("""COMPUTED_VALUE"""),"Finding Your Introvert/Extrovert Balance in the Workplace")</f>
        <v>Finding Your Introvert/Extrovert Balance in the Workplace</v>
      </c>
      <c r="E10" s="217"/>
      <c r="F10" s="213"/>
      <c r="G10" s="214">
        <f ca="1">IFERROR(__xludf.DUMMYFUNCTION("""COMPUTED_VALUE"""),792276)</f>
        <v>792276</v>
      </c>
      <c r="H10" s="215" t="str">
        <f ca="1">IFERROR(__xludf.DUMMYFUNCTION("""COMPUTED_VALUE"""),"Intermediate")</f>
        <v>Intermediate</v>
      </c>
      <c r="I10" s="217" t="str">
        <f ca="1">IFERROR(__xludf.DUMMYFUNCTION("""COMPUTED_VALUE"""),"Bien-être au travail et prévention des risques psychosociaux")</f>
        <v>Bien-être au travail et prévention des risques psychosociaux</v>
      </c>
      <c r="J10" s="217"/>
      <c r="K10" s="213"/>
      <c r="L10" s="215">
        <f ca="1">IFERROR(__xludf.DUMMYFUNCTION("""COMPUTED_VALUE"""),3115668)</f>
        <v>3115668</v>
      </c>
      <c r="M10" s="215" t="str">
        <f ca="1">IFERROR(__xludf.DUMMYFUNCTION("""COMPUTED_VALUE"""),"Beginner, Intermediate")</f>
        <v>Beginner, Intermediate</v>
      </c>
      <c r="N10" s="217" t="str">
        <f ca="1">IFERROR(__xludf.DUMMYFUNCTION("""COMPUTED_VALUE"""),"Alimentación saludable y digestión óptima")</f>
        <v>Alimentación saludable y digestión óptima</v>
      </c>
      <c r="O10" s="217"/>
      <c r="P10" s="213"/>
      <c r="Q10" s="215">
        <f ca="1">IFERROR(__xludf.DUMMYFUNCTION("""COMPUTED_VALUE"""),678927)</f>
        <v>678927</v>
      </c>
      <c r="R10" s="215" t="str">
        <f ca="1">IFERROR(__xludf.DUMMYFUNCTION("""COMPUTED_VALUE"""),"All levels")</f>
        <v>All levels</v>
      </c>
      <c r="S10" s="217" t="str">
        <f ca="1">IFERROR(__xludf.DUMMYFUNCTION("""COMPUTED_VALUE"""),"Disrupt yourself – Erfinden Sie sich neu")</f>
        <v>Disrupt yourself – Erfinden Sie sich neu</v>
      </c>
      <c r="T10" s="217"/>
      <c r="U10" s="213"/>
      <c r="V10" s="215">
        <f ca="1">IFERROR(__xludf.DUMMYFUNCTION("""COMPUTED_VALUE"""),3152160)</f>
        <v>3152160</v>
      </c>
      <c r="W10" s="215" t="str">
        <f ca="1">IFERROR(__xludf.DUMMYFUNCTION("""COMPUTED_VALUE"""),"Beginner")</f>
        <v>Beginner</v>
      </c>
      <c r="X10" s="217" t="str">
        <f ca="1">IFERROR(__xludf.DUMMYFUNCTION("""COMPUTED_VALUE"""),"自分に自信をもつには")</f>
        <v>自分に自信をもつには</v>
      </c>
      <c r="Y10" s="217"/>
      <c r="Z10" s="213"/>
      <c r="AA10" s="215">
        <f ca="1">IFERROR(__xludf.DUMMYFUNCTION("""COMPUTED_VALUE"""),801455)</f>
        <v>801455</v>
      </c>
      <c r="AB10" s="215" t="str">
        <f ca="1">IFERROR(__xludf.DUMMYFUNCTION("""COMPUTED_VALUE"""),"All levels")</f>
        <v>All levels</v>
      </c>
      <c r="AC10" s="217" t="str">
        <f ca="1">IFERROR(__xludf.DUMMYFUNCTION("""COMPUTED_VALUE"""),"Mindfulness: Fundamentos da Atenção Plena")</f>
        <v>Mindfulness: Fundamentos da Atenção Plena</v>
      </c>
      <c r="AD10" s="217"/>
      <c r="AE10" s="213"/>
      <c r="AF10" s="215"/>
      <c r="AG10" s="215"/>
      <c r="AH10" s="217"/>
      <c r="AI10" s="217"/>
      <c r="AJ10" s="213"/>
    </row>
    <row r="11" spans="1:36" ht="33.75" customHeight="1">
      <c r="A11" s="213"/>
      <c r="B11" s="214">
        <f ca="1">IFERROR(__xludf.DUMMYFUNCTION("""COMPUTED_VALUE"""),2822454)</f>
        <v>2822454</v>
      </c>
      <c r="C11" s="215" t="str">
        <f ca="1">IFERROR(__xludf.DUMMYFUNCTION("""COMPUTED_VALUE"""),"Beginner")</f>
        <v>Beginner</v>
      </c>
      <c r="D11" s="216" t="str">
        <f ca="1">IFERROR(__xludf.DUMMYFUNCTION("""COMPUTED_VALUE"""),"Managing Your Energy")</f>
        <v>Managing Your Energy</v>
      </c>
      <c r="E11" s="217"/>
      <c r="F11" s="213"/>
      <c r="G11" s="214">
        <f ca="1">IFERROR(__xludf.DUMMYFUNCTION("""COMPUTED_VALUE"""),3201132)</f>
        <v>3201132</v>
      </c>
      <c r="H11" s="215" t="str">
        <f ca="1">IFERROR(__xludf.DUMMYFUNCTION("""COMPUTED_VALUE"""),"All levels")</f>
        <v>All levels</v>
      </c>
      <c r="I11" s="217" t="str">
        <f ca="1">IFERROR(__xludf.DUMMYFUNCTION("""COMPUTED_VALUE"""),"Gérer son stress au travail")</f>
        <v>Gérer son stress au travail</v>
      </c>
      <c r="J11" s="217"/>
      <c r="K11" s="213"/>
      <c r="L11" s="215">
        <f ca="1">IFERROR(__xludf.DUMMYFUNCTION("""COMPUTED_VALUE"""),748687)</f>
        <v>748687</v>
      </c>
      <c r="M11" s="215" t="str">
        <f ca="1">IFERROR(__xludf.DUMMYFUNCTION("""COMPUTED_VALUE"""),"Advanced")</f>
        <v>Advanced</v>
      </c>
      <c r="N11" s="217" t="str">
        <f ca="1">IFERROR(__xludf.DUMMYFUNCTION("""COMPUTED_VALUE"""),"Bienestar y felicidad: Trucos")</f>
        <v>Bienestar y felicidad: Trucos</v>
      </c>
      <c r="O11" s="217"/>
      <c r="P11" s="213"/>
      <c r="Q11" s="215">
        <f ca="1">IFERROR(__xludf.DUMMYFUNCTION("""COMPUTED_VALUE"""),778406)</f>
        <v>778406</v>
      </c>
      <c r="R11" s="215" t="str">
        <f ca="1">IFERROR(__xludf.DUMMYFUNCTION("""COMPUTED_VALUE"""),"All levels")</f>
        <v>All levels</v>
      </c>
      <c r="S11" s="217" t="str">
        <f ca="1">IFERROR(__xludf.DUMMYFUNCTION("""COMPUTED_VALUE"""),"Eine nachhaltige Work-Life-Balance etablieren")</f>
        <v>Eine nachhaltige Work-Life-Balance etablieren</v>
      </c>
      <c r="T11" s="217"/>
      <c r="U11" s="213"/>
      <c r="V11" s="215">
        <f ca="1">IFERROR(__xludf.DUMMYFUNCTION("""COMPUTED_VALUE"""),3155193)</f>
        <v>3155193</v>
      </c>
      <c r="W11" s="215" t="str">
        <f ca="1">IFERROR(__xludf.DUMMYFUNCTION("""COMPUTED_VALUE"""),"All levels")</f>
        <v>All levels</v>
      </c>
      <c r="X11" s="217" t="str">
        <f ca="1">IFERROR(__xludf.DUMMYFUNCTION("""COMPUTED_VALUE"""),"はっきりと自己を主張するには")</f>
        <v>はっきりと自己を主張するには</v>
      </c>
      <c r="Y11" s="217"/>
      <c r="Z11" s="213"/>
      <c r="AA11" s="215"/>
      <c r="AB11" s="215"/>
      <c r="AC11" s="217"/>
      <c r="AD11" s="217"/>
      <c r="AE11" s="213"/>
      <c r="AF11" s="215"/>
      <c r="AG11" s="215"/>
      <c r="AH11" s="217"/>
      <c r="AI11" s="217"/>
      <c r="AJ11" s="213"/>
    </row>
    <row r="12" spans="1:36" ht="33.75" customHeight="1">
      <c r="A12" s="213"/>
      <c r="B12" s="214">
        <f ca="1">IFERROR(__xludf.DUMMYFUNCTION("""COMPUTED_VALUE"""),2870085)</f>
        <v>2870085</v>
      </c>
      <c r="C12" s="215" t="str">
        <f ca="1">IFERROR(__xludf.DUMMYFUNCTION("""COMPUTED_VALUE"""),"Beginner")</f>
        <v>Beginner</v>
      </c>
      <c r="D12" s="216" t="str">
        <f ca="1">IFERROR(__xludf.DUMMYFUNCTION("""COMPUTED_VALUE"""),"Well-being in the Workplace")</f>
        <v>Well-being in the Workplace</v>
      </c>
      <c r="E12" s="217"/>
      <c r="F12" s="213"/>
      <c r="G12" s="214">
        <f ca="1">IFERROR(__xludf.DUMMYFUNCTION("""COMPUTED_VALUE"""),3141016)</f>
        <v>3141016</v>
      </c>
      <c r="H12" s="215" t="str">
        <f ca="1">IFERROR(__xludf.DUMMYFUNCTION("""COMPUTED_VALUE"""),"Intermediate")</f>
        <v>Intermediate</v>
      </c>
      <c r="I12" s="217" t="str">
        <f ca="1">IFERROR(__xludf.DUMMYFUNCTION("""COMPUTED_VALUE"""),"La minute de formation : Instaurer le bien-être et la santé dans son organisation")</f>
        <v>La minute de formation : Instaurer le bien-être et la santé dans son organisation</v>
      </c>
      <c r="J12" s="217"/>
      <c r="K12" s="213"/>
      <c r="L12" s="215">
        <f ca="1">IFERROR(__xludf.DUMMYFUNCTION("""COMPUTED_VALUE"""),3163262)</f>
        <v>3163262</v>
      </c>
      <c r="M12" s="215" t="str">
        <f ca="1">IFERROR(__xludf.DUMMYFUNCTION("""COMPUTED_VALUE"""),"All levels")</f>
        <v>All levels</v>
      </c>
      <c r="N12" s="217" t="str">
        <f ca="1">IFERROR(__xludf.DUMMYFUNCTION("""COMPUTED_VALUE"""),"Cervicales saludables: Alivia la tensión con ejercicios fáciles y divertidos")</f>
        <v>Cervicales saludables: Alivia la tensión con ejercicios fáciles y divertidos</v>
      </c>
      <c r="O12" s="217"/>
      <c r="P12" s="213"/>
      <c r="Q12" s="215">
        <f ca="1">IFERROR(__xludf.DUMMYFUNCTION("""COMPUTED_VALUE"""),2386055)</f>
        <v>2386055</v>
      </c>
      <c r="R12" s="215" t="str">
        <f ca="1">IFERROR(__xludf.DUMMYFUNCTION("""COMPUTED_VALUE"""),"All levels")</f>
        <v>All levels</v>
      </c>
      <c r="S12" s="217" t="str">
        <f ca="1">IFERROR(__xludf.DUMMYFUNCTION("""COMPUTED_VALUE"""),"Finde den Job, der dich glücklich macht (Blinkist Kernaussagen)")</f>
        <v>Finde den Job, der dich glücklich macht (Blinkist Kernaussagen)</v>
      </c>
      <c r="T12" s="217"/>
      <c r="U12" s="213"/>
      <c r="V12" s="215">
        <f ca="1">IFERROR(__xludf.DUMMYFUNCTION("""COMPUTED_VALUE"""),3158167)</f>
        <v>3158167</v>
      </c>
      <c r="W12" s="215" t="str">
        <f ca="1">IFERROR(__xludf.DUMMYFUNCTION("""COMPUTED_VALUE"""),"All levels")</f>
        <v>All levels</v>
      </c>
      <c r="X12" s="217" t="str">
        <f ca="1">IFERROR(__xludf.DUMMYFUNCTION("""COMPUTED_VALUE"""),"スマートに断るには")</f>
        <v>スマートに断るには</v>
      </c>
      <c r="Y12" s="217"/>
      <c r="Z12" s="213"/>
      <c r="AA12" s="215"/>
      <c r="AB12" s="215"/>
      <c r="AC12" s="217"/>
      <c r="AD12" s="217"/>
      <c r="AE12" s="213"/>
      <c r="AF12" s="215"/>
      <c r="AG12" s="215"/>
      <c r="AH12" s="217"/>
      <c r="AI12" s="217"/>
      <c r="AJ12" s="213"/>
    </row>
    <row r="13" spans="1:36" ht="33.75" customHeight="1">
      <c r="A13" s="213"/>
      <c r="B13" s="214">
        <f ca="1">IFERROR(__xludf.DUMMYFUNCTION("""COMPUTED_VALUE"""),2823252)</f>
        <v>2823252</v>
      </c>
      <c r="C13" s="215" t="str">
        <f ca="1">IFERROR(__xludf.DUMMYFUNCTION("""COMPUTED_VALUE"""),"Beginner")</f>
        <v>Beginner</v>
      </c>
      <c r="D13" s="216" t="str">
        <f ca="1">IFERROR(__xludf.DUMMYFUNCTION("""COMPUTED_VALUE"""),"Managing Self-Doubt to Tackle Bigger Challenges")</f>
        <v>Managing Self-Doubt to Tackle Bigger Challenges</v>
      </c>
      <c r="E13" s="217"/>
      <c r="F13" s="213"/>
      <c r="G13" s="214">
        <f ca="1">IFERROR(__xludf.DUMMYFUNCTION("""COMPUTED_VALUE"""),3138035)</f>
        <v>3138035</v>
      </c>
      <c r="H13" s="215" t="str">
        <f ca="1">IFERROR(__xludf.DUMMYFUNCTION("""COMPUTED_VALUE"""),"Intermediate")</f>
        <v>Intermediate</v>
      </c>
      <c r="I13" s="217" t="str">
        <f ca="1">IFERROR(__xludf.DUMMYFUNCTION("""COMPUTED_VALUE"""),"La minute de formation : Le développement personnel par la meilleure connaissance de soi")</f>
        <v>La minute de formation : Le développement personnel par la meilleure connaissance de soi</v>
      </c>
      <c r="J13" s="217"/>
      <c r="K13" s="213"/>
      <c r="L13" s="215">
        <f ca="1">IFERROR(__xludf.DUMMYFUNCTION("""COMPUTED_VALUE"""),3164285)</f>
        <v>3164285</v>
      </c>
      <c r="M13" s="215" t="str">
        <f ca="1">IFERROR(__xludf.DUMMYFUNCTION("""COMPUTED_VALUE"""),"All levels")</f>
        <v>All levels</v>
      </c>
      <c r="N13" s="217" t="str">
        <f ca="1">IFERROR(__xludf.DUMMYFUNCTION("""COMPUTED_VALUE"""),"Cervicales saludables: Alivia las molestias del cuello con ejercicios sencillos")</f>
        <v>Cervicales saludables: Alivia las molestias del cuello con ejercicios sencillos</v>
      </c>
      <c r="O13" s="217"/>
      <c r="P13" s="213"/>
      <c r="Q13" s="215">
        <f ca="1">IFERROR(__xludf.DUMMYFUNCTION("""COMPUTED_VALUE"""),2386054)</f>
        <v>2386054</v>
      </c>
      <c r="R13" s="215" t="str">
        <f ca="1">IFERROR(__xludf.DUMMYFUNCTION("""COMPUTED_VALUE"""),"All levels")</f>
        <v>All levels</v>
      </c>
      <c r="S13" s="217" t="str">
        <f ca="1">IFERROR(__xludf.DUMMYFUNCTION("""COMPUTED_VALUE"""),"Kurze Meditationen für Beruf und Alltag")</f>
        <v>Kurze Meditationen für Beruf und Alltag</v>
      </c>
      <c r="T13" s="217"/>
      <c r="U13" s="213"/>
      <c r="V13" s="215"/>
      <c r="W13" s="215"/>
      <c r="X13" s="217"/>
      <c r="Y13" s="217"/>
      <c r="Z13" s="213"/>
      <c r="AA13" s="215"/>
      <c r="AB13" s="215"/>
      <c r="AC13" s="217"/>
      <c r="AD13" s="217"/>
      <c r="AE13" s="213"/>
      <c r="AF13" s="215"/>
      <c r="AG13" s="215"/>
      <c r="AH13" s="217"/>
      <c r="AI13" s="217"/>
      <c r="AJ13" s="213"/>
    </row>
    <row r="14" spans="1:36" ht="33.75" customHeight="1">
      <c r="A14" s="213"/>
      <c r="B14" s="214">
        <f ca="1">IFERROR(__xludf.DUMMYFUNCTION("""COMPUTED_VALUE"""),2833041)</f>
        <v>2833041</v>
      </c>
      <c r="C14" s="215" t="str">
        <f ca="1">IFERROR(__xludf.DUMMYFUNCTION("""COMPUTED_VALUE"""),"Beginner")</f>
        <v>Beginner</v>
      </c>
      <c r="D14" s="216" t="str">
        <f ca="1">IFERROR(__xludf.DUMMYFUNCTION("""COMPUTED_VALUE"""),"Using Your Mind to Change Your Brain")</f>
        <v>Using Your Mind to Change Your Brain</v>
      </c>
      <c r="E14" s="217"/>
      <c r="F14" s="213"/>
      <c r="G14" s="214">
        <f ca="1">IFERROR(__xludf.DUMMYFUNCTION("""COMPUTED_VALUE"""),713486)</f>
        <v>713486</v>
      </c>
      <c r="H14" s="215" t="str">
        <f ca="1">IFERROR(__xludf.DUMMYFUNCTION("""COMPUTED_VALUE"""),"Intermediate")</f>
        <v>Intermediate</v>
      </c>
      <c r="I14" s="217" t="str">
        <f ca="1">IFERROR(__xludf.DUMMYFUNCTION("""COMPUTED_VALUE"""),"Les fondements de la pleine conscience")</f>
        <v>Les fondements de la pleine conscience</v>
      </c>
      <c r="J14" s="217"/>
      <c r="K14" s="213"/>
      <c r="L14" s="215">
        <f ca="1">IFERROR(__xludf.DUMMYFUNCTION("""COMPUTED_VALUE"""),3164284)</f>
        <v>3164284</v>
      </c>
      <c r="M14" s="215" t="str">
        <f ca="1">IFERROR(__xludf.DUMMYFUNCTION("""COMPUTED_VALUE"""),"All levels")</f>
        <v>All levels</v>
      </c>
      <c r="N14" s="217" t="str">
        <f ca="1">IFERROR(__xludf.DUMMYFUNCTION("""COMPUTED_VALUE"""),"Cervicales saludables: Entrenamiento para aliviar el dolor cervical")</f>
        <v>Cervicales saludables: Entrenamiento para aliviar el dolor cervical</v>
      </c>
      <c r="O14" s="217"/>
      <c r="P14" s="213"/>
      <c r="Q14" s="215">
        <f ca="1">IFERROR(__xludf.DUMMYFUNCTION("""COMPUTED_VALUE"""),2820214)</f>
        <v>2820214</v>
      </c>
      <c r="R14" s="215" t="str">
        <f ca="1">IFERROR(__xludf.DUMMYFUNCTION("""COMPUTED_VALUE"""),"Beginner")</f>
        <v>Beginner</v>
      </c>
      <c r="S14" s="217" t="str">
        <f ca="1">IFERROR(__xludf.DUMMYFUNCTION("""COMPUTED_VALUE"""),"Meditieren lernen in praktischen Schritten")</f>
        <v>Meditieren lernen in praktischen Schritten</v>
      </c>
      <c r="T14" s="217"/>
      <c r="U14" s="213"/>
      <c r="V14" s="215"/>
      <c r="W14" s="215"/>
      <c r="X14" s="217"/>
      <c r="Y14" s="217"/>
      <c r="Z14" s="213"/>
      <c r="AA14" s="215"/>
      <c r="AB14" s="215"/>
      <c r="AC14" s="217"/>
      <c r="AD14" s="217"/>
      <c r="AE14" s="213"/>
      <c r="AF14" s="215"/>
      <c r="AG14" s="215"/>
      <c r="AH14" s="217"/>
      <c r="AI14" s="217"/>
      <c r="AJ14" s="213"/>
    </row>
    <row r="15" spans="1:36" ht="33.75" customHeight="1">
      <c r="A15" s="213"/>
      <c r="B15" s="214">
        <f ca="1">IFERROR(__xludf.DUMMYFUNCTION("""COMPUTED_VALUE"""),2803042)</f>
        <v>2803042</v>
      </c>
      <c r="C15" s="215" t="str">
        <f ca="1">IFERROR(__xludf.DUMMYFUNCTION("""COMPUTED_VALUE"""),"Beginner")</f>
        <v>Beginner</v>
      </c>
      <c r="D15" s="216" t="str">
        <f ca="1">IFERROR(__xludf.DUMMYFUNCTION("""COMPUTED_VALUE"""),"Chair Work: Yoga Fitness and Stretching at Your Desk")</f>
        <v>Chair Work: Yoga Fitness and Stretching at Your Desk</v>
      </c>
      <c r="E15" s="217"/>
      <c r="F15" s="213"/>
      <c r="G15" s="214">
        <f ca="1">IFERROR(__xludf.DUMMYFUNCTION("""COMPUTED_VALUE"""),2422573)</f>
        <v>2422573</v>
      </c>
      <c r="H15" s="215" t="str">
        <f ca="1">IFERROR(__xludf.DUMMYFUNCTION("""COMPUTED_VALUE"""),"All levels")</f>
        <v>All levels</v>
      </c>
      <c r="I15" s="217" t="str">
        <f ca="1">IFERROR(__xludf.DUMMYFUNCTION("""COMPUTED_VALUE"""),"Lucile Woodward : Ménager son dos en télétravail ou au bureau")</f>
        <v>Lucile Woodward : Ménager son dos en télétravail ou au bureau</v>
      </c>
      <c r="J15" s="217"/>
      <c r="K15" s="213"/>
      <c r="L15" s="215">
        <f ca="1">IFERROR(__xludf.DUMMYFUNCTION("""COMPUTED_VALUE"""),3161308)</f>
        <v>3161308</v>
      </c>
      <c r="M15" s="215" t="str">
        <f ca="1">IFERROR(__xludf.DUMMYFUNCTION("""COMPUTED_VALUE"""),"All levels")</f>
        <v>All levels</v>
      </c>
      <c r="N15" s="217" t="str">
        <f ca="1">IFERROR(__xludf.DUMMYFUNCTION("""COMPUTED_VALUE"""),"Cervicales saludables: Entrenamiento para aliviar la tensión en el cuello")</f>
        <v>Cervicales saludables: Entrenamiento para aliviar la tensión en el cuello</v>
      </c>
      <c r="O15" s="217"/>
      <c r="P15" s="213"/>
      <c r="Q15" s="215">
        <f ca="1">IFERROR(__xludf.DUMMYFUNCTION("""COMPUTED_VALUE"""),3103623)</f>
        <v>3103623</v>
      </c>
      <c r="R15" s="215" t="str">
        <f ca="1">IFERROR(__xludf.DUMMYFUNCTION("""COMPUTED_VALUE"""),"All levels")</f>
        <v>All levels</v>
      </c>
      <c r="S15" s="217" t="str">
        <f ca="1">IFERROR(__xludf.DUMMYFUNCTION("""COMPUTED_VALUE"""),"Mentale Stärke für mehr Erfolg im Beruf")</f>
        <v>Mentale Stärke für mehr Erfolg im Beruf</v>
      </c>
      <c r="T15" s="217"/>
      <c r="U15" s="213"/>
      <c r="V15" s="215"/>
      <c r="W15" s="215"/>
      <c r="X15" s="217"/>
      <c r="Y15" s="217"/>
      <c r="Z15" s="213"/>
      <c r="AA15" s="215"/>
      <c r="AB15" s="215"/>
      <c r="AC15" s="217"/>
      <c r="AD15" s="217"/>
      <c r="AE15" s="213"/>
      <c r="AF15" s="215"/>
      <c r="AG15" s="215"/>
      <c r="AH15" s="217"/>
      <c r="AI15" s="217"/>
      <c r="AJ15" s="213"/>
    </row>
    <row r="16" spans="1:36" ht="33.75" customHeight="1">
      <c r="A16" s="213"/>
      <c r="B16" s="214">
        <f ca="1">IFERROR(__xludf.DUMMYFUNCTION("""COMPUTED_VALUE"""),2876024)</f>
        <v>2876024</v>
      </c>
      <c r="C16" s="215" t="str">
        <f ca="1">IFERROR(__xludf.DUMMYFUNCTION("""COMPUTED_VALUE"""),"Beginner")</f>
        <v>Beginner</v>
      </c>
      <c r="D16" s="216" t="str">
        <f ca="1">IFERROR(__xludf.DUMMYFUNCTION("""COMPUTED_VALUE"""),"How to Slash Anxiety and Keep Positivity Flowing")</f>
        <v>How to Slash Anxiety and Keep Positivity Flowing</v>
      </c>
      <c r="E16" s="217"/>
      <c r="F16" s="213"/>
      <c r="G16" s="214">
        <f ca="1">IFERROR(__xludf.DUMMYFUNCTION("""COMPUTED_VALUE"""),3160574)</f>
        <v>3160574</v>
      </c>
      <c r="H16" s="215" t="str">
        <f ca="1">IFERROR(__xludf.DUMMYFUNCTION("""COMPUTED_VALUE"""),"All levels")</f>
        <v>All levels</v>
      </c>
      <c r="I16" s="217" t="str">
        <f ca="1">IFERROR(__xludf.DUMMYFUNCTION("""COMPUTED_VALUE"""),"Persuader et convaincre : 5 techniques efficaces pour canaliser votre stress")</f>
        <v>Persuader et convaincre : 5 techniques efficaces pour canaliser votre stress</v>
      </c>
      <c r="J16" s="217"/>
      <c r="K16" s="213"/>
      <c r="L16" s="215">
        <f ca="1">IFERROR(__xludf.DUMMYFUNCTION("""COMPUTED_VALUE"""),3163259)</f>
        <v>3163259</v>
      </c>
      <c r="M16" s="215" t="str">
        <f ca="1">IFERROR(__xludf.DUMMYFUNCTION("""COMPUTED_VALUE"""),"All levels")</f>
        <v>All levels</v>
      </c>
      <c r="N16" s="217" t="str">
        <f ca="1">IFERROR(__xludf.DUMMYFUNCTION("""COMPUTED_VALUE"""),"Cervicales saludables: Entrenamiento para liberar tensión de los pies a la cabeza")</f>
        <v>Cervicales saludables: Entrenamiento para liberar tensión de los pies a la cabeza</v>
      </c>
      <c r="O16" s="217"/>
      <c r="P16" s="213"/>
      <c r="Q16" s="215">
        <f ca="1">IFERROR(__xludf.DUMMYFUNCTION("""COMPUTED_VALUE"""),2832040)</f>
        <v>2832040</v>
      </c>
      <c r="R16" s="215" t="str">
        <f ca="1">IFERROR(__xludf.DUMMYFUNCTION("""COMPUTED_VALUE"""),"All levels")</f>
        <v>All levels</v>
      </c>
      <c r="S16" s="217" t="str">
        <f ca="1">IFERROR(__xludf.DUMMYFUNCTION("""COMPUTED_VALUE"""),"Mit dem inneren Kritiker besser leben")</f>
        <v>Mit dem inneren Kritiker besser leben</v>
      </c>
      <c r="T16" s="217"/>
      <c r="U16" s="213"/>
      <c r="V16" s="215"/>
      <c r="W16" s="215"/>
      <c r="X16" s="217"/>
      <c r="Y16" s="217"/>
      <c r="Z16" s="213"/>
      <c r="AA16" s="215"/>
      <c r="AB16" s="215"/>
      <c r="AC16" s="217"/>
      <c r="AD16" s="217"/>
      <c r="AE16" s="213"/>
      <c r="AF16" s="215"/>
      <c r="AG16" s="215"/>
      <c r="AH16" s="217"/>
      <c r="AI16" s="217"/>
      <c r="AJ16" s="213"/>
    </row>
    <row r="17" spans="1:36" ht="33.75" customHeight="1">
      <c r="A17" s="213"/>
      <c r="B17" s="214">
        <f ca="1">IFERROR(__xludf.DUMMYFUNCTION("""COMPUTED_VALUE"""),2825479)</f>
        <v>2825479</v>
      </c>
      <c r="C17" s="215" t="str">
        <f ca="1">IFERROR(__xludf.DUMMYFUNCTION("""COMPUTED_VALUE"""),"Beginner")</f>
        <v>Beginner</v>
      </c>
      <c r="D17" s="216" t="str">
        <f ca="1">IFERROR(__xludf.DUMMYFUNCTION("""COMPUTED_VALUE"""),"Building Better Routines")</f>
        <v>Building Better Routines</v>
      </c>
      <c r="E17" s="217"/>
      <c r="F17" s="213"/>
      <c r="G17" s="214"/>
      <c r="H17" s="215"/>
      <c r="I17" s="217"/>
      <c r="J17" s="217"/>
      <c r="K17" s="213"/>
      <c r="L17" s="215">
        <f ca="1">IFERROR(__xludf.DUMMYFUNCTION("""COMPUTED_VALUE"""),3166188)</f>
        <v>3166188</v>
      </c>
      <c r="M17" s="215" t="str">
        <f ca="1">IFERROR(__xludf.DUMMYFUNCTION("""COMPUTED_VALUE"""),"All levels")</f>
        <v>All levels</v>
      </c>
      <c r="N17" s="217" t="str">
        <f ca="1">IFERROR(__xludf.DUMMYFUNCTION("""COMPUTED_VALUE"""),"Cervicales saludables: Rutina de ejercicios para liberar tensiones en la espalda")</f>
        <v>Cervicales saludables: Rutina de ejercicios para liberar tensiones en la espalda</v>
      </c>
      <c r="O17" s="217"/>
      <c r="P17" s="213"/>
      <c r="Q17" s="215">
        <f ca="1">IFERROR(__xludf.DUMMYFUNCTION("""COMPUTED_VALUE"""),2877212)</f>
        <v>2877212</v>
      </c>
      <c r="R17" s="215" t="str">
        <f ca="1">IFERROR(__xludf.DUMMYFUNCTION("""COMPUTED_VALUE"""),"All levels")</f>
        <v>All levels</v>
      </c>
      <c r="S17" s="217" t="str">
        <f ca="1">IFERROR(__xludf.DUMMYFUNCTION("""COMPUTED_VALUE"""),"Mit Depressionen am Arbeitsplatz umgehen")</f>
        <v>Mit Depressionen am Arbeitsplatz umgehen</v>
      </c>
      <c r="T17" s="217"/>
      <c r="U17" s="213"/>
      <c r="V17" s="215"/>
      <c r="W17" s="215"/>
      <c r="X17" s="217"/>
      <c r="Y17" s="217"/>
      <c r="Z17" s="213"/>
      <c r="AA17" s="215"/>
      <c r="AB17" s="215"/>
      <c r="AC17" s="217"/>
      <c r="AD17" s="217"/>
      <c r="AE17" s="213"/>
      <c r="AF17" s="215"/>
      <c r="AG17" s="215"/>
      <c r="AH17" s="217"/>
      <c r="AI17" s="217"/>
      <c r="AJ17" s="213"/>
    </row>
    <row r="18" spans="1:36" ht="33.75" customHeight="1">
      <c r="A18" s="213"/>
      <c r="B18" s="214">
        <f ca="1">IFERROR(__xludf.DUMMYFUNCTION("""COMPUTED_VALUE"""),794118)</f>
        <v>794118</v>
      </c>
      <c r="C18" s="215" t="str">
        <f ca="1">IFERROR(__xludf.DUMMYFUNCTION("""COMPUTED_VALUE"""),"Beginner")</f>
        <v>Beginner</v>
      </c>
      <c r="D18" s="216" t="str">
        <f ca="1">IFERROR(__xludf.DUMMYFUNCTION("""COMPUTED_VALUE"""),"Teaching Civility in the Workplace")</f>
        <v>Teaching Civility in the Workplace</v>
      </c>
      <c r="E18" s="217"/>
      <c r="F18" s="213"/>
      <c r="G18" s="214"/>
      <c r="H18" s="215"/>
      <c r="I18" s="217"/>
      <c r="J18" s="217"/>
      <c r="K18" s="213"/>
      <c r="L18" s="215">
        <f ca="1">IFERROR(__xludf.DUMMYFUNCTION("""COMPUTED_VALUE"""),5041935)</f>
        <v>5041935</v>
      </c>
      <c r="M18" s="215" t="str">
        <f ca="1">IFERROR(__xludf.DUMMYFUNCTION("""COMPUTED_VALUE"""),"All levels")</f>
        <v>All levels</v>
      </c>
      <c r="N18" s="217" t="str">
        <f ca="1">IFERROR(__xludf.DUMMYFUNCTION("""COMPUTED_VALUE"""),"Cómo alcanzar la felicidad permanente creando con propósito")</f>
        <v>Cómo alcanzar la felicidad permanente creando con propósito</v>
      </c>
      <c r="O18" s="217"/>
      <c r="P18" s="213"/>
      <c r="Q18" s="215">
        <f ca="1">IFERROR(__xludf.DUMMYFUNCTION("""COMPUTED_VALUE"""),2921745)</f>
        <v>2921745</v>
      </c>
      <c r="R18" s="215" t="str">
        <f ca="1">IFERROR(__xludf.DUMMYFUNCTION("""COMPUTED_VALUE"""),"Beginner")</f>
        <v>Beginner</v>
      </c>
      <c r="S18" s="217" t="str">
        <f ca="1">IFERROR(__xludf.DUMMYFUNCTION("""COMPUTED_VALUE"""),"Mitarbeiterzufriedenheit durch Feel-Good-Management")</f>
        <v>Mitarbeiterzufriedenheit durch Feel-Good-Management</v>
      </c>
      <c r="T18" s="217"/>
      <c r="U18" s="213"/>
      <c r="V18" s="215"/>
      <c r="W18" s="215"/>
      <c r="X18" s="217"/>
      <c r="Y18" s="217"/>
      <c r="Z18" s="213"/>
      <c r="AA18" s="215"/>
      <c r="AB18" s="215"/>
      <c r="AC18" s="217"/>
      <c r="AD18" s="217"/>
      <c r="AE18" s="213"/>
      <c r="AF18" s="215"/>
      <c r="AG18" s="215"/>
      <c r="AH18" s="217"/>
      <c r="AI18" s="217"/>
      <c r="AJ18" s="213"/>
    </row>
    <row r="19" spans="1:36" ht="33.75" customHeight="1">
      <c r="A19" s="213"/>
      <c r="B19" s="214">
        <f ca="1">IFERROR(__xludf.DUMMYFUNCTION("""COMPUTED_VALUE"""),2803040)</f>
        <v>2803040</v>
      </c>
      <c r="C19" s="215" t="str">
        <f ca="1">IFERROR(__xludf.DUMMYFUNCTION("""COMPUTED_VALUE"""),"Beginner")</f>
        <v>Beginner</v>
      </c>
      <c r="D19" s="216" t="str">
        <f ca="1">IFERROR(__xludf.DUMMYFUNCTION("""COMPUTED_VALUE"""),"De-stress: Meditation and Movement for Stress Management")</f>
        <v>De-stress: Meditation and Movement for Stress Management</v>
      </c>
      <c r="E19" s="217"/>
      <c r="F19" s="213"/>
      <c r="G19" s="214"/>
      <c r="H19" s="215"/>
      <c r="I19" s="217"/>
      <c r="J19" s="217"/>
      <c r="K19" s="213"/>
      <c r="L19" s="215">
        <f ca="1">IFERROR(__xludf.DUMMYFUNCTION("""COMPUTED_VALUE"""),5025578)</f>
        <v>5025578</v>
      </c>
      <c r="M19" s="215" t="str">
        <f ca="1">IFERROR(__xludf.DUMMYFUNCTION("""COMPUTED_VALUE"""),"All levels")</f>
        <v>All levels</v>
      </c>
      <c r="N19" s="217" t="str">
        <f ca="1">IFERROR(__xludf.DUMMYFUNCTION("""COMPUTED_VALUE"""),"Cómo conciliar e integrar tu vida laboral y personal")</f>
        <v>Cómo conciliar e integrar tu vida laboral y personal</v>
      </c>
      <c r="O19" s="217"/>
      <c r="P19" s="213"/>
      <c r="Q19" s="215">
        <f ca="1">IFERROR(__xludf.DUMMYFUNCTION("""COMPUTED_VALUE"""),3164219)</f>
        <v>3164219</v>
      </c>
      <c r="R19" s="215" t="str">
        <f ca="1">IFERROR(__xludf.DUMMYFUNCTION("""COMPUTED_VALUE"""),"All levels")</f>
        <v>All levels</v>
      </c>
      <c r="S19" s="217" t="str">
        <f ca="1">IFERROR(__xludf.DUMMYFUNCTION("""COMPUTED_VALUE"""),"Nein sagen und gesunde Grenzen setzen")</f>
        <v>Nein sagen und gesunde Grenzen setzen</v>
      </c>
      <c r="T19" s="217"/>
      <c r="U19" s="213"/>
      <c r="V19" s="215"/>
      <c r="W19" s="215"/>
      <c r="X19" s="217"/>
      <c r="Y19" s="217"/>
      <c r="Z19" s="213"/>
      <c r="AA19" s="215"/>
      <c r="AB19" s="215"/>
      <c r="AC19" s="217"/>
      <c r="AD19" s="217"/>
      <c r="AE19" s="213"/>
      <c r="AF19" s="215"/>
      <c r="AG19" s="215"/>
      <c r="AH19" s="217"/>
      <c r="AI19" s="217"/>
      <c r="AJ19" s="213"/>
    </row>
    <row r="20" spans="1:36" ht="33.75" customHeight="1">
      <c r="A20" s="213"/>
      <c r="B20" s="214">
        <f ca="1">IFERROR(__xludf.DUMMYFUNCTION("""COMPUTED_VALUE"""),2812492)</f>
        <v>2812492</v>
      </c>
      <c r="C20" s="215" t="str">
        <f ca="1">IFERROR(__xludf.DUMMYFUNCTION("""COMPUTED_VALUE"""),"Beginner")</f>
        <v>Beginner</v>
      </c>
      <c r="D20" s="216" t="str">
        <f ca="1">IFERROR(__xludf.DUMMYFUNCTION("""COMPUTED_VALUE"""),"Overcoming Imposter Syndrome")</f>
        <v>Overcoming Imposter Syndrome</v>
      </c>
      <c r="E20" s="217"/>
      <c r="F20" s="213"/>
      <c r="G20" s="214"/>
      <c r="H20" s="215"/>
      <c r="I20" s="217"/>
      <c r="J20" s="217"/>
      <c r="K20" s="213"/>
      <c r="L20" s="215">
        <f ca="1">IFERROR(__xludf.DUMMYFUNCTION("""COMPUTED_VALUE"""),2838141)</f>
        <v>2838141</v>
      </c>
      <c r="M20" s="215" t="str">
        <f ca="1">IFERROR(__xludf.DUMMYFUNCTION("""COMPUTED_VALUE"""),"All levels")</f>
        <v>All levels</v>
      </c>
      <c r="N20" s="217" t="str">
        <f ca="1">IFERROR(__xludf.DUMMYFUNCTION("""COMPUTED_VALUE"""),"Cómo conciliar el teletrabajo con la vida real en tiempos de crisis")</f>
        <v>Cómo conciliar el teletrabajo con la vida real en tiempos de crisis</v>
      </c>
      <c r="O20" s="217"/>
      <c r="P20" s="213"/>
      <c r="Q20" s="215">
        <f ca="1">IFERROR(__xludf.DUMMYFUNCTION("""COMPUTED_VALUE"""),2928474)</f>
        <v>2928474</v>
      </c>
      <c r="R20" s="215" t="str">
        <f ca="1">IFERROR(__xludf.DUMMYFUNCTION("""COMPUTED_VALUE"""),"Beginner")</f>
        <v>Beginner</v>
      </c>
      <c r="S20" s="217" t="str">
        <f ca="1">IFERROR(__xludf.DUMMYFUNCTION("""COMPUTED_VALUE"""),"Optimistisch bleiben im Job")</f>
        <v>Optimistisch bleiben im Job</v>
      </c>
      <c r="T20" s="217"/>
      <c r="U20" s="213"/>
      <c r="V20" s="215"/>
      <c r="W20" s="215"/>
      <c r="X20" s="217"/>
      <c r="Y20" s="217"/>
      <c r="Z20" s="213"/>
      <c r="AA20" s="215"/>
      <c r="AB20" s="215"/>
      <c r="AC20" s="217"/>
      <c r="AD20" s="217"/>
      <c r="AE20" s="213"/>
      <c r="AF20" s="215"/>
      <c r="AG20" s="215"/>
      <c r="AH20" s="217"/>
      <c r="AI20" s="217"/>
      <c r="AJ20" s="213"/>
    </row>
    <row r="21" spans="1:36" ht="33.75" customHeight="1">
      <c r="A21" s="213"/>
      <c r="B21" s="214">
        <f ca="1">IFERROR(__xludf.DUMMYFUNCTION("""COMPUTED_VALUE"""),2825340)</f>
        <v>2825340</v>
      </c>
      <c r="C21" s="215" t="str">
        <f ca="1">IFERROR(__xludf.DUMMYFUNCTION("""COMPUTED_VALUE"""),"Beginner")</f>
        <v>Beginner</v>
      </c>
      <c r="D21" s="216" t="str">
        <f ca="1">IFERROR(__xludf.DUMMYFUNCTION("""COMPUTED_VALUE"""),"Stop Stressing and Keep Moving Forward")</f>
        <v>Stop Stressing and Keep Moving Forward</v>
      </c>
      <c r="E21" s="217"/>
      <c r="F21" s="213"/>
      <c r="G21" s="214"/>
      <c r="H21" s="215"/>
      <c r="I21" s="217"/>
      <c r="J21" s="217"/>
      <c r="K21" s="213"/>
      <c r="L21" s="215">
        <f ca="1">IFERROR(__xludf.DUMMYFUNCTION("""COMPUTED_VALUE"""),5041894)</f>
        <v>5041894</v>
      </c>
      <c r="M21" s="215" t="str">
        <f ca="1">IFERROR(__xludf.DUMMYFUNCTION("""COMPUTED_VALUE"""),"All levels")</f>
        <v>All levels</v>
      </c>
      <c r="N21" s="217" t="str">
        <f ca="1">IFERROR(__xludf.DUMMYFUNCTION("""COMPUTED_VALUE"""),"Cómo hackear tu mente y recuperar el control sobre el estrés")</f>
        <v>Cómo hackear tu mente y recuperar el control sobre el estrés</v>
      </c>
      <c r="O21" s="217"/>
      <c r="P21" s="213"/>
      <c r="Q21" s="215">
        <f ca="1">IFERROR(__xludf.DUMMYFUNCTION("""COMPUTED_VALUE"""),428606)</f>
        <v>428606</v>
      </c>
      <c r="R21" s="215" t="str">
        <f ca="1">IFERROR(__xludf.DUMMYFUNCTION("""COMPUTED_VALUE"""),"All levels")</f>
        <v>All levels</v>
      </c>
      <c r="S21" s="217" t="str">
        <f ca="1">IFERROR(__xludf.DUMMYFUNCTION("""COMPUTED_VALUE"""),"Resilienz entwickeln")</f>
        <v>Resilienz entwickeln</v>
      </c>
      <c r="T21" s="217"/>
      <c r="U21" s="213"/>
      <c r="V21" s="215"/>
      <c r="W21" s="215"/>
      <c r="X21" s="217"/>
      <c r="Y21" s="217"/>
      <c r="Z21" s="213"/>
      <c r="AA21" s="215"/>
      <c r="AB21" s="215"/>
      <c r="AC21" s="217"/>
      <c r="AD21" s="217"/>
      <c r="AE21" s="213"/>
      <c r="AF21" s="215"/>
      <c r="AG21" s="215"/>
      <c r="AH21" s="217"/>
      <c r="AI21" s="217"/>
      <c r="AJ21" s="213"/>
    </row>
    <row r="22" spans="1:36" ht="33.75" customHeight="1">
      <c r="A22" s="213"/>
      <c r="B22" s="214">
        <f ca="1">IFERROR(__xludf.DUMMYFUNCTION("""COMPUTED_VALUE"""),592484)</f>
        <v>592484</v>
      </c>
      <c r="C22" s="215" t="str">
        <f ca="1">IFERROR(__xludf.DUMMYFUNCTION("""COMPUTED_VALUE"""),"Beginner")</f>
        <v>Beginner</v>
      </c>
      <c r="D22" s="216" t="str">
        <f ca="1">IFERROR(__xludf.DUMMYFUNCTION("""COMPUTED_VALUE"""),"Anger Management")</f>
        <v>Anger Management</v>
      </c>
      <c r="E22" s="217"/>
      <c r="F22" s="213"/>
      <c r="G22" s="214"/>
      <c r="H22" s="215"/>
      <c r="I22" s="217"/>
      <c r="J22" s="217"/>
      <c r="K22" s="213"/>
      <c r="L22" s="215">
        <f ca="1">IFERROR(__xludf.DUMMYFUNCTION("""COMPUTED_VALUE"""),403839)</f>
        <v>403839</v>
      </c>
      <c r="M22" s="215" t="str">
        <f ca="1">IFERROR(__xludf.DUMMYFUNCTION("""COMPUTED_VALUE"""),"All levels")</f>
        <v>All levels</v>
      </c>
      <c r="N22" s="217" t="str">
        <f ca="1">IFERROR(__xludf.DUMMYFUNCTION("""COMPUTED_VALUE"""),"Cómo manejar el estrés")</f>
        <v>Cómo manejar el estrés</v>
      </c>
      <c r="O22" s="217"/>
      <c r="P22" s="213"/>
      <c r="Q22" s="215">
        <f ca="1">IFERROR(__xludf.DUMMYFUNCTION("""COMPUTED_VALUE"""),2878063)</f>
        <v>2878063</v>
      </c>
      <c r="R22" s="215" t="str">
        <f ca="1">IFERROR(__xludf.DUMMYFUNCTION("""COMPUTED_VALUE"""),"All levels")</f>
        <v>All levels</v>
      </c>
      <c r="S22" s="217" t="str">
        <f ca="1">IFERROR(__xludf.DUMMYFUNCTION("""COMPUTED_VALUE"""),"Resilienz in Krisenzeiten")</f>
        <v>Resilienz in Krisenzeiten</v>
      </c>
      <c r="T22" s="217"/>
      <c r="U22" s="213"/>
      <c r="V22" s="215"/>
      <c r="W22" s="215"/>
      <c r="X22" s="217"/>
      <c r="Y22" s="217"/>
      <c r="Z22" s="213"/>
      <c r="AA22" s="215"/>
      <c r="AB22" s="215"/>
      <c r="AC22" s="217"/>
      <c r="AD22" s="217"/>
      <c r="AE22" s="213"/>
      <c r="AF22" s="215"/>
      <c r="AG22" s="215"/>
      <c r="AH22" s="217"/>
      <c r="AI22" s="217"/>
      <c r="AJ22" s="213"/>
    </row>
    <row r="23" spans="1:36" ht="33.75" customHeight="1">
      <c r="A23" s="213"/>
      <c r="B23" s="214">
        <f ca="1">IFERROR(__xludf.DUMMYFUNCTION("""COMPUTED_VALUE"""),2873102)</f>
        <v>2873102</v>
      </c>
      <c r="C23" s="215" t="str">
        <f ca="1">IFERROR(__xludf.DUMMYFUNCTION("""COMPUTED_VALUE"""),"Beginner")</f>
        <v>Beginner</v>
      </c>
      <c r="D23" s="216" t="str">
        <f ca="1">IFERROR(__xludf.DUMMYFUNCTION("""COMPUTED_VALUE"""),"How to Have Compassionate Presence")</f>
        <v>How to Have Compassionate Presence</v>
      </c>
      <c r="E23" s="217"/>
      <c r="F23" s="213"/>
      <c r="G23" s="214"/>
      <c r="H23" s="215"/>
      <c r="I23" s="217"/>
      <c r="J23" s="217"/>
      <c r="K23" s="213"/>
      <c r="L23" s="215">
        <f ca="1">IFERROR(__xludf.DUMMYFUNCTION("""COMPUTED_VALUE"""),3115669)</f>
        <v>3115669</v>
      </c>
      <c r="M23" s="215" t="str">
        <f ca="1">IFERROR(__xludf.DUMMYFUNCTION("""COMPUTED_VALUE"""),"Beginner, Intermediate")</f>
        <v>Beginner, Intermediate</v>
      </c>
      <c r="N23" s="217" t="str">
        <f ca="1">IFERROR(__xludf.DUMMYFUNCTION("""COMPUTED_VALUE"""),"Gestión del estrés en tiempos de incertidumbre: Vivir o sobrevivir")</f>
        <v>Gestión del estrés en tiempos de incertidumbre: Vivir o sobrevivir</v>
      </c>
      <c r="O23" s="217"/>
      <c r="P23" s="213"/>
      <c r="Q23" s="215">
        <f ca="1">IFERROR(__xludf.DUMMYFUNCTION("""COMPUTED_VALUE"""),3103622)</f>
        <v>3103622</v>
      </c>
      <c r="R23" s="215" t="str">
        <f ca="1">IFERROR(__xludf.DUMMYFUNCTION("""COMPUTED_VALUE"""),"All levels")</f>
        <v>All levels</v>
      </c>
      <c r="S23" s="217" t="str">
        <f ca="1">IFERROR(__xludf.DUMMYFUNCTION("""COMPUTED_VALUE"""),"Stress bewältigen 1: Ursachen verstehen und Druck senken")</f>
        <v>Stress bewältigen 1: Ursachen verstehen und Druck senken</v>
      </c>
      <c r="T23" s="217"/>
      <c r="U23" s="213"/>
      <c r="V23" s="215"/>
      <c r="W23" s="215"/>
      <c r="X23" s="217"/>
      <c r="Y23" s="217"/>
      <c r="Z23" s="213"/>
      <c r="AA23" s="215"/>
      <c r="AB23" s="215"/>
      <c r="AC23" s="217"/>
      <c r="AD23" s="217"/>
      <c r="AE23" s="213"/>
      <c r="AF23" s="215"/>
      <c r="AG23" s="215"/>
      <c r="AH23" s="217"/>
      <c r="AI23" s="217"/>
      <c r="AJ23" s="213"/>
    </row>
    <row r="24" spans="1:36" ht="33.75" customHeight="1">
      <c r="A24" s="213"/>
      <c r="B24" s="214">
        <f ca="1">IFERROR(__xludf.DUMMYFUNCTION("""COMPUTED_VALUE"""),2833042)</f>
        <v>2833042</v>
      </c>
      <c r="C24" s="215" t="str">
        <f ca="1">IFERROR(__xludf.DUMMYFUNCTION("""COMPUTED_VALUE"""),"Beginner")</f>
        <v>Beginner</v>
      </c>
      <c r="D24" s="216" t="str">
        <f ca="1">IFERROR(__xludf.DUMMYFUNCTION("""COMPUTED_VALUE"""),"Mindfulness for Beginners")</f>
        <v>Mindfulness for Beginners</v>
      </c>
      <c r="E24" s="217"/>
      <c r="F24" s="213"/>
      <c r="G24" s="214"/>
      <c r="H24" s="215"/>
      <c r="I24" s="217"/>
      <c r="J24" s="217"/>
      <c r="K24" s="213"/>
      <c r="L24" s="215">
        <f ca="1">IFERROR(__xludf.DUMMYFUNCTION("""COMPUTED_VALUE"""),2841033)</f>
        <v>2841033</v>
      </c>
      <c r="M24" s="215" t="str">
        <f ca="1">IFERROR(__xludf.DUMMYFUNCTION("""COMPUTED_VALUE"""),"All levels")</f>
        <v>All levels</v>
      </c>
      <c r="N24" s="217" t="str">
        <f ca="1">IFERROR(__xludf.DUMMYFUNCTION("""COMPUTED_VALUE"""),"La salud: Tu mejor talento")</f>
        <v>La salud: Tu mejor talento</v>
      </c>
      <c r="O24" s="217"/>
      <c r="P24" s="213"/>
      <c r="Q24" s="215">
        <f ca="1">IFERROR(__xludf.DUMMYFUNCTION("""COMPUTED_VALUE"""),2419440)</f>
        <v>2419440</v>
      </c>
      <c r="R24" s="215" t="str">
        <f ca="1">IFERROR(__xludf.DUMMYFUNCTION("""COMPUTED_VALUE"""),"All levels")</f>
        <v>All levels</v>
      </c>
      <c r="S24" s="217" t="str">
        <f ca="1">IFERROR(__xludf.DUMMYFUNCTION("""COMPUTED_VALUE"""),"Stress bewältigen 2: Für mehr Balance und Gesundheit")</f>
        <v>Stress bewältigen 2: Für mehr Balance und Gesundheit</v>
      </c>
      <c r="T24" s="217"/>
      <c r="U24" s="213"/>
      <c r="V24" s="215"/>
      <c r="W24" s="215"/>
      <c r="X24" s="217"/>
      <c r="Y24" s="217"/>
      <c r="Z24" s="213"/>
      <c r="AA24" s="215"/>
      <c r="AB24" s="215"/>
      <c r="AC24" s="217"/>
      <c r="AD24" s="217"/>
      <c r="AE24" s="213"/>
      <c r="AF24" s="215"/>
      <c r="AG24" s="215"/>
      <c r="AH24" s="217"/>
      <c r="AI24" s="217"/>
      <c r="AJ24" s="213"/>
    </row>
    <row r="25" spans="1:36" ht="33.75" customHeight="1">
      <c r="A25" s="213"/>
      <c r="B25" s="214">
        <f ca="1">IFERROR(__xludf.DUMMYFUNCTION("""COMPUTED_VALUE"""),2804062)</f>
        <v>2804062</v>
      </c>
      <c r="C25" s="215" t="str">
        <f ca="1">IFERROR(__xludf.DUMMYFUNCTION("""COMPUTED_VALUE"""),"Beginner")</f>
        <v>Beginner</v>
      </c>
      <c r="D25" s="216" t="str">
        <f ca="1">IFERROR(__xludf.DUMMYFUNCTION("""COMPUTED_VALUE"""),"Computer and Text Neck Stretching Exercises")</f>
        <v>Computer and Text Neck Stretching Exercises</v>
      </c>
      <c r="E25" s="217"/>
      <c r="F25" s="213"/>
      <c r="G25" s="214"/>
      <c r="H25" s="215"/>
      <c r="I25" s="217"/>
      <c r="J25" s="217"/>
      <c r="K25" s="213"/>
      <c r="L25" s="215">
        <f ca="1">IFERROR(__xludf.DUMMYFUNCTION("""COMPUTED_VALUE"""),5025653)</f>
        <v>5025653</v>
      </c>
      <c r="M25" s="215" t="str">
        <f ca="1">IFERROR(__xludf.DUMMYFUNCTION("""COMPUTED_VALUE"""),"All levels")</f>
        <v>All levels</v>
      </c>
      <c r="N25" s="217" t="str">
        <f ca="1">IFERROR(__xludf.DUMMYFUNCTION("""COMPUTED_VALUE"""),"Mindfulness: Cómo conseguir una atención plena")</f>
        <v>Mindfulness: Cómo conseguir una atención plena</v>
      </c>
      <c r="O25" s="217"/>
      <c r="P25" s="213"/>
      <c r="Q25" s="215">
        <f ca="1">IFERROR(__xludf.DUMMYFUNCTION("""COMPUTED_VALUE"""),3151140)</f>
        <v>3151140</v>
      </c>
      <c r="R25" s="215" t="str">
        <f ca="1">IFERROR(__xludf.DUMMYFUNCTION("""COMPUTED_VALUE"""),"All levels")</f>
        <v>All levels</v>
      </c>
      <c r="S25" s="217" t="str">
        <f ca="1">IFERROR(__xludf.DUMMYFUNCTION("""COMPUTED_VALUE"""),"Unerwartete Veränderungen annehmen")</f>
        <v>Unerwartete Veränderungen annehmen</v>
      </c>
      <c r="T25" s="217"/>
      <c r="U25" s="213"/>
      <c r="V25" s="215"/>
      <c r="W25" s="215"/>
      <c r="X25" s="217"/>
      <c r="Y25" s="217"/>
      <c r="Z25" s="213"/>
      <c r="AA25" s="215"/>
      <c r="AB25" s="215"/>
      <c r="AC25" s="217"/>
      <c r="AD25" s="217"/>
      <c r="AE25" s="213"/>
      <c r="AF25" s="215"/>
      <c r="AG25" s="215"/>
      <c r="AH25" s="217"/>
      <c r="AI25" s="217"/>
      <c r="AJ25" s="213"/>
    </row>
    <row r="26" spans="1:36" ht="33.75" customHeight="1">
      <c r="A26" s="213"/>
      <c r="B26" s="214">
        <f ca="1">IFERROR(__xludf.DUMMYFUNCTION("""COMPUTED_VALUE"""),2802031)</f>
        <v>2802031</v>
      </c>
      <c r="C26" s="215" t="str">
        <f ca="1">IFERROR(__xludf.DUMMYFUNCTION("""COMPUTED_VALUE"""),"Beginner")</f>
        <v>Beginner</v>
      </c>
      <c r="D26" s="216" t="str">
        <f ca="1">IFERROR(__xludf.DUMMYFUNCTION("""COMPUTED_VALUE"""),"The Mindful Workday")</f>
        <v>The Mindful Workday</v>
      </c>
      <c r="E26" s="217"/>
      <c r="F26" s="213"/>
      <c r="G26" s="214"/>
      <c r="H26" s="215"/>
      <c r="I26" s="217"/>
      <c r="J26" s="217"/>
      <c r="K26" s="213"/>
      <c r="L26" s="215">
        <f ca="1">IFERROR(__xludf.DUMMYFUNCTION("""COMPUTED_VALUE"""),2988200)</f>
        <v>2988200</v>
      </c>
      <c r="M26" s="215" t="str">
        <f ca="1">IFERROR(__xludf.DUMMYFUNCTION("""COMPUTED_VALUE"""),"Advanced")</f>
        <v>Advanced</v>
      </c>
      <c r="N26" s="217" t="str">
        <f ca="1">IFERROR(__xludf.DUMMYFUNCTION("""COMPUTED_VALUE"""),"Toma de decisiones en situaciones de gran estrés")</f>
        <v>Toma de decisiones en situaciones de gran estrés</v>
      </c>
      <c r="O26" s="217"/>
      <c r="P26" s="213"/>
      <c r="Q26" s="215"/>
      <c r="R26" s="215"/>
      <c r="S26" s="217"/>
      <c r="T26" s="217"/>
      <c r="U26" s="213"/>
      <c r="V26" s="215"/>
      <c r="W26" s="215"/>
      <c r="X26" s="217"/>
      <c r="Y26" s="217"/>
      <c r="Z26" s="213"/>
      <c r="AA26" s="215"/>
      <c r="AB26" s="215"/>
      <c r="AC26" s="217"/>
      <c r="AD26" s="217"/>
      <c r="AE26" s="213"/>
      <c r="AF26" s="215"/>
      <c r="AG26" s="215"/>
      <c r="AH26" s="217"/>
      <c r="AI26" s="217"/>
      <c r="AJ26" s="213"/>
    </row>
    <row r="27" spans="1:36" ht="33.75" customHeight="1">
      <c r="A27" s="213"/>
      <c r="B27" s="214">
        <f ca="1">IFERROR(__xludf.DUMMYFUNCTION("""COMPUTED_VALUE"""),2823287)</f>
        <v>2823287</v>
      </c>
      <c r="C27" s="215" t="str">
        <f ca="1">IFERROR(__xludf.DUMMYFUNCTION("""COMPUTED_VALUE"""),"Beginner")</f>
        <v>Beginner</v>
      </c>
      <c r="D27" s="216" t="str">
        <f ca="1">IFERROR(__xludf.DUMMYFUNCTION("""COMPUTED_VALUE"""),"Taking a Break from Your Phone")</f>
        <v>Taking a Break from Your Phone</v>
      </c>
      <c r="E27" s="217"/>
      <c r="F27" s="213"/>
      <c r="G27" s="214"/>
      <c r="H27" s="215"/>
      <c r="I27" s="217"/>
      <c r="J27" s="217"/>
      <c r="K27" s="213"/>
      <c r="L27" s="215"/>
      <c r="M27" s="215"/>
      <c r="N27" s="217"/>
      <c r="O27" s="217"/>
      <c r="P27" s="213"/>
      <c r="Q27" s="215"/>
      <c r="R27" s="215"/>
      <c r="S27" s="217"/>
      <c r="T27" s="217"/>
      <c r="U27" s="213"/>
      <c r="V27" s="215"/>
      <c r="W27" s="215"/>
      <c r="X27" s="217"/>
      <c r="Y27" s="217"/>
      <c r="Z27" s="213"/>
      <c r="AA27" s="215"/>
      <c r="AB27" s="215"/>
      <c r="AC27" s="217"/>
      <c r="AD27" s="217"/>
      <c r="AE27" s="213"/>
      <c r="AF27" s="215"/>
      <c r="AG27" s="215"/>
      <c r="AH27" s="217"/>
      <c r="AI27" s="217"/>
      <c r="AJ27" s="213"/>
    </row>
    <row r="28" spans="1:36" ht="33.75" customHeight="1">
      <c r="A28" s="213"/>
      <c r="B28" s="214">
        <f ca="1">IFERROR(__xludf.DUMMYFUNCTION("""COMPUTED_VALUE"""),2802032)</f>
        <v>2802032</v>
      </c>
      <c r="C28" s="215" t="str">
        <f ca="1">IFERROR(__xludf.DUMMYFUNCTION("""COMPUTED_VALUE"""),"Beginner")</f>
        <v>Beginner</v>
      </c>
      <c r="D28" s="216" t="str">
        <f ca="1">IFERROR(__xludf.DUMMYFUNCTION("""COMPUTED_VALUE"""),"Ergonomics 101")</f>
        <v>Ergonomics 101</v>
      </c>
      <c r="E28" s="217"/>
      <c r="F28" s="213"/>
      <c r="G28" s="214"/>
      <c r="H28" s="215"/>
      <c r="I28" s="217"/>
      <c r="J28" s="217"/>
      <c r="K28" s="213"/>
      <c r="L28" s="215"/>
      <c r="M28" s="215"/>
      <c r="N28" s="217"/>
      <c r="O28" s="217"/>
      <c r="P28" s="213"/>
      <c r="Q28" s="215"/>
      <c r="R28" s="215"/>
      <c r="S28" s="217"/>
      <c r="T28" s="217"/>
      <c r="U28" s="213"/>
      <c r="V28" s="215"/>
      <c r="W28" s="215"/>
      <c r="X28" s="217"/>
      <c r="Y28" s="217"/>
      <c r="Z28" s="213"/>
      <c r="AA28" s="215"/>
      <c r="AB28" s="215"/>
      <c r="AC28" s="217"/>
      <c r="AD28" s="217"/>
      <c r="AE28" s="213"/>
      <c r="AF28" s="215"/>
      <c r="AG28" s="215"/>
      <c r="AH28" s="217"/>
      <c r="AI28" s="217"/>
      <c r="AJ28" s="213"/>
    </row>
    <row r="29" spans="1:36" ht="33.75" customHeight="1">
      <c r="A29" s="213"/>
      <c r="B29" s="214">
        <f ca="1">IFERROR(__xludf.DUMMYFUNCTION("""COMPUTED_VALUE"""),570966)</f>
        <v>570966</v>
      </c>
      <c r="C29" s="215" t="str">
        <f ca="1">IFERROR(__xludf.DUMMYFUNCTION("""COMPUTED_VALUE"""),"Beginner")</f>
        <v>Beginner</v>
      </c>
      <c r="D29" s="216" t="str">
        <f ca="1">IFERROR(__xludf.DUMMYFUNCTION("""COMPUTED_VALUE"""),"Developing Your Emotional Intelligence")</f>
        <v>Developing Your Emotional Intelligence</v>
      </c>
      <c r="E29" s="217"/>
      <c r="F29" s="213"/>
      <c r="G29" s="214"/>
      <c r="H29" s="215"/>
      <c r="I29" s="217"/>
      <c r="J29" s="217"/>
      <c r="K29" s="213"/>
      <c r="L29" s="215"/>
      <c r="M29" s="215"/>
      <c r="N29" s="217"/>
      <c r="O29" s="217"/>
      <c r="P29" s="213"/>
      <c r="Q29" s="215"/>
      <c r="R29" s="215"/>
      <c r="S29" s="217"/>
      <c r="T29" s="217"/>
      <c r="U29" s="213"/>
      <c r="V29" s="215"/>
      <c r="W29" s="215"/>
      <c r="X29" s="217"/>
      <c r="Y29" s="217"/>
      <c r="Z29" s="213"/>
      <c r="AA29" s="215"/>
      <c r="AB29" s="215"/>
      <c r="AC29" s="217"/>
      <c r="AD29" s="217"/>
      <c r="AE29" s="213"/>
      <c r="AF29" s="215"/>
      <c r="AG29" s="215"/>
      <c r="AH29" s="217"/>
      <c r="AI29" s="217"/>
      <c r="AJ29" s="213"/>
    </row>
    <row r="30" spans="1:36" ht="33.75" customHeight="1">
      <c r="A30" s="213"/>
      <c r="B30" s="214">
        <f ca="1">IFERROR(__xludf.DUMMYFUNCTION("""COMPUTED_VALUE"""),2835073)</f>
        <v>2835073</v>
      </c>
      <c r="C30" s="215" t="str">
        <f ca="1">IFERROR(__xludf.DUMMYFUNCTION("""COMPUTED_VALUE"""),"Beginner")</f>
        <v>Beginner</v>
      </c>
      <c r="D30" s="216" t="str">
        <f ca="1">IFERROR(__xludf.DUMMYFUNCTION("""COMPUTED_VALUE"""),"Meditations to Change Your Brain")</f>
        <v>Meditations to Change Your Brain</v>
      </c>
      <c r="E30" s="217"/>
      <c r="F30" s="213"/>
      <c r="G30" s="214"/>
      <c r="H30" s="215"/>
      <c r="I30" s="217"/>
      <c r="J30" s="217"/>
      <c r="K30" s="213"/>
      <c r="L30" s="215"/>
      <c r="M30" s="215"/>
      <c r="N30" s="217"/>
      <c r="O30" s="217"/>
      <c r="P30" s="213"/>
      <c r="Q30" s="215"/>
      <c r="R30" s="215"/>
      <c r="S30" s="217"/>
      <c r="T30" s="217"/>
      <c r="U30" s="213"/>
      <c r="V30" s="215"/>
      <c r="W30" s="215"/>
      <c r="X30" s="217"/>
      <c r="Y30" s="217"/>
      <c r="Z30" s="213"/>
      <c r="AA30" s="215"/>
      <c r="AB30" s="215"/>
      <c r="AC30" s="217"/>
      <c r="AD30" s="217"/>
      <c r="AE30" s="213"/>
      <c r="AF30" s="215"/>
      <c r="AG30" s="215"/>
      <c r="AH30" s="217"/>
      <c r="AI30" s="217"/>
      <c r="AJ30" s="213"/>
    </row>
    <row r="31" spans="1:36" ht="33.75" customHeight="1">
      <c r="A31" s="213"/>
      <c r="B31" s="214">
        <f ca="1">IFERROR(__xludf.DUMMYFUNCTION("""COMPUTED_VALUE"""),622054)</f>
        <v>622054</v>
      </c>
      <c r="C31" s="215" t="str">
        <f ca="1">IFERROR(__xludf.DUMMYFUNCTION("""COMPUTED_VALUE"""),"Beginner")</f>
        <v>Beginner</v>
      </c>
      <c r="D31" s="216" t="str">
        <f ca="1">IFERROR(__xludf.DUMMYFUNCTION("""COMPUTED_VALUE"""),"Developing Self-Awareness")</f>
        <v>Developing Self-Awareness</v>
      </c>
      <c r="E31" s="217"/>
      <c r="F31" s="213"/>
      <c r="G31" s="214"/>
      <c r="H31" s="215"/>
      <c r="I31" s="217"/>
      <c r="J31" s="217"/>
      <c r="K31" s="213"/>
      <c r="L31" s="215"/>
      <c r="M31" s="215"/>
      <c r="N31" s="217"/>
      <c r="O31" s="217"/>
      <c r="P31" s="213"/>
      <c r="Q31" s="215"/>
      <c r="R31" s="215"/>
      <c r="S31" s="217"/>
      <c r="T31" s="217"/>
      <c r="U31" s="213"/>
      <c r="V31" s="215"/>
      <c r="W31" s="215"/>
      <c r="X31" s="217"/>
      <c r="Y31" s="217"/>
      <c r="Z31" s="213"/>
      <c r="AA31" s="215"/>
      <c r="AB31" s="215"/>
      <c r="AC31" s="217"/>
      <c r="AD31" s="217"/>
      <c r="AE31" s="213"/>
      <c r="AF31" s="215"/>
      <c r="AG31" s="215"/>
      <c r="AH31" s="217"/>
      <c r="AI31" s="217"/>
      <c r="AJ31" s="213"/>
    </row>
    <row r="32" spans="1:36" ht="16">
      <c r="A32" s="213"/>
      <c r="B32" s="214">
        <f ca="1">IFERROR(__xludf.DUMMYFUNCTION("""COMPUTED_VALUE"""),2811713)</f>
        <v>2811713</v>
      </c>
      <c r="C32" s="215" t="str">
        <f ca="1">IFERROR(__xludf.DUMMYFUNCTION("""COMPUTED_VALUE"""),"Beginner")</f>
        <v>Beginner</v>
      </c>
      <c r="D32" s="216" t="str">
        <f ca="1">IFERROR(__xludf.DUMMYFUNCTION("""COMPUTED_VALUE"""),"Avoiding Burnout")</f>
        <v>Avoiding Burnout</v>
      </c>
      <c r="E32" s="217"/>
      <c r="F32" s="213"/>
      <c r="G32" s="214"/>
      <c r="H32" s="215"/>
      <c r="I32" s="217"/>
      <c r="J32" s="217"/>
      <c r="K32" s="213"/>
      <c r="L32" s="215"/>
      <c r="M32" s="215"/>
      <c r="N32" s="217"/>
      <c r="O32" s="217"/>
      <c r="P32" s="213"/>
      <c r="Q32" s="215"/>
      <c r="R32" s="215"/>
      <c r="S32" s="217"/>
      <c r="T32" s="217"/>
      <c r="U32" s="213"/>
      <c r="V32" s="215"/>
      <c r="W32" s="215"/>
      <c r="X32" s="217"/>
      <c r="Y32" s="217"/>
      <c r="Z32" s="213"/>
      <c r="AA32" s="215"/>
      <c r="AB32" s="215"/>
      <c r="AC32" s="217"/>
      <c r="AD32" s="217"/>
      <c r="AE32" s="213"/>
      <c r="AF32" s="215"/>
      <c r="AG32" s="215"/>
      <c r="AH32" s="217"/>
      <c r="AI32" s="217"/>
      <c r="AJ32" s="213"/>
    </row>
    <row r="33" spans="1:36" ht="33.75" customHeight="1">
      <c r="A33" s="213"/>
      <c r="B33" s="214">
        <f ca="1">IFERROR(__xludf.DUMMYFUNCTION("""COMPUTED_VALUE"""),2832004)</f>
        <v>2832004</v>
      </c>
      <c r="C33" s="215" t="str">
        <f ca="1">IFERROR(__xludf.DUMMYFUNCTION("""COMPUTED_VALUE"""),"Beginner")</f>
        <v>Beginner</v>
      </c>
      <c r="D33" s="216" t="str">
        <f ca="1">IFERROR(__xludf.DUMMYFUNCTION("""COMPUTED_VALUE"""),"Sky Yogi: Relax and Stretch for a Better Flight")</f>
        <v>Sky Yogi: Relax and Stretch for a Better Flight</v>
      </c>
      <c r="E33" s="217"/>
      <c r="F33" s="213"/>
      <c r="G33" s="214"/>
      <c r="H33" s="215"/>
      <c r="I33" s="217"/>
      <c r="J33" s="217"/>
      <c r="K33" s="213"/>
      <c r="L33" s="215"/>
      <c r="M33" s="215"/>
      <c r="N33" s="217"/>
      <c r="O33" s="217"/>
      <c r="P33" s="213"/>
      <c r="Q33" s="215"/>
      <c r="R33" s="215"/>
      <c r="S33" s="217"/>
      <c r="T33" s="217"/>
      <c r="U33" s="213"/>
      <c r="V33" s="215"/>
      <c r="W33" s="215"/>
      <c r="X33" s="217"/>
      <c r="Y33" s="217"/>
      <c r="Z33" s="213"/>
      <c r="AA33" s="215"/>
      <c r="AB33" s="215"/>
      <c r="AC33" s="217"/>
      <c r="AD33" s="217"/>
      <c r="AE33" s="213"/>
      <c r="AF33" s="215"/>
      <c r="AG33" s="215"/>
      <c r="AH33" s="217"/>
      <c r="AI33" s="217"/>
      <c r="AJ33" s="213"/>
    </row>
    <row r="34" spans="1:36" ht="33.75" customHeight="1">
      <c r="A34" s="213"/>
      <c r="B34" s="214">
        <f ca="1">IFERROR(__xludf.DUMMYFUNCTION("""COMPUTED_VALUE"""),2864355)</f>
        <v>2864355</v>
      </c>
      <c r="C34" s="215" t="str">
        <f ca="1">IFERROR(__xludf.DUMMYFUNCTION("""COMPUTED_VALUE"""),"Beginner")</f>
        <v>Beginner</v>
      </c>
      <c r="D34" s="216" t="str">
        <f ca="1">IFERROR(__xludf.DUMMYFUNCTION("""COMPUTED_VALUE"""),"Boost Emotional Intelligence with Mindfulness")</f>
        <v>Boost Emotional Intelligence with Mindfulness</v>
      </c>
      <c r="E34" s="217"/>
      <c r="F34" s="213"/>
      <c r="G34" s="214"/>
      <c r="H34" s="215"/>
      <c r="I34" s="217"/>
      <c r="J34" s="217"/>
      <c r="K34" s="213"/>
      <c r="L34" s="215"/>
      <c r="M34" s="215"/>
      <c r="N34" s="217"/>
      <c r="O34" s="217"/>
      <c r="P34" s="213"/>
      <c r="Q34" s="215"/>
      <c r="R34" s="215"/>
      <c r="S34" s="217"/>
      <c r="T34" s="217"/>
      <c r="U34" s="213"/>
      <c r="V34" s="215"/>
      <c r="W34" s="215"/>
      <c r="X34" s="217"/>
      <c r="Y34" s="217"/>
      <c r="Z34" s="213"/>
      <c r="AA34" s="215"/>
      <c r="AB34" s="215"/>
      <c r="AC34" s="217"/>
      <c r="AD34" s="217"/>
      <c r="AE34" s="213"/>
      <c r="AF34" s="215"/>
      <c r="AG34" s="215"/>
      <c r="AH34" s="217"/>
      <c r="AI34" s="217"/>
      <c r="AJ34" s="213"/>
    </row>
    <row r="35" spans="1:36" ht="33.75" customHeight="1">
      <c r="A35" s="213"/>
      <c r="B35" s="214">
        <f ca="1">IFERROR(__xludf.DUMMYFUNCTION("""COMPUTED_VALUE"""),2810626)</f>
        <v>2810626</v>
      </c>
      <c r="C35" s="215" t="str">
        <f ca="1">IFERROR(__xludf.DUMMYFUNCTION("""COMPUTED_VALUE"""),"Beginner")</f>
        <v>Beginner</v>
      </c>
      <c r="D35" s="216" t="str">
        <f ca="1">IFERROR(__xludf.DUMMYFUNCTION("""COMPUTED_VALUE"""),"Managing Stress")</f>
        <v>Managing Stress</v>
      </c>
      <c r="E35" s="217"/>
      <c r="F35" s="213"/>
      <c r="G35" s="214"/>
      <c r="H35" s="215"/>
      <c r="I35" s="217"/>
      <c r="J35" s="217"/>
      <c r="K35" s="213"/>
      <c r="L35" s="215"/>
      <c r="M35" s="215"/>
      <c r="N35" s="217"/>
      <c r="O35" s="217"/>
      <c r="P35" s="213"/>
      <c r="Q35" s="215"/>
      <c r="R35" s="215"/>
      <c r="S35" s="217"/>
      <c r="T35" s="217"/>
      <c r="U35" s="213"/>
      <c r="V35" s="215"/>
      <c r="W35" s="215"/>
      <c r="X35" s="217"/>
      <c r="Y35" s="217"/>
      <c r="Z35" s="213"/>
      <c r="AA35" s="215"/>
      <c r="AB35" s="215"/>
      <c r="AC35" s="217"/>
      <c r="AD35" s="217"/>
      <c r="AE35" s="213"/>
      <c r="AF35" s="215"/>
      <c r="AG35" s="215"/>
      <c r="AH35" s="217"/>
      <c r="AI35" s="217"/>
      <c r="AJ35" s="213"/>
    </row>
    <row r="36" spans="1:36" ht="33.75" customHeight="1">
      <c r="A36" s="213"/>
      <c r="B36" s="214">
        <f ca="1">IFERROR(__xludf.DUMMYFUNCTION("""COMPUTED_VALUE"""),599593)</f>
        <v>599593</v>
      </c>
      <c r="C36" s="215" t="str">
        <f ca="1">IFERROR(__xludf.DUMMYFUNCTION("""COMPUTED_VALUE"""),"Beginner")</f>
        <v>Beginner</v>
      </c>
      <c r="D36" s="216" t="str">
        <f ca="1">IFERROR(__xludf.DUMMYFUNCTION("""COMPUTED_VALUE"""),"Being Positive at Work")</f>
        <v>Being Positive at Work</v>
      </c>
      <c r="E36" s="217"/>
      <c r="F36" s="213"/>
      <c r="G36" s="214"/>
      <c r="H36" s="215"/>
      <c r="I36" s="217"/>
      <c r="J36" s="217"/>
      <c r="K36" s="213"/>
      <c r="L36" s="215"/>
      <c r="M36" s="215"/>
      <c r="N36" s="217"/>
      <c r="O36" s="217"/>
      <c r="P36" s="213"/>
      <c r="Q36" s="215"/>
      <c r="R36" s="215"/>
      <c r="S36" s="217"/>
      <c r="T36" s="217"/>
      <c r="U36" s="213"/>
      <c r="V36" s="215"/>
      <c r="W36" s="215"/>
      <c r="X36" s="217"/>
      <c r="Y36" s="217"/>
      <c r="Z36" s="213"/>
      <c r="AA36" s="215"/>
      <c r="AB36" s="215"/>
      <c r="AC36" s="217"/>
      <c r="AD36" s="217"/>
      <c r="AE36" s="213"/>
      <c r="AF36" s="215"/>
      <c r="AG36" s="215"/>
      <c r="AH36" s="217"/>
      <c r="AI36" s="217"/>
      <c r="AJ36" s="213"/>
    </row>
    <row r="37" spans="1:36" ht="33.75" customHeight="1">
      <c r="A37" s="213"/>
      <c r="B37" s="214">
        <f ca="1">IFERROR(__xludf.DUMMYFUNCTION("""COMPUTED_VALUE"""),2367359)</f>
        <v>2367359</v>
      </c>
      <c r="C37" s="215" t="str">
        <f ca="1">IFERROR(__xludf.DUMMYFUNCTION("""COMPUTED_VALUE"""),"Beginner")</f>
        <v>Beginner</v>
      </c>
      <c r="D37" s="216" t="str">
        <f ca="1">IFERROR(__xludf.DUMMYFUNCTION("""COMPUTED_VALUE"""),"How to Make Work More Meaningful")</f>
        <v>How to Make Work More Meaningful</v>
      </c>
      <c r="E37" s="217"/>
      <c r="F37" s="213"/>
      <c r="G37" s="214"/>
      <c r="H37" s="215"/>
      <c r="I37" s="217"/>
      <c r="J37" s="217"/>
      <c r="K37" s="213"/>
      <c r="L37" s="215"/>
      <c r="M37" s="215"/>
      <c r="N37" s="217"/>
      <c r="O37" s="217"/>
      <c r="P37" s="213"/>
      <c r="Q37" s="215"/>
      <c r="R37" s="215"/>
      <c r="S37" s="217"/>
      <c r="T37" s="217"/>
      <c r="U37" s="213"/>
      <c r="V37" s="215"/>
      <c r="W37" s="215"/>
      <c r="X37" s="217"/>
      <c r="Y37" s="217"/>
      <c r="Z37" s="213"/>
      <c r="AA37" s="215"/>
      <c r="AB37" s="215"/>
      <c r="AC37" s="217"/>
      <c r="AD37" s="217"/>
      <c r="AE37" s="213"/>
      <c r="AF37" s="215"/>
      <c r="AG37" s="215"/>
      <c r="AH37" s="217"/>
      <c r="AI37" s="217"/>
      <c r="AJ37" s="213"/>
    </row>
    <row r="38" spans="1:36" ht="33.75" customHeight="1">
      <c r="A38" s="213"/>
      <c r="B38" s="214">
        <f ca="1">IFERROR(__xludf.DUMMYFUNCTION("""COMPUTED_VALUE"""),2878127)</f>
        <v>2878127</v>
      </c>
      <c r="C38" s="215" t="str">
        <f ca="1">IFERROR(__xludf.DUMMYFUNCTION("""COMPUTED_VALUE"""),"Beginner")</f>
        <v>Beginner</v>
      </c>
      <c r="D38" s="216" t="str">
        <f ca="1">IFERROR(__xludf.DUMMYFUNCTION("""COMPUTED_VALUE"""),"Mindful Productivity")</f>
        <v>Mindful Productivity</v>
      </c>
      <c r="E38" s="217"/>
      <c r="F38" s="213"/>
      <c r="G38" s="214"/>
      <c r="H38" s="215"/>
      <c r="I38" s="217"/>
      <c r="J38" s="217"/>
      <c r="K38" s="213"/>
      <c r="L38" s="215"/>
      <c r="M38" s="215"/>
      <c r="N38" s="217"/>
      <c r="O38" s="217"/>
      <c r="P38" s="213"/>
      <c r="Q38" s="215"/>
      <c r="R38" s="215"/>
      <c r="S38" s="217"/>
      <c r="T38" s="217"/>
      <c r="U38" s="213"/>
      <c r="V38" s="215"/>
      <c r="W38" s="215"/>
      <c r="X38" s="217"/>
      <c r="Y38" s="217"/>
      <c r="Z38" s="213"/>
      <c r="AA38" s="215"/>
      <c r="AB38" s="215"/>
      <c r="AC38" s="217"/>
      <c r="AD38" s="217"/>
      <c r="AE38" s="213"/>
      <c r="AF38" s="215"/>
      <c r="AG38" s="215"/>
      <c r="AH38" s="217"/>
      <c r="AI38" s="217"/>
      <c r="AJ38" s="213"/>
    </row>
    <row r="39" spans="1:36" ht="33.75" customHeight="1">
      <c r="A39" s="213"/>
      <c r="B39" s="214">
        <f ca="1">IFERROR(__xludf.DUMMYFUNCTION("""COMPUTED_VALUE"""),2874215)</f>
        <v>2874215</v>
      </c>
      <c r="C39" s="215" t="str">
        <f ca="1">IFERROR(__xludf.DUMMYFUNCTION("""COMPUTED_VALUE"""),"Beginner")</f>
        <v>Beginner</v>
      </c>
      <c r="D39" s="216" t="str">
        <f ca="1">IFERROR(__xludf.DUMMYFUNCTION("""COMPUTED_VALUE"""),"Embracing Change with Mindfulness")</f>
        <v>Embracing Change with Mindfulness</v>
      </c>
      <c r="E39" s="217"/>
      <c r="F39" s="213"/>
      <c r="G39" s="214"/>
      <c r="H39" s="215"/>
      <c r="I39" s="217"/>
      <c r="J39" s="217"/>
      <c r="K39" s="213"/>
      <c r="L39" s="215"/>
      <c r="M39" s="215"/>
      <c r="N39" s="217"/>
      <c r="O39" s="217"/>
      <c r="P39" s="213"/>
      <c r="Q39" s="215"/>
      <c r="R39" s="215"/>
      <c r="S39" s="217"/>
      <c r="T39" s="217"/>
      <c r="U39" s="213"/>
      <c r="V39" s="215"/>
      <c r="W39" s="215"/>
      <c r="X39" s="217"/>
      <c r="Y39" s="217"/>
      <c r="Z39" s="213"/>
      <c r="AA39" s="215"/>
      <c r="AB39" s="215"/>
      <c r="AC39" s="217"/>
      <c r="AD39" s="217"/>
      <c r="AE39" s="213"/>
      <c r="AF39" s="215"/>
      <c r="AG39" s="215"/>
      <c r="AH39" s="217"/>
      <c r="AI39" s="217"/>
      <c r="AJ39" s="213"/>
    </row>
    <row r="40" spans="1:36" ht="33.75" customHeight="1">
      <c r="A40" s="213"/>
      <c r="B40" s="214">
        <f ca="1">IFERROR(__xludf.DUMMYFUNCTION("""COMPUTED_VALUE"""),2875261)</f>
        <v>2875261</v>
      </c>
      <c r="C40" s="215" t="str">
        <f ca="1">IFERROR(__xludf.DUMMYFUNCTION("""COMPUTED_VALUE"""),"Beginner")</f>
        <v>Beginner</v>
      </c>
      <c r="D40" s="216" t="str">
        <f ca="1">IFERROR(__xludf.DUMMYFUNCTION("""COMPUTED_VALUE"""),"Winding Down: Get a Better Night’s Sleep")</f>
        <v>Winding Down: Get a Better Night’s Sleep</v>
      </c>
      <c r="E40" s="217"/>
      <c r="F40" s="213"/>
      <c r="G40" s="214"/>
      <c r="H40" s="215"/>
      <c r="I40" s="217"/>
      <c r="J40" s="217"/>
      <c r="K40" s="213"/>
      <c r="L40" s="215"/>
      <c r="M40" s="215"/>
      <c r="N40" s="217"/>
      <c r="O40" s="217"/>
      <c r="P40" s="213"/>
      <c r="Q40" s="215"/>
      <c r="R40" s="215"/>
      <c r="S40" s="217"/>
      <c r="T40" s="217"/>
      <c r="U40" s="213"/>
      <c r="V40" s="215"/>
      <c r="W40" s="215"/>
      <c r="X40" s="217"/>
      <c r="Y40" s="217"/>
      <c r="Z40" s="213"/>
      <c r="AA40" s="215"/>
      <c r="AB40" s="215"/>
      <c r="AC40" s="217"/>
      <c r="AD40" s="217"/>
      <c r="AE40" s="213"/>
      <c r="AF40" s="215"/>
      <c r="AG40" s="215"/>
      <c r="AH40" s="217"/>
      <c r="AI40" s="217"/>
      <c r="AJ40" s="213"/>
    </row>
    <row r="41" spans="1:36" ht="33.75" customHeight="1">
      <c r="A41" s="213"/>
      <c r="B41" s="214">
        <f ca="1">IFERROR(__xludf.DUMMYFUNCTION("""COMPUTED_VALUE"""),2875262)</f>
        <v>2875262</v>
      </c>
      <c r="C41" s="215" t="str">
        <f ca="1">IFERROR(__xludf.DUMMYFUNCTION("""COMPUTED_VALUE"""),"Beginner")</f>
        <v>Beginner</v>
      </c>
      <c r="D41" s="216" t="str">
        <f ca="1">IFERROR(__xludf.DUMMYFUNCTION("""COMPUTED_VALUE"""),"Mindful Stress Management")</f>
        <v>Mindful Stress Management</v>
      </c>
      <c r="E41" s="217"/>
      <c r="F41" s="213"/>
      <c r="G41" s="214"/>
      <c r="H41" s="215"/>
      <c r="I41" s="217"/>
      <c r="J41" s="217"/>
      <c r="K41" s="213"/>
      <c r="L41" s="215"/>
      <c r="M41" s="215"/>
      <c r="N41" s="217"/>
      <c r="O41" s="217"/>
      <c r="P41" s="213"/>
      <c r="Q41" s="215"/>
      <c r="R41" s="215"/>
      <c r="S41" s="217"/>
      <c r="T41" s="217"/>
      <c r="U41" s="213"/>
      <c r="V41" s="215"/>
      <c r="W41" s="215"/>
      <c r="X41" s="217"/>
      <c r="Y41" s="217"/>
      <c r="Z41" s="213"/>
      <c r="AA41" s="215"/>
      <c r="AB41" s="215"/>
      <c r="AC41" s="217"/>
      <c r="AD41" s="217"/>
      <c r="AE41" s="213"/>
      <c r="AF41" s="215"/>
      <c r="AG41" s="215"/>
      <c r="AH41" s="217"/>
      <c r="AI41" s="217"/>
      <c r="AJ41" s="213"/>
    </row>
    <row r="42" spans="1:36" ht="33.75" customHeight="1">
      <c r="A42" s="213"/>
      <c r="B42" s="214">
        <f ca="1">IFERROR(__xludf.DUMMYFUNCTION("""COMPUTED_VALUE"""),2875381)</f>
        <v>2875381</v>
      </c>
      <c r="C42" s="215" t="str">
        <f ca="1">IFERROR(__xludf.DUMMYFUNCTION("""COMPUTED_VALUE"""),"Beginner")</f>
        <v>Beginner</v>
      </c>
      <c r="D42" s="216" t="str">
        <f ca="1">IFERROR(__xludf.DUMMYFUNCTION("""COMPUTED_VALUE"""),"Introduction to Gratitude Meditation")</f>
        <v>Introduction to Gratitude Meditation</v>
      </c>
      <c r="E42" s="217"/>
      <c r="F42" s="213"/>
      <c r="G42" s="214"/>
      <c r="H42" s="215"/>
      <c r="I42" s="217"/>
      <c r="J42" s="217"/>
      <c r="K42" s="213"/>
      <c r="L42" s="215"/>
      <c r="M42" s="215"/>
      <c r="N42" s="217"/>
      <c r="O42" s="217"/>
      <c r="P42" s="213"/>
      <c r="Q42" s="215"/>
      <c r="R42" s="215"/>
      <c r="S42" s="217"/>
      <c r="T42" s="217"/>
      <c r="U42" s="213"/>
      <c r="V42" s="215"/>
      <c r="W42" s="215"/>
      <c r="X42" s="217"/>
      <c r="Y42" s="217"/>
      <c r="Z42" s="213"/>
      <c r="AA42" s="215"/>
      <c r="AB42" s="215"/>
      <c r="AC42" s="217"/>
      <c r="AD42" s="217"/>
      <c r="AE42" s="213"/>
      <c r="AF42" s="215"/>
      <c r="AG42" s="215"/>
      <c r="AH42" s="217"/>
      <c r="AI42" s="217"/>
      <c r="AJ42" s="213"/>
    </row>
    <row r="43" spans="1:36" ht="33.75" customHeight="1">
      <c r="A43" s="213"/>
      <c r="B43" s="214">
        <f ca="1">IFERROR(__xludf.DUMMYFUNCTION("""COMPUTED_VALUE"""),2875382)</f>
        <v>2875382</v>
      </c>
      <c r="C43" s="215" t="str">
        <f ca="1">IFERROR(__xludf.DUMMYFUNCTION("""COMPUTED_VALUE"""),"Beginner")</f>
        <v>Beginner</v>
      </c>
      <c r="D43" s="216" t="str">
        <f ca="1">IFERROR(__xludf.DUMMYFUNCTION("""COMPUTED_VALUE"""),"Introduction to Mind Like Sky Meditation")</f>
        <v>Introduction to Mind Like Sky Meditation</v>
      </c>
      <c r="E43" s="217"/>
      <c r="F43" s="213"/>
      <c r="G43" s="214"/>
      <c r="H43" s="215"/>
      <c r="I43" s="217"/>
      <c r="J43" s="217"/>
      <c r="K43" s="213"/>
      <c r="L43" s="215"/>
      <c r="M43" s="215"/>
      <c r="N43" s="217"/>
      <c r="O43" s="217"/>
      <c r="P43" s="213"/>
      <c r="Q43" s="215"/>
      <c r="R43" s="215"/>
      <c r="S43" s="217"/>
      <c r="T43" s="217"/>
      <c r="U43" s="213"/>
      <c r="V43" s="215"/>
      <c r="W43" s="215"/>
      <c r="X43" s="217"/>
      <c r="Y43" s="217"/>
      <c r="Z43" s="213"/>
      <c r="AA43" s="215"/>
      <c r="AB43" s="215"/>
      <c r="AC43" s="217"/>
      <c r="AD43" s="217"/>
      <c r="AE43" s="213"/>
      <c r="AF43" s="215"/>
      <c r="AG43" s="215"/>
      <c r="AH43" s="217"/>
      <c r="AI43" s="217"/>
      <c r="AJ43" s="213"/>
    </row>
    <row r="44" spans="1:36" ht="33.75" customHeight="1">
      <c r="A44" s="213"/>
      <c r="B44" s="214">
        <f ca="1">IFERROR(__xludf.DUMMYFUNCTION("""COMPUTED_VALUE"""),2876325)</f>
        <v>2876325</v>
      </c>
      <c r="C44" s="215" t="str">
        <f ca="1">IFERROR(__xludf.DUMMYFUNCTION("""COMPUTED_VALUE"""),"Beginner")</f>
        <v>Beginner</v>
      </c>
      <c r="D44" s="216" t="str">
        <f ca="1">IFERROR(__xludf.DUMMYFUNCTION("""COMPUTED_VALUE"""),"Introduction to Loving-Kindness Meditation")</f>
        <v>Introduction to Loving-Kindness Meditation</v>
      </c>
      <c r="E44" s="217"/>
      <c r="F44" s="213"/>
      <c r="G44" s="214"/>
      <c r="H44" s="215"/>
      <c r="I44" s="217"/>
      <c r="J44" s="217"/>
      <c r="K44" s="213"/>
      <c r="L44" s="215"/>
      <c r="M44" s="215"/>
      <c r="N44" s="217"/>
      <c r="O44" s="217"/>
      <c r="P44" s="213"/>
      <c r="Q44" s="215"/>
      <c r="R44" s="215"/>
      <c r="S44" s="217"/>
      <c r="T44" s="217"/>
      <c r="U44" s="213"/>
      <c r="V44" s="215"/>
      <c r="W44" s="215"/>
      <c r="X44" s="217"/>
      <c r="Y44" s="217"/>
      <c r="Z44" s="213"/>
      <c r="AA44" s="215"/>
      <c r="AB44" s="215"/>
      <c r="AC44" s="217"/>
      <c r="AD44" s="217"/>
      <c r="AE44" s="213"/>
      <c r="AF44" s="215"/>
      <c r="AG44" s="215"/>
      <c r="AH44" s="217"/>
      <c r="AI44" s="217"/>
      <c r="AJ44" s="213"/>
    </row>
    <row r="45" spans="1:36" ht="33.75" customHeight="1">
      <c r="A45" s="213"/>
      <c r="B45" s="214">
        <f ca="1">IFERROR(__xludf.DUMMYFUNCTION("""COMPUTED_VALUE"""),2876326)</f>
        <v>2876326</v>
      </c>
      <c r="C45" s="215" t="str">
        <f ca="1">IFERROR(__xludf.DUMMYFUNCTION("""COMPUTED_VALUE"""),"Beginner")</f>
        <v>Beginner</v>
      </c>
      <c r="D45" s="216" t="str">
        <f ca="1">IFERROR(__xludf.DUMMYFUNCTION("""COMPUTED_VALUE"""),"Introduction to Forgiveness Meditation")</f>
        <v>Introduction to Forgiveness Meditation</v>
      </c>
      <c r="E45" s="217"/>
      <c r="F45" s="213"/>
      <c r="G45" s="214"/>
      <c r="H45" s="215"/>
      <c r="I45" s="217"/>
      <c r="J45" s="217"/>
      <c r="K45" s="213"/>
      <c r="L45" s="215"/>
      <c r="M45" s="215"/>
      <c r="N45" s="217"/>
      <c r="O45" s="217"/>
      <c r="P45" s="213"/>
      <c r="Q45" s="215"/>
      <c r="R45" s="215"/>
      <c r="S45" s="217"/>
      <c r="T45" s="217"/>
      <c r="U45" s="213"/>
      <c r="V45" s="215"/>
      <c r="W45" s="215"/>
      <c r="X45" s="217"/>
      <c r="Y45" s="217"/>
      <c r="Z45" s="213"/>
      <c r="AA45" s="215"/>
      <c r="AB45" s="215"/>
      <c r="AC45" s="217"/>
      <c r="AD45" s="217"/>
      <c r="AE45" s="213"/>
      <c r="AF45" s="215"/>
      <c r="AG45" s="215"/>
      <c r="AH45" s="217"/>
      <c r="AI45" s="217"/>
      <c r="AJ45" s="213"/>
    </row>
    <row r="46" spans="1:36" ht="33.75" customHeight="1">
      <c r="A46" s="213"/>
      <c r="B46" s="214">
        <f ca="1">IFERROR(__xludf.DUMMYFUNCTION("""COMPUTED_VALUE"""),2877360)</f>
        <v>2877360</v>
      </c>
      <c r="C46" s="215" t="str">
        <f ca="1">IFERROR(__xludf.DUMMYFUNCTION("""COMPUTED_VALUE"""),"Beginner")</f>
        <v>Beginner</v>
      </c>
      <c r="D46" s="216" t="str">
        <f ca="1">IFERROR(__xludf.DUMMYFUNCTION("""COMPUTED_VALUE"""),"Introduction to Visualization Meditation")</f>
        <v>Introduction to Visualization Meditation</v>
      </c>
      <c r="E46" s="217"/>
      <c r="F46" s="213"/>
      <c r="G46" s="214"/>
      <c r="H46" s="215"/>
      <c r="I46" s="217"/>
      <c r="J46" s="217"/>
      <c r="K46" s="213"/>
      <c r="L46" s="215"/>
      <c r="M46" s="215"/>
      <c r="N46" s="217"/>
      <c r="O46" s="217"/>
      <c r="P46" s="213"/>
      <c r="Q46" s="215"/>
      <c r="R46" s="215"/>
      <c r="S46" s="217"/>
      <c r="T46" s="217"/>
      <c r="U46" s="213"/>
      <c r="V46" s="215"/>
      <c r="W46" s="215"/>
      <c r="X46" s="217"/>
      <c r="Y46" s="217"/>
      <c r="Z46" s="213"/>
      <c r="AA46" s="215"/>
      <c r="AB46" s="215"/>
      <c r="AC46" s="217"/>
      <c r="AD46" s="217"/>
      <c r="AE46" s="213"/>
      <c r="AF46" s="215"/>
      <c r="AG46" s="215"/>
      <c r="AH46" s="217"/>
      <c r="AI46" s="217"/>
      <c r="AJ46" s="213"/>
    </row>
    <row r="47" spans="1:36" ht="33.75" customHeight="1">
      <c r="A47" s="213"/>
      <c r="B47" s="214">
        <f ca="1">IFERROR(__xludf.DUMMYFUNCTION("""COMPUTED_VALUE"""),2874216)</f>
        <v>2874216</v>
      </c>
      <c r="C47" s="215" t="str">
        <f ca="1">IFERROR(__xludf.DUMMYFUNCTION("""COMPUTED_VALUE"""),"Beginner")</f>
        <v>Beginner</v>
      </c>
      <c r="D47" s="216" t="str">
        <f ca="1">IFERROR(__xludf.DUMMYFUNCTION("""COMPUTED_VALUE"""),"Mindful Leadership")</f>
        <v>Mindful Leadership</v>
      </c>
      <c r="E47" s="217"/>
      <c r="F47" s="213"/>
      <c r="G47" s="214"/>
      <c r="H47" s="215"/>
      <c r="I47" s="217"/>
      <c r="J47" s="217"/>
      <c r="K47" s="213"/>
      <c r="L47" s="215"/>
      <c r="M47" s="215"/>
      <c r="N47" s="217"/>
      <c r="O47" s="217"/>
      <c r="P47" s="213"/>
      <c r="Q47" s="215"/>
      <c r="R47" s="215"/>
      <c r="S47" s="217"/>
      <c r="T47" s="217"/>
      <c r="U47" s="213"/>
      <c r="V47" s="215"/>
      <c r="W47" s="215"/>
      <c r="X47" s="217"/>
      <c r="Y47" s="217"/>
      <c r="Z47" s="213"/>
      <c r="AA47" s="215"/>
      <c r="AB47" s="215"/>
      <c r="AC47" s="217"/>
      <c r="AD47" s="217"/>
      <c r="AE47" s="213"/>
      <c r="AF47" s="215"/>
      <c r="AG47" s="215"/>
      <c r="AH47" s="217"/>
      <c r="AI47" s="217"/>
      <c r="AJ47" s="213"/>
    </row>
    <row r="48" spans="1:36" ht="33.75" customHeight="1">
      <c r="A48" s="213"/>
      <c r="B48" s="214">
        <f ca="1">IFERROR(__xludf.DUMMYFUNCTION("""COMPUTED_VALUE"""),2885014)</f>
        <v>2885014</v>
      </c>
      <c r="C48" s="215" t="str">
        <f ca="1">IFERROR(__xludf.DUMMYFUNCTION("""COMPUTED_VALUE"""),"Beginner")</f>
        <v>Beginner</v>
      </c>
      <c r="D48" s="216" t="str">
        <f ca="1">IFERROR(__xludf.DUMMYFUNCTION("""COMPUTED_VALUE"""),"Creating Flow")</f>
        <v>Creating Flow</v>
      </c>
      <c r="E48" s="217"/>
      <c r="F48" s="213"/>
      <c r="G48" s="214"/>
      <c r="H48" s="215"/>
      <c r="I48" s="217"/>
      <c r="J48" s="217"/>
      <c r="K48" s="213"/>
      <c r="L48" s="215"/>
      <c r="M48" s="215"/>
      <c r="N48" s="217"/>
      <c r="O48" s="217"/>
      <c r="P48" s="213"/>
      <c r="Q48" s="215"/>
      <c r="R48" s="215"/>
      <c r="S48" s="217"/>
      <c r="T48" s="217"/>
      <c r="U48" s="213"/>
      <c r="V48" s="215"/>
      <c r="W48" s="215"/>
      <c r="X48" s="217"/>
      <c r="Y48" s="217"/>
      <c r="Z48" s="213"/>
      <c r="AA48" s="215"/>
      <c r="AB48" s="215"/>
      <c r="AC48" s="217"/>
      <c r="AD48" s="217"/>
      <c r="AE48" s="213"/>
      <c r="AF48" s="215"/>
      <c r="AG48" s="215"/>
      <c r="AH48" s="217"/>
      <c r="AI48" s="217"/>
      <c r="AJ48" s="213"/>
    </row>
    <row r="49" spans="1:36" ht="33.75" customHeight="1">
      <c r="A49" s="213"/>
      <c r="B49" s="214">
        <f ca="1">IFERROR(__xludf.DUMMYFUNCTION("""COMPUTED_VALUE"""),2878239)</f>
        <v>2878239</v>
      </c>
      <c r="C49" s="215" t="str">
        <f ca="1">IFERROR(__xludf.DUMMYFUNCTION("""COMPUTED_VALUE"""),"Beginner")</f>
        <v>Beginner</v>
      </c>
      <c r="D49" s="216" t="str">
        <f ca="1">IFERROR(__xludf.DUMMYFUNCTION("""COMPUTED_VALUE"""),"Overcoming Rejection")</f>
        <v>Overcoming Rejection</v>
      </c>
      <c r="E49" s="217"/>
      <c r="F49" s="213"/>
      <c r="G49" s="214"/>
      <c r="H49" s="215"/>
      <c r="I49" s="217"/>
      <c r="J49" s="217"/>
      <c r="K49" s="213"/>
      <c r="L49" s="215"/>
      <c r="M49" s="215"/>
      <c r="N49" s="217"/>
      <c r="O49" s="217"/>
      <c r="P49" s="213"/>
      <c r="Q49" s="215"/>
      <c r="R49" s="215"/>
      <c r="S49" s="217"/>
      <c r="T49" s="217"/>
      <c r="U49" s="213"/>
      <c r="V49" s="215"/>
      <c r="W49" s="215"/>
      <c r="X49" s="217"/>
      <c r="Y49" s="217"/>
      <c r="Z49" s="213"/>
      <c r="AA49" s="215"/>
      <c r="AB49" s="215"/>
      <c r="AC49" s="217"/>
      <c r="AD49" s="217"/>
      <c r="AE49" s="213"/>
      <c r="AF49" s="215"/>
      <c r="AG49" s="215"/>
      <c r="AH49" s="217"/>
      <c r="AI49" s="217"/>
      <c r="AJ49" s="213"/>
    </row>
    <row r="50" spans="1:36" ht="33.75" customHeight="1">
      <c r="A50" s="213"/>
      <c r="B50" s="214">
        <f ca="1">IFERROR(__xludf.DUMMYFUNCTION("""COMPUTED_VALUE"""),2887335)</f>
        <v>2887335</v>
      </c>
      <c r="C50" s="215" t="str">
        <f ca="1">IFERROR(__xludf.DUMMYFUNCTION("""COMPUTED_VALUE"""),"Beginner")</f>
        <v>Beginner</v>
      </c>
      <c r="D50" s="216" t="str">
        <f ca="1">IFERROR(__xludf.DUMMYFUNCTION("""COMPUTED_VALUE"""),"How to Be Both Assertive and Likable")</f>
        <v>How to Be Both Assertive and Likable</v>
      </c>
      <c r="E50" s="217"/>
      <c r="F50" s="213"/>
      <c r="G50" s="214"/>
      <c r="H50" s="215"/>
      <c r="I50" s="217"/>
      <c r="J50" s="217"/>
      <c r="K50" s="213"/>
      <c r="L50" s="215"/>
      <c r="M50" s="215"/>
      <c r="N50" s="217"/>
      <c r="O50" s="217"/>
      <c r="P50" s="213"/>
      <c r="Q50" s="215"/>
      <c r="R50" s="215"/>
      <c r="S50" s="217"/>
      <c r="T50" s="217"/>
      <c r="U50" s="213"/>
      <c r="V50" s="215"/>
      <c r="W50" s="215"/>
      <c r="X50" s="217"/>
      <c r="Y50" s="217"/>
      <c r="Z50" s="213"/>
      <c r="AA50" s="215"/>
      <c r="AB50" s="215"/>
      <c r="AC50" s="217"/>
      <c r="AD50" s="217"/>
      <c r="AE50" s="213"/>
      <c r="AF50" s="215"/>
      <c r="AG50" s="215"/>
      <c r="AH50" s="217"/>
      <c r="AI50" s="217"/>
      <c r="AJ50" s="213"/>
    </row>
    <row r="51" spans="1:36" ht="33.75" customHeight="1">
      <c r="A51" s="213"/>
      <c r="B51" s="214">
        <f ca="1">IFERROR(__xludf.DUMMYFUNCTION("""COMPUTED_VALUE"""),2881185)</f>
        <v>2881185</v>
      </c>
      <c r="C51" s="215" t="str">
        <f ca="1">IFERROR(__xludf.DUMMYFUNCTION("""COMPUTED_VALUE"""),"Beginner")</f>
        <v>Beginner</v>
      </c>
      <c r="D51" s="216" t="str">
        <f ca="1">IFERROR(__xludf.DUMMYFUNCTION("""COMPUTED_VALUE"""),"Pushing Past Your Prior Limits")</f>
        <v>Pushing Past Your Prior Limits</v>
      </c>
      <c r="E51" s="217"/>
      <c r="F51" s="213"/>
      <c r="G51" s="214"/>
      <c r="H51" s="215"/>
      <c r="I51" s="217"/>
      <c r="J51" s="217"/>
      <c r="K51" s="213"/>
      <c r="L51" s="215"/>
      <c r="M51" s="215"/>
      <c r="N51" s="217"/>
      <c r="O51" s="217"/>
      <c r="P51" s="213"/>
      <c r="Q51" s="215"/>
      <c r="R51" s="215"/>
      <c r="S51" s="217"/>
      <c r="T51" s="217"/>
      <c r="U51" s="213"/>
      <c r="V51" s="215"/>
      <c r="W51" s="215"/>
      <c r="X51" s="217"/>
      <c r="Y51" s="217"/>
      <c r="Z51" s="213"/>
      <c r="AA51" s="215"/>
      <c r="AB51" s="215"/>
      <c r="AC51" s="217"/>
      <c r="AD51" s="217"/>
      <c r="AE51" s="213"/>
      <c r="AF51" s="215"/>
      <c r="AG51" s="215"/>
      <c r="AH51" s="217"/>
      <c r="AI51" s="217"/>
      <c r="AJ51" s="213"/>
    </row>
    <row r="52" spans="1:36" ht="33.75" customHeight="1">
      <c r="A52" s="213"/>
      <c r="B52" s="214">
        <f ca="1">IFERROR(__xludf.DUMMYFUNCTION("""COMPUTED_VALUE"""),2881186)</f>
        <v>2881186</v>
      </c>
      <c r="C52" s="215" t="str">
        <f ca="1">IFERROR(__xludf.DUMMYFUNCTION("""COMPUTED_VALUE"""),"Beginner")</f>
        <v>Beginner</v>
      </c>
      <c r="D52" s="216" t="str">
        <f ca="1">IFERROR(__xludf.DUMMYFUNCTION("""COMPUTED_VALUE"""),"Establishing Evening Routines to Optimize the Day Ahead")</f>
        <v>Establishing Evening Routines to Optimize the Day Ahead</v>
      </c>
      <c r="E52" s="217"/>
      <c r="F52" s="213"/>
      <c r="G52" s="214"/>
      <c r="H52" s="215"/>
      <c r="I52" s="217"/>
      <c r="J52" s="217"/>
      <c r="K52" s="213"/>
      <c r="L52" s="215"/>
      <c r="M52" s="215"/>
      <c r="N52" s="217"/>
      <c r="O52" s="217"/>
      <c r="P52" s="213"/>
      <c r="Q52" s="215"/>
      <c r="R52" s="215"/>
      <c r="S52" s="217"/>
      <c r="T52" s="217"/>
      <c r="U52" s="213"/>
      <c r="V52" s="215"/>
      <c r="W52" s="215"/>
      <c r="X52" s="217"/>
      <c r="Y52" s="217"/>
      <c r="Z52" s="213"/>
      <c r="AA52" s="215"/>
      <c r="AB52" s="215"/>
      <c r="AC52" s="217"/>
      <c r="AD52" s="217"/>
      <c r="AE52" s="213"/>
      <c r="AF52" s="215"/>
      <c r="AG52" s="215"/>
      <c r="AH52" s="217"/>
      <c r="AI52" s="217"/>
      <c r="AJ52" s="213"/>
    </row>
    <row r="53" spans="1:36" ht="33.75" customHeight="1">
      <c r="A53" s="213"/>
      <c r="B53" s="214">
        <f ca="1">IFERROR(__xludf.DUMMYFUNCTION("""COMPUTED_VALUE"""),2883153)</f>
        <v>2883153</v>
      </c>
      <c r="C53" s="215" t="str">
        <f ca="1">IFERROR(__xludf.DUMMYFUNCTION("""COMPUTED_VALUE"""),"Beginner")</f>
        <v>Beginner</v>
      </c>
      <c r="D53" s="216" t="str">
        <f ca="1">IFERROR(__xludf.DUMMYFUNCTION("""COMPUTED_VALUE"""),"Achieving More through Smart Energy Management")</f>
        <v>Achieving More through Smart Energy Management</v>
      </c>
      <c r="E53" s="217"/>
      <c r="F53" s="213"/>
      <c r="G53" s="214"/>
      <c r="H53" s="215"/>
      <c r="I53" s="217"/>
      <c r="J53" s="217"/>
      <c r="K53" s="213"/>
      <c r="L53" s="215"/>
      <c r="M53" s="215"/>
      <c r="N53" s="217"/>
      <c r="O53" s="217"/>
      <c r="P53" s="213"/>
      <c r="Q53" s="215"/>
      <c r="R53" s="215"/>
      <c r="S53" s="217"/>
      <c r="T53" s="217"/>
      <c r="U53" s="213"/>
      <c r="V53" s="215"/>
      <c r="W53" s="215"/>
      <c r="X53" s="217"/>
      <c r="Y53" s="217"/>
      <c r="Z53" s="213"/>
      <c r="AA53" s="215"/>
      <c r="AB53" s="215"/>
      <c r="AC53" s="217"/>
      <c r="AD53" s="217"/>
      <c r="AE53" s="213"/>
      <c r="AF53" s="215"/>
      <c r="AG53" s="215"/>
      <c r="AH53" s="217"/>
      <c r="AI53" s="217"/>
      <c r="AJ53" s="213"/>
    </row>
    <row r="54" spans="1:36" ht="33.75" customHeight="1">
      <c r="A54" s="213"/>
      <c r="B54" s="214">
        <f ca="1">IFERROR(__xludf.DUMMYFUNCTION("""COMPUTED_VALUE"""),2887230)</f>
        <v>2887230</v>
      </c>
      <c r="C54" s="215" t="str">
        <f ca="1">IFERROR(__xludf.DUMMYFUNCTION("""COMPUTED_VALUE"""),"Beginner")</f>
        <v>Beginner</v>
      </c>
      <c r="D54" s="216" t="str">
        <f ca="1">IFERROR(__xludf.DUMMYFUNCTION("""COMPUTED_VALUE"""),"Confidence: How to Overcome Self-Doubt, Insecurity, and Fears")</f>
        <v>Confidence: How to Overcome Self-Doubt, Insecurity, and Fears</v>
      </c>
      <c r="E54" s="217"/>
      <c r="F54" s="213"/>
      <c r="G54" s="214"/>
      <c r="H54" s="215"/>
      <c r="I54" s="217"/>
      <c r="J54" s="217"/>
      <c r="K54" s="213"/>
      <c r="L54" s="215"/>
      <c r="M54" s="215"/>
      <c r="N54" s="217"/>
      <c r="O54" s="217"/>
      <c r="P54" s="213"/>
      <c r="Q54" s="215"/>
      <c r="R54" s="215"/>
      <c r="S54" s="217"/>
      <c r="T54" s="217"/>
      <c r="U54" s="213"/>
      <c r="V54" s="215"/>
      <c r="W54" s="215"/>
      <c r="X54" s="217"/>
      <c r="Y54" s="217"/>
      <c r="Z54" s="213"/>
      <c r="AA54" s="215"/>
      <c r="AB54" s="215"/>
      <c r="AC54" s="217"/>
      <c r="AD54" s="217"/>
      <c r="AE54" s="213"/>
      <c r="AF54" s="215"/>
      <c r="AG54" s="215"/>
      <c r="AH54" s="217"/>
      <c r="AI54" s="217"/>
      <c r="AJ54" s="213"/>
    </row>
    <row r="55" spans="1:36" ht="33.75" customHeight="1">
      <c r="A55" s="213"/>
      <c r="B55" s="214">
        <f ca="1">IFERROR(__xludf.DUMMYFUNCTION("""COMPUTED_VALUE"""),2892006)</f>
        <v>2892006</v>
      </c>
      <c r="C55" s="215" t="str">
        <f ca="1">IFERROR(__xludf.DUMMYFUNCTION("""COMPUTED_VALUE"""),"Beginner")</f>
        <v>Beginner</v>
      </c>
      <c r="D55" s="216" t="str">
        <f ca="1">IFERROR(__xludf.DUMMYFUNCTION("""COMPUTED_VALUE"""),"Strategies to Improve Self-Awareness")</f>
        <v>Strategies to Improve Self-Awareness</v>
      </c>
      <c r="E55" s="217"/>
      <c r="F55" s="213"/>
      <c r="G55" s="214"/>
      <c r="H55" s="215"/>
      <c r="I55" s="217"/>
      <c r="J55" s="217"/>
      <c r="K55" s="213"/>
      <c r="L55" s="215"/>
      <c r="M55" s="215"/>
      <c r="N55" s="217"/>
      <c r="O55" s="217"/>
      <c r="P55" s="213"/>
      <c r="Q55" s="215"/>
      <c r="R55" s="215"/>
      <c r="S55" s="217"/>
      <c r="T55" s="217"/>
      <c r="U55" s="213"/>
      <c r="V55" s="215"/>
      <c r="W55" s="215"/>
      <c r="X55" s="217"/>
      <c r="Y55" s="217"/>
      <c r="Z55" s="213"/>
      <c r="AA55" s="215"/>
      <c r="AB55" s="215"/>
      <c r="AC55" s="217"/>
      <c r="AD55" s="217"/>
      <c r="AE55" s="213"/>
      <c r="AF55" s="215"/>
      <c r="AG55" s="215"/>
      <c r="AH55" s="217"/>
      <c r="AI55" s="217"/>
      <c r="AJ55" s="213"/>
    </row>
    <row r="56" spans="1:36" ht="33.75" customHeight="1">
      <c r="A56" s="213"/>
      <c r="B56" s="214">
        <f ca="1">IFERROR(__xludf.DUMMYFUNCTION("""COMPUTED_VALUE"""),2895112)</f>
        <v>2895112</v>
      </c>
      <c r="C56" s="215" t="str">
        <f ca="1">IFERROR(__xludf.DUMMYFUNCTION("""COMPUTED_VALUE"""),"Beginner")</f>
        <v>Beginner</v>
      </c>
      <c r="D56" s="216" t="str">
        <f ca="1">IFERROR(__xludf.DUMMYFUNCTION("""COMPUTED_VALUE"""),"Overcoming Perfectionism")</f>
        <v>Overcoming Perfectionism</v>
      </c>
      <c r="E56" s="217"/>
      <c r="F56" s="213"/>
      <c r="G56" s="214"/>
      <c r="H56" s="215"/>
      <c r="I56" s="217"/>
      <c r="J56" s="217"/>
      <c r="K56" s="213"/>
      <c r="L56" s="215"/>
      <c r="M56" s="215"/>
      <c r="N56" s="217"/>
      <c r="O56" s="217"/>
      <c r="P56" s="213"/>
      <c r="Q56" s="215"/>
      <c r="R56" s="215"/>
      <c r="S56" s="217"/>
      <c r="T56" s="217"/>
      <c r="U56" s="213"/>
      <c r="V56" s="215"/>
      <c r="W56" s="215"/>
      <c r="X56" s="217"/>
      <c r="Y56" s="217"/>
      <c r="Z56" s="213"/>
      <c r="AA56" s="215"/>
      <c r="AB56" s="215"/>
      <c r="AC56" s="217"/>
      <c r="AD56" s="217"/>
      <c r="AE56" s="213"/>
      <c r="AF56" s="215"/>
      <c r="AG56" s="215"/>
      <c r="AH56" s="217"/>
      <c r="AI56" s="217"/>
      <c r="AJ56" s="213"/>
    </row>
    <row r="57" spans="1:36" ht="33.75" customHeight="1">
      <c r="A57" s="213"/>
      <c r="B57" s="214">
        <f ca="1">IFERROR(__xludf.DUMMYFUNCTION("""COMPUTED_VALUE"""),2890117)</f>
        <v>2890117</v>
      </c>
      <c r="C57" s="215" t="str">
        <f ca="1">IFERROR(__xludf.DUMMYFUNCTION("""COMPUTED_VALUE"""),"Beginner")</f>
        <v>Beginner</v>
      </c>
      <c r="D57" s="216" t="str">
        <f ca="1">IFERROR(__xludf.DUMMYFUNCTION("""COMPUTED_VALUE"""),"Sales Well-being: Managing Anxiety, Burnout, and Rejection")</f>
        <v>Sales Well-being: Managing Anxiety, Burnout, and Rejection</v>
      </c>
      <c r="E57" s="217"/>
      <c r="F57" s="213"/>
      <c r="G57" s="214"/>
      <c r="H57" s="215"/>
      <c r="I57" s="217"/>
      <c r="J57" s="217"/>
      <c r="K57" s="213"/>
      <c r="L57" s="215"/>
      <c r="M57" s="215"/>
      <c r="N57" s="217"/>
      <c r="O57" s="217"/>
      <c r="P57" s="213"/>
      <c r="Q57" s="215"/>
      <c r="R57" s="215"/>
      <c r="S57" s="217"/>
      <c r="T57" s="217"/>
      <c r="U57" s="213"/>
      <c r="V57" s="215"/>
      <c r="W57" s="215"/>
      <c r="X57" s="217"/>
      <c r="Y57" s="217"/>
      <c r="Z57" s="213"/>
      <c r="AA57" s="215"/>
      <c r="AB57" s="215"/>
      <c r="AC57" s="217"/>
      <c r="AD57" s="217"/>
      <c r="AE57" s="213"/>
      <c r="AF57" s="215"/>
      <c r="AG57" s="215"/>
      <c r="AH57" s="217"/>
      <c r="AI57" s="217"/>
      <c r="AJ57" s="213"/>
    </row>
    <row r="58" spans="1:36" ht="33.75" customHeight="1">
      <c r="A58" s="213"/>
      <c r="B58" s="214">
        <f ca="1">IFERROR(__xludf.DUMMYFUNCTION("""COMPUTED_VALUE"""),2423319)</f>
        <v>2423319</v>
      </c>
      <c r="C58" s="215" t="str">
        <f ca="1">IFERROR(__xludf.DUMMYFUNCTION("""COMPUTED_VALUE"""),"Beginner")</f>
        <v>Beginner</v>
      </c>
      <c r="D58" s="216" t="str">
        <f ca="1">IFERROR(__xludf.DUMMYFUNCTION("""COMPUTED_VALUE"""),"Lose Your Fear of Asking Questions at Work")</f>
        <v>Lose Your Fear of Asking Questions at Work</v>
      </c>
      <c r="E58" s="217"/>
      <c r="F58" s="213"/>
      <c r="G58" s="214"/>
      <c r="H58" s="215"/>
      <c r="I58" s="217"/>
      <c r="J58" s="217"/>
      <c r="K58" s="213"/>
      <c r="L58" s="215"/>
      <c r="M58" s="215"/>
      <c r="N58" s="217"/>
      <c r="O58" s="217"/>
      <c r="P58" s="213"/>
      <c r="Q58" s="215"/>
      <c r="R58" s="215"/>
      <c r="S58" s="217"/>
      <c r="T58" s="217"/>
      <c r="U58" s="213"/>
      <c r="V58" s="215"/>
      <c r="W58" s="215"/>
      <c r="X58" s="217"/>
      <c r="Y58" s="217"/>
      <c r="Z58" s="213"/>
      <c r="AA58" s="215"/>
      <c r="AB58" s="215"/>
      <c r="AC58" s="217"/>
      <c r="AD58" s="217"/>
      <c r="AE58" s="213"/>
      <c r="AF58" s="215"/>
      <c r="AG58" s="215"/>
      <c r="AH58" s="217"/>
      <c r="AI58" s="217"/>
      <c r="AJ58" s="213"/>
    </row>
    <row r="59" spans="1:36" ht="33.75" customHeight="1">
      <c r="A59" s="213"/>
      <c r="B59" s="214">
        <f ca="1">IFERROR(__xludf.DUMMYFUNCTION("""COMPUTED_VALUE"""),2424325)</f>
        <v>2424325</v>
      </c>
      <c r="C59" s="215" t="str">
        <f ca="1">IFERROR(__xludf.DUMMYFUNCTION("""COMPUTED_VALUE"""),"Beginner")</f>
        <v>Beginner</v>
      </c>
      <c r="D59" s="216" t="str">
        <f ca="1">IFERROR(__xludf.DUMMYFUNCTION("""COMPUTED_VALUE"""),"Vulnerability: The Workplace Superpower Disguised as a Weakness")</f>
        <v>Vulnerability: The Workplace Superpower Disguised as a Weakness</v>
      </c>
      <c r="E59" s="217"/>
      <c r="F59" s="213"/>
      <c r="G59" s="214"/>
      <c r="H59" s="215"/>
      <c r="I59" s="217"/>
      <c r="J59" s="217"/>
      <c r="K59" s="213"/>
      <c r="L59" s="215"/>
      <c r="M59" s="215"/>
      <c r="N59" s="217"/>
      <c r="O59" s="217"/>
      <c r="P59" s="213"/>
      <c r="Q59" s="215"/>
      <c r="R59" s="215"/>
      <c r="S59" s="217"/>
      <c r="T59" s="217"/>
      <c r="U59" s="213"/>
      <c r="V59" s="215"/>
      <c r="W59" s="215"/>
      <c r="X59" s="217"/>
      <c r="Y59" s="217"/>
      <c r="Z59" s="213"/>
      <c r="AA59" s="215"/>
      <c r="AB59" s="215"/>
      <c r="AC59" s="217"/>
      <c r="AD59" s="217"/>
      <c r="AE59" s="213"/>
      <c r="AF59" s="215"/>
      <c r="AG59" s="215"/>
      <c r="AH59" s="217"/>
      <c r="AI59" s="217"/>
      <c r="AJ59" s="213"/>
    </row>
    <row r="60" spans="1:36" ht="33.75" customHeight="1">
      <c r="A60" s="213"/>
      <c r="B60" s="214">
        <f ca="1">IFERROR(__xludf.DUMMYFUNCTION("""COMPUTED_VALUE"""),2882183)</f>
        <v>2882183</v>
      </c>
      <c r="C60" s="215" t="str">
        <f ca="1">IFERROR(__xludf.DUMMYFUNCTION("""COMPUTED_VALUE"""),"Beginner")</f>
        <v>Beginner</v>
      </c>
      <c r="D60" s="216" t="str">
        <f ca="1">IFERROR(__xludf.DUMMYFUNCTION("""COMPUTED_VALUE"""),"Prepare for Returning to the Workplace")</f>
        <v>Prepare for Returning to the Workplace</v>
      </c>
      <c r="E60" s="217"/>
      <c r="F60" s="213"/>
      <c r="G60" s="214"/>
      <c r="H60" s="215"/>
      <c r="I60" s="217"/>
      <c r="J60" s="217"/>
      <c r="K60" s="213"/>
      <c r="L60" s="215"/>
      <c r="M60" s="215"/>
      <c r="N60" s="217"/>
      <c r="O60" s="217"/>
      <c r="P60" s="213"/>
      <c r="Q60" s="215"/>
      <c r="R60" s="215"/>
      <c r="S60" s="217"/>
      <c r="T60" s="217"/>
      <c r="U60" s="213"/>
      <c r="V60" s="215"/>
      <c r="W60" s="215"/>
      <c r="X60" s="217"/>
      <c r="Y60" s="217"/>
      <c r="Z60" s="213"/>
      <c r="AA60" s="215"/>
      <c r="AB60" s="215"/>
      <c r="AC60" s="217"/>
      <c r="AD60" s="217"/>
      <c r="AE60" s="213"/>
      <c r="AF60" s="215"/>
      <c r="AG60" s="215"/>
      <c r="AH60" s="217"/>
      <c r="AI60" s="217"/>
      <c r="AJ60" s="213"/>
    </row>
    <row r="61" spans="1:36" ht="33.75" customHeight="1">
      <c r="A61" s="213"/>
      <c r="B61" s="214">
        <f ca="1">IFERROR(__xludf.DUMMYFUNCTION("""COMPUTED_VALUE"""),2889101)</f>
        <v>2889101</v>
      </c>
      <c r="C61" s="215" t="str">
        <f ca="1">IFERROR(__xludf.DUMMYFUNCTION("""COMPUTED_VALUE"""),"Beginner")</f>
        <v>Beginner</v>
      </c>
      <c r="D61" s="216" t="str">
        <f ca="1">IFERROR(__xludf.DUMMYFUNCTION("""COMPUTED_VALUE"""),"Aligning Your Values with Work, Life, and Everything In Between")</f>
        <v>Aligning Your Values with Work, Life, and Everything In Between</v>
      </c>
      <c r="E61" s="217"/>
      <c r="F61" s="213"/>
      <c r="G61" s="214"/>
      <c r="H61" s="215"/>
      <c r="I61" s="217"/>
      <c r="J61" s="217"/>
      <c r="K61" s="213"/>
      <c r="L61" s="215"/>
      <c r="M61" s="215"/>
      <c r="N61" s="217"/>
      <c r="O61" s="217"/>
      <c r="P61" s="213"/>
      <c r="Q61" s="215"/>
      <c r="R61" s="215"/>
      <c r="S61" s="217"/>
      <c r="T61" s="217"/>
      <c r="U61" s="213"/>
      <c r="V61" s="215"/>
      <c r="W61" s="215"/>
      <c r="X61" s="217"/>
      <c r="Y61" s="217"/>
      <c r="Z61" s="213"/>
      <c r="AA61" s="215"/>
      <c r="AB61" s="215"/>
      <c r="AC61" s="217"/>
      <c r="AD61" s="217"/>
      <c r="AE61" s="213"/>
      <c r="AF61" s="215"/>
      <c r="AG61" s="215"/>
      <c r="AH61" s="217"/>
      <c r="AI61" s="217"/>
      <c r="AJ61" s="213"/>
    </row>
    <row r="62" spans="1:36" ht="33.75" customHeight="1">
      <c r="A62" s="213"/>
      <c r="B62" s="214">
        <f ca="1">IFERROR(__xludf.DUMMYFUNCTION("""COMPUTED_VALUE"""),2424324)</f>
        <v>2424324</v>
      </c>
      <c r="C62" s="215" t="str">
        <f ca="1">IFERROR(__xludf.DUMMYFUNCTION("""COMPUTED_VALUE"""),"Beginner")</f>
        <v>Beginner</v>
      </c>
      <c r="D62" s="216" t="str">
        <f ca="1">IFERROR(__xludf.DUMMYFUNCTION("""COMPUTED_VALUE"""),"How to Use Rejection to Your Advantage")</f>
        <v>How to Use Rejection to Your Advantage</v>
      </c>
      <c r="E62" s="217"/>
      <c r="F62" s="213"/>
      <c r="G62" s="214"/>
      <c r="H62" s="215"/>
      <c r="I62" s="217"/>
      <c r="J62" s="217"/>
      <c r="K62" s="213"/>
      <c r="L62" s="215"/>
      <c r="M62" s="215"/>
      <c r="N62" s="217"/>
      <c r="O62" s="217"/>
      <c r="P62" s="213"/>
      <c r="Q62" s="215"/>
      <c r="R62" s="215"/>
      <c r="S62" s="217"/>
      <c r="T62" s="217"/>
      <c r="U62" s="213"/>
      <c r="V62" s="215"/>
      <c r="W62" s="215"/>
      <c r="X62" s="217"/>
      <c r="Y62" s="217"/>
      <c r="Z62" s="213"/>
      <c r="AA62" s="215"/>
      <c r="AB62" s="215"/>
      <c r="AC62" s="217"/>
      <c r="AD62" s="217"/>
      <c r="AE62" s="213"/>
      <c r="AF62" s="215"/>
      <c r="AG62" s="215"/>
      <c r="AH62" s="217"/>
      <c r="AI62" s="217"/>
      <c r="AJ62" s="213"/>
    </row>
    <row r="63" spans="1:36" ht="33.75" customHeight="1">
      <c r="A63" s="213"/>
      <c r="B63" s="214">
        <f ca="1">IFERROR(__xludf.DUMMYFUNCTION("""COMPUTED_VALUE"""),3152728)</f>
        <v>3152728</v>
      </c>
      <c r="C63" s="215" t="str">
        <f ca="1">IFERROR(__xludf.DUMMYFUNCTION("""COMPUTED_VALUE"""),"Beginner")</f>
        <v>Beginner</v>
      </c>
      <c r="D63" s="216" t="str">
        <f ca="1">IFERROR(__xludf.DUMMYFUNCTION("""COMPUTED_VALUE"""),"Mindful Team Building")</f>
        <v>Mindful Team Building</v>
      </c>
      <c r="E63" s="217"/>
      <c r="F63" s="213"/>
      <c r="G63" s="214"/>
      <c r="H63" s="215"/>
      <c r="I63" s="217"/>
      <c r="J63" s="217"/>
      <c r="K63" s="213"/>
      <c r="L63" s="215"/>
      <c r="M63" s="215"/>
      <c r="N63" s="217"/>
      <c r="O63" s="217"/>
      <c r="P63" s="213"/>
      <c r="Q63" s="215"/>
      <c r="R63" s="215"/>
      <c r="S63" s="217"/>
      <c r="T63" s="217"/>
      <c r="U63" s="213"/>
      <c r="V63" s="215"/>
      <c r="W63" s="215"/>
      <c r="X63" s="217"/>
      <c r="Y63" s="217"/>
      <c r="Z63" s="213"/>
      <c r="AA63" s="215"/>
      <c r="AB63" s="215"/>
      <c r="AC63" s="217"/>
      <c r="AD63" s="217"/>
      <c r="AE63" s="213"/>
      <c r="AF63" s="215"/>
      <c r="AG63" s="215"/>
      <c r="AH63" s="217"/>
      <c r="AI63" s="217"/>
      <c r="AJ63" s="213"/>
    </row>
    <row r="64" spans="1:36" ht="33.75" customHeight="1">
      <c r="A64" s="213"/>
      <c r="B64" s="214">
        <f ca="1">IFERROR(__xludf.DUMMYFUNCTION("""COMPUTED_VALUE"""),3151765)</f>
        <v>3151765</v>
      </c>
      <c r="C64" s="215" t="str">
        <f ca="1">IFERROR(__xludf.DUMMYFUNCTION("""COMPUTED_VALUE"""),"Beginner")</f>
        <v>Beginner</v>
      </c>
      <c r="D64" s="216" t="str">
        <f ca="1">IFERROR(__xludf.DUMMYFUNCTION("""COMPUTED_VALUE"""),"Improving Emotional Intelligence with Mindfulness")</f>
        <v>Improving Emotional Intelligence with Mindfulness</v>
      </c>
      <c r="E64" s="217"/>
      <c r="F64" s="213"/>
      <c r="G64" s="214"/>
      <c r="H64" s="215"/>
      <c r="I64" s="217"/>
      <c r="J64" s="217"/>
      <c r="K64" s="213"/>
      <c r="L64" s="215"/>
      <c r="M64" s="215"/>
      <c r="N64" s="217"/>
      <c r="O64" s="217"/>
      <c r="P64" s="213"/>
      <c r="Q64" s="215"/>
      <c r="R64" s="215"/>
      <c r="S64" s="217"/>
      <c r="T64" s="217"/>
      <c r="U64" s="213"/>
      <c r="V64" s="215"/>
      <c r="W64" s="215"/>
      <c r="X64" s="217"/>
      <c r="Y64" s="217"/>
      <c r="Z64" s="213"/>
      <c r="AA64" s="215"/>
      <c r="AB64" s="215"/>
      <c r="AC64" s="217"/>
      <c r="AD64" s="217"/>
      <c r="AE64" s="213"/>
      <c r="AF64" s="215"/>
      <c r="AG64" s="215"/>
      <c r="AH64" s="217"/>
      <c r="AI64" s="217"/>
      <c r="AJ64" s="213"/>
    </row>
    <row r="65" spans="1:36" ht="33.75" customHeight="1">
      <c r="A65" s="213"/>
      <c r="B65" s="214">
        <f ca="1">IFERROR(__xludf.DUMMYFUNCTION("""COMPUTED_VALUE"""),3155790)</f>
        <v>3155790</v>
      </c>
      <c r="C65" s="215" t="str">
        <f ca="1">IFERROR(__xludf.DUMMYFUNCTION("""COMPUTED_VALUE"""),"Beginner")</f>
        <v>Beginner</v>
      </c>
      <c r="D65" s="216" t="str">
        <f ca="1">IFERROR(__xludf.DUMMYFUNCTION("""COMPUTED_VALUE"""),"Mindful Eating")</f>
        <v>Mindful Eating</v>
      </c>
      <c r="E65" s="217"/>
      <c r="F65" s="213"/>
      <c r="G65" s="214"/>
      <c r="H65" s="215"/>
      <c r="I65" s="217"/>
      <c r="J65" s="217"/>
      <c r="K65" s="213"/>
      <c r="L65" s="215"/>
      <c r="M65" s="215"/>
      <c r="N65" s="217"/>
      <c r="O65" s="217"/>
      <c r="P65" s="213"/>
      <c r="Q65" s="215"/>
      <c r="R65" s="215"/>
      <c r="S65" s="217"/>
      <c r="T65" s="217"/>
      <c r="U65" s="213"/>
      <c r="V65" s="215"/>
      <c r="W65" s="215"/>
      <c r="X65" s="217"/>
      <c r="Y65" s="217"/>
      <c r="Z65" s="213"/>
      <c r="AA65" s="215"/>
      <c r="AB65" s="215"/>
      <c r="AC65" s="217"/>
      <c r="AD65" s="217"/>
      <c r="AE65" s="213"/>
      <c r="AF65" s="215"/>
      <c r="AG65" s="215"/>
      <c r="AH65" s="217"/>
      <c r="AI65" s="217"/>
      <c r="AJ65" s="213"/>
    </row>
    <row r="66" spans="1:36" ht="33.75" customHeight="1">
      <c r="A66" s="213"/>
      <c r="B66" s="214">
        <f ca="1">IFERROR(__xludf.DUMMYFUNCTION("""COMPUTED_VALUE"""),3154786)</f>
        <v>3154786</v>
      </c>
      <c r="C66" s="215" t="str">
        <f ca="1">IFERROR(__xludf.DUMMYFUNCTION("""COMPUTED_VALUE"""),"Beginner")</f>
        <v>Beginner</v>
      </c>
      <c r="D66" s="216" t="str">
        <f ca="1">IFERROR(__xludf.DUMMYFUNCTION("""COMPUTED_VALUE"""),"Mindfulness, Diversity, and the Quest for Inclusion")</f>
        <v>Mindfulness, Diversity, and the Quest for Inclusion</v>
      </c>
      <c r="E66" s="217"/>
      <c r="F66" s="213"/>
      <c r="G66" s="214"/>
      <c r="H66" s="215"/>
      <c r="I66" s="217"/>
      <c r="J66" s="217"/>
      <c r="K66" s="213"/>
      <c r="L66" s="215"/>
      <c r="M66" s="215"/>
      <c r="N66" s="217"/>
      <c r="O66" s="217"/>
      <c r="P66" s="213"/>
      <c r="Q66" s="215"/>
      <c r="R66" s="215"/>
      <c r="S66" s="217"/>
      <c r="T66" s="217"/>
      <c r="U66" s="213"/>
      <c r="V66" s="215"/>
      <c r="W66" s="215"/>
      <c r="X66" s="217"/>
      <c r="Y66" s="217"/>
      <c r="Z66" s="213"/>
      <c r="AA66" s="215"/>
      <c r="AB66" s="215"/>
      <c r="AC66" s="217"/>
      <c r="AD66" s="217"/>
      <c r="AE66" s="213"/>
      <c r="AF66" s="215"/>
      <c r="AG66" s="215"/>
      <c r="AH66" s="217"/>
      <c r="AI66" s="217"/>
      <c r="AJ66" s="213"/>
    </row>
    <row r="67" spans="1:36" ht="33.75" customHeight="1">
      <c r="A67" s="213"/>
      <c r="B67" s="214">
        <f ca="1">IFERROR(__xludf.DUMMYFUNCTION("""COMPUTED_VALUE"""),2424736)</f>
        <v>2424736</v>
      </c>
      <c r="C67" s="215" t="str">
        <f ca="1">IFERROR(__xludf.DUMMYFUNCTION("""COMPUTED_VALUE"""),"Beginner")</f>
        <v>Beginner</v>
      </c>
      <c r="D67" s="216" t="str">
        <f ca="1">IFERROR(__xludf.DUMMYFUNCTION("""COMPUTED_VALUE"""),"Habits for Becoming Your Most Effective Self")</f>
        <v>Habits for Becoming Your Most Effective Self</v>
      </c>
      <c r="E67" s="217"/>
      <c r="F67" s="213"/>
      <c r="G67" s="214"/>
      <c r="H67" s="215"/>
      <c r="I67" s="217"/>
      <c r="J67" s="217"/>
      <c r="K67" s="213"/>
      <c r="L67" s="215"/>
      <c r="M67" s="215"/>
      <c r="N67" s="217"/>
      <c r="O67" s="217"/>
      <c r="P67" s="213"/>
      <c r="Q67" s="215"/>
      <c r="R67" s="215"/>
      <c r="S67" s="217"/>
      <c r="T67" s="217"/>
      <c r="U67" s="213"/>
      <c r="V67" s="215"/>
      <c r="W67" s="215"/>
      <c r="X67" s="217"/>
      <c r="Y67" s="217"/>
      <c r="Z67" s="213"/>
      <c r="AA67" s="215"/>
      <c r="AB67" s="215"/>
      <c r="AC67" s="217"/>
      <c r="AD67" s="217"/>
      <c r="AE67" s="213"/>
      <c r="AF67" s="215"/>
      <c r="AG67" s="215"/>
      <c r="AH67" s="217"/>
      <c r="AI67" s="217"/>
      <c r="AJ67" s="213"/>
    </row>
    <row r="68" spans="1:36" ht="33.75" customHeight="1">
      <c r="A68" s="213"/>
      <c r="B68" s="214">
        <f ca="1">IFERROR(__xludf.DUMMYFUNCTION("""COMPUTED_VALUE"""),2425284)</f>
        <v>2425284</v>
      </c>
      <c r="C68" s="215" t="str">
        <f ca="1">IFERROR(__xludf.DUMMYFUNCTION("""COMPUTED_VALUE"""),"Beginner")</f>
        <v>Beginner</v>
      </c>
      <c r="D68" s="216" t="str">
        <f ca="1">IFERROR(__xludf.DUMMYFUNCTION("""COMPUTED_VALUE"""),"Manage Burnout at Work with These Simple Strategies")</f>
        <v>Manage Burnout at Work with These Simple Strategies</v>
      </c>
      <c r="E68" s="217"/>
      <c r="F68" s="213"/>
      <c r="G68" s="214"/>
      <c r="H68" s="215"/>
      <c r="I68" s="217"/>
      <c r="J68" s="217"/>
      <c r="K68" s="213"/>
      <c r="L68" s="215"/>
      <c r="M68" s="215"/>
      <c r="N68" s="217"/>
      <c r="O68" s="217"/>
      <c r="P68" s="213"/>
      <c r="Q68" s="215"/>
      <c r="R68" s="215"/>
      <c r="S68" s="217"/>
      <c r="T68" s="217"/>
      <c r="U68" s="213"/>
      <c r="V68" s="215"/>
      <c r="W68" s="215"/>
      <c r="X68" s="217"/>
      <c r="Y68" s="217"/>
      <c r="Z68" s="213"/>
      <c r="AA68" s="215"/>
      <c r="AB68" s="215"/>
      <c r="AC68" s="217"/>
      <c r="AD68" s="217"/>
      <c r="AE68" s="213"/>
      <c r="AF68" s="215"/>
      <c r="AG68" s="215"/>
      <c r="AH68" s="217"/>
      <c r="AI68" s="217"/>
      <c r="AJ68" s="213"/>
    </row>
    <row r="69" spans="1:36" ht="33.75" customHeight="1">
      <c r="A69" s="213"/>
      <c r="B69" s="214">
        <f ca="1">IFERROR(__xludf.DUMMYFUNCTION("""COMPUTED_VALUE"""),3004700)</f>
        <v>3004700</v>
      </c>
      <c r="C69" s="215" t="str">
        <f ca="1">IFERROR(__xludf.DUMMYFUNCTION("""COMPUTED_VALUE"""),"Beginner")</f>
        <v>Beginner</v>
      </c>
      <c r="D69" s="216" t="str">
        <f ca="1">IFERROR(__xludf.DUMMYFUNCTION("""COMPUTED_VALUE"""),"Don't Take Yes for an Answer (Blinkist Summary)")</f>
        <v>Don't Take Yes for an Answer (Blinkist Summary)</v>
      </c>
      <c r="E69" s="217"/>
      <c r="F69" s="213"/>
      <c r="G69" s="214"/>
      <c r="H69" s="215"/>
      <c r="I69" s="217"/>
      <c r="J69" s="217"/>
      <c r="K69" s="213"/>
      <c r="L69" s="215"/>
      <c r="M69" s="215"/>
      <c r="N69" s="217"/>
      <c r="O69" s="217"/>
      <c r="P69" s="213"/>
      <c r="Q69" s="215"/>
      <c r="R69" s="215"/>
      <c r="S69" s="217"/>
      <c r="T69" s="217"/>
      <c r="U69" s="213"/>
      <c r="V69" s="215"/>
      <c r="W69" s="215"/>
      <c r="X69" s="217"/>
      <c r="Y69" s="217"/>
      <c r="Z69" s="213"/>
      <c r="AA69" s="215"/>
      <c r="AB69" s="215"/>
      <c r="AC69" s="217"/>
      <c r="AD69" s="217"/>
      <c r="AE69" s="213"/>
      <c r="AF69" s="215"/>
      <c r="AG69" s="215"/>
      <c r="AH69" s="217"/>
      <c r="AI69" s="217"/>
      <c r="AJ69" s="213"/>
    </row>
    <row r="70" spans="1:36" ht="33.75" customHeight="1">
      <c r="A70" s="213"/>
      <c r="B70" s="214">
        <f ca="1">IFERROR(__xludf.DUMMYFUNCTION("""COMPUTED_VALUE"""),3006179)</f>
        <v>3006179</v>
      </c>
      <c r="C70" s="215" t="str">
        <f ca="1">IFERROR(__xludf.DUMMYFUNCTION("""COMPUTED_VALUE"""),"Beginner")</f>
        <v>Beginner</v>
      </c>
      <c r="D70" s="216" t="str">
        <f ca="1">IFERROR(__xludf.DUMMYFUNCTION("""COMPUTED_VALUE"""),"Strategies to Get (and Stay) Unstuck")</f>
        <v>Strategies to Get (and Stay) Unstuck</v>
      </c>
      <c r="E70" s="217"/>
      <c r="F70" s="213"/>
      <c r="G70" s="214"/>
      <c r="H70" s="215"/>
      <c r="I70" s="217"/>
      <c r="J70" s="217"/>
      <c r="K70" s="213"/>
      <c r="L70" s="215"/>
      <c r="M70" s="215"/>
      <c r="N70" s="217"/>
      <c r="O70" s="217"/>
      <c r="P70" s="213"/>
      <c r="Q70" s="215"/>
      <c r="R70" s="215"/>
      <c r="S70" s="217"/>
      <c r="T70" s="217"/>
      <c r="U70" s="213"/>
      <c r="V70" s="215"/>
      <c r="W70" s="215"/>
      <c r="X70" s="217"/>
      <c r="Y70" s="217"/>
      <c r="Z70" s="213"/>
      <c r="AA70" s="215"/>
      <c r="AB70" s="215"/>
      <c r="AC70" s="217"/>
      <c r="AD70" s="217"/>
      <c r="AE70" s="213"/>
      <c r="AF70" s="215"/>
      <c r="AG70" s="215"/>
      <c r="AH70" s="217"/>
      <c r="AI70" s="217"/>
      <c r="AJ70" s="213"/>
    </row>
    <row r="71" spans="1:36" ht="33.75" customHeight="1">
      <c r="A71" s="213"/>
      <c r="B71" s="214">
        <f ca="1">IFERROR(__xludf.DUMMYFUNCTION("""COMPUTED_VALUE"""),3007151)</f>
        <v>3007151</v>
      </c>
      <c r="C71" s="215" t="str">
        <f ca="1">IFERROR(__xludf.DUMMYFUNCTION("""COMPUTED_VALUE"""),"Beginner")</f>
        <v>Beginner</v>
      </c>
      <c r="D71" s="216" t="str">
        <f ca="1">IFERROR(__xludf.DUMMYFUNCTION("""COMPUTED_VALUE"""),"Mindset (Blinkist Summary)")</f>
        <v>Mindset (Blinkist Summary)</v>
      </c>
      <c r="E71" s="217"/>
      <c r="F71" s="213"/>
      <c r="G71" s="214"/>
      <c r="H71" s="215"/>
      <c r="I71" s="217"/>
      <c r="J71" s="217"/>
      <c r="K71" s="213"/>
      <c r="L71" s="215"/>
      <c r="M71" s="215"/>
      <c r="N71" s="217"/>
      <c r="O71" s="217"/>
      <c r="P71" s="213"/>
      <c r="Q71" s="215"/>
      <c r="R71" s="215"/>
      <c r="S71" s="217"/>
      <c r="T71" s="217"/>
      <c r="U71" s="213"/>
      <c r="V71" s="215"/>
      <c r="W71" s="215"/>
      <c r="X71" s="217"/>
      <c r="Y71" s="217"/>
      <c r="Z71" s="213"/>
      <c r="AA71" s="215"/>
      <c r="AB71" s="215"/>
      <c r="AC71" s="217"/>
      <c r="AD71" s="217"/>
      <c r="AE71" s="213"/>
      <c r="AF71" s="215"/>
      <c r="AG71" s="215"/>
      <c r="AH71" s="217"/>
      <c r="AI71" s="217"/>
      <c r="AJ71" s="213"/>
    </row>
    <row r="72" spans="1:36" ht="33.75" customHeight="1">
      <c r="A72" s="213"/>
      <c r="B72" s="214">
        <f ca="1">IFERROR(__xludf.DUMMYFUNCTION("""COMPUTED_VALUE"""),3013333)</f>
        <v>3013333</v>
      </c>
      <c r="C72" s="215" t="str">
        <f ca="1">IFERROR(__xludf.DUMMYFUNCTION("""COMPUTED_VALUE"""),"Beginner")</f>
        <v>Beginner</v>
      </c>
      <c r="D72" s="216" t="str">
        <f ca="1">IFERROR(__xludf.DUMMYFUNCTION("""COMPUTED_VALUE"""),"Upgrading Your Confidence and Courage at Work")</f>
        <v>Upgrading Your Confidence and Courage at Work</v>
      </c>
      <c r="E72" s="217"/>
      <c r="F72" s="213"/>
      <c r="G72" s="214"/>
      <c r="H72" s="215"/>
      <c r="I72" s="217"/>
      <c r="J72" s="217"/>
      <c r="K72" s="213"/>
      <c r="L72" s="215"/>
      <c r="M72" s="215"/>
      <c r="N72" s="217"/>
      <c r="O72" s="217"/>
      <c r="P72" s="213"/>
      <c r="Q72" s="215"/>
      <c r="R72" s="215"/>
      <c r="S72" s="217"/>
      <c r="T72" s="217"/>
      <c r="U72" s="213"/>
      <c r="V72" s="215"/>
      <c r="W72" s="215"/>
      <c r="X72" s="217"/>
      <c r="Y72" s="217"/>
      <c r="Z72" s="213"/>
      <c r="AA72" s="215"/>
      <c r="AB72" s="215"/>
      <c r="AC72" s="217"/>
      <c r="AD72" s="217"/>
      <c r="AE72" s="213"/>
      <c r="AF72" s="215"/>
      <c r="AG72" s="215"/>
      <c r="AH72" s="217"/>
      <c r="AI72" s="217"/>
      <c r="AJ72" s="213"/>
    </row>
    <row r="73" spans="1:36" ht="33.75" customHeight="1">
      <c r="A73" s="213"/>
      <c r="B73" s="214">
        <f ca="1">IFERROR(__xludf.DUMMYFUNCTION("""COMPUTED_VALUE"""),3010525)</f>
        <v>3010525</v>
      </c>
      <c r="C73" s="215" t="str">
        <f ca="1">IFERROR(__xludf.DUMMYFUNCTION("""COMPUTED_VALUE"""),"Beginner")</f>
        <v>Beginner</v>
      </c>
      <c r="D73" s="216" t="str">
        <f ca="1">IFERROR(__xludf.DUMMYFUNCTION("""COMPUTED_VALUE"""),"Developing Your Authentic Self to Ignite Change")</f>
        <v>Developing Your Authentic Self to Ignite Change</v>
      </c>
      <c r="E73" s="217"/>
      <c r="F73" s="213"/>
      <c r="G73" s="214"/>
      <c r="H73" s="215"/>
      <c r="I73" s="217"/>
      <c r="J73" s="217"/>
      <c r="K73" s="213"/>
      <c r="L73" s="215"/>
      <c r="M73" s="215"/>
      <c r="N73" s="217"/>
      <c r="O73" s="217"/>
      <c r="P73" s="213"/>
      <c r="Q73" s="215"/>
      <c r="R73" s="215"/>
      <c r="S73" s="217"/>
      <c r="T73" s="217"/>
      <c r="U73" s="213"/>
      <c r="V73" s="215"/>
      <c r="W73" s="215"/>
      <c r="X73" s="217"/>
      <c r="Y73" s="217"/>
      <c r="Z73" s="213"/>
      <c r="AA73" s="215"/>
      <c r="AB73" s="215"/>
      <c r="AC73" s="217"/>
      <c r="AD73" s="217"/>
      <c r="AE73" s="213"/>
      <c r="AF73" s="215"/>
      <c r="AG73" s="215"/>
      <c r="AH73" s="217"/>
      <c r="AI73" s="217"/>
      <c r="AJ73" s="213"/>
    </row>
    <row r="74" spans="1:36" ht="33.75" customHeight="1">
      <c r="A74" s="213"/>
      <c r="B74" s="214">
        <f ca="1">IFERROR(__xludf.DUMMYFUNCTION("""COMPUTED_VALUE"""),3010972)</f>
        <v>3010972</v>
      </c>
      <c r="C74" s="215" t="str">
        <f ca="1">IFERROR(__xludf.DUMMYFUNCTION("""COMPUTED_VALUE"""),"Beginner")</f>
        <v>Beginner</v>
      </c>
      <c r="D74" s="216" t="str">
        <f ca="1">IFERROR(__xludf.DUMMYFUNCTION("""COMPUTED_VALUE"""),"Conquering Freak-Outs and the Fear of Failure")</f>
        <v>Conquering Freak-Outs and the Fear of Failure</v>
      </c>
      <c r="E74" s="217"/>
      <c r="F74" s="213"/>
      <c r="G74" s="214"/>
      <c r="H74" s="215"/>
      <c r="I74" s="217"/>
      <c r="J74" s="217"/>
      <c r="K74" s="213"/>
      <c r="L74" s="215"/>
      <c r="M74" s="215"/>
      <c r="N74" s="217"/>
      <c r="O74" s="217"/>
      <c r="P74" s="213"/>
      <c r="Q74" s="215"/>
      <c r="R74" s="215"/>
      <c r="S74" s="217"/>
      <c r="T74" s="217"/>
      <c r="U74" s="213"/>
      <c r="V74" s="215"/>
      <c r="W74" s="215"/>
      <c r="X74" s="217"/>
      <c r="Y74" s="217"/>
      <c r="Z74" s="213"/>
      <c r="AA74" s="215"/>
      <c r="AB74" s="215"/>
      <c r="AC74" s="217"/>
      <c r="AD74" s="217"/>
      <c r="AE74" s="213"/>
      <c r="AF74" s="215"/>
      <c r="AG74" s="215"/>
      <c r="AH74" s="217"/>
      <c r="AI74" s="217"/>
      <c r="AJ74" s="213"/>
    </row>
    <row r="75" spans="1:36" ht="33.75" customHeight="1">
      <c r="A75" s="213"/>
      <c r="B75" s="214">
        <f ca="1">IFERROR(__xludf.DUMMYFUNCTION("""COMPUTED_VALUE"""),3158741)</f>
        <v>3158741</v>
      </c>
      <c r="C75" s="215" t="str">
        <f ca="1">IFERROR(__xludf.DUMMYFUNCTION("""COMPUTED_VALUE"""),"Beginner")</f>
        <v>Beginner</v>
      </c>
      <c r="D75" s="216" t="str">
        <f ca="1">IFERROR(__xludf.DUMMYFUNCTION("""COMPUTED_VALUE"""),"Mindfulness: A Critical Skill for Project Managers")</f>
        <v>Mindfulness: A Critical Skill for Project Managers</v>
      </c>
      <c r="E75" s="217"/>
      <c r="F75" s="213"/>
      <c r="G75" s="214"/>
      <c r="H75" s="215"/>
      <c r="I75" s="217"/>
      <c r="J75" s="217"/>
      <c r="K75" s="213"/>
      <c r="L75" s="215"/>
      <c r="M75" s="215"/>
      <c r="N75" s="217"/>
      <c r="O75" s="217"/>
      <c r="P75" s="213"/>
      <c r="Q75" s="215"/>
      <c r="R75" s="215"/>
      <c r="S75" s="217"/>
      <c r="T75" s="217"/>
      <c r="U75" s="213"/>
      <c r="V75" s="215"/>
      <c r="W75" s="215"/>
      <c r="X75" s="217"/>
      <c r="Y75" s="217"/>
      <c r="Z75" s="213"/>
      <c r="AA75" s="215"/>
      <c r="AB75" s="215"/>
      <c r="AC75" s="217"/>
      <c r="AD75" s="217"/>
      <c r="AE75" s="213"/>
      <c r="AF75" s="215"/>
      <c r="AG75" s="215"/>
      <c r="AH75" s="217"/>
      <c r="AI75" s="217"/>
      <c r="AJ75" s="213"/>
    </row>
    <row r="76" spans="1:36" ht="33.75" customHeight="1">
      <c r="A76" s="213"/>
      <c r="B76" s="214">
        <f ca="1">IFERROR(__xludf.DUMMYFUNCTION("""COMPUTED_VALUE"""),3006798)</f>
        <v>3006798</v>
      </c>
      <c r="C76" s="215" t="str">
        <f ca="1">IFERROR(__xludf.DUMMYFUNCTION("""COMPUTED_VALUE"""),"Beginner")</f>
        <v>Beginner</v>
      </c>
      <c r="D76" s="216" t="str">
        <f ca="1">IFERROR(__xludf.DUMMYFUNCTION("""COMPUTED_VALUE"""),"How to Have a Happier Workweek")</f>
        <v>How to Have a Happier Workweek</v>
      </c>
      <c r="E76" s="217"/>
      <c r="F76" s="213"/>
      <c r="G76" s="214"/>
      <c r="H76" s="215"/>
      <c r="I76" s="217"/>
      <c r="J76" s="217"/>
      <c r="K76" s="213"/>
      <c r="L76" s="215"/>
      <c r="M76" s="215"/>
      <c r="N76" s="217"/>
      <c r="O76" s="217"/>
      <c r="P76" s="213"/>
      <c r="Q76" s="215"/>
      <c r="R76" s="215"/>
      <c r="S76" s="217"/>
      <c r="T76" s="217"/>
      <c r="U76" s="213"/>
      <c r="V76" s="215"/>
      <c r="W76" s="215"/>
      <c r="X76" s="217"/>
      <c r="Y76" s="217"/>
      <c r="Z76" s="213"/>
      <c r="AA76" s="215"/>
      <c r="AB76" s="215"/>
      <c r="AC76" s="217"/>
      <c r="AD76" s="217"/>
      <c r="AE76" s="213"/>
      <c r="AF76" s="215"/>
      <c r="AG76" s="215"/>
      <c r="AH76" s="217"/>
      <c r="AI76" s="217"/>
      <c r="AJ76" s="213"/>
    </row>
    <row r="77" spans="1:36" ht="33.75" customHeight="1">
      <c r="A77" s="213"/>
      <c r="B77" s="214">
        <f ca="1">IFERROR(__xludf.DUMMYFUNCTION("""COMPUTED_VALUE"""),3010973)</f>
        <v>3010973</v>
      </c>
      <c r="C77" s="215" t="str">
        <f ca="1">IFERROR(__xludf.DUMMYFUNCTION("""COMPUTED_VALUE"""),"Beginner")</f>
        <v>Beginner</v>
      </c>
      <c r="D77" s="216" t="str">
        <f ca="1">IFERROR(__xludf.DUMMYFUNCTION("""COMPUTED_VALUE"""),"How to Find and Use Your Strengths")</f>
        <v>How to Find and Use Your Strengths</v>
      </c>
      <c r="E77" s="217"/>
      <c r="F77" s="213"/>
      <c r="G77" s="214"/>
      <c r="H77" s="215"/>
      <c r="I77" s="217"/>
      <c r="J77" s="217"/>
      <c r="K77" s="213"/>
      <c r="L77" s="215"/>
      <c r="M77" s="215"/>
      <c r="N77" s="217"/>
      <c r="O77" s="217"/>
      <c r="P77" s="213"/>
      <c r="Q77" s="215"/>
      <c r="R77" s="215"/>
      <c r="S77" s="217"/>
      <c r="T77" s="217"/>
      <c r="U77" s="213"/>
      <c r="V77" s="215"/>
      <c r="W77" s="215"/>
      <c r="X77" s="217"/>
      <c r="Y77" s="217"/>
      <c r="Z77" s="213"/>
      <c r="AA77" s="215"/>
      <c r="AB77" s="215"/>
      <c r="AC77" s="217"/>
      <c r="AD77" s="217"/>
      <c r="AE77" s="213"/>
      <c r="AF77" s="215"/>
      <c r="AG77" s="215"/>
      <c r="AH77" s="217"/>
      <c r="AI77" s="217"/>
      <c r="AJ77" s="213"/>
    </row>
    <row r="78" spans="1:36" ht="33.75" customHeight="1">
      <c r="A78" s="213"/>
      <c r="B78" s="214">
        <f ca="1">IFERROR(__xludf.DUMMYFUNCTION("""COMPUTED_VALUE"""),3011747)</f>
        <v>3011747</v>
      </c>
      <c r="C78" s="215" t="str">
        <f ca="1">IFERROR(__xludf.DUMMYFUNCTION("""COMPUTED_VALUE"""),"Beginner")</f>
        <v>Beginner</v>
      </c>
      <c r="D78" s="216" t="str">
        <f ca="1">IFERROR(__xludf.DUMMYFUNCTION("""COMPUTED_VALUE"""),"Increasing Confidence by Increasing Self-Awareness")</f>
        <v>Increasing Confidence by Increasing Self-Awareness</v>
      </c>
      <c r="E78" s="217"/>
      <c r="F78" s="213"/>
      <c r="G78" s="214"/>
      <c r="H78" s="215"/>
      <c r="I78" s="217"/>
      <c r="J78" s="217"/>
      <c r="K78" s="213"/>
      <c r="L78" s="215"/>
      <c r="M78" s="215"/>
      <c r="N78" s="217"/>
      <c r="O78" s="217"/>
      <c r="P78" s="213"/>
      <c r="Q78" s="215"/>
      <c r="R78" s="215"/>
      <c r="S78" s="217"/>
      <c r="T78" s="217"/>
      <c r="U78" s="213"/>
      <c r="V78" s="215"/>
      <c r="W78" s="215"/>
      <c r="X78" s="217"/>
      <c r="Y78" s="217"/>
      <c r="Z78" s="213"/>
      <c r="AA78" s="215"/>
      <c r="AB78" s="215"/>
      <c r="AC78" s="217"/>
      <c r="AD78" s="217"/>
      <c r="AE78" s="213"/>
      <c r="AF78" s="215"/>
      <c r="AG78" s="215"/>
      <c r="AH78" s="217"/>
      <c r="AI78" s="217"/>
      <c r="AJ78" s="213"/>
    </row>
    <row r="79" spans="1:36" ht="33.75" customHeight="1">
      <c r="A79" s="213"/>
      <c r="B79" s="214">
        <f ca="1">IFERROR(__xludf.DUMMYFUNCTION("""COMPUTED_VALUE"""),2315934)</f>
        <v>2315934</v>
      </c>
      <c r="C79" s="215" t="str">
        <f ca="1">IFERROR(__xludf.DUMMYFUNCTION("""COMPUTED_VALUE"""),"Beginner + Intermediate")</f>
        <v>Beginner + Intermediate</v>
      </c>
      <c r="D79" s="216" t="str">
        <f ca="1">IFERROR(__xludf.DUMMYFUNCTION("""COMPUTED_VALUE"""),"Supporting a Grieving Employee: A Manager's Guide")</f>
        <v>Supporting a Grieving Employee: A Manager's Guide</v>
      </c>
      <c r="E79" s="217"/>
      <c r="F79" s="213"/>
      <c r="G79" s="214"/>
      <c r="H79" s="215"/>
      <c r="I79" s="217"/>
      <c r="J79" s="217"/>
      <c r="K79" s="213"/>
      <c r="L79" s="215"/>
      <c r="M79" s="215"/>
      <c r="N79" s="217"/>
      <c r="O79" s="217"/>
      <c r="P79" s="213"/>
      <c r="Q79" s="215"/>
      <c r="R79" s="215"/>
      <c r="S79" s="217"/>
      <c r="T79" s="217"/>
      <c r="U79" s="213"/>
      <c r="V79" s="215"/>
      <c r="W79" s="215"/>
      <c r="X79" s="217"/>
      <c r="Y79" s="217"/>
      <c r="Z79" s="213"/>
      <c r="AA79" s="215"/>
      <c r="AB79" s="215"/>
      <c r="AC79" s="217"/>
      <c r="AD79" s="217"/>
      <c r="AE79" s="213"/>
      <c r="AF79" s="215"/>
      <c r="AG79" s="215"/>
      <c r="AH79" s="217"/>
      <c r="AI79" s="217"/>
      <c r="AJ79" s="213"/>
    </row>
    <row r="80" spans="1:36" ht="33.75" customHeight="1">
      <c r="A80" s="213"/>
      <c r="B80" s="214">
        <f ca="1">IFERROR(__xludf.DUMMYFUNCTION("""COMPUTED_VALUE"""),622050)</f>
        <v>622050</v>
      </c>
      <c r="C80" s="215" t="str">
        <f ca="1">IFERROR(__xludf.DUMMYFUNCTION("""COMPUTED_VALUE"""),"Beginner + Intermediate")</f>
        <v>Beginner + Intermediate</v>
      </c>
      <c r="D80" s="216" t="str">
        <f ca="1">IFERROR(__xludf.DUMMYFUNCTION("""COMPUTED_VALUE"""),"Developing Adaptable Employees")</f>
        <v>Developing Adaptable Employees</v>
      </c>
      <c r="E80" s="217"/>
      <c r="F80" s="213"/>
      <c r="G80" s="214"/>
      <c r="H80" s="215"/>
      <c r="I80" s="217"/>
      <c r="J80" s="217"/>
      <c r="K80" s="213"/>
      <c r="L80" s="215"/>
      <c r="M80" s="215"/>
      <c r="N80" s="217"/>
      <c r="O80" s="217"/>
      <c r="P80" s="213"/>
      <c r="Q80" s="215"/>
      <c r="R80" s="215"/>
      <c r="S80" s="217"/>
      <c r="T80" s="217"/>
      <c r="U80" s="213"/>
      <c r="V80" s="215"/>
      <c r="W80" s="215"/>
      <c r="X80" s="217"/>
      <c r="Y80" s="217"/>
      <c r="Z80" s="213"/>
      <c r="AA80" s="215"/>
      <c r="AB80" s="215"/>
      <c r="AC80" s="217"/>
      <c r="AD80" s="217"/>
      <c r="AE80" s="213"/>
      <c r="AF80" s="215"/>
      <c r="AG80" s="215"/>
      <c r="AH80" s="217"/>
      <c r="AI80" s="217"/>
      <c r="AJ80" s="213"/>
    </row>
    <row r="81" spans="1:36" ht="33.75" customHeight="1">
      <c r="A81" s="213"/>
      <c r="B81" s="214">
        <f ca="1">IFERROR(__xludf.DUMMYFUNCTION("""COMPUTED_VALUE"""),2870086)</f>
        <v>2870086</v>
      </c>
      <c r="C81" s="215" t="str">
        <f ca="1">IFERROR(__xludf.DUMMYFUNCTION("""COMPUTED_VALUE"""),"Beginner + Intermediate")</f>
        <v>Beginner + Intermediate</v>
      </c>
      <c r="D81" s="216" t="str">
        <f ca="1">IFERROR(__xludf.DUMMYFUNCTION("""COMPUTED_VALUE"""),"Facilities Management: Social Distancing and PPE")</f>
        <v>Facilities Management: Social Distancing and PPE</v>
      </c>
      <c r="E81" s="217"/>
      <c r="F81" s="213"/>
      <c r="G81" s="214"/>
      <c r="H81" s="215"/>
      <c r="I81" s="217"/>
      <c r="J81" s="217"/>
      <c r="K81" s="213"/>
      <c r="L81" s="215"/>
      <c r="M81" s="215"/>
      <c r="N81" s="217"/>
      <c r="O81" s="217"/>
      <c r="P81" s="213"/>
      <c r="Q81" s="215"/>
      <c r="R81" s="215"/>
      <c r="S81" s="217"/>
      <c r="T81" s="217"/>
      <c r="U81" s="213"/>
      <c r="V81" s="215"/>
      <c r="W81" s="215"/>
      <c r="X81" s="217"/>
      <c r="Y81" s="217"/>
      <c r="Z81" s="213"/>
      <c r="AA81" s="215"/>
      <c r="AB81" s="215"/>
      <c r="AC81" s="217"/>
      <c r="AD81" s="217"/>
      <c r="AE81" s="213"/>
      <c r="AF81" s="215"/>
      <c r="AG81" s="215"/>
      <c r="AH81" s="217"/>
      <c r="AI81" s="217"/>
      <c r="AJ81" s="213"/>
    </row>
    <row r="82" spans="1:36" ht="33.75" customHeight="1">
      <c r="A82" s="213"/>
      <c r="B82" s="214">
        <f ca="1">IFERROR(__xludf.DUMMYFUNCTION("""COMPUTED_VALUE"""),659269)</f>
        <v>659269</v>
      </c>
      <c r="C82" s="215" t="str">
        <f ca="1">IFERROR(__xludf.DUMMYFUNCTION("""COMPUTED_VALUE"""),"Beginner + Intermediate")</f>
        <v>Beginner + Intermediate</v>
      </c>
      <c r="D82" s="216" t="str">
        <f ca="1">IFERROR(__xludf.DUMMYFUNCTION("""COMPUTED_VALUE"""),"Managing Stress for Positive Change")</f>
        <v>Managing Stress for Positive Change</v>
      </c>
      <c r="E82" s="217"/>
      <c r="F82" s="213"/>
      <c r="G82" s="214"/>
      <c r="H82" s="215"/>
      <c r="I82" s="217"/>
      <c r="J82" s="217"/>
      <c r="K82" s="213"/>
      <c r="L82" s="215"/>
      <c r="M82" s="215"/>
      <c r="N82" s="217"/>
      <c r="O82" s="217"/>
      <c r="P82" s="213"/>
      <c r="Q82" s="215"/>
      <c r="R82" s="215"/>
      <c r="S82" s="217"/>
      <c r="T82" s="217"/>
      <c r="U82" s="213"/>
      <c r="V82" s="215"/>
      <c r="W82" s="215"/>
      <c r="X82" s="217"/>
      <c r="Y82" s="217"/>
      <c r="Z82" s="213"/>
      <c r="AA82" s="215"/>
      <c r="AB82" s="215"/>
      <c r="AC82" s="217"/>
      <c r="AD82" s="217"/>
      <c r="AE82" s="213"/>
      <c r="AF82" s="215"/>
      <c r="AG82" s="215"/>
      <c r="AH82" s="217"/>
      <c r="AI82" s="217"/>
      <c r="AJ82" s="213"/>
    </row>
    <row r="83" spans="1:36" ht="33.75" customHeight="1">
      <c r="A83" s="213"/>
      <c r="B83" s="214">
        <f ca="1">IFERROR(__xludf.DUMMYFUNCTION("""COMPUTED_VALUE"""),2212156)</f>
        <v>2212156</v>
      </c>
      <c r="C83" s="215" t="str">
        <f ca="1">IFERROR(__xludf.DUMMYFUNCTION("""COMPUTED_VALUE"""),"Beginner + Intermediate")</f>
        <v>Beginner + Intermediate</v>
      </c>
      <c r="D83" s="216" t="str">
        <f ca="1">IFERROR(__xludf.DUMMYFUNCTION("""COMPUTED_VALUE"""),"Mindful Meditations for Work and Life")</f>
        <v>Mindful Meditations for Work and Life</v>
      </c>
      <c r="E83" s="217"/>
      <c r="F83" s="213"/>
      <c r="G83" s="214"/>
      <c r="H83" s="215"/>
      <c r="I83" s="217"/>
      <c r="J83" s="217"/>
      <c r="K83" s="213"/>
      <c r="L83" s="215"/>
      <c r="M83" s="215"/>
      <c r="N83" s="217"/>
      <c r="O83" s="217"/>
      <c r="P83" s="213"/>
      <c r="Q83" s="215"/>
      <c r="R83" s="215"/>
      <c r="S83" s="217"/>
      <c r="T83" s="217"/>
      <c r="U83" s="213"/>
      <c r="V83" s="215"/>
      <c r="W83" s="215"/>
      <c r="X83" s="217"/>
      <c r="Y83" s="217"/>
      <c r="Z83" s="213"/>
      <c r="AA83" s="215"/>
      <c r="AB83" s="215"/>
      <c r="AC83" s="217"/>
      <c r="AD83" s="217"/>
      <c r="AE83" s="213"/>
      <c r="AF83" s="215"/>
      <c r="AG83" s="215"/>
      <c r="AH83" s="217"/>
      <c r="AI83" s="217"/>
      <c r="AJ83" s="213"/>
    </row>
    <row r="84" spans="1:36" ht="33.75" customHeight="1">
      <c r="A84" s="213"/>
      <c r="B84" s="214">
        <f ca="1">IFERROR(__xludf.DUMMYFUNCTION("""COMPUTED_VALUE"""),2848327)</f>
        <v>2848327</v>
      </c>
      <c r="C84" s="215" t="str">
        <f ca="1">IFERROR(__xludf.DUMMYFUNCTION("""COMPUTED_VALUE"""),"Beginner + Intermediate")</f>
        <v>Beginner + Intermediate</v>
      </c>
      <c r="D84" s="216" t="str">
        <f ca="1">IFERROR(__xludf.DUMMYFUNCTION("""COMPUTED_VALUE"""),"The 45-Minute Business Plan")</f>
        <v>The 45-Minute Business Plan</v>
      </c>
      <c r="E84" s="217"/>
      <c r="F84" s="213"/>
      <c r="G84" s="214"/>
      <c r="H84" s="215"/>
      <c r="I84" s="217"/>
      <c r="J84" s="217"/>
      <c r="K84" s="213"/>
      <c r="L84" s="215"/>
      <c r="M84" s="215"/>
      <c r="N84" s="217"/>
      <c r="O84" s="217"/>
      <c r="P84" s="213"/>
      <c r="Q84" s="215"/>
      <c r="R84" s="215"/>
      <c r="S84" s="217"/>
      <c r="T84" s="217"/>
      <c r="U84" s="213"/>
      <c r="V84" s="215"/>
      <c r="W84" s="215"/>
      <c r="X84" s="217"/>
      <c r="Y84" s="217"/>
      <c r="Z84" s="213"/>
      <c r="AA84" s="215"/>
      <c r="AB84" s="215"/>
      <c r="AC84" s="217"/>
      <c r="AD84" s="217"/>
      <c r="AE84" s="213"/>
      <c r="AF84" s="215"/>
      <c r="AG84" s="215"/>
      <c r="AH84" s="217"/>
      <c r="AI84" s="217"/>
      <c r="AJ84" s="213"/>
    </row>
    <row r="85" spans="1:36" ht="33.75" customHeight="1">
      <c r="A85" s="213"/>
      <c r="B85" s="214">
        <f ca="1">IFERROR(__xludf.DUMMYFUNCTION("""COMPUTED_VALUE"""),2242044)</f>
        <v>2242044</v>
      </c>
      <c r="C85" s="215" t="str">
        <f ca="1">IFERROR(__xludf.DUMMYFUNCTION("""COMPUTED_VALUE"""),"General")</f>
        <v>General</v>
      </c>
      <c r="D85" s="216" t="str">
        <f ca="1">IFERROR(__xludf.DUMMYFUNCTION("""COMPUTED_VALUE"""),"The Leader’s Guide to Mindfulness (getAbstract Summary)")</f>
        <v>The Leader’s Guide to Mindfulness (getAbstract Summary)</v>
      </c>
      <c r="E85" s="217"/>
      <c r="F85" s="213"/>
      <c r="G85" s="214"/>
      <c r="H85" s="215"/>
      <c r="I85" s="217"/>
      <c r="J85" s="217"/>
      <c r="K85" s="213"/>
      <c r="L85" s="215"/>
      <c r="M85" s="215"/>
      <c r="N85" s="217"/>
      <c r="O85" s="217"/>
      <c r="P85" s="213"/>
      <c r="Q85" s="215"/>
      <c r="R85" s="215"/>
      <c r="S85" s="217"/>
      <c r="T85" s="217"/>
      <c r="U85" s="213"/>
      <c r="V85" s="215"/>
      <c r="W85" s="215"/>
      <c r="X85" s="217"/>
      <c r="Y85" s="217"/>
      <c r="Z85" s="213"/>
      <c r="AA85" s="215"/>
      <c r="AB85" s="215"/>
      <c r="AC85" s="217"/>
      <c r="AD85" s="217"/>
      <c r="AE85" s="213"/>
      <c r="AF85" s="215"/>
      <c r="AG85" s="215"/>
      <c r="AH85" s="217"/>
      <c r="AI85" s="217"/>
      <c r="AJ85" s="213"/>
    </row>
    <row r="86" spans="1:36" ht="33.75" customHeight="1">
      <c r="A86" s="213"/>
      <c r="B86" s="214">
        <f ca="1">IFERROR(__xludf.DUMMYFUNCTION("""COMPUTED_VALUE"""),2886118)</f>
        <v>2886118</v>
      </c>
      <c r="C86" s="215" t="str">
        <f ca="1">IFERROR(__xludf.DUMMYFUNCTION("""COMPUTED_VALUE"""),"General")</f>
        <v>General</v>
      </c>
      <c r="D86" s="216" t="str">
        <f ca="1">IFERROR(__xludf.DUMMYFUNCTION("""COMPUTED_VALUE"""),"Sharing Your Best Self at Work")</f>
        <v>Sharing Your Best Self at Work</v>
      </c>
      <c r="E86" s="217"/>
      <c r="F86" s="213"/>
      <c r="G86" s="214"/>
      <c r="H86" s="215"/>
      <c r="I86" s="217"/>
      <c r="J86" s="217"/>
      <c r="K86" s="213"/>
      <c r="L86" s="215"/>
      <c r="M86" s="215"/>
      <c r="N86" s="217"/>
      <c r="O86" s="217"/>
      <c r="P86" s="213"/>
      <c r="Q86" s="215"/>
      <c r="R86" s="215"/>
      <c r="S86" s="217"/>
      <c r="T86" s="217"/>
      <c r="U86" s="213"/>
      <c r="V86" s="215"/>
      <c r="W86" s="215"/>
      <c r="X86" s="217"/>
      <c r="Y86" s="217"/>
      <c r="Z86" s="213"/>
      <c r="AA86" s="215"/>
      <c r="AB86" s="215"/>
      <c r="AC86" s="217"/>
      <c r="AD86" s="217"/>
      <c r="AE86" s="213"/>
      <c r="AF86" s="215"/>
      <c r="AG86" s="215"/>
      <c r="AH86" s="217"/>
      <c r="AI86" s="217"/>
      <c r="AJ86" s="213"/>
    </row>
    <row r="87" spans="1:36" ht="33.75" customHeight="1">
      <c r="A87" s="213"/>
      <c r="B87" s="214">
        <f ca="1">IFERROR(__xludf.DUMMYFUNCTION("""COMPUTED_VALUE"""),2885000)</f>
        <v>2885000</v>
      </c>
      <c r="C87" s="215" t="str">
        <f ca="1">IFERROR(__xludf.DUMMYFUNCTION("""COMPUTED_VALUE"""),"General")</f>
        <v>General</v>
      </c>
      <c r="D87" s="216" t="str">
        <f ca="1">IFERROR(__xludf.DUMMYFUNCTION("""COMPUTED_VALUE"""),"Use an Entrepreneurial Mindset to Find Success and Fulfillment at Work")</f>
        <v>Use an Entrepreneurial Mindset to Find Success and Fulfillment at Work</v>
      </c>
      <c r="E87" s="217"/>
      <c r="F87" s="213"/>
      <c r="G87" s="214"/>
      <c r="H87" s="215"/>
      <c r="I87" s="217"/>
      <c r="J87" s="217"/>
      <c r="K87" s="213"/>
      <c r="L87" s="215"/>
      <c r="M87" s="215"/>
      <c r="N87" s="217"/>
      <c r="O87" s="217"/>
      <c r="P87" s="213"/>
      <c r="Q87" s="215"/>
      <c r="R87" s="215"/>
      <c r="S87" s="217"/>
      <c r="T87" s="217"/>
      <c r="U87" s="213"/>
      <c r="V87" s="215"/>
      <c r="W87" s="215"/>
      <c r="X87" s="217"/>
      <c r="Y87" s="217"/>
      <c r="Z87" s="213"/>
      <c r="AA87" s="215"/>
      <c r="AB87" s="215"/>
      <c r="AC87" s="217"/>
      <c r="AD87" s="217"/>
      <c r="AE87" s="213"/>
      <c r="AF87" s="215"/>
      <c r="AG87" s="215"/>
      <c r="AH87" s="217"/>
      <c r="AI87" s="217"/>
      <c r="AJ87" s="213"/>
    </row>
    <row r="88" spans="1:36" ht="33.75" customHeight="1">
      <c r="A88" s="213"/>
      <c r="B88" s="214">
        <f ca="1">IFERROR(__xludf.DUMMYFUNCTION("""COMPUTED_VALUE"""),2886000)</f>
        <v>2886000</v>
      </c>
      <c r="C88" s="215" t="str">
        <f ca="1">IFERROR(__xludf.DUMMYFUNCTION("""COMPUTED_VALUE"""),"General")</f>
        <v>General</v>
      </c>
      <c r="D88" s="217" t="str">
        <f ca="1">IFERROR(__xludf.DUMMYFUNCTION("""COMPUTED_VALUE"""),"Practices for Regulating Your Nervous System and Reducing Stress")</f>
        <v>Practices for Regulating Your Nervous System and Reducing Stress</v>
      </c>
      <c r="E88" s="217"/>
      <c r="F88" s="213"/>
      <c r="G88" s="214"/>
      <c r="H88" s="215"/>
      <c r="I88" s="217"/>
      <c r="J88" s="217"/>
      <c r="K88" s="213"/>
      <c r="L88" s="215"/>
      <c r="M88" s="215"/>
      <c r="N88" s="217"/>
      <c r="O88" s="217"/>
      <c r="P88" s="213"/>
      <c r="Q88" s="215"/>
      <c r="R88" s="215"/>
      <c r="S88" s="217"/>
      <c r="T88" s="217"/>
      <c r="U88" s="213"/>
      <c r="V88" s="215"/>
      <c r="W88" s="215"/>
      <c r="X88" s="217"/>
      <c r="Y88" s="217"/>
      <c r="Z88" s="213"/>
      <c r="AA88" s="215"/>
      <c r="AB88" s="215"/>
      <c r="AC88" s="217"/>
      <c r="AD88" s="217"/>
      <c r="AE88" s="213"/>
      <c r="AF88" s="215"/>
      <c r="AG88" s="215"/>
      <c r="AH88" s="217"/>
      <c r="AI88" s="217"/>
      <c r="AJ88" s="213"/>
    </row>
    <row r="89" spans="1:36" ht="16">
      <c r="A89" s="213"/>
      <c r="B89" s="214">
        <f ca="1">IFERROR(__xludf.DUMMYFUNCTION("""COMPUTED_VALUE"""),2880016)</f>
        <v>2880016</v>
      </c>
      <c r="C89" s="215" t="str">
        <f ca="1">IFERROR(__xludf.DUMMYFUNCTION("""COMPUTED_VALUE"""),"General")</f>
        <v>General</v>
      </c>
      <c r="D89" s="216" t="str">
        <f ca="1">IFERROR(__xludf.DUMMYFUNCTION("""COMPUTED_VALUE"""),"Staying Positive in the Face of Negativity")</f>
        <v>Staying Positive in the Face of Negativity</v>
      </c>
      <c r="E89" s="217"/>
      <c r="F89" s="213"/>
      <c r="G89" s="214"/>
      <c r="H89" s="215"/>
      <c r="I89" s="217"/>
      <c r="J89" s="217"/>
      <c r="K89" s="213"/>
      <c r="L89" s="215"/>
      <c r="M89" s="215"/>
      <c r="N89" s="217"/>
      <c r="O89" s="217"/>
      <c r="P89" s="213"/>
      <c r="Q89" s="215"/>
      <c r="R89" s="215"/>
      <c r="S89" s="217"/>
      <c r="T89" s="217"/>
      <c r="U89" s="213"/>
      <c r="V89" s="215"/>
      <c r="W89" s="215"/>
      <c r="X89" s="217"/>
      <c r="Y89" s="217"/>
      <c r="Z89" s="213"/>
      <c r="AA89" s="215"/>
      <c r="AB89" s="215"/>
      <c r="AC89" s="217"/>
      <c r="AD89" s="217"/>
      <c r="AE89" s="213"/>
      <c r="AF89" s="215"/>
      <c r="AG89" s="215"/>
      <c r="AH89" s="217"/>
      <c r="AI89" s="217"/>
      <c r="AJ89" s="213"/>
    </row>
    <row r="90" spans="1:36" ht="16">
      <c r="A90" s="213"/>
      <c r="B90" s="214">
        <f ca="1">IFERROR(__xludf.DUMMYFUNCTION("""COMPUTED_VALUE"""),2893007)</f>
        <v>2893007</v>
      </c>
      <c r="C90" s="215" t="str">
        <f ca="1">IFERROR(__xludf.DUMMYFUNCTION("""COMPUTED_VALUE"""),"General")</f>
        <v>General</v>
      </c>
      <c r="D90" s="216" t="str">
        <f ca="1">IFERROR(__xludf.DUMMYFUNCTION("""COMPUTED_VALUE"""),"Cultivate Healthy Ambition")</f>
        <v>Cultivate Healthy Ambition</v>
      </c>
      <c r="E90" s="217"/>
      <c r="F90" s="213"/>
      <c r="G90" s="214"/>
      <c r="H90" s="215"/>
      <c r="I90" s="217"/>
      <c r="J90" s="217"/>
      <c r="K90" s="213"/>
      <c r="L90" s="215"/>
      <c r="M90" s="215"/>
      <c r="N90" s="217"/>
      <c r="O90" s="217"/>
      <c r="P90" s="213"/>
      <c r="Q90" s="215"/>
      <c r="R90" s="215"/>
      <c r="S90" s="217"/>
      <c r="T90" s="217"/>
      <c r="U90" s="213"/>
      <c r="V90" s="215"/>
      <c r="W90" s="215"/>
      <c r="X90" s="217"/>
      <c r="Y90" s="217"/>
      <c r="Z90" s="213"/>
      <c r="AA90" s="215"/>
      <c r="AB90" s="215"/>
      <c r="AC90" s="217"/>
      <c r="AD90" s="217"/>
      <c r="AE90" s="213"/>
      <c r="AF90" s="215"/>
      <c r="AG90" s="215"/>
      <c r="AH90" s="217"/>
      <c r="AI90" s="217"/>
      <c r="AJ90" s="213"/>
    </row>
    <row r="91" spans="1:36" ht="30">
      <c r="A91" s="213"/>
      <c r="B91" s="214">
        <f ca="1">IFERROR(__xludf.DUMMYFUNCTION("""COMPUTED_VALUE"""),444524)</f>
        <v>444524</v>
      </c>
      <c r="C91" s="215" t="str">
        <f ca="1">IFERROR(__xludf.DUMMYFUNCTION("""COMPUTED_VALUE"""),"General")</f>
        <v>General</v>
      </c>
      <c r="D91" s="216" t="str">
        <f ca="1">IFERROR(__xludf.DUMMYFUNCTION("""COMPUTED_VALUE"""),"Gretchen Rubin on Creating Great Workplace Habits")</f>
        <v>Gretchen Rubin on Creating Great Workplace Habits</v>
      </c>
      <c r="E91" s="217"/>
      <c r="F91" s="213"/>
      <c r="G91" s="214"/>
      <c r="H91" s="215"/>
      <c r="I91" s="217"/>
      <c r="J91" s="217"/>
      <c r="K91" s="213"/>
      <c r="L91" s="215"/>
      <c r="M91" s="215"/>
      <c r="N91" s="217"/>
      <c r="O91" s="217"/>
      <c r="P91" s="213"/>
      <c r="Q91" s="215"/>
      <c r="R91" s="215"/>
      <c r="S91" s="217"/>
      <c r="T91" s="217"/>
      <c r="U91" s="213"/>
      <c r="V91" s="215"/>
      <c r="W91" s="215"/>
      <c r="X91" s="217"/>
      <c r="Y91" s="217"/>
      <c r="Z91" s="213"/>
      <c r="AA91" s="215"/>
      <c r="AB91" s="215"/>
      <c r="AC91" s="217"/>
      <c r="AD91" s="217"/>
      <c r="AE91" s="213"/>
      <c r="AF91" s="215"/>
      <c r="AG91" s="215"/>
      <c r="AH91" s="217"/>
      <c r="AI91" s="217"/>
      <c r="AJ91" s="213"/>
    </row>
    <row r="92" spans="1:36" ht="30">
      <c r="A92" s="213"/>
      <c r="B92" s="214">
        <f ca="1">IFERROR(__xludf.DUMMYFUNCTION("""COMPUTED_VALUE"""),604203)</f>
        <v>604203</v>
      </c>
      <c r="C92" s="215" t="str">
        <f ca="1">IFERROR(__xludf.DUMMYFUNCTION("""COMPUTED_VALUE"""),"General")</f>
        <v>General</v>
      </c>
      <c r="D92" s="216" t="str">
        <f ca="1">IFERROR(__xludf.DUMMYFUNCTION("""COMPUTED_VALUE"""),"Arianna Huffington's Thrive 01: Discovering Meditation and Sleep")</f>
        <v>Arianna Huffington's Thrive 01: Discovering Meditation and Sleep</v>
      </c>
      <c r="E92" s="217"/>
      <c r="F92" s="213"/>
      <c r="G92" s="214"/>
      <c r="H92" s="215"/>
      <c r="I92" s="217"/>
      <c r="J92" s="217"/>
      <c r="K92" s="213"/>
      <c r="L92" s="215"/>
      <c r="M92" s="215"/>
      <c r="N92" s="217"/>
      <c r="O92" s="217"/>
      <c r="P92" s="213"/>
      <c r="Q92" s="215"/>
      <c r="R92" s="215"/>
      <c r="S92" s="217"/>
      <c r="T92" s="217"/>
      <c r="U92" s="213"/>
      <c r="V92" s="215"/>
      <c r="W92" s="215"/>
      <c r="X92" s="217"/>
      <c r="Y92" s="217"/>
      <c r="Z92" s="213"/>
      <c r="AA92" s="215"/>
      <c r="AB92" s="215"/>
      <c r="AC92" s="217"/>
      <c r="AD92" s="217"/>
      <c r="AE92" s="213"/>
      <c r="AF92" s="215"/>
      <c r="AG92" s="215"/>
      <c r="AH92" s="217"/>
      <c r="AI92" s="217"/>
      <c r="AJ92" s="213"/>
    </row>
    <row r="93" spans="1:36" ht="30">
      <c r="A93" s="213"/>
      <c r="B93" s="214">
        <f ca="1">IFERROR(__xludf.DUMMYFUNCTION("""COMPUTED_VALUE"""),669533)</f>
        <v>669533</v>
      </c>
      <c r="C93" s="215" t="str">
        <f ca="1">IFERROR(__xludf.DUMMYFUNCTION("""COMPUTED_VALUE"""),"General")</f>
        <v>General</v>
      </c>
      <c r="D93" s="216" t="str">
        <f ca="1">IFERROR(__xludf.DUMMYFUNCTION("""COMPUTED_VALUE"""),"Sheryl Sandberg and Adam Grant on Option B: Building Resilience")</f>
        <v>Sheryl Sandberg and Adam Grant on Option B: Building Resilience</v>
      </c>
      <c r="E93" s="217"/>
      <c r="F93" s="213"/>
      <c r="G93" s="214"/>
      <c r="H93" s="215"/>
      <c r="I93" s="217"/>
      <c r="J93" s="217"/>
      <c r="K93" s="213"/>
      <c r="L93" s="215"/>
      <c r="M93" s="215"/>
      <c r="N93" s="217"/>
      <c r="O93" s="217"/>
      <c r="P93" s="213"/>
      <c r="Q93" s="215"/>
      <c r="R93" s="215"/>
      <c r="S93" s="217"/>
      <c r="T93" s="217"/>
      <c r="U93" s="213"/>
      <c r="V93" s="215"/>
      <c r="W93" s="215"/>
      <c r="X93" s="217"/>
      <c r="Y93" s="217"/>
      <c r="Z93" s="213"/>
      <c r="AA93" s="215"/>
      <c r="AB93" s="215"/>
      <c r="AC93" s="217"/>
      <c r="AD93" s="217"/>
      <c r="AE93" s="213"/>
      <c r="AF93" s="215"/>
      <c r="AG93" s="215"/>
      <c r="AH93" s="217"/>
      <c r="AI93" s="217"/>
      <c r="AJ93" s="213"/>
    </row>
    <row r="94" spans="1:36" ht="30">
      <c r="A94" s="213"/>
      <c r="B94" s="214">
        <f ca="1">IFERROR(__xludf.DUMMYFUNCTION("""COMPUTED_VALUE"""),604204)</f>
        <v>604204</v>
      </c>
      <c r="C94" s="215" t="str">
        <f ca="1">IFERROR(__xludf.DUMMYFUNCTION("""COMPUTED_VALUE"""),"General")</f>
        <v>General</v>
      </c>
      <c r="D94" s="216" t="str">
        <f ca="1">IFERROR(__xludf.DUMMYFUNCTION("""COMPUTED_VALUE"""),"Arianna Huffington's Thrive 02: Learning How to Unplug and Recharge")</f>
        <v>Arianna Huffington's Thrive 02: Learning How to Unplug and Recharge</v>
      </c>
      <c r="E94" s="217"/>
      <c r="F94" s="213"/>
      <c r="G94" s="214"/>
      <c r="H94" s="215"/>
      <c r="I94" s="217"/>
      <c r="J94" s="217"/>
      <c r="K94" s="213"/>
      <c r="L94" s="215"/>
      <c r="M94" s="215"/>
      <c r="N94" s="217"/>
      <c r="O94" s="217"/>
      <c r="P94" s="213"/>
      <c r="Q94" s="215"/>
      <c r="R94" s="215"/>
      <c r="S94" s="217"/>
      <c r="T94" s="217"/>
      <c r="U94" s="213"/>
      <c r="V94" s="215"/>
      <c r="W94" s="215"/>
      <c r="X94" s="217"/>
      <c r="Y94" s="217"/>
      <c r="Z94" s="213"/>
      <c r="AA94" s="215"/>
      <c r="AB94" s="215"/>
      <c r="AC94" s="217"/>
      <c r="AD94" s="217"/>
      <c r="AE94" s="213"/>
      <c r="AF94" s="215"/>
      <c r="AG94" s="215"/>
      <c r="AH94" s="217"/>
      <c r="AI94" s="217"/>
      <c r="AJ94" s="213"/>
    </row>
    <row r="95" spans="1:36" ht="30">
      <c r="A95" s="213"/>
      <c r="B95" s="214">
        <f ca="1">IFERROR(__xludf.DUMMYFUNCTION("""COMPUTED_VALUE"""),604207)</f>
        <v>604207</v>
      </c>
      <c r="C95" s="215" t="str">
        <f ca="1">IFERROR(__xludf.DUMMYFUNCTION("""COMPUTED_VALUE"""),"General")</f>
        <v>General</v>
      </c>
      <c r="D95" s="216" t="str">
        <f ca="1">IFERROR(__xludf.DUMMYFUNCTION("""COMPUTED_VALUE"""),"Arianna Huffington's Thrive 05: Igniting Joy through Presence and Wonder")</f>
        <v>Arianna Huffington's Thrive 05: Igniting Joy through Presence and Wonder</v>
      </c>
      <c r="E95" s="217"/>
      <c r="F95" s="213"/>
      <c r="G95" s="214"/>
      <c r="H95" s="215"/>
      <c r="I95" s="217"/>
      <c r="J95" s="217"/>
      <c r="K95" s="213"/>
      <c r="L95" s="215"/>
      <c r="M95" s="215"/>
      <c r="N95" s="217"/>
      <c r="O95" s="217"/>
      <c r="P95" s="213"/>
      <c r="Q95" s="215"/>
      <c r="R95" s="215"/>
      <c r="S95" s="217"/>
      <c r="T95" s="217"/>
      <c r="U95" s="213"/>
      <c r="V95" s="215"/>
      <c r="W95" s="215"/>
      <c r="X95" s="217"/>
      <c r="Y95" s="217"/>
      <c r="Z95" s="213"/>
      <c r="AA95" s="215"/>
      <c r="AB95" s="215"/>
      <c r="AC95" s="217"/>
      <c r="AD95" s="217"/>
      <c r="AE95" s="213"/>
      <c r="AF95" s="215"/>
      <c r="AG95" s="215"/>
      <c r="AH95" s="217"/>
      <c r="AI95" s="217"/>
      <c r="AJ95" s="213"/>
    </row>
    <row r="96" spans="1:36" ht="16">
      <c r="A96" s="213"/>
      <c r="B96" s="214">
        <f ca="1">IFERROR(__xludf.DUMMYFUNCTION("""COMPUTED_VALUE"""),2817014)</f>
        <v>2817014</v>
      </c>
      <c r="C96" s="215" t="str">
        <f ca="1">IFERROR(__xludf.DUMMYFUNCTION("""COMPUTED_VALUE"""),"General")</f>
        <v>General</v>
      </c>
      <c r="D96" s="217" t="str">
        <f ca="1">IFERROR(__xludf.DUMMYFUNCTION("""COMPUTED_VALUE"""),"Being the Best You: Self-Improvement Modeling")</f>
        <v>Being the Best You: Self-Improvement Modeling</v>
      </c>
      <c r="E96" s="217"/>
      <c r="F96" s="213"/>
      <c r="G96" s="214"/>
      <c r="H96" s="215"/>
      <c r="I96" s="217"/>
      <c r="J96" s="217"/>
      <c r="K96" s="213"/>
      <c r="L96" s="215"/>
      <c r="M96" s="215"/>
      <c r="N96" s="217"/>
      <c r="O96" s="217"/>
      <c r="P96" s="213"/>
      <c r="Q96" s="215"/>
      <c r="R96" s="215"/>
      <c r="S96" s="217"/>
      <c r="T96" s="217"/>
      <c r="U96" s="213"/>
      <c r="V96" s="215"/>
      <c r="W96" s="215"/>
      <c r="X96" s="217"/>
      <c r="Y96" s="217"/>
      <c r="Z96" s="213"/>
      <c r="AA96" s="215"/>
      <c r="AB96" s="215"/>
      <c r="AC96" s="217"/>
      <c r="AD96" s="217"/>
      <c r="AE96" s="213"/>
      <c r="AF96" s="215"/>
      <c r="AG96" s="215"/>
      <c r="AH96" s="217"/>
      <c r="AI96" s="217"/>
      <c r="AJ96" s="213"/>
    </row>
    <row r="97" spans="1:36" ht="30">
      <c r="A97" s="213"/>
      <c r="B97" s="214">
        <f ca="1">IFERROR(__xludf.DUMMYFUNCTION("""COMPUTED_VALUE"""),2315933)</f>
        <v>2315933</v>
      </c>
      <c r="C97" s="215" t="str">
        <f ca="1">IFERROR(__xludf.DUMMYFUNCTION("""COMPUTED_VALUE"""),"General")</f>
        <v>General</v>
      </c>
      <c r="D97" s="217" t="str">
        <f ca="1">IFERROR(__xludf.DUMMYFUNCTION("""COMPUTED_VALUE"""),"Supporting Your Mental Health While Working from Home")</f>
        <v>Supporting Your Mental Health While Working from Home</v>
      </c>
      <c r="E97" s="217"/>
      <c r="F97" s="213"/>
      <c r="G97" s="214"/>
      <c r="H97" s="215"/>
      <c r="I97" s="217"/>
      <c r="J97" s="217"/>
      <c r="K97" s="213"/>
      <c r="L97" s="215"/>
      <c r="M97" s="215"/>
      <c r="N97" s="217"/>
      <c r="O97" s="217"/>
      <c r="P97" s="213"/>
      <c r="Q97" s="215"/>
      <c r="R97" s="215"/>
      <c r="S97" s="217"/>
      <c r="T97" s="217"/>
      <c r="U97" s="213"/>
      <c r="V97" s="215"/>
      <c r="W97" s="215"/>
      <c r="X97" s="217"/>
      <c r="Y97" s="217"/>
      <c r="Z97" s="213"/>
      <c r="AA97" s="215"/>
      <c r="AB97" s="215"/>
      <c r="AC97" s="217"/>
      <c r="AD97" s="217"/>
      <c r="AE97" s="213"/>
      <c r="AF97" s="215"/>
      <c r="AG97" s="215"/>
      <c r="AH97" s="217"/>
      <c r="AI97" s="217"/>
      <c r="AJ97" s="213"/>
    </row>
    <row r="98" spans="1:36" ht="16">
      <c r="A98" s="213"/>
      <c r="B98" s="214">
        <f ca="1">IFERROR(__xludf.DUMMYFUNCTION("""COMPUTED_VALUE"""),721912)</f>
        <v>721912</v>
      </c>
      <c r="C98" s="215" t="str">
        <f ca="1">IFERROR(__xludf.DUMMYFUNCTION("""COMPUTED_VALUE"""),"General")</f>
        <v>General</v>
      </c>
      <c r="D98" s="217" t="str">
        <f ca="1">IFERROR(__xludf.DUMMYFUNCTION("""COMPUTED_VALUE"""),"Life Mastery: Achieving Happiness and Success")</f>
        <v>Life Mastery: Achieving Happiness and Success</v>
      </c>
      <c r="E98" s="217"/>
      <c r="F98" s="213"/>
      <c r="G98" s="214"/>
      <c r="H98" s="215"/>
      <c r="I98" s="217"/>
      <c r="J98" s="217"/>
      <c r="K98" s="213"/>
      <c r="L98" s="215"/>
      <c r="M98" s="215"/>
      <c r="N98" s="217"/>
      <c r="O98" s="217"/>
      <c r="P98" s="213"/>
      <c r="Q98" s="215"/>
      <c r="R98" s="215"/>
      <c r="S98" s="217"/>
      <c r="T98" s="217"/>
      <c r="U98" s="213"/>
      <c r="V98" s="215"/>
      <c r="W98" s="215"/>
      <c r="X98" s="217"/>
      <c r="Y98" s="217"/>
      <c r="Z98" s="213"/>
      <c r="AA98" s="215"/>
      <c r="AB98" s="215"/>
      <c r="AC98" s="217"/>
      <c r="AD98" s="217"/>
      <c r="AE98" s="213"/>
      <c r="AF98" s="215"/>
      <c r="AG98" s="215"/>
      <c r="AH98" s="217"/>
      <c r="AI98" s="217"/>
      <c r="AJ98" s="213"/>
    </row>
    <row r="99" spans="1:36" ht="30">
      <c r="A99" s="213"/>
      <c r="B99" s="214">
        <f ca="1">IFERROR(__xludf.DUMMYFUNCTION("""COMPUTED_VALUE"""),604208)</f>
        <v>604208</v>
      </c>
      <c r="C99" s="215" t="str">
        <f ca="1">IFERROR(__xludf.DUMMYFUNCTION("""COMPUTED_VALUE"""),"General")</f>
        <v>General</v>
      </c>
      <c r="D99" s="217" t="str">
        <f ca="1">IFERROR(__xludf.DUMMYFUNCTION("""COMPUTED_VALUE"""),"Arianna Huffington's Thrive 06: Understanding the Link between Giving and Success")</f>
        <v>Arianna Huffington's Thrive 06: Understanding the Link between Giving and Success</v>
      </c>
      <c r="E99" s="217"/>
      <c r="F99" s="213"/>
      <c r="G99" s="214"/>
      <c r="H99" s="215"/>
      <c r="I99" s="218"/>
      <c r="J99" s="219"/>
      <c r="K99" s="213"/>
      <c r="L99" s="215"/>
      <c r="M99" s="215"/>
      <c r="N99" s="220"/>
      <c r="O99" s="220"/>
      <c r="P99" s="213"/>
      <c r="Q99" s="215"/>
      <c r="R99" s="215"/>
      <c r="S99" s="220"/>
      <c r="T99" s="220"/>
      <c r="U99" s="213"/>
      <c r="V99" s="215"/>
      <c r="W99" s="215"/>
      <c r="X99" s="220"/>
      <c r="Y99" s="220"/>
      <c r="Z99" s="213"/>
      <c r="AA99" s="215"/>
      <c r="AB99" s="215"/>
      <c r="AC99" s="221"/>
      <c r="AD99" s="221"/>
      <c r="AE99" s="213"/>
      <c r="AF99" s="215"/>
      <c r="AG99" s="215"/>
      <c r="AH99" s="220"/>
      <c r="AI99" s="220"/>
      <c r="AJ99" s="213"/>
    </row>
    <row r="100" spans="1:36" ht="15" customHeight="1">
      <c r="B100">
        <f ca="1">IFERROR(__xludf.DUMMYFUNCTION("""COMPUTED_VALUE"""),373786)</f>
        <v>373786</v>
      </c>
      <c r="C100" t="str">
        <f ca="1">IFERROR(__xludf.DUMMYFUNCTION("""COMPUTED_VALUE"""),"General")</f>
        <v>General</v>
      </c>
      <c r="D100" t="str">
        <f ca="1">IFERROR(__xludf.DUMMYFUNCTION("""COMPUTED_VALUE"""),"Learning to Say No")</f>
        <v>Learning to Say No</v>
      </c>
    </row>
    <row r="101" spans="1:36" ht="15" customHeight="1">
      <c r="B101">
        <f ca="1">IFERROR(__xludf.DUMMYFUNCTION("""COMPUTED_VALUE"""),2243046)</f>
        <v>2243046</v>
      </c>
      <c r="C101" t="str">
        <f ca="1">IFERROR(__xludf.DUMMYFUNCTION("""COMPUTED_VALUE"""),"General")</f>
        <v>General</v>
      </c>
      <c r="D101" t="str">
        <f ca="1">IFERROR(__xludf.DUMMYFUNCTION("""COMPUTED_VALUE"""),"The Five Thieves of Happiness (getAbstract Summary)")</f>
        <v>The Five Thieves of Happiness (getAbstract Summary)</v>
      </c>
    </row>
    <row r="102" spans="1:36" ht="15" customHeight="1">
      <c r="B102">
        <f ca="1">IFERROR(__xludf.DUMMYFUNCTION("""COMPUTED_VALUE"""),2841516)</f>
        <v>2841516</v>
      </c>
      <c r="C102" t="str">
        <f ca="1">IFERROR(__xludf.DUMMYFUNCTION("""COMPUTED_VALUE"""),"General")</f>
        <v>General</v>
      </c>
      <c r="D102" t="str">
        <f ca="1">IFERROR(__xludf.DUMMYFUNCTION("""COMPUTED_VALUE"""),"Balancing Work and Life as a Work-from-Home Parent")</f>
        <v>Balancing Work and Life as a Work-from-Home Parent</v>
      </c>
    </row>
    <row r="103" spans="1:36" ht="15" customHeight="1">
      <c r="B103">
        <f ca="1">IFERROR(__xludf.DUMMYFUNCTION("""COMPUTED_VALUE"""),2833081)</f>
        <v>2833081</v>
      </c>
      <c r="C103" t="str">
        <f ca="1">IFERROR(__xludf.DUMMYFUNCTION("""COMPUTED_VALUE"""),"General")</f>
        <v>General</v>
      </c>
      <c r="D103" t="str">
        <f ca="1">IFERROR(__xludf.DUMMYFUNCTION("""COMPUTED_VALUE"""),"Essentials of Mindfulness and Compassion with Scott Shute")</f>
        <v>Essentials of Mindfulness and Compassion with Scott Shute</v>
      </c>
    </row>
    <row r="104" spans="1:36" ht="15" customHeight="1">
      <c r="B104">
        <f ca="1">IFERROR(__xludf.DUMMYFUNCTION("""COMPUTED_VALUE"""),2822423)</f>
        <v>2822423</v>
      </c>
      <c r="C104" t="str">
        <f ca="1">IFERROR(__xludf.DUMMYFUNCTION("""COMPUTED_VALUE"""),"General")</f>
        <v>General</v>
      </c>
      <c r="D104" t="str">
        <f ca="1">IFERROR(__xludf.DUMMYFUNCTION("""COMPUTED_VALUE"""),"How to Manage Feeling Overwhelmed")</f>
        <v>How to Manage Feeling Overwhelmed</v>
      </c>
    </row>
    <row r="105" spans="1:36" ht="15" customHeight="1">
      <c r="B105">
        <f ca="1">IFERROR(__xludf.DUMMYFUNCTION("""COMPUTED_VALUE"""),704110)</f>
        <v>704110</v>
      </c>
      <c r="C105" t="str">
        <f ca="1">IFERROR(__xludf.DUMMYFUNCTION("""COMPUTED_VALUE"""),"General")</f>
        <v>General</v>
      </c>
      <c r="D105" t="str">
        <f ca="1">IFERROR(__xludf.DUMMYFUNCTION("""COMPUTED_VALUE"""),"Confronting Bias: Thriving Across Our Differences")</f>
        <v>Confronting Bias: Thriving Across Our Differences</v>
      </c>
    </row>
    <row r="106" spans="1:36" ht="15" customHeight="1">
      <c r="B106">
        <f ca="1">IFERROR(__xludf.DUMMYFUNCTION("""COMPUTED_VALUE"""),604205)</f>
        <v>604205</v>
      </c>
      <c r="C106" t="str">
        <f ca="1">IFERROR(__xludf.DUMMYFUNCTION("""COMPUTED_VALUE"""),"General")</f>
        <v>General</v>
      </c>
      <c r="D106" t="str">
        <f ca="1">IFERROR(__xludf.DUMMYFUNCTION("""COMPUTED_VALUE"""),"Arianna Huffington's Thrive 03: Setting Priorities and Letting Go")</f>
        <v>Arianna Huffington's Thrive 03: Setting Priorities and Letting Go</v>
      </c>
    </row>
    <row r="107" spans="1:36" ht="15" customHeight="1">
      <c r="B107">
        <f ca="1">IFERROR(__xludf.DUMMYFUNCTION("""COMPUTED_VALUE"""),751311)</f>
        <v>751311</v>
      </c>
      <c r="C107" t="str">
        <f ca="1">IFERROR(__xludf.DUMMYFUNCTION("""COMPUTED_VALUE"""),"General")</f>
        <v>General</v>
      </c>
      <c r="D107" t="str">
        <f ca="1">IFERROR(__xludf.DUMMYFUNCTION("""COMPUTED_VALUE"""),"Managing Depression in the Workplace")</f>
        <v>Managing Depression in the Workplace</v>
      </c>
    </row>
    <row r="108" spans="1:36" ht="15" customHeight="1">
      <c r="B108">
        <f ca="1">IFERROR(__xludf.DUMMYFUNCTION("""COMPUTED_VALUE"""),604206)</f>
        <v>604206</v>
      </c>
      <c r="C108" t="str">
        <f ca="1">IFERROR(__xludf.DUMMYFUNCTION("""COMPUTED_VALUE"""),"General")</f>
        <v>General</v>
      </c>
      <c r="D108" t="str">
        <f ca="1">IFERROR(__xludf.DUMMYFUNCTION("""COMPUTED_VALUE"""),"Arianna Huffington's Thrive 04: Facing Challenges with Gratitude and Forgiveness")</f>
        <v>Arianna Huffington's Thrive 04: Facing Challenges with Gratitude and Forgiveness</v>
      </c>
    </row>
    <row r="109" spans="1:36" ht="15" customHeight="1">
      <c r="B109">
        <f ca="1">IFERROR(__xludf.DUMMYFUNCTION("""COMPUTED_VALUE"""),786350)</f>
        <v>786350</v>
      </c>
      <c r="C109" t="str">
        <f ca="1">IFERROR(__xludf.DUMMYFUNCTION("""COMPUTED_VALUE"""),"General")</f>
        <v>General</v>
      </c>
      <c r="D109" t="str">
        <f ca="1">IFERROR(__xludf.DUMMYFUNCTION("""COMPUTED_VALUE"""),"Recharge Your Energy for Peak Performance")</f>
        <v>Recharge Your Energy for Peak Performance</v>
      </c>
    </row>
    <row r="110" spans="1:36" ht="15" customHeight="1">
      <c r="B110">
        <f ca="1">IFERROR(__xludf.DUMMYFUNCTION("""COMPUTED_VALUE"""),802831)</f>
        <v>802831</v>
      </c>
      <c r="C110" t="str">
        <f ca="1">IFERROR(__xludf.DUMMYFUNCTION("""COMPUTED_VALUE"""),"General")</f>
        <v>General</v>
      </c>
      <c r="D110" t="str">
        <f ca="1">IFERROR(__xludf.DUMMYFUNCTION("""COMPUTED_VALUE"""),"Managing Anxiety in the Workplace")</f>
        <v>Managing Anxiety in the Workplace</v>
      </c>
    </row>
    <row r="111" spans="1:36" ht="15" customHeight="1">
      <c r="B111">
        <f ca="1">IFERROR(__xludf.DUMMYFUNCTION("""COMPUTED_VALUE"""),794115)</f>
        <v>794115</v>
      </c>
      <c r="C111" t="str">
        <f ca="1">IFERROR(__xludf.DUMMYFUNCTION("""COMPUTED_VALUE"""),"General")</f>
        <v>General</v>
      </c>
      <c r="D111" t="str">
        <f ca="1">IFERROR(__xludf.DUMMYFUNCTION("""COMPUTED_VALUE"""),"Mindfulness Practices")</f>
        <v>Mindfulness Practices</v>
      </c>
    </row>
    <row r="112" spans="1:36" ht="15" customHeight="1">
      <c r="B112">
        <f ca="1">IFERROR(__xludf.DUMMYFUNCTION("""COMPUTED_VALUE"""),3114007)</f>
        <v>3114007</v>
      </c>
      <c r="C112" t="str">
        <f ca="1">IFERROR(__xludf.DUMMYFUNCTION("""COMPUTED_VALUE"""),"General")</f>
        <v>General</v>
      </c>
      <c r="D112" t="str">
        <f ca="1">IFERROR(__xludf.DUMMYFUNCTION("""COMPUTED_VALUE"""),"How to Create a Life of Meaning and Purpose")</f>
        <v>How to Create a Life of Meaning and Purpose</v>
      </c>
    </row>
    <row r="113" spans="2:4" ht="15" customHeight="1">
      <c r="B113">
        <f ca="1">IFERROR(__xludf.DUMMYFUNCTION("""COMPUTED_VALUE"""),2883154)</f>
        <v>2883154</v>
      </c>
      <c r="C113" t="str">
        <f ca="1">IFERROR(__xludf.DUMMYFUNCTION("""COMPUTED_VALUE"""),"General")</f>
        <v>General</v>
      </c>
      <c r="D113" t="str">
        <f ca="1">IFERROR(__xludf.DUMMYFUNCTION("""COMPUTED_VALUE"""),"Beating Procrastination")</f>
        <v>Beating Procrastination</v>
      </c>
    </row>
    <row r="114" spans="2:4" ht="15" customHeight="1">
      <c r="B114">
        <f ca="1">IFERROR(__xludf.DUMMYFUNCTION("""COMPUTED_VALUE"""),2883208)</f>
        <v>2883208</v>
      </c>
      <c r="C114" t="str">
        <f ca="1">IFERROR(__xludf.DUMMYFUNCTION("""COMPUTED_VALUE"""),"General")</f>
        <v>General</v>
      </c>
      <c r="D114" t="str">
        <f ca="1">IFERROR(__xludf.DUMMYFUNCTION("""COMPUTED_VALUE"""),"Enhance Productivity in a Hybrid Work Environment")</f>
        <v>Enhance Productivity in a Hybrid Work Environment</v>
      </c>
    </row>
    <row r="115" spans="2:4" ht="15" customHeight="1">
      <c r="B115">
        <f ca="1">IFERROR(__xludf.DUMMYFUNCTION("""COMPUTED_VALUE"""),2887258)</f>
        <v>2887258</v>
      </c>
      <c r="C115" t="str">
        <f ca="1">IFERROR(__xludf.DUMMYFUNCTION("""COMPUTED_VALUE"""),"General")</f>
        <v>General</v>
      </c>
      <c r="D115" t="str">
        <f ca="1">IFERROR(__xludf.DUMMYFUNCTION("""COMPUTED_VALUE"""),"Reframing: The Power of Changing Your Perspective")</f>
        <v>Reframing: The Power of Changing Your Perspective</v>
      </c>
    </row>
    <row r="116" spans="2:4" ht="15" customHeight="1">
      <c r="B116">
        <f ca="1">IFERROR(__xludf.DUMMYFUNCTION("""COMPUTED_VALUE"""),2895102)</f>
        <v>2895102</v>
      </c>
      <c r="C116" t="str">
        <f ca="1">IFERROR(__xludf.DUMMYFUNCTION("""COMPUTED_VALUE"""),"General")</f>
        <v>General</v>
      </c>
      <c r="D116" t="str">
        <f ca="1">IFERROR(__xludf.DUMMYFUNCTION("""COMPUTED_VALUE"""),"Habits to Win Every Day")</f>
        <v>Habits to Win Every Day</v>
      </c>
    </row>
    <row r="117" spans="2:4" ht="15" customHeight="1">
      <c r="B117">
        <f ca="1">IFERROR(__xludf.DUMMYFUNCTION("""COMPUTED_VALUE"""),2873211)</f>
        <v>2873211</v>
      </c>
      <c r="C117" t="str">
        <f ca="1">IFERROR(__xludf.DUMMYFUNCTION("""COMPUTED_VALUE"""),"General")</f>
        <v>General</v>
      </c>
      <c r="D117" t="str">
        <f ca="1">IFERROR(__xludf.DUMMYFUNCTION("""COMPUTED_VALUE"""),"Succeeding as an LGBT Professional")</f>
        <v>Succeeding as an LGBT Professional</v>
      </c>
    </row>
    <row r="118" spans="2:4" ht="15" customHeight="1">
      <c r="B118">
        <f ca="1">IFERROR(__xludf.DUMMYFUNCTION("""COMPUTED_VALUE"""),2423500)</f>
        <v>2423500</v>
      </c>
      <c r="C118" t="str">
        <f ca="1">IFERROR(__xludf.DUMMYFUNCTION("""COMPUTED_VALUE"""),"General")</f>
        <v>General</v>
      </c>
      <c r="D118" t="str">
        <f ca="1">IFERROR(__xludf.DUMMYFUNCTION("""COMPUTED_VALUE"""),"How to Have a Great Day at Work With Caroline Webb")</f>
        <v>How to Have a Great Day at Work With Caroline Webb</v>
      </c>
    </row>
    <row r="119" spans="2:4" ht="15" customHeight="1">
      <c r="B119">
        <f ca="1">IFERROR(__xludf.DUMMYFUNCTION("""COMPUTED_VALUE"""),2426450)</f>
        <v>2426450</v>
      </c>
      <c r="C119" t="str">
        <f ca="1">IFERROR(__xludf.DUMMYFUNCTION("""COMPUTED_VALUE"""),"General")</f>
        <v>General</v>
      </c>
      <c r="D119" t="str">
        <f ca="1">IFERROR(__xludf.DUMMYFUNCTION("""COMPUTED_VALUE"""),"Confidence-Building Strategies for Work and Life")</f>
        <v>Confidence-Building Strategies for Work and Life</v>
      </c>
    </row>
    <row r="120" spans="2:4" ht="15" customHeight="1">
      <c r="B120">
        <f ca="1">IFERROR(__xludf.DUMMYFUNCTION("""COMPUTED_VALUE"""),2893127)</f>
        <v>2893127</v>
      </c>
      <c r="C120" t="str">
        <f ca="1">IFERROR(__xludf.DUMMYFUNCTION("""COMPUTED_VALUE"""),"General")</f>
        <v>General</v>
      </c>
      <c r="D120" t="str">
        <f ca="1">IFERROR(__xludf.DUMMYFUNCTION("""COMPUTED_VALUE"""),"The Step-By-Step Guide to Reinventing Yourself")</f>
        <v>The Step-By-Step Guide to Reinventing Yourself</v>
      </c>
    </row>
    <row r="121" spans="2:4" ht="15" customHeight="1">
      <c r="B121">
        <f ca="1">IFERROR(__xludf.DUMMYFUNCTION("""COMPUTED_VALUE"""),2894569)</f>
        <v>2894569</v>
      </c>
      <c r="C121" t="str">
        <f ca="1">IFERROR(__xludf.DUMMYFUNCTION("""COMPUTED_VALUE"""),"General")</f>
        <v>General</v>
      </c>
      <c r="D121" t="str">
        <f ca="1">IFERROR(__xludf.DUMMYFUNCTION("""COMPUTED_VALUE"""),"Mel Robbins on Confidence")</f>
        <v>Mel Robbins on Confidence</v>
      </c>
    </row>
    <row r="122" spans="2:4" ht="15" customHeight="1">
      <c r="B122">
        <f ca="1">IFERROR(__xludf.DUMMYFUNCTION("""COMPUTED_VALUE"""),3008163)</f>
        <v>3008163</v>
      </c>
      <c r="C122" t="str">
        <f ca="1">IFERROR(__xludf.DUMMYFUNCTION("""COMPUTED_VALUE"""),"General")</f>
        <v>General</v>
      </c>
      <c r="D122" t="str">
        <f ca="1">IFERROR(__xludf.DUMMYFUNCTION("""COMPUTED_VALUE"""),"The Miracle Morning (Blinkist Summary)")</f>
        <v>The Miracle Morning (Blinkist Summary)</v>
      </c>
    </row>
    <row r="123" spans="2:4" ht="15" customHeight="1">
      <c r="B123">
        <f ca="1">IFERROR(__xludf.DUMMYFUNCTION("""COMPUTED_VALUE"""),3011078)</f>
        <v>3011078</v>
      </c>
      <c r="C123" t="str">
        <f ca="1">IFERROR(__xludf.DUMMYFUNCTION("""COMPUTED_VALUE"""),"General")</f>
        <v>General</v>
      </c>
      <c r="D123" t="str">
        <f ca="1">IFERROR(__xludf.DUMMYFUNCTION("""COMPUTED_VALUE"""),"The Power of Habit (Blinkist Summary)")</f>
        <v>The Power of Habit (Blinkist Summary)</v>
      </c>
    </row>
    <row r="124" spans="2:4" ht="15" customHeight="1">
      <c r="B124">
        <f ca="1">IFERROR(__xludf.DUMMYFUNCTION("""COMPUTED_VALUE"""),713374)</f>
        <v>713374</v>
      </c>
      <c r="C124" t="str">
        <f ca="1">IFERROR(__xludf.DUMMYFUNCTION("""COMPUTED_VALUE"""),"Intermediate")</f>
        <v>Intermediate</v>
      </c>
      <c r="D124" t="str">
        <f ca="1">IFERROR(__xludf.DUMMYFUNCTION("""COMPUTED_VALUE"""),"Balancing Multiple Roles as a Leader")</f>
        <v>Balancing Multiple Roles as a Leader</v>
      </c>
    </row>
    <row r="125" spans="2:4" ht="15" customHeight="1">
      <c r="B125">
        <f ca="1">IFERROR(__xludf.DUMMYFUNCTION("""COMPUTED_VALUE"""),5015874)</f>
        <v>5015874</v>
      </c>
      <c r="C125" t="str">
        <f ca="1">IFERROR(__xludf.DUMMYFUNCTION("""COMPUTED_VALUE"""),"Intermediate")</f>
        <v>Intermediate</v>
      </c>
      <c r="D125" t="str">
        <f ca="1">IFERROR(__xludf.DUMMYFUNCTION("""COMPUTED_VALUE"""),"The Culture Code (Blinkist Summary)")</f>
        <v>The Culture Code (Blinkist Summary)</v>
      </c>
    </row>
    <row r="126" spans="2:4" ht="15" customHeight="1">
      <c r="B126">
        <f ca="1">IFERROR(__xludf.DUMMYFUNCTION("""COMPUTED_VALUE"""),5015879)</f>
        <v>5015879</v>
      </c>
      <c r="C126" t="str">
        <f ca="1">IFERROR(__xludf.DUMMYFUNCTION("""COMPUTED_VALUE"""),"Intermediate")</f>
        <v>Intermediate</v>
      </c>
      <c r="D126" t="str">
        <f ca="1">IFERROR(__xludf.DUMMYFUNCTION("""COMPUTED_VALUE"""),"How to Be a Positive Leader (Blinkist Summary)")</f>
        <v>How to Be a Positive Leader (Blinkist Summary)</v>
      </c>
    </row>
    <row r="127" spans="2:4" ht="15" customHeight="1">
      <c r="B127">
        <f ca="1">IFERROR(__xludf.DUMMYFUNCTION("""COMPUTED_VALUE"""),2875378)</f>
        <v>2875378</v>
      </c>
      <c r="C127" t="str">
        <f ca="1">IFERROR(__xludf.DUMMYFUNCTION("""COMPUTED_VALUE"""),"Intermediate")</f>
        <v>Intermediate</v>
      </c>
      <c r="D127" t="str">
        <f ca="1">IFERROR(__xludf.DUMMYFUNCTION("""COMPUTED_VALUE"""),"How to Support Your Employees' Well-Being")</f>
        <v>How to Support Your Employees' Well-Being</v>
      </c>
    </row>
    <row r="128" spans="2:4" ht="15" customHeight="1">
      <c r="B128">
        <f ca="1">IFERROR(__xludf.DUMMYFUNCTION("""COMPUTED_VALUE"""),2886206)</f>
        <v>2886206</v>
      </c>
      <c r="C128" t="str">
        <f ca="1">IFERROR(__xludf.DUMMYFUNCTION("""COMPUTED_VALUE"""),"Intermediate")</f>
        <v>Intermediate</v>
      </c>
      <c r="D128" t="str">
        <f ca="1">IFERROR(__xludf.DUMMYFUNCTION("""COMPUTED_VALUE"""),"Managing Your Well-Being as a Leader")</f>
        <v>Managing Your Well-Being as a Leader</v>
      </c>
    </row>
    <row r="129" spans="2:4" ht="15" customHeight="1">
      <c r="B129">
        <f ca="1">IFERROR(__xludf.DUMMYFUNCTION("""COMPUTED_VALUE"""),2893109)</f>
        <v>2893109</v>
      </c>
      <c r="C129" t="str">
        <f ca="1">IFERROR(__xludf.DUMMYFUNCTION("""COMPUTED_VALUE"""),"Intermediate")</f>
        <v>Intermediate</v>
      </c>
      <c r="D129" t="str">
        <f ca="1">IFERROR(__xludf.DUMMYFUNCTION("""COMPUTED_VALUE"""),"Leading with Empathy")</f>
        <v>Leading with Empathy</v>
      </c>
    </row>
    <row r="130" spans="2:4" ht="15" customHeight="1">
      <c r="B130">
        <f ca="1">IFERROR(__xludf.DUMMYFUNCTION("""COMPUTED_VALUE"""),2865087)</f>
        <v>2865087</v>
      </c>
      <c r="C130" t="str">
        <f ca="1">IFERROR(__xludf.DUMMYFUNCTION("""COMPUTED_VALUE"""),"Intermediate")</f>
        <v>Intermediate</v>
      </c>
      <c r="D130" t="str">
        <f ca="1">IFERROR(__xludf.DUMMYFUNCTION("""COMPUTED_VALUE"""),"Leading with a Growth Mindset")</f>
        <v>Leading with a Growth Mindset</v>
      </c>
    </row>
    <row r="131" spans="2:4" ht="15" customHeight="1">
      <c r="B131">
        <f ca="1">IFERROR(__xludf.DUMMYFUNCTION("""COMPUTED_VALUE"""),636109)</f>
        <v>636109</v>
      </c>
      <c r="C131" t="str">
        <f ca="1">IFERROR(__xludf.DUMMYFUNCTION("""COMPUTED_VALUE"""),"Intermediate")</f>
        <v>Intermediate</v>
      </c>
      <c r="D131" t="str">
        <f ca="1">IFERROR(__xludf.DUMMYFUNCTION("""COMPUTED_VALUE"""),"Thriving @ Work: Leveraging the Connection between Well-Being and Productivity")</f>
        <v>Thriving @ Work: Leveraging the Connection between Well-Being and Productivity</v>
      </c>
    </row>
    <row r="132" spans="2:4" ht="15" customHeight="1">
      <c r="B132">
        <f ca="1">IFERROR(__xludf.DUMMYFUNCTION("""COMPUTED_VALUE"""),5015870)</f>
        <v>5015870</v>
      </c>
      <c r="C132" t="str">
        <f ca="1">IFERROR(__xludf.DUMMYFUNCTION("""COMPUTED_VALUE"""),"Intermediate")</f>
        <v>Intermediate</v>
      </c>
      <c r="D132" t="str">
        <f ca="1">IFERROR(__xludf.DUMMYFUNCTION("""COMPUTED_VALUE"""),"Unsubscribe: How to Kill Email Anxiety, Avoid Distractions, and Get Real Work Done (Blinkist Summary)")</f>
        <v>Unsubscribe: How to Kill Email Anxiety, Avoid Distractions, and Get Real Work Done (Blinkist Summary)</v>
      </c>
    </row>
    <row r="133" spans="2:4" ht="15" customHeight="1">
      <c r="B133">
        <f ca="1">IFERROR(__xludf.DUMMYFUNCTION("""COMPUTED_VALUE"""),769279)</f>
        <v>769279</v>
      </c>
      <c r="C133" t="str">
        <f ca="1">IFERROR(__xludf.DUMMYFUNCTION("""COMPUTED_VALUE"""),"Intermediate")</f>
        <v>Intermediate</v>
      </c>
      <c r="D133" t="str">
        <f ca="1">IFERROR(__xludf.DUMMYFUNCTION("""COMPUTED_VALUE"""),"Driving Workplace Happiness")</f>
        <v>Driving Workplace Happiness</v>
      </c>
    </row>
  </sheetData>
  <mergeCells count="14">
    <mergeCell ref="B1:E1"/>
    <mergeCell ref="L1:O1"/>
    <mergeCell ref="V1:Y1"/>
    <mergeCell ref="AF1:AI1"/>
    <mergeCell ref="B2:E2"/>
    <mergeCell ref="L2:O2"/>
    <mergeCell ref="V2:Y2"/>
    <mergeCell ref="AF2:AI2"/>
    <mergeCell ref="G1:J1"/>
    <mergeCell ref="G2:J2"/>
    <mergeCell ref="Q1:T1"/>
    <mergeCell ref="Q2:T2"/>
    <mergeCell ref="AA1:AD1"/>
    <mergeCell ref="AA2:AD2"/>
  </mergeCells>
  <hyperlinks>
    <hyperlink ref="D4" r:id="rId1" display="https://www.linkedin.com/learning/creating-a-positive-and-healthy-work-environment?trk=ondemandfile" xr:uid="{00000000-0004-0000-2300-000000000000}"/>
    <hyperlink ref="E4" r:id="rId2" display="https://www.linkedin.com/learning/paths/manage-change-and-develop-your-adaptability-skills?trk=ondemandfile" xr:uid="{00000000-0004-0000-2300-000001000000}"/>
    <hyperlink ref="N4" r:id="rId3" display="https://www.linkedin.com/learning/activa-el-cuerpo-entrenamiento-facil-y-sencillo-de-cardio-y-fuerza?trk=contentmappingfile" xr:uid="{00000000-0004-0000-2300-000002000000}"/>
    <hyperlink ref="S4" r:id="rId4" display="https://www.linkedin.com/learning/achtsamkeit-im-beruf-durch-meditation-achtsame-interaktion?trk=ondemandfile" xr:uid="{00000000-0004-0000-2300-000003000000}"/>
    <hyperlink ref="X4" r:id="rId5" display="https://www.linkedin.com/learning/mindfulness-4?trk=ondemandfile" xr:uid="{00000000-0004-0000-2300-000004000000}"/>
    <hyperlink ref="AH4" r:id="rId6" display="https://www.linkedin.com/learning/being-positive-at-work-2?trk=ondemandfile" xr:uid="{00000000-0004-0000-2300-000005000000}"/>
    <hyperlink ref="D5" r:id="rId7" display="https://www.linkedin.com/learning/adaptive-leadership-for-vuca-challenges?trk=ondemandfile" xr:uid="{00000000-0004-0000-2300-000006000000}"/>
    <hyperlink ref="E5" r:id="rId8" display="https://www.linkedin.com/learning/paths/remote-working-setting-yourself-and-your-teams-up-for-success?trk=ondemandfile" xr:uid="{00000000-0004-0000-2300-000007000000}"/>
    <hyperlink ref="S5" r:id="rId9" display="https://www.linkedin.com/learning/achtsamkeit-im-beruf-durch-meditation-innere-haltung?trk=ondemandfile" xr:uid="{00000000-0004-0000-2300-000008000000}"/>
    <hyperlink ref="X5" r:id="rId10" display="https://www.linkedin.com/learning/avoiding-burnout?trk=ondemandfile" xr:uid="{00000000-0004-0000-2300-000009000000}"/>
    <hyperlink ref="AC5" r:id="rId11" display="https://www.linkedin.com/learning/como-apoiar-sua-equipe-na-gestao-da-ansiedade?trk=contentmappingfile" xr:uid="{00000000-0004-0000-2300-00000A000000}"/>
    <hyperlink ref="AH5" r:id="rId12" display="https://www.linkedin.com/learning/performing-under-pressure-3?trk=ondemandfile" xr:uid="{00000000-0004-0000-2300-00000B000000}"/>
    <hyperlink ref="D6" r:id="rId13" display="https://www.linkedin.com/learning/leading-with-fearless-mindfulness?trk=ondemandfile" xr:uid="{00000000-0004-0000-2300-00000C000000}"/>
    <hyperlink ref="E6" r:id="rId14" display="https://www.linkedin.com/learning/paths/staying-positive-and-productive-during-uncertainty?trk=ondemandfile" xr:uid="{00000000-0004-0000-2300-00000D000000}"/>
    <hyperlink ref="I6" r:id="rId15" display="https://www.linkedin.com/learning/10-minutes-un-livre-l-art-de-la-meditation?trk=contentmappingfile" xr:uid="{00000000-0004-0000-2300-00000E000000}"/>
    <hyperlink ref="S6" r:id="rId16" display="https://www.linkedin.com/learning/achtsamkeit-im-beruf-durch-meditation-prasenz-und-offenheit?trk=ondemandfile" xr:uid="{00000000-0004-0000-2300-00000F000000}"/>
    <hyperlink ref="X6" r:id="rId17" display="https://www.linkedin.com/learning/building-resilience-4?trk=ondemandfile" xr:uid="{00000000-0004-0000-2300-000010000000}"/>
    <hyperlink ref="AH6" r:id="rId18" display="https://www.linkedin.com/learning/managing-stress-for-positive-change-3?trk=ondemandfile" xr:uid="{00000000-0004-0000-2300-000011000000}"/>
    <hyperlink ref="D7" r:id="rId19" display="https://www.linkedin.com/learning/career-wellness-nano-tips-with-shade-zahrai?trk=contentmappingfile" xr:uid="{00000000-0004-0000-2300-000012000000}"/>
    <hyperlink ref="E7" r:id="rId20" display="https://www.linkedin.com/learning/paths/support-your-mental-health-during-challenging-times?trk=ondemandfile" xr:uid="{00000000-0004-0000-2300-000013000000}"/>
    <hyperlink ref="S7" r:id="rId21" display="https://www.linkedin.com/learning/achtsamkeit-im-beruf-durch-meditation-resilienz?trk=ondemandfile" xr:uid="{00000000-0004-0000-2300-000014000000}"/>
    <hyperlink ref="X7" r:id="rId22" display="https://www.linkedin.com/learning/coping-with-stress?trk=ondemandfile" xr:uid="{00000000-0004-0000-2300-000015000000}"/>
    <hyperlink ref="AC7" r:id="rId23" display="https://www.linkedin.com/learning/como-enfrentar-a-ansiedade-no-trabalho?trk=contentmappingfile" xr:uid="{00000000-0004-0000-2300-000016000000}"/>
    <hyperlink ref="AH7" r:id="rId24" display="https://www.linkedin.com/learning/mindfulness-2?trk=ondemandfile" xr:uid="{00000000-0004-0000-2300-000017000000}"/>
    <hyperlink ref="D8" r:id="rId25" display="https://www.linkedin.com/learning/overcoming-overw-helm?trk=ondemandfile" xr:uid="{00000000-0004-0000-2300-000018000000}"/>
    <hyperlink ref="E8" r:id="rId26" display="https://www.linkedin.com/learning/paths/supporting-your-well-being-during-times-of-change-and-uncertainty?trk=ondemandfile" xr:uid="{00000000-0004-0000-2300-000019000000}"/>
    <hyperlink ref="I8" r:id="rId27" display="https://www.linkedin.com/learning/avoir-confiance-en-soi-15688050?trk=contentmappingfile" xr:uid="{00000000-0004-0000-2300-00001A000000}"/>
    <hyperlink ref="S8" r:id="rId28" display="https://www.linkedin.com/learning/achtsamkeit?trk=ondemandfile" xr:uid="{00000000-0004-0000-2300-00001B000000}"/>
    <hyperlink ref="X8" r:id="rId29" display="https://www.linkedin.com/learning/confronting-bias-thriving-across-our-differences-14254791?trk=contentmappingfile" xr:uid="{00000000-0004-0000-2300-00001C000000}"/>
    <hyperlink ref="D9" r:id="rId30" display="https://www.linkedin.com/learning/finding-and-doing-the-one-thing?trk=ondemandfile" xr:uid="{00000000-0004-0000-2300-00001D000000}"/>
    <hyperlink ref="E9" r:id="rId31" display="https://www.linkedin.com/learning/paths/developing-resilience-and-grit?trk=ondemandfile" xr:uid="{00000000-0004-0000-2300-00001E000000}"/>
    <hyperlink ref="S9" r:id="rId32" display="https://www.linkedin.com/learning/das-frustjobkillerbuch-blinkist-kernaussagen?trk=ondemandfile" xr:uid="{00000000-0004-0000-2300-00001F000000}"/>
    <hyperlink ref="X9" r:id="rId33" display="https://www.linkedin.com/learning/managing-stress-14665661?trk=contentmappingfile" xr:uid="{00000000-0004-0000-2300-000020000000}"/>
    <hyperlink ref="D10" r:id="rId34" display="https://www.linkedin.com/learning/finding-your-introvert-extrovert-balance-in-the-workplace?trk=ondemandfile" xr:uid="{00000000-0004-0000-2300-000021000000}"/>
    <hyperlink ref="N10" r:id="rId35" display="https://www.linkedin.com/learning/alimentacion-saludable-y-digestion-optima?trk=ondemandfile" xr:uid="{00000000-0004-0000-2300-000022000000}"/>
    <hyperlink ref="S10" r:id="rId36" display="https://www.linkedin.com/learning/disrupt-yourself-erfinden-sie-sich-neu?trk=ondemandfile" xr:uid="{00000000-0004-0000-2300-000023000000}"/>
    <hyperlink ref="X10" r:id="rId37" display="https://www.linkedin.com/learning/building-self-confidence-14680194?trk=contentmappingfile" xr:uid="{00000000-0004-0000-2300-000024000000}"/>
    <hyperlink ref="D11" r:id="rId38" display="https://www.linkedin.com/learning/managing-your-energy?trk=ondemandfile" xr:uid="{00000000-0004-0000-2300-000025000000}"/>
    <hyperlink ref="I11" r:id="rId39" display="https://www.linkedin.com/learning/gerer-son-stress-au-travail?trk=contentmappingfile" xr:uid="{00000000-0004-0000-2300-000026000000}"/>
    <hyperlink ref="N11" r:id="rId40" display="https://www.linkedin.com/learning/00-bienestar-y-felicidad-trucos-semanales?trk=ondemandfile" xr:uid="{00000000-0004-0000-2300-000027000000}"/>
    <hyperlink ref="S11" r:id="rId41" display="https://www.linkedin.com/learning/eine-nachhaltige-work-life-balance-etablieren?trk=ondemandfile" xr:uid="{00000000-0004-0000-2300-000028000000}"/>
    <hyperlink ref="X11" r:id="rId42" display="https://www.linkedin.com/learning/learning-to-be-assertive-14827737?trk=contentmappingfile" xr:uid="{00000000-0004-0000-2300-000029000000}"/>
    <hyperlink ref="D12" r:id="rId43" display="https://www.linkedin.com/learning/well-being-in-the-workplace?trk=ondemandfile" xr:uid="{00000000-0004-0000-2300-00002A000000}"/>
    <hyperlink ref="S12" r:id="rId44" display="https://www.linkedin.com/learning/finde-den-job-der-dich-glucklich-macht-blinkist-kernaussagen?trk=ondemandfile" xr:uid="{00000000-0004-0000-2300-00002B000000}"/>
    <hyperlink ref="X12" r:id="rId45" display="https://www.linkedin.com/learning/learning-to-say-no-16410576?trk=contentmappingfile" xr:uid="{00000000-0004-0000-2300-00002C000000}"/>
    <hyperlink ref="D13" r:id="rId46" display="https://www.linkedin.com/learning/managing-self-doubt-to-tackle-bigger-challenges?trk=ondemandfile" xr:uid="{00000000-0004-0000-2300-00002D000000}"/>
    <hyperlink ref="S13" r:id="rId47" display="https://www.linkedin.com/learning/kurze-meditationen-fur-beruf-und-alltag?trk=contentmappingfile" xr:uid="{00000000-0004-0000-2300-00002E000000}"/>
    <hyperlink ref="D14" r:id="rId48" display="https://www.linkedin.com/learning/using-your-mind-to-change-your-brain?trk=ondemandfile" xr:uid="{00000000-0004-0000-2300-00002F000000}"/>
    <hyperlink ref="S14" r:id="rId49" display="https://www.linkedin.com/learning/meditation-und-achtsamkeit-fur-neues-arbeiten?trk=ondemandfile" xr:uid="{00000000-0004-0000-2300-000030000000}"/>
    <hyperlink ref="D15" r:id="rId50" display="https://www.linkedin.com/learning/chair-work-yoga-fitness-and-stretching-at-your-desk?trk=ondemandfile" xr:uid="{00000000-0004-0000-2300-000031000000}"/>
    <hyperlink ref="S15" r:id="rId51" display="https://www.linkedin.com/learning/mentale-starke-fur-mehr-erfolg-im-beruf?trk=ondemandfile" xr:uid="{00000000-0004-0000-2300-000032000000}"/>
    <hyperlink ref="D16" r:id="rId52" display="https://www.linkedin.com/learning/how-to-slash-anxiety-and-keep-positivity-flowing?trk=ondemandfile" xr:uid="{00000000-0004-0000-2300-000033000000}"/>
    <hyperlink ref="I16" r:id="rId53" display="https://www.linkedin.com/learning/persuader-et-convaincre-5-techniques-efficaces-pour-canaliser-votre-stress?trk=contentmappingfile" xr:uid="{00000000-0004-0000-2300-000034000000}"/>
    <hyperlink ref="S16" r:id="rId54" display="https://www.linkedin.com/learning/mit-dem-inneren-kritiker-besser-leben?trk=contentmappingfile" xr:uid="{00000000-0004-0000-2300-000035000000}"/>
    <hyperlink ref="D17" r:id="rId55" display="https://www.linkedin.com/learning/building-better-routines?trk=ondemandfile" xr:uid="{00000000-0004-0000-2300-000036000000}"/>
    <hyperlink ref="S17" r:id="rId56" display="https://www.linkedin.com/learning/mit-depressionen-am-arbeitsplatz-umgehen?trk=ondemandfile" xr:uid="{00000000-0004-0000-2300-000037000000}"/>
    <hyperlink ref="D18" r:id="rId57" display="https://www.linkedin.com/learning/teaching-civility-in-the-workplace?trk=ondemandfile" xr:uid="{00000000-0004-0000-2300-000038000000}"/>
    <hyperlink ref="N18" r:id="rId58" display="https://www.linkedin.com/learning/alcanzar-la-felicidad-permanente-creando-con-proposito?trk=ondemandfile" xr:uid="{00000000-0004-0000-2300-000039000000}"/>
    <hyperlink ref="S18" r:id="rId59" display="https://www.linkedin.com/learning/feel-good-management?trk=ondemandfile" xr:uid="{00000000-0004-0000-2300-00003A000000}"/>
    <hyperlink ref="D19" r:id="rId60" display="https://www.linkedin.com/learning/de-stress?trk=ondemandfile" xr:uid="{00000000-0004-0000-2300-00003B000000}"/>
    <hyperlink ref="N19" r:id="rId61" display="https://www.linkedin.com/learning/como-balancear-e-integrar-tu-vida-laboral-y-personal?trk=ondemandfile" xr:uid="{00000000-0004-0000-2300-00003C000000}"/>
    <hyperlink ref="S19" r:id="rId62" display="https://www.linkedin.com/learning/nein-sagen-und-gesunde-grenzen-setzen?trk=contentmappingfile" xr:uid="{00000000-0004-0000-2300-00003D000000}"/>
    <hyperlink ref="D20" r:id="rId63" display="https://www.linkedin.com/learning/overcoming-imposter-syndrome?trk=ondemandfile" xr:uid="{00000000-0004-0000-2300-00003E000000}"/>
    <hyperlink ref="N20" r:id="rId64" display="https://www.linkedin.com/learning/como-conciliar-el-teletrabajo-con-la-vida-real-en-tiempos-de-crisis?trk=ondemandfile" xr:uid="{00000000-0004-0000-2300-00003F000000}"/>
    <hyperlink ref="S20" r:id="rId65" display="https://www.linkedin.com/learning/optimistisch-bleiben-im-job?trk=ondemandfile" xr:uid="{00000000-0004-0000-2300-000040000000}"/>
    <hyperlink ref="D21" r:id="rId66" display="https://www.linkedin.com/learning/how-to-stop-freaking-out-and-keep-moving-forward?trk=ondemandfile" xr:uid="{00000000-0004-0000-2300-000041000000}"/>
    <hyperlink ref="N21" r:id="rId67" display="https://www.linkedin.com/learning/como-hackear-tu-mente-y-recuperar-el-control-sobre-el-estres?trk=ondemandfile" xr:uid="{00000000-0004-0000-2300-000042000000}"/>
    <hyperlink ref="S21" r:id="rId68" display="https://www.linkedin.com/learning/resilienz-entwickeln?trk=ondemandfile" xr:uid="{00000000-0004-0000-2300-000043000000}"/>
    <hyperlink ref="D22" r:id="rId69" display="https://www.linkedin.com/learning/anger-management?trk=ondemandfile" xr:uid="{00000000-0004-0000-2300-000044000000}"/>
    <hyperlink ref="N22" r:id="rId70" display="https://www.linkedin.com/learning/c-mo-manejar-el-estr-s?trk=ondemandfile" xr:uid="{00000000-0004-0000-2300-000045000000}"/>
    <hyperlink ref="S22" r:id="rId71" display="https://www.linkedin.com/learning/resilienz-in-krisenzeiten?trk=ondemandfile" xr:uid="{00000000-0004-0000-2300-000046000000}"/>
    <hyperlink ref="D23" r:id="rId72" display="https://www.linkedin.com/learning/how-to-have-compassionate-presence?trk=ondemandfile" xr:uid="{00000000-0004-0000-2300-000047000000}"/>
    <hyperlink ref="N23" r:id="rId73" display="https://www.linkedin.com/learning/gestion-del-estres-en-tiempos-de-incertidumbre-vivir-o-sobrevivir?trk=ondemandfile" xr:uid="{00000000-0004-0000-2300-000048000000}"/>
    <hyperlink ref="S23" r:id="rId74" display="https://www.linkedin.com/learning/produktiv-mit-stress-umgehen?trk=ondemandfile" xr:uid="{00000000-0004-0000-2300-000049000000}"/>
    <hyperlink ref="D24" r:id="rId75" display="https://www.linkedin.com/learning/mindfulness-for-beginners?trk=ondemandfile" xr:uid="{00000000-0004-0000-2300-00004A000000}"/>
    <hyperlink ref="N24" r:id="rId76" display="https://www.linkedin.com/learning/la-salud-tu-mejor-talento?trk=ondemandfile" xr:uid="{00000000-0004-0000-2300-00004B000000}"/>
    <hyperlink ref="S24" r:id="rId77" display="https://www.linkedin.com/learning/stress-bewaltigen-2-fur-mehr-balance-und-gesundheit?trk=contentmappingfile" xr:uid="{00000000-0004-0000-2300-00004C000000}"/>
    <hyperlink ref="D25" r:id="rId78" display="https://www.linkedin.com/learning/computer-and-text-neck-stretching-exercises?trk=ondemandfile" xr:uid="{00000000-0004-0000-2300-00004D000000}"/>
    <hyperlink ref="N25" r:id="rId79" display="https://www.linkedin.com/learning/mindfulness-3?trk=ondemandfile" xr:uid="{00000000-0004-0000-2300-00004E000000}"/>
    <hyperlink ref="S25" r:id="rId80" display="https://www.linkedin.com/learning/unerwartete-veranderungen-annehmen?trk=ondemandfile" xr:uid="{00000000-0004-0000-2300-00004F000000}"/>
    <hyperlink ref="D26" r:id="rId81" display="https://www.linkedin.com/learning/the-mindful-workday?trk=ondemandfile" xr:uid="{00000000-0004-0000-2300-000050000000}"/>
    <hyperlink ref="N26" r:id="rId82" display="https://www.linkedin.com/learning/toma-de-decisiones-en-situaciones-de-gran-estres?trk=ondemandfile" xr:uid="{00000000-0004-0000-2300-000051000000}"/>
    <hyperlink ref="D27" r:id="rId83" display="https://www.linkedin.com/learning/creating-technology-boundaries-for-your-phone?trk=ondemandfile" xr:uid="{00000000-0004-0000-2300-000052000000}"/>
    <hyperlink ref="D28" r:id="rId84" display="https://www.linkedin.com/learning/ergonomics-101?trk=ondemandfile" xr:uid="{00000000-0004-0000-2300-000053000000}"/>
    <hyperlink ref="D29" r:id="rId85" display="https://www.linkedin.com/learning/developing-your-emotional-intelligence?trk=ondemandfile" xr:uid="{00000000-0004-0000-2300-000054000000}"/>
    <hyperlink ref="D30" r:id="rId86" display="https://www.linkedin.com/learning/meditations-to-change-your-brain?trk=ondemandfile" xr:uid="{00000000-0004-0000-2300-000055000000}"/>
    <hyperlink ref="D31" r:id="rId87" display="https://www.linkedin.com/learning/developing-self-awareness?trk=ondemandfile" xr:uid="{00000000-0004-0000-2300-000056000000}"/>
    <hyperlink ref="D32" r:id="rId88" display="https://www.linkedin.com/learning/avoiding-burnout-2019?trk=ondemandfile" xr:uid="{00000000-0004-0000-2300-000057000000}"/>
    <hyperlink ref="D33" r:id="rId89" display="https://www.linkedin.com/learning/sky-yogi-relax-and-stretch-for-a-better-flight?trk=ondemandfile" xr:uid="{00000000-0004-0000-2300-000058000000}"/>
    <hyperlink ref="D34" r:id="rId90" display="https://www.linkedin.com/learning/boost-emotional-intelligence-with-mindfulness?trk=ondemandfile" xr:uid="{00000000-0004-0000-2300-000059000000}"/>
    <hyperlink ref="D35" r:id="rId91" display="https://www.linkedin.com/learning/managing-stress-2019?trk=ondemandfile" xr:uid="{00000000-0004-0000-2300-00005A000000}"/>
    <hyperlink ref="D36" r:id="rId92" display="https://www.linkedin.com/learning/being-positive-at-work?trk=ondemandfile" xr:uid="{00000000-0004-0000-2300-00005B000000}"/>
    <hyperlink ref="D37" r:id="rId93" display="https://www.linkedin.com/learning/how-to-make-work-more-meaningful?trk=ondemandfile" xr:uid="{00000000-0004-0000-2300-00005C000000}"/>
    <hyperlink ref="D38" r:id="rId94" display="https://www.linkedin.com/learning/mindful-productivity?trk=ondemandfile" xr:uid="{00000000-0004-0000-2300-00005D000000}"/>
    <hyperlink ref="D39" r:id="rId95" display="https://www.linkedin.com/learning/embracing-change-with-mindfulness?trk=ondemandfile" xr:uid="{00000000-0004-0000-2300-00005E000000}"/>
    <hyperlink ref="D40" r:id="rId96" display="https://www.linkedin.com/learning/winding-down-get-a-better-night-s-sleep?trk=ondemandfile" xr:uid="{00000000-0004-0000-2300-00005F000000}"/>
    <hyperlink ref="D41" r:id="rId97" display="https://www.linkedin.com/learning/mindful-stress-management?trk=ondemandfile" xr:uid="{00000000-0004-0000-2300-000060000000}"/>
    <hyperlink ref="D42" r:id="rId98" display="https://www.linkedin.com/learning/introduction-to-gratitude-meditation?trk=ondemandfile" xr:uid="{00000000-0004-0000-2300-000061000000}"/>
    <hyperlink ref="D43" r:id="rId99" display="https://www.linkedin.com/learning/introduction-to-mind-like-sky-meditation?trk=ondemandfile" xr:uid="{00000000-0004-0000-2300-000062000000}"/>
    <hyperlink ref="D44" r:id="rId100" display="https://www.linkedin.com/learning/introduction-to-loving-kindness-meditation?trk=ondemandfile" xr:uid="{00000000-0004-0000-2300-000063000000}"/>
    <hyperlink ref="D45" r:id="rId101" display="https://www.linkedin.com/learning/introduction-to-forgiveness-meditation?trk=ondemandfile" xr:uid="{00000000-0004-0000-2300-000064000000}"/>
    <hyperlink ref="D46" r:id="rId102" display="https://www.linkedin.com/learning/introduction-to-visualization-meditation?trk=ondemandfile" xr:uid="{00000000-0004-0000-2300-000065000000}"/>
    <hyperlink ref="D47" r:id="rId103" display="https://www.linkedin.com/learning/mindful-leadership?trk=ondemandfile" xr:uid="{00000000-0004-0000-2300-000066000000}"/>
    <hyperlink ref="D48" r:id="rId104" display="https://www.linkedin.com/learning/creating-flow?trk=ondemandfile" xr:uid="{00000000-0004-0000-2300-000067000000}"/>
    <hyperlink ref="D49" r:id="rId105" display="https://www.linkedin.com/learning/overcoming-rejection?trk=ondemandfile" xr:uid="{00000000-0004-0000-2300-000068000000}"/>
    <hyperlink ref="D50" r:id="rId106" display="https://www.linkedin.com/learning/how-to-be-both-assertive-and-likable?trk=ondemandfile" xr:uid="{00000000-0004-0000-2300-000069000000}"/>
    <hyperlink ref="D51" r:id="rId107" display="https://www.linkedin.com/learning/pushing-past-your-prior-limits?trk=ondemandfile" xr:uid="{00000000-0004-0000-2300-00006A000000}"/>
    <hyperlink ref="D52" r:id="rId108" display="https://www.linkedin.com/learning/establishing-evening-routines-to-optimize-the-day-ahead?trk=ondemandfile" xr:uid="{00000000-0004-0000-2300-00006B000000}"/>
    <hyperlink ref="D53" r:id="rId109" display="https://www.linkedin.com/learning/achieving-more-through-smart-energy-management?trk=ondemandfile" xr:uid="{00000000-0004-0000-2300-00006C000000}"/>
    <hyperlink ref="D54" r:id="rId110" display="https://www.linkedin.com/learning/confidence-how-to-overcome-self-doubt-insecurity-and-fears?trk=ondemandfile" xr:uid="{00000000-0004-0000-2300-00006D000000}"/>
    <hyperlink ref="D55" r:id="rId111" display="https://www.linkedin.com/learning/strategies-to-improve-self-awareness?trk=ondemandfile" xr:uid="{00000000-0004-0000-2300-00006E000000}"/>
    <hyperlink ref="D56" r:id="rId112" display="https://www.linkedin.com/learning/overcoming-perfectionism?trk=ondemandfile" xr:uid="{00000000-0004-0000-2300-00006F000000}"/>
    <hyperlink ref="D57" r:id="rId113" display="https://www.linkedin.com/learning/sales-well-being-managing-anxiety-burnout-and-rejection?trk=ondemandfile" xr:uid="{00000000-0004-0000-2300-000070000000}"/>
    <hyperlink ref="D58" r:id="rId114" display="https://www.linkedin.com/learning/lose-your-fear-of-asking-questions-at-work?trk=ondemandfile" xr:uid="{00000000-0004-0000-2300-000071000000}"/>
    <hyperlink ref="D59" r:id="rId115" display="https://www.linkedin.com/learning/vulnerability-the-workplace-superpower-disguised-as-a-weakness?trk=ondemandfile" xr:uid="{00000000-0004-0000-2300-000072000000}"/>
    <hyperlink ref="D60" r:id="rId116" display="https://www.linkedin.com/learning/prepare-for-returning-to-the-workplace?trk=ondemandfile" xr:uid="{00000000-0004-0000-2300-000073000000}"/>
    <hyperlink ref="D61" r:id="rId117" display="https://www.linkedin.com/learning/aligning-your-values-with-work-life-and-everything-in-between?trk=ondemandfile" xr:uid="{00000000-0004-0000-2300-000074000000}"/>
    <hyperlink ref="D62" r:id="rId118" display="https://www.linkedin.com/learning/how-to-use-rejection-to-your-advantage?trk=ondemandfile" xr:uid="{00000000-0004-0000-2300-000075000000}"/>
    <hyperlink ref="D63" r:id="rId119" display="https://www.linkedin.com/learning/mindful-team-building?trk=ondemandfile" xr:uid="{00000000-0004-0000-2300-000076000000}"/>
    <hyperlink ref="D64" r:id="rId120" display="https://www.linkedin.com/learning/improving-emotional-intelligence-with-mindfulness?trk=ondemandfile" xr:uid="{00000000-0004-0000-2300-000077000000}"/>
    <hyperlink ref="D65" r:id="rId121" display="https://www.linkedin.com/learning/mindful-eating?trk=ondemandfile" xr:uid="{00000000-0004-0000-2300-000078000000}"/>
    <hyperlink ref="D66" r:id="rId122" display="https://www.linkedin.com/learning/mindfulness-diversity-and-the-quest-for-inclusion?trk=ondemandfile" xr:uid="{00000000-0004-0000-2300-000079000000}"/>
    <hyperlink ref="D67" r:id="rId123" display="https://www.linkedin.com/learning/habits-for-becoming-your-most-effective-self?trk=ondemandfile" xr:uid="{00000000-0004-0000-2300-00007A000000}"/>
    <hyperlink ref="D68" r:id="rId124" display="https://www.linkedin.com/learning/manage-burnout-at-work-with-these-simple-strategies?trk=ondemandfile" xr:uid="{00000000-0004-0000-2300-00007B000000}"/>
    <hyperlink ref="D69" r:id="rId125" display="https://www.linkedin.com/learning/don-t-take-yes-for-an-answer-blinkist-summary?trk=ondemandfile" xr:uid="{00000000-0004-0000-2300-00007C000000}"/>
    <hyperlink ref="D70" r:id="rId126" display="https://www.linkedin.com/learning/strategies-to-get-and-stay-unstuck?trk=ondemandfile" xr:uid="{00000000-0004-0000-2300-00007D000000}"/>
    <hyperlink ref="D71" r:id="rId127" display="https://www.linkedin.com/learning/mindset-blinkist-summary?trk=ondemandfile" xr:uid="{00000000-0004-0000-2300-00007E000000}"/>
    <hyperlink ref="D72" r:id="rId128" display="https://www.linkedin.com/learning/upgrading-your-confidence-and-courage-at-work?trk=ondemandfile" xr:uid="{00000000-0004-0000-2300-00007F000000}"/>
    <hyperlink ref="D73" r:id="rId129" display="https://www.linkedin.com/learning/developing-your-authentic-self-to-ignite-change?trk=ondemandfile" xr:uid="{00000000-0004-0000-2300-000080000000}"/>
    <hyperlink ref="D74" r:id="rId130" display="https://www.linkedin.com/learning/conquering-freak-outs-and-the-fear-of-failure?trk=ondemandfile" xr:uid="{00000000-0004-0000-2300-000081000000}"/>
    <hyperlink ref="D75" r:id="rId131" display="https://www.linkedin.com/learning/mindfulness-a-critical-skill-for-project-managers?trk=ondemandfile" xr:uid="{00000000-0004-0000-2300-000082000000}"/>
    <hyperlink ref="D76" r:id="rId132" display="https://www.linkedin.com/learning/how-to-have-a-happier-workweek?trk=contentmappingfile" xr:uid="{00000000-0004-0000-2300-000083000000}"/>
    <hyperlink ref="D77" r:id="rId133" display="https://www.linkedin.com/learning/how-to-find-and-use-your-strengths?trk=contentmappingfile" xr:uid="{00000000-0004-0000-2300-000084000000}"/>
    <hyperlink ref="D78" r:id="rId134" display="https://www.linkedin.com/learning/increasing-confidence-by-increasing-self-awareness?trk=contentmappingfile" xr:uid="{00000000-0004-0000-2300-000085000000}"/>
    <hyperlink ref="D79" r:id="rId135" display="https://www.linkedin.com/learning/supporting-a-grieving-employee-a-manager-s-guide?trk=ondemandfile" xr:uid="{00000000-0004-0000-2300-000086000000}"/>
    <hyperlink ref="D80" r:id="rId136" display="https://www.linkedin.com/learning/developing-adaptable-employees?trk=ondemandfile" xr:uid="{00000000-0004-0000-2300-000087000000}"/>
    <hyperlink ref="D81" r:id="rId137" display="https://www.linkedin.com/learning/facilities-management-social-distancing-and-ppe-14016700?trk=ondemandfile" xr:uid="{00000000-0004-0000-2300-000088000000}"/>
    <hyperlink ref="D82" r:id="rId138" display="https://www.linkedin.com/learning/managing-employee-stress-for-positive-change?trk=ondemandfile" xr:uid="{00000000-0004-0000-2300-000089000000}"/>
    <hyperlink ref="D83" r:id="rId139" display="https://www.linkedin.com/learning/meditation-audio-course?trk=ondemandfile" xr:uid="{00000000-0004-0000-2300-00008A000000}"/>
    <hyperlink ref="D84" r:id="rId140" display="https://www.linkedin.com/learning/45-minute-business-plan?trk=ondemandfile" xr:uid="{00000000-0004-0000-2300-00008B000000}"/>
    <hyperlink ref="D85" r:id="rId141" display="https://www.linkedin.com/learning/the-leader-s-guide-to-mindfulness-getabstract-summary?trk=ondemandfile" xr:uid="{00000000-0004-0000-2300-00008C000000}"/>
    <hyperlink ref="D86" r:id="rId142" display="https://www.linkedin.com/learning/sharing-your-best-self-at-work?trk=ondemandfile" xr:uid="{00000000-0004-0000-2300-00008D000000}"/>
    <hyperlink ref="D87" r:id="rId143" display="https://www.linkedin.com/learning/how-to-use-entrepreneurial-thinking-to-conquer-fear-and-motivate-yourself?trk=ondemandfile" xr:uid="{00000000-0004-0000-2300-00008E000000}"/>
    <hyperlink ref="D88" r:id="rId144" display="https://www.linkedin.com/learning/practices-for-regulating-your-nervous-system-and-reducing-stress?trk=ondemandfile" xr:uid="{00000000-0004-0000-2300-00008F000000}"/>
    <hyperlink ref="D89" r:id="rId145" display="https://www.linkedin.com/learning/staying-positive-in-the-face-of-negativity?trk=ondemandfile" xr:uid="{00000000-0004-0000-2300-000090000000}"/>
    <hyperlink ref="D90" r:id="rId146" display="https://www.linkedin.com/learning/cultivate-healthy-ambition?trk=ondemandfile" xr:uid="{00000000-0004-0000-2300-000091000000}"/>
    <hyperlink ref="D91" r:id="rId147" display="https://www.linkedin.com/learning/gretchen-rubin-on-creating-great-workplace-habits?trk=ondemandfile" xr:uid="{00000000-0004-0000-2300-000092000000}"/>
    <hyperlink ref="D92" r:id="rId148" display="https://www.linkedin.com/learning/arianna-huffington-s-thrive-01-discovering-meditation-and-sleep?trk=ondemandfile" xr:uid="{00000000-0004-0000-2300-000093000000}"/>
    <hyperlink ref="D93" r:id="rId149" display="https://www.linkedin.com/learning/sheryl-sandberg-and-adam-grant-on-option-b?trk=ondemandfile" xr:uid="{00000000-0004-0000-2300-000094000000}"/>
    <hyperlink ref="D94" r:id="rId150" display="https://www.linkedin.com/learning/arianna-huffington-s-thrive-02-learning-how-to-unplug-and-recharge?trk=ondemandfile" xr:uid="{00000000-0004-0000-2300-000095000000}"/>
    <hyperlink ref="D95" r:id="rId151" display="https://www.linkedin.com/learning/arianna-huffington-s-thrive-05-igniting-joy?trk=ondemandfile" xr:uid="{00000000-0004-0000-2300-000096000000}"/>
    <hyperlink ref="D96" r:id="rId152" display="https://www.linkedin.com/learning/being-the-best-you-self-improvement-modeling?trk=ondemandfile" xr:uid="{00000000-0004-0000-2300-000097000000}"/>
    <hyperlink ref="D97" r:id="rId153" display="https://www.linkedin.com/learning/supporting-your-mental-health-while-working-from-home?trk=ondemandfile" xr:uid="{00000000-0004-0000-2300-000098000000}"/>
    <hyperlink ref="D98" r:id="rId154" display="https://www.linkedin.com/learning/life-mastery-achieving-happiness-and-success?trk=ondemandfile" xr:uid="{00000000-0004-0000-2300-000099000000}"/>
    <hyperlink ref="D99" r:id="rId155" display="https://www.linkedin.com/learning/arianna-huffington-s-thrive-06-giving-back-to-others?trk=ondemandfile" xr:uid="{00000000-0004-0000-2300-00009A000000}"/>
    <hyperlink ref="D100" r:id="rId156" display="https://www.linkedin.com/learning/learning-to-say-no?trk=ondemandfile" xr:uid="{00000000-0004-0000-2300-00009B000000}"/>
    <hyperlink ref="D101" r:id="rId157" display="https://www.linkedin.com/learning/the-five-thieves-of-happiness-getabstract-summary?trk=ondemandfile" xr:uid="{00000000-0004-0000-2300-00009C000000}"/>
    <hyperlink ref="D102" r:id="rId158" display="https://www.linkedin.com/learning/balancing-work-and-life-as-a-work-from-home-parent?trk=ondemandfile" xr:uid="{00000000-0004-0000-2300-00009D000000}"/>
    <hyperlink ref="D103" r:id="rId159" display="https://www.linkedin.com/learning/essentials-of-mindfulness-and-compassion-with-scott-shute?trk=ondemandfile" xr:uid="{00000000-0004-0000-2300-00009E000000}"/>
    <hyperlink ref="D104" r:id="rId160" display="https://www.linkedin.com/learning/how-to-manage-feeling-overwhelmed?trk=ondemandfile" xr:uid="{00000000-0004-0000-2300-00009F000000}"/>
    <hyperlink ref="D105" r:id="rId161" display="https://www.linkedin.com/learning/confronting-bias-thriving-across-our-differences?trk=ondemandfile" xr:uid="{00000000-0004-0000-2300-0000A0000000}"/>
    <hyperlink ref="D106" r:id="rId162" display="https://www.linkedin.com/learning/arianna-huffington-s-thrive-03-setting-priorities-and-letting-go?trk=ondemandfile" xr:uid="{00000000-0004-0000-2300-0000A1000000}"/>
    <hyperlink ref="D107" r:id="rId163" display="https://www.linkedin.com/learning/managing-depression-in-the-workplace?trk=ondemandfile" xr:uid="{00000000-0004-0000-2300-0000A2000000}"/>
    <hyperlink ref="D108" r:id="rId164" display="https://www.linkedin.com/learning/arianna-huffington-s-thrive-04-facing-challenges?trk=ondemandfile" xr:uid="{00000000-0004-0000-2300-0000A3000000}"/>
    <hyperlink ref="D109" r:id="rId165" display="https://www.linkedin.com/learning/managing-your-energy-for-better-performance?trk=ondemandfile" xr:uid="{00000000-0004-0000-2300-0000A4000000}"/>
    <hyperlink ref="D110" r:id="rId166" display="https://www.linkedin.com/learning/managing-anxiety-in-the-workplace?trk=ondemandfile" xr:uid="{00000000-0004-0000-2300-0000A5000000}"/>
    <hyperlink ref="D111" r:id="rId167" display="https://www.linkedin.com/learning/mindfulness-practices?trk=ondemandfile" xr:uid="{00000000-0004-0000-2300-0000A6000000}"/>
    <hyperlink ref="D112" r:id="rId168" display="https://www.linkedin.com/learning/how-to-create-a-life-of-meaning-and-purpose?trk=ondemandfile" xr:uid="{00000000-0004-0000-2300-0000A7000000}"/>
    <hyperlink ref="D113" r:id="rId169" display="https://www.linkedin.com/learning/beating-procrastination?trk=ondemandfile" xr:uid="{00000000-0004-0000-2300-0000A8000000}"/>
    <hyperlink ref="D114" r:id="rId170" display="https://www.linkedin.com/learning/enhance-productivity-in-a-hybrid-work-environment?trk=ondemandfile" xr:uid="{00000000-0004-0000-2300-0000A9000000}"/>
    <hyperlink ref="D115" r:id="rId171" display="https://www.linkedin.com/learning/reframing-the-power-of-changing-your-perspective?trk=ondemandfile" xr:uid="{00000000-0004-0000-2300-0000AA000000}"/>
    <hyperlink ref="D116" r:id="rId172" display="https://www.linkedin.com/learning/habits-to-win-every-day?trk=ondemandfile" xr:uid="{00000000-0004-0000-2300-0000AB000000}"/>
    <hyperlink ref="D117" r:id="rId173" display="https://www.linkedin.com/learning/succeeding-as-an-lgbt-professional?trk=ondemandfile" xr:uid="{00000000-0004-0000-2300-0000AC000000}"/>
    <hyperlink ref="D118" r:id="rId174" display="https://www.linkedin.com/learning/how-to-have-a-great-day-at-work-with-caroline-webb?trk=ondemandfile" xr:uid="{00000000-0004-0000-2300-0000AD000000}"/>
    <hyperlink ref="D119" r:id="rId175" display="https://www.linkedin.com/learning/confidence-building-strategies-for-work-and-life?trk=ondemandfile" xr:uid="{00000000-0004-0000-2300-0000AE000000}"/>
    <hyperlink ref="D120" r:id="rId176" display="https://www.linkedin.com/learning/the-step-by-step-guide-to-reinventing-yourself?trk=ondemandfile" xr:uid="{00000000-0004-0000-2300-0000AF000000}"/>
    <hyperlink ref="D121" r:id="rId177" display="https://www.linkedin.com/learning/mel-robbins-on-confidence?trk=ondemandfile" xr:uid="{00000000-0004-0000-2300-0000B0000000}"/>
    <hyperlink ref="D122" r:id="rId178" display="https://www.linkedin.com/learning/the-miracle-morning-blinkist-summary?trk=ondemandfile" xr:uid="{00000000-0004-0000-2300-0000B1000000}"/>
    <hyperlink ref="D123" r:id="rId179" display="https://www.linkedin.com/learning/the-power-of-habit-blinkist-summary?trk=ondemandfile" xr:uid="{00000000-0004-0000-2300-0000B2000000}"/>
    <hyperlink ref="D124" r:id="rId180" display="https://www.linkedin.com/learning/balancing-multiple-roles-as-a-leader?trk=ondemandfile" xr:uid="{00000000-0004-0000-2300-0000B3000000}"/>
    <hyperlink ref="D125" r:id="rId181" display="https://www.linkedin.com/learning/the-culture-code?trk=ondemandfile" xr:uid="{00000000-0004-0000-2300-0000B4000000}"/>
    <hyperlink ref="D126" r:id="rId182" display="https://www.linkedin.com/learning/how-to-be-a-positive-leader?trk=ondemandfile" xr:uid="{00000000-0004-0000-2300-0000B5000000}"/>
    <hyperlink ref="D127" r:id="rId183" display="https://www.linkedin.com/learning/how-to-support-your-employees-well-being?trk=ondemandfile" xr:uid="{00000000-0004-0000-2300-0000B6000000}"/>
    <hyperlink ref="D128" r:id="rId184" display="https://www.linkedin.com/learning/managing-your-well-being-as-a-leader?trk=ondemandfile" xr:uid="{00000000-0004-0000-2300-0000B7000000}"/>
    <hyperlink ref="D129" r:id="rId185" display="https://www.linkedin.com/learning/leading-with-empathy?trk=ondemandfile" xr:uid="{00000000-0004-0000-2300-0000B8000000}"/>
    <hyperlink ref="D130" r:id="rId186" display="https://www.linkedin.com/learning/exercising-a-growth-mindset-as-a-leader-nine-common-workplace-challenges?trk=ondemandfile" xr:uid="{00000000-0004-0000-2300-0000B9000000}"/>
    <hyperlink ref="D131" r:id="rId187" display="https://www.linkedin.com/learning/thriving-work-leveraging-the-connection-between-well-being-and-productivity?trk=ondemandfile" xr:uid="{00000000-0004-0000-2300-0000BA000000}"/>
    <hyperlink ref="D132" r:id="rId188" display="https://www.linkedin.com/learning/unsubscribe?trk=ondemandfile" xr:uid="{00000000-0004-0000-2300-0000BB000000}"/>
    <hyperlink ref="D133" r:id="rId189" display="https://www.linkedin.com/learning/driving-workplace-happiness?trk=ondemandfile" xr:uid="{00000000-0004-0000-2300-0000BC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Click and enter a value from range 'Competency Titles'!A1:A27" xr:uid="{00000000-0002-0000-2300-000000000000}">
          <x14:formula1>
            <xm:f>#REF!</xm:f>
          </x14:formula1>
          <xm:sqref>B1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H575"/>
  <sheetViews>
    <sheetView workbookViewId="0"/>
  </sheetViews>
  <sheetFormatPr baseColWidth="10" defaultColWidth="11.1640625" defaultRowHeight="15" customHeight="1"/>
  <cols>
    <col min="1" max="1" width="45.5" customWidth="1"/>
    <col min="2" max="2" width="28.83203125" customWidth="1"/>
    <col min="3" max="3" width="19.1640625" customWidth="1"/>
    <col min="4" max="4" width="18" customWidth="1"/>
    <col min="5" max="5" width="37.5" customWidth="1"/>
    <col min="6" max="6" width="32.5" hidden="1" customWidth="1"/>
    <col min="7" max="7" width="32.6640625" customWidth="1"/>
    <col min="8" max="8" width="10.5" customWidth="1"/>
  </cols>
  <sheetData>
    <row r="1" spans="1:8" ht="33.75" customHeight="1">
      <c r="A1" s="122" t="s">
        <v>59</v>
      </c>
      <c r="B1" s="123" t="s">
        <v>673</v>
      </c>
      <c r="C1" s="124" t="s">
        <v>674</v>
      </c>
      <c r="D1" s="125" t="s">
        <v>62</v>
      </c>
      <c r="E1" s="125" t="s">
        <v>675</v>
      </c>
      <c r="F1" s="126" t="s">
        <v>64</v>
      </c>
      <c r="G1" s="126" t="s">
        <v>65</v>
      </c>
      <c r="H1" s="127"/>
    </row>
    <row r="2" spans="1:8" ht="15.75" customHeight="1">
      <c r="A2" s="1" t="s">
        <v>0</v>
      </c>
      <c r="B2" s="1" t="s">
        <v>676</v>
      </c>
      <c r="C2" s="128" t="s">
        <v>68</v>
      </c>
      <c r="D2" s="128" t="s">
        <v>62</v>
      </c>
      <c r="E2" s="129" t="s">
        <v>69</v>
      </c>
      <c r="F2" s="130"/>
      <c r="G2" s="130" t="s">
        <v>70</v>
      </c>
    </row>
    <row r="3" spans="1:8" ht="15.75" customHeight="1">
      <c r="A3" s="1" t="s">
        <v>0</v>
      </c>
      <c r="B3" s="1" t="s">
        <v>676</v>
      </c>
      <c r="C3" s="43">
        <v>762264</v>
      </c>
      <c r="D3" s="1" t="s">
        <v>71</v>
      </c>
      <c r="E3" s="45" t="s">
        <v>677</v>
      </c>
      <c r="G3" s="48" t="s">
        <v>678</v>
      </c>
    </row>
    <row r="4" spans="1:8" ht="15.75" customHeight="1">
      <c r="A4" s="42" t="s">
        <v>0</v>
      </c>
      <c r="B4" s="1" t="s">
        <v>676</v>
      </c>
      <c r="C4" s="43">
        <v>2255864</v>
      </c>
      <c r="D4" s="1" t="s">
        <v>71</v>
      </c>
      <c r="E4" s="45" t="s">
        <v>679</v>
      </c>
      <c r="G4" s="48" t="s">
        <v>680</v>
      </c>
    </row>
    <row r="5" spans="1:8" ht="15.75" customHeight="1">
      <c r="A5" s="42" t="s">
        <v>0</v>
      </c>
      <c r="B5" s="1" t="s">
        <v>676</v>
      </c>
      <c r="C5" s="43">
        <v>3103024</v>
      </c>
      <c r="D5" s="1" t="s">
        <v>83</v>
      </c>
      <c r="E5" s="45" t="s">
        <v>681</v>
      </c>
      <c r="G5" s="48" t="s">
        <v>682</v>
      </c>
    </row>
    <row r="6" spans="1:8" ht="15.75" customHeight="1">
      <c r="A6" s="42" t="s">
        <v>0</v>
      </c>
      <c r="B6" s="1" t="s">
        <v>676</v>
      </c>
      <c r="C6" s="43">
        <v>2811360</v>
      </c>
      <c r="D6" s="1" t="s">
        <v>80</v>
      </c>
      <c r="E6" s="45" t="s">
        <v>683</v>
      </c>
      <c r="G6" s="48" t="s">
        <v>684</v>
      </c>
    </row>
    <row r="7" spans="1:8" ht="15.75" customHeight="1">
      <c r="A7" s="42" t="s">
        <v>0</v>
      </c>
      <c r="B7" s="1" t="s">
        <v>676</v>
      </c>
      <c r="C7" s="43">
        <v>773688</v>
      </c>
      <c r="D7" s="1" t="s">
        <v>80</v>
      </c>
      <c r="E7" s="45" t="s">
        <v>685</v>
      </c>
      <c r="G7" s="50"/>
    </row>
    <row r="8" spans="1:8" ht="15.75" customHeight="1">
      <c r="A8" s="42" t="s">
        <v>0</v>
      </c>
      <c r="B8" s="1" t="s">
        <v>676</v>
      </c>
      <c r="C8" s="43">
        <v>802086</v>
      </c>
      <c r="D8" s="1" t="s">
        <v>80</v>
      </c>
      <c r="E8" s="45" t="s">
        <v>686</v>
      </c>
      <c r="G8" s="50"/>
    </row>
    <row r="9" spans="1:8" ht="15.75" customHeight="1">
      <c r="A9" s="1" t="s">
        <v>0</v>
      </c>
      <c r="B9" s="1" t="s">
        <v>676</v>
      </c>
      <c r="C9" s="43">
        <v>2823075</v>
      </c>
      <c r="D9" s="1" t="s">
        <v>83</v>
      </c>
      <c r="E9" s="45" t="s">
        <v>687</v>
      </c>
      <c r="G9" s="50"/>
    </row>
    <row r="10" spans="1:8" ht="15.75" customHeight="1">
      <c r="A10" s="42" t="s">
        <v>0</v>
      </c>
      <c r="B10" s="1" t="s">
        <v>676</v>
      </c>
      <c r="C10" s="43">
        <v>5018436</v>
      </c>
      <c r="D10" s="1" t="s">
        <v>80</v>
      </c>
      <c r="E10" s="45" t="s">
        <v>688</v>
      </c>
      <c r="G10" s="50"/>
    </row>
    <row r="11" spans="1:8" ht="15.75" customHeight="1">
      <c r="A11" s="42" t="s">
        <v>0</v>
      </c>
      <c r="B11" s="1" t="s">
        <v>676</v>
      </c>
      <c r="C11" s="43">
        <v>2808425</v>
      </c>
      <c r="D11" s="1" t="s">
        <v>80</v>
      </c>
      <c r="E11" s="45" t="s">
        <v>689</v>
      </c>
      <c r="G11" s="131"/>
    </row>
    <row r="12" spans="1:8" ht="15.75" customHeight="1">
      <c r="A12" s="42" t="s">
        <v>0</v>
      </c>
      <c r="B12" s="1" t="s">
        <v>676</v>
      </c>
      <c r="C12" s="43">
        <v>2816015</v>
      </c>
      <c r="D12" s="1" t="s">
        <v>83</v>
      </c>
      <c r="E12" s="45" t="s">
        <v>690</v>
      </c>
      <c r="G12" s="50"/>
    </row>
    <row r="13" spans="1:8" ht="15.75" customHeight="1">
      <c r="A13" s="42" t="s">
        <v>0</v>
      </c>
      <c r="B13" s="1" t="s">
        <v>676</v>
      </c>
      <c r="C13" s="43">
        <v>773686</v>
      </c>
      <c r="D13" s="1" t="s">
        <v>71</v>
      </c>
      <c r="E13" s="45" t="s">
        <v>691</v>
      </c>
      <c r="G13" s="131"/>
    </row>
    <row r="14" spans="1:8" ht="15.75" customHeight="1">
      <c r="A14" s="42" t="s">
        <v>0</v>
      </c>
      <c r="B14" s="1" t="s">
        <v>676</v>
      </c>
      <c r="C14" s="43">
        <v>5037970</v>
      </c>
      <c r="D14" s="1" t="s">
        <v>80</v>
      </c>
      <c r="E14" s="45" t="s">
        <v>692</v>
      </c>
      <c r="G14" s="131"/>
    </row>
    <row r="15" spans="1:8" ht="15.75" customHeight="1">
      <c r="A15" s="42" t="s">
        <v>0</v>
      </c>
      <c r="B15" s="1" t="s">
        <v>676</v>
      </c>
      <c r="C15" s="43">
        <v>5015633</v>
      </c>
      <c r="D15" s="1" t="s">
        <v>71</v>
      </c>
      <c r="E15" s="45" t="s">
        <v>693</v>
      </c>
      <c r="F15" s="130"/>
      <c r="G15" s="59"/>
    </row>
    <row r="16" spans="1:8" ht="15.75" customHeight="1">
      <c r="A16" s="42" t="s">
        <v>0</v>
      </c>
      <c r="B16" s="1" t="s">
        <v>676</v>
      </c>
      <c r="C16" s="43">
        <v>5001654</v>
      </c>
      <c r="D16" s="1" t="s">
        <v>80</v>
      </c>
      <c r="E16" s="45" t="s">
        <v>694</v>
      </c>
      <c r="F16" s="130"/>
      <c r="G16" s="59"/>
    </row>
    <row r="17" spans="1:7" ht="16">
      <c r="A17" s="42" t="s">
        <v>0</v>
      </c>
      <c r="B17" s="1" t="s">
        <v>676</v>
      </c>
      <c r="C17" s="43">
        <v>779391</v>
      </c>
      <c r="D17" s="1" t="s">
        <v>80</v>
      </c>
      <c r="E17" s="45" t="s">
        <v>695</v>
      </c>
      <c r="G17" s="131"/>
    </row>
    <row r="18" spans="1:7" ht="16">
      <c r="A18" s="42" t="s">
        <v>0</v>
      </c>
      <c r="B18" s="1" t="s">
        <v>676</v>
      </c>
      <c r="C18" s="43">
        <v>2216884</v>
      </c>
      <c r="D18" s="1" t="s">
        <v>80</v>
      </c>
      <c r="E18" s="45" t="s">
        <v>696</v>
      </c>
      <c r="G18" s="131"/>
    </row>
    <row r="19" spans="1:7" ht="16">
      <c r="A19" s="42" t="s">
        <v>0</v>
      </c>
      <c r="B19" s="1" t="s">
        <v>676</v>
      </c>
      <c r="C19" s="43">
        <v>5015334</v>
      </c>
      <c r="D19" s="1" t="s">
        <v>71</v>
      </c>
      <c r="E19" s="45" t="s">
        <v>697</v>
      </c>
      <c r="G19" s="131"/>
    </row>
    <row r="20" spans="1:7" ht="16">
      <c r="A20" s="42" t="s">
        <v>0</v>
      </c>
      <c r="B20" s="1" t="s">
        <v>676</v>
      </c>
      <c r="C20" s="43">
        <v>2818167</v>
      </c>
      <c r="D20" s="1" t="s">
        <v>80</v>
      </c>
      <c r="E20" s="45" t="s">
        <v>698</v>
      </c>
      <c r="G20" s="131"/>
    </row>
    <row r="21" spans="1:7" ht="16">
      <c r="A21" s="42" t="s">
        <v>0</v>
      </c>
      <c r="B21" s="1" t="s">
        <v>676</v>
      </c>
      <c r="C21" s="43">
        <v>2822363</v>
      </c>
      <c r="D21" s="1" t="s">
        <v>71</v>
      </c>
      <c r="E21" s="45" t="s">
        <v>699</v>
      </c>
      <c r="G21" s="131"/>
    </row>
    <row r="22" spans="1:7" ht="15.75" customHeight="1">
      <c r="A22" s="42" t="s">
        <v>0</v>
      </c>
      <c r="B22" s="1" t="s">
        <v>676</v>
      </c>
      <c r="C22" s="43">
        <v>2822718</v>
      </c>
      <c r="D22" s="1" t="s">
        <v>83</v>
      </c>
      <c r="E22" s="45" t="s">
        <v>700</v>
      </c>
      <c r="F22" s="130"/>
      <c r="G22" s="59"/>
    </row>
    <row r="23" spans="1:7" ht="15.75" customHeight="1">
      <c r="A23" s="42" t="s">
        <v>0</v>
      </c>
      <c r="B23" s="1" t="s">
        <v>676</v>
      </c>
      <c r="C23" s="43">
        <v>2824437</v>
      </c>
      <c r="D23" s="1" t="s">
        <v>80</v>
      </c>
      <c r="E23" s="45" t="s">
        <v>701</v>
      </c>
      <c r="F23" s="130"/>
      <c r="G23" s="59"/>
    </row>
    <row r="24" spans="1:7" ht="15.75" customHeight="1">
      <c r="A24" s="42" t="s">
        <v>0</v>
      </c>
      <c r="B24" s="1" t="s">
        <v>676</v>
      </c>
      <c r="C24" s="43">
        <v>5020684</v>
      </c>
      <c r="D24" s="1" t="s">
        <v>83</v>
      </c>
      <c r="E24" s="45" t="s">
        <v>702</v>
      </c>
      <c r="F24" s="130"/>
      <c r="G24" s="59"/>
    </row>
    <row r="25" spans="1:7" ht="15.75" customHeight="1">
      <c r="A25" s="42" t="s">
        <v>0</v>
      </c>
      <c r="B25" s="1" t="s">
        <v>676</v>
      </c>
      <c r="C25" s="43">
        <v>2700211</v>
      </c>
      <c r="D25" s="1" t="s">
        <v>90</v>
      </c>
      <c r="E25" s="45" t="s">
        <v>703</v>
      </c>
      <c r="F25" s="130"/>
      <c r="G25" s="59"/>
    </row>
    <row r="26" spans="1:7" ht="15.75" customHeight="1">
      <c r="A26" s="42" t="s">
        <v>0</v>
      </c>
      <c r="B26" s="1" t="s">
        <v>676</v>
      </c>
      <c r="C26" s="43">
        <v>2822717</v>
      </c>
      <c r="D26" s="1" t="s">
        <v>80</v>
      </c>
      <c r="E26" s="45" t="s">
        <v>704</v>
      </c>
      <c r="F26" s="130"/>
      <c r="G26" s="59"/>
    </row>
    <row r="27" spans="1:7" ht="15.75" customHeight="1">
      <c r="A27" s="42" t="s">
        <v>0</v>
      </c>
      <c r="B27" s="1" t="s">
        <v>676</v>
      </c>
      <c r="C27" s="43">
        <v>2810411</v>
      </c>
      <c r="D27" s="1" t="s">
        <v>101</v>
      </c>
      <c r="E27" s="45" t="s">
        <v>705</v>
      </c>
      <c r="F27" s="130"/>
      <c r="G27" s="131"/>
    </row>
    <row r="28" spans="1:7" ht="15.75" customHeight="1">
      <c r="A28" s="42" t="s">
        <v>0</v>
      </c>
      <c r="B28" s="1" t="s">
        <v>706</v>
      </c>
      <c r="C28" s="43">
        <v>2819189</v>
      </c>
      <c r="D28" s="1" t="s">
        <v>101</v>
      </c>
      <c r="E28" s="45" t="s">
        <v>707</v>
      </c>
      <c r="F28" s="130"/>
      <c r="G28" s="59"/>
    </row>
    <row r="29" spans="1:7" ht="15.75" customHeight="1">
      <c r="A29" s="1" t="s">
        <v>1</v>
      </c>
      <c r="B29" s="1" t="s">
        <v>708</v>
      </c>
      <c r="C29" s="128" t="s">
        <v>68</v>
      </c>
      <c r="D29" s="128" t="s">
        <v>62</v>
      </c>
      <c r="E29" s="56" t="s">
        <v>69</v>
      </c>
      <c r="F29" s="130"/>
      <c r="G29" s="48" t="s">
        <v>70</v>
      </c>
    </row>
    <row r="30" spans="1:7" ht="15.75" customHeight="1">
      <c r="A30" s="1" t="s">
        <v>1</v>
      </c>
      <c r="B30" s="1" t="s">
        <v>708</v>
      </c>
      <c r="C30" s="43">
        <v>780076</v>
      </c>
      <c r="D30" s="1" t="s">
        <v>80</v>
      </c>
      <c r="E30" s="45" t="s">
        <v>709</v>
      </c>
      <c r="G30" s="48" t="s">
        <v>678</v>
      </c>
    </row>
    <row r="31" spans="1:7" ht="15.75" customHeight="1">
      <c r="A31" s="1" t="s">
        <v>1</v>
      </c>
      <c r="B31" s="1" t="s">
        <v>708</v>
      </c>
      <c r="C31" s="43">
        <v>5041722</v>
      </c>
      <c r="D31" s="1" t="s">
        <v>80</v>
      </c>
      <c r="E31" s="45" t="s">
        <v>710</v>
      </c>
      <c r="G31" s="48" t="s">
        <v>682</v>
      </c>
    </row>
    <row r="32" spans="1:7" ht="15.75" customHeight="1">
      <c r="A32" s="1" t="s">
        <v>1</v>
      </c>
      <c r="B32" s="1" t="s">
        <v>708</v>
      </c>
      <c r="C32" s="43">
        <v>5010409</v>
      </c>
      <c r="D32" s="1" t="s">
        <v>90</v>
      </c>
      <c r="E32" s="45" t="s">
        <v>711</v>
      </c>
      <c r="G32" s="48" t="s">
        <v>712</v>
      </c>
    </row>
    <row r="33" spans="1:7" ht="15.75" customHeight="1">
      <c r="A33" s="1" t="s">
        <v>1</v>
      </c>
      <c r="B33" s="1" t="s">
        <v>708</v>
      </c>
      <c r="C33" s="43">
        <v>3102030</v>
      </c>
      <c r="D33" s="1" t="s">
        <v>83</v>
      </c>
      <c r="E33" s="45" t="s">
        <v>713</v>
      </c>
      <c r="G33" s="48" t="s">
        <v>714</v>
      </c>
    </row>
    <row r="34" spans="1:7" ht="15.75" customHeight="1">
      <c r="A34" s="1" t="s">
        <v>1</v>
      </c>
      <c r="B34" s="1" t="s">
        <v>708</v>
      </c>
      <c r="C34" s="43">
        <v>3104033</v>
      </c>
      <c r="D34" s="1" t="s">
        <v>80</v>
      </c>
      <c r="E34" s="45" t="s">
        <v>715</v>
      </c>
      <c r="G34" s="48" t="s">
        <v>680</v>
      </c>
    </row>
    <row r="35" spans="1:7" ht="15.75" customHeight="1">
      <c r="A35" s="1" t="s">
        <v>1</v>
      </c>
      <c r="B35" s="1" t="s">
        <v>708</v>
      </c>
      <c r="C35" s="43">
        <v>2825734</v>
      </c>
      <c r="D35" s="1" t="s">
        <v>71</v>
      </c>
      <c r="E35" s="45" t="s">
        <v>716</v>
      </c>
      <c r="G35" s="50"/>
    </row>
    <row r="36" spans="1:7" ht="15.75" customHeight="1">
      <c r="A36" s="1" t="s">
        <v>1</v>
      </c>
      <c r="B36" s="1" t="s">
        <v>708</v>
      </c>
      <c r="C36" s="43">
        <v>767950</v>
      </c>
      <c r="D36" s="1" t="s">
        <v>71</v>
      </c>
      <c r="E36" s="45" t="s">
        <v>717</v>
      </c>
      <c r="G36" s="50"/>
    </row>
    <row r="37" spans="1:7" ht="15.75" customHeight="1">
      <c r="A37" s="1" t="s">
        <v>1</v>
      </c>
      <c r="B37" s="1" t="s">
        <v>708</v>
      </c>
      <c r="C37" s="43">
        <v>797752</v>
      </c>
      <c r="D37" s="1" t="s">
        <v>80</v>
      </c>
      <c r="E37" s="45" t="s">
        <v>718</v>
      </c>
      <c r="G37" s="50"/>
    </row>
    <row r="38" spans="1:7" ht="15.75" customHeight="1">
      <c r="A38" s="1" t="s">
        <v>1</v>
      </c>
      <c r="B38" s="1" t="s">
        <v>708</v>
      </c>
      <c r="C38" s="43">
        <v>773688</v>
      </c>
      <c r="D38" s="1" t="s">
        <v>80</v>
      </c>
      <c r="E38" s="45" t="s">
        <v>685</v>
      </c>
      <c r="G38" s="131"/>
    </row>
    <row r="39" spans="1:7" ht="15.75" customHeight="1">
      <c r="A39" s="1" t="s">
        <v>1</v>
      </c>
      <c r="B39" s="1" t="s">
        <v>708</v>
      </c>
      <c r="C39" s="43">
        <v>2825717</v>
      </c>
      <c r="D39" s="1" t="s">
        <v>80</v>
      </c>
      <c r="E39" s="45" t="s">
        <v>719</v>
      </c>
      <c r="G39" s="131"/>
    </row>
    <row r="40" spans="1:7" ht="15.75" customHeight="1">
      <c r="A40" s="1" t="s">
        <v>1</v>
      </c>
      <c r="B40" s="1" t="s">
        <v>708</v>
      </c>
      <c r="C40" s="43">
        <v>3105032</v>
      </c>
      <c r="D40" s="1" t="s">
        <v>71</v>
      </c>
      <c r="E40" s="45" t="s">
        <v>720</v>
      </c>
      <c r="F40" s="130"/>
      <c r="G40" s="59"/>
    </row>
    <row r="41" spans="1:7" ht="15.75" customHeight="1">
      <c r="A41" s="1" t="s">
        <v>1</v>
      </c>
      <c r="B41" s="1" t="s">
        <v>708</v>
      </c>
      <c r="C41" s="43">
        <v>802086</v>
      </c>
      <c r="D41" s="1" t="s">
        <v>80</v>
      </c>
      <c r="E41" s="45" t="s">
        <v>686</v>
      </c>
      <c r="F41" s="130"/>
      <c r="G41" s="59"/>
    </row>
    <row r="42" spans="1:7" ht="15.75" customHeight="1">
      <c r="A42" s="1" t="s">
        <v>1</v>
      </c>
      <c r="B42" s="1" t="s">
        <v>708</v>
      </c>
      <c r="C42" s="43">
        <v>5018436</v>
      </c>
      <c r="D42" s="1" t="s">
        <v>80</v>
      </c>
      <c r="E42" s="45" t="s">
        <v>688</v>
      </c>
      <c r="F42" s="130"/>
      <c r="G42" s="59"/>
    </row>
    <row r="43" spans="1:7" ht="15.75" customHeight="1">
      <c r="A43" s="1" t="s">
        <v>1</v>
      </c>
      <c r="B43" s="1" t="s">
        <v>708</v>
      </c>
      <c r="C43" s="43">
        <v>2808425</v>
      </c>
      <c r="D43" s="1" t="s">
        <v>80</v>
      </c>
      <c r="E43" s="45" t="s">
        <v>689</v>
      </c>
      <c r="F43" s="130"/>
      <c r="G43" s="59"/>
    </row>
    <row r="44" spans="1:7" ht="15.75" customHeight="1">
      <c r="A44" s="1" t="s">
        <v>1</v>
      </c>
      <c r="B44" s="1" t="s">
        <v>708</v>
      </c>
      <c r="C44" s="43">
        <v>762260</v>
      </c>
      <c r="D44" s="1" t="s">
        <v>71</v>
      </c>
      <c r="E44" s="45" t="s">
        <v>721</v>
      </c>
      <c r="F44" s="130"/>
      <c r="G44" s="59"/>
    </row>
    <row r="45" spans="1:7" ht="15.75" customHeight="1">
      <c r="A45" s="1" t="s">
        <v>1</v>
      </c>
      <c r="B45" s="1" t="s">
        <v>708</v>
      </c>
      <c r="C45" s="43">
        <v>2824446</v>
      </c>
      <c r="D45" s="1" t="s">
        <v>83</v>
      </c>
      <c r="E45" s="45" t="s">
        <v>722</v>
      </c>
      <c r="F45" s="130"/>
      <c r="G45" s="59"/>
    </row>
    <row r="46" spans="1:7" ht="15.75" customHeight="1">
      <c r="A46" s="1" t="s">
        <v>1</v>
      </c>
      <c r="B46" s="1" t="s">
        <v>708</v>
      </c>
      <c r="C46" s="43">
        <v>2824441</v>
      </c>
      <c r="D46" s="1" t="s">
        <v>90</v>
      </c>
      <c r="E46" s="45" t="s">
        <v>723</v>
      </c>
      <c r="F46" s="130"/>
      <c r="G46" s="59"/>
    </row>
    <row r="47" spans="1:7" ht="15.75" customHeight="1">
      <c r="A47" s="1" t="s">
        <v>1</v>
      </c>
      <c r="B47" s="1" t="s">
        <v>708</v>
      </c>
      <c r="C47" s="43">
        <v>767912</v>
      </c>
      <c r="D47" s="1" t="s">
        <v>80</v>
      </c>
      <c r="E47" s="45" t="s">
        <v>724</v>
      </c>
      <c r="F47" s="130"/>
      <c r="G47" s="59"/>
    </row>
    <row r="48" spans="1:7" ht="15.75" customHeight="1">
      <c r="A48" s="1" t="s">
        <v>1</v>
      </c>
      <c r="B48" s="1" t="s">
        <v>708</v>
      </c>
      <c r="C48" s="43">
        <v>2880003</v>
      </c>
      <c r="D48" s="1" t="s">
        <v>80</v>
      </c>
      <c r="E48" s="49" t="s">
        <v>725</v>
      </c>
      <c r="F48" s="130"/>
      <c r="G48" s="59"/>
    </row>
    <row r="49" spans="1:7" ht="15.75" customHeight="1">
      <c r="A49" s="1" t="s">
        <v>1</v>
      </c>
      <c r="B49" s="1" t="s">
        <v>708</v>
      </c>
      <c r="C49" s="43">
        <v>2887000</v>
      </c>
      <c r="D49" s="1" t="s">
        <v>71</v>
      </c>
      <c r="E49" s="45" t="s">
        <v>726</v>
      </c>
      <c r="F49" s="130"/>
      <c r="G49" s="59"/>
    </row>
    <row r="50" spans="1:7" ht="15.75" customHeight="1">
      <c r="A50" s="1" t="s">
        <v>1</v>
      </c>
      <c r="B50" s="1" t="s">
        <v>708</v>
      </c>
      <c r="C50" s="43">
        <v>2824160</v>
      </c>
      <c r="D50" s="1" t="s">
        <v>71</v>
      </c>
      <c r="E50" s="45" t="s">
        <v>727</v>
      </c>
      <c r="F50" s="130"/>
      <c r="G50" s="59"/>
    </row>
    <row r="51" spans="1:7" ht="15.75" customHeight="1">
      <c r="A51" s="1" t="s">
        <v>1</v>
      </c>
      <c r="B51" s="1" t="s">
        <v>708</v>
      </c>
      <c r="C51" s="43">
        <v>2221986</v>
      </c>
      <c r="D51" s="1" t="s">
        <v>90</v>
      </c>
      <c r="E51" s="45" t="s">
        <v>728</v>
      </c>
      <c r="F51" s="130"/>
      <c r="G51" s="59"/>
    </row>
    <row r="52" spans="1:7" ht="15.75" customHeight="1">
      <c r="A52" s="1" t="s">
        <v>1</v>
      </c>
      <c r="B52" s="1" t="s">
        <v>708</v>
      </c>
      <c r="C52" s="43">
        <v>3105031</v>
      </c>
      <c r="D52" s="1" t="s">
        <v>80</v>
      </c>
      <c r="E52" s="45" t="s">
        <v>729</v>
      </c>
      <c r="F52" s="130"/>
      <c r="G52" s="59"/>
    </row>
    <row r="53" spans="1:7" ht="15.75" customHeight="1">
      <c r="A53" s="1" t="s">
        <v>1</v>
      </c>
      <c r="B53" s="1" t="s">
        <v>708</v>
      </c>
      <c r="C53" s="43">
        <v>2825759</v>
      </c>
      <c r="D53" s="1" t="s">
        <v>71</v>
      </c>
      <c r="E53" s="45" t="s">
        <v>730</v>
      </c>
      <c r="F53" s="130"/>
      <c r="G53" s="59"/>
    </row>
    <row r="54" spans="1:7" ht="15.75" customHeight="1">
      <c r="A54" s="1" t="s">
        <v>1</v>
      </c>
      <c r="B54" s="1" t="s">
        <v>708</v>
      </c>
      <c r="C54" s="43">
        <v>2822718</v>
      </c>
      <c r="D54" s="1" t="s">
        <v>83</v>
      </c>
      <c r="E54" s="45" t="s">
        <v>700</v>
      </c>
      <c r="F54" s="130"/>
      <c r="G54" s="59"/>
    </row>
    <row r="55" spans="1:7" ht="15.75" customHeight="1">
      <c r="A55" s="1" t="s">
        <v>1</v>
      </c>
      <c r="B55" s="1" t="s">
        <v>708</v>
      </c>
      <c r="C55" s="43">
        <v>2700211</v>
      </c>
      <c r="D55" s="1" t="s">
        <v>90</v>
      </c>
      <c r="E55" s="45" t="s">
        <v>703</v>
      </c>
      <c r="F55" s="130"/>
      <c r="G55" s="59"/>
    </row>
    <row r="56" spans="1:7" ht="15.75" customHeight="1">
      <c r="A56" s="1" t="s">
        <v>1</v>
      </c>
      <c r="B56" s="1" t="s">
        <v>708</v>
      </c>
      <c r="C56" s="43">
        <v>802087</v>
      </c>
      <c r="D56" s="1" t="s">
        <v>80</v>
      </c>
      <c r="E56" s="45" t="s">
        <v>731</v>
      </c>
      <c r="F56" s="130"/>
      <c r="G56" s="59"/>
    </row>
    <row r="57" spans="1:7" ht="15.75" customHeight="1">
      <c r="A57" s="132" t="s">
        <v>2</v>
      </c>
      <c r="B57" s="132" t="s">
        <v>732</v>
      </c>
      <c r="C57" s="128" t="s">
        <v>68</v>
      </c>
      <c r="D57" s="128" t="s">
        <v>62</v>
      </c>
      <c r="E57" s="56" t="s">
        <v>69</v>
      </c>
      <c r="F57" s="130"/>
      <c r="G57" s="48" t="s">
        <v>70</v>
      </c>
    </row>
    <row r="58" spans="1:7" ht="15.75" customHeight="1">
      <c r="A58" s="132" t="s">
        <v>2</v>
      </c>
      <c r="B58" s="132" t="s">
        <v>732</v>
      </c>
      <c r="C58" s="43">
        <v>2873249</v>
      </c>
      <c r="D58" s="1" t="s">
        <v>80</v>
      </c>
      <c r="E58" s="45" t="s">
        <v>733</v>
      </c>
      <c r="G58" s="48" t="s">
        <v>734</v>
      </c>
    </row>
    <row r="59" spans="1:7" ht="15.75" customHeight="1">
      <c r="A59" s="132" t="s">
        <v>2</v>
      </c>
      <c r="B59" s="132" t="s">
        <v>732</v>
      </c>
      <c r="C59" s="43">
        <v>797746</v>
      </c>
      <c r="D59" s="1" t="s">
        <v>71</v>
      </c>
      <c r="E59" s="45" t="s">
        <v>735</v>
      </c>
      <c r="G59" s="48" t="s">
        <v>682</v>
      </c>
    </row>
    <row r="60" spans="1:7" ht="15.75" customHeight="1">
      <c r="A60" s="132" t="s">
        <v>2</v>
      </c>
      <c r="B60" s="132" t="s">
        <v>732</v>
      </c>
      <c r="C60" s="43">
        <v>762264</v>
      </c>
      <c r="D60" s="1" t="s">
        <v>71</v>
      </c>
      <c r="E60" s="45" t="s">
        <v>677</v>
      </c>
      <c r="G60" s="48" t="s">
        <v>736</v>
      </c>
    </row>
    <row r="61" spans="1:7" ht="15.75" customHeight="1">
      <c r="A61" s="132" t="s">
        <v>2</v>
      </c>
      <c r="B61" s="132" t="s">
        <v>732</v>
      </c>
      <c r="C61" s="43">
        <v>2823605</v>
      </c>
      <c r="D61" s="1" t="s">
        <v>83</v>
      </c>
      <c r="E61" s="45" t="s">
        <v>737</v>
      </c>
      <c r="G61" s="131"/>
    </row>
    <row r="62" spans="1:7" ht="15.75" customHeight="1">
      <c r="A62" s="132" t="s">
        <v>2</v>
      </c>
      <c r="B62" s="132" t="s">
        <v>732</v>
      </c>
      <c r="C62" s="43">
        <v>2884012</v>
      </c>
      <c r="D62" s="1" t="s">
        <v>101</v>
      </c>
      <c r="E62" s="45" t="s">
        <v>738</v>
      </c>
      <c r="G62" s="131"/>
    </row>
    <row r="63" spans="1:7" ht="15.75" customHeight="1">
      <c r="A63" s="132" t="s">
        <v>2</v>
      </c>
      <c r="B63" s="132" t="s">
        <v>732</v>
      </c>
      <c r="C63" s="43">
        <v>2255864</v>
      </c>
      <c r="D63" s="1" t="s">
        <v>71</v>
      </c>
      <c r="E63" s="45" t="s">
        <v>679</v>
      </c>
      <c r="G63" s="131"/>
    </row>
    <row r="64" spans="1:7" ht="15.75" customHeight="1">
      <c r="A64" s="132" t="s">
        <v>2</v>
      </c>
      <c r="B64" s="132" t="s">
        <v>732</v>
      </c>
      <c r="C64" s="43">
        <v>794524</v>
      </c>
      <c r="D64" s="1" t="s">
        <v>71</v>
      </c>
      <c r="E64" s="45" t="s">
        <v>739</v>
      </c>
      <c r="G64" s="50"/>
    </row>
    <row r="65" spans="1:7" ht="15.75" customHeight="1">
      <c r="A65" s="132" t="s">
        <v>2</v>
      </c>
      <c r="B65" s="132" t="s">
        <v>732</v>
      </c>
      <c r="C65" s="43">
        <v>2862023</v>
      </c>
      <c r="D65" s="1" t="s">
        <v>83</v>
      </c>
      <c r="E65" s="45" t="s">
        <v>740</v>
      </c>
      <c r="G65" s="50"/>
    </row>
    <row r="66" spans="1:7" ht="15.75" customHeight="1">
      <c r="A66" s="132" t="s">
        <v>2</v>
      </c>
      <c r="B66" s="132" t="s">
        <v>732</v>
      </c>
      <c r="C66" s="43">
        <v>767947</v>
      </c>
      <c r="D66" s="1" t="s">
        <v>83</v>
      </c>
      <c r="E66" s="45" t="s">
        <v>741</v>
      </c>
      <c r="G66" s="50"/>
    </row>
    <row r="67" spans="1:7" ht="15.75" customHeight="1">
      <c r="A67" s="132" t="s">
        <v>2</v>
      </c>
      <c r="B67" s="132" t="s">
        <v>732</v>
      </c>
      <c r="C67" s="43">
        <v>2427746</v>
      </c>
      <c r="D67" s="1" t="s">
        <v>71</v>
      </c>
      <c r="E67" s="49" t="s">
        <v>742</v>
      </c>
      <c r="G67" s="50"/>
    </row>
    <row r="68" spans="1:7" ht="15.75" customHeight="1">
      <c r="A68" s="132" t="s">
        <v>2</v>
      </c>
      <c r="B68" s="132" t="s">
        <v>732</v>
      </c>
      <c r="C68" s="43">
        <v>2822705</v>
      </c>
      <c r="D68" s="1" t="s">
        <v>90</v>
      </c>
      <c r="E68" s="45" t="s">
        <v>743</v>
      </c>
      <c r="G68" s="50"/>
    </row>
    <row r="69" spans="1:7" ht="15.75" customHeight="1">
      <c r="A69" s="132" t="s">
        <v>2</v>
      </c>
      <c r="B69" s="132" t="s">
        <v>732</v>
      </c>
      <c r="C69" s="43">
        <v>780646</v>
      </c>
      <c r="D69" s="1" t="s">
        <v>80</v>
      </c>
      <c r="E69" s="45" t="s">
        <v>744</v>
      </c>
      <c r="G69" s="50"/>
    </row>
    <row r="70" spans="1:7" ht="15.75" customHeight="1">
      <c r="A70" s="132" t="s">
        <v>2</v>
      </c>
      <c r="B70" s="132" t="s">
        <v>732</v>
      </c>
      <c r="C70" s="43">
        <v>2884007</v>
      </c>
      <c r="D70" s="1" t="s">
        <v>71</v>
      </c>
      <c r="E70" s="49" t="s">
        <v>745</v>
      </c>
      <c r="G70" s="50"/>
    </row>
    <row r="71" spans="1:7" ht="15.75" customHeight="1">
      <c r="A71" s="132" t="s">
        <v>2</v>
      </c>
      <c r="B71" s="132" t="s">
        <v>732</v>
      </c>
      <c r="C71" s="43">
        <v>2823352</v>
      </c>
      <c r="D71" s="1" t="s">
        <v>83</v>
      </c>
      <c r="E71" s="45" t="s">
        <v>746</v>
      </c>
      <c r="G71" s="50"/>
    </row>
    <row r="72" spans="1:7" ht="15.75" customHeight="1">
      <c r="A72" s="132" t="s">
        <v>2</v>
      </c>
      <c r="B72" s="132" t="s">
        <v>732</v>
      </c>
      <c r="C72" s="43">
        <v>2813191</v>
      </c>
      <c r="D72" s="1" t="s">
        <v>71</v>
      </c>
      <c r="E72" s="45" t="s">
        <v>747</v>
      </c>
      <c r="G72" s="131"/>
    </row>
    <row r="73" spans="1:7" ht="15.75" customHeight="1">
      <c r="A73" s="132" t="s">
        <v>2</v>
      </c>
      <c r="B73" s="132" t="s">
        <v>732</v>
      </c>
      <c r="C73" s="43">
        <v>2887001</v>
      </c>
      <c r="D73" s="1" t="s">
        <v>101</v>
      </c>
      <c r="E73" s="49" t="s">
        <v>748</v>
      </c>
      <c r="G73" s="131"/>
    </row>
    <row r="74" spans="1:7" ht="15.75" customHeight="1">
      <c r="A74" s="132" t="s">
        <v>2</v>
      </c>
      <c r="B74" s="132" t="s">
        <v>732</v>
      </c>
      <c r="C74" s="43">
        <v>773686</v>
      </c>
      <c r="D74" s="1" t="s">
        <v>71</v>
      </c>
      <c r="E74" s="45" t="s">
        <v>691</v>
      </c>
      <c r="G74" s="131"/>
    </row>
    <row r="75" spans="1:7" ht="15.75" customHeight="1">
      <c r="A75" s="132" t="s">
        <v>2</v>
      </c>
      <c r="B75" s="132" t="s">
        <v>732</v>
      </c>
      <c r="C75" s="43">
        <v>5039201</v>
      </c>
      <c r="D75" s="1" t="s">
        <v>83</v>
      </c>
      <c r="E75" s="45" t="s">
        <v>749</v>
      </c>
      <c r="G75" s="131"/>
    </row>
    <row r="76" spans="1:7" ht="15.75" customHeight="1">
      <c r="A76" s="132" t="s">
        <v>2</v>
      </c>
      <c r="B76" s="132" t="s">
        <v>732</v>
      </c>
      <c r="C76" s="43">
        <v>5015633</v>
      </c>
      <c r="D76" s="1" t="s">
        <v>71</v>
      </c>
      <c r="E76" s="45" t="s">
        <v>693</v>
      </c>
      <c r="G76" s="131"/>
    </row>
    <row r="77" spans="1:7" ht="15.75" customHeight="1">
      <c r="A77" s="132" t="s">
        <v>2</v>
      </c>
      <c r="B77" s="132" t="s">
        <v>732</v>
      </c>
      <c r="C77" s="43">
        <v>2824040</v>
      </c>
      <c r="D77" s="1" t="s">
        <v>101</v>
      </c>
      <c r="E77" s="45" t="s">
        <v>750</v>
      </c>
      <c r="G77" s="131"/>
    </row>
    <row r="78" spans="1:7" ht="15.75" customHeight="1">
      <c r="A78" s="132" t="s">
        <v>2</v>
      </c>
      <c r="B78" s="132" t="s">
        <v>732</v>
      </c>
      <c r="C78" s="43">
        <v>2825754</v>
      </c>
      <c r="D78" s="1" t="s">
        <v>71</v>
      </c>
      <c r="E78" s="45" t="s">
        <v>751</v>
      </c>
      <c r="G78" s="131"/>
    </row>
    <row r="79" spans="1:7" ht="15.75" customHeight="1">
      <c r="A79" s="132" t="s">
        <v>2</v>
      </c>
      <c r="B79" s="132" t="s">
        <v>732</v>
      </c>
      <c r="C79" s="43">
        <v>2815031</v>
      </c>
      <c r="D79" s="1" t="s">
        <v>83</v>
      </c>
      <c r="E79" s="49" t="s">
        <v>752</v>
      </c>
      <c r="G79" s="131"/>
    </row>
    <row r="80" spans="1:7" ht="15.75" customHeight="1">
      <c r="A80" s="132" t="s">
        <v>2</v>
      </c>
      <c r="B80" s="132" t="s">
        <v>732</v>
      </c>
      <c r="C80" s="43">
        <v>3105031</v>
      </c>
      <c r="D80" s="1" t="s">
        <v>80</v>
      </c>
      <c r="E80" s="45" t="s">
        <v>729</v>
      </c>
      <c r="G80" s="131"/>
    </row>
    <row r="81" spans="1:7" ht="15.75" customHeight="1">
      <c r="A81" s="132" t="s">
        <v>2</v>
      </c>
      <c r="B81" s="132" t="s">
        <v>732</v>
      </c>
      <c r="C81" s="43">
        <v>767866</v>
      </c>
      <c r="D81" s="1" t="s">
        <v>83</v>
      </c>
      <c r="E81" s="45" t="s">
        <v>753</v>
      </c>
      <c r="F81" s="130"/>
      <c r="G81" s="59"/>
    </row>
    <row r="82" spans="1:7" ht="15.75" customHeight="1">
      <c r="A82" s="132" t="s">
        <v>2</v>
      </c>
      <c r="B82" s="132" t="s">
        <v>732</v>
      </c>
      <c r="C82" s="43">
        <v>2243990</v>
      </c>
      <c r="D82" s="1" t="s">
        <v>83</v>
      </c>
      <c r="E82" s="45" t="s">
        <v>754</v>
      </c>
      <c r="F82" s="130"/>
      <c r="G82" s="59"/>
    </row>
    <row r="83" spans="1:7" ht="15.75" customHeight="1">
      <c r="A83" s="132" t="s">
        <v>2</v>
      </c>
      <c r="B83" s="132" t="s">
        <v>732</v>
      </c>
      <c r="C83" s="43">
        <v>3162242</v>
      </c>
      <c r="D83" s="1" t="s">
        <v>71</v>
      </c>
      <c r="E83" s="49" t="s">
        <v>755</v>
      </c>
      <c r="F83" s="130"/>
      <c r="G83" s="59"/>
    </row>
    <row r="84" spans="1:7" ht="15.75" customHeight="1">
      <c r="A84" s="132" t="s">
        <v>2</v>
      </c>
      <c r="B84" s="132" t="s">
        <v>732</v>
      </c>
      <c r="C84" s="43">
        <v>2824442</v>
      </c>
      <c r="D84" s="1" t="s">
        <v>71</v>
      </c>
      <c r="E84" s="45" t="s">
        <v>756</v>
      </c>
      <c r="F84" s="130"/>
      <c r="G84" s="59"/>
    </row>
    <row r="85" spans="1:7" ht="15.75" customHeight="1">
      <c r="A85" s="132" t="s">
        <v>2</v>
      </c>
      <c r="B85" s="132" t="s">
        <v>732</v>
      </c>
      <c r="C85" s="43">
        <v>5015337</v>
      </c>
      <c r="D85" s="1" t="s">
        <v>71</v>
      </c>
      <c r="E85" s="45" t="s">
        <v>757</v>
      </c>
      <c r="F85" s="130"/>
      <c r="G85" s="59"/>
    </row>
    <row r="86" spans="1:7" ht="15.75" customHeight="1">
      <c r="A86" s="132" t="s">
        <v>2</v>
      </c>
      <c r="B86" s="132" t="s">
        <v>732</v>
      </c>
      <c r="C86" s="43">
        <v>767946</v>
      </c>
      <c r="D86" s="1" t="s">
        <v>71</v>
      </c>
      <c r="E86" s="45" t="s">
        <v>758</v>
      </c>
      <c r="F86" s="130"/>
      <c r="G86" s="59"/>
    </row>
    <row r="87" spans="1:7" ht="15.75" customHeight="1">
      <c r="A87" s="132" t="s">
        <v>2</v>
      </c>
      <c r="B87" s="132" t="s">
        <v>732</v>
      </c>
      <c r="C87" s="43">
        <v>2823543</v>
      </c>
      <c r="D87" s="1" t="s">
        <v>83</v>
      </c>
      <c r="E87" s="45" t="s">
        <v>759</v>
      </c>
      <c r="F87" s="130"/>
      <c r="G87" s="59"/>
    </row>
    <row r="88" spans="1:7" ht="15.75" customHeight="1">
      <c r="A88" s="132" t="s">
        <v>2</v>
      </c>
      <c r="B88" s="132" t="s">
        <v>732</v>
      </c>
      <c r="C88" s="43">
        <v>2823542</v>
      </c>
      <c r="D88" s="1" t="s">
        <v>83</v>
      </c>
      <c r="E88" s="45" t="s">
        <v>760</v>
      </c>
      <c r="F88" s="130"/>
      <c r="G88" s="59"/>
    </row>
    <row r="89" spans="1:7" ht="15.75" customHeight="1">
      <c r="A89" s="132" t="s">
        <v>2</v>
      </c>
      <c r="B89" s="132" t="s">
        <v>732</v>
      </c>
      <c r="C89" s="43">
        <v>5020684</v>
      </c>
      <c r="D89" s="1" t="s">
        <v>83</v>
      </c>
      <c r="E89" s="45" t="s">
        <v>702</v>
      </c>
      <c r="F89" s="130"/>
      <c r="G89" s="59"/>
    </row>
    <row r="90" spans="1:7" ht="15.75" customHeight="1">
      <c r="A90" s="132" t="s">
        <v>2</v>
      </c>
      <c r="B90" s="132" t="s">
        <v>732</v>
      </c>
      <c r="C90" s="43">
        <v>2825309</v>
      </c>
      <c r="D90" s="1" t="s">
        <v>71</v>
      </c>
      <c r="E90" s="45" t="s">
        <v>761</v>
      </c>
      <c r="F90" s="130"/>
      <c r="G90" s="59"/>
    </row>
    <row r="91" spans="1:7" ht="15.75" customHeight="1">
      <c r="A91" s="132" t="s">
        <v>2</v>
      </c>
      <c r="B91" s="132" t="s">
        <v>732</v>
      </c>
      <c r="C91" s="43">
        <v>773640</v>
      </c>
      <c r="D91" s="1" t="s">
        <v>83</v>
      </c>
      <c r="E91" s="45" t="s">
        <v>762</v>
      </c>
      <c r="F91" s="130"/>
      <c r="G91" s="59"/>
    </row>
    <row r="92" spans="1:7" ht="15.75" customHeight="1">
      <c r="A92" s="132" t="s">
        <v>2</v>
      </c>
      <c r="B92" s="132" t="s">
        <v>732</v>
      </c>
      <c r="C92" s="43">
        <v>805603</v>
      </c>
      <c r="D92" s="1" t="s">
        <v>90</v>
      </c>
      <c r="E92" s="45" t="s">
        <v>763</v>
      </c>
      <c r="F92" s="130"/>
      <c r="G92" s="59"/>
    </row>
    <row r="93" spans="1:7" ht="15.75" customHeight="1">
      <c r="A93" s="132" t="s">
        <v>2</v>
      </c>
      <c r="B93" s="132" t="s">
        <v>732</v>
      </c>
      <c r="C93" s="43">
        <v>762258</v>
      </c>
      <c r="D93" s="1" t="s">
        <v>83</v>
      </c>
      <c r="E93" s="45" t="s">
        <v>764</v>
      </c>
      <c r="F93" s="130"/>
      <c r="G93" s="59"/>
    </row>
    <row r="94" spans="1:7" ht="15.75" customHeight="1">
      <c r="A94" s="132" t="s">
        <v>2</v>
      </c>
      <c r="B94" s="132" t="s">
        <v>732</v>
      </c>
      <c r="C94" s="43">
        <v>5010370</v>
      </c>
      <c r="D94" s="1" t="s">
        <v>80</v>
      </c>
      <c r="E94" s="45" t="s">
        <v>765</v>
      </c>
      <c r="F94" s="130"/>
      <c r="G94" s="59"/>
    </row>
    <row r="95" spans="1:7" ht="15.75" customHeight="1">
      <c r="A95" s="132" t="s">
        <v>2</v>
      </c>
      <c r="B95" s="132" t="s">
        <v>732</v>
      </c>
      <c r="C95" s="43">
        <v>2881007</v>
      </c>
      <c r="D95" s="1" t="s">
        <v>101</v>
      </c>
      <c r="E95" s="45" t="s">
        <v>766</v>
      </c>
      <c r="F95" s="130"/>
      <c r="G95" s="59"/>
    </row>
    <row r="96" spans="1:7" ht="15.75" customHeight="1">
      <c r="A96" s="132" t="s">
        <v>2</v>
      </c>
      <c r="B96" s="132" t="s">
        <v>732</v>
      </c>
      <c r="C96" s="43">
        <v>2884004</v>
      </c>
      <c r="D96" s="1" t="s">
        <v>83</v>
      </c>
      <c r="E96" s="45" t="s">
        <v>767</v>
      </c>
      <c r="F96" s="130"/>
      <c r="G96" s="59"/>
    </row>
    <row r="97" spans="1:7" ht="15.75" customHeight="1">
      <c r="A97" s="1" t="s">
        <v>3</v>
      </c>
      <c r="B97" s="121" t="s">
        <v>768</v>
      </c>
      <c r="C97" s="128" t="s">
        <v>68</v>
      </c>
      <c r="D97" s="128" t="s">
        <v>62</v>
      </c>
      <c r="E97" s="56" t="s">
        <v>69</v>
      </c>
      <c r="F97" s="130"/>
      <c r="G97" s="48" t="s">
        <v>70</v>
      </c>
    </row>
    <row r="98" spans="1:7" ht="15.75" customHeight="1">
      <c r="A98" s="1" t="s">
        <v>3</v>
      </c>
      <c r="B98" s="121" t="s">
        <v>768</v>
      </c>
      <c r="C98" s="43">
        <v>762263</v>
      </c>
      <c r="D98" s="1" t="s">
        <v>83</v>
      </c>
      <c r="E98" s="45" t="s">
        <v>769</v>
      </c>
      <c r="G98" s="48" t="s">
        <v>678</v>
      </c>
    </row>
    <row r="99" spans="1:7" ht="15.75" customHeight="1">
      <c r="A99" s="1" t="s">
        <v>3</v>
      </c>
      <c r="B99" s="121" t="s">
        <v>768</v>
      </c>
      <c r="C99" s="43">
        <v>2222433</v>
      </c>
      <c r="D99" s="1" t="s">
        <v>83</v>
      </c>
      <c r="E99" s="45" t="s">
        <v>770</v>
      </c>
      <c r="G99" s="48" t="s">
        <v>682</v>
      </c>
    </row>
    <row r="100" spans="1:7" ht="15.75" customHeight="1">
      <c r="A100" s="1" t="s">
        <v>3</v>
      </c>
      <c r="B100" s="121" t="s">
        <v>768</v>
      </c>
      <c r="C100" s="43">
        <v>779389</v>
      </c>
      <c r="D100" s="1" t="s">
        <v>80</v>
      </c>
      <c r="E100" s="45" t="s">
        <v>771</v>
      </c>
      <c r="G100" s="48" t="s">
        <v>712</v>
      </c>
    </row>
    <row r="101" spans="1:7" ht="15.75" customHeight="1">
      <c r="A101" s="1" t="s">
        <v>3</v>
      </c>
      <c r="B101" s="121" t="s">
        <v>768</v>
      </c>
      <c r="C101" s="43">
        <v>2255864</v>
      </c>
      <c r="D101" s="1" t="s">
        <v>71</v>
      </c>
      <c r="E101" s="45" t="s">
        <v>679</v>
      </c>
      <c r="G101" s="131"/>
    </row>
    <row r="102" spans="1:7" ht="15.75" customHeight="1">
      <c r="A102" s="1" t="s">
        <v>3</v>
      </c>
      <c r="B102" s="121" t="s">
        <v>768</v>
      </c>
      <c r="C102" s="43">
        <v>5020681</v>
      </c>
      <c r="D102" s="1" t="s">
        <v>71</v>
      </c>
      <c r="E102" s="45" t="s">
        <v>772</v>
      </c>
      <c r="G102" s="131"/>
    </row>
    <row r="103" spans="1:7" ht="15.75" customHeight="1">
      <c r="A103" s="1" t="s">
        <v>3</v>
      </c>
      <c r="B103" s="121" t="s">
        <v>768</v>
      </c>
      <c r="C103" s="43">
        <v>2824039</v>
      </c>
      <c r="D103" s="1" t="s">
        <v>773</v>
      </c>
      <c r="E103" s="45" t="s">
        <v>774</v>
      </c>
      <c r="G103" s="131"/>
    </row>
    <row r="104" spans="1:7" ht="15.75" customHeight="1">
      <c r="A104" s="1" t="s">
        <v>3</v>
      </c>
      <c r="B104" s="121" t="s">
        <v>768</v>
      </c>
      <c r="C104" s="43">
        <v>2862023</v>
      </c>
      <c r="D104" s="1" t="s">
        <v>83</v>
      </c>
      <c r="E104" s="45" t="s">
        <v>740</v>
      </c>
      <c r="G104" s="131"/>
    </row>
    <row r="105" spans="1:7" ht="15.75" customHeight="1">
      <c r="A105" s="1" t="s">
        <v>3</v>
      </c>
      <c r="B105" s="121" t="s">
        <v>768</v>
      </c>
      <c r="C105" s="43">
        <v>797752</v>
      </c>
      <c r="D105" s="1" t="s">
        <v>80</v>
      </c>
      <c r="E105" s="45" t="s">
        <v>718</v>
      </c>
      <c r="G105" s="131"/>
    </row>
    <row r="106" spans="1:7" ht="15.75" customHeight="1">
      <c r="A106" s="1" t="s">
        <v>3</v>
      </c>
      <c r="B106" s="121" t="s">
        <v>768</v>
      </c>
      <c r="C106" s="43">
        <v>2825059</v>
      </c>
      <c r="D106" s="1" t="s">
        <v>71</v>
      </c>
      <c r="E106" s="45" t="s">
        <v>775</v>
      </c>
      <c r="G106" s="131"/>
    </row>
    <row r="107" spans="1:7" ht="15.75" customHeight="1">
      <c r="A107" s="1" t="s">
        <v>3</v>
      </c>
      <c r="B107" s="121" t="s">
        <v>768</v>
      </c>
      <c r="C107" s="43">
        <v>780646</v>
      </c>
      <c r="D107" s="1" t="s">
        <v>80</v>
      </c>
      <c r="E107" s="45" t="s">
        <v>744</v>
      </c>
      <c r="G107" s="131"/>
    </row>
    <row r="108" spans="1:7" ht="15.75" customHeight="1">
      <c r="A108" s="1" t="s">
        <v>3</v>
      </c>
      <c r="B108" s="121" t="s">
        <v>768</v>
      </c>
      <c r="C108" s="43">
        <v>2823352</v>
      </c>
      <c r="D108" s="1" t="s">
        <v>83</v>
      </c>
      <c r="E108" s="45" t="s">
        <v>746</v>
      </c>
      <c r="G108" s="131"/>
    </row>
    <row r="109" spans="1:7" ht="15.75" customHeight="1">
      <c r="A109" s="1" t="s">
        <v>3</v>
      </c>
      <c r="B109" s="121" t="s">
        <v>768</v>
      </c>
      <c r="C109" s="43">
        <v>3050237</v>
      </c>
      <c r="D109" s="1" t="s">
        <v>71</v>
      </c>
      <c r="E109" s="49" t="s">
        <v>776</v>
      </c>
      <c r="G109" s="131"/>
    </row>
    <row r="110" spans="1:7" ht="15.75" customHeight="1">
      <c r="A110" s="1" t="s">
        <v>3</v>
      </c>
      <c r="B110" s="121" t="s">
        <v>768</v>
      </c>
      <c r="C110" s="43">
        <v>3101023</v>
      </c>
      <c r="D110" s="1" t="s">
        <v>83</v>
      </c>
      <c r="E110" s="45" t="s">
        <v>777</v>
      </c>
      <c r="G110" s="131"/>
    </row>
    <row r="111" spans="1:7" ht="15.75" customHeight="1">
      <c r="A111" s="1" t="s">
        <v>3</v>
      </c>
      <c r="B111" s="121" t="s">
        <v>768</v>
      </c>
      <c r="C111" s="43">
        <v>803820</v>
      </c>
      <c r="D111" s="1" t="s">
        <v>80</v>
      </c>
      <c r="E111" s="45" t="s">
        <v>778</v>
      </c>
      <c r="G111" s="131"/>
    </row>
    <row r="112" spans="1:7" ht="15.75" customHeight="1">
      <c r="A112" s="1" t="s">
        <v>3</v>
      </c>
      <c r="B112" s="121" t="s">
        <v>768</v>
      </c>
      <c r="C112" s="43">
        <v>2823075</v>
      </c>
      <c r="D112" s="1" t="s">
        <v>83</v>
      </c>
      <c r="E112" s="45" t="s">
        <v>687</v>
      </c>
      <c r="G112" s="131"/>
    </row>
    <row r="113" spans="1:8" ht="15.75" customHeight="1">
      <c r="A113" s="1" t="s">
        <v>3</v>
      </c>
      <c r="B113" s="121" t="s">
        <v>768</v>
      </c>
      <c r="C113" s="43">
        <v>793986</v>
      </c>
      <c r="D113" s="1" t="s">
        <v>80</v>
      </c>
      <c r="E113" s="45" t="s">
        <v>779</v>
      </c>
      <c r="G113" s="131"/>
    </row>
    <row r="114" spans="1:8" ht="15.75" customHeight="1">
      <c r="A114" s="1" t="s">
        <v>3</v>
      </c>
      <c r="B114" s="121" t="s">
        <v>768</v>
      </c>
      <c r="C114" s="43">
        <v>2808425</v>
      </c>
      <c r="D114" s="1" t="s">
        <v>80</v>
      </c>
      <c r="E114" s="45" t="s">
        <v>689</v>
      </c>
      <c r="G114" s="131"/>
    </row>
    <row r="115" spans="1:8" ht="15.75" customHeight="1">
      <c r="A115" s="1" t="s">
        <v>3</v>
      </c>
      <c r="B115" s="121" t="s">
        <v>768</v>
      </c>
      <c r="C115" s="43">
        <v>762223</v>
      </c>
      <c r="D115" s="1" t="s">
        <v>80</v>
      </c>
      <c r="E115" s="45" t="s">
        <v>780</v>
      </c>
      <c r="G115" s="131"/>
    </row>
    <row r="116" spans="1:8" ht="15.75" customHeight="1">
      <c r="A116" s="1" t="s">
        <v>3</v>
      </c>
      <c r="B116" s="121" t="s">
        <v>768</v>
      </c>
      <c r="C116" s="43">
        <v>2994033</v>
      </c>
      <c r="D116" s="1" t="s">
        <v>71</v>
      </c>
      <c r="E116" s="45" t="s">
        <v>781</v>
      </c>
      <c r="G116" s="131"/>
    </row>
    <row r="117" spans="1:8" ht="15.75" customHeight="1">
      <c r="A117" s="1" t="s">
        <v>3</v>
      </c>
      <c r="B117" s="121" t="s">
        <v>768</v>
      </c>
      <c r="C117" s="43">
        <v>5039201</v>
      </c>
      <c r="D117" s="1" t="s">
        <v>83</v>
      </c>
      <c r="E117" s="45" t="s">
        <v>749</v>
      </c>
      <c r="G117" s="131"/>
    </row>
    <row r="118" spans="1:8" ht="15.75" customHeight="1">
      <c r="A118" s="1" t="s">
        <v>3</v>
      </c>
      <c r="B118" s="121" t="s">
        <v>768</v>
      </c>
      <c r="C118" s="43">
        <v>2886003</v>
      </c>
      <c r="D118" s="1" t="s">
        <v>83</v>
      </c>
      <c r="E118" s="45" t="s">
        <v>782</v>
      </c>
      <c r="G118" s="131"/>
    </row>
    <row r="119" spans="1:8" ht="15.75" customHeight="1">
      <c r="A119" s="1" t="s">
        <v>3</v>
      </c>
      <c r="B119" s="121" t="s">
        <v>768</v>
      </c>
      <c r="C119" s="43">
        <v>5018430</v>
      </c>
      <c r="D119" s="1" t="s">
        <v>773</v>
      </c>
      <c r="E119" s="45" t="s">
        <v>783</v>
      </c>
      <c r="G119" s="131"/>
    </row>
    <row r="120" spans="1:8" ht="15.75" customHeight="1">
      <c r="A120" s="1" t="s">
        <v>3</v>
      </c>
      <c r="B120" s="121" t="s">
        <v>768</v>
      </c>
      <c r="C120" s="43">
        <v>762187</v>
      </c>
      <c r="D120" s="1" t="s">
        <v>80</v>
      </c>
      <c r="E120" s="45" t="s">
        <v>784</v>
      </c>
      <c r="G120" s="131"/>
    </row>
    <row r="121" spans="1:8" ht="15.75" customHeight="1">
      <c r="A121" s="1" t="s">
        <v>3</v>
      </c>
      <c r="B121" s="121" t="s">
        <v>768</v>
      </c>
      <c r="C121" s="43">
        <v>2243990</v>
      </c>
      <c r="D121" s="1" t="s">
        <v>83</v>
      </c>
      <c r="E121" s="45" t="s">
        <v>754</v>
      </c>
      <c r="G121" s="131"/>
    </row>
    <row r="122" spans="1:8" ht="15.75" customHeight="1">
      <c r="A122" s="1" t="s">
        <v>3</v>
      </c>
      <c r="B122" s="121" t="s">
        <v>768</v>
      </c>
      <c r="C122" s="43">
        <v>779390</v>
      </c>
      <c r="D122" s="1" t="s">
        <v>80</v>
      </c>
      <c r="E122" s="45" t="s">
        <v>785</v>
      </c>
      <c r="G122" s="131"/>
    </row>
    <row r="123" spans="1:8" ht="15.75" customHeight="1">
      <c r="A123" s="1" t="s">
        <v>3</v>
      </c>
      <c r="B123" s="1" t="s">
        <v>768</v>
      </c>
      <c r="C123" s="43">
        <v>2825309</v>
      </c>
      <c r="D123" s="1" t="s">
        <v>71</v>
      </c>
      <c r="E123" s="45" t="s">
        <v>761</v>
      </c>
      <c r="F123" s="42"/>
      <c r="G123" s="59"/>
      <c r="H123" s="42"/>
    </row>
    <row r="124" spans="1:8" ht="15.75" customHeight="1">
      <c r="A124" s="1" t="s">
        <v>3</v>
      </c>
      <c r="B124" s="1" t="s">
        <v>768</v>
      </c>
      <c r="C124" s="43">
        <v>762258</v>
      </c>
      <c r="D124" s="1" t="s">
        <v>83</v>
      </c>
      <c r="E124" s="45" t="s">
        <v>764</v>
      </c>
      <c r="F124" s="130"/>
      <c r="G124" s="59"/>
    </row>
    <row r="125" spans="1:8" ht="15.75" customHeight="1">
      <c r="A125" s="1" t="s">
        <v>3</v>
      </c>
      <c r="B125" s="1" t="s">
        <v>768</v>
      </c>
      <c r="C125" s="43">
        <v>773660</v>
      </c>
      <c r="D125" s="1" t="s">
        <v>83</v>
      </c>
      <c r="E125" s="45" t="s">
        <v>786</v>
      </c>
      <c r="F125" s="130"/>
      <c r="G125" s="59"/>
    </row>
    <row r="126" spans="1:8" ht="15.75" customHeight="1">
      <c r="A126" s="1" t="s">
        <v>3</v>
      </c>
      <c r="B126" s="1" t="s">
        <v>768</v>
      </c>
      <c r="C126" s="43">
        <v>5010370</v>
      </c>
      <c r="D126" s="1" t="s">
        <v>80</v>
      </c>
      <c r="E126" s="45" t="s">
        <v>765</v>
      </c>
      <c r="F126" s="130"/>
      <c r="G126" s="59"/>
    </row>
    <row r="127" spans="1:8" ht="15.75" customHeight="1">
      <c r="A127" s="1" t="s">
        <v>3</v>
      </c>
      <c r="B127" s="1" t="s">
        <v>768</v>
      </c>
      <c r="C127" s="43">
        <v>773691</v>
      </c>
      <c r="D127" s="1" t="s">
        <v>83</v>
      </c>
      <c r="E127" s="45" t="s">
        <v>787</v>
      </c>
      <c r="F127" s="130"/>
      <c r="G127" s="131"/>
    </row>
    <row r="128" spans="1:8" ht="15.75" customHeight="1">
      <c r="A128" s="1" t="s">
        <v>3</v>
      </c>
      <c r="B128" s="1" t="s">
        <v>768</v>
      </c>
      <c r="C128" s="43">
        <v>2822714</v>
      </c>
      <c r="D128" s="1" t="s">
        <v>773</v>
      </c>
      <c r="E128" s="45" t="s">
        <v>788</v>
      </c>
      <c r="F128" s="130"/>
      <c r="G128" s="131"/>
    </row>
    <row r="129" spans="1:7" ht="15.75" customHeight="1">
      <c r="A129" s="1" t="s">
        <v>4</v>
      </c>
      <c r="B129" s="121" t="s">
        <v>789</v>
      </c>
      <c r="C129" s="128" t="s">
        <v>68</v>
      </c>
      <c r="D129" s="128" t="s">
        <v>62</v>
      </c>
      <c r="E129" s="56" t="s">
        <v>69</v>
      </c>
      <c r="F129" s="130"/>
      <c r="G129" s="48" t="s">
        <v>70</v>
      </c>
    </row>
    <row r="130" spans="1:7" ht="15.75" customHeight="1">
      <c r="A130" s="1" t="s">
        <v>4</v>
      </c>
      <c r="B130" s="121" t="s">
        <v>789</v>
      </c>
      <c r="C130" s="43">
        <v>3102032</v>
      </c>
      <c r="D130" s="1" t="s">
        <v>83</v>
      </c>
      <c r="E130" s="45" t="s">
        <v>790</v>
      </c>
      <c r="G130" s="48" t="s">
        <v>712</v>
      </c>
    </row>
    <row r="131" spans="1:7" ht="15.75" customHeight="1">
      <c r="A131" s="42" t="s">
        <v>4</v>
      </c>
      <c r="B131" s="121" t="s">
        <v>789</v>
      </c>
      <c r="C131" s="43">
        <v>2222433</v>
      </c>
      <c r="D131" s="1" t="s">
        <v>83</v>
      </c>
      <c r="E131" s="45" t="s">
        <v>770</v>
      </c>
      <c r="G131" s="48" t="s">
        <v>791</v>
      </c>
    </row>
    <row r="132" spans="1:7" ht="15.75" customHeight="1">
      <c r="A132" s="42" t="s">
        <v>4</v>
      </c>
      <c r="B132" s="121" t="s">
        <v>789</v>
      </c>
      <c r="C132" s="43">
        <v>3131293</v>
      </c>
      <c r="D132" s="1" t="s">
        <v>80</v>
      </c>
      <c r="E132" s="45" t="s">
        <v>792</v>
      </c>
      <c r="G132" s="131"/>
    </row>
    <row r="133" spans="1:7" ht="15.75" customHeight="1">
      <c r="A133" s="42" t="s">
        <v>4</v>
      </c>
      <c r="B133" s="121" t="s">
        <v>789</v>
      </c>
      <c r="C133" s="43">
        <v>2823606</v>
      </c>
      <c r="D133" s="1" t="s">
        <v>71</v>
      </c>
      <c r="E133" s="45" t="s">
        <v>793</v>
      </c>
      <c r="G133" s="131"/>
    </row>
    <row r="134" spans="1:7" ht="15.75" customHeight="1">
      <c r="A134" s="42" t="s">
        <v>4</v>
      </c>
      <c r="B134" s="121" t="s">
        <v>789</v>
      </c>
      <c r="C134" s="43">
        <v>2878195</v>
      </c>
      <c r="D134" s="1" t="s">
        <v>80</v>
      </c>
      <c r="E134" s="45" t="s">
        <v>794</v>
      </c>
      <c r="G134" s="131"/>
    </row>
    <row r="135" spans="1:7" ht="15.75" customHeight="1">
      <c r="A135" s="42" t="s">
        <v>4</v>
      </c>
      <c r="B135" s="121" t="s">
        <v>789</v>
      </c>
      <c r="C135" s="43">
        <v>2825734</v>
      </c>
      <c r="D135" s="1" t="s">
        <v>71</v>
      </c>
      <c r="E135" s="45" t="s">
        <v>716</v>
      </c>
      <c r="G135" s="131"/>
    </row>
    <row r="136" spans="1:7" ht="15.75" customHeight="1">
      <c r="A136" s="42" t="s">
        <v>4</v>
      </c>
      <c r="B136" s="121" t="s">
        <v>789</v>
      </c>
      <c r="C136" s="43">
        <v>2862023</v>
      </c>
      <c r="D136" s="1" t="s">
        <v>83</v>
      </c>
      <c r="E136" s="45" t="s">
        <v>740</v>
      </c>
      <c r="G136" s="131"/>
    </row>
    <row r="137" spans="1:7" ht="15.75" customHeight="1">
      <c r="A137" s="42" t="s">
        <v>4</v>
      </c>
      <c r="B137" s="121" t="s">
        <v>789</v>
      </c>
      <c r="C137" s="43">
        <v>3051195</v>
      </c>
      <c r="D137" s="44" t="s">
        <v>71</v>
      </c>
      <c r="E137" s="49" t="s">
        <v>795</v>
      </c>
      <c r="G137" s="131"/>
    </row>
    <row r="138" spans="1:7" ht="15.75" customHeight="1">
      <c r="A138" s="42" t="s">
        <v>4</v>
      </c>
      <c r="B138" s="121" t="s">
        <v>789</v>
      </c>
      <c r="C138" s="43">
        <v>780646</v>
      </c>
      <c r="D138" s="1" t="s">
        <v>80</v>
      </c>
      <c r="E138" s="45" t="s">
        <v>744</v>
      </c>
      <c r="G138" s="131"/>
    </row>
    <row r="139" spans="1:7" ht="15.75" customHeight="1">
      <c r="A139" s="42" t="s">
        <v>4</v>
      </c>
      <c r="B139" s="121" t="s">
        <v>789</v>
      </c>
      <c r="C139" s="43">
        <v>2823352</v>
      </c>
      <c r="D139" s="1" t="s">
        <v>83</v>
      </c>
      <c r="E139" s="45" t="s">
        <v>746</v>
      </c>
      <c r="G139" s="50"/>
    </row>
    <row r="140" spans="1:7" ht="15.75" customHeight="1">
      <c r="A140" s="42" t="s">
        <v>4</v>
      </c>
      <c r="B140" s="121" t="s">
        <v>789</v>
      </c>
      <c r="C140" s="43">
        <v>3026292</v>
      </c>
      <c r="D140" s="1" t="s">
        <v>80</v>
      </c>
      <c r="E140" s="49" t="s">
        <v>796</v>
      </c>
      <c r="G140" s="50"/>
    </row>
    <row r="141" spans="1:7" ht="15.75" customHeight="1">
      <c r="A141" s="42" t="s">
        <v>4</v>
      </c>
      <c r="B141" s="121" t="s">
        <v>789</v>
      </c>
      <c r="C141" s="43">
        <v>2811194</v>
      </c>
      <c r="D141" s="1" t="s">
        <v>71</v>
      </c>
      <c r="E141" s="45" t="s">
        <v>797</v>
      </c>
      <c r="G141" s="50"/>
    </row>
    <row r="142" spans="1:7" ht="15.75" customHeight="1">
      <c r="A142" s="42" t="s">
        <v>4</v>
      </c>
      <c r="B142" s="121" t="s">
        <v>789</v>
      </c>
      <c r="C142" s="43">
        <v>2825755</v>
      </c>
      <c r="D142" s="1" t="s">
        <v>80</v>
      </c>
      <c r="E142" s="45" t="s">
        <v>798</v>
      </c>
      <c r="G142" s="50"/>
    </row>
    <row r="143" spans="1:7" ht="15.75" customHeight="1">
      <c r="A143" s="42" t="s">
        <v>4</v>
      </c>
      <c r="B143" s="121" t="s">
        <v>789</v>
      </c>
      <c r="C143" s="43">
        <v>793986</v>
      </c>
      <c r="D143" s="1" t="s">
        <v>80</v>
      </c>
      <c r="E143" s="45" t="s">
        <v>779</v>
      </c>
      <c r="G143" s="50"/>
    </row>
    <row r="144" spans="1:7" ht="15.75" customHeight="1">
      <c r="A144" s="42" t="s">
        <v>4</v>
      </c>
      <c r="B144" s="121" t="s">
        <v>789</v>
      </c>
      <c r="C144" s="43">
        <v>2808425</v>
      </c>
      <c r="D144" s="1" t="s">
        <v>80</v>
      </c>
      <c r="E144" s="45" t="s">
        <v>689</v>
      </c>
      <c r="G144" s="50"/>
    </row>
    <row r="145" spans="1:7" ht="15.75" customHeight="1">
      <c r="A145" s="42" t="s">
        <v>4</v>
      </c>
      <c r="B145" s="121" t="s">
        <v>789</v>
      </c>
      <c r="C145" s="43">
        <v>762223</v>
      </c>
      <c r="D145" s="1" t="s">
        <v>80</v>
      </c>
      <c r="E145" s="45" t="s">
        <v>780</v>
      </c>
      <c r="G145" s="50"/>
    </row>
    <row r="146" spans="1:7" ht="15.75" customHeight="1">
      <c r="A146" s="42" t="s">
        <v>4</v>
      </c>
      <c r="B146" s="121" t="s">
        <v>789</v>
      </c>
      <c r="C146" s="43">
        <v>2822703</v>
      </c>
      <c r="D146" s="1" t="s">
        <v>83</v>
      </c>
      <c r="E146" s="45" t="s">
        <v>799</v>
      </c>
      <c r="G146" s="50"/>
    </row>
    <row r="147" spans="1:7" ht="15.75" customHeight="1">
      <c r="A147" s="42" t="s">
        <v>4</v>
      </c>
      <c r="B147" s="121" t="s">
        <v>789</v>
      </c>
      <c r="C147" s="43">
        <v>730570</v>
      </c>
      <c r="D147" s="1" t="s">
        <v>80</v>
      </c>
      <c r="E147" s="45" t="s">
        <v>800</v>
      </c>
      <c r="G147" s="50"/>
    </row>
    <row r="148" spans="1:7" ht="15.75" customHeight="1">
      <c r="A148" s="42" t="s">
        <v>4</v>
      </c>
      <c r="B148" s="121" t="s">
        <v>789</v>
      </c>
      <c r="C148" s="43">
        <v>2994033</v>
      </c>
      <c r="D148" s="1" t="s">
        <v>71</v>
      </c>
      <c r="E148" s="45" t="s">
        <v>781</v>
      </c>
      <c r="F148" s="130"/>
      <c r="G148" s="59"/>
    </row>
    <row r="149" spans="1:7" ht="15.75" customHeight="1">
      <c r="A149" s="42" t="s">
        <v>4</v>
      </c>
      <c r="B149" s="121" t="s">
        <v>789</v>
      </c>
      <c r="C149" s="43">
        <v>5042385</v>
      </c>
      <c r="D149" s="1" t="s">
        <v>71</v>
      </c>
      <c r="E149" s="45" t="s">
        <v>801</v>
      </c>
      <c r="F149" s="130"/>
      <c r="G149" s="59"/>
    </row>
    <row r="150" spans="1:7" ht="15.75" customHeight="1">
      <c r="A150" s="42" t="s">
        <v>4</v>
      </c>
      <c r="B150" s="121" t="s">
        <v>789</v>
      </c>
      <c r="C150" s="43">
        <v>797751</v>
      </c>
      <c r="D150" s="1" t="s">
        <v>80</v>
      </c>
      <c r="E150" s="45" t="s">
        <v>802</v>
      </c>
      <c r="F150" s="130"/>
      <c r="G150" s="59"/>
    </row>
    <row r="151" spans="1:7" ht="15.75" customHeight="1">
      <c r="A151" s="42" t="s">
        <v>4</v>
      </c>
      <c r="B151" s="121" t="s">
        <v>789</v>
      </c>
      <c r="C151" s="43">
        <v>5018430</v>
      </c>
      <c r="D151" s="1" t="s">
        <v>101</v>
      </c>
      <c r="E151" s="45" t="s">
        <v>783</v>
      </c>
      <c r="G151" s="50"/>
    </row>
    <row r="152" spans="1:7" ht="15.75" customHeight="1">
      <c r="A152" s="42" t="s">
        <v>4</v>
      </c>
      <c r="B152" s="121" t="s">
        <v>789</v>
      </c>
      <c r="C152" s="43">
        <v>2428727</v>
      </c>
      <c r="D152" s="1" t="s">
        <v>80</v>
      </c>
      <c r="E152" s="49" t="s">
        <v>803</v>
      </c>
      <c r="F152" s="130"/>
      <c r="G152" s="59"/>
    </row>
    <row r="153" spans="1:7" ht="15.75" customHeight="1">
      <c r="A153" s="42" t="s">
        <v>4</v>
      </c>
      <c r="B153" s="121" t="s">
        <v>789</v>
      </c>
      <c r="C153" s="43">
        <v>762187</v>
      </c>
      <c r="D153" s="1" t="s">
        <v>80</v>
      </c>
      <c r="E153" s="45" t="s">
        <v>784</v>
      </c>
      <c r="F153" s="130"/>
      <c r="G153" s="59"/>
    </row>
    <row r="154" spans="1:7" ht="15.75" customHeight="1">
      <c r="A154" s="42" t="s">
        <v>4</v>
      </c>
      <c r="B154" s="121" t="s">
        <v>789</v>
      </c>
      <c r="C154" s="43">
        <v>2875233</v>
      </c>
      <c r="D154" s="1" t="s">
        <v>71</v>
      </c>
      <c r="E154" s="45" t="s">
        <v>804</v>
      </c>
      <c r="F154" s="130"/>
      <c r="G154" s="59"/>
    </row>
    <row r="155" spans="1:7" ht="15.75" customHeight="1">
      <c r="A155" s="42" t="s">
        <v>4</v>
      </c>
      <c r="B155" s="121" t="s">
        <v>789</v>
      </c>
      <c r="C155" s="43">
        <v>3032392</v>
      </c>
      <c r="D155" s="1" t="s">
        <v>80</v>
      </c>
      <c r="E155" s="49" t="s">
        <v>805</v>
      </c>
      <c r="F155" s="130"/>
      <c r="G155" s="59"/>
    </row>
    <row r="156" spans="1:7" ht="15.75" customHeight="1">
      <c r="A156" s="42" t="s">
        <v>4</v>
      </c>
      <c r="B156" s="121" t="s">
        <v>789</v>
      </c>
      <c r="C156" s="43">
        <v>2822631</v>
      </c>
      <c r="D156" s="1" t="s">
        <v>83</v>
      </c>
      <c r="E156" s="45" t="s">
        <v>806</v>
      </c>
      <c r="F156" s="130"/>
      <c r="G156" s="59"/>
    </row>
    <row r="157" spans="1:7" ht="15.75" customHeight="1">
      <c r="A157" s="42" t="s">
        <v>4</v>
      </c>
      <c r="B157" s="121" t="s">
        <v>789</v>
      </c>
      <c r="C157" s="43">
        <v>2824425</v>
      </c>
      <c r="D157" s="1" t="s">
        <v>71</v>
      </c>
      <c r="E157" s="45" t="s">
        <v>807</v>
      </c>
      <c r="F157" s="130"/>
      <c r="G157" s="59"/>
    </row>
    <row r="158" spans="1:7" ht="15.75" customHeight="1">
      <c r="A158" s="42" t="s">
        <v>4</v>
      </c>
      <c r="B158" s="121" t="s">
        <v>789</v>
      </c>
      <c r="C158" s="43">
        <v>2824442</v>
      </c>
      <c r="D158" s="1" t="s">
        <v>71</v>
      </c>
      <c r="E158" s="45" t="s">
        <v>756</v>
      </c>
      <c r="F158" s="130"/>
      <c r="G158" s="59"/>
    </row>
    <row r="159" spans="1:7" ht="15.75" customHeight="1">
      <c r="A159" s="42" t="s">
        <v>4</v>
      </c>
      <c r="B159" s="121" t="s">
        <v>789</v>
      </c>
      <c r="C159" s="43">
        <v>2825758</v>
      </c>
      <c r="D159" s="1" t="s">
        <v>101</v>
      </c>
      <c r="E159" s="45" t="s">
        <v>808</v>
      </c>
      <c r="F159" s="130"/>
      <c r="G159" s="59"/>
    </row>
    <row r="160" spans="1:7" ht="15.75" customHeight="1">
      <c r="A160" s="42" t="s">
        <v>4</v>
      </c>
      <c r="B160" s="121" t="s">
        <v>789</v>
      </c>
      <c r="C160" s="43">
        <v>2873251</v>
      </c>
      <c r="D160" s="1" t="s">
        <v>83</v>
      </c>
      <c r="E160" s="45" t="s">
        <v>809</v>
      </c>
      <c r="F160" s="130"/>
      <c r="G160" s="59"/>
    </row>
    <row r="161" spans="1:7" ht="15.75" customHeight="1">
      <c r="A161" s="42" t="s">
        <v>4</v>
      </c>
      <c r="B161" s="121" t="s">
        <v>789</v>
      </c>
      <c r="C161" s="43">
        <v>2823607</v>
      </c>
      <c r="D161" s="1" t="s">
        <v>80</v>
      </c>
      <c r="E161" s="45" t="s">
        <v>810</v>
      </c>
      <c r="F161" s="130"/>
      <c r="G161" s="59"/>
    </row>
    <row r="162" spans="1:7" ht="15.75" customHeight="1">
      <c r="A162" s="42" t="s">
        <v>4</v>
      </c>
      <c r="B162" s="121" t="s">
        <v>789</v>
      </c>
      <c r="C162" s="43">
        <v>773660</v>
      </c>
      <c r="D162" s="1" t="s">
        <v>83</v>
      </c>
      <c r="E162" s="45" t="s">
        <v>786</v>
      </c>
      <c r="F162" s="130"/>
      <c r="G162" s="59"/>
    </row>
    <row r="163" spans="1:7" ht="15.75" customHeight="1">
      <c r="A163" s="42" t="s">
        <v>4</v>
      </c>
      <c r="B163" s="121" t="s">
        <v>789</v>
      </c>
      <c r="C163" s="43">
        <v>5010370</v>
      </c>
      <c r="D163" s="1" t="s">
        <v>80</v>
      </c>
      <c r="E163" s="45" t="s">
        <v>765</v>
      </c>
      <c r="F163" s="130"/>
      <c r="G163" s="59"/>
    </row>
    <row r="164" spans="1:7" ht="15.75" customHeight="1">
      <c r="A164" s="42" t="s">
        <v>4</v>
      </c>
      <c r="B164" s="121" t="s">
        <v>789</v>
      </c>
      <c r="C164" s="43">
        <v>2823600</v>
      </c>
      <c r="D164" s="1" t="s">
        <v>80</v>
      </c>
      <c r="E164" s="45" t="s">
        <v>811</v>
      </c>
      <c r="F164" s="130"/>
      <c r="G164" s="59"/>
    </row>
    <row r="165" spans="1:7" ht="15.75" customHeight="1">
      <c r="A165" s="42" t="s">
        <v>4</v>
      </c>
      <c r="B165" s="121" t="s">
        <v>789</v>
      </c>
      <c r="C165" s="43">
        <v>2819189</v>
      </c>
      <c r="D165" s="1" t="s">
        <v>101</v>
      </c>
      <c r="E165" s="45" t="s">
        <v>707</v>
      </c>
      <c r="F165" s="130"/>
      <c r="G165" s="59"/>
    </row>
    <row r="166" spans="1:7" ht="15.75" customHeight="1">
      <c r="A166" s="42" t="s">
        <v>4</v>
      </c>
      <c r="B166" s="121" t="s">
        <v>789</v>
      </c>
      <c r="C166" s="43">
        <v>773691</v>
      </c>
      <c r="D166" s="1" t="s">
        <v>83</v>
      </c>
      <c r="E166" s="45" t="s">
        <v>787</v>
      </c>
      <c r="F166" s="130"/>
      <c r="G166" s="59"/>
    </row>
    <row r="167" spans="1:7" ht="15.75" customHeight="1">
      <c r="A167" s="1" t="s">
        <v>5</v>
      </c>
      <c r="B167" s="121" t="s">
        <v>812</v>
      </c>
      <c r="C167" s="128" t="s">
        <v>68</v>
      </c>
      <c r="D167" s="128" t="s">
        <v>62</v>
      </c>
      <c r="E167" s="56" t="s">
        <v>69</v>
      </c>
      <c r="F167" s="130"/>
      <c r="G167" s="48" t="s">
        <v>70</v>
      </c>
    </row>
    <row r="168" spans="1:7" ht="15.75" customHeight="1">
      <c r="A168" s="1" t="s">
        <v>5</v>
      </c>
      <c r="B168" s="121" t="s">
        <v>812</v>
      </c>
      <c r="C168" s="43">
        <v>3102032</v>
      </c>
      <c r="D168" s="1" t="s">
        <v>83</v>
      </c>
      <c r="E168" s="45" t="s">
        <v>790</v>
      </c>
      <c r="F168" s="133"/>
      <c r="G168" s="48" t="s">
        <v>680</v>
      </c>
    </row>
    <row r="169" spans="1:7" ht="15.75" customHeight="1">
      <c r="A169" s="1" t="s">
        <v>5</v>
      </c>
      <c r="B169" s="121" t="s">
        <v>812</v>
      </c>
      <c r="C169" s="43">
        <v>762263</v>
      </c>
      <c r="D169" s="1" t="s">
        <v>83</v>
      </c>
      <c r="E169" s="45" t="s">
        <v>769</v>
      </c>
      <c r="F169" s="133"/>
      <c r="G169" s="48" t="s">
        <v>712</v>
      </c>
    </row>
    <row r="170" spans="1:7" ht="15.75" customHeight="1">
      <c r="A170" s="1" t="s">
        <v>5</v>
      </c>
      <c r="B170" s="121" t="s">
        <v>812</v>
      </c>
      <c r="C170" s="43">
        <v>779389</v>
      </c>
      <c r="D170" s="1" t="s">
        <v>80</v>
      </c>
      <c r="E170" s="45" t="s">
        <v>771</v>
      </c>
      <c r="F170" s="133"/>
      <c r="G170" s="48" t="s">
        <v>813</v>
      </c>
    </row>
    <row r="171" spans="1:7" ht="15.75" customHeight="1">
      <c r="A171" s="1" t="s">
        <v>5</v>
      </c>
      <c r="B171" s="121" t="s">
        <v>812</v>
      </c>
      <c r="C171" s="43">
        <v>2825734</v>
      </c>
      <c r="D171" s="1" t="s">
        <v>71</v>
      </c>
      <c r="E171" s="45" t="s">
        <v>716</v>
      </c>
      <c r="F171" s="133"/>
      <c r="G171" s="50"/>
    </row>
    <row r="172" spans="1:7" ht="15.75" customHeight="1">
      <c r="A172" s="1" t="s">
        <v>5</v>
      </c>
      <c r="B172" s="121" t="s">
        <v>812</v>
      </c>
      <c r="C172" s="43">
        <v>2825059</v>
      </c>
      <c r="D172" s="1" t="s">
        <v>71</v>
      </c>
      <c r="E172" s="45" t="s">
        <v>775</v>
      </c>
      <c r="F172" s="133"/>
      <c r="G172" s="50"/>
    </row>
    <row r="173" spans="1:7" ht="15.75" customHeight="1">
      <c r="A173" s="1" t="s">
        <v>5</v>
      </c>
      <c r="B173" s="121" t="s">
        <v>812</v>
      </c>
      <c r="C173" s="43">
        <v>773688</v>
      </c>
      <c r="D173" s="1" t="s">
        <v>80</v>
      </c>
      <c r="E173" s="45" t="s">
        <v>685</v>
      </c>
      <c r="F173" s="133"/>
      <c r="G173" s="50"/>
    </row>
    <row r="174" spans="1:7" ht="15.75" customHeight="1">
      <c r="A174" s="1" t="s">
        <v>5</v>
      </c>
      <c r="B174" s="121" t="s">
        <v>812</v>
      </c>
      <c r="C174" s="43">
        <v>2811194</v>
      </c>
      <c r="D174" s="1" t="s">
        <v>71</v>
      </c>
      <c r="E174" s="45" t="s">
        <v>797</v>
      </c>
      <c r="F174" s="133"/>
      <c r="G174" s="50"/>
    </row>
    <row r="175" spans="1:7" ht="15.75" customHeight="1">
      <c r="A175" s="1" t="s">
        <v>5</v>
      </c>
      <c r="B175" s="121" t="s">
        <v>812</v>
      </c>
      <c r="C175" s="43">
        <v>793986</v>
      </c>
      <c r="D175" s="1" t="s">
        <v>80</v>
      </c>
      <c r="E175" s="45" t="s">
        <v>779</v>
      </c>
      <c r="F175" s="133"/>
      <c r="G175" s="50"/>
    </row>
    <row r="176" spans="1:7" ht="15.75" customHeight="1">
      <c r="A176" s="1" t="s">
        <v>5</v>
      </c>
      <c r="B176" s="121" t="s">
        <v>812</v>
      </c>
      <c r="C176" s="43">
        <v>5037563</v>
      </c>
      <c r="D176" s="1" t="s">
        <v>80</v>
      </c>
      <c r="E176" s="45" t="s">
        <v>814</v>
      </c>
      <c r="F176" s="133"/>
      <c r="G176" s="50"/>
    </row>
    <row r="177" spans="1:7" ht="15.75" customHeight="1">
      <c r="A177" s="1" t="s">
        <v>5</v>
      </c>
      <c r="B177" s="121" t="s">
        <v>812</v>
      </c>
      <c r="C177" s="43">
        <v>2825763</v>
      </c>
      <c r="D177" s="1" t="s">
        <v>71</v>
      </c>
      <c r="E177" s="45" t="s">
        <v>815</v>
      </c>
      <c r="F177" s="133"/>
      <c r="G177" s="50"/>
    </row>
    <row r="178" spans="1:7" ht="15.75" customHeight="1">
      <c r="A178" s="1" t="s">
        <v>5</v>
      </c>
      <c r="B178" s="121" t="s">
        <v>812</v>
      </c>
      <c r="C178" s="43">
        <v>2883004</v>
      </c>
      <c r="D178" s="1" t="s">
        <v>90</v>
      </c>
      <c r="E178" s="45" t="s">
        <v>816</v>
      </c>
      <c r="F178" s="133"/>
      <c r="G178" s="50"/>
    </row>
    <row r="179" spans="1:7" ht="15.75" customHeight="1">
      <c r="A179" s="1" t="s">
        <v>5</v>
      </c>
      <c r="B179" s="121" t="s">
        <v>812</v>
      </c>
      <c r="C179" s="43">
        <v>5018430</v>
      </c>
      <c r="D179" s="1" t="s">
        <v>101</v>
      </c>
      <c r="E179" s="45" t="s">
        <v>783</v>
      </c>
      <c r="F179" s="133"/>
      <c r="G179" s="50"/>
    </row>
    <row r="180" spans="1:7" ht="15.75" customHeight="1">
      <c r="A180" s="1" t="s">
        <v>5</v>
      </c>
      <c r="B180" s="121" t="s">
        <v>812</v>
      </c>
      <c r="C180" s="43">
        <v>762187</v>
      </c>
      <c r="D180" s="1" t="s">
        <v>80</v>
      </c>
      <c r="E180" s="45" t="s">
        <v>784</v>
      </c>
      <c r="F180" s="133"/>
      <c r="G180" s="50"/>
    </row>
    <row r="181" spans="1:7" ht="15.75" customHeight="1">
      <c r="A181" s="1" t="s">
        <v>5</v>
      </c>
      <c r="B181" s="121" t="s">
        <v>812</v>
      </c>
      <c r="C181" s="43">
        <v>2243990</v>
      </c>
      <c r="D181" s="1" t="s">
        <v>83</v>
      </c>
      <c r="E181" s="45" t="s">
        <v>754</v>
      </c>
      <c r="F181" s="133"/>
      <c r="G181" s="50"/>
    </row>
    <row r="182" spans="1:7" ht="15.75" customHeight="1">
      <c r="A182" s="1" t="s">
        <v>5</v>
      </c>
      <c r="B182" s="121" t="s">
        <v>812</v>
      </c>
      <c r="C182" s="43">
        <v>3162242</v>
      </c>
      <c r="D182" s="1" t="s">
        <v>71</v>
      </c>
      <c r="E182" s="49" t="s">
        <v>755</v>
      </c>
      <c r="F182" s="130"/>
      <c r="G182" s="59"/>
    </row>
    <row r="183" spans="1:7" ht="15.75" customHeight="1">
      <c r="A183" s="1" t="s">
        <v>5</v>
      </c>
      <c r="B183" s="121" t="s">
        <v>812</v>
      </c>
      <c r="C183" s="43">
        <v>2825759</v>
      </c>
      <c r="D183" s="1" t="s">
        <v>71</v>
      </c>
      <c r="E183" s="45" t="s">
        <v>730</v>
      </c>
      <c r="F183" s="130"/>
      <c r="G183" s="59"/>
    </row>
    <row r="184" spans="1:7" ht="15.75" customHeight="1">
      <c r="A184" s="1" t="s">
        <v>5</v>
      </c>
      <c r="B184" s="121" t="s">
        <v>812</v>
      </c>
      <c r="C184" s="43">
        <v>2825758</v>
      </c>
      <c r="D184" s="1" t="s">
        <v>101</v>
      </c>
      <c r="E184" s="45" t="s">
        <v>808</v>
      </c>
      <c r="F184" s="130"/>
      <c r="G184" s="59"/>
    </row>
    <row r="185" spans="1:7" ht="15.75" customHeight="1">
      <c r="A185" s="1" t="s">
        <v>5</v>
      </c>
      <c r="B185" s="121" t="s">
        <v>812</v>
      </c>
      <c r="C185" s="43">
        <v>3102031</v>
      </c>
      <c r="D185" s="1" t="s">
        <v>83</v>
      </c>
      <c r="E185" s="45" t="s">
        <v>817</v>
      </c>
      <c r="F185" s="130"/>
      <c r="G185" s="59"/>
    </row>
    <row r="186" spans="1:7" ht="15.75" customHeight="1">
      <c r="A186" s="1" t="s">
        <v>5</v>
      </c>
      <c r="B186" s="121" t="s">
        <v>812</v>
      </c>
      <c r="C186" s="43">
        <v>2810411</v>
      </c>
      <c r="D186" s="1" t="s">
        <v>101</v>
      </c>
      <c r="E186" s="45" t="s">
        <v>705</v>
      </c>
      <c r="F186" s="130"/>
      <c r="G186" s="59"/>
    </row>
    <row r="187" spans="1:7" ht="15.75" customHeight="1">
      <c r="A187" s="1" t="s">
        <v>5</v>
      </c>
      <c r="B187" s="121" t="s">
        <v>812</v>
      </c>
      <c r="C187" s="43">
        <v>762258</v>
      </c>
      <c r="D187" s="1" t="s">
        <v>83</v>
      </c>
      <c r="E187" s="45" t="s">
        <v>764</v>
      </c>
      <c r="F187" s="130"/>
      <c r="G187" s="59"/>
    </row>
    <row r="188" spans="1:7" ht="15.75" customHeight="1">
      <c r="A188" s="1" t="s">
        <v>5</v>
      </c>
      <c r="B188" s="121" t="s">
        <v>812</v>
      </c>
      <c r="C188" s="43">
        <v>773660</v>
      </c>
      <c r="D188" s="1" t="s">
        <v>83</v>
      </c>
      <c r="E188" s="45" t="s">
        <v>786</v>
      </c>
      <c r="F188" s="130"/>
      <c r="G188" s="59"/>
    </row>
    <row r="189" spans="1:7" ht="15.75" customHeight="1">
      <c r="A189" s="1" t="s">
        <v>6</v>
      </c>
      <c r="B189" s="1" t="s">
        <v>818</v>
      </c>
      <c r="C189" s="128" t="s">
        <v>68</v>
      </c>
      <c r="D189" s="128" t="s">
        <v>62</v>
      </c>
      <c r="E189" s="56" t="s">
        <v>69</v>
      </c>
      <c r="F189" s="130"/>
      <c r="G189" s="48" t="s">
        <v>70</v>
      </c>
    </row>
    <row r="190" spans="1:7" ht="15.75" customHeight="1">
      <c r="A190" s="1" t="s">
        <v>6</v>
      </c>
      <c r="B190" s="1" t="s">
        <v>818</v>
      </c>
      <c r="C190" s="43">
        <v>780076</v>
      </c>
      <c r="D190" s="44" t="s">
        <v>80</v>
      </c>
      <c r="E190" s="45" t="s">
        <v>709</v>
      </c>
      <c r="F190" s="133"/>
      <c r="G190" s="48" t="s">
        <v>528</v>
      </c>
    </row>
    <row r="191" spans="1:7" ht="15.75" customHeight="1">
      <c r="A191" s="42" t="s">
        <v>6</v>
      </c>
      <c r="B191" s="1" t="s">
        <v>818</v>
      </c>
      <c r="C191" s="43">
        <v>802146</v>
      </c>
      <c r="D191" s="44" t="s">
        <v>80</v>
      </c>
      <c r="E191" s="45" t="s">
        <v>819</v>
      </c>
      <c r="F191" s="133"/>
      <c r="G191" s="131"/>
    </row>
    <row r="192" spans="1:7" ht="15.75" customHeight="1">
      <c r="A192" s="42" t="s">
        <v>6</v>
      </c>
      <c r="B192" s="1" t="s">
        <v>818</v>
      </c>
      <c r="C192" s="43">
        <v>3149067</v>
      </c>
      <c r="D192" s="1" t="s">
        <v>101</v>
      </c>
      <c r="E192" s="49" t="s">
        <v>820</v>
      </c>
      <c r="F192" s="130"/>
      <c r="G192" s="59"/>
    </row>
    <row r="193" spans="1:7" ht="15.75" customHeight="1">
      <c r="A193" s="42" t="s">
        <v>6</v>
      </c>
      <c r="B193" s="1" t="s">
        <v>818</v>
      </c>
      <c r="C193" s="43">
        <v>2822713</v>
      </c>
      <c r="D193" s="44" t="s">
        <v>83</v>
      </c>
      <c r="E193" s="45" t="s">
        <v>821</v>
      </c>
      <c r="F193" s="130"/>
      <c r="G193" s="59"/>
    </row>
    <row r="194" spans="1:7" ht="15.75" customHeight="1">
      <c r="A194" s="1" t="s">
        <v>7</v>
      </c>
      <c r="B194" s="1" t="s">
        <v>822</v>
      </c>
      <c r="C194" s="128" t="s">
        <v>68</v>
      </c>
      <c r="D194" s="128" t="s">
        <v>62</v>
      </c>
      <c r="E194" s="56" t="s">
        <v>69</v>
      </c>
      <c r="F194" s="130"/>
      <c r="G194" s="48" t="s">
        <v>70</v>
      </c>
    </row>
    <row r="195" spans="1:7" ht="15.75" customHeight="1">
      <c r="A195" s="1" t="s">
        <v>7</v>
      </c>
      <c r="B195" s="1" t="s">
        <v>822</v>
      </c>
      <c r="C195" s="43">
        <v>780076</v>
      </c>
      <c r="D195" s="1" t="s">
        <v>80</v>
      </c>
      <c r="E195" s="45" t="s">
        <v>709</v>
      </c>
      <c r="F195" s="133"/>
      <c r="G195" s="48" t="s">
        <v>678</v>
      </c>
    </row>
    <row r="196" spans="1:7" ht="15.75" customHeight="1">
      <c r="A196" s="42" t="s">
        <v>7</v>
      </c>
      <c r="B196" s="1" t="s">
        <v>822</v>
      </c>
      <c r="C196" s="43">
        <v>797755</v>
      </c>
      <c r="D196" s="1" t="s">
        <v>83</v>
      </c>
      <c r="E196" s="45" t="s">
        <v>823</v>
      </c>
      <c r="F196" s="133"/>
      <c r="G196" s="48" t="s">
        <v>813</v>
      </c>
    </row>
    <row r="197" spans="1:7" ht="15.75" customHeight="1">
      <c r="A197" s="42" t="s">
        <v>7</v>
      </c>
      <c r="B197" s="1" t="s">
        <v>822</v>
      </c>
      <c r="C197" s="43">
        <v>2244052</v>
      </c>
      <c r="D197" s="1" t="s">
        <v>101</v>
      </c>
      <c r="E197" s="45" t="s">
        <v>824</v>
      </c>
      <c r="F197" s="133"/>
      <c r="G197" s="131"/>
    </row>
    <row r="198" spans="1:7" ht="15.75" customHeight="1">
      <c r="A198" s="42" t="s">
        <v>7</v>
      </c>
      <c r="B198" s="1" t="s">
        <v>822</v>
      </c>
      <c r="C198" s="43">
        <v>3050237</v>
      </c>
      <c r="D198" s="1" t="s">
        <v>71</v>
      </c>
      <c r="E198" s="49" t="s">
        <v>776</v>
      </c>
      <c r="F198" s="133"/>
      <c r="G198" s="131"/>
    </row>
    <row r="199" spans="1:7" ht="15.75" customHeight="1">
      <c r="A199" s="42" t="s">
        <v>7</v>
      </c>
      <c r="B199" s="1" t="s">
        <v>822</v>
      </c>
      <c r="C199" s="43">
        <v>2825717</v>
      </c>
      <c r="D199" s="1" t="s">
        <v>80</v>
      </c>
      <c r="E199" s="45" t="s">
        <v>719</v>
      </c>
      <c r="F199" s="133"/>
      <c r="G199" s="131"/>
    </row>
    <row r="200" spans="1:7" ht="15.75" customHeight="1">
      <c r="A200" s="42" t="s">
        <v>7</v>
      </c>
      <c r="B200" s="1" t="s">
        <v>822</v>
      </c>
      <c r="C200" s="43">
        <v>3105032</v>
      </c>
      <c r="D200" s="1" t="s">
        <v>71</v>
      </c>
      <c r="E200" s="45" t="s">
        <v>720</v>
      </c>
      <c r="F200" s="130"/>
      <c r="G200" s="59"/>
    </row>
    <row r="201" spans="1:7" ht="15.75" customHeight="1">
      <c r="A201" s="42" t="s">
        <v>7</v>
      </c>
      <c r="B201" s="1" t="s">
        <v>822</v>
      </c>
      <c r="C201" s="43">
        <v>802086</v>
      </c>
      <c r="D201" s="1" t="s">
        <v>80</v>
      </c>
      <c r="E201" s="45" t="s">
        <v>686</v>
      </c>
      <c r="F201" s="130"/>
      <c r="G201" s="59"/>
    </row>
    <row r="202" spans="1:7" ht="15.75" customHeight="1">
      <c r="A202" s="42" t="s">
        <v>7</v>
      </c>
      <c r="B202" s="1" t="s">
        <v>822</v>
      </c>
      <c r="C202" s="43">
        <v>2824446</v>
      </c>
      <c r="D202" s="1" t="s">
        <v>83</v>
      </c>
      <c r="E202" s="45" t="s">
        <v>722</v>
      </c>
      <c r="F202" s="130"/>
      <c r="G202" s="59"/>
    </row>
    <row r="203" spans="1:7" ht="15.75" customHeight="1">
      <c r="A203" s="42" t="s">
        <v>7</v>
      </c>
      <c r="B203" s="1" t="s">
        <v>822</v>
      </c>
      <c r="C203" s="43">
        <v>2824441</v>
      </c>
      <c r="D203" s="1" t="s">
        <v>90</v>
      </c>
      <c r="E203" s="45" t="s">
        <v>723</v>
      </c>
      <c r="F203" s="130"/>
      <c r="G203" s="59"/>
    </row>
    <row r="204" spans="1:7" ht="15.75" customHeight="1">
      <c r="A204" s="42" t="s">
        <v>7</v>
      </c>
      <c r="B204" s="1" t="s">
        <v>822</v>
      </c>
      <c r="C204" s="43">
        <v>2823602</v>
      </c>
      <c r="D204" s="1" t="s">
        <v>80</v>
      </c>
      <c r="E204" s="45" t="s">
        <v>825</v>
      </c>
      <c r="F204" s="130"/>
      <c r="G204" s="59"/>
    </row>
    <row r="205" spans="1:7" ht="15.75" customHeight="1">
      <c r="A205" s="42" t="s">
        <v>7</v>
      </c>
      <c r="B205" s="1" t="s">
        <v>822</v>
      </c>
      <c r="C205" s="43">
        <v>3105031</v>
      </c>
      <c r="D205" s="1" t="s">
        <v>80</v>
      </c>
      <c r="E205" s="45" t="s">
        <v>729</v>
      </c>
      <c r="F205" s="130"/>
      <c r="G205" s="59"/>
    </row>
    <row r="206" spans="1:7" ht="15.75" customHeight="1">
      <c r="A206" s="42" t="s">
        <v>7</v>
      </c>
      <c r="B206" s="1" t="s">
        <v>822</v>
      </c>
      <c r="C206" s="43">
        <v>797750</v>
      </c>
      <c r="D206" s="1" t="s">
        <v>71</v>
      </c>
      <c r="E206" s="45" t="s">
        <v>826</v>
      </c>
      <c r="F206" s="130"/>
      <c r="G206" s="59"/>
    </row>
    <row r="207" spans="1:7" ht="15.75" customHeight="1">
      <c r="A207" s="42" t="s">
        <v>7</v>
      </c>
      <c r="B207" s="1" t="s">
        <v>822</v>
      </c>
      <c r="C207" s="43">
        <v>802087</v>
      </c>
      <c r="D207" s="1" t="s">
        <v>80</v>
      </c>
      <c r="E207" s="45" t="s">
        <v>731</v>
      </c>
      <c r="F207" s="130"/>
      <c r="G207" s="59"/>
    </row>
    <row r="208" spans="1:7" ht="15.75" customHeight="1">
      <c r="A208" s="134" t="s">
        <v>8</v>
      </c>
      <c r="B208" s="1" t="s">
        <v>827</v>
      </c>
      <c r="C208" s="128" t="s">
        <v>68</v>
      </c>
      <c r="D208" s="128" t="s">
        <v>62</v>
      </c>
      <c r="E208" s="56" t="s">
        <v>69</v>
      </c>
      <c r="F208" s="130"/>
      <c r="G208" s="48" t="s">
        <v>70</v>
      </c>
    </row>
    <row r="209" spans="1:7" ht="15.75" customHeight="1">
      <c r="A209" s="134" t="s">
        <v>8</v>
      </c>
      <c r="B209" s="1" t="s">
        <v>827</v>
      </c>
      <c r="C209" s="43">
        <v>5041722</v>
      </c>
      <c r="D209" s="1" t="s">
        <v>80</v>
      </c>
      <c r="E209" s="45" t="s">
        <v>710</v>
      </c>
      <c r="F209" s="133"/>
      <c r="G209" s="48" t="s">
        <v>680</v>
      </c>
    </row>
    <row r="210" spans="1:7" ht="15.75" customHeight="1">
      <c r="A210" s="134" t="s">
        <v>8</v>
      </c>
      <c r="B210" s="1" t="s">
        <v>827</v>
      </c>
      <c r="C210" s="43">
        <v>730563</v>
      </c>
      <c r="D210" s="1" t="s">
        <v>80</v>
      </c>
      <c r="E210" s="45" t="s">
        <v>828</v>
      </c>
      <c r="F210" s="133"/>
      <c r="G210" s="48" t="s">
        <v>712</v>
      </c>
    </row>
    <row r="211" spans="1:7" ht="15.75" customHeight="1">
      <c r="A211" s="134" t="s">
        <v>8</v>
      </c>
      <c r="B211" s="1" t="s">
        <v>827</v>
      </c>
      <c r="C211" s="43">
        <v>773688</v>
      </c>
      <c r="D211" s="1" t="s">
        <v>80</v>
      </c>
      <c r="E211" s="45" t="s">
        <v>685</v>
      </c>
      <c r="F211" s="133"/>
      <c r="G211" s="48" t="s">
        <v>813</v>
      </c>
    </row>
    <row r="212" spans="1:7" ht="15.75" customHeight="1">
      <c r="A212" s="134" t="s">
        <v>8</v>
      </c>
      <c r="B212" s="1" t="s">
        <v>827</v>
      </c>
      <c r="C212" s="43">
        <v>2825717</v>
      </c>
      <c r="D212" s="1" t="s">
        <v>80</v>
      </c>
      <c r="E212" s="45" t="s">
        <v>719</v>
      </c>
      <c r="F212" s="133"/>
      <c r="G212" s="131"/>
    </row>
    <row r="213" spans="1:7" ht="15.75" customHeight="1">
      <c r="A213" s="134" t="s">
        <v>8</v>
      </c>
      <c r="B213" s="1" t="s">
        <v>827</v>
      </c>
      <c r="C213" s="43">
        <v>3105032</v>
      </c>
      <c r="D213" s="1" t="s">
        <v>71</v>
      </c>
      <c r="E213" s="45" t="s">
        <v>720</v>
      </c>
      <c r="F213" s="133"/>
      <c r="G213" s="50"/>
    </row>
    <row r="214" spans="1:7" ht="15.75" customHeight="1">
      <c r="A214" s="134" t="s">
        <v>8</v>
      </c>
      <c r="B214" s="1" t="s">
        <v>827</v>
      </c>
      <c r="C214" s="43">
        <v>797747</v>
      </c>
      <c r="D214" s="1" t="s">
        <v>80</v>
      </c>
      <c r="E214" s="45" t="s">
        <v>829</v>
      </c>
      <c r="F214" s="133"/>
      <c r="G214" s="131"/>
    </row>
    <row r="215" spans="1:7" ht="15.75" customHeight="1">
      <c r="A215" s="134" t="s">
        <v>8</v>
      </c>
      <c r="B215" s="1" t="s">
        <v>827</v>
      </c>
      <c r="C215" s="43">
        <v>5018436</v>
      </c>
      <c r="D215" s="1" t="s">
        <v>80</v>
      </c>
      <c r="E215" s="45" t="s">
        <v>688</v>
      </c>
      <c r="F215" s="133"/>
      <c r="G215" s="131"/>
    </row>
    <row r="216" spans="1:7" ht="15.75" customHeight="1">
      <c r="A216" s="134" t="s">
        <v>8</v>
      </c>
      <c r="B216" s="1" t="s">
        <v>827</v>
      </c>
      <c r="C216" s="43">
        <v>2822703</v>
      </c>
      <c r="D216" s="1" t="s">
        <v>83</v>
      </c>
      <c r="E216" s="45" t="s">
        <v>799</v>
      </c>
      <c r="F216" s="133"/>
      <c r="G216" s="131"/>
    </row>
    <row r="217" spans="1:7" ht="15.75" customHeight="1">
      <c r="A217" s="134" t="s">
        <v>8</v>
      </c>
      <c r="B217" s="1" t="s">
        <v>827</v>
      </c>
      <c r="C217" s="43">
        <v>730570</v>
      </c>
      <c r="D217" s="1" t="s">
        <v>80</v>
      </c>
      <c r="E217" s="45" t="s">
        <v>800</v>
      </c>
      <c r="F217" s="133"/>
      <c r="G217" s="131"/>
    </row>
    <row r="218" spans="1:7" ht="15.75" customHeight="1">
      <c r="A218" s="134" t="s">
        <v>8</v>
      </c>
      <c r="B218" s="1" t="s">
        <v>827</v>
      </c>
      <c r="C218" s="43">
        <v>2252268</v>
      </c>
      <c r="D218" s="1" t="s">
        <v>83</v>
      </c>
      <c r="E218" s="45" t="s">
        <v>830</v>
      </c>
      <c r="F218" s="133"/>
      <c r="G218" s="131"/>
    </row>
    <row r="219" spans="1:7" ht="15.75" customHeight="1">
      <c r="A219" s="134" t="s">
        <v>8</v>
      </c>
      <c r="B219" s="1" t="s">
        <v>827</v>
      </c>
      <c r="C219" s="43">
        <v>767912</v>
      </c>
      <c r="D219" s="1" t="s">
        <v>80</v>
      </c>
      <c r="E219" s="45" t="s">
        <v>724</v>
      </c>
      <c r="F219" s="133"/>
      <c r="G219" s="131"/>
    </row>
    <row r="220" spans="1:7" ht="15.75" customHeight="1">
      <c r="A220" s="134" t="s">
        <v>8</v>
      </c>
      <c r="B220" s="1" t="s">
        <v>827</v>
      </c>
      <c r="C220" s="43">
        <v>2883004</v>
      </c>
      <c r="D220" s="1" t="s">
        <v>90</v>
      </c>
      <c r="E220" s="45" t="s">
        <v>816</v>
      </c>
      <c r="F220" s="133"/>
      <c r="G220" s="131"/>
    </row>
    <row r="221" spans="1:7" ht="15.75" customHeight="1">
      <c r="A221" s="134" t="s">
        <v>8</v>
      </c>
      <c r="B221" s="1" t="s">
        <v>827</v>
      </c>
      <c r="C221" s="43">
        <v>5001654</v>
      </c>
      <c r="D221" s="1" t="s">
        <v>80</v>
      </c>
      <c r="E221" s="45" t="s">
        <v>694</v>
      </c>
      <c r="F221" s="133"/>
      <c r="G221" s="131"/>
    </row>
    <row r="222" spans="1:7" ht="15.75" customHeight="1">
      <c r="A222" s="134" t="s">
        <v>8</v>
      </c>
      <c r="B222" s="1" t="s">
        <v>827</v>
      </c>
      <c r="C222" s="43">
        <v>779391</v>
      </c>
      <c r="D222" s="1" t="s">
        <v>80</v>
      </c>
      <c r="E222" s="45" t="s">
        <v>695</v>
      </c>
      <c r="F222" s="130"/>
      <c r="G222" s="59"/>
    </row>
    <row r="223" spans="1:7" ht="15.75" customHeight="1">
      <c r="A223" s="134" t="s">
        <v>8</v>
      </c>
      <c r="B223" s="1" t="s">
        <v>827</v>
      </c>
      <c r="C223" s="43">
        <v>2257255</v>
      </c>
      <c r="D223" s="1" t="s">
        <v>83</v>
      </c>
      <c r="E223" s="45" t="s">
        <v>831</v>
      </c>
      <c r="F223" s="130"/>
      <c r="G223" s="59"/>
    </row>
    <row r="224" spans="1:7" ht="15.75" customHeight="1">
      <c r="A224" s="134" t="s">
        <v>8</v>
      </c>
      <c r="B224" s="1" t="s">
        <v>827</v>
      </c>
      <c r="C224" s="43">
        <v>773687</v>
      </c>
      <c r="D224" s="1" t="s">
        <v>83</v>
      </c>
      <c r="E224" s="45" t="s">
        <v>832</v>
      </c>
      <c r="F224" s="130"/>
      <c r="G224" s="59"/>
    </row>
    <row r="225" spans="1:7" ht="15.75" customHeight="1">
      <c r="A225" s="134" t="s">
        <v>8</v>
      </c>
      <c r="B225" s="1" t="s">
        <v>827</v>
      </c>
      <c r="C225" s="43">
        <v>3051375</v>
      </c>
      <c r="D225" s="1" t="s">
        <v>80</v>
      </c>
      <c r="E225" s="49" t="s">
        <v>833</v>
      </c>
      <c r="F225" s="130"/>
      <c r="G225" s="59"/>
    </row>
    <row r="226" spans="1:7" ht="15.75" customHeight="1">
      <c r="A226" s="134" t="s">
        <v>8</v>
      </c>
      <c r="B226" s="1" t="s">
        <v>827</v>
      </c>
      <c r="C226" s="43">
        <v>2876172</v>
      </c>
      <c r="D226" s="1" t="s">
        <v>71</v>
      </c>
      <c r="E226" s="45" t="s">
        <v>834</v>
      </c>
      <c r="F226" s="130"/>
      <c r="G226" s="59"/>
    </row>
    <row r="227" spans="1:7" ht="15.75" customHeight="1">
      <c r="A227" s="134" t="s">
        <v>8</v>
      </c>
      <c r="B227" s="1" t="s">
        <v>827</v>
      </c>
      <c r="C227" s="43">
        <v>3102031</v>
      </c>
      <c r="D227" s="1" t="s">
        <v>83</v>
      </c>
      <c r="E227" s="45" t="s">
        <v>817</v>
      </c>
      <c r="F227" s="130"/>
      <c r="G227" s="59"/>
    </row>
    <row r="228" spans="1:7" ht="15.75" customHeight="1">
      <c r="A228" s="134" t="s">
        <v>8</v>
      </c>
      <c r="B228" s="1" t="s">
        <v>827</v>
      </c>
      <c r="C228" s="43">
        <v>2810411</v>
      </c>
      <c r="D228" s="1" t="s">
        <v>101</v>
      </c>
      <c r="E228" s="45" t="s">
        <v>705</v>
      </c>
      <c r="F228" s="130"/>
      <c r="G228" s="59"/>
    </row>
    <row r="229" spans="1:7" ht="15.75" customHeight="1">
      <c r="A229" s="134" t="s">
        <v>8</v>
      </c>
      <c r="B229" s="1" t="s">
        <v>827</v>
      </c>
      <c r="C229" s="43">
        <v>773669</v>
      </c>
      <c r="D229" s="1" t="s">
        <v>71</v>
      </c>
      <c r="E229" s="45" t="s">
        <v>835</v>
      </c>
      <c r="F229" s="130"/>
      <c r="G229" s="59"/>
    </row>
    <row r="230" spans="1:7" ht="15.75" customHeight="1">
      <c r="A230" s="1" t="s">
        <v>9</v>
      </c>
      <c r="B230" s="1" t="s">
        <v>836</v>
      </c>
      <c r="C230" s="128" t="s">
        <v>68</v>
      </c>
      <c r="D230" s="128" t="s">
        <v>62</v>
      </c>
      <c r="E230" s="56" t="s">
        <v>69</v>
      </c>
      <c r="F230" s="130"/>
      <c r="G230" s="48" t="s">
        <v>70</v>
      </c>
    </row>
    <row r="231" spans="1:7" ht="15.75" customHeight="1">
      <c r="A231" s="1" t="s">
        <v>9</v>
      </c>
      <c r="B231" s="1" t="s">
        <v>836</v>
      </c>
      <c r="C231" s="43">
        <v>5005236</v>
      </c>
      <c r="D231" s="1" t="s">
        <v>71</v>
      </c>
      <c r="E231" s="45" t="s">
        <v>837</v>
      </c>
      <c r="F231" s="133"/>
      <c r="G231" s="48" t="s">
        <v>838</v>
      </c>
    </row>
    <row r="232" spans="1:7" ht="15.75" customHeight="1">
      <c r="A232" s="1" t="s">
        <v>9</v>
      </c>
      <c r="B232" s="1" t="s">
        <v>836</v>
      </c>
      <c r="C232" s="43">
        <v>2862023</v>
      </c>
      <c r="D232" s="1" t="s">
        <v>83</v>
      </c>
      <c r="E232" s="45" t="s">
        <v>740</v>
      </c>
      <c r="F232" s="133"/>
      <c r="G232" s="50"/>
    </row>
    <row r="233" spans="1:7" ht="15.75" customHeight="1">
      <c r="A233" s="1" t="s">
        <v>9</v>
      </c>
      <c r="B233" s="1" t="s">
        <v>836</v>
      </c>
      <c r="C233" s="43">
        <v>2825762</v>
      </c>
      <c r="D233" s="1" t="s">
        <v>83</v>
      </c>
      <c r="E233" s="45" t="s">
        <v>839</v>
      </c>
      <c r="F233" s="133"/>
      <c r="G233" s="50"/>
    </row>
    <row r="234" spans="1:7" ht="15.75" customHeight="1">
      <c r="A234" s="1" t="s">
        <v>9</v>
      </c>
      <c r="B234" s="1" t="s">
        <v>836</v>
      </c>
      <c r="C234" s="43">
        <v>2811194</v>
      </c>
      <c r="D234" s="1" t="s">
        <v>71</v>
      </c>
      <c r="E234" s="45" t="s">
        <v>797</v>
      </c>
      <c r="F234" s="133"/>
      <c r="G234" s="50"/>
    </row>
    <row r="235" spans="1:7" ht="15.75" customHeight="1">
      <c r="A235" s="1" t="s">
        <v>9</v>
      </c>
      <c r="B235" s="1" t="s">
        <v>836</v>
      </c>
      <c r="C235" s="43">
        <v>2813179</v>
      </c>
      <c r="D235" s="1" t="s">
        <v>83</v>
      </c>
      <c r="E235" s="45" t="s">
        <v>840</v>
      </c>
      <c r="F235" s="133"/>
      <c r="G235" s="50"/>
    </row>
    <row r="236" spans="1:7" ht="15.75" customHeight="1">
      <c r="A236" s="1" t="s">
        <v>9</v>
      </c>
      <c r="B236" s="1" t="s">
        <v>836</v>
      </c>
      <c r="C236" s="43">
        <v>2236072</v>
      </c>
      <c r="D236" s="1" t="s">
        <v>90</v>
      </c>
      <c r="E236" s="45" t="s">
        <v>841</v>
      </c>
      <c r="F236" s="133"/>
      <c r="G236" s="50"/>
    </row>
    <row r="237" spans="1:7" ht="15.75" customHeight="1">
      <c r="A237" s="1" t="s">
        <v>9</v>
      </c>
      <c r="B237" s="1" t="s">
        <v>836</v>
      </c>
      <c r="C237" s="43">
        <v>2823608</v>
      </c>
      <c r="D237" s="1" t="s">
        <v>101</v>
      </c>
      <c r="E237" s="45" t="s">
        <v>842</v>
      </c>
      <c r="F237" s="133"/>
      <c r="G237" s="50"/>
    </row>
    <row r="238" spans="1:7" ht="15.75" customHeight="1">
      <c r="A238" s="1" t="s">
        <v>9</v>
      </c>
      <c r="B238" s="1" t="s">
        <v>836</v>
      </c>
      <c r="C238" s="43">
        <v>2883005</v>
      </c>
      <c r="D238" s="1" t="s">
        <v>71</v>
      </c>
      <c r="E238" s="45" t="s">
        <v>843</v>
      </c>
      <c r="F238" s="133"/>
      <c r="G238" s="50"/>
    </row>
    <row r="239" spans="1:7" ht="15.75" customHeight="1">
      <c r="A239" s="1" t="s">
        <v>9</v>
      </c>
      <c r="B239" s="1" t="s">
        <v>836</v>
      </c>
      <c r="C239" s="43">
        <v>762187</v>
      </c>
      <c r="D239" s="1" t="s">
        <v>80</v>
      </c>
      <c r="E239" s="45" t="s">
        <v>784</v>
      </c>
      <c r="F239" s="133"/>
      <c r="G239" s="50"/>
    </row>
    <row r="240" spans="1:7" ht="15.75" customHeight="1">
      <c r="A240" s="1" t="s">
        <v>9</v>
      </c>
      <c r="B240" s="1" t="s">
        <v>836</v>
      </c>
      <c r="C240" s="43">
        <v>2802203</v>
      </c>
      <c r="D240" s="1" t="s">
        <v>71</v>
      </c>
      <c r="E240" s="45" t="s">
        <v>844</v>
      </c>
      <c r="F240" s="133"/>
      <c r="G240" s="50"/>
    </row>
    <row r="241" spans="1:7" ht="15.75" customHeight="1">
      <c r="A241" s="1" t="s">
        <v>9</v>
      </c>
      <c r="B241" s="1" t="s">
        <v>836</v>
      </c>
      <c r="C241" s="43">
        <v>2224303</v>
      </c>
      <c r="D241" s="1" t="s">
        <v>71</v>
      </c>
      <c r="E241" s="45" t="s">
        <v>845</v>
      </c>
      <c r="F241" s="130"/>
      <c r="G241" s="59"/>
    </row>
    <row r="242" spans="1:7" ht="15.75" customHeight="1">
      <c r="A242" s="1" t="s">
        <v>9</v>
      </c>
      <c r="B242" s="1" t="s">
        <v>836</v>
      </c>
      <c r="C242" s="43">
        <v>2217421</v>
      </c>
      <c r="D242" s="1" t="s">
        <v>80</v>
      </c>
      <c r="E242" s="45" t="s">
        <v>846</v>
      </c>
      <c r="F242" s="130"/>
      <c r="G242" s="59"/>
    </row>
    <row r="243" spans="1:7" ht="15.75" customHeight="1">
      <c r="A243" s="1" t="s">
        <v>9</v>
      </c>
      <c r="B243" s="1" t="s">
        <v>836</v>
      </c>
      <c r="C243" s="43">
        <v>2816002</v>
      </c>
      <c r="D243" s="1" t="s">
        <v>71</v>
      </c>
      <c r="E243" s="45" t="s">
        <v>847</v>
      </c>
      <c r="F243" s="130"/>
      <c r="G243" s="59"/>
    </row>
    <row r="244" spans="1:7" ht="15.75" customHeight="1">
      <c r="A244" s="1" t="s">
        <v>9</v>
      </c>
      <c r="B244" s="1" t="s">
        <v>836</v>
      </c>
      <c r="C244" s="43">
        <v>2876172</v>
      </c>
      <c r="D244" s="1" t="s">
        <v>71</v>
      </c>
      <c r="E244" s="45" t="s">
        <v>834</v>
      </c>
      <c r="F244" s="130"/>
      <c r="G244" s="59"/>
    </row>
    <row r="245" spans="1:7" ht="15.75" customHeight="1">
      <c r="A245" s="1" t="s">
        <v>9</v>
      </c>
      <c r="B245" s="1" t="s">
        <v>836</v>
      </c>
      <c r="C245" s="43">
        <v>2825758</v>
      </c>
      <c r="D245" s="1" t="s">
        <v>101</v>
      </c>
      <c r="E245" s="45" t="s">
        <v>808</v>
      </c>
      <c r="F245" s="130"/>
      <c r="G245" s="59"/>
    </row>
    <row r="246" spans="1:7" ht="15.75" customHeight="1">
      <c r="A246" s="1" t="s">
        <v>9</v>
      </c>
      <c r="B246" s="1" t="s">
        <v>836</v>
      </c>
      <c r="C246" s="43">
        <v>2876172</v>
      </c>
      <c r="D246" s="135" t="s">
        <v>71</v>
      </c>
      <c r="E246" s="56" t="s">
        <v>834</v>
      </c>
      <c r="F246" s="130"/>
      <c r="G246" s="59"/>
    </row>
    <row r="247" spans="1:7" ht="15.75" customHeight="1">
      <c r="A247" s="1" t="s">
        <v>10</v>
      </c>
      <c r="B247" s="1" t="s">
        <v>848</v>
      </c>
      <c r="C247" s="128" t="s">
        <v>68</v>
      </c>
      <c r="D247" s="128" t="s">
        <v>62</v>
      </c>
      <c r="E247" s="56" t="s">
        <v>69</v>
      </c>
      <c r="F247" s="130"/>
      <c r="G247" s="48" t="s">
        <v>70</v>
      </c>
    </row>
    <row r="248" spans="1:7" ht="15.75" customHeight="1">
      <c r="A248" s="1" t="s">
        <v>10</v>
      </c>
      <c r="B248" s="1" t="s">
        <v>848</v>
      </c>
      <c r="C248" s="43">
        <v>3161263</v>
      </c>
      <c r="D248" s="1" t="s">
        <v>83</v>
      </c>
      <c r="E248" s="49" t="s">
        <v>849</v>
      </c>
      <c r="F248" s="133"/>
      <c r="G248" s="48" t="s">
        <v>850</v>
      </c>
    </row>
    <row r="249" spans="1:7" ht="15.75" customHeight="1">
      <c r="A249" s="1" t="s">
        <v>10</v>
      </c>
      <c r="B249" s="1" t="s">
        <v>848</v>
      </c>
      <c r="C249" s="43">
        <v>2820120</v>
      </c>
      <c r="D249" s="1" t="s">
        <v>71</v>
      </c>
      <c r="E249" s="45" t="s">
        <v>851</v>
      </c>
      <c r="F249" s="133"/>
      <c r="G249" s="50"/>
    </row>
    <row r="250" spans="1:7" ht="15.75" customHeight="1">
      <c r="A250" s="1" t="s">
        <v>10</v>
      </c>
      <c r="B250" s="1" t="s">
        <v>848</v>
      </c>
      <c r="C250" s="43">
        <v>2820121</v>
      </c>
      <c r="D250" s="1" t="s">
        <v>71</v>
      </c>
      <c r="E250" s="45" t="s">
        <v>852</v>
      </c>
      <c r="F250" s="133"/>
      <c r="G250" s="50"/>
    </row>
    <row r="251" spans="1:7" ht="15.75" customHeight="1">
      <c r="A251" s="1" t="s">
        <v>10</v>
      </c>
      <c r="B251" s="1" t="s">
        <v>848</v>
      </c>
      <c r="C251" s="43">
        <v>3022417</v>
      </c>
      <c r="D251" s="1" t="s">
        <v>71</v>
      </c>
      <c r="E251" s="49" t="s">
        <v>853</v>
      </c>
      <c r="F251" s="133"/>
      <c r="G251" s="50"/>
    </row>
    <row r="252" spans="1:7" ht="15.75" customHeight="1">
      <c r="A252" s="1" t="s">
        <v>10</v>
      </c>
      <c r="B252" s="1" t="s">
        <v>848</v>
      </c>
      <c r="C252" s="43">
        <v>2824435</v>
      </c>
      <c r="D252" s="1" t="s">
        <v>71</v>
      </c>
      <c r="E252" s="45" t="s">
        <v>854</v>
      </c>
      <c r="F252" s="133"/>
      <c r="G252" s="50"/>
    </row>
    <row r="253" spans="1:7" ht="15.75" customHeight="1">
      <c r="A253" s="1" t="s">
        <v>10</v>
      </c>
      <c r="B253" s="1" t="s">
        <v>848</v>
      </c>
      <c r="C253" s="43">
        <v>3158970</v>
      </c>
      <c r="D253" s="1" t="s">
        <v>83</v>
      </c>
      <c r="E253" s="49" t="s">
        <v>855</v>
      </c>
      <c r="F253" s="133"/>
      <c r="G253" s="50"/>
    </row>
    <row r="254" spans="1:7" ht="15.75" customHeight="1">
      <c r="A254" s="1" t="s">
        <v>10</v>
      </c>
      <c r="B254" s="1" t="s">
        <v>848</v>
      </c>
      <c r="C254" s="43">
        <v>2215034</v>
      </c>
      <c r="D254" s="1" t="s">
        <v>83</v>
      </c>
      <c r="E254" s="45" t="s">
        <v>856</v>
      </c>
      <c r="F254" s="133"/>
      <c r="G254" s="50"/>
    </row>
    <row r="255" spans="1:7" ht="15.75" customHeight="1">
      <c r="A255" s="1" t="s">
        <v>10</v>
      </c>
      <c r="B255" s="1" t="s">
        <v>848</v>
      </c>
      <c r="C255" s="43">
        <v>2823599</v>
      </c>
      <c r="D255" s="1" t="s">
        <v>83</v>
      </c>
      <c r="E255" s="45" t="s">
        <v>857</v>
      </c>
      <c r="F255" s="130"/>
      <c r="G255" s="59"/>
    </row>
    <row r="256" spans="1:7" ht="15.75" customHeight="1">
      <c r="A256" s="1" t="s">
        <v>10</v>
      </c>
      <c r="B256" s="1" t="s">
        <v>848</v>
      </c>
      <c r="C256" s="43">
        <v>2998023</v>
      </c>
      <c r="D256" s="1" t="s">
        <v>83</v>
      </c>
      <c r="E256" s="45" t="s">
        <v>858</v>
      </c>
      <c r="F256" s="130"/>
      <c r="G256" s="59"/>
    </row>
    <row r="257" spans="1:7" ht="15.75" customHeight="1">
      <c r="A257" s="1" t="s">
        <v>10</v>
      </c>
      <c r="B257" s="1" t="s">
        <v>848</v>
      </c>
      <c r="C257" s="43">
        <v>5039490</v>
      </c>
      <c r="D257" s="1" t="s">
        <v>83</v>
      </c>
      <c r="E257" s="45" t="s">
        <v>859</v>
      </c>
      <c r="F257" s="130"/>
      <c r="G257" s="59"/>
    </row>
    <row r="258" spans="1:7" ht="15.75" customHeight="1">
      <c r="A258" s="1" t="s">
        <v>10</v>
      </c>
      <c r="B258" s="1" t="s">
        <v>848</v>
      </c>
      <c r="C258" s="43">
        <v>2824251</v>
      </c>
      <c r="D258" s="1" t="s">
        <v>90</v>
      </c>
      <c r="E258" s="45" t="s">
        <v>860</v>
      </c>
      <c r="F258" s="130"/>
      <c r="G258" s="59"/>
    </row>
    <row r="259" spans="1:7" ht="15.75" customHeight="1">
      <c r="A259" s="1" t="s">
        <v>10</v>
      </c>
      <c r="B259" s="1" t="s">
        <v>848</v>
      </c>
      <c r="C259" s="43">
        <v>2822715</v>
      </c>
      <c r="D259" s="1" t="s">
        <v>80</v>
      </c>
      <c r="E259" s="45" t="s">
        <v>861</v>
      </c>
      <c r="F259" s="130"/>
      <c r="G259" s="59"/>
    </row>
    <row r="260" spans="1:7" ht="15.75" customHeight="1">
      <c r="A260" s="1" t="s">
        <v>10</v>
      </c>
      <c r="B260" s="1" t="s">
        <v>848</v>
      </c>
      <c r="C260" s="43">
        <v>2817000</v>
      </c>
      <c r="D260" s="1" t="s">
        <v>83</v>
      </c>
      <c r="E260" s="45" t="s">
        <v>862</v>
      </c>
      <c r="F260" s="130"/>
      <c r="G260" s="59"/>
    </row>
    <row r="261" spans="1:7" ht="15.75" customHeight="1">
      <c r="A261" s="1" t="s">
        <v>10</v>
      </c>
      <c r="B261" s="1" t="s">
        <v>848</v>
      </c>
      <c r="C261" s="43">
        <v>2819000</v>
      </c>
      <c r="D261" s="1" t="s">
        <v>80</v>
      </c>
      <c r="E261" s="45" t="s">
        <v>863</v>
      </c>
      <c r="F261" s="130"/>
      <c r="G261" s="59"/>
    </row>
    <row r="262" spans="1:7" ht="15.75" customHeight="1">
      <c r="A262" s="1" t="s">
        <v>10</v>
      </c>
      <c r="B262" s="1" t="s">
        <v>848</v>
      </c>
      <c r="C262" s="43">
        <v>2825760</v>
      </c>
      <c r="D262" s="1" t="s">
        <v>71</v>
      </c>
      <c r="E262" s="45" t="s">
        <v>864</v>
      </c>
      <c r="F262" s="130"/>
      <c r="G262" s="59"/>
    </row>
    <row r="263" spans="1:7" ht="15.75" customHeight="1">
      <c r="A263" s="1" t="s">
        <v>10</v>
      </c>
      <c r="B263" s="1" t="s">
        <v>848</v>
      </c>
      <c r="C263" s="43">
        <v>2825757</v>
      </c>
      <c r="D263" s="1" t="s">
        <v>101</v>
      </c>
      <c r="E263" s="45" t="s">
        <v>865</v>
      </c>
      <c r="F263" s="130"/>
      <c r="G263" s="59"/>
    </row>
    <row r="264" spans="1:7" ht="15.75" customHeight="1">
      <c r="A264" s="1" t="s">
        <v>10</v>
      </c>
      <c r="B264" s="1" t="s">
        <v>848</v>
      </c>
      <c r="C264" s="43">
        <v>3107604</v>
      </c>
      <c r="D264" s="1" t="s">
        <v>83</v>
      </c>
      <c r="E264" s="45" t="s">
        <v>866</v>
      </c>
      <c r="F264" s="130"/>
      <c r="G264" s="59"/>
    </row>
    <row r="265" spans="1:7" ht="15.75" customHeight="1">
      <c r="A265" s="1" t="s">
        <v>10</v>
      </c>
      <c r="B265" s="1" t="s">
        <v>848</v>
      </c>
      <c r="C265" s="43">
        <v>2824438</v>
      </c>
      <c r="D265" s="1" t="s">
        <v>101</v>
      </c>
      <c r="E265" s="45" t="s">
        <v>867</v>
      </c>
      <c r="F265" s="130"/>
      <c r="G265" s="59"/>
    </row>
    <row r="266" spans="1:7" ht="15.75" customHeight="1">
      <c r="A266" s="1" t="s">
        <v>10</v>
      </c>
      <c r="B266" s="1" t="s">
        <v>848</v>
      </c>
      <c r="C266" s="43">
        <v>2823604</v>
      </c>
      <c r="D266" s="1" t="s">
        <v>71</v>
      </c>
      <c r="E266" s="45" t="s">
        <v>868</v>
      </c>
      <c r="F266" s="130"/>
      <c r="G266" s="59"/>
    </row>
    <row r="267" spans="1:7" ht="15.75" customHeight="1">
      <c r="A267" s="1" t="s">
        <v>10</v>
      </c>
      <c r="B267" s="1" t="s">
        <v>848</v>
      </c>
      <c r="C267" s="43">
        <v>3107606</v>
      </c>
      <c r="D267" s="1" t="s">
        <v>83</v>
      </c>
      <c r="E267" s="49" t="s">
        <v>869</v>
      </c>
      <c r="F267" s="130"/>
      <c r="G267" s="59"/>
    </row>
    <row r="268" spans="1:7" ht="15.75" customHeight="1">
      <c r="A268" s="1" t="s">
        <v>10</v>
      </c>
      <c r="B268" s="1" t="s">
        <v>848</v>
      </c>
      <c r="C268" s="43">
        <v>2886004</v>
      </c>
      <c r="D268" s="1" t="s">
        <v>83</v>
      </c>
      <c r="E268" s="45" t="s">
        <v>870</v>
      </c>
      <c r="F268" s="130"/>
      <c r="G268" s="59"/>
    </row>
    <row r="269" spans="1:7" ht="15.75" customHeight="1">
      <c r="A269" s="1" t="s">
        <v>11</v>
      </c>
      <c r="B269" s="1" t="s">
        <v>871</v>
      </c>
      <c r="C269" s="128" t="s">
        <v>68</v>
      </c>
      <c r="D269" s="128" t="s">
        <v>62</v>
      </c>
      <c r="E269" s="56" t="s">
        <v>69</v>
      </c>
      <c r="F269" s="130"/>
      <c r="G269" s="48" t="s">
        <v>70</v>
      </c>
    </row>
    <row r="270" spans="1:7" ht="15.75" customHeight="1">
      <c r="A270" s="1" t="s">
        <v>11</v>
      </c>
      <c r="B270" s="1" t="s">
        <v>871</v>
      </c>
      <c r="C270" s="43">
        <v>2882003</v>
      </c>
      <c r="D270" s="1" t="s">
        <v>71</v>
      </c>
      <c r="E270" s="45" t="s">
        <v>872</v>
      </c>
      <c r="F270" s="133"/>
      <c r="G270" s="48" t="s">
        <v>528</v>
      </c>
    </row>
    <row r="271" spans="1:7" ht="15.75" customHeight="1">
      <c r="A271" s="1" t="s">
        <v>11</v>
      </c>
      <c r="B271" s="1" t="s">
        <v>871</v>
      </c>
      <c r="C271" s="43">
        <v>2822709</v>
      </c>
      <c r="D271" s="1" t="s">
        <v>83</v>
      </c>
      <c r="E271" s="45" t="s">
        <v>873</v>
      </c>
      <c r="F271" s="133"/>
      <c r="G271" s="131"/>
    </row>
    <row r="272" spans="1:7" ht="15.75" customHeight="1">
      <c r="A272" s="1" t="s">
        <v>11</v>
      </c>
      <c r="B272" s="1" t="s">
        <v>871</v>
      </c>
      <c r="C272" s="43">
        <v>2822707</v>
      </c>
      <c r="D272" s="1" t="s">
        <v>80</v>
      </c>
      <c r="E272" s="45" t="s">
        <v>874</v>
      </c>
      <c r="F272" s="133"/>
      <c r="G272" s="131"/>
    </row>
    <row r="273" spans="1:7" ht="15.75" customHeight="1">
      <c r="A273" s="1" t="s">
        <v>11</v>
      </c>
      <c r="B273" s="1" t="s">
        <v>871</v>
      </c>
      <c r="C273" s="43">
        <v>780518</v>
      </c>
      <c r="D273" s="1" t="s">
        <v>71</v>
      </c>
      <c r="E273" s="45" t="s">
        <v>875</v>
      </c>
      <c r="F273" s="133"/>
      <c r="G273" s="131"/>
    </row>
    <row r="274" spans="1:7" ht="15.75" customHeight="1">
      <c r="A274" s="1" t="s">
        <v>11</v>
      </c>
      <c r="B274" s="1" t="s">
        <v>871</v>
      </c>
      <c r="C274" s="43">
        <v>2825756</v>
      </c>
      <c r="D274" s="1" t="s">
        <v>83</v>
      </c>
      <c r="E274" s="45" t="s">
        <v>876</v>
      </c>
      <c r="F274" s="130"/>
      <c r="G274" s="59"/>
    </row>
    <row r="275" spans="1:7" ht="15.75" customHeight="1">
      <c r="A275" s="1" t="s">
        <v>11</v>
      </c>
      <c r="B275" s="1" t="s">
        <v>871</v>
      </c>
      <c r="C275" s="43">
        <v>794523</v>
      </c>
      <c r="D275" s="1" t="s">
        <v>71</v>
      </c>
      <c r="E275" s="45" t="s">
        <v>877</v>
      </c>
      <c r="F275" s="130"/>
      <c r="G275" s="59"/>
    </row>
    <row r="276" spans="1:7" ht="15.75" customHeight="1">
      <c r="A276" s="1" t="s">
        <v>12</v>
      </c>
      <c r="B276" s="1" t="s">
        <v>878</v>
      </c>
      <c r="C276" s="128" t="s">
        <v>68</v>
      </c>
      <c r="D276" s="128" t="s">
        <v>62</v>
      </c>
      <c r="E276" s="56" t="s">
        <v>69</v>
      </c>
      <c r="F276" s="130"/>
      <c r="G276" s="48" t="s">
        <v>70</v>
      </c>
    </row>
    <row r="277" spans="1:7" ht="15.75" customHeight="1">
      <c r="A277" s="1" t="s">
        <v>12</v>
      </c>
      <c r="B277" s="1" t="s">
        <v>878</v>
      </c>
      <c r="C277" s="43">
        <v>2882002</v>
      </c>
      <c r="D277" s="1" t="s">
        <v>71</v>
      </c>
      <c r="E277" s="45" t="s">
        <v>879</v>
      </c>
      <c r="F277" s="133"/>
      <c r="G277" s="48" t="s">
        <v>734</v>
      </c>
    </row>
    <row r="278" spans="1:7" ht="15.75" customHeight="1">
      <c r="A278" s="1" t="s">
        <v>12</v>
      </c>
      <c r="B278" s="1" t="s">
        <v>878</v>
      </c>
      <c r="C278" s="43">
        <v>2255864</v>
      </c>
      <c r="D278" s="1" t="s">
        <v>71</v>
      </c>
      <c r="E278" s="45" t="s">
        <v>679</v>
      </c>
      <c r="F278" s="133"/>
      <c r="G278" s="48" t="s">
        <v>684</v>
      </c>
    </row>
    <row r="279" spans="1:7" ht="15.75" customHeight="1">
      <c r="A279" s="1" t="s">
        <v>12</v>
      </c>
      <c r="B279" s="1" t="s">
        <v>878</v>
      </c>
      <c r="C279" s="43">
        <v>794524</v>
      </c>
      <c r="D279" s="1" t="s">
        <v>71</v>
      </c>
      <c r="E279" s="45" t="s">
        <v>739</v>
      </c>
      <c r="F279" s="133"/>
      <c r="G279" s="48" t="s">
        <v>736</v>
      </c>
    </row>
    <row r="280" spans="1:7" ht="15.75" customHeight="1">
      <c r="A280" s="1" t="s">
        <v>12</v>
      </c>
      <c r="B280" s="1" t="s">
        <v>878</v>
      </c>
      <c r="C280" s="43">
        <v>2994026</v>
      </c>
      <c r="D280" s="1" t="s">
        <v>101</v>
      </c>
      <c r="E280" s="45" t="s">
        <v>880</v>
      </c>
      <c r="F280" s="133"/>
      <c r="G280" s="48" t="s">
        <v>850</v>
      </c>
    </row>
    <row r="281" spans="1:7" ht="15.75" customHeight="1">
      <c r="A281" s="1" t="s">
        <v>12</v>
      </c>
      <c r="B281" s="1" t="s">
        <v>878</v>
      </c>
      <c r="C281" s="43">
        <v>2822705</v>
      </c>
      <c r="D281" s="1" t="s">
        <v>90</v>
      </c>
      <c r="E281" s="45" t="s">
        <v>743</v>
      </c>
      <c r="F281" s="133"/>
      <c r="G281" s="50"/>
    </row>
    <row r="282" spans="1:7" ht="15.75" customHeight="1">
      <c r="A282" s="1" t="s">
        <v>12</v>
      </c>
      <c r="B282" s="1" t="s">
        <v>878</v>
      </c>
      <c r="C282" s="43">
        <v>3051195</v>
      </c>
      <c r="D282" s="44" t="s">
        <v>71</v>
      </c>
      <c r="E282" s="49" t="s">
        <v>795</v>
      </c>
      <c r="F282" s="133"/>
      <c r="G282" s="50"/>
    </row>
    <row r="283" spans="1:7" ht="15.75" customHeight="1">
      <c r="A283" s="1" t="s">
        <v>12</v>
      </c>
      <c r="B283" s="1" t="s">
        <v>878</v>
      </c>
      <c r="C283" s="43">
        <v>3002652</v>
      </c>
      <c r="D283" s="44" t="s">
        <v>80</v>
      </c>
      <c r="E283" s="49" t="s">
        <v>881</v>
      </c>
      <c r="F283" s="133"/>
      <c r="G283" s="50"/>
    </row>
    <row r="284" spans="1:7" ht="15.75" customHeight="1">
      <c r="A284" s="1" t="s">
        <v>12</v>
      </c>
      <c r="B284" s="1" t="s">
        <v>878</v>
      </c>
      <c r="C284" s="43">
        <v>2813191</v>
      </c>
      <c r="D284" s="1" t="s">
        <v>71</v>
      </c>
      <c r="E284" s="45" t="s">
        <v>747</v>
      </c>
      <c r="F284" s="130"/>
      <c r="G284" s="59"/>
    </row>
    <row r="285" spans="1:7" ht="15.75" customHeight="1">
      <c r="A285" s="1" t="s">
        <v>12</v>
      </c>
      <c r="B285" s="1" t="s">
        <v>878</v>
      </c>
      <c r="C285" s="43">
        <v>2824040</v>
      </c>
      <c r="D285" s="1" t="s">
        <v>101</v>
      </c>
      <c r="E285" s="45" t="s">
        <v>750</v>
      </c>
      <c r="F285" s="130"/>
      <c r="G285" s="59"/>
    </row>
    <row r="286" spans="1:7" ht="15.75" customHeight="1">
      <c r="A286" s="1" t="s">
        <v>12</v>
      </c>
      <c r="B286" s="1" t="s">
        <v>878</v>
      </c>
      <c r="C286" s="43">
        <v>2815031</v>
      </c>
      <c r="D286" s="1" t="s">
        <v>83</v>
      </c>
      <c r="E286" s="49" t="s">
        <v>752</v>
      </c>
      <c r="F286" s="130"/>
      <c r="G286" s="59"/>
    </row>
    <row r="287" spans="1:7" ht="15.75" customHeight="1">
      <c r="A287" s="1" t="s">
        <v>12</v>
      </c>
      <c r="B287" s="1" t="s">
        <v>878</v>
      </c>
      <c r="C287" s="43">
        <v>2884179</v>
      </c>
      <c r="D287" s="44" t="s">
        <v>80</v>
      </c>
      <c r="E287" s="49" t="s">
        <v>882</v>
      </c>
      <c r="F287" s="130"/>
      <c r="G287" s="59"/>
    </row>
    <row r="288" spans="1:7" ht="15.75" customHeight="1">
      <c r="A288" s="1" t="s">
        <v>12</v>
      </c>
      <c r="B288" s="1" t="s">
        <v>878</v>
      </c>
      <c r="C288" s="43">
        <v>2822711</v>
      </c>
      <c r="D288" s="1" t="s">
        <v>71</v>
      </c>
      <c r="E288" s="45" t="s">
        <v>883</v>
      </c>
      <c r="F288" s="130"/>
      <c r="G288" s="59"/>
    </row>
    <row r="289" spans="1:7" ht="15.75" customHeight="1">
      <c r="A289" s="1" t="s">
        <v>12</v>
      </c>
      <c r="B289" s="1" t="s">
        <v>878</v>
      </c>
      <c r="C289" s="43">
        <v>2243990</v>
      </c>
      <c r="D289" s="1" t="s">
        <v>83</v>
      </c>
      <c r="E289" s="45" t="s">
        <v>754</v>
      </c>
      <c r="F289" s="130"/>
      <c r="G289" s="59"/>
    </row>
    <row r="290" spans="1:7" ht="15.75" customHeight="1">
      <c r="A290" s="1" t="s">
        <v>12</v>
      </c>
      <c r="B290" s="1" t="s">
        <v>878</v>
      </c>
      <c r="C290" s="43">
        <v>2823543</v>
      </c>
      <c r="D290" s="1" t="s">
        <v>83</v>
      </c>
      <c r="E290" s="45" t="s">
        <v>759</v>
      </c>
      <c r="F290" s="130"/>
      <c r="G290" s="59"/>
    </row>
    <row r="291" spans="1:7" ht="15.75" customHeight="1">
      <c r="A291" s="1" t="s">
        <v>12</v>
      </c>
      <c r="B291" s="1" t="s">
        <v>878</v>
      </c>
      <c r="C291" s="43">
        <v>2823542</v>
      </c>
      <c r="D291" s="1" t="s">
        <v>83</v>
      </c>
      <c r="E291" s="45" t="s">
        <v>760</v>
      </c>
      <c r="F291" s="130"/>
      <c r="G291" s="59"/>
    </row>
    <row r="292" spans="1:7" ht="15.75" customHeight="1">
      <c r="A292" s="1" t="s">
        <v>12</v>
      </c>
      <c r="B292" s="1" t="s">
        <v>878</v>
      </c>
      <c r="C292" s="43">
        <v>805603</v>
      </c>
      <c r="D292" s="1" t="s">
        <v>90</v>
      </c>
      <c r="E292" s="45" t="s">
        <v>763</v>
      </c>
      <c r="F292" s="130"/>
      <c r="G292" s="59"/>
    </row>
    <row r="293" spans="1:7" ht="15.75" customHeight="1">
      <c r="A293" s="1" t="s">
        <v>12</v>
      </c>
      <c r="B293" s="1" t="s">
        <v>878</v>
      </c>
      <c r="C293" s="43">
        <v>2822708</v>
      </c>
      <c r="D293" s="1" t="s">
        <v>83</v>
      </c>
      <c r="E293" s="45" t="s">
        <v>884</v>
      </c>
      <c r="F293" s="130"/>
      <c r="G293" s="59"/>
    </row>
    <row r="294" spans="1:7" ht="15.75" customHeight="1">
      <c r="A294" s="1" t="s">
        <v>12</v>
      </c>
      <c r="B294" s="1" t="s">
        <v>878</v>
      </c>
      <c r="C294" s="43">
        <v>2873250</v>
      </c>
      <c r="D294" s="1" t="s">
        <v>71</v>
      </c>
      <c r="E294" s="45" t="s">
        <v>885</v>
      </c>
      <c r="F294" s="130"/>
      <c r="G294" s="59"/>
    </row>
    <row r="295" spans="1:7" ht="15.75" customHeight="1">
      <c r="A295" s="42" t="s">
        <v>13</v>
      </c>
      <c r="B295" s="1" t="s">
        <v>721</v>
      </c>
      <c r="C295" s="128" t="s">
        <v>68</v>
      </c>
      <c r="D295" s="128" t="s">
        <v>62</v>
      </c>
      <c r="E295" s="56" t="s">
        <v>69</v>
      </c>
      <c r="F295" s="130"/>
      <c r="G295" s="48" t="s">
        <v>70</v>
      </c>
    </row>
    <row r="296" spans="1:7" ht="15.75" customHeight="1">
      <c r="A296" s="42" t="s">
        <v>13</v>
      </c>
      <c r="B296" s="1" t="s">
        <v>721</v>
      </c>
      <c r="C296" s="43">
        <v>780076</v>
      </c>
      <c r="D296" s="1" t="s">
        <v>80</v>
      </c>
      <c r="E296" s="45" t="s">
        <v>709</v>
      </c>
      <c r="F296" s="133"/>
      <c r="G296" s="48" t="s">
        <v>734</v>
      </c>
    </row>
    <row r="297" spans="1:7" ht="15.75" customHeight="1">
      <c r="A297" s="42" t="s">
        <v>13</v>
      </c>
      <c r="B297" s="1" t="s">
        <v>721</v>
      </c>
      <c r="C297" s="43">
        <v>2244052</v>
      </c>
      <c r="D297" s="1" t="s">
        <v>101</v>
      </c>
      <c r="E297" s="45" t="s">
        <v>824</v>
      </c>
      <c r="F297" s="133"/>
      <c r="G297" s="48" t="s">
        <v>714</v>
      </c>
    </row>
    <row r="298" spans="1:7" ht="15.75" customHeight="1">
      <c r="A298" s="42" t="s">
        <v>13</v>
      </c>
      <c r="B298" s="1" t="s">
        <v>721</v>
      </c>
      <c r="C298" s="43">
        <v>2825734</v>
      </c>
      <c r="D298" s="1" t="s">
        <v>71</v>
      </c>
      <c r="E298" s="45" t="s">
        <v>716</v>
      </c>
      <c r="F298" s="133"/>
      <c r="G298" s="50"/>
    </row>
    <row r="299" spans="1:7" ht="15.75" customHeight="1">
      <c r="A299" s="42" t="s">
        <v>13</v>
      </c>
      <c r="B299" s="1" t="s">
        <v>721</v>
      </c>
      <c r="C299" s="43">
        <v>2424876</v>
      </c>
      <c r="D299" s="1" t="s">
        <v>83</v>
      </c>
      <c r="E299" s="49" t="s">
        <v>886</v>
      </c>
      <c r="F299" s="133"/>
      <c r="G299" s="50"/>
    </row>
    <row r="300" spans="1:7" ht="15.75" customHeight="1">
      <c r="A300" s="42" t="s">
        <v>13</v>
      </c>
      <c r="B300" s="1" t="s">
        <v>721</v>
      </c>
      <c r="C300" s="43">
        <v>767950</v>
      </c>
      <c r="D300" s="1" t="s">
        <v>71</v>
      </c>
      <c r="E300" s="45" t="s">
        <v>717</v>
      </c>
      <c r="F300" s="133"/>
      <c r="G300" s="50"/>
    </row>
    <row r="301" spans="1:7" ht="15.75" customHeight="1">
      <c r="A301" s="42" t="s">
        <v>13</v>
      </c>
      <c r="B301" s="1" t="s">
        <v>721</v>
      </c>
      <c r="C301" s="43">
        <v>2825717</v>
      </c>
      <c r="D301" s="1" t="s">
        <v>80</v>
      </c>
      <c r="E301" s="45" t="s">
        <v>719</v>
      </c>
      <c r="F301" s="133"/>
      <c r="G301" s="50"/>
    </row>
    <row r="302" spans="1:7" ht="15.75" customHeight="1">
      <c r="A302" s="42" t="s">
        <v>13</v>
      </c>
      <c r="B302" s="1" t="s">
        <v>721</v>
      </c>
      <c r="C302" s="43">
        <v>2887002</v>
      </c>
      <c r="D302" s="1" t="s">
        <v>83</v>
      </c>
      <c r="E302" s="45" t="s">
        <v>887</v>
      </c>
      <c r="F302" s="133"/>
      <c r="G302" s="50"/>
    </row>
    <row r="303" spans="1:7" ht="15.75" customHeight="1">
      <c r="A303" s="42" t="s">
        <v>13</v>
      </c>
      <c r="B303" s="1" t="s">
        <v>721</v>
      </c>
      <c r="C303" s="43">
        <v>762260</v>
      </c>
      <c r="D303" s="1" t="s">
        <v>71</v>
      </c>
      <c r="E303" s="45" t="s">
        <v>721</v>
      </c>
      <c r="F303" s="133"/>
      <c r="G303" s="50"/>
    </row>
    <row r="304" spans="1:7" ht="15.75" customHeight="1">
      <c r="A304" s="42" t="s">
        <v>13</v>
      </c>
      <c r="B304" s="1" t="s">
        <v>721</v>
      </c>
      <c r="C304" s="43">
        <v>5015332</v>
      </c>
      <c r="D304" s="1" t="s">
        <v>90</v>
      </c>
      <c r="E304" s="45" t="s">
        <v>888</v>
      </c>
      <c r="F304" s="133"/>
      <c r="G304" s="50"/>
    </row>
    <row r="305" spans="1:7" ht="15.75" customHeight="1">
      <c r="A305" s="42" t="s">
        <v>13</v>
      </c>
      <c r="B305" s="1" t="s">
        <v>721</v>
      </c>
      <c r="C305" s="43">
        <v>2824446</v>
      </c>
      <c r="D305" s="1" t="s">
        <v>83</v>
      </c>
      <c r="E305" s="45" t="s">
        <v>722</v>
      </c>
      <c r="F305" s="133"/>
      <c r="G305" s="50"/>
    </row>
    <row r="306" spans="1:7" ht="15.75" customHeight="1">
      <c r="A306" s="42" t="s">
        <v>13</v>
      </c>
      <c r="B306" s="1" t="s">
        <v>721</v>
      </c>
      <c r="C306" s="43">
        <v>2824441</v>
      </c>
      <c r="D306" s="1" t="s">
        <v>90</v>
      </c>
      <c r="E306" s="45" t="s">
        <v>723</v>
      </c>
      <c r="F306" s="133"/>
      <c r="G306" s="50"/>
    </row>
    <row r="307" spans="1:7" ht="15.75" customHeight="1">
      <c r="A307" s="42" t="s">
        <v>13</v>
      </c>
      <c r="B307" s="1" t="s">
        <v>721</v>
      </c>
      <c r="C307" s="43">
        <v>2880003</v>
      </c>
      <c r="D307" s="1" t="s">
        <v>80</v>
      </c>
      <c r="E307" s="49" t="s">
        <v>725</v>
      </c>
      <c r="F307" s="130"/>
      <c r="G307" s="59"/>
    </row>
    <row r="308" spans="1:7" ht="15.75" customHeight="1">
      <c r="A308" s="42" t="s">
        <v>13</v>
      </c>
      <c r="B308" s="1" t="s">
        <v>721</v>
      </c>
      <c r="C308" s="43">
        <v>3105031</v>
      </c>
      <c r="D308" s="1" t="s">
        <v>80</v>
      </c>
      <c r="E308" s="45" t="s">
        <v>729</v>
      </c>
      <c r="F308" s="130"/>
      <c r="G308" s="59"/>
    </row>
    <row r="309" spans="1:7" ht="15.75" customHeight="1">
      <c r="A309" s="42" t="s">
        <v>13</v>
      </c>
      <c r="B309" s="1" t="s">
        <v>721</v>
      </c>
      <c r="C309" s="43">
        <v>2700211</v>
      </c>
      <c r="D309" s="1" t="s">
        <v>90</v>
      </c>
      <c r="E309" s="45" t="s">
        <v>703</v>
      </c>
      <c r="F309" s="130"/>
      <c r="G309" s="59"/>
    </row>
    <row r="310" spans="1:7" ht="15.75" customHeight="1">
      <c r="A310" s="42" t="s">
        <v>13</v>
      </c>
      <c r="B310" s="1" t="s">
        <v>721</v>
      </c>
      <c r="C310" s="43">
        <v>2824241</v>
      </c>
      <c r="D310" s="1" t="s">
        <v>83</v>
      </c>
      <c r="E310" s="45" t="s">
        <v>889</v>
      </c>
      <c r="F310" s="130"/>
      <c r="G310" s="59"/>
    </row>
    <row r="311" spans="1:7" ht="15.75" customHeight="1">
      <c r="A311" s="42" t="s">
        <v>13</v>
      </c>
      <c r="B311" s="1" t="s">
        <v>721</v>
      </c>
      <c r="C311" s="43">
        <v>797750</v>
      </c>
      <c r="D311" s="1" t="s">
        <v>71</v>
      </c>
      <c r="E311" s="45" t="s">
        <v>826</v>
      </c>
      <c r="F311" s="130"/>
      <c r="G311" s="59"/>
    </row>
    <row r="312" spans="1:7" ht="15.75" customHeight="1">
      <c r="A312" s="42" t="s">
        <v>13</v>
      </c>
      <c r="B312" s="1" t="s">
        <v>721</v>
      </c>
      <c r="C312" s="43">
        <v>2823600</v>
      </c>
      <c r="D312" s="1" t="s">
        <v>80</v>
      </c>
      <c r="E312" s="45" t="s">
        <v>811</v>
      </c>
      <c r="F312" s="130"/>
      <c r="G312" s="59"/>
    </row>
    <row r="313" spans="1:7" ht="15.75" customHeight="1">
      <c r="A313" s="1" t="s">
        <v>14</v>
      </c>
      <c r="B313" s="121" t="s">
        <v>890</v>
      </c>
      <c r="C313" s="128" t="s">
        <v>68</v>
      </c>
      <c r="D313" s="128" t="s">
        <v>62</v>
      </c>
      <c r="E313" s="56" t="s">
        <v>69</v>
      </c>
      <c r="F313" s="130"/>
      <c r="G313" s="48" t="s">
        <v>70</v>
      </c>
    </row>
    <row r="314" spans="1:7" ht="15.75" customHeight="1">
      <c r="A314" s="1" t="s">
        <v>14</v>
      </c>
      <c r="B314" s="121" t="s">
        <v>890</v>
      </c>
      <c r="C314" s="43">
        <v>2421970</v>
      </c>
      <c r="D314" s="44" t="s">
        <v>101</v>
      </c>
      <c r="E314" s="49" t="s">
        <v>891</v>
      </c>
      <c r="F314" s="133"/>
      <c r="G314" s="48" t="s">
        <v>734</v>
      </c>
    </row>
    <row r="315" spans="1:7" ht="15.75" customHeight="1">
      <c r="A315" s="1" t="s">
        <v>14</v>
      </c>
      <c r="B315" s="121" t="s">
        <v>890</v>
      </c>
      <c r="C315" s="43">
        <v>797745</v>
      </c>
      <c r="D315" s="1" t="s">
        <v>83</v>
      </c>
      <c r="E315" s="45" t="s">
        <v>892</v>
      </c>
      <c r="F315" s="133"/>
      <c r="G315" s="48" t="s">
        <v>714</v>
      </c>
    </row>
    <row r="316" spans="1:7" ht="15.75" customHeight="1">
      <c r="A316" s="1" t="s">
        <v>14</v>
      </c>
      <c r="B316" s="121" t="s">
        <v>890</v>
      </c>
      <c r="C316" s="43">
        <v>2255864</v>
      </c>
      <c r="D316" s="1" t="s">
        <v>71</v>
      </c>
      <c r="E316" s="45" t="s">
        <v>679</v>
      </c>
      <c r="F316" s="133"/>
      <c r="G316" s="131"/>
    </row>
    <row r="317" spans="1:7" ht="15.75" customHeight="1">
      <c r="A317" s="1" t="s">
        <v>14</v>
      </c>
      <c r="B317" s="121" t="s">
        <v>890</v>
      </c>
      <c r="C317" s="43">
        <v>2244052</v>
      </c>
      <c r="D317" s="1" t="s">
        <v>101</v>
      </c>
      <c r="E317" s="45" t="s">
        <v>824</v>
      </c>
      <c r="F317" s="133"/>
      <c r="G317" s="131"/>
    </row>
    <row r="318" spans="1:7" ht="15.75" customHeight="1">
      <c r="A318" s="1" t="s">
        <v>14</v>
      </c>
      <c r="B318" s="121" t="s">
        <v>890</v>
      </c>
      <c r="C318" s="43">
        <v>5020681</v>
      </c>
      <c r="D318" s="1" t="s">
        <v>71</v>
      </c>
      <c r="E318" s="45" t="s">
        <v>772</v>
      </c>
      <c r="F318" s="133"/>
      <c r="G318" s="131"/>
    </row>
    <row r="319" spans="1:7" ht="15.75" customHeight="1">
      <c r="A319" s="1" t="s">
        <v>14</v>
      </c>
      <c r="B319" s="121" t="s">
        <v>890</v>
      </c>
      <c r="C319" s="43">
        <v>2880005</v>
      </c>
      <c r="D319" s="44" t="s">
        <v>101</v>
      </c>
      <c r="E319" s="49" t="s">
        <v>893</v>
      </c>
      <c r="F319" s="133"/>
      <c r="G319" s="131"/>
    </row>
    <row r="320" spans="1:7" ht="15.75" customHeight="1">
      <c r="A320" s="1" t="s">
        <v>14</v>
      </c>
      <c r="B320" s="121" t="s">
        <v>890</v>
      </c>
      <c r="C320" s="43">
        <v>2989032</v>
      </c>
      <c r="D320" s="1" t="s">
        <v>71</v>
      </c>
      <c r="E320" s="45" t="s">
        <v>894</v>
      </c>
      <c r="F320" s="133"/>
      <c r="G320" s="131"/>
    </row>
    <row r="321" spans="1:7" ht="15.75" customHeight="1">
      <c r="A321" s="1" t="s">
        <v>14</v>
      </c>
      <c r="B321" s="121" t="s">
        <v>890</v>
      </c>
      <c r="C321" s="43">
        <v>2427746</v>
      </c>
      <c r="D321" s="44" t="s">
        <v>71</v>
      </c>
      <c r="E321" s="49" t="s">
        <v>742</v>
      </c>
      <c r="F321" s="133"/>
      <c r="G321" s="131"/>
    </row>
    <row r="322" spans="1:7" ht="15.75" customHeight="1">
      <c r="A322" s="1" t="s">
        <v>14</v>
      </c>
      <c r="B322" s="121" t="s">
        <v>890</v>
      </c>
      <c r="C322" s="43">
        <v>2884007</v>
      </c>
      <c r="D322" s="44" t="s">
        <v>71</v>
      </c>
      <c r="E322" s="49" t="s">
        <v>745</v>
      </c>
      <c r="F322" s="133"/>
      <c r="G322" s="131"/>
    </row>
    <row r="323" spans="1:7" ht="15.75" customHeight="1">
      <c r="A323" s="1" t="s">
        <v>14</v>
      </c>
      <c r="B323" s="121" t="s">
        <v>890</v>
      </c>
      <c r="C323" s="43">
        <v>2825717</v>
      </c>
      <c r="D323" s="1" t="s">
        <v>80</v>
      </c>
      <c r="E323" s="45" t="s">
        <v>719</v>
      </c>
      <c r="F323" s="133"/>
      <c r="G323" s="131"/>
    </row>
    <row r="324" spans="1:7" ht="15.75" customHeight="1">
      <c r="A324" s="1" t="s">
        <v>14</v>
      </c>
      <c r="B324" s="121" t="s">
        <v>890</v>
      </c>
      <c r="C324" s="43">
        <v>2818044</v>
      </c>
      <c r="D324" s="1" t="s">
        <v>71</v>
      </c>
      <c r="E324" s="45" t="s">
        <v>895</v>
      </c>
      <c r="F324" s="133"/>
      <c r="G324" s="131"/>
    </row>
    <row r="325" spans="1:7" ht="15.75" customHeight="1">
      <c r="A325" s="1" t="s">
        <v>14</v>
      </c>
      <c r="B325" s="121" t="s">
        <v>890</v>
      </c>
      <c r="C325" s="43">
        <v>2877313</v>
      </c>
      <c r="D325" s="1" t="s">
        <v>71</v>
      </c>
      <c r="E325" s="45" t="s">
        <v>896</v>
      </c>
      <c r="F325" s="133"/>
      <c r="G325" s="131"/>
    </row>
    <row r="326" spans="1:7" ht="15.75" customHeight="1">
      <c r="A326" s="1" t="s">
        <v>14</v>
      </c>
      <c r="B326" s="121" t="s">
        <v>890</v>
      </c>
      <c r="C326" s="43">
        <v>2825755</v>
      </c>
      <c r="D326" s="1" t="s">
        <v>80</v>
      </c>
      <c r="E326" s="45" t="s">
        <v>798</v>
      </c>
      <c r="F326" s="133"/>
      <c r="G326" s="131"/>
    </row>
    <row r="327" spans="1:7" ht="15.75" customHeight="1">
      <c r="A327" s="1" t="s">
        <v>14</v>
      </c>
      <c r="B327" s="121" t="s">
        <v>890</v>
      </c>
      <c r="C327" s="43">
        <v>2880007</v>
      </c>
      <c r="D327" s="44" t="s">
        <v>80</v>
      </c>
      <c r="E327" s="49" t="s">
        <v>897</v>
      </c>
      <c r="F327" s="133"/>
      <c r="G327" s="131"/>
    </row>
    <row r="328" spans="1:7" ht="15.75" customHeight="1">
      <c r="A328" s="1" t="s">
        <v>14</v>
      </c>
      <c r="B328" s="121" t="s">
        <v>890</v>
      </c>
      <c r="C328" s="43">
        <v>2425822</v>
      </c>
      <c r="D328" s="44" t="s">
        <v>83</v>
      </c>
      <c r="E328" s="49" t="s">
        <v>898</v>
      </c>
      <c r="F328" s="133"/>
      <c r="G328" s="131"/>
    </row>
    <row r="329" spans="1:7" ht="15.75" customHeight="1">
      <c r="A329" s="1" t="s">
        <v>14</v>
      </c>
      <c r="B329" s="121" t="s">
        <v>890</v>
      </c>
      <c r="C329" s="43">
        <v>773686</v>
      </c>
      <c r="D329" s="1" t="s">
        <v>71</v>
      </c>
      <c r="E329" s="45" t="s">
        <v>691</v>
      </c>
      <c r="F329" s="133"/>
      <c r="G329" s="131"/>
    </row>
    <row r="330" spans="1:7" ht="15.75" customHeight="1">
      <c r="A330" s="1" t="s">
        <v>14</v>
      </c>
      <c r="B330" s="121" t="s">
        <v>890</v>
      </c>
      <c r="C330" s="43">
        <v>2822703</v>
      </c>
      <c r="D330" s="1" t="s">
        <v>83</v>
      </c>
      <c r="E330" s="45" t="s">
        <v>799</v>
      </c>
      <c r="F330" s="133"/>
      <c r="G330" s="131"/>
    </row>
    <row r="331" spans="1:7" ht="15.75" customHeight="1">
      <c r="A331" s="1" t="s">
        <v>14</v>
      </c>
      <c r="B331" s="121" t="s">
        <v>890</v>
      </c>
      <c r="C331" s="43">
        <v>762260</v>
      </c>
      <c r="D331" s="1" t="s">
        <v>71</v>
      </c>
      <c r="E331" s="45" t="s">
        <v>721</v>
      </c>
      <c r="F331" s="133"/>
      <c r="G331" s="131"/>
    </row>
    <row r="332" spans="1:7" ht="15.75" customHeight="1">
      <c r="A332" s="1" t="s">
        <v>14</v>
      </c>
      <c r="B332" s="121" t="s">
        <v>890</v>
      </c>
      <c r="C332" s="43">
        <v>762261</v>
      </c>
      <c r="D332" s="1" t="s">
        <v>71</v>
      </c>
      <c r="E332" s="45" t="s">
        <v>899</v>
      </c>
      <c r="F332" s="133"/>
      <c r="G332" s="131"/>
    </row>
    <row r="333" spans="1:7" ht="15.75" customHeight="1">
      <c r="A333" s="1" t="s">
        <v>14</v>
      </c>
      <c r="B333" s="121" t="s">
        <v>890</v>
      </c>
      <c r="C333" s="43">
        <v>730570</v>
      </c>
      <c r="D333" s="1" t="s">
        <v>80</v>
      </c>
      <c r="E333" s="45" t="s">
        <v>800</v>
      </c>
      <c r="F333" s="133"/>
      <c r="G333" s="131"/>
    </row>
    <row r="334" spans="1:7" ht="15.75" customHeight="1">
      <c r="A334" s="1" t="s">
        <v>14</v>
      </c>
      <c r="B334" s="121" t="s">
        <v>890</v>
      </c>
      <c r="C334" s="43">
        <v>2994033</v>
      </c>
      <c r="D334" s="1" t="s">
        <v>71</v>
      </c>
      <c r="E334" s="45" t="s">
        <v>781</v>
      </c>
      <c r="F334" s="133"/>
      <c r="G334" s="131"/>
    </row>
    <row r="335" spans="1:7" ht="15.75" customHeight="1">
      <c r="A335" s="1" t="s">
        <v>14</v>
      </c>
      <c r="B335" s="121" t="s">
        <v>890</v>
      </c>
      <c r="C335" s="43">
        <v>2824040</v>
      </c>
      <c r="D335" s="1" t="s">
        <v>101</v>
      </c>
      <c r="E335" s="45" t="s">
        <v>750</v>
      </c>
      <c r="F335" s="133"/>
      <c r="G335" s="131"/>
    </row>
    <row r="336" spans="1:7" ht="15.75" customHeight="1">
      <c r="A336" s="1" t="s">
        <v>14</v>
      </c>
      <c r="B336" s="121" t="s">
        <v>890</v>
      </c>
      <c r="C336" s="43">
        <v>5015334</v>
      </c>
      <c r="D336" s="1" t="s">
        <v>71</v>
      </c>
      <c r="E336" s="45" t="s">
        <v>697</v>
      </c>
      <c r="F336" s="133"/>
      <c r="G336" s="131"/>
    </row>
    <row r="337" spans="1:7" ht="15.75" customHeight="1">
      <c r="A337" s="1" t="s">
        <v>14</v>
      </c>
      <c r="B337" s="121" t="s">
        <v>890</v>
      </c>
      <c r="C337" s="43">
        <v>3160015</v>
      </c>
      <c r="D337" s="44" t="s">
        <v>80</v>
      </c>
      <c r="E337" s="49" t="s">
        <v>900</v>
      </c>
      <c r="F337" s="133"/>
      <c r="G337" s="131"/>
    </row>
    <row r="338" spans="1:7" ht="15.75" customHeight="1">
      <c r="A338" s="1" t="s">
        <v>14</v>
      </c>
      <c r="B338" s="121" t="s">
        <v>890</v>
      </c>
      <c r="C338" s="43">
        <v>5018429</v>
      </c>
      <c r="D338" s="1" t="s">
        <v>71</v>
      </c>
      <c r="E338" s="45" t="s">
        <v>901</v>
      </c>
      <c r="F338" s="130"/>
      <c r="G338" s="59"/>
    </row>
    <row r="339" spans="1:7" ht="15.75" customHeight="1">
      <c r="A339" s="1" t="s">
        <v>14</v>
      </c>
      <c r="B339" s="121" t="s">
        <v>890</v>
      </c>
      <c r="C339" s="43">
        <v>3105031</v>
      </c>
      <c r="D339" s="1" t="s">
        <v>80</v>
      </c>
      <c r="E339" s="45" t="s">
        <v>729</v>
      </c>
      <c r="F339" s="130"/>
      <c r="G339" s="59"/>
    </row>
    <row r="340" spans="1:7" ht="15.75" customHeight="1">
      <c r="A340" s="1" t="s">
        <v>14</v>
      </c>
      <c r="B340" s="121" t="s">
        <v>890</v>
      </c>
      <c r="C340" s="43">
        <v>2817183</v>
      </c>
      <c r="D340" s="1" t="s">
        <v>80</v>
      </c>
      <c r="E340" s="45" t="s">
        <v>902</v>
      </c>
      <c r="F340" s="133"/>
      <c r="G340" s="50"/>
    </row>
    <row r="341" spans="1:7" ht="15.75" customHeight="1">
      <c r="A341" s="1" t="s">
        <v>14</v>
      </c>
      <c r="B341" s="121" t="s">
        <v>890</v>
      </c>
      <c r="C341" s="43">
        <v>2823543</v>
      </c>
      <c r="D341" s="1" t="s">
        <v>83</v>
      </c>
      <c r="E341" s="45" t="s">
        <v>759</v>
      </c>
      <c r="F341" s="130"/>
      <c r="G341" s="59"/>
    </row>
    <row r="342" spans="1:7" ht="15.75" customHeight="1">
      <c r="A342" s="1" t="s">
        <v>14</v>
      </c>
      <c r="B342" s="121" t="s">
        <v>890</v>
      </c>
      <c r="C342" s="43">
        <v>2823542</v>
      </c>
      <c r="D342" s="1" t="s">
        <v>83</v>
      </c>
      <c r="E342" s="45" t="s">
        <v>760</v>
      </c>
      <c r="F342" s="130"/>
      <c r="G342" s="59"/>
    </row>
    <row r="343" spans="1:7" ht="15.75" customHeight="1">
      <c r="A343" s="1" t="s">
        <v>14</v>
      </c>
      <c r="B343" s="121" t="s">
        <v>890</v>
      </c>
      <c r="C343" s="43">
        <v>2818167</v>
      </c>
      <c r="D343" s="1" t="s">
        <v>80</v>
      </c>
      <c r="E343" s="45" t="s">
        <v>698</v>
      </c>
      <c r="F343" s="130"/>
      <c r="G343" s="59"/>
    </row>
    <row r="344" spans="1:7" ht="15.75" customHeight="1">
      <c r="A344" s="1" t="s">
        <v>14</v>
      </c>
      <c r="B344" s="121" t="s">
        <v>890</v>
      </c>
      <c r="C344" s="43">
        <v>2822700</v>
      </c>
      <c r="D344" s="1" t="s">
        <v>101</v>
      </c>
      <c r="E344" s="45" t="s">
        <v>903</v>
      </c>
      <c r="F344" s="130"/>
      <c r="G344" s="59"/>
    </row>
    <row r="345" spans="1:7" ht="15.75" customHeight="1">
      <c r="A345" s="1" t="s">
        <v>14</v>
      </c>
      <c r="B345" s="121" t="s">
        <v>890</v>
      </c>
      <c r="C345" s="43">
        <v>3154980</v>
      </c>
      <c r="D345" s="44" t="s">
        <v>71</v>
      </c>
      <c r="E345" s="49" t="s">
        <v>904</v>
      </c>
      <c r="F345" s="130"/>
      <c r="G345" s="59"/>
    </row>
    <row r="346" spans="1:7" ht="15.75" customHeight="1">
      <c r="A346" s="1" t="s">
        <v>14</v>
      </c>
      <c r="B346" s="121" t="s">
        <v>890</v>
      </c>
      <c r="C346" s="43">
        <v>5010314</v>
      </c>
      <c r="D346" s="1" t="s">
        <v>83</v>
      </c>
      <c r="E346" s="45" t="s">
        <v>905</v>
      </c>
      <c r="F346" s="130"/>
      <c r="G346" s="59"/>
    </row>
    <row r="347" spans="1:7" ht="15.75" customHeight="1">
      <c r="A347" s="1" t="s">
        <v>14</v>
      </c>
      <c r="B347" s="121" t="s">
        <v>890</v>
      </c>
      <c r="C347" s="43">
        <v>767948</v>
      </c>
      <c r="D347" s="1" t="s">
        <v>83</v>
      </c>
      <c r="E347" s="45" t="s">
        <v>906</v>
      </c>
      <c r="F347" s="130"/>
      <c r="G347" s="59"/>
    </row>
    <row r="348" spans="1:7" ht="15.75" customHeight="1">
      <c r="A348" s="1" t="s">
        <v>14</v>
      </c>
      <c r="B348" s="121" t="s">
        <v>890</v>
      </c>
      <c r="C348" s="43">
        <v>2819249</v>
      </c>
      <c r="D348" s="1" t="s">
        <v>71</v>
      </c>
      <c r="E348" s="45" t="s">
        <v>907</v>
      </c>
      <c r="F348" s="130"/>
      <c r="G348" s="59"/>
    </row>
    <row r="349" spans="1:7" ht="15.75" customHeight="1">
      <c r="A349" s="1" t="s">
        <v>14</v>
      </c>
      <c r="B349" s="121" t="s">
        <v>890</v>
      </c>
      <c r="C349" s="43">
        <v>5010370</v>
      </c>
      <c r="D349" s="1" t="s">
        <v>80</v>
      </c>
      <c r="E349" s="45" t="s">
        <v>765</v>
      </c>
      <c r="F349" s="130"/>
      <c r="G349" s="59"/>
    </row>
    <row r="350" spans="1:7" ht="15.75" customHeight="1">
      <c r="A350" s="1" t="s">
        <v>14</v>
      </c>
      <c r="B350" s="121" t="s">
        <v>890</v>
      </c>
      <c r="C350" s="43">
        <v>797750</v>
      </c>
      <c r="D350" s="1" t="s">
        <v>71</v>
      </c>
      <c r="E350" s="45" t="s">
        <v>826</v>
      </c>
      <c r="F350" s="130"/>
      <c r="G350" s="59"/>
    </row>
    <row r="351" spans="1:7" ht="15.75" customHeight="1">
      <c r="A351" s="1" t="s">
        <v>14</v>
      </c>
      <c r="B351" s="121" t="s">
        <v>890</v>
      </c>
      <c r="C351" s="43">
        <v>2823600</v>
      </c>
      <c r="D351" s="1" t="s">
        <v>80</v>
      </c>
      <c r="E351" s="45" t="s">
        <v>811</v>
      </c>
      <c r="F351" s="130"/>
      <c r="G351" s="59"/>
    </row>
    <row r="352" spans="1:7" ht="15.75" customHeight="1">
      <c r="A352" s="1" t="s">
        <v>14</v>
      </c>
      <c r="B352" s="121" t="s">
        <v>890</v>
      </c>
      <c r="C352" s="43">
        <v>2881007</v>
      </c>
      <c r="D352" s="44" t="s">
        <v>101</v>
      </c>
      <c r="E352" s="45" t="s">
        <v>766</v>
      </c>
      <c r="F352" s="130"/>
      <c r="G352" s="59"/>
    </row>
    <row r="353" spans="1:7" ht="15.75" customHeight="1">
      <c r="A353" s="1" t="s">
        <v>14</v>
      </c>
      <c r="B353" s="121" t="s">
        <v>890</v>
      </c>
      <c r="C353" s="43">
        <v>773669</v>
      </c>
      <c r="D353" s="1" t="s">
        <v>71</v>
      </c>
      <c r="E353" s="45" t="s">
        <v>835</v>
      </c>
      <c r="F353" s="130"/>
      <c r="G353" s="59"/>
    </row>
    <row r="354" spans="1:7" ht="15.75" customHeight="1">
      <c r="A354" s="1" t="s">
        <v>14</v>
      </c>
      <c r="B354" s="121" t="s">
        <v>890</v>
      </c>
      <c r="C354" s="43">
        <v>773691</v>
      </c>
      <c r="D354" s="1" t="s">
        <v>83</v>
      </c>
      <c r="E354" s="45" t="s">
        <v>787</v>
      </c>
      <c r="F354" s="130"/>
      <c r="G354" s="59"/>
    </row>
    <row r="355" spans="1:7" ht="15.75" customHeight="1">
      <c r="A355" s="1" t="s">
        <v>14</v>
      </c>
      <c r="B355" s="121" t="s">
        <v>890</v>
      </c>
      <c r="C355" s="43">
        <v>2813372</v>
      </c>
      <c r="D355" s="1" t="s">
        <v>71</v>
      </c>
      <c r="E355" s="45" t="s">
        <v>908</v>
      </c>
      <c r="F355" s="130"/>
      <c r="G355" s="59"/>
    </row>
    <row r="356" spans="1:7" ht="15.75" customHeight="1">
      <c r="A356" s="1" t="s">
        <v>15</v>
      </c>
      <c r="B356" s="121" t="s">
        <v>909</v>
      </c>
      <c r="C356" s="128" t="s">
        <v>68</v>
      </c>
      <c r="D356" s="128" t="s">
        <v>62</v>
      </c>
      <c r="E356" s="56" t="s">
        <v>69</v>
      </c>
      <c r="F356" s="130"/>
      <c r="G356" s="48" t="s">
        <v>70</v>
      </c>
    </row>
    <row r="357" spans="1:7" ht="15.75" customHeight="1">
      <c r="A357" s="1" t="s">
        <v>15</v>
      </c>
      <c r="B357" s="121" t="s">
        <v>909</v>
      </c>
      <c r="C357" s="43">
        <v>762263</v>
      </c>
      <c r="D357" s="1" t="s">
        <v>83</v>
      </c>
      <c r="E357" s="45" t="s">
        <v>769</v>
      </c>
      <c r="F357" s="133"/>
      <c r="G357" s="48" t="s">
        <v>910</v>
      </c>
    </row>
    <row r="358" spans="1:7" ht="15.75" customHeight="1">
      <c r="A358" s="1" t="s">
        <v>15</v>
      </c>
      <c r="B358" s="121" t="s">
        <v>909</v>
      </c>
      <c r="C358" s="43">
        <v>797746</v>
      </c>
      <c r="D358" s="1" t="s">
        <v>71</v>
      </c>
      <c r="E358" s="45" t="s">
        <v>735</v>
      </c>
      <c r="F358" s="133"/>
      <c r="G358" s="48" t="s">
        <v>734</v>
      </c>
    </row>
    <row r="359" spans="1:7" ht="15.75" customHeight="1">
      <c r="A359" s="1" t="s">
        <v>15</v>
      </c>
      <c r="B359" s="121" t="s">
        <v>909</v>
      </c>
      <c r="C359" s="43">
        <v>762264</v>
      </c>
      <c r="D359" s="1" t="s">
        <v>71</v>
      </c>
      <c r="E359" s="45" t="s">
        <v>677</v>
      </c>
      <c r="F359" s="133"/>
      <c r="G359" s="48" t="s">
        <v>712</v>
      </c>
    </row>
    <row r="360" spans="1:7" ht="15.75" customHeight="1">
      <c r="A360" s="1" t="s">
        <v>15</v>
      </c>
      <c r="B360" s="121" t="s">
        <v>909</v>
      </c>
      <c r="C360" s="43">
        <v>2881005</v>
      </c>
      <c r="D360" s="1" t="s">
        <v>80</v>
      </c>
      <c r="E360" s="49" t="s">
        <v>911</v>
      </c>
      <c r="F360" s="133"/>
      <c r="G360" s="48" t="s">
        <v>736</v>
      </c>
    </row>
    <row r="361" spans="1:7" ht="15.75" customHeight="1">
      <c r="A361" s="1" t="s">
        <v>15</v>
      </c>
      <c r="B361" s="121" t="s">
        <v>909</v>
      </c>
      <c r="C361" s="43">
        <v>2255864</v>
      </c>
      <c r="D361" s="1" t="s">
        <v>71</v>
      </c>
      <c r="E361" s="45" t="s">
        <v>679</v>
      </c>
      <c r="F361" s="133"/>
      <c r="G361" s="48" t="s">
        <v>684</v>
      </c>
    </row>
    <row r="362" spans="1:7" ht="15.75" customHeight="1">
      <c r="A362" s="1" t="s">
        <v>15</v>
      </c>
      <c r="B362" s="121" t="s">
        <v>909</v>
      </c>
      <c r="C362" s="43">
        <v>2424876</v>
      </c>
      <c r="D362" s="44" t="s">
        <v>83</v>
      </c>
      <c r="E362" s="49" t="s">
        <v>886</v>
      </c>
      <c r="F362" s="133"/>
      <c r="G362" s="50"/>
    </row>
    <row r="363" spans="1:7" ht="15.75" customHeight="1">
      <c r="A363" s="1" t="s">
        <v>15</v>
      </c>
      <c r="B363" s="121" t="s">
        <v>909</v>
      </c>
      <c r="C363" s="43">
        <v>797752</v>
      </c>
      <c r="D363" s="1" t="s">
        <v>80</v>
      </c>
      <c r="E363" s="45" t="s">
        <v>718</v>
      </c>
      <c r="F363" s="133"/>
      <c r="G363" s="50"/>
    </row>
    <row r="364" spans="1:7" ht="15.75" customHeight="1">
      <c r="A364" s="1" t="s">
        <v>15</v>
      </c>
      <c r="B364" s="121" t="s">
        <v>909</v>
      </c>
      <c r="C364" s="43">
        <v>2825059</v>
      </c>
      <c r="D364" s="1" t="s">
        <v>71</v>
      </c>
      <c r="E364" s="45" t="s">
        <v>775</v>
      </c>
      <c r="F364" s="133"/>
      <c r="G364" s="50"/>
    </row>
    <row r="365" spans="1:7" ht="15.75" customHeight="1">
      <c r="A365" s="1" t="s">
        <v>15</v>
      </c>
      <c r="B365" s="121" t="s">
        <v>909</v>
      </c>
      <c r="C365" s="43">
        <v>767947</v>
      </c>
      <c r="D365" s="1" t="s">
        <v>83</v>
      </c>
      <c r="E365" s="45" t="s">
        <v>741</v>
      </c>
      <c r="F365" s="133"/>
      <c r="G365" s="50"/>
    </row>
    <row r="366" spans="1:7" ht="15.75" customHeight="1">
      <c r="A366" s="1" t="s">
        <v>15</v>
      </c>
      <c r="B366" s="121" t="s">
        <v>909</v>
      </c>
      <c r="C366" s="43">
        <v>2818044</v>
      </c>
      <c r="D366" s="1" t="s">
        <v>71</v>
      </c>
      <c r="E366" s="45" t="s">
        <v>895</v>
      </c>
      <c r="F366" s="133"/>
      <c r="G366" s="50"/>
    </row>
    <row r="367" spans="1:7" ht="15.75" customHeight="1">
      <c r="A367" s="42" t="s">
        <v>15</v>
      </c>
      <c r="B367" s="121" t="s">
        <v>909</v>
      </c>
      <c r="C367" s="43">
        <v>2887001</v>
      </c>
      <c r="D367" s="1" t="s">
        <v>101</v>
      </c>
      <c r="E367" s="49" t="s">
        <v>748</v>
      </c>
      <c r="F367" s="133"/>
      <c r="G367" s="131"/>
    </row>
    <row r="368" spans="1:7" ht="15.75" customHeight="1">
      <c r="A368" s="42" t="s">
        <v>15</v>
      </c>
      <c r="B368" s="121" t="s">
        <v>909</v>
      </c>
      <c r="C368" s="43">
        <v>2825763</v>
      </c>
      <c r="D368" s="1" t="s">
        <v>71</v>
      </c>
      <c r="E368" s="45" t="s">
        <v>815</v>
      </c>
      <c r="F368" s="133"/>
      <c r="G368" s="131"/>
    </row>
    <row r="369" spans="1:7" ht="15.75" customHeight="1">
      <c r="A369" s="42" t="s">
        <v>15</v>
      </c>
      <c r="B369" s="121" t="s">
        <v>909</v>
      </c>
      <c r="C369" s="43">
        <v>5039201</v>
      </c>
      <c r="D369" s="1" t="s">
        <v>83</v>
      </c>
      <c r="E369" s="45" t="s">
        <v>749</v>
      </c>
      <c r="F369" s="133"/>
      <c r="G369" s="131"/>
    </row>
    <row r="370" spans="1:7" ht="15.75" customHeight="1">
      <c r="A370" s="42" t="s">
        <v>15</v>
      </c>
      <c r="B370" s="121" t="s">
        <v>909</v>
      </c>
      <c r="C370" s="43">
        <v>5015633</v>
      </c>
      <c r="D370" s="1" t="s">
        <v>71</v>
      </c>
      <c r="E370" s="45" t="s">
        <v>693</v>
      </c>
      <c r="F370" s="133"/>
      <c r="G370" s="131"/>
    </row>
    <row r="371" spans="1:7" ht="15.75" customHeight="1">
      <c r="A371" s="42" t="s">
        <v>15</v>
      </c>
      <c r="B371" s="121" t="s">
        <v>909</v>
      </c>
      <c r="C371" s="43">
        <v>2880003</v>
      </c>
      <c r="D371" s="1" t="s">
        <v>80</v>
      </c>
      <c r="E371" s="49" t="s">
        <v>725</v>
      </c>
      <c r="F371" s="133"/>
      <c r="G371" s="131"/>
    </row>
    <row r="372" spans="1:7" ht="15.75" customHeight="1">
      <c r="A372" s="42" t="s">
        <v>15</v>
      </c>
      <c r="B372" s="121" t="s">
        <v>909</v>
      </c>
      <c r="C372" s="43">
        <v>2824040</v>
      </c>
      <c r="D372" s="1" t="s">
        <v>101</v>
      </c>
      <c r="E372" s="45" t="s">
        <v>750</v>
      </c>
      <c r="F372" s="133"/>
      <c r="G372" s="131"/>
    </row>
    <row r="373" spans="1:7" ht="15.75" customHeight="1">
      <c r="A373" s="42" t="s">
        <v>15</v>
      </c>
      <c r="B373" s="121" t="s">
        <v>909</v>
      </c>
      <c r="C373" s="43">
        <v>2825753</v>
      </c>
      <c r="D373" s="1" t="s">
        <v>71</v>
      </c>
      <c r="E373" s="45" t="s">
        <v>912</v>
      </c>
      <c r="F373" s="133"/>
      <c r="G373" s="131"/>
    </row>
    <row r="374" spans="1:7" ht="15.75" customHeight="1">
      <c r="A374" s="42" t="s">
        <v>15</v>
      </c>
      <c r="B374" s="121" t="s">
        <v>909</v>
      </c>
      <c r="C374" s="43">
        <v>2815031</v>
      </c>
      <c r="D374" s="1" t="s">
        <v>83</v>
      </c>
      <c r="E374" s="49" t="s">
        <v>752</v>
      </c>
      <c r="F374" s="133"/>
      <c r="G374" s="131"/>
    </row>
    <row r="375" spans="1:7" ht="15.75" customHeight="1">
      <c r="A375" s="42" t="s">
        <v>15</v>
      </c>
      <c r="B375" s="121" t="s">
        <v>909</v>
      </c>
      <c r="C375" s="43">
        <v>767945</v>
      </c>
      <c r="D375" s="1" t="s">
        <v>83</v>
      </c>
      <c r="E375" s="45" t="s">
        <v>913</v>
      </c>
      <c r="F375" s="133"/>
      <c r="G375" s="131"/>
    </row>
    <row r="376" spans="1:7" ht="15.75" customHeight="1">
      <c r="A376" s="42" t="s">
        <v>15</v>
      </c>
      <c r="B376" s="121" t="s">
        <v>909</v>
      </c>
      <c r="C376" s="43">
        <v>2216884</v>
      </c>
      <c r="D376" s="1" t="s">
        <v>80</v>
      </c>
      <c r="E376" s="45" t="s">
        <v>696</v>
      </c>
      <c r="F376" s="133"/>
      <c r="G376" s="131"/>
    </row>
    <row r="377" spans="1:7" ht="15.75" customHeight="1">
      <c r="A377" s="42" t="s">
        <v>15</v>
      </c>
      <c r="B377" s="121" t="s">
        <v>909</v>
      </c>
      <c r="C377" s="43">
        <v>3105031</v>
      </c>
      <c r="D377" s="1" t="s">
        <v>80</v>
      </c>
      <c r="E377" s="45" t="s">
        <v>729</v>
      </c>
      <c r="F377" s="133"/>
      <c r="G377" s="131"/>
    </row>
    <row r="378" spans="1:7" ht="15.75" customHeight="1">
      <c r="A378" s="42" t="s">
        <v>15</v>
      </c>
      <c r="B378" s="121" t="s">
        <v>909</v>
      </c>
      <c r="C378" s="43">
        <v>2884179</v>
      </c>
      <c r="D378" s="1" t="s">
        <v>80</v>
      </c>
      <c r="E378" s="49" t="s">
        <v>882</v>
      </c>
      <c r="F378" s="133"/>
      <c r="G378" s="131"/>
    </row>
    <row r="379" spans="1:7" ht="15.75" customHeight="1">
      <c r="A379" s="42" t="s">
        <v>15</v>
      </c>
      <c r="B379" s="121" t="s">
        <v>909</v>
      </c>
      <c r="C379" s="43">
        <v>3131244</v>
      </c>
      <c r="D379" s="44" t="s">
        <v>83</v>
      </c>
      <c r="E379" s="49" t="s">
        <v>914</v>
      </c>
      <c r="F379" s="133"/>
      <c r="G379" s="131"/>
    </row>
    <row r="380" spans="1:7" ht="15.75" customHeight="1">
      <c r="A380" s="42" t="s">
        <v>15</v>
      </c>
      <c r="B380" s="121" t="s">
        <v>909</v>
      </c>
      <c r="C380" s="43">
        <v>2822711</v>
      </c>
      <c r="D380" s="1" t="s">
        <v>71</v>
      </c>
      <c r="E380" s="45" t="s">
        <v>883</v>
      </c>
      <c r="F380" s="133"/>
      <c r="G380" s="131"/>
    </row>
    <row r="381" spans="1:7" ht="15.75" customHeight="1">
      <c r="A381" s="42" t="s">
        <v>15</v>
      </c>
      <c r="B381" s="121" t="s">
        <v>909</v>
      </c>
      <c r="C381" s="43">
        <v>767866</v>
      </c>
      <c r="D381" s="1" t="s">
        <v>83</v>
      </c>
      <c r="E381" s="45" t="s">
        <v>753</v>
      </c>
      <c r="F381" s="133"/>
      <c r="G381" s="131"/>
    </row>
    <row r="382" spans="1:7" ht="15.75" customHeight="1">
      <c r="A382" s="42" t="s">
        <v>15</v>
      </c>
      <c r="B382" s="121" t="s">
        <v>909</v>
      </c>
      <c r="C382" s="43">
        <v>2243990</v>
      </c>
      <c r="D382" s="1" t="s">
        <v>83</v>
      </c>
      <c r="E382" s="45" t="s">
        <v>754</v>
      </c>
      <c r="F382" s="133"/>
      <c r="G382" s="131"/>
    </row>
    <row r="383" spans="1:7" ht="15.75" customHeight="1">
      <c r="A383" s="42" t="s">
        <v>15</v>
      </c>
      <c r="B383" s="121" t="s">
        <v>909</v>
      </c>
      <c r="C383" s="43">
        <v>3162242</v>
      </c>
      <c r="D383" s="44" t="s">
        <v>71</v>
      </c>
      <c r="E383" s="49" t="s">
        <v>755</v>
      </c>
      <c r="F383" s="133"/>
      <c r="G383" s="131"/>
    </row>
    <row r="384" spans="1:7" ht="15.75" customHeight="1">
      <c r="A384" s="42" t="s">
        <v>15</v>
      </c>
      <c r="B384" s="121" t="s">
        <v>909</v>
      </c>
      <c r="C384" s="43">
        <v>730573</v>
      </c>
      <c r="D384" s="1" t="s">
        <v>83</v>
      </c>
      <c r="E384" s="45" t="s">
        <v>915</v>
      </c>
      <c r="F384" s="133"/>
      <c r="G384" s="131"/>
    </row>
    <row r="385" spans="1:7" ht="15.75" customHeight="1">
      <c r="A385" s="42" t="s">
        <v>15</v>
      </c>
      <c r="B385" s="121" t="s">
        <v>909</v>
      </c>
      <c r="C385" s="43">
        <v>2824442</v>
      </c>
      <c r="D385" s="1" t="s">
        <v>71</v>
      </c>
      <c r="E385" s="45" t="s">
        <v>756</v>
      </c>
      <c r="F385" s="133"/>
      <c r="G385" s="131"/>
    </row>
    <row r="386" spans="1:7" ht="15.75" customHeight="1">
      <c r="A386" s="42" t="s">
        <v>15</v>
      </c>
      <c r="B386" s="121" t="s">
        <v>909</v>
      </c>
      <c r="C386" s="43">
        <v>5015337</v>
      </c>
      <c r="D386" s="1" t="s">
        <v>71</v>
      </c>
      <c r="E386" s="45" t="s">
        <v>757</v>
      </c>
      <c r="F386" s="133"/>
      <c r="G386" s="131"/>
    </row>
    <row r="387" spans="1:7" ht="15.75" customHeight="1">
      <c r="A387" s="42" t="s">
        <v>15</v>
      </c>
      <c r="B387" s="121" t="s">
        <v>909</v>
      </c>
      <c r="C387" s="43">
        <v>767946</v>
      </c>
      <c r="D387" s="1" t="s">
        <v>71</v>
      </c>
      <c r="E387" s="45" t="s">
        <v>758</v>
      </c>
      <c r="F387" s="133"/>
      <c r="G387" s="131"/>
    </row>
    <row r="388" spans="1:7" ht="15.75" customHeight="1">
      <c r="A388" s="42" t="s">
        <v>15</v>
      </c>
      <c r="B388" s="121" t="s">
        <v>909</v>
      </c>
      <c r="C388" s="43">
        <v>5015338</v>
      </c>
      <c r="D388" s="1" t="s">
        <v>71</v>
      </c>
      <c r="E388" s="45" t="s">
        <v>916</v>
      </c>
      <c r="F388" s="133"/>
      <c r="G388" s="131"/>
    </row>
    <row r="389" spans="1:7" ht="15.75" customHeight="1">
      <c r="A389" s="42" t="s">
        <v>15</v>
      </c>
      <c r="B389" s="121" t="s">
        <v>909</v>
      </c>
      <c r="C389" s="43">
        <v>2818167</v>
      </c>
      <c r="D389" s="1" t="s">
        <v>80</v>
      </c>
      <c r="E389" s="45" t="s">
        <v>698</v>
      </c>
      <c r="F389" s="133"/>
      <c r="G389" s="131"/>
    </row>
    <row r="390" spans="1:7" ht="15.75" customHeight="1">
      <c r="A390" s="42" t="s">
        <v>15</v>
      </c>
      <c r="B390" s="121" t="s">
        <v>909</v>
      </c>
      <c r="C390" s="43">
        <v>2822700</v>
      </c>
      <c r="D390" s="1" t="s">
        <v>101</v>
      </c>
      <c r="E390" s="45" t="s">
        <v>903</v>
      </c>
      <c r="F390" s="133"/>
      <c r="G390" s="131"/>
    </row>
    <row r="391" spans="1:7" ht="15.75" customHeight="1">
      <c r="A391" s="42" t="s">
        <v>15</v>
      </c>
      <c r="B391" s="121" t="s">
        <v>909</v>
      </c>
      <c r="C391" s="43">
        <v>2427745</v>
      </c>
      <c r="D391" s="1" t="s">
        <v>101</v>
      </c>
      <c r="E391" s="49" t="s">
        <v>917</v>
      </c>
      <c r="F391" s="133"/>
      <c r="G391" s="131"/>
    </row>
    <row r="392" spans="1:7" ht="15.75" customHeight="1">
      <c r="A392" s="42" t="s">
        <v>15</v>
      </c>
      <c r="B392" s="121" t="s">
        <v>909</v>
      </c>
      <c r="C392" s="43">
        <v>2824437</v>
      </c>
      <c r="D392" s="1" t="s">
        <v>80</v>
      </c>
      <c r="E392" s="45" t="s">
        <v>701</v>
      </c>
      <c r="F392" s="130"/>
      <c r="G392" s="59"/>
    </row>
    <row r="393" spans="1:7" ht="15.75" customHeight="1">
      <c r="A393" s="42" t="s">
        <v>15</v>
      </c>
      <c r="B393" s="121" t="s">
        <v>909</v>
      </c>
      <c r="C393" s="43">
        <v>5020684</v>
      </c>
      <c r="D393" s="1" t="s">
        <v>83</v>
      </c>
      <c r="E393" s="45" t="s">
        <v>702</v>
      </c>
      <c r="F393" s="130"/>
      <c r="G393" s="59"/>
    </row>
    <row r="394" spans="1:7" ht="15.75" customHeight="1">
      <c r="A394" s="42" t="s">
        <v>15</v>
      </c>
      <c r="B394" s="121" t="s">
        <v>909</v>
      </c>
      <c r="C394" s="43">
        <v>2825309</v>
      </c>
      <c r="D394" s="1" t="s">
        <v>71</v>
      </c>
      <c r="E394" s="45" t="s">
        <v>761</v>
      </c>
      <c r="F394" s="130"/>
      <c r="G394" s="59"/>
    </row>
    <row r="395" spans="1:7" ht="15.75" customHeight="1">
      <c r="A395" s="42" t="s">
        <v>15</v>
      </c>
      <c r="B395" s="121" t="s">
        <v>909</v>
      </c>
      <c r="C395" s="43">
        <v>773640</v>
      </c>
      <c r="D395" s="1" t="s">
        <v>83</v>
      </c>
      <c r="E395" s="45" t="s">
        <v>762</v>
      </c>
      <c r="F395" s="130"/>
      <c r="G395" s="59"/>
    </row>
    <row r="396" spans="1:7" ht="15.75" customHeight="1">
      <c r="A396" s="42" t="s">
        <v>15</v>
      </c>
      <c r="B396" s="121" t="s">
        <v>909</v>
      </c>
      <c r="C396" s="43">
        <v>5010370</v>
      </c>
      <c r="D396" s="1" t="s">
        <v>80</v>
      </c>
      <c r="E396" s="45" t="s">
        <v>765</v>
      </c>
      <c r="F396" s="130"/>
      <c r="G396" s="59"/>
    </row>
    <row r="397" spans="1:7" ht="15.75" customHeight="1">
      <c r="A397" s="42" t="s">
        <v>15</v>
      </c>
      <c r="B397" s="121" t="s">
        <v>909</v>
      </c>
      <c r="C397" s="43">
        <v>2813372</v>
      </c>
      <c r="D397" s="1" t="s">
        <v>71</v>
      </c>
      <c r="E397" s="45" t="s">
        <v>908</v>
      </c>
      <c r="F397" s="130"/>
      <c r="G397" s="59"/>
    </row>
    <row r="398" spans="1:7" ht="15.75" customHeight="1">
      <c r="A398" s="132" t="s">
        <v>16</v>
      </c>
      <c r="B398" s="121" t="s">
        <v>918</v>
      </c>
      <c r="C398" s="128" t="s">
        <v>68</v>
      </c>
      <c r="D398" s="128" t="s">
        <v>62</v>
      </c>
      <c r="E398" s="56" t="s">
        <v>69</v>
      </c>
      <c r="F398" s="130"/>
      <c r="G398" s="48" t="s">
        <v>70</v>
      </c>
    </row>
    <row r="399" spans="1:7" ht="15.75" customHeight="1">
      <c r="A399" s="132" t="s">
        <v>16</v>
      </c>
      <c r="B399" s="121" t="s">
        <v>918</v>
      </c>
      <c r="C399" s="43">
        <v>2822704</v>
      </c>
      <c r="D399" s="44" t="s">
        <v>83</v>
      </c>
      <c r="E399" s="45" t="s">
        <v>919</v>
      </c>
      <c r="F399" s="133"/>
      <c r="G399" s="48" t="s">
        <v>910</v>
      </c>
    </row>
    <row r="400" spans="1:7" ht="15.75" customHeight="1">
      <c r="A400" s="132" t="s">
        <v>16</v>
      </c>
      <c r="B400" s="121" t="s">
        <v>918</v>
      </c>
      <c r="C400" s="43">
        <v>2823609</v>
      </c>
      <c r="D400" s="44" t="s">
        <v>83</v>
      </c>
      <c r="E400" s="45" t="s">
        <v>920</v>
      </c>
      <c r="F400" s="133"/>
      <c r="G400" s="48" t="s">
        <v>921</v>
      </c>
    </row>
    <row r="401" spans="1:7" ht="15.75" customHeight="1">
      <c r="A401" s="132" t="s">
        <v>16</v>
      </c>
      <c r="B401" s="121" t="s">
        <v>918</v>
      </c>
      <c r="C401" s="43">
        <v>2824439</v>
      </c>
      <c r="D401" s="44" t="s">
        <v>71</v>
      </c>
      <c r="E401" s="49" t="s">
        <v>922</v>
      </c>
      <c r="F401" s="133"/>
      <c r="G401" s="131"/>
    </row>
    <row r="402" spans="1:7" ht="15.75" customHeight="1">
      <c r="A402" s="132" t="s">
        <v>16</v>
      </c>
      <c r="B402" s="121" t="s">
        <v>918</v>
      </c>
      <c r="C402" s="43">
        <v>2884012</v>
      </c>
      <c r="D402" s="1" t="s">
        <v>101</v>
      </c>
      <c r="E402" s="45" t="s">
        <v>738</v>
      </c>
      <c r="F402" s="133"/>
      <c r="G402" s="131"/>
    </row>
    <row r="403" spans="1:7" ht="15.75" customHeight="1">
      <c r="A403" s="132" t="s">
        <v>16</v>
      </c>
      <c r="B403" s="121" t="s">
        <v>918</v>
      </c>
      <c r="C403" s="43">
        <v>2357090</v>
      </c>
      <c r="D403" s="44" t="s">
        <v>80</v>
      </c>
      <c r="E403" s="49" t="s">
        <v>923</v>
      </c>
      <c r="F403" s="133"/>
      <c r="G403" s="131"/>
    </row>
    <row r="404" spans="1:7" ht="15.75" customHeight="1">
      <c r="A404" s="132" t="s">
        <v>16</v>
      </c>
      <c r="B404" s="121" t="s">
        <v>918</v>
      </c>
      <c r="C404" s="43">
        <v>2881005</v>
      </c>
      <c r="D404" s="44" t="s">
        <v>80</v>
      </c>
      <c r="E404" s="49" t="s">
        <v>911</v>
      </c>
      <c r="F404" s="133"/>
      <c r="G404" s="131"/>
    </row>
    <row r="405" spans="1:7" ht="15.75" customHeight="1">
      <c r="A405" s="132" t="s">
        <v>16</v>
      </c>
      <c r="B405" s="121" t="s">
        <v>918</v>
      </c>
      <c r="C405" s="43">
        <v>802145</v>
      </c>
      <c r="D405" s="44" t="s">
        <v>80</v>
      </c>
      <c r="E405" s="45" t="s">
        <v>924</v>
      </c>
      <c r="F405" s="133"/>
      <c r="G405" s="131"/>
    </row>
    <row r="406" spans="1:7" ht="15.75" customHeight="1">
      <c r="A406" s="132" t="s">
        <v>16</v>
      </c>
      <c r="B406" s="121" t="s">
        <v>918</v>
      </c>
      <c r="C406" s="43">
        <v>5002159</v>
      </c>
      <c r="D406" s="44" t="s">
        <v>71</v>
      </c>
      <c r="E406" s="45" t="s">
        <v>925</v>
      </c>
      <c r="F406" s="133"/>
      <c r="G406" s="131"/>
    </row>
    <row r="407" spans="1:7" ht="15.75" customHeight="1">
      <c r="A407" s="132" t="s">
        <v>16</v>
      </c>
      <c r="B407" s="121" t="s">
        <v>918</v>
      </c>
      <c r="C407" s="43">
        <v>2804433</v>
      </c>
      <c r="D407" s="44" t="s">
        <v>71</v>
      </c>
      <c r="E407" s="45" t="s">
        <v>926</v>
      </c>
      <c r="F407" s="133"/>
      <c r="G407" s="131"/>
    </row>
    <row r="408" spans="1:7" ht="15.75" customHeight="1">
      <c r="A408" s="132" t="s">
        <v>16</v>
      </c>
      <c r="B408" s="121" t="s">
        <v>918</v>
      </c>
      <c r="C408" s="43">
        <v>2255864</v>
      </c>
      <c r="D408" s="44" t="s">
        <v>71</v>
      </c>
      <c r="E408" s="45" t="s">
        <v>679</v>
      </c>
      <c r="F408" s="133"/>
      <c r="G408" s="131"/>
    </row>
    <row r="409" spans="1:7" ht="15.75" customHeight="1">
      <c r="A409" s="132" t="s">
        <v>16</v>
      </c>
      <c r="B409" s="121" t="s">
        <v>918</v>
      </c>
      <c r="C409" s="43">
        <v>3159051</v>
      </c>
      <c r="D409" s="44" t="s">
        <v>71</v>
      </c>
      <c r="E409" s="49" t="s">
        <v>927</v>
      </c>
      <c r="F409" s="133"/>
      <c r="G409" s="131"/>
    </row>
    <row r="410" spans="1:7" ht="16">
      <c r="A410" s="132" t="s">
        <v>16</v>
      </c>
      <c r="B410" s="121" t="s">
        <v>918</v>
      </c>
      <c r="C410" s="43">
        <v>2700354</v>
      </c>
      <c r="D410" s="44" t="s">
        <v>80</v>
      </c>
      <c r="E410" s="45" t="s">
        <v>928</v>
      </c>
      <c r="F410" s="133"/>
      <c r="G410" s="131"/>
    </row>
    <row r="411" spans="1:7" ht="16">
      <c r="A411" s="132" t="s">
        <v>16</v>
      </c>
      <c r="B411" s="121" t="s">
        <v>918</v>
      </c>
      <c r="C411" s="43">
        <v>2824040</v>
      </c>
      <c r="D411" s="1" t="s">
        <v>101</v>
      </c>
      <c r="E411" s="45" t="s">
        <v>750</v>
      </c>
      <c r="F411" s="133"/>
      <c r="G411" s="131"/>
    </row>
    <row r="412" spans="1:7" ht="16">
      <c r="A412" s="132" t="s">
        <v>16</v>
      </c>
      <c r="B412" s="121" t="s">
        <v>918</v>
      </c>
      <c r="C412" s="43">
        <v>2822687</v>
      </c>
      <c r="D412" s="44" t="s">
        <v>83</v>
      </c>
      <c r="E412" s="45" t="s">
        <v>929</v>
      </c>
      <c r="F412" s="133"/>
      <c r="G412" s="131"/>
    </row>
    <row r="413" spans="1:7" ht="16">
      <c r="A413" s="132" t="s">
        <v>16</v>
      </c>
      <c r="B413" s="121" t="s">
        <v>918</v>
      </c>
      <c r="C413" s="43">
        <v>2825754</v>
      </c>
      <c r="D413" s="44" t="s">
        <v>83</v>
      </c>
      <c r="E413" s="45" t="s">
        <v>751</v>
      </c>
      <c r="F413" s="133"/>
      <c r="G413" s="131"/>
    </row>
    <row r="414" spans="1:7" ht="16">
      <c r="A414" s="132" t="s">
        <v>16</v>
      </c>
      <c r="B414" s="121" t="s">
        <v>918</v>
      </c>
      <c r="C414" s="43">
        <v>2825753</v>
      </c>
      <c r="D414" s="44" t="s">
        <v>71</v>
      </c>
      <c r="E414" s="45" t="s">
        <v>912</v>
      </c>
      <c r="F414" s="133"/>
      <c r="G414" s="131"/>
    </row>
    <row r="415" spans="1:7" ht="16">
      <c r="A415" s="132" t="s">
        <v>16</v>
      </c>
      <c r="B415" s="121" t="s">
        <v>918</v>
      </c>
      <c r="C415" s="43">
        <v>2824160</v>
      </c>
      <c r="D415" s="44" t="s">
        <v>71</v>
      </c>
      <c r="E415" s="45" t="s">
        <v>727</v>
      </c>
      <c r="F415" s="133"/>
      <c r="G415" s="131"/>
    </row>
    <row r="416" spans="1:7" ht="15.75" customHeight="1">
      <c r="A416" s="132" t="s">
        <v>16</v>
      </c>
      <c r="B416" s="121" t="s">
        <v>918</v>
      </c>
      <c r="C416" s="43">
        <v>2824434</v>
      </c>
      <c r="D416" s="44" t="s">
        <v>71</v>
      </c>
      <c r="E416" s="45" t="s">
        <v>930</v>
      </c>
      <c r="F416" s="130"/>
      <c r="G416" s="59"/>
    </row>
    <row r="417" spans="1:7" ht="15.75" customHeight="1">
      <c r="A417" s="132" t="s">
        <v>16</v>
      </c>
      <c r="B417" s="121" t="s">
        <v>918</v>
      </c>
      <c r="C417" s="43">
        <v>773687</v>
      </c>
      <c r="D417" s="44" t="s">
        <v>83</v>
      </c>
      <c r="E417" s="45" t="s">
        <v>832</v>
      </c>
      <c r="F417" s="130"/>
      <c r="G417" s="59"/>
    </row>
    <row r="418" spans="1:7" ht="15.75" customHeight="1">
      <c r="A418" s="132" t="s">
        <v>16</v>
      </c>
      <c r="B418" s="121" t="s">
        <v>918</v>
      </c>
      <c r="C418" s="43">
        <v>2880004</v>
      </c>
      <c r="D418" s="44" t="s">
        <v>83</v>
      </c>
      <c r="E418" s="49" t="s">
        <v>931</v>
      </c>
      <c r="F418" s="130"/>
      <c r="G418" s="59"/>
    </row>
    <row r="419" spans="1:7" ht="15.75" customHeight="1">
      <c r="A419" s="132" t="s">
        <v>16</v>
      </c>
      <c r="B419" s="121" t="s">
        <v>918</v>
      </c>
      <c r="C419" s="43">
        <v>2822420</v>
      </c>
      <c r="D419" s="44" t="s">
        <v>71</v>
      </c>
      <c r="E419" s="45" t="s">
        <v>932</v>
      </c>
      <c r="F419" s="130"/>
      <c r="G419" s="59"/>
    </row>
    <row r="420" spans="1:7" ht="15.75" customHeight="1">
      <c r="A420" s="132" t="s">
        <v>16</v>
      </c>
      <c r="B420" s="121" t="s">
        <v>918</v>
      </c>
      <c r="C420" s="43">
        <v>5030785</v>
      </c>
      <c r="D420" s="44" t="s">
        <v>83</v>
      </c>
      <c r="E420" s="45" t="s">
        <v>933</v>
      </c>
      <c r="F420" s="130"/>
      <c r="G420" s="59"/>
    </row>
    <row r="421" spans="1:7" ht="15.75" customHeight="1">
      <c r="A421" s="132" t="s">
        <v>16</v>
      </c>
      <c r="B421" s="121" t="s">
        <v>918</v>
      </c>
      <c r="C421" s="43">
        <v>2822700</v>
      </c>
      <c r="D421" s="1" t="s">
        <v>101</v>
      </c>
      <c r="E421" s="45" t="s">
        <v>903</v>
      </c>
      <c r="F421" s="130"/>
      <c r="G421" s="59"/>
    </row>
    <row r="422" spans="1:7" ht="15.75" customHeight="1">
      <c r="A422" s="132" t="s">
        <v>16</v>
      </c>
      <c r="B422" s="121" t="s">
        <v>918</v>
      </c>
      <c r="C422" s="43">
        <v>2884009</v>
      </c>
      <c r="D422" s="44" t="s">
        <v>83</v>
      </c>
      <c r="E422" s="45" t="s">
        <v>934</v>
      </c>
      <c r="F422" s="130"/>
      <c r="G422" s="59"/>
    </row>
    <row r="423" spans="1:7" ht="15.75" customHeight="1">
      <c r="A423" s="132" t="s">
        <v>16</v>
      </c>
      <c r="B423" s="121" t="s">
        <v>918</v>
      </c>
      <c r="C423" s="43">
        <v>2700211</v>
      </c>
      <c r="D423" s="44" t="s">
        <v>90</v>
      </c>
      <c r="E423" s="45" t="s">
        <v>703</v>
      </c>
      <c r="F423" s="130"/>
      <c r="G423" s="59"/>
    </row>
    <row r="424" spans="1:7" ht="15.75" customHeight="1">
      <c r="A424" s="132" t="s">
        <v>16</v>
      </c>
      <c r="B424" s="121" t="s">
        <v>918</v>
      </c>
      <c r="C424" s="43">
        <v>2825309</v>
      </c>
      <c r="D424" s="44" t="s">
        <v>71</v>
      </c>
      <c r="E424" s="45" t="s">
        <v>761</v>
      </c>
      <c r="F424" s="130"/>
      <c r="G424" s="59"/>
    </row>
    <row r="425" spans="1:7" ht="15.75" customHeight="1">
      <c r="A425" s="132" t="s">
        <v>16</v>
      </c>
      <c r="B425" s="121" t="s">
        <v>918</v>
      </c>
      <c r="C425" s="43">
        <v>2824433</v>
      </c>
      <c r="D425" s="44" t="s">
        <v>83</v>
      </c>
      <c r="E425" s="45" t="s">
        <v>935</v>
      </c>
      <c r="F425" s="130"/>
      <c r="G425" s="59"/>
    </row>
    <row r="426" spans="1:7" ht="15.75" customHeight="1">
      <c r="A426" s="1" t="s">
        <v>17</v>
      </c>
      <c r="B426" s="136" t="s">
        <v>936</v>
      </c>
      <c r="C426" s="128" t="s">
        <v>68</v>
      </c>
      <c r="D426" s="128" t="s">
        <v>62</v>
      </c>
      <c r="E426" s="56" t="s">
        <v>69</v>
      </c>
      <c r="F426" s="130"/>
      <c r="G426" s="48" t="s">
        <v>70</v>
      </c>
    </row>
    <row r="427" spans="1:7" ht="15.75" customHeight="1">
      <c r="A427" s="1" t="s">
        <v>17</v>
      </c>
      <c r="B427" s="136" t="s">
        <v>936</v>
      </c>
      <c r="C427" s="43">
        <v>802289</v>
      </c>
      <c r="D427" s="1" t="s">
        <v>101</v>
      </c>
      <c r="E427" s="45" t="s">
        <v>937</v>
      </c>
      <c r="F427" s="133"/>
      <c r="G427" s="48" t="s">
        <v>528</v>
      </c>
    </row>
    <row r="428" spans="1:7" ht="15.75" customHeight="1">
      <c r="A428" s="1" t="s">
        <v>17</v>
      </c>
      <c r="B428" s="136" t="s">
        <v>936</v>
      </c>
      <c r="C428" s="43">
        <v>780940</v>
      </c>
      <c r="D428" s="44" t="s">
        <v>71</v>
      </c>
      <c r="E428" s="45" t="s">
        <v>938</v>
      </c>
      <c r="F428" s="133"/>
      <c r="G428" s="131"/>
    </row>
    <row r="429" spans="1:7" ht="15.75" customHeight="1">
      <c r="A429" s="1" t="s">
        <v>17</v>
      </c>
      <c r="B429" s="136" t="s">
        <v>936</v>
      </c>
      <c r="C429" s="43">
        <v>780939</v>
      </c>
      <c r="D429" s="1" t="s">
        <v>101</v>
      </c>
      <c r="E429" s="45" t="s">
        <v>939</v>
      </c>
      <c r="F429" s="133"/>
      <c r="G429" s="131"/>
    </row>
    <row r="430" spans="1:7" ht="15.75" customHeight="1">
      <c r="A430" s="1" t="s">
        <v>17</v>
      </c>
      <c r="B430" s="136" t="s">
        <v>936</v>
      </c>
      <c r="C430" s="43">
        <v>780988</v>
      </c>
      <c r="D430" s="44" t="s">
        <v>90</v>
      </c>
      <c r="E430" s="45" t="s">
        <v>940</v>
      </c>
      <c r="F430" s="133"/>
      <c r="G430" s="131"/>
    </row>
    <row r="431" spans="1:7" ht="15.75" customHeight="1">
      <c r="A431" s="1" t="s">
        <v>17</v>
      </c>
      <c r="B431" s="136" t="s">
        <v>936</v>
      </c>
      <c r="C431" s="43">
        <v>2811358</v>
      </c>
      <c r="D431" s="1" t="s">
        <v>101</v>
      </c>
      <c r="E431" s="45" t="s">
        <v>941</v>
      </c>
      <c r="F431" s="133"/>
      <c r="G431" s="131"/>
    </row>
    <row r="432" spans="1:7" ht="15.75" customHeight="1">
      <c r="A432" s="1" t="s">
        <v>17</v>
      </c>
      <c r="B432" s="136" t="s">
        <v>936</v>
      </c>
      <c r="C432" s="43">
        <v>2811359</v>
      </c>
      <c r="D432" s="1" t="s">
        <v>101</v>
      </c>
      <c r="E432" s="49" t="s">
        <v>942</v>
      </c>
      <c r="F432" s="133"/>
      <c r="G432" s="131"/>
    </row>
    <row r="433" spans="1:7" ht="15.75" customHeight="1">
      <c r="A433" s="1" t="s">
        <v>17</v>
      </c>
      <c r="B433" s="136" t="s">
        <v>936</v>
      </c>
      <c r="C433" s="43">
        <v>5002235</v>
      </c>
      <c r="D433" s="44" t="s">
        <v>80</v>
      </c>
      <c r="E433" s="45" t="s">
        <v>943</v>
      </c>
      <c r="F433" s="133"/>
      <c r="G433" s="131"/>
    </row>
    <row r="434" spans="1:7" ht="15.75" customHeight="1">
      <c r="A434" s="1" t="s">
        <v>17</v>
      </c>
      <c r="B434" s="136" t="s">
        <v>936</v>
      </c>
      <c r="C434" s="43">
        <v>3050268</v>
      </c>
      <c r="D434" s="44" t="s">
        <v>71</v>
      </c>
      <c r="E434" s="49" t="s">
        <v>944</v>
      </c>
      <c r="F434" s="133"/>
      <c r="G434" s="131"/>
    </row>
    <row r="435" spans="1:7" ht="15.75" customHeight="1">
      <c r="A435" s="1" t="s">
        <v>17</v>
      </c>
      <c r="B435" s="136" t="s">
        <v>936</v>
      </c>
      <c r="C435" s="43">
        <v>730550</v>
      </c>
      <c r="D435" s="44" t="s">
        <v>80</v>
      </c>
      <c r="E435" s="45" t="s">
        <v>945</v>
      </c>
      <c r="F435" s="133"/>
      <c r="G435" s="131"/>
    </row>
    <row r="436" spans="1:7" ht="15.75" customHeight="1">
      <c r="A436" s="1" t="s">
        <v>17</v>
      </c>
      <c r="B436" s="136" t="s">
        <v>936</v>
      </c>
      <c r="C436" s="43">
        <v>793986</v>
      </c>
      <c r="D436" s="44" t="s">
        <v>80</v>
      </c>
      <c r="E436" s="45" t="s">
        <v>779</v>
      </c>
      <c r="F436" s="133"/>
      <c r="G436" s="131"/>
    </row>
    <row r="437" spans="1:7" ht="15.75" customHeight="1">
      <c r="A437" s="1" t="s">
        <v>17</v>
      </c>
      <c r="B437" s="136" t="s">
        <v>936</v>
      </c>
      <c r="C437" s="43">
        <v>2825754</v>
      </c>
      <c r="D437" s="44" t="s">
        <v>83</v>
      </c>
      <c r="E437" s="45" t="s">
        <v>751</v>
      </c>
      <c r="F437" s="133"/>
      <c r="G437" s="131"/>
    </row>
    <row r="438" spans="1:7" ht="15.75" customHeight="1">
      <c r="A438" s="1" t="s">
        <v>17</v>
      </c>
      <c r="B438" s="136" t="s">
        <v>936</v>
      </c>
      <c r="C438" s="43">
        <v>2428727</v>
      </c>
      <c r="D438" s="44" t="s">
        <v>80</v>
      </c>
      <c r="E438" s="49" t="s">
        <v>803</v>
      </c>
      <c r="F438" s="133"/>
      <c r="G438" s="131"/>
    </row>
    <row r="439" spans="1:7" ht="15.75" customHeight="1">
      <c r="A439" s="1" t="s">
        <v>17</v>
      </c>
      <c r="B439" s="136" t="s">
        <v>936</v>
      </c>
      <c r="C439" s="43">
        <v>2825760</v>
      </c>
      <c r="D439" s="44" t="s">
        <v>71</v>
      </c>
      <c r="E439" s="45" t="s">
        <v>864</v>
      </c>
      <c r="F439" s="130"/>
      <c r="G439" s="59"/>
    </row>
    <row r="440" spans="1:7" ht="15.75" customHeight="1">
      <c r="A440" s="1" t="s">
        <v>17</v>
      </c>
      <c r="B440" s="136" t="s">
        <v>936</v>
      </c>
      <c r="C440" s="43">
        <v>3032392</v>
      </c>
      <c r="D440" s="44" t="s">
        <v>80</v>
      </c>
      <c r="E440" s="49" t="s">
        <v>805</v>
      </c>
      <c r="F440" s="130"/>
      <c r="G440" s="59"/>
    </row>
    <row r="441" spans="1:7" ht="15.75" customHeight="1">
      <c r="A441" s="1" t="s">
        <v>17</v>
      </c>
      <c r="B441" s="136" t="s">
        <v>936</v>
      </c>
      <c r="C441" s="43">
        <v>762259</v>
      </c>
      <c r="D441" s="44" t="s">
        <v>80</v>
      </c>
      <c r="E441" s="45" t="s">
        <v>946</v>
      </c>
      <c r="F441" s="130"/>
      <c r="G441" s="59"/>
    </row>
    <row r="442" spans="1:7" ht="15.75" customHeight="1">
      <c r="A442" s="1" t="s">
        <v>17</v>
      </c>
      <c r="B442" s="136" t="s">
        <v>936</v>
      </c>
      <c r="C442" s="43">
        <v>767866</v>
      </c>
      <c r="D442" s="44" t="s">
        <v>83</v>
      </c>
      <c r="E442" s="45" t="s">
        <v>753</v>
      </c>
      <c r="F442" s="130"/>
      <c r="G442" s="59"/>
    </row>
    <row r="443" spans="1:7" ht="15.75" customHeight="1">
      <c r="A443" s="1" t="s">
        <v>17</v>
      </c>
      <c r="B443" s="136" t="s">
        <v>936</v>
      </c>
      <c r="C443" s="43">
        <v>3154980</v>
      </c>
      <c r="D443" s="44" t="s">
        <v>71</v>
      </c>
      <c r="E443" s="49" t="s">
        <v>904</v>
      </c>
      <c r="F443" s="130"/>
      <c r="G443" s="59"/>
    </row>
    <row r="444" spans="1:7" ht="15.75" customHeight="1">
      <c r="A444" s="1" t="s">
        <v>17</v>
      </c>
      <c r="B444" s="136" t="s">
        <v>936</v>
      </c>
      <c r="C444" s="43">
        <v>2822708</v>
      </c>
      <c r="D444" s="44" t="s">
        <v>83</v>
      </c>
      <c r="E444" s="45" t="s">
        <v>884</v>
      </c>
      <c r="F444" s="130"/>
      <c r="G444" s="59"/>
    </row>
    <row r="445" spans="1:7" ht="15.75" customHeight="1">
      <c r="A445" s="1" t="s">
        <v>17</v>
      </c>
      <c r="B445" s="136" t="s">
        <v>936</v>
      </c>
      <c r="C445" s="43">
        <v>2819189</v>
      </c>
      <c r="D445" s="1" t="s">
        <v>101</v>
      </c>
      <c r="E445" s="45" t="s">
        <v>707</v>
      </c>
      <c r="F445" s="130"/>
      <c r="G445" s="59"/>
    </row>
    <row r="446" spans="1:7" ht="15.75" customHeight="1">
      <c r="A446" s="42" t="s">
        <v>18</v>
      </c>
      <c r="B446" s="136" t="s">
        <v>947</v>
      </c>
      <c r="C446" s="128" t="s">
        <v>68</v>
      </c>
      <c r="D446" s="128" t="s">
        <v>62</v>
      </c>
      <c r="E446" s="56" t="s">
        <v>69</v>
      </c>
      <c r="F446" s="130"/>
      <c r="G446" s="48" t="s">
        <v>70</v>
      </c>
    </row>
    <row r="447" spans="1:7" ht="15.75" customHeight="1">
      <c r="A447" s="42" t="s">
        <v>18</v>
      </c>
      <c r="B447" s="136" t="s">
        <v>947</v>
      </c>
      <c r="C447" s="43">
        <v>5030786</v>
      </c>
      <c r="D447" s="1" t="s">
        <v>101</v>
      </c>
      <c r="E447" s="45" t="s">
        <v>948</v>
      </c>
      <c r="F447" s="133"/>
      <c r="G447" s="48" t="s">
        <v>910</v>
      </c>
    </row>
    <row r="448" spans="1:7" ht="15.75" customHeight="1">
      <c r="A448" s="42" t="s">
        <v>18</v>
      </c>
      <c r="B448" s="136" t="s">
        <v>947</v>
      </c>
      <c r="C448" s="43">
        <v>5031247</v>
      </c>
      <c r="D448" s="44" t="s">
        <v>90</v>
      </c>
      <c r="E448" s="45" t="s">
        <v>949</v>
      </c>
      <c r="F448" s="133"/>
      <c r="G448" s="131"/>
    </row>
    <row r="449" spans="1:7" ht="15.75" customHeight="1">
      <c r="A449" s="42" t="s">
        <v>18</v>
      </c>
      <c r="B449" s="136" t="s">
        <v>947</v>
      </c>
      <c r="C449" s="43">
        <v>2812514</v>
      </c>
      <c r="D449" s="44" t="s">
        <v>71</v>
      </c>
      <c r="E449" s="45" t="s">
        <v>950</v>
      </c>
      <c r="F449" s="133"/>
      <c r="G449" s="131"/>
    </row>
    <row r="450" spans="1:7" ht="15.75" customHeight="1">
      <c r="A450" s="42" t="s">
        <v>18</v>
      </c>
      <c r="B450" s="136" t="s">
        <v>947</v>
      </c>
      <c r="C450" s="43">
        <v>2823606</v>
      </c>
      <c r="D450" s="44" t="s">
        <v>71</v>
      </c>
      <c r="E450" s="45" t="s">
        <v>793</v>
      </c>
      <c r="F450" s="133"/>
      <c r="G450" s="131"/>
    </row>
    <row r="451" spans="1:7" ht="15.75" customHeight="1">
      <c r="A451" s="42" t="s">
        <v>18</v>
      </c>
      <c r="B451" s="136" t="s">
        <v>947</v>
      </c>
      <c r="C451" s="43">
        <v>2700354</v>
      </c>
      <c r="D451" s="44" t="s">
        <v>80</v>
      </c>
      <c r="E451" s="45" t="s">
        <v>928</v>
      </c>
      <c r="F451" s="133"/>
      <c r="G451" s="131"/>
    </row>
    <row r="452" spans="1:7" ht="15.75" customHeight="1">
      <c r="A452" s="42" t="s">
        <v>18</v>
      </c>
      <c r="B452" s="136" t="s">
        <v>947</v>
      </c>
      <c r="C452" s="43">
        <v>2424876</v>
      </c>
      <c r="D452" s="44" t="s">
        <v>83</v>
      </c>
      <c r="E452" s="49" t="s">
        <v>886</v>
      </c>
      <c r="F452" s="133"/>
      <c r="G452" s="131"/>
    </row>
    <row r="453" spans="1:7" ht="15.75" customHeight="1">
      <c r="A453" s="42" t="s">
        <v>18</v>
      </c>
      <c r="B453" s="136" t="s">
        <v>947</v>
      </c>
      <c r="C453" s="43">
        <v>2822707</v>
      </c>
      <c r="D453" s="44" t="s">
        <v>80</v>
      </c>
      <c r="E453" s="45" t="s">
        <v>874</v>
      </c>
      <c r="F453" s="133"/>
      <c r="G453" s="131"/>
    </row>
    <row r="454" spans="1:7" ht="15.75" customHeight="1">
      <c r="A454" s="42" t="s">
        <v>18</v>
      </c>
      <c r="B454" s="136" t="s">
        <v>947</v>
      </c>
      <c r="C454" s="43">
        <v>762262</v>
      </c>
      <c r="D454" s="44" t="s">
        <v>83</v>
      </c>
      <c r="E454" s="45" t="s">
        <v>951</v>
      </c>
      <c r="F454" s="133"/>
      <c r="G454" s="131"/>
    </row>
    <row r="455" spans="1:7" ht="15.75" customHeight="1">
      <c r="A455" s="42" t="s">
        <v>18</v>
      </c>
      <c r="B455" s="136" t="s">
        <v>947</v>
      </c>
      <c r="C455" s="43">
        <v>2884179</v>
      </c>
      <c r="D455" s="44" t="s">
        <v>80</v>
      </c>
      <c r="E455" s="49" t="s">
        <v>882</v>
      </c>
      <c r="F455" s="133"/>
      <c r="G455" s="131"/>
    </row>
    <row r="456" spans="1:7" ht="15.75" customHeight="1">
      <c r="A456" s="42" t="s">
        <v>18</v>
      </c>
      <c r="B456" s="136" t="s">
        <v>947</v>
      </c>
      <c r="C456" s="43">
        <v>3131244</v>
      </c>
      <c r="D456" s="44" t="s">
        <v>83</v>
      </c>
      <c r="E456" s="49" t="s">
        <v>914</v>
      </c>
      <c r="F456" s="133"/>
      <c r="G456" s="131"/>
    </row>
    <row r="457" spans="1:7" ht="15.75" customHeight="1">
      <c r="A457" s="42" t="s">
        <v>18</v>
      </c>
      <c r="B457" s="136" t="s">
        <v>947</v>
      </c>
      <c r="C457" s="43">
        <v>2824443</v>
      </c>
      <c r="D457" s="44" t="s">
        <v>80</v>
      </c>
      <c r="E457" s="45" t="s">
        <v>952</v>
      </c>
      <c r="F457" s="133"/>
      <c r="G457" s="131"/>
    </row>
    <row r="458" spans="1:7" ht="15.75" customHeight="1">
      <c r="A458" s="42" t="s">
        <v>18</v>
      </c>
      <c r="B458" s="136" t="s">
        <v>947</v>
      </c>
      <c r="C458" s="43">
        <v>2810411</v>
      </c>
      <c r="D458" s="1" t="s">
        <v>101</v>
      </c>
      <c r="E458" s="45" t="s">
        <v>705</v>
      </c>
      <c r="F458" s="133"/>
      <c r="G458" s="131"/>
    </row>
    <row r="459" spans="1:7" ht="15.75" customHeight="1">
      <c r="A459" s="42" t="s">
        <v>18</v>
      </c>
      <c r="B459" s="136" t="s">
        <v>947</v>
      </c>
      <c r="C459" s="43">
        <v>730577</v>
      </c>
      <c r="D459" s="44" t="s">
        <v>83</v>
      </c>
      <c r="E459" s="45" t="s">
        <v>953</v>
      </c>
      <c r="F459" s="133"/>
      <c r="G459" s="131"/>
    </row>
    <row r="460" spans="1:7" ht="15.75" customHeight="1">
      <c r="A460" s="42" t="s">
        <v>18</v>
      </c>
      <c r="B460" s="136" t="s">
        <v>947</v>
      </c>
      <c r="C460" s="43">
        <v>5010383</v>
      </c>
      <c r="D460" s="44" t="s">
        <v>83</v>
      </c>
      <c r="E460" s="45" t="s">
        <v>954</v>
      </c>
      <c r="F460" s="133"/>
      <c r="G460" s="131"/>
    </row>
    <row r="461" spans="1:7" ht="15.75" customHeight="1">
      <c r="A461" s="42" t="s">
        <v>18</v>
      </c>
      <c r="B461" s="136" t="s">
        <v>947</v>
      </c>
      <c r="C461" s="43">
        <v>2824241</v>
      </c>
      <c r="D461" s="44" t="s">
        <v>83</v>
      </c>
      <c r="E461" s="45" t="s">
        <v>889</v>
      </c>
      <c r="F461" s="133"/>
      <c r="G461" s="131"/>
    </row>
    <row r="462" spans="1:7" ht="15.75" customHeight="1">
      <c r="A462" s="42" t="s">
        <v>18</v>
      </c>
      <c r="B462" s="136" t="s">
        <v>947</v>
      </c>
      <c r="C462" s="43">
        <v>762258</v>
      </c>
      <c r="D462" s="44" t="s">
        <v>83</v>
      </c>
      <c r="E462" s="45" t="s">
        <v>764</v>
      </c>
      <c r="F462" s="133"/>
      <c r="G462" s="131"/>
    </row>
    <row r="463" spans="1:7" ht="15.75" customHeight="1">
      <c r="A463" s="42" t="s">
        <v>18</v>
      </c>
      <c r="B463" s="136" t="s">
        <v>947</v>
      </c>
      <c r="C463" s="43">
        <v>762222</v>
      </c>
      <c r="D463" s="44" t="s">
        <v>83</v>
      </c>
      <c r="E463" s="45" t="s">
        <v>955</v>
      </c>
      <c r="F463" s="133"/>
      <c r="G463" s="131"/>
    </row>
    <row r="464" spans="1:7" ht="15.75" customHeight="1">
      <c r="A464" s="42" t="s">
        <v>18</v>
      </c>
      <c r="B464" s="136" t="s">
        <v>947</v>
      </c>
      <c r="C464" s="43">
        <v>2822440</v>
      </c>
      <c r="D464" s="44" t="s">
        <v>71</v>
      </c>
      <c r="E464" s="45" t="s">
        <v>956</v>
      </c>
      <c r="F464" s="130"/>
      <c r="G464" s="59"/>
    </row>
    <row r="465" spans="1:7" ht="15.75" customHeight="1">
      <c r="A465" s="42" t="s">
        <v>18</v>
      </c>
      <c r="B465" s="136" t="s">
        <v>947</v>
      </c>
      <c r="C465" s="43">
        <v>767949</v>
      </c>
      <c r="D465" s="44" t="s">
        <v>83</v>
      </c>
      <c r="E465" s="45" t="s">
        <v>957</v>
      </c>
      <c r="F465" s="130"/>
      <c r="G465" s="59"/>
    </row>
    <row r="466" spans="1:7" ht="15.75" customHeight="1">
      <c r="A466" s="42" t="s">
        <v>18</v>
      </c>
      <c r="B466" s="136" t="s">
        <v>947</v>
      </c>
      <c r="C466" s="43">
        <v>773660</v>
      </c>
      <c r="D466" s="44" t="s">
        <v>83</v>
      </c>
      <c r="E466" s="45" t="s">
        <v>786</v>
      </c>
      <c r="F466" s="130"/>
      <c r="G466" s="59"/>
    </row>
    <row r="467" spans="1:7" ht="15.75" customHeight="1">
      <c r="A467" s="42" t="s">
        <v>18</v>
      </c>
      <c r="B467" s="136" t="s">
        <v>947</v>
      </c>
      <c r="C467" s="43">
        <v>2822701</v>
      </c>
      <c r="D467" s="44" t="s">
        <v>83</v>
      </c>
      <c r="E467" s="45" t="s">
        <v>958</v>
      </c>
      <c r="F467" s="130"/>
      <c r="G467" s="59"/>
    </row>
    <row r="468" spans="1:7" ht="15.75" customHeight="1">
      <c r="A468" s="42" t="s">
        <v>18</v>
      </c>
      <c r="B468" s="136" t="s">
        <v>947</v>
      </c>
      <c r="C468" s="43">
        <v>2823601</v>
      </c>
      <c r="D468" s="44" t="s">
        <v>83</v>
      </c>
      <c r="E468" s="45" t="s">
        <v>959</v>
      </c>
      <c r="F468" s="130"/>
      <c r="G468" s="59"/>
    </row>
    <row r="469" spans="1:7" ht="15.75" customHeight="1">
      <c r="A469" s="42" t="s">
        <v>18</v>
      </c>
      <c r="B469" s="136" t="s">
        <v>947</v>
      </c>
      <c r="C469" s="43">
        <v>2261445</v>
      </c>
      <c r="D469" s="44" t="s">
        <v>71</v>
      </c>
      <c r="E469" s="45" t="s">
        <v>960</v>
      </c>
      <c r="F469" s="130"/>
      <c r="G469" s="59"/>
    </row>
    <row r="470" spans="1:7" ht="15.75" customHeight="1">
      <c r="A470" s="42" t="s">
        <v>18</v>
      </c>
      <c r="B470" s="136" t="s">
        <v>947</v>
      </c>
      <c r="C470" s="43">
        <v>766748</v>
      </c>
      <c r="D470" s="44" t="s">
        <v>83</v>
      </c>
      <c r="E470" s="45" t="s">
        <v>961</v>
      </c>
      <c r="F470" s="130"/>
      <c r="G470" s="59"/>
    </row>
    <row r="471" spans="1:7" ht="15.75" customHeight="1">
      <c r="A471" s="42" t="s">
        <v>18</v>
      </c>
      <c r="B471" s="136" t="s">
        <v>947</v>
      </c>
      <c r="C471" s="43">
        <v>5010314</v>
      </c>
      <c r="D471" s="44" t="s">
        <v>83</v>
      </c>
      <c r="E471" s="45" t="s">
        <v>905</v>
      </c>
      <c r="F471" s="130"/>
      <c r="G471" s="59"/>
    </row>
    <row r="472" spans="1:7" ht="15.75" customHeight="1">
      <c r="A472" s="42" t="s">
        <v>18</v>
      </c>
      <c r="B472" s="136" t="s">
        <v>947</v>
      </c>
      <c r="C472" s="43">
        <v>766773</v>
      </c>
      <c r="D472" s="44" t="s">
        <v>83</v>
      </c>
      <c r="E472" s="45" t="s">
        <v>962</v>
      </c>
      <c r="F472" s="130"/>
      <c r="G472" s="59"/>
    </row>
    <row r="473" spans="1:7" ht="15.75" customHeight="1">
      <c r="A473" s="42" t="s">
        <v>19</v>
      </c>
      <c r="B473" s="1" t="s">
        <v>963</v>
      </c>
      <c r="C473" s="128" t="s">
        <v>68</v>
      </c>
      <c r="D473" s="128" t="s">
        <v>62</v>
      </c>
      <c r="E473" s="56" t="s">
        <v>69</v>
      </c>
      <c r="F473" s="130"/>
      <c r="G473" s="48" t="s">
        <v>70</v>
      </c>
    </row>
    <row r="474" spans="1:7" ht="15.75" customHeight="1">
      <c r="A474" s="42" t="s">
        <v>19</v>
      </c>
      <c r="B474" s="1" t="s">
        <v>963</v>
      </c>
      <c r="C474" s="43">
        <v>2825352</v>
      </c>
      <c r="D474" s="1" t="s">
        <v>71</v>
      </c>
      <c r="E474" s="45" t="s">
        <v>964</v>
      </c>
      <c r="F474" s="133"/>
      <c r="G474" s="48" t="s">
        <v>965</v>
      </c>
    </row>
    <row r="475" spans="1:7" ht="15.75" customHeight="1">
      <c r="A475" s="42" t="s">
        <v>19</v>
      </c>
      <c r="B475" s="1" t="s">
        <v>963</v>
      </c>
      <c r="C475" s="43">
        <v>730570</v>
      </c>
      <c r="D475" s="1" t="s">
        <v>80</v>
      </c>
      <c r="E475" s="45" t="s">
        <v>800</v>
      </c>
      <c r="F475" s="133"/>
      <c r="G475" s="131"/>
    </row>
    <row r="476" spans="1:7" ht="15.75" customHeight="1">
      <c r="A476" s="42" t="s">
        <v>19</v>
      </c>
      <c r="B476" s="1" t="s">
        <v>963</v>
      </c>
      <c r="C476" s="43">
        <v>5042385</v>
      </c>
      <c r="D476" s="1" t="s">
        <v>71</v>
      </c>
      <c r="E476" s="45" t="s">
        <v>801</v>
      </c>
      <c r="F476" s="133"/>
      <c r="G476" s="131"/>
    </row>
    <row r="477" spans="1:7" ht="15.75" customHeight="1">
      <c r="A477" s="42" t="s">
        <v>19</v>
      </c>
      <c r="B477" s="1" t="s">
        <v>963</v>
      </c>
      <c r="C477" s="43">
        <v>2821000</v>
      </c>
      <c r="D477" s="1" t="s">
        <v>101</v>
      </c>
      <c r="E477" s="45" t="s">
        <v>966</v>
      </c>
      <c r="F477" s="133"/>
      <c r="G477" s="131"/>
    </row>
    <row r="478" spans="1:7" ht="15.75" customHeight="1">
      <c r="A478" s="42" t="s">
        <v>19</v>
      </c>
      <c r="B478" s="1" t="s">
        <v>963</v>
      </c>
      <c r="C478" s="43">
        <v>2824425</v>
      </c>
      <c r="D478" s="1" t="s">
        <v>71</v>
      </c>
      <c r="E478" s="45" t="s">
        <v>807</v>
      </c>
      <c r="F478" s="133"/>
      <c r="G478" s="50"/>
    </row>
    <row r="479" spans="1:7" ht="15.75" customHeight="1">
      <c r="A479" s="42" t="s">
        <v>19</v>
      </c>
      <c r="B479" s="1" t="s">
        <v>963</v>
      </c>
      <c r="C479" s="43">
        <v>2802203</v>
      </c>
      <c r="D479" s="1" t="s">
        <v>71</v>
      </c>
      <c r="E479" s="45" t="s">
        <v>844</v>
      </c>
      <c r="F479" s="133"/>
      <c r="G479" s="50"/>
    </row>
    <row r="480" spans="1:7" ht="15.75" customHeight="1">
      <c r="A480" s="42" t="s">
        <v>19</v>
      </c>
      <c r="B480" s="1" t="s">
        <v>963</v>
      </c>
      <c r="C480" s="43">
        <v>2224303</v>
      </c>
      <c r="D480" s="1" t="s">
        <v>71</v>
      </c>
      <c r="E480" s="45" t="s">
        <v>845</v>
      </c>
      <c r="F480" s="133"/>
      <c r="G480" s="50"/>
    </row>
    <row r="481" spans="1:7" ht="15.75" customHeight="1">
      <c r="A481" s="42" t="s">
        <v>19</v>
      </c>
      <c r="B481" s="1" t="s">
        <v>963</v>
      </c>
      <c r="C481" s="43">
        <v>2876172</v>
      </c>
      <c r="D481" s="1" t="s">
        <v>71</v>
      </c>
      <c r="E481" s="45" t="s">
        <v>834</v>
      </c>
      <c r="F481" s="133"/>
      <c r="G481" s="50"/>
    </row>
    <row r="482" spans="1:7" ht="15.75" customHeight="1">
      <c r="A482" s="42" t="s">
        <v>19</v>
      </c>
      <c r="B482" s="1" t="s">
        <v>963</v>
      </c>
      <c r="C482" s="43">
        <v>2825351</v>
      </c>
      <c r="D482" s="1" t="s">
        <v>71</v>
      </c>
      <c r="E482" s="45" t="s">
        <v>967</v>
      </c>
      <c r="F482" s="133"/>
      <c r="G482" s="50"/>
    </row>
    <row r="483" spans="1:7" ht="15.75" customHeight="1">
      <c r="A483" s="42" t="s">
        <v>19</v>
      </c>
      <c r="B483" s="1" t="s">
        <v>963</v>
      </c>
      <c r="C483" s="43">
        <v>2824444</v>
      </c>
      <c r="D483" s="1" t="s">
        <v>80</v>
      </c>
      <c r="E483" s="45" t="s">
        <v>968</v>
      </c>
      <c r="F483" s="133"/>
      <c r="G483" s="50"/>
    </row>
    <row r="484" spans="1:7" ht="15.75" customHeight="1">
      <c r="A484" s="42" t="s">
        <v>19</v>
      </c>
      <c r="B484" s="1" t="s">
        <v>963</v>
      </c>
      <c r="C484" s="43">
        <v>2700355</v>
      </c>
      <c r="D484" s="1" t="s">
        <v>83</v>
      </c>
      <c r="E484" s="45" t="s">
        <v>969</v>
      </c>
      <c r="F484" s="130"/>
      <c r="G484" s="59"/>
    </row>
    <row r="485" spans="1:7" ht="15.75" customHeight="1">
      <c r="A485" s="42" t="s">
        <v>19</v>
      </c>
      <c r="B485" s="1" t="s">
        <v>963</v>
      </c>
      <c r="C485" s="43">
        <v>2801339</v>
      </c>
      <c r="D485" s="1" t="s">
        <v>71</v>
      </c>
      <c r="E485" s="45" t="s">
        <v>970</v>
      </c>
      <c r="F485" s="130"/>
      <c r="G485" s="59"/>
    </row>
    <row r="486" spans="1:7" ht="15.75" customHeight="1">
      <c r="A486" s="42" t="s">
        <v>19</v>
      </c>
      <c r="B486" s="1" t="s">
        <v>963</v>
      </c>
      <c r="C486" s="43">
        <v>2822710</v>
      </c>
      <c r="D486" s="1" t="s">
        <v>90</v>
      </c>
      <c r="E486" s="45" t="s">
        <v>971</v>
      </c>
      <c r="F486" s="130"/>
      <c r="G486" s="59"/>
    </row>
    <row r="487" spans="1:7" ht="15.75" customHeight="1">
      <c r="A487" s="42" t="s">
        <v>19</v>
      </c>
      <c r="B487" s="1" t="s">
        <v>963</v>
      </c>
      <c r="C487" s="43">
        <v>2800521</v>
      </c>
      <c r="D487" s="1" t="s">
        <v>71</v>
      </c>
      <c r="E487" s="45" t="s">
        <v>972</v>
      </c>
      <c r="F487" s="130"/>
      <c r="G487" s="59"/>
    </row>
    <row r="488" spans="1:7" ht="15.75" customHeight="1">
      <c r="A488" s="42" t="s">
        <v>19</v>
      </c>
      <c r="B488" s="1" t="s">
        <v>963</v>
      </c>
      <c r="C488" s="43">
        <v>2887003</v>
      </c>
      <c r="D488" s="1" t="s">
        <v>90</v>
      </c>
      <c r="E488" s="45" t="s">
        <v>973</v>
      </c>
      <c r="F488" s="130"/>
      <c r="G488" s="59"/>
    </row>
    <row r="489" spans="1:7" ht="15.75" customHeight="1">
      <c r="A489" s="42" t="s">
        <v>19</v>
      </c>
      <c r="B489" s="1" t="s">
        <v>963</v>
      </c>
      <c r="C489" s="43">
        <v>2887004</v>
      </c>
      <c r="D489" s="1" t="s">
        <v>71</v>
      </c>
      <c r="E489" s="49" t="s">
        <v>974</v>
      </c>
      <c r="F489" s="130"/>
      <c r="G489" s="59"/>
    </row>
    <row r="490" spans="1:7" ht="15.75" customHeight="1">
      <c r="A490" s="42" t="s">
        <v>20</v>
      </c>
      <c r="B490" s="132" t="s">
        <v>975</v>
      </c>
      <c r="C490" s="128" t="s">
        <v>68</v>
      </c>
      <c r="D490" s="128" t="s">
        <v>62</v>
      </c>
      <c r="E490" s="56" t="s">
        <v>69</v>
      </c>
      <c r="F490" s="130"/>
      <c r="G490" s="48" t="s">
        <v>70</v>
      </c>
    </row>
    <row r="491" spans="1:7" ht="15.75" customHeight="1">
      <c r="A491" s="42" t="s">
        <v>20</v>
      </c>
      <c r="B491" s="132" t="s">
        <v>975</v>
      </c>
      <c r="C491" s="43">
        <v>780076</v>
      </c>
      <c r="D491" s="1" t="s">
        <v>80</v>
      </c>
      <c r="E491" s="45" t="s">
        <v>709</v>
      </c>
      <c r="F491" s="133"/>
      <c r="G491" s="48" t="s">
        <v>528</v>
      </c>
    </row>
    <row r="492" spans="1:7" ht="15.75" customHeight="1">
      <c r="A492" s="42" t="s">
        <v>20</v>
      </c>
      <c r="B492" s="132" t="s">
        <v>975</v>
      </c>
      <c r="C492" s="43">
        <v>802146</v>
      </c>
      <c r="D492" s="1" t="s">
        <v>80</v>
      </c>
      <c r="E492" s="45" t="s">
        <v>819</v>
      </c>
      <c r="F492" s="133"/>
      <c r="G492" s="50"/>
    </row>
    <row r="493" spans="1:7" ht="15.75" customHeight="1">
      <c r="A493" s="42" t="s">
        <v>20</v>
      </c>
      <c r="B493" s="132" t="s">
        <v>975</v>
      </c>
      <c r="C493" s="43">
        <v>767693</v>
      </c>
      <c r="D493" s="1" t="s">
        <v>80</v>
      </c>
      <c r="E493" s="45" t="s">
        <v>976</v>
      </c>
      <c r="F493" s="133"/>
      <c r="G493" s="50"/>
    </row>
    <row r="494" spans="1:7" ht="15.75" customHeight="1">
      <c r="A494" s="42" t="s">
        <v>20</v>
      </c>
      <c r="B494" s="132" t="s">
        <v>975</v>
      </c>
      <c r="C494" s="43">
        <v>2822716</v>
      </c>
      <c r="D494" s="1" t="s">
        <v>83</v>
      </c>
      <c r="E494" s="45" t="s">
        <v>977</v>
      </c>
      <c r="F494" s="133"/>
      <c r="G494" s="50"/>
    </row>
    <row r="495" spans="1:7" ht="15.75" customHeight="1">
      <c r="A495" s="42" t="s">
        <v>20</v>
      </c>
      <c r="B495" s="132" t="s">
        <v>975</v>
      </c>
      <c r="C495" s="43">
        <v>2825717</v>
      </c>
      <c r="D495" s="1" t="s">
        <v>80</v>
      </c>
      <c r="E495" s="45" t="s">
        <v>719</v>
      </c>
      <c r="F495" s="133"/>
      <c r="G495" s="50"/>
    </row>
    <row r="496" spans="1:7" ht="15.75" customHeight="1">
      <c r="A496" s="42" t="s">
        <v>20</v>
      </c>
      <c r="B496" s="132" t="s">
        <v>975</v>
      </c>
      <c r="C496" s="43">
        <v>2818044</v>
      </c>
      <c r="D496" s="1" t="s">
        <v>71</v>
      </c>
      <c r="E496" s="45" t="s">
        <v>895</v>
      </c>
      <c r="F496" s="133"/>
      <c r="G496" s="50"/>
    </row>
    <row r="497" spans="1:7" ht="15.75" customHeight="1">
      <c r="A497" s="42" t="s">
        <v>20</v>
      </c>
      <c r="B497" s="132" t="s">
        <v>975</v>
      </c>
      <c r="C497" s="43">
        <v>2252268</v>
      </c>
      <c r="D497" s="1" t="s">
        <v>83</v>
      </c>
      <c r="E497" s="45" t="s">
        <v>830</v>
      </c>
      <c r="F497" s="133"/>
      <c r="G497" s="50"/>
    </row>
    <row r="498" spans="1:7" ht="15.75" customHeight="1">
      <c r="A498" s="42" t="s">
        <v>20</v>
      </c>
      <c r="B498" s="132" t="s">
        <v>975</v>
      </c>
      <c r="C498" s="43">
        <v>5015332</v>
      </c>
      <c r="D498" s="1" t="s">
        <v>90</v>
      </c>
      <c r="E498" s="45" t="s">
        <v>888</v>
      </c>
      <c r="F498" s="133"/>
      <c r="G498" s="50"/>
    </row>
    <row r="499" spans="1:7" ht="15.75" customHeight="1">
      <c r="A499" s="42" t="s">
        <v>20</v>
      </c>
      <c r="B499" s="132" t="s">
        <v>975</v>
      </c>
      <c r="C499" s="43">
        <v>779388</v>
      </c>
      <c r="D499" s="1" t="s">
        <v>71</v>
      </c>
      <c r="E499" s="45" t="s">
        <v>978</v>
      </c>
      <c r="F499" s="133"/>
      <c r="G499" s="50"/>
    </row>
    <row r="500" spans="1:7" ht="15.75" customHeight="1">
      <c r="A500" s="42" t="s">
        <v>20</v>
      </c>
      <c r="B500" s="132" t="s">
        <v>975</v>
      </c>
      <c r="C500" s="43">
        <v>2876276</v>
      </c>
      <c r="D500" s="1" t="s">
        <v>83</v>
      </c>
      <c r="E500" s="45" t="s">
        <v>979</v>
      </c>
      <c r="F500" s="133"/>
      <c r="G500" s="50"/>
    </row>
    <row r="501" spans="1:7" ht="15.75" customHeight="1">
      <c r="A501" s="42" t="s">
        <v>20</v>
      </c>
      <c r="B501" s="132" t="s">
        <v>975</v>
      </c>
      <c r="C501" s="43">
        <v>2824434</v>
      </c>
      <c r="D501" s="1" t="s">
        <v>71</v>
      </c>
      <c r="E501" s="45" t="s">
        <v>930</v>
      </c>
      <c r="F501" s="133"/>
      <c r="G501" s="50"/>
    </row>
    <row r="502" spans="1:7" ht="15.75" customHeight="1">
      <c r="A502" s="42" t="s">
        <v>20</v>
      </c>
      <c r="B502" s="132" t="s">
        <v>975</v>
      </c>
      <c r="C502" s="43">
        <v>2822700</v>
      </c>
      <c r="D502" s="1" t="s">
        <v>101</v>
      </c>
      <c r="E502" s="45" t="s">
        <v>903</v>
      </c>
      <c r="F502" s="133"/>
      <c r="G502" s="50"/>
    </row>
    <row r="503" spans="1:7" ht="15.75" customHeight="1">
      <c r="A503" s="42" t="s">
        <v>20</v>
      </c>
      <c r="B503" s="132" t="s">
        <v>975</v>
      </c>
      <c r="C503" s="43">
        <v>2700211</v>
      </c>
      <c r="D503" s="1" t="s">
        <v>90</v>
      </c>
      <c r="E503" s="45" t="s">
        <v>703</v>
      </c>
      <c r="F503" s="130"/>
      <c r="G503" s="59"/>
    </row>
    <row r="504" spans="1:7" ht="15.75" customHeight="1">
      <c r="A504" s="42" t="s">
        <v>20</v>
      </c>
      <c r="B504" s="132" t="s">
        <v>975</v>
      </c>
      <c r="C504" s="43">
        <v>780518</v>
      </c>
      <c r="D504" s="1" t="s">
        <v>71</v>
      </c>
      <c r="E504" s="45" t="s">
        <v>875</v>
      </c>
      <c r="F504" s="130"/>
      <c r="G504" s="59"/>
    </row>
    <row r="505" spans="1:7" ht="15.75" customHeight="1">
      <c r="A505" s="42" t="s">
        <v>20</v>
      </c>
      <c r="B505" s="132" t="s">
        <v>975</v>
      </c>
      <c r="C505" s="43">
        <v>797750</v>
      </c>
      <c r="D505" s="1" t="s">
        <v>71</v>
      </c>
      <c r="E505" s="45" t="s">
        <v>826</v>
      </c>
      <c r="F505" s="130"/>
      <c r="G505" s="59"/>
    </row>
    <row r="506" spans="1:7" ht="15.75" customHeight="1">
      <c r="A506" s="42" t="s">
        <v>20</v>
      </c>
      <c r="B506" s="132" t="s">
        <v>975</v>
      </c>
      <c r="C506" s="43">
        <v>773669</v>
      </c>
      <c r="D506" s="1" t="s">
        <v>71</v>
      </c>
      <c r="E506" s="45" t="s">
        <v>835</v>
      </c>
      <c r="F506" s="130"/>
      <c r="G506" s="59"/>
    </row>
    <row r="507" spans="1:7" ht="15.75" customHeight="1">
      <c r="A507" s="42" t="s">
        <v>20</v>
      </c>
      <c r="B507" s="132" t="s">
        <v>975</v>
      </c>
      <c r="C507" s="43">
        <v>2813372</v>
      </c>
      <c r="D507" s="1" t="s">
        <v>71</v>
      </c>
      <c r="E507" s="45" t="s">
        <v>908</v>
      </c>
      <c r="F507" s="130"/>
      <c r="G507" s="59"/>
    </row>
    <row r="508" spans="1:7" ht="15.75" customHeight="1">
      <c r="A508" s="42" t="s">
        <v>21</v>
      </c>
      <c r="B508" s="132" t="s">
        <v>980</v>
      </c>
      <c r="C508" s="128" t="s">
        <v>68</v>
      </c>
      <c r="D508" s="128" t="s">
        <v>62</v>
      </c>
      <c r="E508" s="56" t="s">
        <v>69</v>
      </c>
      <c r="F508" s="130"/>
      <c r="G508" s="48" t="s">
        <v>70</v>
      </c>
    </row>
    <row r="509" spans="1:7" ht="15.75" customHeight="1">
      <c r="A509" s="42" t="s">
        <v>21</v>
      </c>
      <c r="B509" s="132" t="s">
        <v>980</v>
      </c>
      <c r="C509" s="43">
        <v>762263</v>
      </c>
      <c r="D509" s="1" t="s">
        <v>83</v>
      </c>
      <c r="E509" s="45" t="s">
        <v>769</v>
      </c>
      <c r="F509" s="133"/>
      <c r="G509" s="48" t="s">
        <v>734</v>
      </c>
    </row>
    <row r="510" spans="1:7" ht="15.75" customHeight="1">
      <c r="A510" s="42" t="s">
        <v>21</v>
      </c>
      <c r="B510" s="132" t="s">
        <v>980</v>
      </c>
      <c r="C510" s="43">
        <v>2255864</v>
      </c>
      <c r="D510" s="1" t="s">
        <v>71</v>
      </c>
      <c r="E510" s="45" t="s">
        <v>679</v>
      </c>
      <c r="F510" s="133"/>
      <c r="G510" s="48" t="s">
        <v>921</v>
      </c>
    </row>
    <row r="511" spans="1:7" ht="15.75" customHeight="1">
      <c r="A511" s="42" t="s">
        <v>21</v>
      </c>
      <c r="B511" s="132" t="s">
        <v>980</v>
      </c>
      <c r="C511" s="43">
        <v>2824039</v>
      </c>
      <c r="D511" s="1" t="s">
        <v>101</v>
      </c>
      <c r="E511" s="45" t="s">
        <v>774</v>
      </c>
      <c r="F511" s="133"/>
      <c r="G511" s="48" t="s">
        <v>965</v>
      </c>
    </row>
    <row r="512" spans="1:7" ht="15.75" customHeight="1">
      <c r="A512" s="42" t="s">
        <v>21</v>
      </c>
      <c r="B512" s="132" t="s">
        <v>980</v>
      </c>
      <c r="C512" s="43">
        <v>767947</v>
      </c>
      <c r="D512" s="1" t="s">
        <v>83</v>
      </c>
      <c r="E512" s="45" t="s">
        <v>741</v>
      </c>
      <c r="F512" s="133"/>
      <c r="G512" s="48" t="s">
        <v>736</v>
      </c>
    </row>
    <row r="513" spans="1:7" ht="15.75" customHeight="1">
      <c r="A513" s="42" t="s">
        <v>21</v>
      </c>
      <c r="B513" s="132" t="s">
        <v>980</v>
      </c>
      <c r="C513" s="43">
        <v>2813191</v>
      </c>
      <c r="D513" s="1" t="s">
        <v>71</v>
      </c>
      <c r="E513" s="45" t="s">
        <v>747</v>
      </c>
      <c r="F513" s="133"/>
      <c r="G513" s="50"/>
    </row>
    <row r="514" spans="1:7" ht="15.75" customHeight="1">
      <c r="A514" s="42" t="s">
        <v>21</v>
      </c>
      <c r="B514" s="132" t="s">
        <v>980</v>
      </c>
      <c r="C514" s="43">
        <v>794029</v>
      </c>
      <c r="D514" s="1" t="s">
        <v>80</v>
      </c>
      <c r="E514" s="45" t="s">
        <v>981</v>
      </c>
      <c r="F514" s="133"/>
      <c r="G514" s="50"/>
    </row>
    <row r="515" spans="1:7" ht="15.75" customHeight="1">
      <c r="A515" s="42" t="s">
        <v>21</v>
      </c>
      <c r="B515" s="132" t="s">
        <v>980</v>
      </c>
      <c r="C515" s="43">
        <v>5039201</v>
      </c>
      <c r="D515" s="1" t="s">
        <v>83</v>
      </c>
      <c r="E515" s="45" t="s">
        <v>749</v>
      </c>
      <c r="F515" s="133"/>
      <c r="G515" s="50"/>
    </row>
    <row r="516" spans="1:7" ht="15.75" customHeight="1">
      <c r="A516" s="42" t="s">
        <v>21</v>
      </c>
      <c r="B516" s="132" t="s">
        <v>980</v>
      </c>
      <c r="C516" s="43">
        <v>5015633</v>
      </c>
      <c r="D516" s="1" t="s">
        <v>71</v>
      </c>
      <c r="E516" s="45" t="s">
        <v>693</v>
      </c>
      <c r="F516" s="133"/>
      <c r="G516" s="50"/>
    </row>
    <row r="517" spans="1:7" ht="15.75" customHeight="1">
      <c r="A517" s="42" t="s">
        <v>21</v>
      </c>
      <c r="B517" s="132" t="s">
        <v>980</v>
      </c>
      <c r="C517" s="43">
        <v>2999034</v>
      </c>
      <c r="D517" s="1" t="s">
        <v>80</v>
      </c>
      <c r="E517" s="45" t="s">
        <v>982</v>
      </c>
      <c r="F517" s="133"/>
      <c r="G517" s="50"/>
    </row>
    <row r="518" spans="1:7" ht="15.75" customHeight="1">
      <c r="A518" s="42" t="s">
        <v>21</v>
      </c>
      <c r="B518" s="132" t="s">
        <v>980</v>
      </c>
      <c r="C518" s="43">
        <v>2824040</v>
      </c>
      <c r="D518" s="1" t="s">
        <v>101</v>
      </c>
      <c r="E518" s="45" t="s">
        <v>750</v>
      </c>
      <c r="F518" s="133"/>
      <c r="G518" s="50"/>
    </row>
    <row r="519" spans="1:7" ht="15.75" customHeight="1">
      <c r="A519" s="42" t="s">
        <v>21</v>
      </c>
      <c r="B519" s="132" t="s">
        <v>980</v>
      </c>
      <c r="C519" s="43">
        <v>3107605</v>
      </c>
      <c r="D519" s="1" t="s">
        <v>80</v>
      </c>
      <c r="E519" s="45" t="s">
        <v>983</v>
      </c>
      <c r="F519" s="133"/>
      <c r="G519" s="50"/>
    </row>
    <row r="520" spans="1:7" ht="15.75" customHeight="1">
      <c r="A520" s="42" t="s">
        <v>21</v>
      </c>
      <c r="B520" s="132" t="s">
        <v>980</v>
      </c>
      <c r="C520" s="43">
        <v>2815031</v>
      </c>
      <c r="D520" s="1" t="s">
        <v>83</v>
      </c>
      <c r="E520" s="49" t="s">
        <v>752</v>
      </c>
      <c r="F520" s="133"/>
      <c r="G520" s="50"/>
    </row>
    <row r="521" spans="1:7" ht="15.75" customHeight="1">
      <c r="A521" s="42" t="s">
        <v>21</v>
      </c>
      <c r="B521" s="132" t="s">
        <v>980</v>
      </c>
      <c r="C521" s="43">
        <v>2243990</v>
      </c>
      <c r="D521" s="1" t="s">
        <v>83</v>
      </c>
      <c r="E521" s="45" t="s">
        <v>754</v>
      </c>
      <c r="F521" s="133"/>
      <c r="G521" s="50"/>
    </row>
    <row r="522" spans="1:7" ht="15.75" customHeight="1">
      <c r="A522" s="42" t="s">
        <v>21</v>
      </c>
      <c r="B522" s="132" t="s">
        <v>980</v>
      </c>
      <c r="C522" s="43">
        <v>2823543</v>
      </c>
      <c r="D522" s="1" t="s">
        <v>83</v>
      </c>
      <c r="E522" s="45" t="s">
        <v>759</v>
      </c>
      <c r="F522" s="133"/>
      <c r="G522" s="50"/>
    </row>
    <row r="523" spans="1:7" ht="15.75" customHeight="1">
      <c r="A523" s="42" t="s">
        <v>21</v>
      </c>
      <c r="B523" s="132" t="s">
        <v>980</v>
      </c>
      <c r="C523" s="43">
        <v>2823542</v>
      </c>
      <c r="D523" s="1" t="s">
        <v>83</v>
      </c>
      <c r="E523" s="45" t="s">
        <v>760</v>
      </c>
      <c r="F523" s="133"/>
      <c r="G523" s="50"/>
    </row>
    <row r="524" spans="1:7" ht="15.75" customHeight="1">
      <c r="A524" s="42" t="s">
        <v>21</v>
      </c>
      <c r="B524" s="132" t="s">
        <v>980</v>
      </c>
      <c r="C524" s="43">
        <v>5020684</v>
      </c>
      <c r="D524" s="1" t="s">
        <v>83</v>
      </c>
      <c r="E524" s="45" t="s">
        <v>702</v>
      </c>
      <c r="F524" s="133"/>
      <c r="G524" s="50"/>
    </row>
    <row r="525" spans="1:7" ht="15.75" customHeight="1">
      <c r="A525" s="42" t="s">
        <v>21</v>
      </c>
      <c r="B525" s="132" t="s">
        <v>980</v>
      </c>
      <c r="C525" s="43">
        <v>2825309</v>
      </c>
      <c r="D525" s="1" t="s">
        <v>71</v>
      </c>
      <c r="E525" s="45" t="s">
        <v>761</v>
      </c>
      <c r="F525" s="133"/>
      <c r="G525" s="50"/>
    </row>
    <row r="526" spans="1:7" ht="15.75" customHeight="1">
      <c r="A526" s="42" t="s">
        <v>21</v>
      </c>
      <c r="B526" s="132" t="s">
        <v>980</v>
      </c>
      <c r="C526" s="43">
        <v>773640</v>
      </c>
      <c r="D526" s="1" t="s">
        <v>83</v>
      </c>
      <c r="E526" s="45" t="s">
        <v>762</v>
      </c>
      <c r="F526" s="130"/>
      <c r="G526" s="59"/>
    </row>
    <row r="527" spans="1:7" ht="15.75" customHeight="1">
      <c r="A527" s="42" t="s">
        <v>21</v>
      </c>
      <c r="B527" s="132" t="s">
        <v>980</v>
      </c>
      <c r="C527" s="43">
        <v>805603</v>
      </c>
      <c r="D527" s="1" t="s">
        <v>90</v>
      </c>
      <c r="E527" s="45" t="s">
        <v>763</v>
      </c>
      <c r="F527" s="130"/>
      <c r="G527" s="59"/>
    </row>
    <row r="528" spans="1:7" ht="15.75" customHeight="1">
      <c r="A528" s="42" t="s">
        <v>21</v>
      </c>
      <c r="B528" s="132" t="s">
        <v>980</v>
      </c>
      <c r="C528" s="43">
        <v>2873250</v>
      </c>
      <c r="D528" s="1" t="s">
        <v>71</v>
      </c>
      <c r="E528" s="45" t="s">
        <v>885</v>
      </c>
      <c r="F528" s="130"/>
      <c r="G528" s="59"/>
    </row>
    <row r="529" spans="1:7" ht="15.75" customHeight="1">
      <c r="A529" s="42" t="s">
        <v>22</v>
      </c>
      <c r="B529" s="1" t="s">
        <v>984</v>
      </c>
      <c r="C529" s="128" t="s">
        <v>68</v>
      </c>
      <c r="D529" s="128" t="s">
        <v>62</v>
      </c>
      <c r="E529" s="56" t="s">
        <v>69</v>
      </c>
      <c r="F529" s="130"/>
      <c r="G529" s="48" t="s">
        <v>70</v>
      </c>
    </row>
    <row r="530" spans="1:7" ht="15.75" customHeight="1">
      <c r="A530" s="42" t="s">
        <v>22</v>
      </c>
      <c r="B530" s="1" t="s">
        <v>984</v>
      </c>
      <c r="C530" s="43">
        <v>762263</v>
      </c>
      <c r="D530" s="1" t="s">
        <v>83</v>
      </c>
      <c r="E530" s="45" t="s">
        <v>769</v>
      </c>
      <c r="F530" s="133"/>
      <c r="G530" s="48" t="s">
        <v>734</v>
      </c>
    </row>
    <row r="531" spans="1:7" ht="15.75" customHeight="1">
      <c r="A531" s="1" t="s">
        <v>22</v>
      </c>
      <c r="B531" s="1" t="s">
        <v>984</v>
      </c>
      <c r="C531" s="43">
        <v>762264</v>
      </c>
      <c r="D531" s="1" t="s">
        <v>71</v>
      </c>
      <c r="E531" s="45" t="s">
        <v>677</v>
      </c>
      <c r="F531" s="133"/>
      <c r="G531" s="48" t="s">
        <v>910</v>
      </c>
    </row>
    <row r="532" spans="1:7" ht="15.75" customHeight="1">
      <c r="A532" s="1" t="s">
        <v>22</v>
      </c>
      <c r="B532" s="1" t="s">
        <v>984</v>
      </c>
      <c r="C532" s="43">
        <v>2255864</v>
      </c>
      <c r="D532" s="1" t="s">
        <v>71</v>
      </c>
      <c r="E532" s="45" t="s">
        <v>679</v>
      </c>
      <c r="F532" s="133"/>
      <c r="G532" s="48" t="s">
        <v>736</v>
      </c>
    </row>
    <row r="533" spans="1:7" ht="15.75" customHeight="1">
      <c r="A533" s="1" t="s">
        <v>22</v>
      </c>
      <c r="B533" s="1" t="s">
        <v>984</v>
      </c>
      <c r="C533" s="43">
        <v>2994026</v>
      </c>
      <c r="D533" s="1" t="s">
        <v>101</v>
      </c>
      <c r="E533" s="45" t="s">
        <v>880</v>
      </c>
      <c r="F533" s="133"/>
      <c r="G533" s="131"/>
    </row>
    <row r="534" spans="1:7" ht="15.75" customHeight="1">
      <c r="A534" s="1" t="s">
        <v>22</v>
      </c>
      <c r="B534" s="1" t="s">
        <v>984</v>
      </c>
      <c r="C534" s="43">
        <v>2822705</v>
      </c>
      <c r="D534" s="1" t="s">
        <v>90</v>
      </c>
      <c r="E534" s="45" t="s">
        <v>743</v>
      </c>
      <c r="F534" s="133"/>
      <c r="G534" s="131"/>
    </row>
    <row r="535" spans="1:7" ht="15.75" customHeight="1">
      <c r="A535" s="1" t="s">
        <v>22</v>
      </c>
      <c r="B535" s="1" t="s">
        <v>984</v>
      </c>
      <c r="C535" s="43">
        <v>2813191</v>
      </c>
      <c r="D535" s="1" t="s">
        <v>71</v>
      </c>
      <c r="E535" s="45" t="s">
        <v>747</v>
      </c>
      <c r="F535" s="133"/>
      <c r="G535" s="131"/>
    </row>
    <row r="536" spans="1:7" ht="15.75" customHeight="1">
      <c r="A536" s="1" t="s">
        <v>22</v>
      </c>
      <c r="B536" s="1" t="s">
        <v>984</v>
      </c>
      <c r="C536" s="43">
        <v>5039201</v>
      </c>
      <c r="D536" s="1" t="s">
        <v>83</v>
      </c>
      <c r="E536" s="45" t="s">
        <v>749</v>
      </c>
      <c r="F536" s="133"/>
      <c r="G536" s="131"/>
    </row>
    <row r="537" spans="1:7" ht="15.75" customHeight="1">
      <c r="A537" s="1" t="s">
        <v>22</v>
      </c>
      <c r="B537" s="1" t="s">
        <v>984</v>
      </c>
      <c r="C537" s="43">
        <v>2824040</v>
      </c>
      <c r="D537" s="1" t="s">
        <v>101</v>
      </c>
      <c r="E537" s="45" t="s">
        <v>750</v>
      </c>
      <c r="F537" s="133"/>
      <c r="G537" s="131"/>
    </row>
    <row r="538" spans="1:7" ht="15.75" customHeight="1">
      <c r="A538" s="1" t="s">
        <v>22</v>
      </c>
      <c r="B538" s="1" t="s">
        <v>984</v>
      </c>
      <c r="C538" s="43">
        <v>2815031</v>
      </c>
      <c r="D538" s="1" t="s">
        <v>83</v>
      </c>
      <c r="E538" s="49" t="s">
        <v>752</v>
      </c>
      <c r="F538" s="133"/>
      <c r="G538" s="131"/>
    </row>
    <row r="539" spans="1:7" ht="15.75" customHeight="1">
      <c r="A539" s="1" t="s">
        <v>22</v>
      </c>
      <c r="B539" s="1" t="s">
        <v>984</v>
      </c>
      <c r="C539" s="43">
        <v>767945</v>
      </c>
      <c r="D539" s="1" t="s">
        <v>83</v>
      </c>
      <c r="E539" s="45" t="s">
        <v>913</v>
      </c>
      <c r="F539" s="133"/>
      <c r="G539" s="131"/>
    </row>
    <row r="540" spans="1:7" ht="15.75" customHeight="1">
      <c r="A540" s="1" t="s">
        <v>22</v>
      </c>
      <c r="B540" s="1" t="s">
        <v>984</v>
      </c>
      <c r="C540" s="43">
        <v>2243990</v>
      </c>
      <c r="D540" s="1" t="s">
        <v>83</v>
      </c>
      <c r="E540" s="45" t="s">
        <v>754</v>
      </c>
      <c r="F540" s="133"/>
      <c r="G540" s="131"/>
    </row>
    <row r="541" spans="1:7" ht="15.75" customHeight="1">
      <c r="A541" s="1" t="s">
        <v>22</v>
      </c>
      <c r="B541" s="1" t="s">
        <v>984</v>
      </c>
      <c r="C541" s="43">
        <v>730573</v>
      </c>
      <c r="D541" s="1" t="s">
        <v>83</v>
      </c>
      <c r="E541" s="45" t="s">
        <v>915</v>
      </c>
      <c r="F541" s="133"/>
      <c r="G541" s="131"/>
    </row>
    <row r="542" spans="1:7" ht="15.75" customHeight="1">
      <c r="A542" s="1" t="s">
        <v>22</v>
      </c>
      <c r="B542" s="1" t="s">
        <v>984</v>
      </c>
      <c r="C542" s="43">
        <v>2824442</v>
      </c>
      <c r="D542" s="1" t="s">
        <v>71</v>
      </c>
      <c r="E542" s="45" t="s">
        <v>756</v>
      </c>
      <c r="F542" s="133"/>
      <c r="G542" s="131"/>
    </row>
    <row r="543" spans="1:7" ht="15.75" customHeight="1">
      <c r="A543" s="1" t="s">
        <v>22</v>
      </c>
      <c r="B543" s="1" t="s">
        <v>984</v>
      </c>
      <c r="C543" s="43">
        <v>5015337</v>
      </c>
      <c r="D543" s="1" t="s">
        <v>71</v>
      </c>
      <c r="E543" s="45" t="s">
        <v>757</v>
      </c>
      <c r="F543" s="133"/>
      <c r="G543" s="131"/>
    </row>
    <row r="544" spans="1:7" ht="15.75" customHeight="1">
      <c r="A544" s="1" t="s">
        <v>22</v>
      </c>
      <c r="B544" s="1" t="s">
        <v>984</v>
      </c>
      <c r="C544" s="43">
        <v>767946</v>
      </c>
      <c r="D544" s="1" t="s">
        <v>71</v>
      </c>
      <c r="E544" s="45" t="s">
        <v>758</v>
      </c>
      <c r="F544" s="133"/>
      <c r="G544" s="131"/>
    </row>
    <row r="545" spans="1:7" ht="15.75" customHeight="1">
      <c r="A545" s="1" t="s">
        <v>22</v>
      </c>
      <c r="B545" s="1" t="s">
        <v>984</v>
      </c>
      <c r="C545" s="43">
        <v>5015338</v>
      </c>
      <c r="D545" s="1" t="s">
        <v>71</v>
      </c>
      <c r="E545" s="45" t="s">
        <v>916</v>
      </c>
      <c r="F545" s="133"/>
      <c r="G545" s="131"/>
    </row>
    <row r="546" spans="1:7" ht="15.75" customHeight="1">
      <c r="A546" s="1" t="s">
        <v>22</v>
      </c>
      <c r="B546" s="1" t="s">
        <v>984</v>
      </c>
      <c r="C546" s="43">
        <v>2823543</v>
      </c>
      <c r="D546" s="1" t="s">
        <v>83</v>
      </c>
      <c r="E546" s="45" t="s">
        <v>759</v>
      </c>
      <c r="F546" s="133"/>
      <c r="G546" s="131"/>
    </row>
    <row r="547" spans="1:7" ht="15.75" customHeight="1">
      <c r="A547" s="1" t="s">
        <v>22</v>
      </c>
      <c r="B547" s="1" t="s">
        <v>984</v>
      </c>
      <c r="C547" s="43">
        <v>2823542</v>
      </c>
      <c r="D547" s="1" t="s">
        <v>83</v>
      </c>
      <c r="E547" s="45" t="s">
        <v>760</v>
      </c>
      <c r="F547" s="133"/>
      <c r="G547" s="131"/>
    </row>
    <row r="548" spans="1:7" ht="15.75" customHeight="1">
      <c r="A548" s="1" t="s">
        <v>22</v>
      </c>
      <c r="B548" s="1" t="s">
        <v>984</v>
      </c>
      <c r="C548" s="43">
        <v>2822700</v>
      </c>
      <c r="D548" s="1" t="s">
        <v>101</v>
      </c>
      <c r="E548" s="45" t="s">
        <v>903</v>
      </c>
      <c r="F548" s="130"/>
      <c r="G548" s="59"/>
    </row>
    <row r="549" spans="1:7" ht="15.75" customHeight="1">
      <c r="A549" s="1" t="s">
        <v>22</v>
      </c>
      <c r="B549" s="1" t="s">
        <v>984</v>
      </c>
      <c r="C549" s="43">
        <v>5020684</v>
      </c>
      <c r="D549" s="1" t="s">
        <v>83</v>
      </c>
      <c r="E549" s="45" t="s">
        <v>702</v>
      </c>
      <c r="F549" s="130"/>
      <c r="G549" s="59"/>
    </row>
    <row r="550" spans="1:7" ht="15.75" customHeight="1">
      <c r="A550" s="1" t="s">
        <v>22</v>
      </c>
      <c r="B550" s="1" t="s">
        <v>984</v>
      </c>
      <c r="C550" s="43">
        <v>2825309</v>
      </c>
      <c r="D550" s="1" t="s">
        <v>71</v>
      </c>
      <c r="E550" s="45" t="s">
        <v>761</v>
      </c>
      <c r="F550" s="130"/>
      <c r="G550" s="59"/>
    </row>
    <row r="551" spans="1:7" ht="15.75" customHeight="1">
      <c r="A551" s="1" t="s">
        <v>22</v>
      </c>
      <c r="B551" s="1" t="s">
        <v>984</v>
      </c>
      <c r="C551" s="43">
        <v>773640</v>
      </c>
      <c r="D551" s="1" t="s">
        <v>83</v>
      </c>
      <c r="E551" s="45" t="s">
        <v>762</v>
      </c>
      <c r="F551" s="130"/>
      <c r="G551" s="59"/>
    </row>
    <row r="552" spans="1:7" ht="15.75" customHeight="1">
      <c r="A552" s="1" t="s">
        <v>22</v>
      </c>
      <c r="B552" s="1" t="s">
        <v>984</v>
      </c>
      <c r="C552" s="43">
        <v>2822708</v>
      </c>
      <c r="D552" s="1" t="s">
        <v>83</v>
      </c>
      <c r="E552" s="45" t="s">
        <v>884</v>
      </c>
      <c r="F552" s="130"/>
      <c r="G552" s="59"/>
    </row>
    <row r="553" spans="1:7" ht="15.75" customHeight="1">
      <c r="A553" s="1" t="s">
        <v>23</v>
      </c>
      <c r="B553" s="121" t="s">
        <v>985</v>
      </c>
      <c r="C553" s="128" t="s">
        <v>68</v>
      </c>
      <c r="D553" s="128" t="s">
        <v>62</v>
      </c>
      <c r="E553" s="56" t="s">
        <v>69</v>
      </c>
      <c r="F553" s="130"/>
      <c r="G553" s="48" t="s">
        <v>70</v>
      </c>
    </row>
    <row r="554" spans="1:7" ht="15.75" customHeight="1">
      <c r="A554" s="1" t="s">
        <v>23</v>
      </c>
      <c r="B554" s="121" t="s">
        <v>985</v>
      </c>
      <c r="C554" s="43">
        <v>2825761</v>
      </c>
      <c r="D554" s="1" t="s">
        <v>80</v>
      </c>
      <c r="E554" s="45" t="s">
        <v>986</v>
      </c>
      <c r="F554" s="133"/>
      <c r="G554" s="48" t="s">
        <v>987</v>
      </c>
    </row>
    <row r="555" spans="1:7" ht="15.75" customHeight="1">
      <c r="A555" s="1" t="s">
        <v>23</v>
      </c>
      <c r="B555" s="121" t="s">
        <v>985</v>
      </c>
      <c r="C555" s="43">
        <v>5010409</v>
      </c>
      <c r="D555" s="1" t="s">
        <v>90</v>
      </c>
      <c r="E555" s="45" t="s">
        <v>711</v>
      </c>
      <c r="F555" s="133"/>
      <c r="G555" s="131"/>
    </row>
    <row r="556" spans="1:7" ht="15.75" customHeight="1">
      <c r="A556" s="1" t="s">
        <v>23</v>
      </c>
      <c r="B556" s="121" t="s">
        <v>985</v>
      </c>
      <c r="C556" s="43">
        <v>2823606</v>
      </c>
      <c r="D556" s="1" t="s">
        <v>71</v>
      </c>
      <c r="E556" s="45" t="s">
        <v>793</v>
      </c>
      <c r="F556" s="133"/>
      <c r="G556" s="131"/>
    </row>
    <row r="557" spans="1:7" ht="15.75" customHeight="1">
      <c r="A557" s="1" t="s">
        <v>23</v>
      </c>
      <c r="B557" s="121" t="s">
        <v>985</v>
      </c>
      <c r="C557" s="43">
        <v>2878195</v>
      </c>
      <c r="D557" s="1" t="s">
        <v>80</v>
      </c>
      <c r="E557" s="45" t="s">
        <v>794</v>
      </c>
      <c r="F557" s="133"/>
      <c r="G557" s="131"/>
    </row>
    <row r="558" spans="1:7" ht="15.75" customHeight="1">
      <c r="A558" s="1" t="s">
        <v>23</v>
      </c>
      <c r="B558" s="121" t="s">
        <v>985</v>
      </c>
      <c r="C558" s="43">
        <v>5020681</v>
      </c>
      <c r="D558" s="1" t="s">
        <v>71</v>
      </c>
      <c r="E558" s="45" t="s">
        <v>772</v>
      </c>
      <c r="F558" s="130"/>
      <c r="G558" s="59"/>
    </row>
    <row r="559" spans="1:7" ht="15.75" customHeight="1">
      <c r="A559" s="1" t="s">
        <v>23</v>
      </c>
      <c r="B559" s="121" t="s">
        <v>985</v>
      </c>
      <c r="C559" s="43">
        <v>803820</v>
      </c>
      <c r="D559" s="1" t="s">
        <v>80</v>
      </c>
      <c r="E559" s="45" t="s">
        <v>778</v>
      </c>
      <c r="F559" s="130"/>
      <c r="G559" s="59"/>
    </row>
    <row r="560" spans="1:7" ht="15.75" customHeight="1">
      <c r="A560" s="1" t="s">
        <v>23</v>
      </c>
      <c r="B560" s="121" t="s">
        <v>985</v>
      </c>
      <c r="C560" s="43">
        <v>3002652</v>
      </c>
      <c r="D560" s="1" t="s">
        <v>80</v>
      </c>
      <c r="E560" s="49" t="s">
        <v>881</v>
      </c>
      <c r="F560" s="130"/>
      <c r="G560" s="59"/>
    </row>
    <row r="561" spans="1:7" ht="15.75" customHeight="1">
      <c r="A561" s="1" t="s">
        <v>23</v>
      </c>
      <c r="B561" s="121" t="s">
        <v>985</v>
      </c>
      <c r="C561" s="43">
        <v>2887002</v>
      </c>
      <c r="D561" s="1" t="s">
        <v>83</v>
      </c>
      <c r="E561" s="45" t="s">
        <v>887</v>
      </c>
      <c r="F561" s="130"/>
      <c r="G561" s="59"/>
    </row>
    <row r="562" spans="1:7" ht="15.75" customHeight="1">
      <c r="A562" s="1" t="s">
        <v>23</v>
      </c>
      <c r="B562" s="121" t="s">
        <v>985</v>
      </c>
      <c r="C562" s="43">
        <v>2257255</v>
      </c>
      <c r="D562" s="1" t="s">
        <v>83</v>
      </c>
      <c r="E562" s="45" t="s">
        <v>831</v>
      </c>
      <c r="F562" s="130"/>
      <c r="G562" s="59"/>
    </row>
    <row r="563" spans="1:7" ht="15.75" customHeight="1">
      <c r="A563" s="1" t="s">
        <v>23</v>
      </c>
      <c r="B563" s="121" t="s">
        <v>985</v>
      </c>
      <c r="C563" s="43">
        <v>2822711</v>
      </c>
      <c r="D563" s="1" t="s">
        <v>71</v>
      </c>
      <c r="E563" s="45" t="s">
        <v>883</v>
      </c>
      <c r="F563" s="130"/>
      <c r="G563" s="59"/>
    </row>
    <row r="564" spans="1:7" ht="15.75" customHeight="1">
      <c r="A564" s="1" t="s">
        <v>23</v>
      </c>
      <c r="B564" s="121" t="s">
        <v>985</v>
      </c>
      <c r="C564" s="43">
        <v>2824442</v>
      </c>
      <c r="D564" s="1" t="s">
        <v>71</v>
      </c>
      <c r="E564" s="45" t="s">
        <v>756</v>
      </c>
      <c r="F564" s="130"/>
      <c r="G564" s="59"/>
    </row>
    <row r="565" spans="1:7" ht="15.75" customHeight="1">
      <c r="A565" s="1" t="s">
        <v>23</v>
      </c>
      <c r="B565" s="121" t="s">
        <v>985</v>
      </c>
      <c r="C565" s="43">
        <v>2824437</v>
      </c>
      <c r="D565" s="1" t="s">
        <v>80</v>
      </c>
      <c r="E565" s="45" t="s">
        <v>701</v>
      </c>
      <c r="F565" s="130"/>
      <c r="G565" s="59"/>
    </row>
    <row r="566" spans="1:7" ht="15.75" customHeight="1">
      <c r="A566" s="1" t="s">
        <v>23</v>
      </c>
      <c r="B566" s="121" t="s">
        <v>985</v>
      </c>
      <c r="C566" s="43">
        <v>2823607</v>
      </c>
      <c r="D566" s="1" t="s">
        <v>80</v>
      </c>
      <c r="E566" s="45" t="s">
        <v>810</v>
      </c>
      <c r="F566" s="130"/>
      <c r="G566" s="59"/>
    </row>
    <row r="567" spans="1:7" ht="15.75" customHeight="1">
      <c r="A567" s="1" t="s">
        <v>23</v>
      </c>
      <c r="B567" s="121" t="s">
        <v>985</v>
      </c>
      <c r="C567" s="43">
        <v>2883007</v>
      </c>
      <c r="D567" s="1" t="s">
        <v>80</v>
      </c>
      <c r="E567" s="45" t="s">
        <v>988</v>
      </c>
      <c r="F567" s="130"/>
      <c r="G567" s="59"/>
    </row>
    <row r="568" spans="1:7" ht="15.75" customHeight="1">
      <c r="A568" s="1" t="s">
        <v>23</v>
      </c>
      <c r="B568" s="121" t="s">
        <v>985</v>
      </c>
      <c r="C568" s="43">
        <v>773691</v>
      </c>
      <c r="D568" s="1" t="s">
        <v>83</v>
      </c>
      <c r="E568" s="45" t="s">
        <v>787</v>
      </c>
      <c r="F568" s="130"/>
      <c r="G568" s="59"/>
    </row>
    <row r="569" spans="1:7" ht="15.75" customHeight="1">
      <c r="A569" s="1" t="s">
        <v>24</v>
      </c>
      <c r="B569" s="121" t="s">
        <v>989</v>
      </c>
      <c r="C569" s="128" t="s">
        <v>68</v>
      </c>
      <c r="D569" s="128" t="s">
        <v>62</v>
      </c>
      <c r="E569" s="56" t="s">
        <v>69</v>
      </c>
      <c r="F569" s="130"/>
      <c r="G569" s="48" t="s">
        <v>70</v>
      </c>
    </row>
    <row r="570" spans="1:7" ht="15.75" customHeight="1">
      <c r="A570" s="1" t="s">
        <v>24</v>
      </c>
      <c r="B570" s="121" t="s">
        <v>989</v>
      </c>
      <c r="C570" s="43">
        <v>3055239</v>
      </c>
      <c r="D570" s="1" t="s">
        <v>71</v>
      </c>
      <c r="E570" s="49" t="s">
        <v>990</v>
      </c>
      <c r="G570" s="48" t="s">
        <v>528</v>
      </c>
    </row>
    <row r="571" spans="1:7" ht="15.75" customHeight="1">
      <c r="A571" s="120" t="s">
        <v>25</v>
      </c>
      <c r="B571" s="137" t="s">
        <v>991</v>
      </c>
      <c r="C571" s="128" t="s">
        <v>68</v>
      </c>
      <c r="D571" s="128" t="s">
        <v>62</v>
      </c>
      <c r="E571" s="56" t="s">
        <v>69</v>
      </c>
      <c r="F571" s="130"/>
      <c r="G571" s="48" t="s">
        <v>70</v>
      </c>
    </row>
    <row r="572" spans="1:7" ht="15.75" customHeight="1">
      <c r="A572" s="120" t="s">
        <v>25</v>
      </c>
      <c r="B572" s="137" t="s">
        <v>991</v>
      </c>
      <c r="C572" s="43">
        <v>2876171</v>
      </c>
      <c r="D572" s="44" t="s">
        <v>83</v>
      </c>
      <c r="E572" s="45" t="s">
        <v>992</v>
      </c>
      <c r="G572" s="48" t="s">
        <v>528</v>
      </c>
    </row>
    <row r="573" spans="1:7" ht="15.75" customHeight="1">
      <c r="A573" s="120" t="s">
        <v>25</v>
      </c>
      <c r="B573" s="137" t="s">
        <v>991</v>
      </c>
      <c r="C573" s="43">
        <v>3102030</v>
      </c>
      <c r="D573" s="44" t="s">
        <v>83</v>
      </c>
      <c r="E573" s="45" t="s">
        <v>713</v>
      </c>
      <c r="G573" s="50"/>
    </row>
    <row r="574" spans="1:7" ht="15.75" customHeight="1">
      <c r="A574" s="120" t="s">
        <v>25</v>
      </c>
      <c r="B574" s="137" t="s">
        <v>991</v>
      </c>
      <c r="C574" s="43">
        <v>3104033</v>
      </c>
      <c r="D574" s="44" t="s">
        <v>80</v>
      </c>
      <c r="E574" s="45" t="s">
        <v>715</v>
      </c>
      <c r="G574" s="50"/>
    </row>
    <row r="575" spans="1:7" ht="15.75" customHeight="1">
      <c r="A575" s="120" t="s">
        <v>25</v>
      </c>
      <c r="B575" s="137" t="s">
        <v>991</v>
      </c>
      <c r="C575" s="43">
        <v>5014551</v>
      </c>
      <c r="D575" s="44" t="s">
        <v>80</v>
      </c>
      <c r="E575" s="45" t="s">
        <v>993</v>
      </c>
    </row>
  </sheetData>
  <autoFilter ref="A1:H575" xr:uid="{00000000-0009-0000-0000-000004000000}"/>
  <hyperlinks>
    <hyperlink ref="E3" r:id="rId1" xr:uid="{00000000-0004-0000-0400-000000000000}"/>
    <hyperlink ref="G3" r:id="rId2" xr:uid="{00000000-0004-0000-0400-000001000000}"/>
    <hyperlink ref="E4" r:id="rId3" xr:uid="{00000000-0004-0000-0400-000002000000}"/>
    <hyperlink ref="G4" r:id="rId4" xr:uid="{00000000-0004-0000-0400-000003000000}"/>
    <hyperlink ref="E5" r:id="rId5" xr:uid="{00000000-0004-0000-0400-000004000000}"/>
    <hyperlink ref="G5" r:id="rId6" xr:uid="{00000000-0004-0000-0400-000005000000}"/>
    <hyperlink ref="E6" r:id="rId7" xr:uid="{00000000-0004-0000-0400-000006000000}"/>
    <hyperlink ref="G6" r:id="rId8" xr:uid="{00000000-0004-0000-0400-000007000000}"/>
    <hyperlink ref="E7" r:id="rId9" xr:uid="{00000000-0004-0000-0400-000008000000}"/>
    <hyperlink ref="E8" r:id="rId10" xr:uid="{00000000-0004-0000-0400-000009000000}"/>
    <hyperlink ref="E9" r:id="rId11" xr:uid="{00000000-0004-0000-0400-00000A000000}"/>
    <hyperlink ref="E10" r:id="rId12" xr:uid="{00000000-0004-0000-0400-00000B000000}"/>
    <hyperlink ref="E11" r:id="rId13" xr:uid="{00000000-0004-0000-0400-00000C000000}"/>
    <hyperlink ref="E12" r:id="rId14" xr:uid="{00000000-0004-0000-0400-00000D000000}"/>
    <hyperlink ref="E13" r:id="rId15" xr:uid="{00000000-0004-0000-0400-00000E000000}"/>
    <hyperlink ref="E14" r:id="rId16" xr:uid="{00000000-0004-0000-0400-00000F000000}"/>
    <hyperlink ref="E15" r:id="rId17" xr:uid="{00000000-0004-0000-0400-000010000000}"/>
    <hyperlink ref="E16" r:id="rId18" xr:uid="{00000000-0004-0000-0400-000011000000}"/>
    <hyperlink ref="E17" r:id="rId19" xr:uid="{00000000-0004-0000-0400-000012000000}"/>
    <hyperlink ref="E18" r:id="rId20" xr:uid="{00000000-0004-0000-0400-000013000000}"/>
    <hyperlink ref="E19" r:id="rId21" xr:uid="{00000000-0004-0000-0400-000014000000}"/>
    <hyperlink ref="E20" r:id="rId22" xr:uid="{00000000-0004-0000-0400-000015000000}"/>
    <hyperlink ref="E21" r:id="rId23" xr:uid="{00000000-0004-0000-0400-000016000000}"/>
    <hyperlink ref="E22" r:id="rId24" xr:uid="{00000000-0004-0000-0400-000017000000}"/>
    <hyperlink ref="E23" r:id="rId25" xr:uid="{00000000-0004-0000-0400-000018000000}"/>
    <hyperlink ref="E24" r:id="rId26" xr:uid="{00000000-0004-0000-0400-000019000000}"/>
    <hyperlink ref="E25" r:id="rId27" xr:uid="{00000000-0004-0000-0400-00001A000000}"/>
    <hyperlink ref="E26" r:id="rId28" xr:uid="{00000000-0004-0000-0400-00001B000000}"/>
    <hyperlink ref="E27" r:id="rId29" xr:uid="{00000000-0004-0000-0400-00001C000000}"/>
    <hyperlink ref="E28" r:id="rId30" xr:uid="{00000000-0004-0000-0400-00001D000000}"/>
    <hyperlink ref="E30" r:id="rId31" xr:uid="{00000000-0004-0000-0400-00001E000000}"/>
    <hyperlink ref="G30" r:id="rId32" xr:uid="{00000000-0004-0000-0400-00001F000000}"/>
    <hyperlink ref="E31" r:id="rId33" xr:uid="{00000000-0004-0000-0400-000020000000}"/>
    <hyperlink ref="G31" r:id="rId34" xr:uid="{00000000-0004-0000-0400-000021000000}"/>
    <hyperlink ref="E32" r:id="rId35" xr:uid="{00000000-0004-0000-0400-000022000000}"/>
    <hyperlink ref="G32" r:id="rId36" xr:uid="{00000000-0004-0000-0400-000023000000}"/>
    <hyperlink ref="E33" r:id="rId37" xr:uid="{00000000-0004-0000-0400-000024000000}"/>
    <hyperlink ref="G33" r:id="rId38" xr:uid="{00000000-0004-0000-0400-000025000000}"/>
    <hyperlink ref="E34" r:id="rId39" xr:uid="{00000000-0004-0000-0400-000026000000}"/>
    <hyperlink ref="G34" r:id="rId40" xr:uid="{00000000-0004-0000-0400-000027000000}"/>
    <hyperlink ref="E35" r:id="rId41" xr:uid="{00000000-0004-0000-0400-000028000000}"/>
    <hyperlink ref="E36" r:id="rId42" xr:uid="{00000000-0004-0000-0400-000029000000}"/>
    <hyperlink ref="E37" r:id="rId43" xr:uid="{00000000-0004-0000-0400-00002A000000}"/>
    <hyperlink ref="E38" r:id="rId44" xr:uid="{00000000-0004-0000-0400-00002B000000}"/>
    <hyperlink ref="E39" r:id="rId45" xr:uid="{00000000-0004-0000-0400-00002C000000}"/>
    <hyperlink ref="E40" r:id="rId46" xr:uid="{00000000-0004-0000-0400-00002D000000}"/>
    <hyperlink ref="E41" r:id="rId47" xr:uid="{00000000-0004-0000-0400-00002E000000}"/>
    <hyperlink ref="E42" r:id="rId48" xr:uid="{00000000-0004-0000-0400-00002F000000}"/>
    <hyperlink ref="E43" r:id="rId49" xr:uid="{00000000-0004-0000-0400-000030000000}"/>
    <hyperlink ref="E44" r:id="rId50" xr:uid="{00000000-0004-0000-0400-000031000000}"/>
    <hyperlink ref="E45" r:id="rId51" xr:uid="{00000000-0004-0000-0400-000032000000}"/>
    <hyperlink ref="E46" r:id="rId52" xr:uid="{00000000-0004-0000-0400-000033000000}"/>
    <hyperlink ref="E47" r:id="rId53" xr:uid="{00000000-0004-0000-0400-000034000000}"/>
    <hyperlink ref="E48" r:id="rId54" xr:uid="{00000000-0004-0000-0400-000035000000}"/>
    <hyperlink ref="E49" r:id="rId55" xr:uid="{00000000-0004-0000-0400-000036000000}"/>
    <hyperlink ref="E50" r:id="rId56" xr:uid="{00000000-0004-0000-0400-000037000000}"/>
    <hyperlink ref="E51" r:id="rId57" xr:uid="{00000000-0004-0000-0400-000038000000}"/>
    <hyperlink ref="E52" r:id="rId58" xr:uid="{00000000-0004-0000-0400-000039000000}"/>
    <hyperlink ref="E53" r:id="rId59" xr:uid="{00000000-0004-0000-0400-00003A000000}"/>
    <hyperlink ref="E54" r:id="rId60" xr:uid="{00000000-0004-0000-0400-00003B000000}"/>
    <hyperlink ref="E55" r:id="rId61" xr:uid="{00000000-0004-0000-0400-00003C000000}"/>
    <hyperlink ref="E56" r:id="rId62" xr:uid="{00000000-0004-0000-0400-00003D000000}"/>
    <hyperlink ref="E58" r:id="rId63" xr:uid="{00000000-0004-0000-0400-00003E000000}"/>
    <hyperlink ref="G58" r:id="rId64" xr:uid="{00000000-0004-0000-0400-00003F000000}"/>
    <hyperlink ref="E59" r:id="rId65" xr:uid="{00000000-0004-0000-0400-000040000000}"/>
    <hyperlink ref="G59" r:id="rId66" xr:uid="{00000000-0004-0000-0400-000041000000}"/>
    <hyperlink ref="E60" r:id="rId67" xr:uid="{00000000-0004-0000-0400-000042000000}"/>
    <hyperlink ref="G60" r:id="rId68" xr:uid="{00000000-0004-0000-0400-000043000000}"/>
    <hyperlink ref="E61" r:id="rId69" xr:uid="{00000000-0004-0000-0400-000044000000}"/>
    <hyperlink ref="E62" r:id="rId70" xr:uid="{00000000-0004-0000-0400-000045000000}"/>
    <hyperlink ref="E63" r:id="rId71" xr:uid="{00000000-0004-0000-0400-000046000000}"/>
    <hyperlink ref="E64" r:id="rId72" xr:uid="{00000000-0004-0000-0400-000047000000}"/>
    <hyperlink ref="E65" r:id="rId73" xr:uid="{00000000-0004-0000-0400-000048000000}"/>
    <hyperlink ref="E66" r:id="rId74" xr:uid="{00000000-0004-0000-0400-000049000000}"/>
    <hyperlink ref="E67" r:id="rId75" xr:uid="{00000000-0004-0000-0400-00004A000000}"/>
    <hyperlink ref="E68" r:id="rId76" xr:uid="{00000000-0004-0000-0400-00004B000000}"/>
    <hyperlink ref="E69" r:id="rId77" xr:uid="{00000000-0004-0000-0400-00004C000000}"/>
    <hyperlink ref="E70" r:id="rId78" xr:uid="{00000000-0004-0000-0400-00004D000000}"/>
    <hyperlink ref="E71" r:id="rId79" xr:uid="{00000000-0004-0000-0400-00004E000000}"/>
    <hyperlink ref="E72" r:id="rId80" xr:uid="{00000000-0004-0000-0400-00004F000000}"/>
    <hyperlink ref="E73" r:id="rId81" xr:uid="{00000000-0004-0000-0400-000050000000}"/>
    <hyperlink ref="E74" r:id="rId82" xr:uid="{00000000-0004-0000-0400-000051000000}"/>
    <hyperlink ref="E75" r:id="rId83" xr:uid="{00000000-0004-0000-0400-000052000000}"/>
    <hyperlink ref="E76" r:id="rId84" xr:uid="{00000000-0004-0000-0400-000053000000}"/>
    <hyperlink ref="E77" r:id="rId85" xr:uid="{00000000-0004-0000-0400-000054000000}"/>
    <hyperlink ref="E78" r:id="rId86" xr:uid="{00000000-0004-0000-0400-000055000000}"/>
    <hyperlink ref="E79" r:id="rId87" xr:uid="{00000000-0004-0000-0400-000056000000}"/>
    <hyperlink ref="E80" r:id="rId88" xr:uid="{00000000-0004-0000-0400-000057000000}"/>
    <hyperlink ref="E81" r:id="rId89" xr:uid="{00000000-0004-0000-0400-000058000000}"/>
    <hyperlink ref="E82" r:id="rId90" xr:uid="{00000000-0004-0000-0400-000059000000}"/>
    <hyperlink ref="E83" r:id="rId91" xr:uid="{00000000-0004-0000-0400-00005A000000}"/>
    <hyperlink ref="E84" r:id="rId92" xr:uid="{00000000-0004-0000-0400-00005B000000}"/>
    <hyperlink ref="E85" r:id="rId93" xr:uid="{00000000-0004-0000-0400-00005C000000}"/>
    <hyperlink ref="E86" r:id="rId94" xr:uid="{00000000-0004-0000-0400-00005D000000}"/>
    <hyperlink ref="E87" r:id="rId95" xr:uid="{00000000-0004-0000-0400-00005E000000}"/>
    <hyperlink ref="E88" r:id="rId96" xr:uid="{00000000-0004-0000-0400-00005F000000}"/>
    <hyperlink ref="E89" r:id="rId97" xr:uid="{00000000-0004-0000-0400-000060000000}"/>
    <hyperlink ref="E90" r:id="rId98" xr:uid="{00000000-0004-0000-0400-000061000000}"/>
    <hyperlink ref="E91" r:id="rId99" xr:uid="{00000000-0004-0000-0400-000062000000}"/>
    <hyperlink ref="E92" r:id="rId100" xr:uid="{00000000-0004-0000-0400-000063000000}"/>
    <hyperlink ref="E93" r:id="rId101" xr:uid="{00000000-0004-0000-0400-000064000000}"/>
    <hyperlink ref="E94" r:id="rId102" xr:uid="{00000000-0004-0000-0400-000065000000}"/>
    <hyperlink ref="E95" r:id="rId103" xr:uid="{00000000-0004-0000-0400-000066000000}"/>
    <hyperlink ref="E96" r:id="rId104" xr:uid="{00000000-0004-0000-0400-000067000000}"/>
    <hyperlink ref="E98" r:id="rId105" xr:uid="{00000000-0004-0000-0400-000068000000}"/>
    <hyperlink ref="G98" r:id="rId106" xr:uid="{00000000-0004-0000-0400-000069000000}"/>
    <hyperlink ref="E99" r:id="rId107" xr:uid="{00000000-0004-0000-0400-00006A000000}"/>
    <hyperlink ref="G99" r:id="rId108" xr:uid="{00000000-0004-0000-0400-00006B000000}"/>
    <hyperlink ref="E100" r:id="rId109" xr:uid="{00000000-0004-0000-0400-00006C000000}"/>
    <hyperlink ref="G100" r:id="rId110" xr:uid="{00000000-0004-0000-0400-00006D000000}"/>
    <hyperlink ref="E101" r:id="rId111" xr:uid="{00000000-0004-0000-0400-00006E000000}"/>
    <hyperlink ref="E102" r:id="rId112" xr:uid="{00000000-0004-0000-0400-00006F000000}"/>
    <hyperlink ref="E103" r:id="rId113" xr:uid="{00000000-0004-0000-0400-000070000000}"/>
    <hyperlink ref="E104" r:id="rId114" xr:uid="{00000000-0004-0000-0400-000071000000}"/>
    <hyperlink ref="E105" r:id="rId115" xr:uid="{00000000-0004-0000-0400-000072000000}"/>
    <hyperlink ref="E106" r:id="rId116" xr:uid="{00000000-0004-0000-0400-000073000000}"/>
    <hyperlink ref="E107" r:id="rId117" xr:uid="{00000000-0004-0000-0400-000074000000}"/>
    <hyperlink ref="E108" r:id="rId118" xr:uid="{00000000-0004-0000-0400-000075000000}"/>
    <hyperlink ref="E109" r:id="rId119" xr:uid="{00000000-0004-0000-0400-000076000000}"/>
    <hyperlink ref="E110" r:id="rId120" xr:uid="{00000000-0004-0000-0400-000077000000}"/>
    <hyperlink ref="E111" r:id="rId121" xr:uid="{00000000-0004-0000-0400-000078000000}"/>
    <hyperlink ref="E112" r:id="rId122" xr:uid="{00000000-0004-0000-0400-000079000000}"/>
    <hyperlink ref="E113" r:id="rId123" xr:uid="{00000000-0004-0000-0400-00007A000000}"/>
    <hyperlink ref="E114" r:id="rId124" xr:uid="{00000000-0004-0000-0400-00007B000000}"/>
    <hyperlink ref="E115" r:id="rId125" xr:uid="{00000000-0004-0000-0400-00007C000000}"/>
    <hyperlink ref="E116" r:id="rId126" xr:uid="{00000000-0004-0000-0400-00007D000000}"/>
    <hyperlink ref="E117" r:id="rId127" xr:uid="{00000000-0004-0000-0400-00007E000000}"/>
    <hyperlink ref="E118" r:id="rId128" xr:uid="{00000000-0004-0000-0400-00007F000000}"/>
    <hyperlink ref="E119" r:id="rId129" xr:uid="{00000000-0004-0000-0400-000080000000}"/>
    <hyperlink ref="E120" r:id="rId130" xr:uid="{00000000-0004-0000-0400-000081000000}"/>
    <hyperlink ref="E121" r:id="rId131" xr:uid="{00000000-0004-0000-0400-000082000000}"/>
    <hyperlink ref="E122" r:id="rId132" xr:uid="{00000000-0004-0000-0400-000083000000}"/>
    <hyperlink ref="E123" r:id="rId133" xr:uid="{00000000-0004-0000-0400-000084000000}"/>
    <hyperlink ref="E124" r:id="rId134" xr:uid="{00000000-0004-0000-0400-000085000000}"/>
    <hyperlink ref="E125" r:id="rId135" xr:uid="{00000000-0004-0000-0400-000086000000}"/>
    <hyperlink ref="E126" r:id="rId136" xr:uid="{00000000-0004-0000-0400-000087000000}"/>
    <hyperlink ref="E127" r:id="rId137" xr:uid="{00000000-0004-0000-0400-000088000000}"/>
    <hyperlink ref="E128" r:id="rId138" xr:uid="{00000000-0004-0000-0400-000089000000}"/>
    <hyperlink ref="E130" r:id="rId139" xr:uid="{00000000-0004-0000-0400-00008A000000}"/>
    <hyperlink ref="G130" r:id="rId140" xr:uid="{00000000-0004-0000-0400-00008B000000}"/>
    <hyperlink ref="E131" r:id="rId141" xr:uid="{00000000-0004-0000-0400-00008C000000}"/>
    <hyperlink ref="G131" r:id="rId142" xr:uid="{00000000-0004-0000-0400-00008D000000}"/>
    <hyperlink ref="E132" r:id="rId143" xr:uid="{00000000-0004-0000-0400-00008E000000}"/>
    <hyperlink ref="E133" r:id="rId144" xr:uid="{00000000-0004-0000-0400-00008F000000}"/>
    <hyperlink ref="E134" r:id="rId145" xr:uid="{00000000-0004-0000-0400-000090000000}"/>
    <hyperlink ref="E135" r:id="rId146" xr:uid="{00000000-0004-0000-0400-000091000000}"/>
    <hyperlink ref="E136" r:id="rId147" xr:uid="{00000000-0004-0000-0400-000092000000}"/>
    <hyperlink ref="E137" r:id="rId148" xr:uid="{00000000-0004-0000-0400-000093000000}"/>
    <hyperlink ref="E138" r:id="rId149" xr:uid="{00000000-0004-0000-0400-000094000000}"/>
    <hyperlink ref="E139" r:id="rId150" xr:uid="{00000000-0004-0000-0400-000095000000}"/>
    <hyperlink ref="E140" r:id="rId151" xr:uid="{00000000-0004-0000-0400-000096000000}"/>
    <hyperlink ref="E141" r:id="rId152" xr:uid="{00000000-0004-0000-0400-000097000000}"/>
    <hyperlink ref="E142" r:id="rId153" xr:uid="{00000000-0004-0000-0400-000098000000}"/>
    <hyperlink ref="E143" r:id="rId154" xr:uid="{00000000-0004-0000-0400-000099000000}"/>
    <hyperlink ref="E144" r:id="rId155" xr:uid="{00000000-0004-0000-0400-00009A000000}"/>
    <hyperlink ref="E145" r:id="rId156" xr:uid="{00000000-0004-0000-0400-00009B000000}"/>
    <hyperlink ref="E146" r:id="rId157" xr:uid="{00000000-0004-0000-0400-00009C000000}"/>
    <hyperlink ref="E147" r:id="rId158" xr:uid="{00000000-0004-0000-0400-00009D000000}"/>
    <hyperlink ref="E148" r:id="rId159" xr:uid="{00000000-0004-0000-0400-00009E000000}"/>
    <hyperlink ref="E149" r:id="rId160" xr:uid="{00000000-0004-0000-0400-00009F000000}"/>
    <hyperlink ref="E150" r:id="rId161" xr:uid="{00000000-0004-0000-0400-0000A0000000}"/>
    <hyperlink ref="E151" r:id="rId162" xr:uid="{00000000-0004-0000-0400-0000A1000000}"/>
    <hyperlink ref="E152" r:id="rId163" xr:uid="{00000000-0004-0000-0400-0000A2000000}"/>
    <hyperlink ref="E153" r:id="rId164" xr:uid="{00000000-0004-0000-0400-0000A3000000}"/>
    <hyperlink ref="E154" r:id="rId165" xr:uid="{00000000-0004-0000-0400-0000A4000000}"/>
    <hyperlink ref="E155" r:id="rId166" xr:uid="{00000000-0004-0000-0400-0000A5000000}"/>
    <hyperlink ref="E156" r:id="rId167" xr:uid="{00000000-0004-0000-0400-0000A6000000}"/>
    <hyperlink ref="E157" r:id="rId168" xr:uid="{00000000-0004-0000-0400-0000A7000000}"/>
    <hyperlink ref="E158" r:id="rId169" xr:uid="{00000000-0004-0000-0400-0000A8000000}"/>
    <hyperlink ref="E159" r:id="rId170" xr:uid="{00000000-0004-0000-0400-0000A9000000}"/>
    <hyperlink ref="E160" r:id="rId171" xr:uid="{00000000-0004-0000-0400-0000AA000000}"/>
    <hyperlink ref="E161" r:id="rId172" xr:uid="{00000000-0004-0000-0400-0000AB000000}"/>
    <hyperlink ref="E162" r:id="rId173" xr:uid="{00000000-0004-0000-0400-0000AC000000}"/>
    <hyperlink ref="E163" r:id="rId174" xr:uid="{00000000-0004-0000-0400-0000AD000000}"/>
    <hyperlink ref="E164" r:id="rId175" xr:uid="{00000000-0004-0000-0400-0000AE000000}"/>
    <hyperlink ref="E165" r:id="rId176" xr:uid="{00000000-0004-0000-0400-0000AF000000}"/>
    <hyperlink ref="E166" r:id="rId177" xr:uid="{00000000-0004-0000-0400-0000B0000000}"/>
    <hyperlink ref="E168" r:id="rId178" xr:uid="{00000000-0004-0000-0400-0000B1000000}"/>
    <hyperlink ref="G168" r:id="rId179" xr:uid="{00000000-0004-0000-0400-0000B2000000}"/>
    <hyperlink ref="E169" r:id="rId180" xr:uid="{00000000-0004-0000-0400-0000B3000000}"/>
    <hyperlink ref="G169" r:id="rId181" xr:uid="{00000000-0004-0000-0400-0000B4000000}"/>
    <hyperlink ref="E170" r:id="rId182" xr:uid="{00000000-0004-0000-0400-0000B5000000}"/>
    <hyperlink ref="G170" r:id="rId183" xr:uid="{00000000-0004-0000-0400-0000B6000000}"/>
    <hyperlink ref="E171" r:id="rId184" xr:uid="{00000000-0004-0000-0400-0000B7000000}"/>
    <hyperlink ref="E172" r:id="rId185" xr:uid="{00000000-0004-0000-0400-0000B8000000}"/>
    <hyperlink ref="E173" r:id="rId186" xr:uid="{00000000-0004-0000-0400-0000B9000000}"/>
    <hyperlink ref="E174" r:id="rId187" xr:uid="{00000000-0004-0000-0400-0000BA000000}"/>
    <hyperlink ref="E175" r:id="rId188" xr:uid="{00000000-0004-0000-0400-0000BB000000}"/>
    <hyperlink ref="E176" r:id="rId189" xr:uid="{00000000-0004-0000-0400-0000BC000000}"/>
    <hyperlink ref="E177" r:id="rId190" xr:uid="{00000000-0004-0000-0400-0000BD000000}"/>
    <hyperlink ref="E178" r:id="rId191" xr:uid="{00000000-0004-0000-0400-0000BE000000}"/>
    <hyperlink ref="E179" r:id="rId192" xr:uid="{00000000-0004-0000-0400-0000BF000000}"/>
    <hyperlink ref="E180" r:id="rId193" xr:uid="{00000000-0004-0000-0400-0000C0000000}"/>
    <hyperlink ref="E181" r:id="rId194" xr:uid="{00000000-0004-0000-0400-0000C1000000}"/>
    <hyperlink ref="E182" r:id="rId195" xr:uid="{00000000-0004-0000-0400-0000C2000000}"/>
    <hyperlink ref="E183" r:id="rId196" xr:uid="{00000000-0004-0000-0400-0000C3000000}"/>
    <hyperlink ref="E184" r:id="rId197" xr:uid="{00000000-0004-0000-0400-0000C4000000}"/>
    <hyperlink ref="E185" r:id="rId198" xr:uid="{00000000-0004-0000-0400-0000C5000000}"/>
    <hyperlink ref="E186" r:id="rId199" xr:uid="{00000000-0004-0000-0400-0000C6000000}"/>
    <hyperlink ref="E187" r:id="rId200" xr:uid="{00000000-0004-0000-0400-0000C7000000}"/>
    <hyperlink ref="E188" r:id="rId201" xr:uid="{00000000-0004-0000-0400-0000C8000000}"/>
    <hyperlink ref="E190" r:id="rId202" xr:uid="{00000000-0004-0000-0400-0000C9000000}"/>
    <hyperlink ref="E191" r:id="rId203" xr:uid="{00000000-0004-0000-0400-0000CA000000}"/>
    <hyperlink ref="E192" r:id="rId204" xr:uid="{00000000-0004-0000-0400-0000CB000000}"/>
    <hyperlink ref="E193" r:id="rId205" xr:uid="{00000000-0004-0000-0400-0000CC000000}"/>
    <hyperlink ref="E195" r:id="rId206" xr:uid="{00000000-0004-0000-0400-0000CD000000}"/>
    <hyperlink ref="G195" r:id="rId207" xr:uid="{00000000-0004-0000-0400-0000CE000000}"/>
    <hyperlink ref="E196" r:id="rId208" xr:uid="{00000000-0004-0000-0400-0000CF000000}"/>
    <hyperlink ref="G196" r:id="rId209" xr:uid="{00000000-0004-0000-0400-0000D0000000}"/>
    <hyperlink ref="E197" r:id="rId210" xr:uid="{00000000-0004-0000-0400-0000D1000000}"/>
    <hyperlink ref="E198" r:id="rId211" xr:uid="{00000000-0004-0000-0400-0000D2000000}"/>
    <hyperlink ref="E199" r:id="rId212" xr:uid="{00000000-0004-0000-0400-0000D3000000}"/>
    <hyperlink ref="E200" r:id="rId213" xr:uid="{00000000-0004-0000-0400-0000D4000000}"/>
    <hyperlink ref="E201" r:id="rId214" xr:uid="{00000000-0004-0000-0400-0000D5000000}"/>
    <hyperlink ref="E202" r:id="rId215" xr:uid="{00000000-0004-0000-0400-0000D6000000}"/>
    <hyperlink ref="E203" r:id="rId216" xr:uid="{00000000-0004-0000-0400-0000D7000000}"/>
    <hyperlink ref="E204" r:id="rId217" xr:uid="{00000000-0004-0000-0400-0000D8000000}"/>
    <hyperlink ref="E205" r:id="rId218" xr:uid="{00000000-0004-0000-0400-0000D9000000}"/>
    <hyperlink ref="E206" r:id="rId219" xr:uid="{00000000-0004-0000-0400-0000DA000000}"/>
    <hyperlink ref="E207" r:id="rId220" xr:uid="{00000000-0004-0000-0400-0000DB000000}"/>
    <hyperlink ref="E209" r:id="rId221" xr:uid="{00000000-0004-0000-0400-0000DC000000}"/>
    <hyperlink ref="G209" r:id="rId222" xr:uid="{00000000-0004-0000-0400-0000DD000000}"/>
    <hyperlink ref="E210" r:id="rId223" xr:uid="{00000000-0004-0000-0400-0000DE000000}"/>
    <hyperlink ref="G210" r:id="rId224" xr:uid="{00000000-0004-0000-0400-0000DF000000}"/>
    <hyperlink ref="E211" r:id="rId225" xr:uid="{00000000-0004-0000-0400-0000E0000000}"/>
    <hyperlink ref="G211" r:id="rId226" xr:uid="{00000000-0004-0000-0400-0000E1000000}"/>
    <hyperlink ref="E212" r:id="rId227" xr:uid="{00000000-0004-0000-0400-0000E2000000}"/>
    <hyperlink ref="E213" r:id="rId228" xr:uid="{00000000-0004-0000-0400-0000E3000000}"/>
    <hyperlink ref="E214" r:id="rId229" xr:uid="{00000000-0004-0000-0400-0000E4000000}"/>
    <hyperlink ref="E215" r:id="rId230" xr:uid="{00000000-0004-0000-0400-0000E5000000}"/>
    <hyperlink ref="E216" r:id="rId231" xr:uid="{00000000-0004-0000-0400-0000E6000000}"/>
    <hyperlink ref="E217" r:id="rId232" xr:uid="{00000000-0004-0000-0400-0000E7000000}"/>
    <hyperlink ref="E218" r:id="rId233" xr:uid="{00000000-0004-0000-0400-0000E8000000}"/>
    <hyperlink ref="E219" r:id="rId234" xr:uid="{00000000-0004-0000-0400-0000E9000000}"/>
    <hyperlink ref="E220" r:id="rId235" xr:uid="{00000000-0004-0000-0400-0000EA000000}"/>
    <hyperlink ref="E221" r:id="rId236" xr:uid="{00000000-0004-0000-0400-0000EB000000}"/>
    <hyperlink ref="E222" r:id="rId237" xr:uid="{00000000-0004-0000-0400-0000EC000000}"/>
    <hyperlink ref="E223" r:id="rId238" xr:uid="{00000000-0004-0000-0400-0000ED000000}"/>
    <hyperlink ref="E224" r:id="rId239" xr:uid="{00000000-0004-0000-0400-0000EE000000}"/>
    <hyperlink ref="E225" r:id="rId240" xr:uid="{00000000-0004-0000-0400-0000EF000000}"/>
    <hyperlink ref="E226" r:id="rId241" xr:uid="{00000000-0004-0000-0400-0000F0000000}"/>
    <hyperlink ref="E227" r:id="rId242" xr:uid="{00000000-0004-0000-0400-0000F1000000}"/>
    <hyperlink ref="E228" r:id="rId243" xr:uid="{00000000-0004-0000-0400-0000F2000000}"/>
    <hyperlink ref="E229" r:id="rId244" xr:uid="{00000000-0004-0000-0400-0000F3000000}"/>
    <hyperlink ref="E231" r:id="rId245" xr:uid="{00000000-0004-0000-0400-0000F4000000}"/>
    <hyperlink ref="G231" r:id="rId246" xr:uid="{00000000-0004-0000-0400-0000F5000000}"/>
    <hyperlink ref="E232" r:id="rId247" xr:uid="{00000000-0004-0000-0400-0000F6000000}"/>
    <hyperlink ref="E233" r:id="rId248" xr:uid="{00000000-0004-0000-0400-0000F7000000}"/>
    <hyperlink ref="E234" r:id="rId249" xr:uid="{00000000-0004-0000-0400-0000F8000000}"/>
    <hyperlink ref="E235" r:id="rId250" xr:uid="{00000000-0004-0000-0400-0000F9000000}"/>
    <hyperlink ref="E236" r:id="rId251" xr:uid="{00000000-0004-0000-0400-0000FA000000}"/>
    <hyperlink ref="E237" r:id="rId252" xr:uid="{00000000-0004-0000-0400-0000FB000000}"/>
    <hyperlink ref="E238" r:id="rId253" xr:uid="{00000000-0004-0000-0400-0000FC000000}"/>
    <hyperlink ref="E239" r:id="rId254" xr:uid="{00000000-0004-0000-0400-0000FD000000}"/>
    <hyperlink ref="E240" r:id="rId255" xr:uid="{00000000-0004-0000-0400-0000FE000000}"/>
    <hyperlink ref="E241" r:id="rId256" xr:uid="{00000000-0004-0000-0400-0000FF000000}"/>
    <hyperlink ref="E242" r:id="rId257" xr:uid="{00000000-0004-0000-0400-000000010000}"/>
    <hyperlink ref="E243" r:id="rId258" xr:uid="{00000000-0004-0000-0400-000001010000}"/>
    <hyperlink ref="E244" r:id="rId259" xr:uid="{00000000-0004-0000-0400-000002010000}"/>
    <hyperlink ref="E245" r:id="rId260" xr:uid="{00000000-0004-0000-0400-000003010000}"/>
    <hyperlink ref="E246" r:id="rId261" xr:uid="{00000000-0004-0000-0400-000004010000}"/>
    <hyperlink ref="E248" r:id="rId262" xr:uid="{00000000-0004-0000-0400-000005010000}"/>
    <hyperlink ref="G248" r:id="rId263" xr:uid="{00000000-0004-0000-0400-000006010000}"/>
    <hyperlink ref="E249" r:id="rId264" xr:uid="{00000000-0004-0000-0400-000007010000}"/>
    <hyperlink ref="E250" r:id="rId265" xr:uid="{00000000-0004-0000-0400-000008010000}"/>
    <hyperlink ref="E251" r:id="rId266" xr:uid="{00000000-0004-0000-0400-000009010000}"/>
    <hyperlink ref="E252" r:id="rId267" xr:uid="{00000000-0004-0000-0400-00000A010000}"/>
    <hyperlink ref="E253" r:id="rId268" xr:uid="{00000000-0004-0000-0400-00000B010000}"/>
    <hyperlink ref="E254" r:id="rId269" xr:uid="{00000000-0004-0000-0400-00000C010000}"/>
    <hyperlink ref="E255" r:id="rId270" xr:uid="{00000000-0004-0000-0400-00000D010000}"/>
    <hyperlink ref="E256" r:id="rId271" xr:uid="{00000000-0004-0000-0400-00000E010000}"/>
    <hyperlink ref="E257" r:id="rId272" xr:uid="{00000000-0004-0000-0400-00000F010000}"/>
    <hyperlink ref="E258" r:id="rId273" xr:uid="{00000000-0004-0000-0400-000010010000}"/>
    <hyperlink ref="E259" r:id="rId274" xr:uid="{00000000-0004-0000-0400-000011010000}"/>
    <hyperlink ref="E260" r:id="rId275" xr:uid="{00000000-0004-0000-0400-000012010000}"/>
    <hyperlink ref="E261" r:id="rId276" xr:uid="{00000000-0004-0000-0400-000013010000}"/>
    <hyperlink ref="E262" r:id="rId277" xr:uid="{00000000-0004-0000-0400-000014010000}"/>
    <hyperlink ref="E263" r:id="rId278" xr:uid="{00000000-0004-0000-0400-000015010000}"/>
    <hyperlink ref="E264" r:id="rId279" xr:uid="{00000000-0004-0000-0400-000016010000}"/>
    <hyperlink ref="E265" r:id="rId280" xr:uid="{00000000-0004-0000-0400-000017010000}"/>
    <hyperlink ref="E266" r:id="rId281" xr:uid="{00000000-0004-0000-0400-000018010000}"/>
    <hyperlink ref="E267" r:id="rId282" xr:uid="{00000000-0004-0000-0400-000019010000}"/>
    <hyperlink ref="E268" r:id="rId283" xr:uid="{00000000-0004-0000-0400-00001A010000}"/>
    <hyperlink ref="E270" r:id="rId284" xr:uid="{00000000-0004-0000-0400-00001B010000}"/>
    <hyperlink ref="E271" r:id="rId285" xr:uid="{00000000-0004-0000-0400-00001C010000}"/>
    <hyperlink ref="E272" r:id="rId286" xr:uid="{00000000-0004-0000-0400-00001D010000}"/>
    <hyperlink ref="E273" r:id="rId287" xr:uid="{00000000-0004-0000-0400-00001E010000}"/>
    <hyperlink ref="E274" r:id="rId288" xr:uid="{00000000-0004-0000-0400-00001F010000}"/>
    <hyperlink ref="E275" r:id="rId289" xr:uid="{00000000-0004-0000-0400-000020010000}"/>
    <hyperlink ref="E277" r:id="rId290" xr:uid="{00000000-0004-0000-0400-000021010000}"/>
    <hyperlink ref="G277" r:id="rId291" xr:uid="{00000000-0004-0000-0400-000022010000}"/>
    <hyperlink ref="E278" r:id="rId292" xr:uid="{00000000-0004-0000-0400-000023010000}"/>
    <hyperlink ref="G278" r:id="rId293" xr:uid="{00000000-0004-0000-0400-000024010000}"/>
    <hyperlink ref="E279" r:id="rId294" xr:uid="{00000000-0004-0000-0400-000025010000}"/>
    <hyperlink ref="G279" r:id="rId295" xr:uid="{00000000-0004-0000-0400-000026010000}"/>
    <hyperlink ref="E280" r:id="rId296" xr:uid="{00000000-0004-0000-0400-000027010000}"/>
    <hyperlink ref="G280" r:id="rId297" xr:uid="{00000000-0004-0000-0400-000028010000}"/>
    <hyperlink ref="E281" r:id="rId298" xr:uid="{00000000-0004-0000-0400-000029010000}"/>
    <hyperlink ref="E282" r:id="rId299" xr:uid="{00000000-0004-0000-0400-00002A010000}"/>
    <hyperlink ref="E283" r:id="rId300" xr:uid="{00000000-0004-0000-0400-00002B010000}"/>
    <hyperlink ref="E284" r:id="rId301" xr:uid="{00000000-0004-0000-0400-00002C010000}"/>
    <hyperlink ref="E285" r:id="rId302" xr:uid="{00000000-0004-0000-0400-00002D010000}"/>
    <hyperlink ref="E286" r:id="rId303" xr:uid="{00000000-0004-0000-0400-00002E010000}"/>
    <hyperlink ref="E287" r:id="rId304" xr:uid="{00000000-0004-0000-0400-00002F010000}"/>
    <hyperlink ref="E288" r:id="rId305" xr:uid="{00000000-0004-0000-0400-000030010000}"/>
    <hyperlink ref="E289" r:id="rId306" xr:uid="{00000000-0004-0000-0400-000031010000}"/>
    <hyperlink ref="E290" r:id="rId307" xr:uid="{00000000-0004-0000-0400-000032010000}"/>
    <hyperlink ref="E291" r:id="rId308" xr:uid="{00000000-0004-0000-0400-000033010000}"/>
    <hyperlink ref="E292" r:id="rId309" xr:uid="{00000000-0004-0000-0400-000034010000}"/>
    <hyperlink ref="E293" r:id="rId310" xr:uid="{00000000-0004-0000-0400-000035010000}"/>
    <hyperlink ref="E294" r:id="rId311" xr:uid="{00000000-0004-0000-0400-000036010000}"/>
    <hyperlink ref="E296" r:id="rId312" xr:uid="{00000000-0004-0000-0400-000037010000}"/>
    <hyperlink ref="G296" r:id="rId313" xr:uid="{00000000-0004-0000-0400-000038010000}"/>
    <hyperlink ref="E297" r:id="rId314" xr:uid="{00000000-0004-0000-0400-000039010000}"/>
    <hyperlink ref="G297" r:id="rId315" xr:uid="{00000000-0004-0000-0400-00003A010000}"/>
    <hyperlink ref="E298" r:id="rId316" xr:uid="{00000000-0004-0000-0400-00003B010000}"/>
    <hyperlink ref="E299" r:id="rId317" xr:uid="{00000000-0004-0000-0400-00003C010000}"/>
    <hyperlink ref="E300" r:id="rId318" xr:uid="{00000000-0004-0000-0400-00003D010000}"/>
    <hyperlink ref="E301" r:id="rId319" xr:uid="{00000000-0004-0000-0400-00003E010000}"/>
    <hyperlink ref="E302" r:id="rId320" xr:uid="{00000000-0004-0000-0400-00003F010000}"/>
    <hyperlink ref="E303" r:id="rId321" xr:uid="{00000000-0004-0000-0400-000040010000}"/>
    <hyperlink ref="E304" r:id="rId322" xr:uid="{00000000-0004-0000-0400-000041010000}"/>
    <hyperlink ref="E305" r:id="rId323" xr:uid="{00000000-0004-0000-0400-000042010000}"/>
    <hyperlink ref="E306" r:id="rId324" xr:uid="{00000000-0004-0000-0400-000043010000}"/>
    <hyperlink ref="E307" r:id="rId325" xr:uid="{00000000-0004-0000-0400-000044010000}"/>
    <hyperlink ref="E308" r:id="rId326" xr:uid="{00000000-0004-0000-0400-000045010000}"/>
    <hyperlink ref="E309" r:id="rId327" xr:uid="{00000000-0004-0000-0400-000046010000}"/>
    <hyperlink ref="E310" r:id="rId328" xr:uid="{00000000-0004-0000-0400-000047010000}"/>
    <hyperlink ref="E311" r:id="rId329" xr:uid="{00000000-0004-0000-0400-000048010000}"/>
    <hyperlink ref="E312" r:id="rId330" xr:uid="{00000000-0004-0000-0400-000049010000}"/>
    <hyperlink ref="E314" r:id="rId331" xr:uid="{00000000-0004-0000-0400-00004A010000}"/>
    <hyperlink ref="G314" r:id="rId332" xr:uid="{00000000-0004-0000-0400-00004B010000}"/>
    <hyperlink ref="E315" r:id="rId333" xr:uid="{00000000-0004-0000-0400-00004C010000}"/>
    <hyperlink ref="G315" r:id="rId334" xr:uid="{00000000-0004-0000-0400-00004D010000}"/>
    <hyperlink ref="E316" r:id="rId335" xr:uid="{00000000-0004-0000-0400-00004E010000}"/>
    <hyperlink ref="E317" r:id="rId336" xr:uid="{00000000-0004-0000-0400-00004F010000}"/>
    <hyperlink ref="E318" r:id="rId337" xr:uid="{00000000-0004-0000-0400-000050010000}"/>
    <hyperlink ref="E319" r:id="rId338" xr:uid="{00000000-0004-0000-0400-000051010000}"/>
    <hyperlink ref="E320" r:id="rId339" xr:uid="{00000000-0004-0000-0400-000052010000}"/>
    <hyperlink ref="E321" r:id="rId340" xr:uid="{00000000-0004-0000-0400-000053010000}"/>
    <hyperlink ref="E322" r:id="rId341" xr:uid="{00000000-0004-0000-0400-000054010000}"/>
    <hyperlink ref="E323" r:id="rId342" xr:uid="{00000000-0004-0000-0400-000055010000}"/>
    <hyperlink ref="E324" r:id="rId343" xr:uid="{00000000-0004-0000-0400-000056010000}"/>
    <hyperlink ref="E325" r:id="rId344" xr:uid="{00000000-0004-0000-0400-000057010000}"/>
    <hyperlink ref="E326" r:id="rId345" xr:uid="{00000000-0004-0000-0400-000058010000}"/>
    <hyperlink ref="E327" r:id="rId346" xr:uid="{00000000-0004-0000-0400-000059010000}"/>
    <hyperlink ref="E328" r:id="rId347" xr:uid="{00000000-0004-0000-0400-00005A010000}"/>
    <hyperlink ref="E329" r:id="rId348" xr:uid="{00000000-0004-0000-0400-00005B010000}"/>
    <hyperlink ref="E330" r:id="rId349" xr:uid="{00000000-0004-0000-0400-00005C010000}"/>
    <hyperlink ref="E331" r:id="rId350" xr:uid="{00000000-0004-0000-0400-00005D010000}"/>
    <hyperlink ref="E332" r:id="rId351" xr:uid="{00000000-0004-0000-0400-00005E010000}"/>
    <hyperlink ref="E333" r:id="rId352" xr:uid="{00000000-0004-0000-0400-00005F010000}"/>
    <hyperlink ref="E334" r:id="rId353" xr:uid="{00000000-0004-0000-0400-000060010000}"/>
    <hyperlink ref="E335" r:id="rId354" xr:uid="{00000000-0004-0000-0400-000061010000}"/>
    <hyperlink ref="E336" r:id="rId355" xr:uid="{00000000-0004-0000-0400-000062010000}"/>
    <hyperlink ref="E337" r:id="rId356" xr:uid="{00000000-0004-0000-0400-000063010000}"/>
    <hyperlink ref="E338" r:id="rId357" xr:uid="{00000000-0004-0000-0400-000064010000}"/>
    <hyperlink ref="E339" r:id="rId358" xr:uid="{00000000-0004-0000-0400-000065010000}"/>
    <hyperlink ref="E340" r:id="rId359" xr:uid="{00000000-0004-0000-0400-000066010000}"/>
    <hyperlink ref="E341" r:id="rId360" xr:uid="{00000000-0004-0000-0400-000067010000}"/>
    <hyperlink ref="E342" r:id="rId361" xr:uid="{00000000-0004-0000-0400-000068010000}"/>
    <hyperlink ref="E343" r:id="rId362" xr:uid="{00000000-0004-0000-0400-000069010000}"/>
    <hyperlink ref="E344" r:id="rId363" xr:uid="{00000000-0004-0000-0400-00006A010000}"/>
    <hyperlink ref="E345" r:id="rId364" xr:uid="{00000000-0004-0000-0400-00006B010000}"/>
    <hyperlink ref="E346" r:id="rId365" xr:uid="{00000000-0004-0000-0400-00006C010000}"/>
    <hyperlink ref="E347" r:id="rId366" xr:uid="{00000000-0004-0000-0400-00006D010000}"/>
    <hyperlink ref="E348" r:id="rId367" xr:uid="{00000000-0004-0000-0400-00006E010000}"/>
    <hyperlink ref="E349" r:id="rId368" xr:uid="{00000000-0004-0000-0400-00006F010000}"/>
    <hyperlink ref="E350" r:id="rId369" xr:uid="{00000000-0004-0000-0400-000070010000}"/>
    <hyperlink ref="E351" r:id="rId370" xr:uid="{00000000-0004-0000-0400-000071010000}"/>
    <hyperlink ref="E352" r:id="rId371" xr:uid="{00000000-0004-0000-0400-000072010000}"/>
    <hyperlink ref="E353" r:id="rId372" xr:uid="{00000000-0004-0000-0400-000073010000}"/>
    <hyperlink ref="E354" r:id="rId373" xr:uid="{00000000-0004-0000-0400-000074010000}"/>
    <hyperlink ref="E355" r:id="rId374" xr:uid="{00000000-0004-0000-0400-000075010000}"/>
    <hyperlink ref="E357" r:id="rId375" xr:uid="{00000000-0004-0000-0400-000076010000}"/>
    <hyperlink ref="G357" r:id="rId376" xr:uid="{00000000-0004-0000-0400-000077010000}"/>
    <hyperlink ref="E358" r:id="rId377" xr:uid="{00000000-0004-0000-0400-000078010000}"/>
    <hyperlink ref="G358" r:id="rId378" xr:uid="{00000000-0004-0000-0400-000079010000}"/>
    <hyperlink ref="E359" r:id="rId379" xr:uid="{00000000-0004-0000-0400-00007A010000}"/>
    <hyperlink ref="G359" r:id="rId380" xr:uid="{00000000-0004-0000-0400-00007B010000}"/>
    <hyperlink ref="E360" r:id="rId381" xr:uid="{00000000-0004-0000-0400-00007C010000}"/>
    <hyperlink ref="G360" r:id="rId382" xr:uid="{00000000-0004-0000-0400-00007D010000}"/>
    <hyperlink ref="E361" r:id="rId383" xr:uid="{00000000-0004-0000-0400-00007E010000}"/>
    <hyperlink ref="G361" r:id="rId384" xr:uid="{00000000-0004-0000-0400-00007F010000}"/>
    <hyperlink ref="E362" r:id="rId385" xr:uid="{00000000-0004-0000-0400-000080010000}"/>
    <hyperlink ref="E363" r:id="rId386" xr:uid="{00000000-0004-0000-0400-000081010000}"/>
    <hyperlink ref="E364" r:id="rId387" xr:uid="{00000000-0004-0000-0400-000082010000}"/>
    <hyperlink ref="E365" r:id="rId388" xr:uid="{00000000-0004-0000-0400-000083010000}"/>
    <hyperlink ref="E366" r:id="rId389" xr:uid="{00000000-0004-0000-0400-000084010000}"/>
    <hyperlink ref="E367" r:id="rId390" xr:uid="{00000000-0004-0000-0400-000085010000}"/>
    <hyperlink ref="E368" r:id="rId391" xr:uid="{00000000-0004-0000-0400-000086010000}"/>
    <hyperlink ref="E369" r:id="rId392" xr:uid="{00000000-0004-0000-0400-000087010000}"/>
    <hyperlink ref="E370" r:id="rId393" xr:uid="{00000000-0004-0000-0400-000088010000}"/>
    <hyperlink ref="E371" r:id="rId394" xr:uid="{00000000-0004-0000-0400-000089010000}"/>
    <hyperlink ref="E372" r:id="rId395" xr:uid="{00000000-0004-0000-0400-00008A010000}"/>
    <hyperlink ref="E373" r:id="rId396" xr:uid="{00000000-0004-0000-0400-00008B010000}"/>
    <hyperlink ref="E374" r:id="rId397" xr:uid="{00000000-0004-0000-0400-00008C010000}"/>
    <hyperlink ref="E375" r:id="rId398" xr:uid="{00000000-0004-0000-0400-00008D010000}"/>
    <hyperlink ref="E376" r:id="rId399" xr:uid="{00000000-0004-0000-0400-00008E010000}"/>
    <hyperlink ref="E377" r:id="rId400" xr:uid="{00000000-0004-0000-0400-00008F010000}"/>
    <hyperlink ref="E378" r:id="rId401" xr:uid="{00000000-0004-0000-0400-000090010000}"/>
    <hyperlink ref="E379" r:id="rId402" xr:uid="{00000000-0004-0000-0400-000091010000}"/>
    <hyperlink ref="E380" r:id="rId403" xr:uid="{00000000-0004-0000-0400-000092010000}"/>
    <hyperlink ref="E381" r:id="rId404" xr:uid="{00000000-0004-0000-0400-000093010000}"/>
    <hyperlink ref="E382" r:id="rId405" xr:uid="{00000000-0004-0000-0400-000094010000}"/>
    <hyperlink ref="E383" r:id="rId406" xr:uid="{00000000-0004-0000-0400-000095010000}"/>
    <hyperlink ref="E384" r:id="rId407" xr:uid="{00000000-0004-0000-0400-000096010000}"/>
    <hyperlink ref="E385" r:id="rId408" xr:uid="{00000000-0004-0000-0400-000097010000}"/>
    <hyperlink ref="E386" r:id="rId409" xr:uid="{00000000-0004-0000-0400-000098010000}"/>
    <hyperlink ref="E387" r:id="rId410" xr:uid="{00000000-0004-0000-0400-000099010000}"/>
    <hyperlink ref="E388" r:id="rId411" xr:uid="{00000000-0004-0000-0400-00009A010000}"/>
    <hyperlink ref="E389" r:id="rId412" xr:uid="{00000000-0004-0000-0400-00009B010000}"/>
    <hyperlink ref="E390" r:id="rId413" xr:uid="{00000000-0004-0000-0400-00009C010000}"/>
    <hyperlink ref="E391" r:id="rId414" xr:uid="{00000000-0004-0000-0400-00009D010000}"/>
    <hyperlink ref="E392" r:id="rId415" xr:uid="{00000000-0004-0000-0400-00009E010000}"/>
    <hyperlink ref="E393" r:id="rId416" xr:uid="{00000000-0004-0000-0400-00009F010000}"/>
    <hyperlink ref="E394" r:id="rId417" xr:uid="{00000000-0004-0000-0400-0000A0010000}"/>
    <hyperlink ref="E395" r:id="rId418" xr:uid="{00000000-0004-0000-0400-0000A1010000}"/>
    <hyperlink ref="E396" r:id="rId419" xr:uid="{00000000-0004-0000-0400-0000A2010000}"/>
    <hyperlink ref="E397" r:id="rId420" xr:uid="{00000000-0004-0000-0400-0000A3010000}"/>
    <hyperlink ref="E399" r:id="rId421" xr:uid="{00000000-0004-0000-0400-0000A4010000}"/>
    <hyperlink ref="G399" r:id="rId422" xr:uid="{00000000-0004-0000-0400-0000A5010000}"/>
    <hyperlink ref="E400" r:id="rId423" xr:uid="{00000000-0004-0000-0400-0000A6010000}"/>
    <hyperlink ref="G400" r:id="rId424" xr:uid="{00000000-0004-0000-0400-0000A7010000}"/>
    <hyperlink ref="E401" r:id="rId425" xr:uid="{00000000-0004-0000-0400-0000A8010000}"/>
    <hyperlink ref="E402" r:id="rId426" xr:uid="{00000000-0004-0000-0400-0000A9010000}"/>
    <hyperlink ref="E403" r:id="rId427" xr:uid="{00000000-0004-0000-0400-0000AA010000}"/>
    <hyperlink ref="E404" r:id="rId428" xr:uid="{00000000-0004-0000-0400-0000AB010000}"/>
    <hyperlink ref="E405" r:id="rId429" xr:uid="{00000000-0004-0000-0400-0000AC010000}"/>
    <hyperlink ref="E406" r:id="rId430" xr:uid="{00000000-0004-0000-0400-0000AD010000}"/>
    <hyperlink ref="E407" r:id="rId431" xr:uid="{00000000-0004-0000-0400-0000AE010000}"/>
    <hyperlink ref="E408" r:id="rId432" xr:uid="{00000000-0004-0000-0400-0000AF010000}"/>
    <hyperlink ref="E409" r:id="rId433" xr:uid="{00000000-0004-0000-0400-0000B0010000}"/>
    <hyperlink ref="E410" r:id="rId434" xr:uid="{00000000-0004-0000-0400-0000B1010000}"/>
    <hyperlink ref="E411" r:id="rId435" xr:uid="{00000000-0004-0000-0400-0000B2010000}"/>
    <hyperlink ref="E412" r:id="rId436" xr:uid="{00000000-0004-0000-0400-0000B3010000}"/>
    <hyperlink ref="E413" r:id="rId437" xr:uid="{00000000-0004-0000-0400-0000B4010000}"/>
    <hyperlink ref="E414" r:id="rId438" xr:uid="{00000000-0004-0000-0400-0000B5010000}"/>
    <hyperlink ref="E415" r:id="rId439" xr:uid="{00000000-0004-0000-0400-0000B6010000}"/>
    <hyperlink ref="E416" r:id="rId440" xr:uid="{00000000-0004-0000-0400-0000B7010000}"/>
    <hyperlink ref="E417" r:id="rId441" xr:uid="{00000000-0004-0000-0400-0000B8010000}"/>
    <hyperlink ref="E418" r:id="rId442" xr:uid="{00000000-0004-0000-0400-0000B9010000}"/>
    <hyperlink ref="E419" r:id="rId443" xr:uid="{00000000-0004-0000-0400-0000BA010000}"/>
    <hyperlink ref="E420" r:id="rId444" xr:uid="{00000000-0004-0000-0400-0000BB010000}"/>
    <hyperlink ref="E421" r:id="rId445" xr:uid="{00000000-0004-0000-0400-0000BC010000}"/>
    <hyperlink ref="E422" r:id="rId446" xr:uid="{00000000-0004-0000-0400-0000BD010000}"/>
    <hyperlink ref="E423" r:id="rId447" xr:uid="{00000000-0004-0000-0400-0000BE010000}"/>
    <hyperlink ref="E424" r:id="rId448" xr:uid="{00000000-0004-0000-0400-0000BF010000}"/>
    <hyperlink ref="E425" r:id="rId449" xr:uid="{00000000-0004-0000-0400-0000C0010000}"/>
    <hyperlink ref="E427" r:id="rId450" xr:uid="{00000000-0004-0000-0400-0000C1010000}"/>
    <hyperlink ref="E428" r:id="rId451" xr:uid="{00000000-0004-0000-0400-0000C2010000}"/>
    <hyperlink ref="E429" r:id="rId452" xr:uid="{00000000-0004-0000-0400-0000C3010000}"/>
    <hyperlink ref="E430" r:id="rId453" xr:uid="{00000000-0004-0000-0400-0000C4010000}"/>
    <hyperlink ref="E431" r:id="rId454" xr:uid="{00000000-0004-0000-0400-0000C5010000}"/>
    <hyperlink ref="E432" r:id="rId455" xr:uid="{00000000-0004-0000-0400-0000C6010000}"/>
    <hyperlink ref="E433" r:id="rId456" xr:uid="{00000000-0004-0000-0400-0000C7010000}"/>
    <hyperlink ref="E434" r:id="rId457" xr:uid="{00000000-0004-0000-0400-0000C8010000}"/>
    <hyperlink ref="E435" r:id="rId458" xr:uid="{00000000-0004-0000-0400-0000C9010000}"/>
    <hyperlink ref="E436" r:id="rId459" xr:uid="{00000000-0004-0000-0400-0000CA010000}"/>
    <hyperlink ref="E437" r:id="rId460" xr:uid="{00000000-0004-0000-0400-0000CB010000}"/>
    <hyperlink ref="E438" r:id="rId461" xr:uid="{00000000-0004-0000-0400-0000CC010000}"/>
    <hyperlink ref="E439" r:id="rId462" xr:uid="{00000000-0004-0000-0400-0000CD010000}"/>
    <hyperlink ref="E440" r:id="rId463" xr:uid="{00000000-0004-0000-0400-0000CE010000}"/>
    <hyperlink ref="E441" r:id="rId464" xr:uid="{00000000-0004-0000-0400-0000CF010000}"/>
    <hyperlink ref="E442" r:id="rId465" xr:uid="{00000000-0004-0000-0400-0000D0010000}"/>
    <hyperlink ref="E443" r:id="rId466" xr:uid="{00000000-0004-0000-0400-0000D1010000}"/>
    <hyperlink ref="E444" r:id="rId467" xr:uid="{00000000-0004-0000-0400-0000D2010000}"/>
    <hyperlink ref="E445" r:id="rId468" xr:uid="{00000000-0004-0000-0400-0000D3010000}"/>
    <hyperlink ref="E447" r:id="rId469" xr:uid="{00000000-0004-0000-0400-0000D4010000}"/>
    <hyperlink ref="G447" r:id="rId470" xr:uid="{00000000-0004-0000-0400-0000D5010000}"/>
    <hyperlink ref="E448" r:id="rId471" xr:uid="{00000000-0004-0000-0400-0000D6010000}"/>
    <hyperlink ref="E449" r:id="rId472" xr:uid="{00000000-0004-0000-0400-0000D7010000}"/>
    <hyperlink ref="E450" r:id="rId473" xr:uid="{00000000-0004-0000-0400-0000D8010000}"/>
    <hyperlink ref="E451" r:id="rId474" xr:uid="{00000000-0004-0000-0400-0000D9010000}"/>
    <hyperlink ref="E452" r:id="rId475" xr:uid="{00000000-0004-0000-0400-0000DA010000}"/>
    <hyperlink ref="E453" r:id="rId476" xr:uid="{00000000-0004-0000-0400-0000DB010000}"/>
    <hyperlink ref="E454" r:id="rId477" xr:uid="{00000000-0004-0000-0400-0000DC010000}"/>
    <hyperlink ref="E455" r:id="rId478" xr:uid="{00000000-0004-0000-0400-0000DD010000}"/>
    <hyperlink ref="E456" r:id="rId479" xr:uid="{00000000-0004-0000-0400-0000DE010000}"/>
    <hyperlink ref="E457" r:id="rId480" xr:uid="{00000000-0004-0000-0400-0000DF010000}"/>
    <hyperlink ref="E458" r:id="rId481" xr:uid="{00000000-0004-0000-0400-0000E0010000}"/>
    <hyperlink ref="E459" r:id="rId482" xr:uid="{00000000-0004-0000-0400-0000E1010000}"/>
    <hyperlink ref="E460" r:id="rId483" xr:uid="{00000000-0004-0000-0400-0000E2010000}"/>
    <hyperlink ref="E461" r:id="rId484" xr:uid="{00000000-0004-0000-0400-0000E3010000}"/>
    <hyperlink ref="E462" r:id="rId485" xr:uid="{00000000-0004-0000-0400-0000E4010000}"/>
    <hyperlink ref="E463" r:id="rId486" xr:uid="{00000000-0004-0000-0400-0000E5010000}"/>
    <hyperlink ref="E464" r:id="rId487" xr:uid="{00000000-0004-0000-0400-0000E6010000}"/>
    <hyperlink ref="E465" r:id="rId488" xr:uid="{00000000-0004-0000-0400-0000E7010000}"/>
    <hyperlink ref="E466" r:id="rId489" xr:uid="{00000000-0004-0000-0400-0000E8010000}"/>
    <hyperlink ref="E467" r:id="rId490" xr:uid="{00000000-0004-0000-0400-0000E9010000}"/>
    <hyperlink ref="E468" r:id="rId491" xr:uid="{00000000-0004-0000-0400-0000EA010000}"/>
    <hyperlink ref="E469" r:id="rId492" xr:uid="{00000000-0004-0000-0400-0000EB010000}"/>
    <hyperlink ref="E470" r:id="rId493" xr:uid="{00000000-0004-0000-0400-0000EC010000}"/>
    <hyperlink ref="E471" r:id="rId494" xr:uid="{00000000-0004-0000-0400-0000ED010000}"/>
    <hyperlink ref="E472" r:id="rId495" xr:uid="{00000000-0004-0000-0400-0000EE010000}"/>
    <hyperlink ref="E474" r:id="rId496" xr:uid="{00000000-0004-0000-0400-0000EF010000}"/>
    <hyperlink ref="G474" r:id="rId497" xr:uid="{00000000-0004-0000-0400-0000F0010000}"/>
    <hyperlink ref="E475" r:id="rId498" xr:uid="{00000000-0004-0000-0400-0000F1010000}"/>
    <hyperlink ref="E476" r:id="rId499" xr:uid="{00000000-0004-0000-0400-0000F2010000}"/>
    <hyperlink ref="E477" r:id="rId500" xr:uid="{00000000-0004-0000-0400-0000F3010000}"/>
    <hyperlink ref="E478" r:id="rId501" xr:uid="{00000000-0004-0000-0400-0000F4010000}"/>
    <hyperlink ref="E479" r:id="rId502" xr:uid="{00000000-0004-0000-0400-0000F5010000}"/>
    <hyperlink ref="E480" r:id="rId503" xr:uid="{00000000-0004-0000-0400-0000F6010000}"/>
    <hyperlink ref="E481" r:id="rId504" xr:uid="{00000000-0004-0000-0400-0000F7010000}"/>
    <hyperlink ref="E482" r:id="rId505" xr:uid="{00000000-0004-0000-0400-0000F8010000}"/>
    <hyperlink ref="E483" r:id="rId506" xr:uid="{00000000-0004-0000-0400-0000F9010000}"/>
    <hyperlink ref="E484" r:id="rId507" xr:uid="{00000000-0004-0000-0400-0000FA010000}"/>
    <hyperlink ref="E485" r:id="rId508" xr:uid="{00000000-0004-0000-0400-0000FB010000}"/>
    <hyperlink ref="E486" r:id="rId509" xr:uid="{00000000-0004-0000-0400-0000FC010000}"/>
    <hyperlink ref="E487" r:id="rId510" xr:uid="{00000000-0004-0000-0400-0000FD010000}"/>
    <hyperlink ref="E488" r:id="rId511" xr:uid="{00000000-0004-0000-0400-0000FE010000}"/>
    <hyperlink ref="E489" r:id="rId512" xr:uid="{00000000-0004-0000-0400-0000FF010000}"/>
    <hyperlink ref="E491" r:id="rId513" xr:uid="{00000000-0004-0000-0400-000000020000}"/>
    <hyperlink ref="E492" r:id="rId514" xr:uid="{00000000-0004-0000-0400-000001020000}"/>
    <hyperlink ref="E493" r:id="rId515" xr:uid="{00000000-0004-0000-0400-000002020000}"/>
    <hyperlink ref="E494" r:id="rId516" xr:uid="{00000000-0004-0000-0400-000003020000}"/>
    <hyperlink ref="E495" r:id="rId517" xr:uid="{00000000-0004-0000-0400-000004020000}"/>
    <hyperlink ref="E496" r:id="rId518" xr:uid="{00000000-0004-0000-0400-000005020000}"/>
    <hyperlink ref="E497" r:id="rId519" xr:uid="{00000000-0004-0000-0400-000006020000}"/>
    <hyperlink ref="E498" r:id="rId520" xr:uid="{00000000-0004-0000-0400-000007020000}"/>
    <hyperlink ref="E499" r:id="rId521" xr:uid="{00000000-0004-0000-0400-000008020000}"/>
    <hyperlink ref="E500" r:id="rId522" xr:uid="{00000000-0004-0000-0400-000009020000}"/>
    <hyperlink ref="E501" r:id="rId523" xr:uid="{00000000-0004-0000-0400-00000A020000}"/>
    <hyperlink ref="E502" r:id="rId524" xr:uid="{00000000-0004-0000-0400-00000B020000}"/>
    <hyperlink ref="E503" r:id="rId525" xr:uid="{00000000-0004-0000-0400-00000C020000}"/>
    <hyperlink ref="E504" r:id="rId526" xr:uid="{00000000-0004-0000-0400-00000D020000}"/>
    <hyperlink ref="E505" r:id="rId527" xr:uid="{00000000-0004-0000-0400-00000E020000}"/>
    <hyperlink ref="E506" r:id="rId528" xr:uid="{00000000-0004-0000-0400-00000F020000}"/>
    <hyperlink ref="E507" r:id="rId529" xr:uid="{00000000-0004-0000-0400-000010020000}"/>
    <hyperlink ref="E509" r:id="rId530" xr:uid="{00000000-0004-0000-0400-000011020000}"/>
    <hyperlink ref="G509" r:id="rId531" xr:uid="{00000000-0004-0000-0400-000012020000}"/>
    <hyperlink ref="E510" r:id="rId532" xr:uid="{00000000-0004-0000-0400-000013020000}"/>
    <hyperlink ref="G510" r:id="rId533" xr:uid="{00000000-0004-0000-0400-000014020000}"/>
    <hyperlink ref="E511" r:id="rId534" xr:uid="{00000000-0004-0000-0400-000015020000}"/>
    <hyperlink ref="G511" r:id="rId535" xr:uid="{00000000-0004-0000-0400-000016020000}"/>
    <hyperlink ref="E512" r:id="rId536" xr:uid="{00000000-0004-0000-0400-000017020000}"/>
    <hyperlink ref="G512" r:id="rId537" xr:uid="{00000000-0004-0000-0400-000018020000}"/>
    <hyperlink ref="E513" r:id="rId538" xr:uid="{00000000-0004-0000-0400-000019020000}"/>
    <hyperlink ref="E514" r:id="rId539" xr:uid="{00000000-0004-0000-0400-00001A020000}"/>
    <hyperlink ref="E515" r:id="rId540" xr:uid="{00000000-0004-0000-0400-00001B020000}"/>
    <hyperlink ref="E516" r:id="rId541" xr:uid="{00000000-0004-0000-0400-00001C020000}"/>
    <hyperlink ref="E517" r:id="rId542" xr:uid="{00000000-0004-0000-0400-00001D020000}"/>
    <hyperlink ref="E518" r:id="rId543" xr:uid="{00000000-0004-0000-0400-00001E020000}"/>
    <hyperlink ref="E519" r:id="rId544" xr:uid="{00000000-0004-0000-0400-00001F020000}"/>
    <hyperlink ref="E520" r:id="rId545" xr:uid="{00000000-0004-0000-0400-000020020000}"/>
    <hyperlink ref="E521" r:id="rId546" xr:uid="{00000000-0004-0000-0400-000021020000}"/>
    <hyperlink ref="E522" r:id="rId547" xr:uid="{00000000-0004-0000-0400-000022020000}"/>
    <hyperlink ref="E523" r:id="rId548" xr:uid="{00000000-0004-0000-0400-000023020000}"/>
    <hyperlink ref="E524" r:id="rId549" xr:uid="{00000000-0004-0000-0400-000024020000}"/>
    <hyperlink ref="E525" r:id="rId550" xr:uid="{00000000-0004-0000-0400-000025020000}"/>
    <hyperlink ref="E526" r:id="rId551" xr:uid="{00000000-0004-0000-0400-000026020000}"/>
    <hyperlink ref="E527" r:id="rId552" xr:uid="{00000000-0004-0000-0400-000027020000}"/>
    <hyperlink ref="E528" r:id="rId553" xr:uid="{00000000-0004-0000-0400-000028020000}"/>
    <hyperlink ref="E530" r:id="rId554" xr:uid="{00000000-0004-0000-0400-000029020000}"/>
    <hyperlink ref="G530" r:id="rId555" xr:uid="{00000000-0004-0000-0400-00002A020000}"/>
    <hyperlink ref="E531" r:id="rId556" xr:uid="{00000000-0004-0000-0400-00002B020000}"/>
    <hyperlink ref="G531" r:id="rId557" xr:uid="{00000000-0004-0000-0400-00002C020000}"/>
    <hyperlink ref="E532" r:id="rId558" xr:uid="{00000000-0004-0000-0400-00002D020000}"/>
    <hyperlink ref="G532" r:id="rId559" xr:uid="{00000000-0004-0000-0400-00002E020000}"/>
    <hyperlink ref="E533" r:id="rId560" xr:uid="{00000000-0004-0000-0400-00002F020000}"/>
    <hyperlink ref="E534" r:id="rId561" xr:uid="{00000000-0004-0000-0400-000030020000}"/>
    <hyperlink ref="E535" r:id="rId562" xr:uid="{00000000-0004-0000-0400-000031020000}"/>
    <hyperlink ref="E536" r:id="rId563" xr:uid="{00000000-0004-0000-0400-000032020000}"/>
    <hyperlink ref="E537" r:id="rId564" xr:uid="{00000000-0004-0000-0400-000033020000}"/>
    <hyperlink ref="E538" r:id="rId565" xr:uid="{00000000-0004-0000-0400-000034020000}"/>
    <hyperlink ref="E539" r:id="rId566" xr:uid="{00000000-0004-0000-0400-000035020000}"/>
    <hyperlink ref="E540" r:id="rId567" xr:uid="{00000000-0004-0000-0400-000036020000}"/>
    <hyperlink ref="E541" r:id="rId568" xr:uid="{00000000-0004-0000-0400-000037020000}"/>
    <hyperlink ref="E542" r:id="rId569" xr:uid="{00000000-0004-0000-0400-000038020000}"/>
    <hyperlink ref="E543" r:id="rId570" xr:uid="{00000000-0004-0000-0400-000039020000}"/>
    <hyperlink ref="E544" r:id="rId571" xr:uid="{00000000-0004-0000-0400-00003A020000}"/>
    <hyperlink ref="E545" r:id="rId572" xr:uid="{00000000-0004-0000-0400-00003B020000}"/>
    <hyperlink ref="E546" r:id="rId573" xr:uid="{00000000-0004-0000-0400-00003C020000}"/>
    <hyperlink ref="E547" r:id="rId574" xr:uid="{00000000-0004-0000-0400-00003D020000}"/>
    <hyperlink ref="E548" r:id="rId575" xr:uid="{00000000-0004-0000-0400-00003E020000}"/>
    <hyperlink ref="E549" r:id="rId576" xr:uid="{00000000-0004-0000-0400-00003F020000}"/>
    <hyperlink ref="E550" r:id="rId577" xr:uid="{00000000-0004-0000-0400-000040020000}"/>
    <hyperlink ref="E551" r:id="rId578" xr:uid="{00000000-0004-0000-0400-000041020000}"/>
    <hyperlink ref="E552" r:id="rId579" xr:uid="{00000000-0004-0000-0400-000042020000}"/>
    <hyperlink ref="E554" r:id="rId580" xr:uid="{00000000-0004-0000-0400-000043020000}"/>
    <hyperlink ref="G554" r:id="rId581" xr:uid="{00000000-0004-0000-0400-000044020000}"/>
    <hyperlink ref="E555" r:id="rId582" xr:uid="{00000000-0004-0000-0400-000045020000}"/>
    <hyperlink ref="E556" r:id="rId583" xr:uid="{00000000-0004-0000-0400-000046020000}"/>
    <hyperlink ref="E557" r:id="rId584" xr:uid="{00000000-0004-0000-0400-000047020000}"/>
    <hyperlink ref="E558" r:id="rId585" xr:uid="{00000000-0004-0000-0400-000048020000}"/>
    <hyperlink ref="E559" r:id="rId586" xr:uid="{00000000-0004-0000-0400-000049020000}"/>
    <hyperlink ref="E560" r:id="rId587" xr:uid="{00000000-0004-0000-0400-00004A020000}"/>
    <hyperlink ref="E561" r:id="rId588" xr:uid="{00000000-0004-0000-0400-00004B020000}"/>
    <hyperlink ref="E562" r:id="rId589" xr:uid="{00000000-0004-0000-0400-00004C020000}"/>
    <hyperlink ref="E563" r:id="rId590" xr:uid="{00000000-0004-0000-0400-00004D020000}"/>
    <hyperlink ref="E564" r:id="rId591" xr:uid="{00000000-0004-0000-0400-00004E020000}"/>
    <hyperlink ref="E565" r:id="rId592" xr:uid="{00000000-0004-0000-0400-00004F020000}"/>
    <hyperlink ref="E566" r:id="rId593" xr:uid="{00000000-0004-0000-0400-000050020000}"/>
    <hyperlink ref="E567" r:id="rId594" xr:uid="{00000000-0004-0000-0400-000051020000}"/>
    <hyperlink ref="E568" r:id="rId595" xr:uid="{00000000-0004-0000-0400-000052020000}"/>
    <hyperlink ref="E570" r:id="rId596" xr:uid="{00000000-0004-0000-0400-000053020000}"/>
    <hyperlink ref="E572" r:id="rId597" xr:uid="{00000000-0004-0000-0400-000054020000}"/>
    <hyperlink ref="E573" r:id="rId598" xr:uid="{00000000-0004-0000-0400-000055020000}"/>
    <hyperlink ref="E574" r:id="rId599" xr:uid="{00000000-0004-0000-0400-000056020000}"/>
    <hyperlink ref="E575" r:id="rId600" xr:uid="{00000000-0004-0000-0400-00005702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1:H307"/>
  <sheetViews>
    <sheetView workbookViewId="0">
      <pane xSplit="1" topLeftCell="B1" activePane="topRight" state="frozen"/>
      <selection pane="topRight" activeCell="C2" sqref="C2"/>
    </sheetView>
  </sheetViews>
  <sheetFormatPr baseColWidth="10" defaultColWidth="11.1640625" defaultRowHeight="15" customHeight="1"/>
  <cols>
    <col min="1" max="1" width="33.6640625" customWidth="1"/>
    <col min="2" max="2" width="34.1640625" customWidth="1"/>
    <col min="3" max="3" width="20.33203125" customWidth="1"/>
    <col min="4" max="4" width="20.83203125" customWidth="1"/>
    <col min="5" max="5" width="79.83203125" customWidth="1"/>
    <col min="6" max="6" width="32.5" hidden="1" customWidth="1"/>
    <col min="7" max="7" width="47" customWidth="1"/>
    <col min="8" max="8" width="22.33203125" hidden="1" customWidth="1"/>
    <col min="9" max="9" width="10.5" customWidth="1"/>
  </cols>
  <sheetData>
    <row r="1" spans="1:8" ht="33.75" customHeight="1">
      <c r="A1" s="138" t="s">
        <v>59</v>
      </c>
      <c r="B1" s="139" t="s">
        <v>994</v>
      </c>
      <c r="C1" s="140" t="s">
        <v>995</v>
      </c>
      <c r="D1" s="140" t="s">
        <v>62</v>
      </c>
      <c r="E1" s="140" t="s">
        <v>996</v>
      </c>
      <c r="F1" s="141" t="s">
        <v>64</v>
      </c>
      <c r="G1" s="141" t="s">
        <v>65</v>
      </c>
      <c r="H1" s="141" t="s">
        <v>66</v>
      </c>
    </row>
    <row r="2" spans="1:8" ht="15.75" customHeight="1">
      <c r="A2" s="1" t="s">
        <v>0</v>
      </c>
      <c r="B2" s="1" t="s">
        <v>997</v>
      </c>
      <c r="C2" s="130" t="s">
        <v>68</v>
      </c>
      <c r="D2" s="130" t="s">
        <v>62</v>
      </c>
      <c r="E2" s="129" t="s">
        <v>69</v>
      </c>
      <c r="F2" s="130"/>
      <c r="G2" s="130" t="s">
        <v>70</v>
      </c>
    </row>
    <row r="3" spans="1:8" ht="15.75" customHeight="1">
      <c r="A3" s="1" t="s">
        <v>0</v>
      </c>
      <c r="B3" s="1" t="s">
        <v>997</v>
      </c>
      <c r="C3" s="43">
        <v>2430002</v>
      </c>
      <c r="D3" s="1" t="s">
        <v>83</v>
      </c>
      <c r="E3" s="49" t="s">
        <v>998</v>
      </c>
      <c r="G3" s="48" t="s">
        <v>999</v>
      </c>
    </row>
    <row r="4" spans="1:8" ht="15.75" customHeight="1">
      <c r="A4" s="42" t="s">
        <v>0</v>
      </c>
      <c r="B4" s="1" t="s">
        <v>997</v>
      </c>
      <c r="C4" s="43">
        <v>709795</v>
      </c>
      <c r="D4" s="1" t="s">
        <v>83</v>
      </c>
      <c r="E4" s="45" t="s">
        <v>1000</v>
      </c>
      <c r="G4" s="50"/>
    </row>
    <row r="5" spans="1:8" ht="15.75" customHeight="1">
      <c r="A5" s="42" t="s">
        <v>0</v>
      </c>
      <c r="B5" s="1" t="s">
        <v>997</v>
      </c>
      <c r="C5" s="43">
        <v>668001</v>
      </c>
      <c r="D5" s="1" t="s">
        <v>83</v>
      </c>
      <c r="E5" s="45" t="s">
        <v>1001</v>
      </c>
      <c r="G5" s="48" t="s">
        <v>999</v>
      </c>
    </row>
    <row r="6" spans="1:8" ht="15.75" customHeight="1">
      <c r="A6" s="42" t="s">
        <v>0</v>
      </c>
      <c r="B6" s="1" t="s">
        <v>997</v>
      </c>
      <c r="C6" s="43">
        <v>780519</v>
      </c>
      <c r="D6" s="1" t="s">
        <v>80</v>
      </c>
      <c r="E6" s="45" t="s">
        <v>1002</v>
      </c>
      <c r="G6" s="50"/>
    </row>
    <row r="7" spans="1:8" ht="15.75" customHeight="1">
      <c r="A7" s="42" t="s">
        <v>0</v>
      </c>
      <c r="B7" s="1" t="s">
        <v>997</v>
      </c>
      <c r="C7" s="43">
        <v>5017390</v>
      </c>
      <c r="D7" s="1" t="s">
        <v>83</v>
      </c>
      <c r="E7" s="45" t="s">
        <v>1003</v>
      </c>
      <c r="G7" s="48" t="s">
        <v>1004</v>
      </c>
    </row>
    <row r="8" spans="1:8" ht="15.75" customHeight="1">
      <c r="A8" s="42" t="s">
        <v>0</v>
      </c>
      <c r="B8" s="1" t="s">
        <v>997</v>
      </c>
      <c r="C8" s="43">
        <v>783628</v>
      </c>
      <c r="D8" s="1" t="s">
        <v>80</v>
      </c>
      <c r="E8" s="45" t="s">
        <v>1005</v>
      </c>
      <c r="G8" s="48"/>
    </row>
    <row r="9" spans="1:8" ht="15.75" customHeight="1">
      <c r="A9" s="1" t="s">
        <v>1</v>
      </c>
      <c r="B9" s="1" t="s">
        <v>1006</v>
      </c>
      <c r="C9" s="130" t="s">
        <v>68</v>
      </c>
      <c r="D9" s="130" t="s">
        <v>62</v>
      </c>
      <c r="E9" s="56" t="s">
        <v>69</v>
      </c>
      <c r="F9" s="130"/>
      <c r="G9" s="48" t="s">
        <v>70</v>
      </c>
    </row>
    <row r="10" spans="1:8" ht="15.75" customHeight="1">
      <c r="A10" s="1" t="s">
        <v>1</v>
      </c>
      <c r="B10" s="1" t="s">
        <v>1006</v>
      </c>
      <c r="C10" s="43">
        <v>709794</v>
      </c>
      <c r="D10" s="1" t="s">
        <v>80</v>
      </c>
      <c r="E10" s="45" t="s">
        <v>1007</v>
      </c>
      <c r="G10" s="50"/>
    </row>
    <row r="11" spans="1:8" ht="15.75" customHeight="1">
      <c r="A11" s="42" t="s">
        <v>1</v>
      </c>
      <c r="B11" s="1" t="s">
        <v>1006</v>
      </c>
      <c r="C11" s="43">
        <v>5042605</v>
      </c>
      <c r="D11" s="1" t="s">
        <v>80</v>
      </c>
      <c r="E11" s="45" t="s">
        <v>1008</v>
      </c>
      <c r="G11" s="48" t="s">
        <v>999</v>
      </c>
    </row>
    <row r="12" spans="1:8" ht="15.75" customHeight="1">
      <c r="A12" s="42" t="s">
        <v>1</v>
      </c>
      <c r="B12" s="1" t="s">
        <v>1006</v>
      </c>
      <c r="C12" s="43">
        <v>2915381</v>
      </c>
      <c r="D12" s="1" t="s">
        <v>80</v>
      </c>
      <c r="E12" s="45" t="s">
        <v>1009</v>
      </c>
      <c r="G12" s="50"/>
    </row>
    <row r="13" spans="1:8" ht="15.75" customHeight="1">
      <c r="A13" s="42" t="s">
        <v>1</v>
      </c>
      <c r="B13" s="1" t="s">
        <v>1006</v>
      </c>
      <c r="C13" s="43">
        <v>2888079</v>
      </c>
      <c r="D13" s="1" t="s">
        <v>80</v>
      </c>
      <c r="E13" s="49" t="s">
        <v>1010</v>
      </c>
      <c r="G13" s="50"/>
    </row>
    <row r="14" spans="1:8" ht="15.75" customHeight="1">
      <c r="A14" s="42" t="s">
        <v>1</v>
      </c>
      <c r="B14" s="1" t="s">
        <v>1006</v>
      </c>
      <c r="C14" s="43">
        <v>780519</v>
      </c>
      <c r="D14" s="1" t="s">
        <v>80</v>
      </c>
      <c r="E14" s="45" t="s">
        <v>1002</v>
      </c>
      <c r="F14" s="130"/>
      <c r="G14" s="59"/>
    </row>
    <row r="15" spans="1:8" ht="15.75" customHeight="1">
      <c r="A15" s="42" t="s">
        <v>1</v>
      </c>
      <c r="B15" s="1" t="s">
        <v>1006</v>
      </c>
      <c r="C15" s="43">
        <v>3146326</v>
      </c>
      <c r="D15" s="1" t="s">
        <v>71</v>
      </c>
      <c r="E15" s="49" t="s">
        <v>1011</v>
      </c>
      <c r="F15" s="130"/>
      <c r="G15" s="59"/>
    </row>
    <row r="16" spans="1:8" ht="15.75" customHeight="1">
      <c r="A16" s="42" t="s">
        <v>1</v>
      </c>
      <c r="B16" s="1" t="s">
        <v>1006</v>
      </c>
      <c r="C16" s="43">
        <v>2849241</v>
      </c>
      <c r="D16" s="1" t="s">
        <v>83</v>
      </c>
      <c r="E16" s="45" t="s">
        <v>1012</v>
      </c>
      <c r="F16" s="130"/>
      <c r="G16" s="59"/>
    </row>
    <row r="17" spans="1:7" ht="15.75" customHeight="1">
      <c r="A17" s="132" t="s">
        <v>2</v>
      </c>
      <c r="B17" s="132" t="s">
        <v>1013</v>
      </c>
      <c r="C17" s="130" t="s">
        <v>68</v>
      </c>
      <c r="D17" s="130" t="s">
        <v>62</v>
      </c>
      <c r="E17" s="56" t="s">
        <v>69</v>
      </c>
      <c r="F17" s="130"/>
      <c r="G17" s="48" t="s">
        <v>70</v>
      </c>
    </row>
    <row r="18" spans="1:7" ht="15.75" customHeight="1">
      <c r="A18" s="132" t="s">
        <v>2</v>
      </c>
      <c r="B18" s="132" t="s">
        <v>1013</v>
      </c>
      <c r="C18" s="43">
        <v>3163260</v>
      </c>
      <c r="D18" s="1" t="s">
        <v>83</v>
      </c>
      <c r="E18" s="49" t="s">
        <v>1014</v>
      </c>
      <c r="G18" s="48" t="s">
        <v>1004</v>
      </c>
    </row>
    <row r="19" spans="1:7" ht="15.75" customHeight="1">
      <c r="A19" s="132" t="s">
        <v>2</v>
      </c>
      <c r="B19" s="132" t="s">
        <v>1013</v>
      </c>
      <c r="C19" s="43">
        <v>679790</v>
      </c>
      <c r="D19" s="1" t="s">
        <v>101</v>
      </c>
      <c r="E19" s="45" t="s">
        <v>1015</v>
      </c>
      <c r="G19" s="50"/>
    </row>
    <row r="20" spans="1:7" ht="15.75" customHeight="1">
      <c r="A20" s="132" t="s">
        <v>2</v>
      </c>
      <c r="B20" s="132" t="s">
        <v>1013</v>
      </c>
      <c r="C20" s="43">
        <v>2312427</v>
      </c>
      <c r="D20" s="1" t="s">
        <v>71</v>
      </c>
      <c r="E20" s="45" t="s">
        <v>1016</v>
      </c>
      <c r="G20" s="50"/>
    </row>
    <row r="21" spans="1:7" ht="15.75" customHeight="1">
      <c r="A21" s="132" t="s">
        <v>2</v>
      </c>
      <c r="B21" s="132" t="s">
        <v>1013</v>
      </c>
      <c r="C21" s="43">
        <v>2430002</v>
      </c>
      <c r="D21" s="1" t="s">
        <v>83</v>
      </c>
      <c r="E21" s="49" t="s">
        <v>998</v>
      </c>
      <c r="G21" s="50"/>
    </row>
    <row r="22" spans="1:7" ht="15.75" customHeight="1">
      <c r="A22" s="132" t="s">
        <v>2</v>
      </c>
      <c r="B22" s="132" t="s">
        <v>1013</v>
      </c>
      <c r="C22" s="43">
        <v>2885003</v>
      </c>
      <c r="D22" s="1" t="s">
        <v>71</v>
      </c>
      <c r="E22" s="45" t="s">
        <v>1017</v>
      </c>
      <c r="G22" s="50"/>
    </row>
    <row r="23" spans="1:7" ht="15.75" customHeight="1">
      <c r="A23" s="132" t="s">
        <v>2</v>
      </c>
      <c r="B23" s="132" t="s">
        <v>1013</v>
      </c>
      <c r="C23" s="43">
        <v>2915393</v>
      </c>
      <c r="D23" s="1" t="s">
        <v>80</v>
      </c>
      <c r="E23" s="45" t="s">
        <v>1018</v>
      </c>
      <c r="G23" s="50"/>
    </row>
    <row r="24" spans="1:7" ht="15.75" customHeight="1">
      <c r="A24" s="132" t="s">
        <v>2</v>
      </c>
      <c r="B24" s="132" t="s">
        <v>1013</v>
      </c>
      <c r="C24" s="43">
        <v>805175</v>
      </c>
      <c r="D24" s="1" t="s">
        <v>80</v>
      </c>
      <c r="E24" s="45" t="s">
        <v>1019</v>
      </c>
      <c r="G24" s="50"/>
    </row>
    <row r="25" spans="1:7" ht="15.75" customHeight="1">
      <c r="A25" s="132" t="s">
        <v>2</v>
      </c>
      <c r="B25" s="132" t="s">
        <v>1013</v>
      </c>
      <c r="C25" s="43">
        <v>2917521</v>
      </c>
      <c r="D25" s="1" t="s">
        <v>71</v>
      </c>
      <c r="E25" s="45" t="s">
        <v>1020</v>
      </c>
      <c r="G25" s="50"/>
    </row>
    <row r="26" spans="1:7" ht="15.75" customHeight="1">
      <c r="A26" s="132" t="s">
        <v>2</v>
      </c>
      <c r="B26" s="132" t="s">
        <v>1013</v>
      </c>
      <c r="C26" s="43">
        <v>808183</v>
      </c>
      <c r="D26" s="1" t="s">
        <v>71</v>
      </c>
      <c r="E26" s="45" t="s">
        <v>1021</v>
      </c>
      <c r="G26" s="50"/>
    </row>
    <row r="27" spans="1:7" ht="15.75" customHeight="1">
      <c r="A27" s="132" t="s">
        <v>2</v>
      </c>
      <c r="B27" s="132" t="s">
        <v>1013</v>
      </c>
      <c r="C27" s="43">
        <v>3152582</v>
      </c>
      <c r="D27" s="1" t="s">
        <v>83</v>
      </c>
      <c r="E27" s="45" t="s">
        <v>1022</v>
      </c>
      <c r="G27" s="50"/>
    </row>
    <row r="28" spans="1:7" ht="15.75" customHeight="1">
      <c r="A28" s="132" t="s">
        <v>2</v>
      </c>
      <c r="B28" s="132" t="s">
        <v>1013</v>
      </c>
      <c r="C28" s="43">
        <v>3153208</v>
      </c>
      <c r="D28" s="1" t="s">
        <v>83</v>
      </c>
      <c r="E28" s="49" t="s">
        <v>1023</v>
      </c>
      <c r="G28" s="50"/>
    </row>
    <row r="29" spans="1:7" ht="15.75" customHeight="1">
      <c r="A29" s="132" t="s">
        <v>2</v>
      </c>
      <c r="B29" s="132" t="s">
        <v>1013</v>
      </c>
      <c r="C29" s="43">
        <v>3158188</v>
      </c>
      <c r="D29" s="1" t="s">
        <v>83</v>
      </c>
      <c r="E29" s="49" t="s">
        <v>1024</v>
      </c>
      <c r="G29" s="50"/>
    </row>
    <row r="30" spans="1:7" ht="15.75" customHeight="1">
      <c r="A30" s="132" t="s">
        <v>2</v>
      </c>
      <c r="B30" s="132" t="s">
        <v>1013</v>
      </c>
      <c r="C30" s="43">
        <v>2878115</v>
      </c>
      <c r="D30" s="1" t="s">
        <v>101</v>
      </c>
      <c r="E30" s="45" t="s">
        <v>1025</v>
      </c>
      <c r="G30" s="50"/>
    </row>
    <row r="31" spans="1:7" ht="15.75" customHeight="1">
      <c r="A31" s="132" t="s">
        <v>2</v>
      </c>
      <c r="B31" s="132" t="s">
        <v>1013</v>
      </c>
      <c r="C31" s="43">
        <v>2916465</v>
      </c>
      <c r="D31" s="1" t="s">
        <v>71</v>
      </c>
      <c r="E31" s="45" t="s">
        <v>1026</v>
      </c>
      <c r="G31" s="50"/>
    </row>
    <row r="32" spans="1:7" ht="15.75" customHeight="1">
      <c r="A32" s="132" t="s">
        <v>2</v>
      </c>
      <c r="B32" s="132" t="s">
        <v>1013</v>
      </c>
      <c r="C32" s="43">
        <v>714295</v>
      </c>
      <c r="D32" s="1" t="s">
        <v>83</v>
      </c>
      <c r="E32" s="45" t="s">
        <v>1027</v>
      </c>
      <c r="G32" s="50"/>
    </row>
    <row r="33" spans="1:7" ht="15.75" customHeight="1">
      <c r="A33" s="132" t="s">
        <v>2</v>
      </c>
      <c r="B33" s="132" t="s">
        <v>1013</v>
      </c>
      <c r="C33" s="43">
        <v>673841</v>
      </c>
      <c r="D33" s="1" t="s">
        <v>83</v>
      </c>
      <c r="E33" s="45" t="s">
        <v>1028</v>
      </c>
      <c r="G33" s="50"/>
    </row>
    <row r="34" spans="1:7" ht="15.75" customHeight="1">
      <c r="A34" s="1" t="s">
        <v>3</v>
      </c>
      <c r="B34" s="1" t="s">
        <v>1029</v>
      </c>
      <c r="C34" s="130" t="s">
        <v>68</v>
      </c>
      <c r="D34" s="130" t="s">
        <v>62</v>
      </c>
      <c r="E34" s="56" t="s">
        <v>69</v>
      </c>
      <c r="F34" s="130"/>
      <c r="G34" s="48" t="s">
        <v>70</v>
      </c>
    </row>
    <row r="35" spans="1:7" ht="15.75" customHeight="1">
      <c r="A35" s="1" t="s">
        <v>3</v>
      </c>
      <c r="B35" s="1" t="s">
        <v>1029</v>
      </c>
      <c r="C35" s="43">
        <v>2915224</v>
      </c>
      <c r="D35" s="1" t="s">
        <v>101</v>
      </c>
      <c r="E35" s="45" t="s">
        <v>1030</v>
      </c>
      <c r="G35" s="48" t="s">
        <v>999</v>
      </c>
    </row>
    <row r="36" spans="1:7" ht="15.75" customHeight="1">
      <c r="A36" s="1" t="s">
        <v>3</v>
      </c>
      <c r="B36" s="1" t="s">
        <v>1029</v>
      </c>
      <c r="C36" s="43">
        <v>3155464</v>
      </c>
      <c r="D36" s="1" t="s">
        <v>83</v>
      </c>
      <c r="E36" s="45" t="s">
        <v>1031</v>
      </c>
      <c r="G36" s="50"/>
    </row>
    <row r="37" spans="1:7" ht="15.75" customHeight="1">
      <c r="A37" s="1" t="s">
        <v>3</v>
      </c>
      <c r="B37" s="1" t="s">
        <v>1029</v>
      </c>
      <c r="C37" s="43">
        <v>714292</v>
      </c>
      <c r="D37" s="1" t="s">
        <v>83</v>
      </c>
      <c r="E37" s="45" t="s">
        <v>1032</v>
      </c>
      <c r="G37" s="50"/>
    </row>
    <row r="38" spans="1:7" ht="15.75" customHeight="1">
      <c r="A38" s="1" t="s">
        <v>3</v>
      </c>
      <c r="B38" s="1" t="s">
        <v>1029</v>
      </c>
      <c r="C38" s="43">
        <v>748560</v>
      </c>
      <c r="D38" s="1" t="s">
        <v>80</v>
      </c>
      <c r="E38" s="45" t="s">
        <v>1033</v>
      </c>
      <c r="G38" s="50"/>
    </row>
    <row r="39" spans="1:7" ht="15.75" customHeight="1">
      <c r="A39" s="1" t="s">
        <v>3</v>
      </c>
      <c r="B39" s="1" t="s">
        <v>1029</v>
      </c>
      <c r="C39" s="43">
        <v>747274</v>
      </c>
      <c r="D39" s="1" t="s">
        <v>80</v>
      </c>
      <c r="E39" s="45" t="s">
        <v>1034</v>
      </c>
      <c r="G39" s="50"/>
    </row>
    <row r="40" spans="1:7" ht="15.75" customHeight="1">
      <c r="A40" s="1" t="s">
        <v>3</v>
      </c>
      <c r="B40" s="1" t="s">
        <v>1029</v>
      </c>
      <c r="C40" s="43">
        <v>724509</v>
      </c>
      <c r="D40" s="1" t="s">
        <v>71</v>
      </c>
      <c r="E40" s="45" t="s">
        <v>1035</v>
      </c>
      <c r="G40" s="50"/>
    </row>
    <row r="41" spans="1:7" ht="15.75" customHeight="1">
      <c r="A41" s="1" t="s">
        <v>3</v>
      </c>
      <c r="B41" s="1" t="s">
        <v>1029</v>
      </c>
      <c r="C41" s="43">
        <v>2891000</v>
      </c>
      <c r="D41" s="1" t="s">
        <v>80</v>
      </c>
      <c r="E41" s="49" t="s">
        <v>1036</v>
      </c>
      <c r="G41" s="50"/>
    </row>
    <row r="42" spans="1:7" ht="15.75" customHeight="1">
      <c r="A42" s="1" t="s">
        <v>3</v>
      </c>
      <c r="B42" s="1" t="s">
        <v>1029</v>
      </c>
      <c r="C42" s="43">
        <v>765510</v>
      </c>
      <c r="D42" s="1" t="s">
        <v>80</v>
      </c>
      <c r="E42" s="45" t="s">
        <v>1037</v>
      </c>
      <c r="G42" s="50"/>
    </row>
    <row r="43" spans="1:7" ht="15.75" customHeight="1">
      <c r="A43" s="1" t="s">
        <v>3</v>
      </c>
      <c r="B43" s="1" t="s">
        <v>1029</v>
      </c>
      <c r="C43" s="43">
        <v>2886054</v>
      </c>
      <c r="D43" s="1" t="s">
        <v>80</v>
      </c>
      <c r="E43" s="49" t="s">
        <v>1038</v>
      </c>
      <c r="G43" s="50"/>
    </row>
    <row r="44" spans="1:7" ht="15.75" customHeight="1">
      <c r="A44" s="1" t="s">
        <v>3</v>
      </c>
      <c r="B44" s="1" t="s">
        <v>1029</v>
      </c>
      <c r="C44" s="43">
        <v>2415665</v>
      </c>
      <c r="D44" s="1" t="s">
        <v>83</v>
      </c>
      <c r="E44" s="49" t="s">
        <v>1039</v>
      </c>
      <c r="G44" s="50"/>
    </row>
    <row r="45" spans="1:7" ht="15.75" customHeight="1">
      <c r="A45" s="1" t="s">
        <v>4</v>
      </c>
      <c r="B45" s="1" t="s">
        <v>1040</v>
      </c>
      <c r="C45" s="130" t="s">
        <v>68</v>
      </c>
      <c r="D45" s="130" t="s">
        <v>62</v>
      </c>
      <c r="E45" s="56" t="s">
        <v>69</v>
      </c>
      <c r="F45" s="130"/>
      <c r="G45" s="48" t="s">
        <v>70</v>
      </c>
    </row>
    <row r="46" spans="1:7" ht="15.75" customHeight="1">
      <c r="A46" s="1" t="s">
        <v>4</v>
      </c>
      <c r="B46" s="1" t="s">
        <v>1040</v>
      </c>
      <c r="C46" s="43">
        <v>2915224</v>
      </c>
      <c r="D46" s="1" t="s">
        <v>101</v>
      </c>
      <c r="E46" s="45" t="s">
        <v>1030</v>
      </c>
      <c r="G46" s="48" t="s">
        <v>999</v>
      </c>
    </row>
    <row r="47" spans="1:7" ht="15.75" customHeight="1">
      <c r="A47" s="42" t="s">
        <v>4</v>
      </c>
      <c r="B47" s="1" t="s">
        <v>1040</v>
      </c>
      <c r="C47" s="43">
        <v>3006396</v>
      </c>
      <c r="D47" s="1" t="s">
        <v>83</v>
      </c>
      <c r="E47" s="49" t="s">
        <v>1041</v>
      </c>
      <c r="G47" s="131"/>
    </row>
    <row r="48" spans="1:7" ht="15.75" customHeight="1">
      <c r="A48" s="42" t="s">
        <v>4</v>
      </c>
      <c r="B48" s="1" t="s">
        <v>1040</v>
      </c>
      <c r="C48" s="43">
        <v>3158167</v>
      </c>
      <c r="D48" s="1" t="s">
        <v>80</v>
      </c>
      <c r="E48" s="49" t="s">
        <v>1042</v>
      </c>
      <c r="G48" s="131"/>
    </row>
    <row r="49" spans="1:7" ht="15.75" customHeight="1">
      <c r="A49" s="1" t="s">
        <v>4</v>
      </c>
      <c r="B49" s="1" t="s">
        <v>1040</v>
      </c>
      <c r="C49" s="43">
        <v>3155193</v>
      </c>
      <c r="D49" s="1" t="s">
        <v>80</v>
      </c>
      <c r="E49" s="49" t="s">
        <v>1043</v>
      </c>
      <c r="G49" s="131"/>
    </row>
    <row r="50" spans="1:7" ht="15.75" customHeight="1">
      <c r="A50" s="42" t="s">
        <v>4</v>
      </c>
      <c r="B50" s="1" t="s">
        <v>1040</v>
      </c>
      <c r="C50" s="43">
        <v>3104034</v>
      </c>
      <c r="D50" s="1" t="s">
        <v>83</v>
      </c>
      <c r="E50" s="45" t="s">
        <v>1044</v>
      </c>
      <c r="G50" s="131"/>
    </row>
    <row r="51" spans="1:7" ht="15.75" customHeight="1">
      <c r="A51" s="42" t="s">
        <v>4</v>
      </c>
      <c r="B51" s="1" t="s">
        <v>1040</v>
      </c>
      <c r="C51" s="43">
        <v>3100029</v>
      </c>
      <c r="D51" s="1" t="s">
        <v>83</v>
      </c>
      <c r="E51" s="45" t="s">
        <v>1045</v>
      </c>
      <c r="G51" s="131"/>
    </row>
    <row r="52" spans="1:7" ht="15.75" customHeight="1">
      <c r="A52" s="1" t="s">
        <v>4</v>
      </c>
      <c r="B52" s="1" t="s">
        <v>1040</v>
      </c>
      <c r="C52" s="43">
        <v>748560</v>
      </c>
      <c r="D52" s="1" t="s">
        <v>80</v>
      </c>
      <c r="E52" s="45" t="s">
        <v>1033</v>
      </c>
      <c r="G52" s="131"/>
    </row>
    <row r="53" spans="1:7" ht="15.75" customHeight="1">
      <c r="A53" s="42" t="s">
        <v>4</v>
      </c>
      <c r="B53" s="1" t="s">
        <v>1040</v>
      </c>
      <c r="C53" s="43">
        <v>643735</v>
      </c>
      <c r="D53" s="1" t="s">
        <v>80</v>
      </c>
      <c r="E53" s="49" t="s">
        <v>1046</v>
      </c>
      <c r="G53" s="131"/>
    </row>
    <row r="54" spans="1:7" ht="15.75" customHeight="1">
      <c r="A54" s="42" t="s">
        <v>4</v>
      </c>
      <c r="B54" s="1" t="s">
        <v>1040</v>
      </c>
      <c r="C54" s="43">
        <v>747274</v>
      </c>
      <c r="D54" s="1" t="s">
        <v>80</v>
      </c>
      <c r="E54" s="45" t="s">
        <v>1034</v>
      </c>
      <c r="G54" s="131"/>
    </row>
    <row r="55" spans="1:7" ht="15.75" customHeight="1">
      <c r="A55" s="42" t="s">
        <v>4</v>
      </c>
      <c r="B55" s="1" t="s">
        <v>1040</v>
      </c>
      <c r="C55" s="43">
        <v>724509</v>
      </c>
      <c r="D55" s="1" t="s">
        <v>71</v>
      </c>
      <c r="E55" s="45" t="s">
        <v>1035</v>
      </c>
      <c r="G55" s="131"/>
    </row>
    <row r="56" spans="1:7" ht="15.75" customHeight="1">
      <c r="A56" s="42" t="s">
        <v>4</v>
      </c>
      <c r="B56" s="1" t="s">
        <v>1040</v>
      </c>
      <c r="C56" s="43">
        <v>2909721</v>
      </c>
      <c r="D56" s="1" t="s">
        <v>80</v>
      </c>
      <c r="E56" s="45" t="s">
        <v>1047</v>
      </c>
      <c r="G56" s="131"/>
    </row>
    <row r="57" spans="1:7" ht="15.75" customHeight="1">
      <c r="A57" s="42" t="s">
        <v>4</v>
      </c>
      <c r="B57" s="1" t="s">
        <v>1040</v>
      </c>
      <c r="C57" s="43">
        <v>2917522</v>
      </c>
      <c r="D57" s="1" t="s">
        <v>80</v>
      </c>
      <c r="E57" s="45" t="s">
        <v>1048</v>
      </c>
      <c r="G57" s="131"/>
    </row>
    <row r="58" spans="1:7" ht="15.75" customHeight="1">
      <c r="A58" s="42" t="s">
        <v>4</v>
      </c>
      <c r="B58" s="1" t="s">
        <v>1040</v>
      </c>
      <c r="C58" s="43">
        <v>3158166</v>
      </c>
      <c r="D58" s="1" t="s">
        <v>101</v>
      </c>
      <c r="E58" s="49" t="s">
        <v>1049</v>
      </c>
      <c r="G58" s="131"/>
    </row>
    <row r="59" spans="1:7" ht="15.75" customHeight="1">
      <c r="A59" s="42" t="s">
        <v>4</v>
      </c>
      <c r="B59" s="1" t="s">
        <v>1040</v>
      </c>
      <c r="C59" s="43">
        <v>2891000</v>
      </c>
      <c r="D59" s="1" t="s">
        <v>80</v>
      </c>
      <c r="E59" s="49" t="s">
        <v>1036</v>
      </c>
      <c r="G59" s="131"/>
    </row>
    <row r="60" spans="1:7" ht="15.75" customHeight="1">
      <c r="A60" s="42" t="s">
        <v>4</v>
      </c>
      <c r="B60" s="1" t="s">
        <v>1040</v>
      </c>
      <c r="C60" s="43">
        <v>676648</v>
      </c>
      <c r="D60" s="1" t="s">
        <v>83</v>
      </c>
      <c r="E60" s="45" t="s">
        <v>1050</v>
      </c>
      <c r="G60" s="131"/>
    </row>
    <row r="61" spans="1:7" ht="15.75" customHeight="1">
      <c r="A61" s="42" t="s">
        <v>4</v>
      </c>
      <c r="B61" s="1" t="s">
        <v>1040</v>
      </c>
      <c r="C61" s="43">
        <v>765510</v>
      </c>
      <c r="D61" s="1" t="s">
        <v>80</v>
      </c>
      <c r="E61" s="45" t="s">
        <v>1037</v>
      </c>
      <c r="G61" s="131"/>
    </row>
    <row r="62" spans="1:7" ht="15.75" customHeight="1">
      <c r="A62" s="42" t="s">
        <v>4</v>
      </c>
      <c r="B62" s="1" t="s">
        <v>1040</v>
      </c>
      <c r="C62" s="43">
        <v>2415665</v>
      </c>
      <c r="D62" s="1" t="s">
        <v>83</v>
      </c>
      <c r="E62" s="49" t="s">
        <v>1039</v>
      </c>
      <c r="G62" s="131"/>
    </row>
    <row r="63" spans="1:7" ht="15.75" customHeight="1">
      <c r="A63" s="1" t="s">
        <v>5</v>
      </c>
      <c r="B63" s="1" t="s">
        <v>1051</v>
      </c>
      <c r="C63" s="130" t="s">
        <v>68</v>
      </c>
      <c r="D63" s="130" t="s">
        <v>62</v>
      </c>
      <c r="E63" s="56" t="s">
        <v>69</v>
      </c>
      <c r="F63" s="130"/>
      <c r="G63" s="48" t="s">
        <v>70</v>
      </c>
    </row>
    <row r="64" spans="1:7" ht="15.75" customHeight="1">
      <c r="A64" s="1" t="s">
        <v>5</v>
      </c>
      <c r="B64" s="1" t="s">
        <v>1051</v>
      </c>
      <c r="C64" s="43">
        <v>603630</v>
      </c>
      <c r="D64" s="1" t="s">
        <v>80</v>
      </c>
      <c r="E64" s="49" t="s">
        <v>1052</v>
      </c>
      <c r="G64" s="48" t="s">
        <v>528</v>
      </c>
    </row>
    <row r="65" spans="1:7" ht="15.75" customHeight="1">
      <c r="A65" s="1" t="s">
        <v>5</v>
      </c>
      <c r="B65" s="1" t="s">
        <v>1051</v>
      </c>
      <c r="C65" s="43">
        <v>724509</v>
      </c>
      <c r="D65" s="1" t="s">
        <v>71</v>
      </c>
      <c r="E65" s="45" t="s">
        <v>1035</v>
      </c>
      <c r="G65" s="131"/>
    </row>
    <row r="66" spans="1:7" ht="15.75" customHeight="1">
      <c r="A66" s="1" t="s">
        <v>5</v>
      </c>
      <c r="B66" s="1" t="s">
        <v>1051</v>
      </c>
      <c r="C66" s="43">
        <v>2905076</v>
      </c>
      <c r="D66" s="1" t="s">
        <v>83</v>
      </c>
      <c r="E66" s="45" t="s">
        <v>1053</v>
      </c>
      <c r="G66" s="131"/>
    </row>
    <row r="67" spans="1:7" ht="15.75" customHeight="1">
      <c r="A67" s="1" t="s">
        <v>6</v>
      </c>
      <c r="B67" s="1" t="s">
        <v>1054</v>
      </c>
      <c r="C67" s="130" t="s">
        <v>68</v>
      </c>
      <c r="D67" s="130" t="s">
        <v>62</v>
      </c>
      <c r="E67" s="56" t="s">
        <v>69</v>
      </c>
      <c r="F67" s="130"/>
      <c r="G67" s="48" t="s">
        <v>70</v>
      </c>
    </row>
    <row r="68" spans="1:7" ht="15.75" customHeight="1">
      <c r="A68" s="1" t="s">
        <v>6</v>
      </c>
      <c r="B68" s="1" t="s">
        <v>1054</v>
      </c>
      <c r="C68" s="43">
        <v>5022881</v>
      </c>
      <c r="D68" s="1" t="s">
        <v>83</v>
      </c>
      <c r="E68" s="45" t="s">
        <v>1055</v>
      </c>
      <c r="G68" s="48" t="s">
        <v>1056</v>
      </c>
    </row>
    <row r="69" spans="1:7" ht="15.75" customHeight="1">
      <c r="A69" s="42" t="s">
        <v>6</v>
      </c>
      <c r="B69" s="1" t="s">
        <v>1054</v>
      </c>
      <c r="C69" s="43">
        <v>2920863</v>
      </c>
      <c r="D69" s="1" t="s">
        <v>101</v>
      </c>
      <c r="E69" s="45" t="s">
        <v>1057</v>
      </c>
      <c r="G69" s="131"/>
    </row>
    <row r="70" spans="1:7" ht="15.75" customHeight="1">
      <c r="A70" s="42" t="s">
        <v>6</v>
      </c>
      <c r="B70" s="1" t="s">
        <v>1054</v>
      </c>
      <c r="C70" s="43">
        <v>2921846</v>
      </c>
      <c r="D70" s="1" t="s">
        <v>101</v>
      </c>
      <c r="E70" s="45" t="s">
        <v>1058</v>
      </c>
      <c r="G70" s="131"/>
    </row>
    <row r="71" spans="1:7" ht="15.75" customHeight="1">
      <c r="A71" s="42" t="s">
        <v>6</v>
      </c>
      <c r="B71" s="1" t="s">
        <v>1054</v>
      </c>
      <c r="C71" s="43">
        <v>2400569</v>
      </c>
      <c r="D71" s="1" t="s">
        <v>101</v>
      </c>
      <c r="E71" s="45" t="s">
        <v>1059</v>
      </c>
      <c r="G71" s="131"/>
    </row>
    <row r="72" spans="1:7" ht="15.75" customHeight="1">
      <c r="A72" s="42" t="s">
        <v>6</v>
      </c>
      <c r="B72" s="1" t="s">
        <v>1054</v>
      </c>
      <c r="C72" s="43">
        <v>2921847</v>
      </c>
      <c r="D72" s="1" t="s">
        <v>71</v>
      </c>
      <c r="E72" s="45" t="s">
        <v>1060</v>
      </c>
      <c r="G72" s="131"/>
    </row>
    <row r="73" spans="1:7" ht="15.75" customHeight="1">
      <c r="A73" s="42" t="s">
        <v>6</v>
      </c>
      <c r="B73" s="1" t="s">
        <v>1054</v>
      </c>
      <c r="C73" s="43">
        <v>2402267</v>
      </c>
      <c r="D73" s="1" t="s">
        <v>83</v>
      </c>
      <c r="E73" s="45" t="s">
        <v>1061</v>
      </c>
      <c r="G73" s="131"/>
    </row>
    <row r="74" spans="1:7" ht="15.75" customHeight="1">
      <c r="A74" s="42" t="s">
        <v>6</v>
      </c>
      <c r="B74" s="1" t="s">
        <v>1054</v>
      </c>
      <c r="C74" s="43">
        <v>3007213</v>
      </c>
      <c r="D74" s="1" t="s">
        <v>83</v>
      </c>
      <c r="E74" s="49" t="s">
        <v>1062</v>
      </c>
      <c r="G74" s="131"/>
    </row>
    <row r="75" spans="1:7" ht="15.75" customHeight="1">
      <c r="A75" s="42" t="s">
        <v>6</v>
      </c>
      <c r="B75" s="1" t="s">
        <v>1054</v>
      </c>
      <c r="C75" s="43">
        <v>790603</v>
      </c>
      <c r="D75" s="1" t="s">
        <v>80</v>
      </c>
      <c r="E75" s="45" t="s">
        <v>1063</v>
      </c>
      <c r="G75" s="131"/>
    </row>
    <row r="76" spans="1:7" ht="15.75" customHeight="1">
      <c r="A76" s="42" t="s">
        <v>6</v>
      </c>
      <c r="B76" s="1" t="s">
        <v>1054</v>
      </c>
      <c r="C76" s="43">
        <v>2920862</v>
      </c>
      <c r="D76" s="1" t="s">
        <v>83</v>
      </c>
      <c r="E76" s="45" t="s">
        <v>1064</v>
      </c>
      <c r="G76" s="131"/>
    </row>
    <row r="77" spans="1:7" ht="15.75" customHeight="1">
      <c r="A77" s="42" t="s">
        <v>6</v>
      </c>
      <c r="B77" s="1" t="s">
        <v>1054</v>
      </c>
      <c r="C77" s="43">
        <v>617291</v>
      </c>
      <c r="D77" s="1" t="s">
        <v>83</v>
      </c>
      <c r="E77" s="45" t="s">
        <v>1065</v>
      </c>
      <c r="G77" s="131"/>
    </row>
    <row r="78" spans="1:7" ht="15.75" customHeight="1">
      <c r="A78" s="42" t="s">
        <v>6</v>
      </c>
      <c r="B78" s="1" t="s">
        <v>1054</v>
      </c>
      <c r="C78" s="43">
        <v>537477</v>
      </c>
      <c r="D78" s="1" t="s">
        <v>101</v>
      </c>
      <c r="E78" s="45" t="s">
        <v>1066</v>
      </c>
      <c r="G78" s="131"/>
    </row>
    <row r="79" spans="1:7" ht="15.75" customHeight="1">
      <c r="A79" s="42" t="s">
        <v>6</v>
      </c>
      <c r="B79" s="1" t="s">
        <v>1054</v>
      </c>
      <c r="C79" s="43">
        <v>3141986</v>
      </c>
      <c r="D79" s="1" t="s">
        <v>83</v>
      </c>
      <c r="E79" s="45" t="s">
        <v>1067</v>
      </c>
      <c r="G79" s="131"/>
    </row>
    <row r="80" spans="1:7" ht="15.75" customHeight="1">
      <c r="A80" s="42" t="s">
        <v>6</v>
      </c>
      <c r="B80" s="1" t="s">
        <v>1054</v>
      </c>
      <c r="C80" s="43">
        <v>5041010</v>
      </c>
      <c r="D80" s="1" t="s">
        <v>83</v>
      </c>
      <c r="E80" s="45" t="s">
        <v>1068</v>
      </c>
      <c r="G80" s="131"/>
    </row>
    <row r="81" spans="1:7" ht="15.75" customHeight="1">
      <c r="A81" s="42" t="s">
        <v>6</v>
      </c>
      <c r="B81" s="1" t="s">
        <v>1054</v>
      </c>
      <c r="C81" s="43">
        <v>2824366</v>
      </c>
      <c r="D81" s="1" t="s">
        <v>83</v>
      </c>
      <c r="E81" s="45" t="s">
        <v>1069</v>
      </c>
      <c r="G81" s="131"/>
    </row>
    <row r="82" spans="1:7" ht="15.75" customHeight="1">
      <c r="A82" s="42" t="s">
        <v>6</v>
      </c>
      <c r="B82" s="1" t="s">
        <v>1054</v>
      </c>
      <c r="C82" s="43">
        <v>5040860</v>
      </c>
      <c r="D82" s="1" t="s">
        <v>71</v>
      </c>
      <c r="E82" s="45" t="s">
        <v>1070</v>
      </c>
      <c r="G82" s="131"/>
    </row>
    <row r="83" spans="1:7" ht="15.75" customHeight="1">
      <c r="A83" s="42" t="s">
        <v>6</v>
      </c>
      <c r="B83" s="1" t="s">
        <v>1054</v>
      </c>
      <c r="C83" s="43">
        <v>777926</v>
      </c>
      <c r="D83" s="1" t="s">
        <v>83</v>
      </c>
      <c r="E83" s="45" t="s">
        <v>1071</v>
      </c>
      <c r="G83" s="131"/>
    </row>
    <row r="84" spans="1:7" ht="15.75" customHeight="1">
      <c r="A84" s="42" t="s">
        <v>6</v>
      </c>
      <c r="B84" s="1" t="s">
        <v>1054</v>
      </c>
      <c r="C84" s="43">
        <v>658789</v>
      </c>
      <c r="D84" s="1" t="s">
        <v>83</v>
      </c>
      <c r="E84" s="45" t="s">
        <v>1072</v>
      </c>
      <c r="G84" s="131"/>
    </row>
    <row r="85" spans="1:7" ht="15.75" customHeight="1">
      <c r="A85" s="42" t="s">
        <v>6</v>
      </c>
      <c r="B85" s="1" t="s">
        <v>1054</v>
      </c>
      <c r="C85" s="43">
        <v>2880262</v>
      </c>
      <c r="D85" s="1" t="s">
        <v>83</v>
      </c>
      <c r="E85" s="45" t="s">
        <v>1073</v>
      </c>
      <c r="G85" s="131"/>
    </row>
    <row r="86" spans="1:7" ht="15.75" customHeight="1">
      <c r="A86" s="42" t="s">
        <v>6</v>
      </c>
      <c r="B86" s="1" t="s">
        <v>1054</v>
      </c>
      <c r="C86" s="43">
        <v>2880263</v>
      </c>
      <c r="D86" s="1" t="s">
        <v>80</v>
      </c>
      <c r="E86" s="45" t="s">
        <v>1074</v>
      </c>
      <c r="G86" s="131"/>
    </row>
    <row r="87" spans="1:7" ht="15.75" customHeight="1">
      <c r="A87" s="42" t="s">
        <v>6</v>
      </c>
      <c r="B87" s="1" t="s">
        <v>1054</v>
      </c>
      <c r="C87" s="43">
        <v>695560</v>
      </c>
      <c r="D87" s="1" t="s">
        <v>71</v>
      </c>
      <c r="E87" s="45" t="s">
        <v>1075</v>
      </c>
      <c r="G87" s="131"/>
    </row>
    <row r="88" spans="1:7" ht="15.75" customHeight="1">
      <c r="A88" s="42" t="s">
        <v>6</v>
      </c>
      <c r="B88" s="1" t="s">
        <v>1054</v>
      </c>
      <c r="C88" s="43">
        <v>2918220</v>
      </c>
      <c r="D88" s="1" t="s">
        <v>80</v>
      </c>
      <c r="E88" s="45" t="s">
        <v>1076</v>
      </c>
      <c r="G88" s="131"/>
    </row>
    <row r="89" spans="1:7" ht="15.75" customHeight="1">
      <c r="A89" s="42" t="s">
        <v>7</v>
      </c>
      <c r="B89" s="1" t="s">
        <v>1077</v>
      </c>
      <c r="C89" s="130" t="s">
        <v>68</v>
      </c>
      <c r="D89" s="130" t="s">
        <v>62</v>
      </c>
      <c r="E89" s="56" t="s">
        <v>69</v>
      </c>
      <c r="F89" s="130"/>
      <c r="G89" s="48" t="s">
        <v>70</v>
      </c>
    </row>
    <row r="90" spans="1:7" ht="15.75" customHeight="1">
      <c r="A90" s="42" t="s">
        <v>7</v>
      </c>
      <c r="B90" s="1" t="s">
        <v>1077</v>
      </c>
      <c r="C90" s="43">
        <v>2875244</v>
      </c>
      <c r="D90" s="1" t="s">
        <v>101</v>
      </c>
      <c r="E90" s="45" t="s">
        <v>1078</v>
      </c>
      <c r="G90" s="131"/>
    </row>
    <row r="91" spans="1:7" ht="15.75" customHeight="1">
      <c r="A91" s="42" t="s">
        <v>7</v>
      </c>
      <c r="B91" s="1" t="s">
        <v>1077</v>
      </c>
      <c r="C91" s="43">
        <v>2399622</v>
      </c>
      <c r="D91" s="1" t="s">
        <v>90</v>
      </c>
      <c r="E91" s="45" t="s">
        <v>1079</v>
      </c>
      <c r="G91" s="48" t="s">
        <v>999</v>
      </c>
    </row>
    <row r="92" spans="1:7" ht="15.75" customHeight="1">
      <c r="A92" s="42" t="s">
        <v>7</v>
      </c>
      <c r="B92" s="1" t="s">
        <v>1077</v>
      </c>
      <c r="C92" s="43">
        <v>5016031</v>
      </c>
      <c r="D92" s="1" t="s">
        <v>83</v>
      </c>
      <c r="E92" s="45" t="s">
        <v>1080</v>
      </c>
      <c r="G92" s="59"/>
    </row>
    <row r="93" spans="1:7" ht="15.75" customHeight="1">
      <c r="A93" s="42" t="s">
        <v>7</v>
      </c>
      <c r="B93" s="1" t="s">
        <v>1077</v>
      </c>
      <c r="C93" s="43">
        <v>5042605</v>
      </c>
      <c r="D93" s="1" t="s">
        <v>80</v>
      </c>
      <c r="E93" s="45" t="s">
        <v>1008</v>
      </c>
      <c r="G93" s="59"/>
    </row>
    <row r="94" spans="1:7" ht="15.75" customHeight="1">
      <c r="A94" s="42" t="s">
        <v>7</v>
      </c>
      <c r="B94" s="1" t="s">
        <v>1077</v>
      </c>
      <c r="C94" s="43">
        <v>2848046</v>
      </c>
      <c r="D94" s="1" t="s">
        <v>83</v>
      </c>
      <c r="E94" s="45" t="s">
        <v>1081</v>
      </c>
      <c r="G94" s="59"/>
    </row>
    <row r="95" spans="1:7" ht="15.75" customHeight="1">
      <c r="A95" s="42" t="s">
        <v>7</v>
      </c>
      <c r="B95" s="1" t="s">
        <v>1077</v>
      </c>
      <c r="C95" s="43">
        <v>2877217</v>
      </c>
      <c r="D95" s="1" t="s">
        <v>80</v>
      </c>
      <c r="E95" s="45" t="s">
        <v>1082</v>
      </c>
      <c r="G95" s="131"/>
    </row>
    <row r="96" spans="1:7" ht="15.75" customHeight="1">
      <c r="A96" s="134" t="s">
        <v>8</v>
      </c>
      <c r="B96" s="134" t="s">
        <v>1083</v>
      </c>
      <c r="C96" s="130" t="s">
        <v>68</v>
      </c>
      <c r="D96" s="130" t="s">
        <v>62</v>
      </c>
      <c r="E96" s="56" t="s">
        <v>69</v>
      </c>
      <c r="F96" s="130"/>
      <c r="G96" s="48" t="s">
        <v>70</v>
      </c>
    </row>
    <row r="97" spans="1:7" ht="15.75" customHeight="1">
      <c r="A97" s="134" t="s">
        <v>8</v>
      </c>
      <c r="B97" s="134" t="s">
        <v>1083</v>
      </c>
      <c r="C97" s="43">
        <v>709794</v>
      </c>
      <c r="D97" s="1" t="s">
        <v>80</v>
      </c>
      <c r="E97" s="45" t="s">
        <v>1007</v>
      </c>
      <c r="G97" s="48" t="s">
        <v>999</v>
      </c>
    </row>
    <row r="98" spans="1:7" ht="15.75" customHeight="1">
      <c r="A98" s="134" t="s">
        <v>8</v>
      </c>
      <c r="B98" s="134" t="s">
        <v>1083</v>
      </c>
      <c r="C98" s="43">
        <v>3022813</v>
      </c>
      <c r="D98" s="1" t="s">
        <v>80</v>
      </c>
      <c r="E98" s="49" t="s">
        <v>1084</v>
      </c>
      <c r="G98" s="131"/>
    </row>
    <row r="99" spans="1:7" ht="15.75" customHeight="1">
      <c r="A99" s="134" t="s">
        <v>8</v>
      </c>
      <c r="B99" s="134" t="s">
        <v>1083</v>
      </c>
      <c r="C99" s="43">
        <v>5039197</v>
      </c>
      <c r="D99" s="1" t="s">
        <v>80</v>
      </c>
      <c r="E99" s="45" t="s">
        <v>1085</v>
      </c>
      <c r="G99" s="131"/>
    </row>
    <row r="100" spans="1:7" ht="15.75" customHeight="1">
      <c r="A100" s="134" t="s">
        <v>8</v>
      </c>
      <c r="B100" s="134" t="s">
        <v>1083</v>
      </c>
      <c r="C100" s="43">
        <v>780519</v>
      </c>
      <c r="D100" s="1" t="s">
        <v>80</v>
      </c>
      <c r="E100" s="45" t="s">
        <v>1002</v>
      </c>
      <c r="G100" s="131"/>
    </row>
    <row r="101" spans="1:7" ht="15.75" customHeight="1">
      <c r="A101" s="134" t="s">
        <v>8</v>
      </c>
      <c r="B101" s="134" t="s">
        <v>1083</v>
      </c>
      <c r="C101" s="43">
        <v>2848300</v>
      </c>
      <c r="D101" s="1" t="s">
        <v>83</v>
      </c>
      <c r="E101" s="45" t="s">
        <v>1086</v>
      </c>
      <c r="G101" s="131"/>
    </row>
    <row r="102" spans="1:7" ht="15.75" customHeight="1">
      <c r="A102" s="134" t="s">
        <v>8</v>
      </c>
      <c r="B102" s="134" t="s">
        <v>1083</v>
      </c>
      <c r="C102" s="43">
        <v>2410752</v>
      </c>
      <c r="D102" s="1" t="s">
        <v>71</v>
      </c>
      <c r="E102" s="49" t="s">
        <v>1087</v>
      </c>
      <c r="G102" s="131"/>
    </row>
    <row r="103" spans="1:7" ht="15.75" customHeight="1">
      <c r="A103" s="134" t="s">
        <v>8</v>
      </c>
      <c r="B103" s="134" t="s">
        <v>1083</v>
      </c>
      <c r="C103" s="43">
        <v>2205133</v>
      </c>
      <c r="D103" s="1" t="s">
        <v>71</v>
      </c>
      <c r="E103" s="45" t="s">
        <v>1088</v>
      </c>
      <c r="G103" s="131"/>
    </row>
    <row r="104" spans="1:7" ht="15.75" customHeight="1">
      <c r="A104" s="134" t="s">
        <v>8</v>
      </c>
      <c r="B104" s="134" t="s">
        <v>1083</v>
      </c>
      <c r="C104" s="43">
        <v>5029082</v>
      </c>
      <c r="D104" s="1" t="s">
        <v>80</v>
      </c>
      <c r="E104" s="45" t="s">
        <v>1089</v>
      </c>
      <c r="G104" s="131"/>
    </row>
    <row r="105" spans="1:7" ht="15.75" customHeight="1">
      <c r="A105" s="1" t="s">
        <v>9</v>
      </c>
      <c r="B105" s="1" t="s">
        <v>1090</v>
      </c>
      <c r="C105" s="130" t="s">
        <v>68</v>
      </c>
      <c r="D105" s="130" t="s">
        <v>62</v>
      </c>
      <c r="E105" s="56" t="s">
        <v>69</v>
      </c>
      <c r="F105" s="130"/>
      <c r="G105" s="48" t="s">
        <v>70</v>
      </c>
    </row>
    <row r="106" spans="1:7" ht="15.75" customHeight="1">
      <c r="A106" s="1" t="s">
        <v>9</v>
      </c>
      <c r="B106" s="1" t="s">
        <v>1090</v>
      </c>
      <c r="C106" s="43">
        <v>2998024</v>
      </c>
      <c r="D106" s="1" t="s">
        <v>83</v>
      </c>
      <c r="E106" s="45" t="s">
        <v>1091</v>
      </c>
      <c r="G106" s="48" t="s">
        <v>528</v>
      </c>
    </row>
    <row r="107" spans="1:7" ht="15.75" customHeight="1">
      <c r="A107" s="1" t="s">
        <v>9</v>
      </c>
      <c r="B107" s="1" t="s">
        <v>1090</v>
      </c>
      <c r="C107" s="43">
        <v>2918413</v>
      </c>
      <c r="D107" s="1" t="s">
        <v>71</v>
      </c>
      <c r="E107" s="49" t="s">
        <v>1092</v>
      </c>
      <c r="G107" s="50"/>
    </row>
    <row r="108" spans="1:7" ht="15.75" customHeight="1">
      <c r="A108" s="1" t="s">
        <v>9</v>
      </c>
      <c r="B108" s="1" t="s">
        <v>1090</v>
      </c>
      <c r="C108" s="43">
        <v>2849238</v>
      </c>
      <c r="D108" s="1" t="s">
        <v>83</v>
      </c>
      <c r="E108" s="45" t="s">
        <v>1093</v>
      </c>
      <c r="G108" s="50"/>
    </row>
    <row r="109" spans="1:7" ht="15.75" customHeight="1">
      <c r="A109" s="1" t="s">
        <v>9</v>
      </c>
      <c r="B109" s="1" t="s">
        <v>1090</v>
      </c>
      <c r="C109" s="43">
        <v>2400571</v>
      </c>
      <c r="D109" s="1" t="s">
        <v>83</v>
      </c>
      <c r="E109" s="45" t="s">
        <v>1094</v>
      </c>
      <c r="G109" s="50"/>
    </row>
    <row r="110" spans="1:7" ht="15.75" customHeight="1">
      <c r="A110" s="1" t="s">
        <v>9</v>
      </c>
      <c r="B110" s="1" t="s">
        <v>1090</v>
      </c>
      <c r="C110" s="43">
        <v>2849239</v>
      </c>
      <c r="D110" s="1" t="s">
        <v>80</v>
      </c>
      <c r="E110" s="45" t="s">
        <v>1095</v>
      </c>
      <c r="G110" s="50"/>
    </row>
    <row r="111" spans="1:7" ht="15.75" customHeight="1">
      <c r="A111" s="1" t="s">
        <v>9</v>
      </c>
      <c r="B111" s="1" t="s">
        <v>1090</v>
      </c>
      <c r="C111" s="43">
        <v>2398727</v>
      </c>
      <c r="D111" s="1" t="s">
        <v>71</v>
      </c>
      <c r="E111" s="45" t="s">
        <v>1096</v>
      </c>
      <c r="G111" s="50"/>
    </row>
    <row r="112" spans="1:7" ht="15.75" customHeight="1">
      <c r="A112" s="1" t="s">
        <v>10</v>
      </c>
      <c r="B112" s="1" t="s">
        <v>1097</v>
      </c>
      <c r="C112" s="130" t="s">
        <v>68</v>
      </c>
      <c r="D112" s="130" t="s">
        <v>62</v>
      </c>
      <c r="E112" s="56" t="s">
        <v>69</v>
      </c>
      <c r="F112" s="130"/>
      <c r="G112" s="48" t="s">
        <v>70</v>
      </c>
    </row>
    <row r="113" spans="1:7" ht="15.75" customHeight="1">
      <c r="A113" s="1" t="s">
        <v>10</v>
      </c>
      <c r="B113" s="1" t="s">
        <v>1097</v>
      </c>
      <c r="C113" s="43">
        <v>790312</v>
      </c>
      <c r="D113" s="1" t="s">
        <v>101</v>
      </c>
      <c r="E113" s="45" t="s">
        <v>1098</v>
      </c>
      <c r="G113" s="48" t="s">
        <v>528</v>
      </c>
    </row>
    <row r="114" spans="1:7" ht="15.75" customHeight="1">
      <c r="A114" s="1" t="s">
        <v>10</v>
      </c>
      <c r="B114" s="1" t="s">
        <v>1097</v>
      </c>
      <c r="C114" s="43">
        <v>2430128</v>
      </c>
      <c r="D114" s="1" t="s">
        <v>101</v>
      </c>
      <c r="E114" s="49" t="s">
        <v>1099</v>
      </c>
      <c r="G114" s="50"/>
    </row>
    <row r="115" spans="1:7" ht="15.75" customHeight="1">
      <c r="A115" s="1" t="s">
        <v>10</v>
      </c>
      <c r="B115" s="1" t="s">
        <v>1097</v>
      </c>
      <c r="C115" s="43">
        <v>2921883</v>
      </c>
      <c r="D115" s="1" t="s">
        <v>71</v>
      </c>
      <c r="E115" s="49" t="s">
        <v>1100</v>
      </c>
      <c r="G115" s="50"/>
    </row>
    <row r="116" spans="1:7" ht="15.75" customHeight="1">
      <c r="A116" s="1" t="s">
        <v>10</v>
      </c>
      <c r="B116" s="1" t="s">
        <v>1097</v>
      </c>
      <c r="C116" s="43">
        <v>3031559</v>
      </c>
      <c r="D116" s="1" t="s">
        <v>71</v>
      </c>
      <c r="E116" s="49" t="s">
        <v>1101</v>
      </c>
      <c r="G116" s="50"/>
    </row>
    <row r="117" spans="1:7" ht="15.75" customHeight="1">
      <c r="A117" s="1" t="s">
        <v>10</v>
      </c>
      <c r="B117" s="1" t="s">
        <v>1097</v>
      </c>
      <c r="C117" s="43">
        <v>3054301</v>
      </c>
      <c r="D117" s="1" t="s">
        <v>101</v>
      </c>
      <c r="E117" s="49" t="s">
        <v>1102</v>
      </c>
      <c r="G117" s="50"/>
    </row>
    <row r="118" spans="1:7" ht="15.75" customHeight="1">
      <c r="A118" s="1" t="s">
        <v>10</v>
      </c>
      <c r="B118" s="1" t="s">
        <v>1097</v>
      </c>
      <c r="C118" s="43">
        <v>3002369</v>
      </c>
      <c r="D118" s="1" t="s">
        <v>80</v>
      </c>
      <c r="E118" s="49" t="s">
        <v>1103</v>
      </c>
      <c r="G118" s="50"/>
    </row>
    <row r="119" spans="1:7" ht="15.75" customHeight="1">
      <c r="A119" s="1" t="s">
        <v>10</v>
      </c>
      <c r="B119" s="1" t="s">
        <v>1097</v>
      </c>
      <c r="C119" s="43">
        <v>2848296</v>
      </c>
      <c r="D119" s="1" t="s">
        <v>80</v>
      </c>
      <c r="E119" s="45" t="s">
        <v>1104</v>
      </c>
      <c r="G119" s="50"/>
    </row>
    <row r="120" spans="1:7" ht="15.75" customHeight="1">
      <c r="A120" s="1" t="s">
        <v>10</v>
      </c>
      <c r="B120" s="1" t="s">
        <v>1097</v>
      </c>
      <c r="C120" s="43">
        <v>2915382</v>
      </c>
      <c r="D120" s="1" t="s">
        <v>83</v>
      </c>
      <c r="E120" s="45" t="s">
        <v>1105</v>
      </c>
      <c r="G120" s="50"/>
    </row>
    <row r="121" spans="1:7" ht="15.75" customHeight="1">
      <c r="A121" s="1" t="s">
        <v>10</v>
      </c>
      <c r="B121" s="1" t="s">
        <v>1097</v>
      </c>
      <c r="C121" s="43">
        <v>2917516</v>
      </c>
      <c r="D121" s="1" t="s">
        <v>83</v>
      </c>
      <c r="E121" s="45" t="s">
        <v>1106</v>
      </c>
      <c r="G121" s="50"/>
    </row>
    <row r="122" spans="1:7" ht="15.75" customHeight="1">
      <c r="A122" s="1" t="s">
        <v>11</v>
      </c>
      <c r="B122" s="1" t="s">
        <v>1107</v>
      </c>
      <c r="C122" s="130" t="s">
        <v>68</v>
      </c>
      <c r="D122" s="130" t="s">
        <v>62</v>
      </c>
      <c r="E122" s="56" t="s">
        <v>69</v>
      </c>
      <c r="F122" s="130"/>
      <c r="G122" s="48" t="s">
        <v>70</v>
      </c>
    </row>
    <row r="123" spans="1:7" ht="15.75" customHeight="1">
      <c r="A123" s="1" t="s">
        <v>11</v>
      </c>
      <c r="B123" s="1" t="s">
        <v>1107</v>
      </c>
      <c r="C123" s="43">
        <v>737787</v>
      </c>
      <c r="D123" s="1" t="s">
        <v>83</v>
      </c>
      <c r="E123" s="45" t="s">
        <v>1108</v>
      </c>
      <c r="G123" s="48" t="s">
        <v>528</v>
      </c>
    </row>
    <row r="124" spans="1:7" ht="15.75" customHeight="1">
      <c r="A124" s="1" t="s">
        <v>11</v>
      </c>
      <c r="B124" s="1" t="s">
        <v>1107</v>
      </c>
      <c r="C124" s="43">
        <v>2835083</v>
      </c>
      <c r="D124" s="1" t="s">
        <v>71</v>
      </c>
      <c r="E124" s="45" t="s">
        <v>1109</v>
      </c>
      <c r="G124" s="50"/>
    </row>
    <row r="125" spans="1:7" ht="15.75" customHeight="1">
      <c r="A125" s="1" t="s">
        <v>11</v>
      </c>
      <c r="B125" s="1" t="s">
        <v>1107</v>
      </c>
      <c r="C125" s="43">
        <v>2822130</v>
      </c>
      <c r="D125" s="1" t="s">
        <v>83</v>
      </c>
      <c r="E125" s="45" t="s">
        <v>1110</v>
      </c>
      <c r="G125" s="50"/>
    </row>
    <row r="126" spans="1:7" ht="15.75" customHeight="1">
      <c r="A126" s="1" t="s">
        <v>11</v>
      </c>
      <c r="B126" s="1" t="s">
        <v>1107</v>
      </c>
      <c r="C126" s="43">
        <v>2822366</v>
      </c>
      <c r="D126" s="1" t="s">
        <v>83</v>
      </c>
      <c r="E126" s="45" t="s">
        <v>1111</v>
      </c>
      <c r="G126" s="50"/>
    </row>
    <row r="127" spans="1:7" ht="15.75" customHeight="1">
      <c r="A127" s="1" t="s">
        <v>11</v>
      </c>
      <c r="B127" s="1" t="s">
        <v>1107</v>
      </c>
      <c r="C127" s="43">
        <v>2915390</v>
      </c>
      <c r="D127" s="1" t="s">
        <v>71</v>
      </c>
      <c r="E127" s="45" t="s">
        <v>1112</v>
      </c>
      <c r="G127" s="50"/>
    </row>
    <row r="128" spans="1:7" ht="15.75" customHeight="1">
      <c r="A128" s="1" t="s">
        <v>12</v>
      </c>
      <c r="B128" s="1" t="s">
        <v>1113</v>
      </c>
      <c r="C128" s="130" t="s">
        <v>68</v>
      </c>
      <c r="D128" s="130" t="s">
        <v>62</v>
      </c>
      <c r="E128" s="56" t="s">
        <v>69</v>
      </c>
      <c r="F128" s="130"/>
      <c r="G128" s="48" t="s">
        <v>70</v>
      </c>
    </row>
    <row r="129" spans="1:7" ht="15.75" customHeight="1">
      <c r="A129" s="1" t="s">
        <v>12</v>
      </c>
      <c r="B129" s="1" t="s">
        <v>1113</v>
      </c>
      <c r="C129" s="43">
        <v>2892077</v>
      </c>
      <c r="D129" s="1" t="s">
        <v>80</v>
      </c>
      <c r="E129" s="49" t="s">
        <v>1114</v>
      </c>
      <c r="G129" s="48" t="s">
        <v>528</v>
      </c>
    </row>
    <row r="130" spans="1:7" ht="15.75" customHeight="1">
      <c r="A130" s="1" t="s">
        <v>12</v>
      </c>
      <c r="B130" s="1" t="s">
        <v>1113</v>
      </c>
      <c r="C130" s="43">
        <v>2918416</v>
      </c>
      <c r="D130" s="1" t="s">
        <v>90</v>
      </c>
      <c r="E130" s="45" t="s">
        <v>1115</v>
      </c>
      <c r="F130" s="130"/>
      <c r="G130" s="59"/>
    </row>
    <row r="131" spans="1:7" ht="15.75" customHeight="1">
      <c r="A131" s="1" t="s">
        <v>12</v>
      </c>
      <c r="B131" s="1" t="s">
        <v>1113</v>
      </c>
      <c r="C131" s="43">
        <v>3148360</v>
      </c>
      <c r="D131" s="1" t="s">
        <v>71</v>
      </c>
      <c r="E131" s="49" t="s">
        <v>1116</v>
      </c>
      <c r="F131" s="130"/>
      <c r="G131" s="59"/>
    </row>
    <row r="132" spans="1:7" ht="15.75" customHeight="1">
      <c r="A132" s="1" t="s">
        <v>12</v>
      </c>
      <c r="B132" s="1" t="s">
        <v>1113</v>
      </c>
      <c r="C132" s="43">
        <v>2430001</v>
      </c>
      <c r="D132" s="1" t="s">
        <v>83</v>
      </c>
      <c r="E132" s="49" t="s">
        <v>1117</v>
      </c>
      <c r="F132" s="130"/>
      <c r="G132" s="59"/>
    </row>
    <row r="133" spans="1:7" ht="15.75" customHeight="1">
      <c r="A133" s="1" t="s">
        <v>12</v>
      </c>
      <c r="B133" s="1" t="s">
        <v>1113</v>
      </c>
      <c r="C133" s="43">
        <v>778468</v>
      </c>
      <c r="D133" s="1" t="s">
        <v>71</v>
      </c>
      <c r="E133" s="45" t="s">
        <v>1118</v>
      </c>
      <c r="F133" s="130"/>
      <c r="G133" s="59"/>
    </row>
    <row r="134" spans="1:7" ht="15.75" customHeight="1">
      <c r="A134" s="1" t="s">
        <v>12</v>
      </c>
      <c r="B134" s="1" t="s">
        <v>1113</v>
      </c>
      <c r="C134" s="43">
        <v>3153208</v>
      </c>
      <c r="D134" s="1" t="s">
        <v>83</v>
      </c>
      <c r="E134" s="49" t="s">
        <v>1023</v>
      </c>
      <c r="F134" s="130"/>
      <c r="G134" s="59"/>
    </row>
    <row r="135" spans="1:7" ht="15.75" customHeight="1">
      <c r="A135" s="1" t="s">
        <v>12</v>
      </c>
      <c r="B135" s="1" t="s">
        <v>1113</v>
      </c>
      <c r="C135" s="43">
        <v>3158188</v>
      </c>
      <c r="D135" s="1" t="s">
        <v>83</v>
      </c>
      <c r="E135" s="49" t="s">
        <v>1024</v>
      </c>
      <c r="F135" s="130"/>
      <c r="G135" s="59"/>
    </row>
    <row r="136" spans="1:7" ht="15.75" customHeight="1">
      <c r="A136" s="1" t="s">
        <v>12</v>
      </c>
      <c r="B136" s="1" t="s">
        <v>1113</v>
      </c>
      <c r="C136" s="43">
        <v>3141506</v>
      </c>
      <c r="D136" s="1" t="s">
        <v>80</v>
      </c>
      <c r="E136" s="49" t="s">
        <v>1119</v>
      </c>
      <c r="F136" s="130"/>
      <c r="G136" s="59"/>
    </row>
    <row r="137" spans="1:7" ht="15.75" customHeight="1">
      <c r="A137" s="1" t="s">
        <v>12</v>
      </c>
      <c r="B137" s="1" t="s">
        <v>1113</v>
      </c>
      <c r="C137" s="43">
        <v>2888078</v>
      </c>
      <c r="D137" s="1" t="s">
        <v>80</v>
      </c>
      <c r="E137" s="49" t="s">
        <v>1120</v>
      </c>
      <c r="F137" s="130"/>
      <c r="G137" s="59"/>
    </row>
    <row r="138" spans="1:7" ht="15.75" customHeight="1">
      <c r="A138" s="1" t="s">
        <v>12</v>
      </c>
      <c r="B138" s="1" t="s">
        <v>1113</v>
      </c>
      <c r="C138" s="43">
        <v>3144302</v>
      </c>
      <c r="D138" s="1" t="s">
        <v>80</v>
      </c>
      <c r="E138" s="49" t="s">
        <v>1121</v>
      </c>
      <c r="F138" s="130"/>
      <c r="G138" s="59"/>
    </row>
    <row r="139" spans="1:7" ht="15.75" customHeight="1">
      <c r="A139" s="1" t="s">
        <v>13</v>
      </c>
      <c r="B139" s="142" t="s">
        <v>1122</v>
      </c>
      <c r="C139" s="130" t="s">
        <v>68</v>
      </c>
      <c r="D139" s="130" t="s">
        <v>62</v>
      </c>
      <c r="E139" s="56" t="s">
        <v>69</v>
      </c>
      <c r="F139" s="130"/>
      <c r="G139" s="48" t="s">
        <v>70</v>
      </c>
    </row>
    <row r="140" spans="1:7" ht="15.75" customHeight="1">
      <c r="A140" s="1" t="s">
        <v>13</v>
      </c>
      <c r="B140" s="142" t="s">
        <v>1122</v>
      </c>
      <c r="C140" s="43">
        <v>2404542</v>
      </c>
      <c r="D140" s="1" t="s">
        <v>90</v>
      </c>
      <c r="E140" s="45" t="s">
        <v>1123</v>
      </c>
      <c r="G140" s="48" t="s">
        <v>999</v>
      </c>
    </row>
    <row r="141" spans="1:7" ht="15.75" customHeight="1">
      <c r="A141" s="42" t="s">
        <v>13</v>
      </c>
      <c r="B141" s="142" t="s">
        <v>1122</v>
      </c>
      <c r="C141" s="43">
        <v>2916475</v>
      </c>
      <c r="D141" s="1" t="s">
        <v>71</v>
      </c>
      <c r="E141" s="45" t="s">
        <v>1124</v>
      </c>
      <c r="G141" s="131"/>
    </row>
    <row r="142" spans="1:7" ht="15.75" customHeight="1">
      <c r="A142" s="42" t="s">
        <v>13</v>
      </c>
      <c r="B142" s="142" t="s">
        <v>1122</v>
      </c>
      <c r="C142" s="43">
        <v>5003765</v>
      </c>
      <c r="D142" s="1" t="s">
        <v>71</v>
      </c>
      <c r="E142" s="45" t="s">
        <v>1125</v>
      </c>
      <c r="G142" s="131"/>
    </row>
    <row r="143" spans="1:7" ht="15.75" customHeight="1">
      <c r="A143" s="42" t="s">
        <v>13</v>
      </c>
      <c r="B143" s="142" t="s">
        <v>1122</v>
      </c>
      <c r="C143" s="43">
        <v>2888079</v>
      </c>
      <c r="D143" s="1" t="s">
        <v>80</v>
      </c>
      <c r="E143" s="49" t="s">
        <v>1010</v>
      </c>
      <c r="G143" s="131"/>
    </row>
    <row r="144" spans="1:7" ht="15.75" customHeight="1">
      <c r="A144" s="42" t="s">
        <v>13</v>
      </c>
      <c r="B144" s="142" t="s">
        <v>1122</v>
      </c>
      <c r="C144" s="43">
        <v>3146326</v>
      </c>
      <c r="D144" s="1" t="s">
        <v>71</v>
      </c>
      <c r="E144" s="49" t="s">
        <v>1011</v>
      </c>
      <c r="G144" s="131"/>
    </row>
    <row r="145" spans="1:7" ht="15.75" customHeight="1">
      <c r="A145" s="42" t="s">
        <v>13</v>
      </c>
      <c r="B145" s="142" t="s">
        <v>1122</v>
      </c>
      <c r="C145" s="43">
        <v>3117546</v>
      </c>
      <c r="D145" s="1" t="s">
        <v>90</v>
      </c>
      <c r="E145" s="45" t="s">
        <v>1126</v>
      </c>
      <c r="G145" s="131"/>
    </row>
    <row r="146" spans="1:7" ht="15.75" customHeight="1">
      <c r="A146" s="42" t="s">
        <v>13</v>
      </c>
      <c r="B146" s="142" t="s">
        <v>1122</v>
      </c>
      <c r="C146" s="43">
        <v>763115</v>
      </c>
      <c r="D146" s="1" t="s">
        <v>71</v>
      </c>
      <c r="E146" s="45" t="s">
        <v>1127</v>
      </c>
      <c r="G146" s="131"/>
    </row>
    <row r="147" spans="1:7" ht="15.75" customHeight="1">
      <c r="A147" s="42" t="s">
        <v>13</v>
      </c>
      <c r="B147" s="142" t="s">
        <v>1122</v>
      </c>
      <c r="C147" s="43">
        <v>2883006</v>
      </c>
      <c r="D147" s="1" t="s">
        <v>80</v>
      </c>
      <c r="E147" s="45" t="s">
        <v>1128</v>
      </c>
      <c r="G147" s="131"/>
    </row>
    <row r="148" spans="1:7" ht="15.75" customHeight="1">
      <c r="A148" s="1" t="s">
        <v>14</v>
      </c>
      <c r="B148" s="1" t="s">
        <v>1129</v>
      </c>
      <c r="C148" s="130" t="s">
        <v>68</v>
      </c>
      <c r="D148" s="130" t="s">
        <v>62</v>
      </c>
      <c r="E148" s="56" t="s">
        <v>69</v>
      </c>
      <c r="F148" s="130"/>
      <c r="G148" s="48" t="s">
        <v>70</v>
      </c>
    </row>
    <row r="149" spans="1:7" ht="15.75" customHeight="1">
      <c r="A149" s="1" t="s">
        <v>14</v>
      </c>
      <c r="B149" s="1" t="s">
        <v>1129</v>
      </c>
      <c r="C149" s="43">
        <v>3163260</v>
      </c>
      <c r="D149" s="44" t="s">
        <v>83</v>
      </c>
      <c r="E149" s="49" t="s">
        <v>1014</v>
      </c>
      <c r="G149" s="48" t="s">
        <v>528</v>
      </c>
    </row>
    <row r="150" spans="1:7" ht="15.75" customHeight="1">
      <c r="A150" s="1" t="s">
        <v>14</v>
      </c>
      <c r="B150" s="1" t="s">
        <v>1129</v>
      </c>
      <c r="C150" s="43">
        <v>2430002</v>
      </c>
      <c r="D150" s="44" t="s">
        <v>83</v>
      </c>
      <c r="E150" s="49" t="s">
        <v>998</v>
      </c>
      <c r="G150" s="131"/>
    </row>
    <row r="151" spans="1:7" ht="15.75" customHeight="1">
      <c r="A151" s="1" t="s">
        <v>14</v>
      </c>
      <c r="B151" s="1" t="s">
        <v>1129</v>
      </c>
      <c r="C151" s="43">
        <v>2869083</v>
      </c>
      <c r="D151" s="1" t="s">
        <v>71</v>
      </c>
      <c r="E151" s="45" t="s">
        <v>1130</v>
      </c>
      <c r="G151" s="131"/>
    </row>
    <row r="152" spans="1:7" ht="15.75" customHeight="1">
      <c r="A152" s="1" t="s">
        <v>14</v>
      </c>
      <c r="B152" s="1" t="s">
        <v>1129</v>
      </c>
      <c r="C152" s="43">
        <v>2892077</v>
      </c>
      <c r="D152" s="44" t="s">
        <v>80</v>
      </c>
      <c r="E152" s="49" t="s">
        <v>1114</v>
      </c>
      <c r="G152" s="131"/>
    </row>
    <row r="153" spans="1:7" ht="15.75" customHeight="1">
      <c r="A153" s="1" t="s">
        <v>14</v>
      </c>
      <c r="B153" s="1" t="s">
        <v>1129</v>
      </c>
      <c r="C153" s="43">
        <v>2427687</v>
      </c>
      <c r="D153" s="44" t="s">
        <v>71</v>
      </c>
      <c r="E153" s="49" t="s">
        <v>1131</v>
      </c>
      <c r="G153" s="131"/>
    </row>
    <row r="154" spans="1:7" ht="15.75" customHeight="1">
      <c r="A154" s="1" t="s">
        <v>14</v>
      </c>
      <c r="B154" s="1" t="s">
        <v>1129</v>
      </c>
      <c r="C154" s="43">
        <v>2915224</v>
      </c>
      <c r="D154" s="1" t="s">
        <v>101</v>
      </c>
      <c r="E154" s="45" t="s">
        <v>1030</v>
      </c>
      <c r="G154" s="131"/>
    </row>
    <row r="155" spans="1:7" ht="15.75" customHeight="1">
      <c r="A155" s="1" t="s">
        <v>14</v>
      </c>
      <c r="B155" s="1" t="s">
        <v>1129</v>
      </c>
      <c r="C155" s="43">
        <v>3009413</v>
      </c>
      <c r="D155" s="44" t="s">
        <v>83</v>
      </c>
      <c r="E155" s="49" t="s">
        <v>1132</v>
      </c>
      <c r="G155" s="131"/>
    </row>
    <row r="156" spans="1:7" ht="15.75" customHeight="1">
      <c r="A156" s="1" t="s">
        <v>14</v>
      </c>
      <c r="B156" s="1" t="s">
        <v>1129</v>
      </c>
      <c r="C156" s="43">
        <v>603630</v>
      </c>
      <c r="D156" s="1" t="s">
        <v>80</v>
      </c>
      <c r="E156" s="49" t="s">
        <v>1052</v>
      </c>
      <c r="G156" s="131"/>
    </row>
    <row r="157" spans="1:7" ht="15.75" customHeight="1">
      <c r="A157" s="1" t="s">
        <v>14</v>
      </c>
      <c r="B157" s="1" t="s">
        <v>1129</v>
      </c>
      <c r="C157" s="43">
        <v>2414723</v>
      </c>
      <c r="D157" s="44" t="s">
        <v>80</v>
      </c>
      <c r="E157" s="49" t="s">
        <v>1133</v>
      </c>
      <c r="G157" s="131"/>
    </row>
    <row r="158" spans="1:7" ht="15.75" customHeight="1">
      <c r="A158" s="1" t="s">
        <v>14</v>
      </c>
      <c r="B158" s="1" t="s">
        <v>1129</v>
      </c>
      <c r="C158" s="43">
        <v>805175</v>
      </c>
      <c r="D158" s="1" t="s">
        <v>80</v>
      </c>
      <c r="E158" s="45" t="s">
        <v>1019</v>
      </c>
      <c r="G158" s="131"/>
    </row>
    <row r="159" spans="1:7" ht="15.75" customHeight="1">
      <c r="A159" s="1" t="s">
        <v>14</v>
      </c>
      <c r="B159" s="1" t="s">
        <v>1129</v>
      </c>
      <c r="C159" s="43">
        <v>726649</v>
      </c>
      <c r="D159" s="1" t="s">
        <v>83</v>
      </c>
      <c r="E159" s="45" t="s">
        <v>1134</v>
      </c>
      <c r="G159" s="131"/>
    </row>
    <row r="160" spans="1:7" ht="15.75" customHeight="1">
      <c r="A160" s="1" t="s">
        <v>14</v>
      </c>
      <c r="B160" s="1" t="s">
        <v>1129</v>
      </c>
      <c r="C160" s="43">
        <v>647819</v>
      </c>
      <c r="D160" s="1" t="s">
        <v>83</v>
      </c>
      <c r="E160" s="45" t="s">
        <v>1135</v>
      </c>
      <c r="G160" s="131"/>
    </row>
    <row r="161" spans="1:7" ht="15.75" customHeight="1">
      <c r="A161" s="1" t="s">
        <v>14</v>
      </c>
      <c r="B161" s="1" t="s">
        <v>1129</v>
      </c>
      <c r="C161" s="43">
        <v>804034</v>
      </c>
      <c r="D161" s="1" t="s">
        <v>80</v>
      </c>
      <c r="E161" s="45" t="s">
        <v>1136</v>
      </c>
      <c r="G161" s="131"/>
    </row>
    <row r="162" spans="1:7" ht="15.75" customHeight="1">
      <c r="A162" s="1" t="s">
        <v>14</v>
      </c>
      <c r="B162" s="1" t="s">
        <v>1129</v>
      </c>
      <c r="C162" s="43">
        <v>5003765</v>
      </c>
      <c r="D162" s="1" t="s">
        <v>71</v>
      </c>
      <c r="E162" s="45" t="s">
        <v>1125</v>
      </c>
      <c r="G162" s="131"/>
    </row>
    <row r="163" spans="1:7" ht="15.75" customHeight="1">
      <c r="A163" s="1" t="s">
        <v>14</v>
      </c>
      <c r="B163" s="1" t="s">
        <v>1129</v>
      </c>
      <c r="C163" s="43">
        <v>2400570</v>
      </c>
      <c r="D163" s="1" t="s">
        <v>101</v>
      </c>
      <c r="E163" s="45" t="s">
        <v>1137</v>
      </c>
      <c r="G163" s="131"/>
    </row>
    <row r="164" spans="1:7" ht="15.75" customHeight="1">
      <c r="A164" s="1" t="s">
        <v>14</v>
      </c>
      <c r="B164" s="1" t="s">
        <v>1129</v>
      </c>
      <c r="C164" s="43">
        <v>2887006</v>
      </c>
      <c r="D164" s="44" t="s">
        <v>71</v>
      </c>
      <c r="E164" s="49" t="s">
        <v>1138</v>
      </c>
      <c r="G164" s="131"/>
    </row>
    <row r="165" spans="1:7" ht="15.75" customHeight="1">
      <c r="A165" s="1" t="s">
        <v>14</v>
      </c>
      <c r="B165" s="1" t="s">
        <v>1129</v>
      </c>
      <c r="C165" s="43">
        <v>3153208</v>
      </c>
      <c r="D165" s="44" t="s">
        <v>83</v>
      </c>
      <c r="E165" s="49" t="s">
        <v>1023</v>
      </c>
      <c r="G165" s="131"/>
    </row>
    <row r="166" spans="1:7" ht="15.75" customHeight="1">
      <c r="A166" s="1" t="s">
        <v>14</v>
      </c>
      <c r="B166" s="1" t="s">
        <v>1129</v>
      </c>
      <c r="C166" s="43">
        <v>3158188</v>
      </c>
      <c r="D166" s="44" t="s">
        <v>83</v>
      </c>
      <c r="E166" s="49" t="s">
        <v>1024</v>
      </c>
      <c r="G166" s="131"/>
    </row>
    <row r="167" spans="1:7" ht="15.75" customHeight="1">
      <c r="A167" s="1" t="s">
        <v>14</v>
      </c>
      <c r="B167" s="1" t="s">
        <v>1129</v>
      </c>
      <c r="C167" s="43">
        <v>3006484</v>
      </c>
      <c r="D167" s="44" t="s">
        <v>80</v>
      </c>
      <c r="E167" s="49" t="s">
        <v>1139</v>
      </c>
      <c r="G167" s="131"/>
    </row>
    <row r="168" spans="1:7" ht="15.75" customHeight="1">
      <c r="A168" s="1" t="s">
        <v>14</v>
      </c>
      <c r="B168" s="1" t="s">
        <v>1129</v>
      </c>
      <c r="C168" s="43">
        <v>2203497</v>
      </c>
      <c r="D168" s="1" t="s">
        <v>83</v>
      </c>
      <c r="E168" s="49" t="s">
        <v>1140</v>
      </c>
      <c r="G168" s="131"/>
    </row>
    <row r="169" spans="1:7" ht="15.75" customHeight="1">
      <c r="A169" s="1" t="s">
        <v>14</v>
      </c>
      <c r="B169" s="1" t="s">
        <v>1129</v>
      </c>
      <c r="C169" s="43">
        <v>2848299</v>
      </c>
      <c r="D169" s="1" t="s">
        <v>71</v>
      </c>
      <c r="E169" s="45" t="s">
        <v>1141</v>
      </c>
      <c r="G169" s="131"/>
    </row>
    <row r="170" spans="1:7" ht="15.75" customHeight="1">
      <c r="A170" s="1" t="s">
        <v>14</v>
      </c>
      <c r="B170" s="1" t="s">
        <v>1129</v>
      </c>
      <c r="C170" s="43">
        <v>3010344</v>
      </c>
      <c r="D170" s="44" t="s">
        <v>83</v>
      </c>
      <c r="E170" s="49" t="s">
        <v>1142</v>
      </c>
      <c r="G170" s="131"/>
    </row>
    <row r="171" spans="1:7" ht="15.75" customHeight="1">
      <c r="A171" s="1" t="s">
        <v>14</v>
      </c>
      <c r="B171" s="1" t="s">
        <v>1129</v>
      </c>
      <c r="C171" s="43">
        <v>2205133</v>
      </c>
      <c r="D171" s="1" t="s">
        <v>71</v>
      </c>
      <c r="E171" s="45" t="s">
        <v>1088</v>
      </c>
      <c r="G171" s="131"/>
    </row>
    <row r="172" spans="1:7" ht="15.75" customHeight="1">
      <c r="A172" s="1" t="s">
        <v>14</v>
      </c>
      <c r="B172" s="1" t="s">
        <v>1129</v>
      </c>
      <c r="C172" s="43">
        <v>2918417</v>
      </c>
      <c r="D172" s="1" t="s">
        <v>71</v>
      </c>
      <c r="E172" s="45" t="s">
        <v>1143</v>
      </c>
      <c r="G172" s="131"/>
    </row>
    <row r="173" spans="1:7" ht="15.75" customHeight="1">
      <c r="A173" s="1" t="s">
        <v>15</v>
      </c>
      <c r="B173" s="1" t="s">
        <v>1144</v>
      </c>
      <c r="C173" s="130" t="s">
        <v>68</v>
      </c>
      <c r="D173" s="130" t="s">
        <v>62</v>
      </c>
      <c r="E173" s="56" t="s">
        <v>69</v>
      </c>
      <c r="F173" s="130"/>
      <c r="G173" s="48" t="s">
        <v>70</v>
      </c>
    </row>
    <row r="174" spans="1:7" ht="15.75" customHeight="1">
      <c r="A174" s="1" t="s">
        <v>15</v>
      </c>
      <c r="B174" s="1" t="s">
        <v>1144</v>
      </c>
      <c r="C174" s="43">
        <v>2414722</v>
      </c>
      <c r="D174" s="1" t="s">
        <v>71</v>
      </c>
      <c r="E174" s="49" t="s">
        <v>1145</v>
      </c>
      <c r="G174" s="48" t="s">
        <v>528</v>
      </c>
    </row>
    <row r="175" spans="1:7" ht="15.75" customHeight="1">
      <c r="A175" s="42" t="s">
        <v>15</v>
      </c>
      <c r="B175" s="1" t="s">
        <v>1144</v>
      </c>
      <c r="C175" s="43">
        <v>2885003</v>
      </c>
      <c r="D175" s="1" t="s">
        <v>71</v>
      </c>
      <c r="E175" s="45" t="s">
        <v>1017</v>
      </c>
      <c r="G175" s="131"/>
    </row>
    <row r="176" spans="1:7" ht="15.75" customHeight="1">
      <c r="A176" s="42" t="s">
        <v>15</v>
      </c>
      <c r="B176" s="1" t="s">
        <v>1144</v>
      </c>
      <c r="C176" s="43">
        <v>2810523</v>
      </c>
      <c r="D176" s="1" t="s">
        <v>83</v>
      </c>
      <c r="E176" s="45" t="s">
        <v>1146</v>
      </c>
      <c r="G176" s="131"/>
    </row>
    <row r="177" spans="1:7" ht="15.75" customHeight="1">
      <c r="A177" s="42" t="s">
        <v>15</v>
      </c>
      <c r="B177" s="1" t="s">
        <v>1144</v>
      </c>
      <c r="C177" s="43">
        <v>2915391</v>
      </c>
      <c r="D177" s="1" t="s">
        <v>71</v>
      </c>
      <c r="E177" s="45" t="s">
        <v>1147</v>
      </c>
      <c r="G177" s="131"/>
    </row>
    <row r="178" spans="1:7" ht="15.75" customHeight="1">
      <c r="A178" s="42" t="s">
        <v>15</v>
      </c>
      <c r="B178" s="1" t="s">
        <v>1144</v>
      </c>
      <c r="C178" s="43">
        <v>805175</v>
      </c>
      <c r="D178" s="44" t="s">
        <v>80</v>
      </c>
      <c r="E178" s="45" t="s">
        <v>1019</v>
      </c>
      <c r="G178" s="131"/>
    </row>
    <row r="179" spans="1:7" ht="15.75" customHeight="1">
      <c r="A179" s="42" t="s">
        <v>15</v>
      </c>
      <c r="B179" s="1" t="s">
        <v>1144</v>
      </c>
      <c r="C179" s="43">
        <v>2917521</v>
      </c>
      <c r="D179" s="1" t="s">
        <v>71</v>
      </c>
      <c r="E179" s="45" t="s">
        <v>1020</v>
      </c>
      <c r="G179" s="131"/>
    </row>
    <row r="180" spans="1:7" ht="15.75" customHeight="1">
      <c r="A180" s="42" t="s">
        <v>15</v>
      </c>
      <c r="B180" s="1" t="s">
        <v>1144</v>
      </c>
      <c r="C180" s="43">
        <v>3155690</v>
      </c>
      <c r="D180" s="1" t="s">
        <v>101</v>
      </c>
      <c r="E180" s="49" t="s">
        <v>1148</v>
      </c>
      <c r="G180" s="131"/>
    </row>
    <row r="181" spans="1:7" ht="15.75" customHeight="1">
      <c r="A181" s="42" t="s">
        <v>15</v>
      </c>
      <c r="B181" s="1" t="s">
        <v>1144</v>
      </c>
      <c r="C181" s="43">
        <v>2430001</v>
      </c>
      <c r="D181" s="1" t="s">
        <v>83</v>
      </c>
      <c r="E181" s="49" t="s">
        <v>1117</v>
      </c>
      <c r="F181" s="130"/>
      <c r="G181" s="59"/>
    </row>
    <row r="182" spans="1:7" ht="15.75" customHeight="1">
      <c r="A182" s="42" t="s">
        <v>15</v>
      </c>
      <c r="B182" s="1" t="s">
        <v>1144</v>
      </c>
      <c r="C182" s="43">
        <v>5013958</v>
      </c>
      <c r="D182" s="1" t="s">
        <v>83</v>
      </c>
      <c r="E182" s="45" t="s">
        <v>1149</v>
      </c>
      <c r="F182" s="130"/>
      <c r="G182" s="59"/>
    </row>
    <row r="183" spans="1:7" ht="15.75" customHeight="1">
      <c r="A183" s="42" t="s">
        <v>15</v>
      </c>
      <c r="B183" s="1" t="s">
        <v>1144</v>
      </c>
      <c r="C183" s="43">
        <v>795002</v>
      </c>
      <c r="D183" s="44" t="s">
        <v>80</v>
      </c>
      <c r="E183" s="45" t="s">
        <v>1150</v>
      </c>
      <c r="F183" s="130"/>
      <c r="G183" s="59"/>
    </row>
    <row r="184" spans="1:7" ht="15.75" customHeight="1">
      <c r="A184" s="42" t="s">
        <v>15</v>
      </c>
      <c r="B184" s="1" t="s">
        <v>1144</v>
      </c>
      <c r="C184" s="43">
        <v>2916468</v>
      </c>
      <c r="D184" s="1" t="s">
        <v>83</v>
      </c>
      <c r="E184" s="45" t="s">
        <v>1151</v>
      </c>
      <c r="F184" s="130"/>
      <c r="G184" s="59"/>
    </row>
    <row r="185" spans="1:7" ht="15.75" customHeight="1">
      <c r="A185" s="42" t="s">
        <v>15</v>
      </c>
      <c r="B185" s="1" t="s">
        <v>1144</v>
      </c>
      <c r="C185" s="43">
        <v>2848299</v>
      </c>
      <c r="D185" s="1" t="s">
        <v>71</v>
      </c>
      <c r="E185" s="45" t="s">
        <v>1141</v>
      </c>
      <c r="G185" s="50"/>
    </row>
    <row r="186" spans="1:7" ht="15.75" customHeight="1">
      <c r="A186" s="42" t="s">
        <v>15</v>
      </c>
      <c r="B186" s="1" t="s">
        <v>1144</v>
      </c>
      <c r="C186" s="43">
        <v>2915392</v>
      </c>
      <c r="D186" s="1" t="s">
        <v>71</v>
      </c>
      <c r="E186" s="45" t="s">
        <v>1152</v>
      </c>
      <c r="G186" s="50"/>
    </row>
    <row r="187" spans="1:7" ht="15.75" customHeight="1">
      <c r="A187" s="42" t="s">
        <v>15</v>
      </c>
      <c r="B187" s="1" t="s">
        <v>1144</v>
      </c>
      <c r="C187" s="43">
        <v>693758</v>
      </c>
      <c r="D187" s="1" t="s">
        <v>83</v>
      </c>
      <c r="E187" s="45" t="s">
        <v>1153</v>
      </c>
      <c r="G187" s="50"/>
    </row>
    <row r="188" spans="1:7" ht="15.75" customHeight="1">
      <c r="A188" s="42" t="s">
        <v>15</v>
      </c>
      <c r="B188" s="1" t="s">
        <v>1144</v>
      </c>
      <c r="C188" s="43">
        <v>2917518</v>
      </c>
      <c r="D188" s="1" t="s">
        <v>101</v>
      </c>
      <c r="E188" s="45" t="s">
        <v>1154</v>
      </c>
      <c r="G188" s="50"/>
    </row>
    <row r="189" spans="1:7" ht="15.75" customHeight="1">
      <c r="A189" s="42" t="s">
        <v>15</v>
      </c>
      <c r="B189" s="1" t="s">
        <v>1144</v>
      </c>
      <c r="C189" s="43">
        <v>2849242</v>
      </c>
      <c r="D189" s="1" t="s">
        <v>71</v>
      </c>
      <c r="E189" s="45" t="s">
        <v>1155</v>
      </c>
      <c r="G189" s="50"/>
    </row>
    <row r="190" spans="1:7" ht="15.75" customHeight="1">
      <c r="A190" s="42" t="s">
        <v>15</v>
      </c>
      <c r="B190" s="1" t="s">
        <v>1144</v>
      </c>
      <c r="C190" s="43">
        <v>673841</v>
      </c>
      <c r="D190" s="1" t="s">
        <v>83</v>
      </c>
      <c r="E190" s="45" t="s">
        <v>1028</v>
      </c>
      <c r="G190" s="50"/>
    </row>
    <row r="191" spans="1:7" ht="15.75" customHeight="1">
      <c r="A191" s="132" t="s">
        <v>16</v>
      </c>
      <c r="B191" s="1" t="s">
        <v>1156</v>
      </c>
      <c r="C191" s="130" t="s">
        <v>68</v>
      </c>
      <c r="D191" s="130" t="s">
        <v>62</v>
      </c>
      <c r="E191" s="56" t="s">
        <v>69</v>
      </c>
      <c r="F191" s="130"/>
      <c r="G191" s="48" t="s">
        <v>70</v>
      </c>
    </row>
    <row r="192" spans="1:7" ht="15.75" customHeight="1">
      <c r="A192" s="132" t="s">
        <v>16</v>
      </c>
      <c r="B192" s="1" t="s">
        <v>1156</v>
      </c>
      <c r="C192" s="43">
        <v>2849243</v>
      </c>
      <c r="D192" s="1" t="s">
        <v>83</v>
      </c>
      <c r="E192" s="49" t="s">
        <v>1157</v>
      </c>
      <c r="G192" s="48" t="s">
        <v>528</v>
      </c>
    </row>
    <row r="193" spans="1:7" ht="15.75" customHeight="1">
      <c r="A193" s="132" t="s">
        <v>16</v>
      </c>
      <c r="B193" s="1" t="s">
        <v>1156</v>
      </c>
      <c r="C193" s="43">
        <v>3165049</v>
      </c>
      <c r="D193" s="1" t="s">
        <v>83</v>
      </c>
      <c r="E193" s="49" t="s">
        <v>1158</v>
      </c>
      <c r="G193" s="50"/>
    </row>
    <row r="194" spans="1:7" ht="15.75" customHeight="1">
      <c r="A194" s="132" t="s">
        <v>16</v>
      </c>
      <c r="B194" s="1" t="s">
        <v>1156</v>
      </c>
      <c r="C194" s="43">
        <v>2918411</v>
      </c>
      <c r="D194" s="1" t="s">
        <v>71</v>
      </c>
      <c r="E194" s="45" t="s">
        <v>1159</v>
      </c>
      <c r="G194" s="50"/>
    </row>
    <row r="195" spans="1:7" ht="15.75" customHeight="1">
      <c r="A195" s="132" t="s">
        <v>16</v>
      </c>
      <c r="B195" s="1" t="s">
        <v>1156</v>
      </c>
      <c r="C195" s="43">
        <v>2916469</v>
      </c>
      <c r="D195" s="1" t="s">
        <v>83</v>
      </c>
      <c r="E195" s="45" t="s">
        <v>1160</v>
      </c>
      <c r="G195" s="50"/>
    </row>
    <row r="196" spans="1:7" ht="15.75" customHeight="1">
      <c r="A196" s="132" t="s">
        <v>16</v>
      </c>
      <c r="B196" s="1" t="s">
        <v>1156</v>
      </c>
      <c r="C196" s="43">
        <v>737787</v>
      </c>
      <c r="D196" s="1" t="s">
        <v>83</v>
      </c>
      <c r="E196" s="45" t="s">
        <v>1108</v>
      </c>
      <c r="G196" s="50"/>
    </row>
    <row r="197" spans="1:7" ht="15.75" customHeight="1">
      <c r="A197" s="132" t="s">
        <v>16</v>
      </c>
      <c r="B197" s="1" t="s">
        <v>1156</v>
      </c>
      <c r="C197" s="43">
        <v>2916471</v>
      </c>
      <c r="D197" s="1" t="s">
        <v>83</v>
      </c>
      <c r="E197" s="45" t="s">
        <v>1161</v>
      </c>
      <c r="G197" s="50"/>
    </row>
    <row r="198" spans="1:7" ht="15.75" customHeight="1">
      <c r="A198" s="1" t="s">
        <v>17</v>
      </c>
      <c r="B198" s="1" t="s">
        <v>1162</v>
      </c>
      <c r="C198" s="130" t="s">
        <v>68</v>
      </c>
      <c r="D198" s="130" t="s">
        <v>62</v>
      </c>
      <c r="E198" s="56" t="s">
        <v>69</v>
      </c>
      <c r="F198" s="130"/>
      <c r="G198" s="48" t="s">
        <v>70</v>
      </c>
    </row>
    <row r="199" spans="1:7" ht="15.75" customHeight="1">
      <c r="A199" s="1" t="s">
        <v>17</v>
      </c>
      <c r="B199" s="1" t="s">
        <v>1162</v>
      </c>
      <c r="C199" s="43">
        <v>551181</v>
      </c>
      <c r="D199" s="1" t="s">
        <v>90</v>
      </c>
      <c r="E199" s="45" t="s">
        <v>1163</v>
      </c>
      <c r="G199" s="48" t="s">
        <v>528</v>
      </c>
    </row>
    <row r="200" spans="1:7" ht="15.75" customHeight="1">
      <c r="A200" s="1" t="s">
        <v>17</v>
      </c>
      <c r="B200" s="1" t="s">
        <v>1162</v>
      </c>
      <c r="C200" s="43">
        <v>556275</v>
      </c>
      <c r="D200" s="1" t="s">
        <v>83</v>
      </c>
      <c r="E200" s="45" t="s">
        <v>1164</v>
      </c>
      <c r="G200" s="131"/>
    </row>
    <row r="201" spans="1:7" ht="15.75" customHeight="1">
      <c r="A201" s="1" t="s">
        <v>17</v>
      </c>
      <c r="B201" s="1" t="s">
        <v>1162</v>
      </c>
      <c r="C201" s="43">
        <v>561310</v>
      </c>
      <c r="D201" s="1" t="s">
        <v>101</v>
      </c>
      <c r="E201" s="45" t="s">
        <v>1165</v>
      </c>
      <c r="G201" s="131"/>
    </row>
    <row r="202" spans="1:7" ht="15.75" customHeight="1">
      <c r="A202" s="1" t="s">
        <v>17</v>
      </c>
      <c r="B202" s="1" t="s">
        <v>1162</v>
      </c>
      <c r="C202" s="43">
        <v>5007295</v>
      </c>
      <c r="D202" s="1" t="s">
        <v>101</v>
      </c>
      <c r="E202" s="49" t="s">
        <v>1166</v>
      </c>
      <c r="G202" s="131"/>
    </row>
    <row r="203" spans="1:7" ht="15.75" customHeight="1">
      <c r="A203" s="1" t="s">
        <v>17</v>
      </c>
      <c r="B203" s="1" t="s">
        <v>1162</v>
      </c>
      <c r="C203" s="43">
        <v>524428</v>
      </c>
      <c r="D203" s="1" t="s">
        <v>71</v>
      </c>
      <c r="E203" s="45" t="s">
        <v>1167</v>
      </c>
      <c r="G203" s="131"/>
    </row>
    <row r="204" spans="1:7" ht="15.75" customHeight="1">
      <c r="A204" s="1" t="s">
        <v>17</v>
      </c>
      <c r="B204" s="1" t="s">
        <v>1162</v>
      </c>
      <c r="C204" s="43">
        <v>5007300</v>
      </c>
      <c r="D204" s="1" t="s">
        <v>101</v>
      </c>
      <c r="E204" s="49" t="s">
        <v>1168</v>
      </c>
      <c r="G204" s="131"/>
    </row>
    <row r="205" spans="1:7" ht="15.75" customHeight="1">
      <c r="A205" s="1" t="s">
        <v>17</v>
      </c>
      <c r="B205" s="1" t="s">
        <v>1162</v>
      </c>
      <c r="C205" s="43">
        <v>793109</v>
      </c>
      <c r="D205" s="1" t="s">
        <v>80</v>
      </c>
      <c r="E205" s="45" t="s">
        <v>1169</v>
      </c>
      <c r="G205" s="131"/>
    </row>
    <row r="206" spans="1:7" ht="15.75" customHeight="1">
      <c r="A206" s="1" t="s">
        <v>17</v>
      </c>
      <c r="B206" s="1" t="s">
        <v>1162</v>
      </c>
      <c r="C206" s="43">
        <v>3155193</v>
      </c>
      <c r="D206" s="1" t="s">
        <v>80</v>
      </c>
      <c r="E206" s="49" t="s">
        <v>1043</v>
      </c>
      <c r="G206" s="131"/>
    </row>
    <row r="207" spans="1:7" ht="15.75" customHeight="1">
      <c r="A207" s="1" t="s">
        <v>17</v>
      </c>
      <c r="B207" s="1" t="s">
        <v>1162</v>
      </c>
      <c r="C207" s="43">
        <v>3141175</v>
      </c>
      <c r="D207" s="1" t="s">
        <v>83</v>
      </c>
      <c r="E207" s="49" t="s">
        <v>1170</v>
      </c>
      <c r="G207" s="131"/>
    </row>
    <row r="208" spans="1:7" ht="15.75" customHeight="1">
      <c r="A208" s="1" t="s">
        <v>17</v>
      </c>
      <c r="B208" s="1" t="s">
        <v>1162</v>
      </c>
      <c r="C208" s="43">
        <v>714295</v>
      </c>
      <c r="D208" s="1" t="s">
        <v>83</v>
      </c>
      <c r="E208" s="45" t="s">
        <v>1027</v>
      </c>
      <c r="G208" s="131"/>
    </row>
    <row r="209" spans="1:7" ht="15.75" customHeight="1">
      <c r="A209" s="1" t="s">
        <v>17</v>
      </c>
      <c r="B209" s="1" t="s">
        <v>1162</v>
      </c>
      <c r="C209" s="43">
        <v>3158166</v>
      </c>
      <c r="D209" s="1" t="s">
        <v>101</v>
      </c>
      <c r="E209" s="49" t="s">
        <v>1049</v>
      </c>
      <c r="G209" s="131"/>
    </row>
    <row r="210" spans="1:7" ht="15.75" customHeight="1">
      <c r="A210" s="1" t="s">
        <v>17</v>
      </c>
      <c r="B210" s="1" t="s">
        <v>1162</v>
      </c>
      <c r="C210" s="43">
        <v>676648</v>
      </c>
      <c r="D210" s="1" t="s">
        <v>83</v>
      </c>
      <c r="E210" s="45" t="s">
        <v>1050</v>
      </c>
      <c r="G210" s="131"/>
    </row>
    <row r="211" spans="1:7" ht="15.75" customHeight="1">
      <c r="A211" s="1" t="s">
        <v>17</v>
      </c>
      <c r="B211" s="1" t="s">
        <v>1162</v>
      </c>
      <c r="C211" s="43">
        <v>642275</v>
      </c>
      <c r="D211" s="1" t="s">
        <v>80</v>
      </c>
      <c r="E211" s="45" t="s">
        <v>1171</v>
      </c>
      <c r="G211" s="131"/>
    </row>
    <row r="212" spans="1:7" ht="15.75" customHeight="1">
      <c r="A212" s="1" t="s">
        <v>17</v>
      </c>
      <c r="B212" s="1" t="s">
        <v>1162</v>
      </c>
      <c r="C212" s="43">
        <v>2916474</v>
      </c>
      <c r="D212" s="1" t="s">
        <v>71</v>
      </c>
      <c r="E212" s="45" t="s">
        <v>1172</v>
      </c>
      <c r="G212" s="131"/>
    </row>
    <row r="213" spans="1:7" ht="15.75" customHeight="1">
      <c r="A213" s="1" t="s">
        <v>17</v>
      </c>
      <c r="B213" s="1" t="s">
        <v>1162</v>
      </c>
      <c r="C213" s="43">
        <v>770482</v>
      </c>
      <c r="D213" s="1" t="s">
        <v>80</v>
      </c>
      <c r="E213" s="45" t="s">
        <v>1173</v>
      </c>
      <c r="G213" s="131"/>
    </row>
    <row r="214" spans="1:7" ht="15.75" customHeight="1">
      <c r="A214" s="42" t="s">
        <v>18</v>
      </c>
      <c r="B214" s="1" t="s">
        <v>1174</v>
      </c>
      <c r="C214" s="130" t="s">
        <v>68</v>
      </c>
      <c r="D214" s="130" t="s">
        <v>62</v>
      </c>
      <c r="E214" s="56" t="s">
        <v>69</v>
      </c>
      <c r="F214" s="130"/>
      <c r="G214" s="48" t="s">
        <v>70</v>
      </c>
    </row>
    <row r="215" spans="1:7" ht="15.75" customHeight="1">
      <c r="A215" s="42" t="s">
        <v>18</v>
      </c>
      <c r="B215" s="1" t="s">
        <v>1174</v>
      </c>
      <c r="C215" s="43">
        <v>588027</v>
      </c>
      <c r="D215" s="1" t="s">
        <v>101</v>
      </c>
      <c r="E215" s="45" t="s">
        <v>1175</v>
      </c>
      <c r="G215" s="48" t="s">
        <v>528</v>
      </c>
    </row>
    <row r="216" spans="1:7" ht="15.75" customHeight="1">
      <c r="A216" s="42" t="s">
        <v>18</v>
      </c>
      <c r="B216" s="1" t="s">
        <v>1174</v>
      </c>
      <c r="C216" s="43">
        <v>561506</v>
      </c>
      <c r="D216" s="1" t="s">
        <v>101</v>
      </c>
      <c r="E216" s="45" t="s">
        <v>1176</v>
      </c>
      <c r="G216" s="131"/>
    </row>
    <row r="217" spans="1:7" ht="15.75" customHeight="1">
      <c r="A217" s="42" t="s">
        <v>18</v>
      </c>
      <c r="B217" s="1" t="s">
        <v>1174</v>
      </c>
      <c r="C217" s="43">
        <v>3164286</v>
      </c>
      <c r="D217" s="1" t="s">
        <v>101</v>
      </c>
      <c r="E217" s="49" t="s">
        <v>1177</v>
      </c>
      <c r="G217" s="131"/>
    </row>
    <row r="218" spans="1:7" ht="15.75" customHeight="1">
      <c r="A218" s="42" t="s">
        <v>18</v>
      </c>
      <c r="B218" s="1" t="s">
        <v>1174</v>
      </c>
      <c r="C218" s="43">
        <v>692724</v>
      </c>
      <c r="D218" s="1" t="s">
        <v>83</v>
      </c>
      <c r="E218" s="45" t="s">
        <v>1178</v>
      </c>
      <c r="G218" s="131"/>
    </row>
    <row r="219" spans="1:7" ht="15.75" customHeight="1">
      <c r="A219" s="42" t="s">
        <v>18</v>
      </c>
      <c r="B219" s="1" t="s">
        <v>1174</v>
      </c>
      <c r="C219" s="43">
        <v>601609</v>
      </c>
      <c r="D219" s="1" t="s">
        <v>71</v>
      </c>
      <c r="E219" s="45" t="s">
        <v>1179</v>
      </c>
      <c r="G219" s="131"/>
    </row>
    <row r="220" spans="1:7" ht="15.75" customHeight="1">
      <c r="A220" s="42" t="s">
        <v>18</v>
      </c>
      <c r="B220" s="1" t="s">
        <v>1174</v>
      </c>
      <c r="C220" s="43">
        <v>620034</v>
      </c>
      <c r="D220" s="1" t="s">
        <v>71</v>
      </c>
      <c r="E220" s="45" t="s">
        <v>1180</v>
      </c>
      <c r="G220" s="131"/>
    </row>
    <row r="221" spans="1:7" ht="15.75" customHeight="1">
      <c r="A221" s="42" t="s">
        <v>18</v>
      </c>
      <c r="B221" s="1" t="s">
        <v>1174</v>
      </c>
      <c r="C221" s="43">
        <v>592671</v>
      </c>
      <c r="D221" s="1" t="s">
        <v>71</v>
      </c>
      <c r="E221" s="45" t="s">
        <v>1181</v>
      </c>
      <c r="G221" s="131"/>
    </row>
    <row r="222" spans="1:7" ht="15.75" customHeight="1">
      <c r="A222" s="42" t="s">
        <v>18</v>
      </c>
      <c r="B222" s="1" t="s">
        <v>1174</v>
      </c>
      <c r="C222" s="43">
        <v>676649</v>
      </c>
      <c r="D222" s="1" t="s">
        <v>83</v>
      </c>
      <c r="E222" s="45" t="s">
        <v>1182</v>
      </c>
      <c r="G222" s="131"/>
    </row>
    <row r="223" spans="1:7" ht="15.75" customHeight="1">
      <c r="A223" s="42" t="s">
        <v>18</v>
      </c>
      <c r="B223" s="1" t="s">
        <v>1174</v>
      </c>
      <c r="C223" s="43">
        <v>2917521</v>
      </c>
      <c r="D223" s="1" t="s">
        <v>71</v>
      </c>
      <c r="E223" s="45" t="s">
        <v>1020</v>
      </c>
      <c r="G223" s="131"/>
    </row>
    <row r="224" spans="1:7" ht="15.75" customHeight="1">
      <c r="A224" s="42" t="s">
        <v>18</v>
      </c>
      <c r="B224" s="1" t="s">
        <v>1174</v>
      </c>
      <c r="C224" s="43">
        <v>2848298</v>
      </c>
      <c r="D224" s="1" t="s">
        <v>83</v>
      </c>
      <c r="E224" s="45" t="s">
        <v>1183</v>
      </c>
      <c r="G224" s="131"/>
    </row>
    <row r="225" spans="1:7" ht="15.75" customHeight="1">
      <c r="A225" s="42" t="s">
        <v>18</v>
      </c>
      <c r="B225" s="1" t="s">
        <v>1174</v>
      </c>
      <c r="C225" s="43">
        <v>3143329</v>
      </c>
      <c r="D225" s="1" t="s">
        <v>83</v>
      </c>
      <c r="E225" s="49" t="s">
        <v>1184</v>
      </c>
      <c r="G225" s="131"/>
    </row>
    <row r="226" spans="1:7" ht="15.75" customHeight="1">
      <c r="A226" s="42" t="s">
        <v>18</v>
      </c>
      <c r="B226" s="1" t="s">
        <v>1174</v>
      </c>
      <c r="C226" s="43">
        <v>647820</v>
      </c>
      <c r="D226" s="1" t="s">
        <v>83</v>
      </c>
      <c r="E226" s="45" t="s">
        <v>1185</v>
      </c>
      <c r="G226" s="131"/>
    </row>
    <row r="227" spans="1:7" ht="15.75" customHeight="1">
      <c r="A227" s="42" t="s">
        <v>18</v>
      </c>
      <c r="B227" s="1" t="s">
        <v>1174</v>
      </c>
      <c r="C227" s="43">
        <v>2915388</v>
      </c>
      <c r="D227" s="1" t="s">
        <v>83</v>
      </c>
      <c r="E227" s="45" t="s">
        <v>1186</v>
      </c>
      <c r="G227" s="131"/>
    </row>
    <row r="228" spans="1:7" ht="15.75" customHeight="1">
      <c r="A228" s="42" t="s">
        <v>18</v>
      </c>
      <c r="B228" s="1" t="s">
        <v>1174</v>
      </c>
      <c r="C228" s="43">
        <v>2918414</v>
      </c>
      <c r="D228" s="1" t="s">
        <v>83</v>
      </c>
      <c r="E228" s="45" t="s">
        <v>1187</v>
      </c>
      <c r="G228" s="131"/>
    </row>
    <row r="229" spans="1:7" ht="15.75" customHeight="1">
      <c r="A229" s="42" t="s">
        <v>18</v>
      </c>
      <c r="B229" s="1" t="s">
        <v>1174</v>
      </c>
      <c r="C229" s="43">
        <v>3146327</v>
      </c>
      <c r="D229" s="1" t="s">
        <v>83</v>
      </c>
      <c r="E229" s="49" t="s">
        <v>1188</v>
      </c>
      <c r="G229" s="131"/>
    </row>
    <row r="230" spans="1:7" ht="15.75" customHeight="1">
      <c r="A230" s="42" t="s">
        <v>18</v>
      </c>
      <c r="B230" s="1" t="s">
        <v>1174</v>
      </c>
      <c r="C230" s="43">
        <v>2917520</v>
      </c>
      <c r="D230" s="1" t="s">
        <v>83</v>
      </c>
      <c r="E230" s="45" t="s">
        <v>1189</v>
      </c>
      <c r="G230" s="131"/>
    </row>
    <row r="231" spans="1:7" ht="15.75" customHeight="1">
      <c r="A231" s="42" t="s">
        <v>18</v>
      </c>
      <c r="B231" s="1" t="s">
        <v>1174</v>
      </c>
      <c r="C231" s="43">
        <v>2915386</v>
      </c>
      <c r="D231" s="1" t="s">
        <v>83</v>
      </c>
      <c r="E231" s="45" t="s">
        <v>1190</v>
      </c>
      <c r="G231" s="131"/>
    </row>
    <row r="232" spans="1:7" ht="15.75" customHeight="1">
      <c r="A232" s="42" t="s">
        <v>18</v>
      </c>
      <c r="B232" s="1" t="s">
        <v>1174</v>
      </c>
      <c r="C232" s="43">
        <v>2918415</v>
      </c>
      <c r="D232" s="1" t="s">
        <v>71</v>
      </c>
      <c r="E232" s="45" t="s">
        <v>1191</v>
      </c>
      <c r="G232" s="131"/>
    </row>
    <row r="233" spans="1:7" ht="15.75" customHeight="1">
      <c r="A233" s="42" t="s">
        <v>18</v>
      </c>
      <c r="B233" s="1" t="s">
        <v>1174</v>
      </c>
      <c r="C233" s="43">
        <v>2202292</v>
      </c>
      <c r="D233" s="1" t="s">
        <v>71</v>
      </c>
      <c r="E233" s="45" t="s">
        <v>1192</v>
      </c>
      <c r="G233" s="131"/>
    </row>
    <row r="234" spans="1:7" ht="15.75" customHeight="1">
      <c r="A234" s="42" t="s">
        <v>18</v>
      </c>
      <c r="B234" s="1" t="s">
        <v>1174</v>
      </c>
      <c r="C234" s="43">
        <v>2915387</v>
      </c>
      <c r="D234" s="1" t="s">
        <v>83</v>
      </c>
      <c r="E234" s="45" t="s">
        <v>1193</v>
      </c>
      <c r="G234" s="131"/>
    </row>
    <row r="235" spans="1:7" ht="15.75" customHeight="1">
      <c r="A235" s="42" t="s">
        <v>18</v>
      </c>
      <c r="B235" s="1" t="s">
        <v>1174</v>
      </c>
      <c r="C235" s="43">
        <v>3143330</v>
      </c>
      <c r="D235" s="1" t="s">
        <v>83</v>
      </c>
      <c r="E235" s="49" t="s">
        <v>1194</v>
      </c>
      <c r="G235" s="131"/>
    </row>
    <row r="236" spans="1:7" ht="15.75" customHeight="1">
      <c r="A236" s="42" t="s">
        <v>18</v>
      </c>
      <c r="B236" s="1" t="s">
        <v>1174</v>
      </c>
      <c r="C236" s="43">
        <v>2916473</v>
      </c>
      <c r="D236" s="1" t="s">
        <v>71</v>
      </c>
      <c r="E236" s="45" t="s">
        <v>1195</v>
      </c>
      <c r="G236" s="131"/>
    </row>
    <row r="237" spans="1:7" ht="15.75" customHeight="1">
      <c r="A237" s="42" t="s">
        <v>19</v>
      </c>
      <c r="B237" s="1" t="s">
        <v>1196</v>
      </c>
      <c r="C237" s="130" t="s">
        <v>68</v>
      </c>
      <c r="D237" s="130" t="s">
        <v>62</v>
      </c>
      <c r="E237" s="56" t="s">
        <v>69</v>
      </c>
      <c r="F237" s="130"/>
      <c r="G237" s="48" t="s">
        <v>70</v>
      </c>
    </row>
    <row r="238" spans="1:7" ht="15.75" customHeight="1">
      <c r="A238" s="42" t="s">
        <v>19</v>
      </c>
      <c r="B238" s="1" t="s">
        <v>1196</v>
      </c>
      <c r="C238" s="43">
        <v>2404543</v>
      </c>
      <c r="D238" s="1" t="s">
        <v>71</v>
      </c>
      <c r="E238" s="49" t="s">
        <v>1197</v>
      </c>
      <c r="G238" s="48" t="s">
        <v>528</v>
      </c>
    </row>
    <row r="239" spans="1:7" ht="15.75" customHeight="1">
      <c r="A239" s="42" t="s">
        <v>19</v>
      </c>
      <c r="B239" s="1" t="s">
        <v>1196</v>
      </c>
      <c r="C239" s="43">
        <v>643735</v>
      </c>
      <c r="D239" s="1" t="s">
        <v>80</v>
      </c>
      <c r="E239" s="45" t="s">
        <v>1046</v>
      </c>
      <c r="G239" s="50"/>
    </row>
    <row r="240" spans="1:7" ht="15.75" customHeight="1">
      <c r="A240" s="42" t="s">
        <v>19</v>
      </c>
      <c r="B240" s="1" t="s">
        <v>1196</v>
      </c>
      <c r="C240" s="43">
        <v>2416690</v>
      </c>
      <c r="D240" s="1" t="s">
        <v>71</v>
      </c>
      <c r="E240" s="49" t="s">
        <v>1198</v>
      </c>
      <c r="G240" s="50"/>
    </row>
    <row r="241" spans="1:7" ht="15.75" customHeight="1">
      <c r="A241" s="42" t="s">
        <v>19</v>
      </c>
      <c r="B241" s="1" t="s">
        <v>1196</v>
      </c>
      <c r="C241" s="43">
        <v>2849237</v>
      </c>
      <c r="D241" s="1" t="s">
        <v>83</v>
      </c>
      <c r="E241" s="45" t="s">
        <v>1199</v>
      </c>
      <c r="G241" s="50"/>
    </row>
    <row r="242" spans="1:7" ht="15.75" customHeight="1">
      <c r="A242" s="42" t="s">
        <v>19</v>
      </c>
      <c r="B242" s="1" t="s">
        <v>1196</v>
      </c>
      <c r="C242" s="43">
        <v>2852008</v>
      </c>
      <c r="D242" s="1" t="s">
        <v>101</v>
      </c>
      <c r="E242" s="45" t="s">
        <v>1200</v>
      </c>
      <c r="G242" s="50"/>
    </row>
    <row r="243" spans="1:7" ht="15.75" customHeight="1">
      <c r="A243" s="42" t="s">
        <v>19</v>
      </c>
      <c r="B243" s="1" t="s">
        <v>1196</v>
      </c>
      <c r="C243" s="43">
        <v>2848297</v>
      </c>
      <c r="D243" s="1" t="s">
        <v>71</v>
      </c>
      <c r="E243" s="45" t="s">
        <v>1201</v>
      </c>
      <c r="G243" s="50"/>
    </row>
    <row r="244" spans="1:7" ht="15.75" customHeight="1">
      <c r="A244" s="42" t="s">
        <v>19</v>
      </c>
      <c r="B244" s="1" t="s">
        <v>1196</v>
      </c>
      <c r="C244" s="43">
        <v>2893076</v>
      </c>
      <c r="D244" s="1" t="s">
        <v>71</v>
      </c>
      <c r="E244" s="49" t="s">
        <v>1202</v>
      </c>
      <c r="G244" s="50"/>
    </row>
    <row r="245" spans="1:7" ht="15.75" customHeight="1">
      <c r="A245" s="1" t="s">
        <v>20</v>
      </c>
      <c r="B245" s="132" t="s">
        <v>1203</v>
      </c>
      <c r="C245" s="130" t="s">
        <v>68</v>
      </c>
      <c r="D245" s="130" t="s">
        <v>62</v>
      </c>
      <c r="E245" s="56" t="s">
        <v>69</v>
      </c>
      <c r="F245" s="130"/>
      <c r="G245" s="48" t="s">
        <v>70</v>
      </c>
    </row>
    <row r="246" spans="1:7" ht="15.75" customHeight="1">
      <c r="A246" s="1" t="s">
        <v>20</v>
      </c>
      <c r="B246" s="132" t="s">
        <v>1203</v>
      </c>
      <c r="C246" s="43">
        <v>2404542</v>
      </c>
      <c r="D246" s="1" t="s">
        <v>90</v>
      </c>
      <c r="E246" s="45" t="s">
        <v>1123</v>
      </c>
      <c r="G246" s="48" t="s">
        <v>528</v>
      </c>
    </row>
    <row r="247" spans="1:7" ht="15.75" customHeight="1">
      <c r="A247" s="42" t="s">
        <v>20</v>
      </c>
      <c r="B247" s="132" t="s">
        <v>1203</v>
      </c>
      <c r="C247" s="43">
        <v>2849240</v>
      </c>
      <c r="D247" s="1" t="s">
        <v>90</v>
      </c>
      <c r="E247" s="45" t="s">
        <v>1204</v>
      </c>
      <c r="G247" s="50"/>
    </row>
    <row r="248" spans="1:7" ht="15.75" customHeight="1">
      <c r="A248" s="42" t="s">
        <v>20</v>
      </c>
      <c r="B248" s="132" t="s">
        <v>1203</v>
      </c>
      <c r="C248" s="43">
        <v>737787</v>
      </c>
      <c r="D248" s="1" t="s">
        <v>83</v>
      </c>
      <c r="E248" s="45" t="s">
        <v>1108</v>
      </c>
      <c r="G248" s="50"/>
    </row>
    <row r="249" spans="1:7" ht="15.75" customHeight="1">
      <c r="A249" s="42" t="s">
        <v>20</v>
      </c>
      <c r="B249" s="132" t="s">
        <v>1203</v>
      </c>
      <c r="C249" s="43">
        <v>2909721</v>
      </c>
      <c r="D249" s="1" t="s">
        <v>80</v>
      </c>
      <c r="E249" s="45" t="s">
        <v>1047</v>
      </c>
      <c r="G249" s="50"/>
    </row>
    <row r="250" spans="1:7" ht="15.75" customHeight="1">
      <c r="A250" s="42" t="s">
        <v>20</v>
      </c>
      <c r="B250" s="132" t="s">
        <v>1203</v>
      </c>
      <c r="C250" s="43">
        <v>2213780</v>
      </c>
      <c r="D250" s="1" t="s">
        <v>71</v>
      </c>
      <c r="E250" s="45" t="s">
        <v>1205</v>
      </c>
      <c r="G250" s="50"/>
    </row>
    <row r="251" spans="1:7" ht="15.75" customHeight="1">
      <c r="A251" s="42" t="s">
        <v>20</v>
      </c>
      <c r="B251" s="132" t="s">
        <v>1203</v>
      </c>
      <c r="C251" s="43">
        <v>2915392</v>
      </c>
      <c r="D251" s="1" t="s">
        <v>71</v>
      </c>
      <c r="E251" s="45" t="s">
        <v>1152</v>
      </c>
      <c r="G251" s="50"/>
    </row>
    <row r="252" spans="1:7" ht="15.75" customHeight="1">
      <c r="A252" s="42" t="s">
        <v>20</v>
      </c>
      <c r="B252" s="132" t="s">
        <v>1203</v>
      </c>
      <c r="C252" s="43">
        <v>2918220</v>
      </c>
      <c r="D252" s="1" t="s">
        <v>80</v>
      </c>
      <c r="E252" s="45" t="s">
        <v>1076</v>
      </c>
      <c r="G252" s="50"/>
    </row>
    <row r="253" spans="1:7" ht="15.75" customHeight="1">
      <c r="A253" s="42" t="s">
        <v>20</v>
      </c>
      <c r="B253" s="132" t="s">
        <v>1203</v>
      </c>
      <c r="C253" s="43">
        <v>2205133</v>
      </c>
      <c r="D253" s="1" t="s">
        <v>71</v>
      </c>
      <c r="E253" s="45" t="s">
        <v>1088</v>
      </c>
      <c r="G253" s="50"/>
    </row>
    <row r="254" spans="1:7" ht="15.75" customHeight="1">
      <c r="A254" s="42" t="s">
        <v>20</v>
      </c>
      <c r="B254" s="132" t="s">
        <v>1203</v>
      </c>
      <c r="C254" s="43">
        <v>5029082</v>
      </c>
      <c r="D254" s="1" t="s">
        <v>80</v>
      </c>
      <c r="E254" s="45" t="s">
        <v>1089</v>
      </c>
      <c r="G254" s="50"/>
    </row>
    <row r="255" spans="1:7" ht="15.75" customHeight="1">
      <c r="A255" s="42" t="s">
        <v>21</v>
      </c>
      <c r="B255" s="132" t="s">
        <v>1206</v>
      </c>
      <c r="C255" s="130" t="s">
        <v>68</v>
      </c>
      <c r="D255" s="130" t="s">
        <v>62</v>
      </c>
      <c r="E255" s="56" t="s">
        <v>69</v>
      </c>
      <c r="F255" s="130"/>
      <c r="G255" s="48" t="s">
        <v>70</v>
      </c>
    </row>
    <row r="256" spans="1:7" ht="15.75" customHeight="1">
      <c r="A256" s="42" t="s">
        <v>21</v>
      </c>
      <c r="B256" s="132" t="s">
        <v>1206</v>
      </c>
      <c r="C256" s="43">
        <v>2915389</v>
      </c>
      <c r="D256" s="1" t="s">
        <v>80</v>
      </c>
      <c r="E256" s="49" t="s">
        <v>1207</v>
      </c>
      <c r="G256" s="48" t="s">
        <v>528</v>
      </c>
    </row>
    <row r="257" spans="1:7" ht="15.75" customHeight="1">
      <c r="A257" s="42" t="s">
        <v>21</v>
      </c>
      <c r="B257" s="132" t="s">
        <v>1206</v>
      </c>
      <c r="C257" s="43">
        <v>2404543</v>
      </c>
      <c r="D257" s="1" t="s">
        <v>71</v>
      </c>
      <c r="E257" s="45" t="s">
        <v>1208</v>
      </c>
      <c r="G257" s="50"/>
    </row>
    <row r="258" spans="1:7" ht="15.75" customHeight="1">
      <c r="A258" s="42" t="s">
        <v>21</v>
      </c>
      <c r="B258" s="132" t="s">
        <v>1206</v>
      </c>
      <c r="C258" s="43">
        <v>2885003</v>
      </c>
      <c r="D258" s="1" t="s">
        <v>71</v>
      </c>
      <c r="E258" s="45" t="s">
        <v>1017</v>
      </c>
      <c r="G258" s="50"/>
    </row>
    <row r="259" spans="1:7" ht="15.75" customHeight="1">
      <c r="A259" s="42" t="s">
        <v>21</v>
      </c>
      <c r="B259" s="132" t="s">
        <v>1206</v>
      </c>
      <c r="C259" s="43">
        <v>603631</v>
      </c>
      <c r="D259" s="1" t="s">
        <v>80</v>
      </c>
      <c r="E259" s="45" t="s">
        <v>1209</v>
      </c>
      <c r="G259" s="50"/>
    </row>
    <row r="260" spans="1:7" ht="15.75" customHeight="1">
      <c r="A260" s="42" t="s">
        <v>21</v>
      </c>
      <c r="B260" s="132" t="s">
        <v>1206</v>
      </c>
      <c r="C260" s="43">
        <v>2414721</v>
      </c>
      <c r="D260" s="1" t="s">
        <v>80</v>
      </c>
      <c r="E260" s="49" t="s">
        <v>1210</v>
      </c>
      <c r="G260" s="50"/>
    </row>
    <row r="261" spans="1:7" ht="15.75" customHeight="1">
      <c r="A261" s="42" t="s">
        <v>21</v>
      </c>
      <c r="B261" s="132" t="s">
        <v>1206</v>
      </c>
      <c r="C261" s="43">
        <v>3022813</v>
      </c>
      <c r="D261" s="1" t="s">
        <v>80</v>
      </c>
      <c r="E261" s="49" t="s">
        <v>1084</v>
      </c>
      <c r="G261" s="50"/>
    </row>
    <row r="262" spans="1:7" ht="15.75" customHeight="1">
      <c r="A262" s="42" t="s">
        <v>21</v>
      </c>
      <c r="B262" s="132" t="s">
        <v>1206</v>
      </c>
      <c r="C262" s="43">
        <v>3158167</v>
      </c>
      <c r="D262" s="1" t="s">
        <v>80</v>
      </c>
      <c r="E262" s="49" t="s">
        <v>1042</v>
      </c>
      <c r="G262" s="50"/>
    </row>
    <row r="263" spans="1:7" ht="15.75" customHeight="1">
      <c r="A263" s="42" t="s">
        <v>22</v>
      </c>
      <c r="B263" s="1" t="s">
        <v>1211</v>
      </c>
      <c r="C263" s="43">
        <v>2810523</v>
      </c>
      <c r="D263" s="1" t="s">
        <v>83</v>
      </c>
      <c r="E263" s="45" t="s">
        <v>1146</v>
      </c>
      <c r="G263" s="50"/>
    </row>
    <row r="264" spans="1:7" ht="15.75" customHeight="1">
      <c r="A264" s="42" t="s">
        <v>22</v>
      </c>
      <c r="B264" s="1" t="s">
        <v>1211</v>
      </c>
      <c r="C264" s="43">
        <v>2915391</v>
      </c>
      <c r="D264" s="1" t="s">
        <v>71</v>
      </c>
      <c r="E264" s="45" t="s">
        <v>1147</v>
      </c>
      <c r="G264" s="131"/>
    </row>
    <row r="265" spans="1:7" ht="15.75" customHeight="1">
      <c r="A265" s="42" t="s">
        <v>22</v>
      </c>
      <c r="B265" s="1" t="s">
        <v>1211</v>
      </c>
      <c r="C265" s="43">
        <v>2917521</v>
      </c>
      <c r="D265" s="1" t="s">
        <v>71</v>
      </c>
      <c r="E265" s="45" t="s">
        <v>1020</v>
      </c>
      <c r="G265" s="131"/>
    </row>
    <row r="266" spans="1:7" ht="15.75" customHeight="1">
      <c r="A266" s="1" t="s">
        <v>22</v>
      </c>
      <c r="B266" s="1" t="s">
        <v>1211</v>
      </c>
      <c r="C266" s="43">
        <v>3155193</v>
      </c>
      <c r="D266" s="1" t="s">
        <v>80</v>
      </c>
      <c r="E266" s="49" t="s">
        <v>1043</v>
      </c>
      <c r="G266" s="131"/>
    </row>
    <row r="267" spans="1:7" ht="15.75" customHeight="1">
      <c r="A267" s="1" t="s">
        <v>22</v>
      </c>
      <c r="B267" s="1" t="s">
        <v>1211</v>
      </c>
      <c r="C267" s="43">
        <v>808183</v>
      </c>
      <c r="D267" s="1" t="s">
        <v>71</v>
      </c>
      <c r="E267" s="45" t="s">
        <v>1021</v>
      </c>
      <c r="G267" s="131"/>
    </row>
    <row r="268" spans="1:7" ht="15.75" customHeight="1">
      <c r="A268" s="1" t="s">
        <v>22</v>
      </c>
      <c r="B268" s="1" t="s">
        <v>1211</v>
      </c>
      <c r="C268" s="43">
        <v>5013958</v>
      </c>
      <c r="D268" s="1" t="s">
        <v>83</v>
      </c>
      <c r="E268" s="45" t="s">
        <v>1149</v>
      </c>
      <c r="G268" s="131"/>
    </row>
    <row r="269" spans="1:7" ht="15.75" customHeight="1">
      <c r="A269" s="1" t="s">
        <v>22</v>
      </c>
      <c r="B269" s="1" t="s">
        <v>1211</v>
      </c>
      <c r="C269" s="43">
        <v>778468</v>
      </c>
      <c r="D269" s="1" t="s">
        <v>71</v>
      </c>
      <c r="E269" s="45" t="s">
        <v>1118</v>
      </c>
      <c r="G269" s="131"/>
    </row>
    <row r="270" spans="1:7" ht="15.75" customHeight="1">
      <c r="A270" s="1" t="s">
        <v>22</v>
      </c>
      <c r="B270" s="1" t="s">
        <v>1211</v>
      </c>
      <c r="C270" s="43">
        <v>2417718</v>
      </c>
      <c r="D270" s="1" t="s">
        <v>80</v>
      </c>
      <c r="E270" s="49" t="s">
        <v>1212</v>
      </c>
      <c r="G270" s="131"/>
    </row>
    <row r="271" spans="1:7" ht="15.75" customHeight="1">
      <c r="A271" s="1" t="s">
        <v>22</v>
      </c>
      <c r="B271" s="1" t="s">
        <v>1211</v>
      </c>
      <c r="C271" s="43">
        <v>2837277</v>
      </c>
      <c r="D271" s="1" t="s">
        <v>80</v>
      </c>
      <c r="E271" s="45" t="s">
        <v>1213</v>
      </c>
      <c r="G271" s="131"/>
    </row>
    <row r="272" spans="1:7" ht="15.75" customHeight="1">
      <c r="A272" s="1" t="s">
        <v>22</v>
      </c>
      <c r="B272" s="1" t="s">
        <v>1211</v>
      </c>
      <c r="C272" s="43">
        <v>3158166</v>
      </c>
      <c r="D272" s="1" t="s">
        <v>101</v>
      </c>
      <c r="E272" s="49" t="s">
        <v>1049</v>
      </c>
      <c r="G272" s="131"/>
    </row>
    <row r="273" spans="1:7" ht="15.75" customHeight="1">
      <c r="A273" s="1" t="s">
        <v>23</v>
      </c>
      <c r="B273" s="1" t="s">
        <v>1214</v>
      </c>
      <c r="C273" s="130" t="s">
        <v>68</v>
      </c>
      <c r="D273" s="130" t="s">
        <v>62</v>
      </c>
      <c r="E273" s="56" t="s">
        <v>69</v>
      </c>
      <c r="F273" s="130"/>
      <c r="G273" s="48" t="s">
        <v>70</v>
      </c>
    </row>
    <row r="274" spans="1:7" ht="15.75" customHeight="1">
      <c r="A274" s="1" t="s">
        <v>23</v>
      </c>
      <c r="B274" s="1" t="s">
        <v>1214</v>
      </c>
      <c r="C274" s="43">
        <v>3115627</v>
      </c>
      <c r="D274" s="1" t="s">
        <v>83</v>
      </c>
      <c r="E274" s="45" t="s">
        <v>1215</v>
      </c>
      <c r="G274" s="48" t="s">
        <v>528</v>
      </c>
    </row>
    <row r="275" spans="1:7" ht="15.75" customHeight="1">
      <c r="A275" s="1" t="s">
        <v>23</v>
      </c>
      <c r="B275" s="1" t="s">
        <v>1214</v>
      </c>
      <c r="C275" s="43">
        <v>2869083</v>
      </c>
      <c r="D275" s="1" t="s">
        <v>71</v>
      </c>
      <c r="E275" s="45" t="s">
        <v>1130</v>
      </c>
      <c r="G275" s="131"/>
    </row>
    <row r="276" spans="1:7" ht="15.75" customHeight="1">
      <c r="A276" s="1" t="s">
        <v>23</v>
      </c>
      <c r="B276" s="1" t="s">
        <v>1214</v>
      </c>
      <c r="C276" s="43">
        <v>2892077</v>
      </c>
      <c r="D276" s="1" t="s">
        <v>80</v>
      </c>
      <c r="E276" s="49" t="s">
        <v>1114</v>
      </c>
      <c r="G276" s="131"/>
    </row>
    <row r="277" spans="1:7" ht="15.75" customHeight="1">
      <c r="A277" s="1" t="s">
        <v>23</v>
      </c>
      <c r="B277" s="1" t="s">
        <v>1214</v>
      </c>
      <c r="C277" s="43">
        <v>2916467</v>
      </c>
      <c r="D277" s="1" t="s">
        <v>90</v>
      </c>
      <c r="E277" s="45" t="s">
        <v>1216</v>
      </c>
      <c r="G277" s="131"/>
    </row>
    <row r="278" spans="1:7" ht="15.75" customHeight="1">
      <c r="A278" s="1" t="s">
        <v>23</v>
      </c>
      <c r="B278" s="1" t="s">
        <v>1214</v>
      </c>
      <c r="C278" s="43">
        <v>2915224</v>
      </c>
      <c r="D278" s="1" t="s">
        <v>101</v>
      </c>
      <c r="E278" s="45" t="s">
        <v>1030</v>
      </c>
      <c r="G278" s="131"/>
    </row>
    <row r="279" spans="1:7" ht="15.75" customHeight="1">
      <c r="A279" s="1" t="s">
        <v>23</v>
      </c>
      <c r="B279" s="1" t="s">
        <v>1214</v>
      </c>
      <c r="C279" s="43">
        <v>2885003</v>
      </c>
      <c r="D279" s="1" t="s">
        <v>71</v>
      </c>
      <c r="E279" s="45" t="s">
        <v>1017</v>
      </c>
      <c r="G279" s="131"/>
    </row>
    <row r="280" spans="1:7" ht="15.75" customHeight="1">
      <c r="A280" s="1" t="s">
        <v>23</v>
      </c>
      <c r="B280" s="1" t="s">
        <v>1214</v>
      </c>
      <c r="C280" s="43">
        <v>2877213</v>
      </c>
      <c r="D280" s="1" t="s">
        <v>83</v>
      </c>
      <c r="E280" s="49" t="s">
        <v>1217</v>
      </c>
      <c r="G280" s="131"/>
    </row>
    <row r="281" spans="1:7" ht="15.75" customHeight="1">
      <c r="A281" s="1" t="s">
        <v>23</v>
      </c>
      <c r="B281" s="1" t="s">
        <v>1214</v>
      </c>
      <c r="C281" s="43">
        <v>3142305</v>
      </c>
      <c r="D281" s="1" t="s">
        <v>71</v>
      </c>
      <c r="E281" s="49" t="s">
        <v>1218</v>
      </c>
      <c r="G281" s="131"/>
    </row>
    <row r="282" spans="1:7" ht="15.75" customHeight="1">
      <c r="A282" s="1" t="s">
        <v>23</v>
      </c>
      <c r="B282" s="1" t="s">
        <v>1214</v>
      </c>
      <c r="C282" s="43">
        <v>3148360</v>
      </c>
      <c r="D282" s="1" t="s">
        <v>71</v>
      </c>
      <c r="E282" s="49" t="s">
        <v>1116</v>
      </c>
      <c r="G282" s="131"/>
    </row>
    <row r="283" spans="1:7" ht="15.75" customHeight="1">
      <c r="A283" s="1" t="s">
        <v>23</v>
      </c>
      <c r="B283" s="1" t="s">
        <v>1214</v>
      </c>
      <c r="C283" s="43">
        <v>802206</v>
      </c>
      <c r="D283" s="1" t="s">
        <v>80</v>
      </c>
      <c r="E283" s="45" t="s">
        <v>1219</v>
      </c>
      <c r="F283" s="130"/>
      <c r="G283" s="59"/>
    </row>
    <row r="284" spans="1:7" ht="15.75" customHeight="1">
      <c r="A284" s="1" t="s">
        <v>23</v>
      </c>
      <c r="B284" s="1" t="s">
        <v>1214</v>
      </c>
      <c r="C284" s="43">
        <v>3145296</v>
      </c>
      <c r="D284" s="1" t="s">
        <v>80</v>
      </c>
      <c r="E284" s="49" t="s">
        <v>1220</v>
      </c>
      <c r="F284" s="130"/>
      <c r="G284" s="59"/>
    </row>
    <row r="285" spans="1:7" ht="15.75" customHeight="1">
      <c r="A285" s="1" t="s">
        <v>23</v>
      </c>
      <c r="B285" s="1" t="s">
        <v>1214</v>
      </c>
      <c r="C285" s="43">
        <v>5039197</v>
      </c>
      <c r="D285" s="1" t="s">
        <v>80</v>
      </c>
      <c r="E285" s="45" t="s">
        <v>1085</v>
      </c>
      <c r="F285" s="130"/>
      <c r="G285" s="59"/>
    </row>
    <row r="286" spans="1:7" ht="15.75" customHeight="1">
      <c r="A286" s="1" t="s">
        <v>23</v>
      </c>
      <c r="B286" s="1" t="s">
        <v>1214</v>
      </c>
      <c r="C286" s="43">
        <v>2400570</v>
      </c>
      <c r="D286" s="1" t="s">
        <v>101</v>
      </c>
      <c r="E286" s="45" t="s">
        <v>1137</v>
      </c>
      <c r="F286" s="130"/>
      <c r="G286" s="59"/>
    </row>
    <row r="287" spans="1:7" ht="15.75" customHeight="1">
      <c r="A287" s="1" t="s">
        <v>23</v>
      </c>
      <c r="B287" s="1" t="s">
        <v>1214</v>
      </c>
      <c r="C287" s="43">
        <v>2848301</v>
      </c>
      <c r="D287" s="1" t="s">
        <v>101</v>
      </c>
      <c r="E287" s="45" t="s">
        <v>1221</v>
      </c>
      <c r="F287" s="130"/>
      <c r="G287" s="59"/>
    </row>
    <row r="288" spans="1:7" ht="15.75" customHeight="1">
      <c r="A288" s="1" t="s">
        <v>23</v>
      </c>
      <c r="B288" s="1" t="s">
        <v>1214</v>
      </c>
      <c r="C288" s="43">
        <v>2418739</v>
      </c>
      <c r="D288" s="1" t="s">
        <v>101</v>
      </c>
      <c r="E288" s="49" t="s">
        <v>1222</v>
      </c>
      <c r="F288" s="130"/>
      <c r="G288" s="59"/>
    </row>
    <row r="289" spans="1:7" ht="15.75" customHeight="1">
      <c r="A289" s="1" t="s">
        <v>23</v>
      </c>
      <c r="B289" s="1" t="s">
        <v>1214</v>
      </c>
      <c r="C289" s="43">
        <v>2916465</v>
      </c>
      <c r="D289" s="1" t="s">
        <v>71</v>
      </c>
      <c r="E289" s="45" t="s">
        <v>1026</v>
      </c>
      <c r="F289" s="130"/>
      <c r="G289" s="59"/>
    </row>
    <row r="290" spans="1:7" ht="15.75" customHeight="1">
      <c r="A290" s="1" t="s">
        <v>23</v>
      </c>
      <c r="B290" s="1" t="s">
        <v>1214</v>
      </c>
      <c r="C290" s="43">
        <v>3141506</v>
      </c>
      <c r="D290" s="1" t="s">
        <v>80</v>
      </c>
      <c r="E290" s="49" t="s">
        <v>1119</v>
      </c>
      <c r="F290" s="130"/>
      <c r="G290" s="59"/>
    </row>
    <row r="291" spans="1:7" ht="15.75" customHeight="1">
      <c r="A291" s="1" t="s">
        <v>23</v>
      </c>
      <c r="B291" s="1" t="s">
        <v>1214</v>
      </c>
      <c r="C291" s="43">
        <v>2917522</v>
      </c>
      <c r="D291" s="1" t="s">
        <v>80</v>
      </c>
      <c r="E291" s="45" t="s">
        <v>1048</v>
      </c>
      <c r="F291" s="130"/>
      <c r="G291" s="59"/>
    </row>
    <row r="292" spans="1:7" ht="15.75" customHeight="1">
      <c r="A292" s="1" t="s">
        <v>23</v>
      </c>
      <c r="B292" s="1" t="s">
        <v>1214</v>
      </c>
      <c r="C292" s="43">
        <v>2885002</v>
      </c>
      <c r="D292" s="1" t="s">
        <v>80</v>
      </c>
      <c r="E292" s="45" t="s">
        <v>1223</v>
      </c>
      <c r="F292" s="130"/>
      <c r="G292" s="59"/>
    </row>
    <row r="293" spans="1:7" ht="15.75" customHeight="1">
      <c r="A293" s="1" t="s">
        <v>23</v>
      </c>
      <c r="B293" s="1" t="s">
        <v>1214</v>
      </c>
      <c r="C293" s="43">
        <v>2883006</v>
      </c>
      <c r="D293" s="1" t="s">
        <v>80</v>
      </c>
      <c r="E293" s="45" t="s">
        <v>1128</v>
      </c>
      <c r="F293" s="130"/>
      <c r="G293" s="59"/>
    </row>
    <row r="294" spans="1:7" ht="15.75" customHeight="1">
      <c r="A294" s="1" t="s">
        <v>23</v>
      </c>
      <c r="B294" s="1" t="s">
        <v>1214</v>
      </c>
      <c r="C294" s="43">
        <v>3144302</v>
      </c>
      <c r="D294" s="1" t="s">
        <v>80</v>
      </c>
      <c r="E294" s="49" t="s">
        <v>1121</v>
      </c>
      <c r="F294" s="130"/>
      <c r="G294" s="59"/>
    </row>
    <row r="295" spans="1:7" ht="15.75" customHeight="1">
      <c r="A295" s="1" t="s">
        <v>24</v>
      </c>
      <c r="B295" s="136" t="s">
        <v>1224</v>
      </c>
      <c r="C295" s="130" t="s">
        <v>68</v>
      </c>
      <c r="D295" s="130" t="s">
        <v>62</v>
      </c>
      <c r="E295" s="56" t="s">
        <v>69</v>
      </c>
      <c r="F295" s="130"/>
      <c r="G295" s="48" t="s">
        <v>70</v>
      </c>
    </row>
    <row r="296" spans="1:7" ht="15.75" customHeight="1">
      <c r="A296" s="1" t="s">
        <v>24</v>
      </c>
      <c r="B296" s="136" t="s">
        <v>1224</v>
      </c>
      <c r="C296" s="43">
        <v>3103025</v>
      </c>
      <c r="D296" s="143" t="s">
        <v>83</v>
      </c>
      <c r="E296" s="56" t="s">
        <v>1225</v>
      </c>
      <c r="G296" s="48" t="s">
        <v>528</v>
      </c>
    </row>
    <row r="297" spans="1:7" ht="15.75" customHeight="1">
      <c r="A297" s="1" t="s">
        <v>24</v>
      </c>
      <c r="B297" s="136" t="s">
        <v>1224</v>
      </c>
      <c r="C297" s="43">
        <v>2874057</v>
      </c>
      <c r="D297" s="143" t="s">
        <v>83</v>
      </c>
      <c r="E297" s="56" t="s">
        <v>1226</v>
      </c>
      <c r="G297" s="50"/>
    </row>
    <row r="298" spans="1:7" ht="15.75" customHeight="1">
      <c r="A298" s="120" t="s">
        <v>25</v>
      </c>
      <c r="B298" s="136" t="s">
        <v>1227</v>
      </c>
      <c r="C298" s="130" t="s">
        <v>68</v>
      </c>
      <c r="D298" s="130" t="s">
        <v>62</v>
      </c>
      <c r="E298" s="56" t="s">
        <v>69</v>
      </c>
      <c r="G298" s="48" t="s">
        <v>70</v>
      </c>
    </row>
    <row r="299" spans="1:7" ht="15.75" customHeight="1">
      <c r="A299" s="120" t="s">
        <v>25</v>
      </c>
      <c r="B299" s="136" t="s">
        <v>1227</v>
      </c>
      <c r="C299" s="43">
        <v>2915381</v>
      </c>
      <c r="D299" s="1" t="s">
        <v>80</v>
      </c>
      <c r="E299" s="45" t="s">
        <v>1009</v>
      </c>
      <c r="G299" s="48" t="s">
        <v>528</v>
      </c>
    </row>
    <row r="300" spans="1:7" ht="15.75" customHeight="1">
      <c r="A300" s="120" t="s">
        <v>25</v>
      </c>
      <c r="B300" s="136" t="s">
        <v>1227</v>
      </c>
      <c r="C300" s="43">
        <v>2849241</v>
      </c>
      <c r="D300" s="1" t="s">
        <v>83</v>
      </c>
      <c r="E300" s="45" t="s">
        <v>1012</v>
      </c>
      <c r="G300" s="144"/>
    </row>
    <row r="301" spans="1:7" ht="15.75" customHeight="1">
      <c r="A301" s="120" t="s">
        <v>25</v>
      </c>
      <c r="B301" s="136" t="s">
        <v>1227</v>
      </c>
      <c r="C301" s="43">
        <v>780519</v>
      </c>
      <c r="D301" s="1" t="s">
        <v>80</v>
      </c>
      <c r="E301" s="45" t="s">
        <v>1002</v>
      </c>
      <c r="G301" s="144"/>
    </row>
    <row r="302" spans="1:7" ht="15.75" customHeight="1">
      <c r="A302" s="120" t="s">
        <v>25</v>
      </c>
      <c r="B302" s="136" t="s">
        <v>1227</v>
      </c>
      <c r="C302" s="43">
        <v>2892003</v>
      </c>
      <c r="D302" s="1" t="s">
        <v>83</v>
      </c>
      <c r="E302" s="45" t="s">
        <v>1228</v>
      </c>
      <c r="G302" s="144"/>
    </row>
    <row r="303" spans="1:7" ht="15.75" customHeight="1">
      <c r="A303" s="120" t="s">
        <v>25</v>
      </c>
      <c r="B303" s="136" t="s">
        <v>1227</v>
      </c>
      <c r="C303" s="43">
        <v>3145296</v>
      </c>
      <c r="D303" s="1" t="s">
        <v>80</v>
      </c>
      <c r="E303" s="49" t="s">
        <v>1220</v>
      </c>
      <c r="G303" s="144"/>
    </row>
    <row r="304" spans="1:7" ht="15.75" customHeight="1">
      <c r="A304" s="120" t="s">
        <v>25</v>
      </c>
      <c r="B304" s="136" t="s">
        <v>1227</v>
      </c>
      <c r="C304" s="43">
        <v>2414721</v>
      </c>
      <c r="D304" s="1" t="s">
        <v>80</v>
      </c>
      <c r="E304" s="49" t="s">
        <v>1210</v>
      </c>
      <c r="G304" s="144"/>
    </row>
    <row r="305" spans="1:7" ht="15.75" customHeight="1">
      <c r="A305" s="120" t="s">
        <v>25</v>
      </c>
      <c r="B305" s="136" t="s">
        <v>1227</v>
      </c>
      <c r="C305" s="43">
        <v>3152160</v>
      </c>
      <c r="D305" s="1" t="s">
        <v>83</v>
      </c>
      <c r="E305" s="49" t="s">
        <v>1229</v>
      </c>
      <c r="G305" s="144"/>
    </row>
    <row r="306" spans="1:7" ht="15.75" customHeight="1">
      <c r="A306" s="120" t="s">
        <v>25</v>
      </c>
      <c r="B306" s="136" t="s">
        <v>1227</v>
      </c>
      <c r="C306" s="43">
        <v>3155193</v>
      </c>
      <c r="D306" s="1" t="s">
        <v>80</v>
      </c>
      <c r="E306" s="49" t="s">
        <v>1043</v>
      </c>
      <c r="G306" s="144"/>
    </row>
    <row r="307" spans="1:7" ht="15.75" customHeight="1">
      <c r="A307" s="120" t="s">
        <v>25</v>
      </c>
      <c r="B307" s="136" t="s">
        <v>1227</v>
      </c>
      <c r="C307" s="43">
        <v>3158167</v>
      </c>
      <c r="D307" s="1" t="s">
        <v>80</v>
      </c>
      <c r="E307" s="49" t="s">
        <v>1042</v>
      </c>
      <c r="G307" s="144"/>
    </row>
  </sheetData>
  <autoFilter ref="A1:I307" xr:uid="{00000000-0009-0000-0000-000005000000}"/>
  <hyperlinks>
    <hyperlink ref="E3" r:id="rId1" xr:uid="{00000000-0004-0000-0500-000000000000}"/>
    <hyperlink ref="G3" r:id="rId2" xr:uid="{00000000-0004-0000-0500-000001000000}"/>
    <hyperlink ref="E4" r:id="rId3" xr:uid="{00000000-0004-0000-0500-000002000000}"/>
    <hyperlink ref="E5" r:id="rId4" xr:uid="{00000000-0004-0000-0500-000003000000}"/>
    <hyperlink ref="G5" r:id="rId5" xr:uid="{00000000-0004-0000-0500-000004000000}"/>
    <hyperlink ref="E6" r:id="rId6" xr:uid="{00000000-0004-0000-0500-000005000000}"/>
    <hyperlink ref="E7" r:id="rId7" xr:uid="{00000000-0004-0000-0500-000006000000}"/>
    <hyperlink ref="G7" r:id="rId8" xr:uid="{00000000-0004-0000-0500-000007000000}"/>
    <hyperlink ref="E8" r:id="rId9" xr:uid="{00000000-0004-0000-0500-000008000000}"/>
    <hyperlink ref="E10" r:id="rId10" xr:uid="{00000000-0004-0000-0500-000009000000}"/>
    <hyperlink ref="E11" r:id="rId11" xr:uid="{00000000-0004-0000-0500-00000A000000}"/>
    <hyperlink ref="G11" r:id="rId12" xr:uid="{00000000-0004-0000-0500-00000B000000}"/>
    <hyperlink ref="E12" r:id="rId13" xr:uid="{00000000-0004-0000-0500-00000C000000}"/>
    <hyperlink ref="E13" r:id="rId14" xr:uid="{00000000-0004-0000-0500-00000D000000}"/>
    <hyperlink ref="E14" r:id="rId15" xr:uid="{00000000-0004-0000-0500-00000E000000}"/>
    <hyperlink ref="E15" r:id="rId16" xr:uid="{00000000-0004-0000-0500-00000F000000}"/>
    <hyperlink ref="E16" r:id="rId17" xr:uid="{00000000-0004-0000-0500-000010000000}"/>
    <hyperlink ref="E18" r:id="rId18" xr:uid="{00000000-0004-0000-0500-000011000000}"/>
    <hyperlink ref="G18" r:id="rId19" xr:uid="{00000000-0004-0000-0500-000012000000}"/>
    <hyperlink ref="E19" r:id="rId20" xr:uid="{00000000-0004-0000-0500-000013000000}"/>
    <hyperlink ref="E20" r:id="rId21" xr:uid="{00000000-0004-0000-0500-000014000000}"/>
    <hyperlink ref="E21" r:id="rId22" xr:uid="{00000000-0004-0000-0500-000015000000}"/>
    <hyperlink ref="E22" r:id="rId23" xr:uid="{00000000-0004-0000-0500-000016000000}"/>
    <hyperlink ref="E23" r:id="rId24" xr:uid="{00000000-0004-0000-0500-000017000000}"/>
    <hyperlink ref="E24" r:id="rId25" xr:uid="{00000000-0004-0000-0500-000018000000}"/>
    <hyperlink ref="E25" r:id="rId26" xr:uid="{00000000-0004-0000-0500-000019000000}"/>
    <hyperlink ref="E26" r:id="rId27" xr:uid="{00000000-0004-0000-0500-00001A000000}"/>
    <hyperlink ref="E27" r:id="rId28" xr:uid="{00000000-0004-0000-0500-00001B000000}"/>
    <hyperlink ref="E28" r:id="rId29" xr:uid="{00000000-0004-0000-0500-00001C000000}"/>
    <hyperlink ref="E29" r:id="rId30" xr:uid="{00000000-0004-0000-0500-00001D000000}"/>
    <hyperlink ref="E30" r:id="rId31" xr:uid="{00000000-0004-0000-0500-00001E000000}"/>
    <hyperlink ref="E31" r:id="rId32" xr:uid="{00000000-0004-0000-0500-00001F000000}"/>
    <hyperlink ref="E32" r:id="rId33" xr:uid="{00000000-0004-0000-0500-000020000000}"/>
    <hyperlink ref="E33" r:id="rId34" xr:uid="{00000000-0004-0000-0500-000021000000}"/>
    <hyperlink ref="E35" r:id="rId35" xr:uid="{00000000-0004-0000-0500-000022000000}"/>
    <hyperlink ref="G35" r:id="rId36" xr:uid="{00000000-0004-0000-0500-000023000000}"/>
    <hyperlink ref="E36" r:id="rId37" xr:uid="{00000000-0004-0000-0500-000024000000}"/>
    <hyperlink ref="E37" r:id="rId38" xr:uid="{00000000-0004-0000-0500-000025000000}"/>
    <hyperlink ref="E38" r:id="rId39" xr:uid="{00000000-0004-0000-0500-000026000000}"/>
    <hyperlink ref="E39" r:id="rId40" xr:uid="{00000000-0004-0000-0500-000027000000}"/>
    <hyperlink ref="E40" r:id="rId41" xr:uid="{00000000-0004-0000-0500-000028000000}"/>
    <hyperlink ref="E41" r:id="rId42" xr:uid="{00000000-0004-0000-0500-000029000000}"/>
    <hyperlink ref="E42" r:id="rId43" xr:uid="{00000000-0004-0000-0500-00002A000000}"/>
    <hyperlink ref="E43" r:id="rId44" xr:uid="{00000000-0004-0000-0500-00002B000000}"/>
    <hyperlink ref="E44" r:id="rId45" xr:uid="{00000000-0004-0000-0500-00002C000000}"/>
    <hyperlink ref="E46" r:id="rId46" xr:uid="{00000000-0004-0000-0500-00002D000000}"/>
    <hyperlink ref="G46" r:id="rId47" xr:uid="{00000000-0004-0000-0500-00002E000000}"/>
    <hyperlink ref="E47" r:id="rId48" xr:uid="{00000000-0004-0000-0500-00002F000000}"/>
    <hyperlink ref="E48" r:id="rId49" xr:uid="{00000000-0004-0000-0500-000030000000}"/>
    <hyperlink ref="E49" r:id="rId50" xr:uid="{00000000-0004-0000-0500-000031000000}"/>
    <hyperlink ref="E50" r:id="rId51" xr:uid="{00000000-0004-0000-0500-000032000000}"/>
    <hyperlink ref="E51" r:id="rId52" xr:uid="{00000000-0004-0000-0500-000033000000}"/>
    <hyperlink ref="E52" r:id="rId53" xr:uid="{00000000-0004-0000-0500-000034000000}"/>
    <hyperlink ref="E53" r:id="rId54" xr:uid="{00000000-0004-0000-0500-000035000000}"/>
    <hyperlink ref="E54" r:id="rId55" xr:uid="{00000000-0004-0000-0500-000036000000}"/>
    <hyperlink ref="E55" r:id="rId56" xr:uid="{00000000-0004-0000-0500-000037000000}"/>
    <hyperlink ref="E56" r:id="rId57" xr:uid="{00000000-0004-0000-0500-000038000000}"/>
    <hyperlink ref="E57" r:id="rId58" xr:uid="{00000000-0004-0000-0500-000039000000}"/>
    <hyperlink ref="E58" r:id="rId59" xr:uid="{00000000-0004-0000-0500-00003A000000}"/>
    <hyperlink ref="E59" r:id="rId60" xr:uid="{00000000-0004-0000-0500-00003B000000}"/>
    <hyperlink ref="E60" r:id="rId61" xr:uid="{00000000-0004-0000-0500-00003C000000}"/>
    <hyperlink ref="E61" r:id="rId62" xr:uid="{00000000-0004-0000-0500-00003D000000}"/>
    <hyperlink ref="E62" r:id="rId63" xr:uid="{00000000-0004-0000-0500-00003E000000}"/>
    <hyperlink ref="E64" r:id="rId64" xr:uid="{00000000-0004-0000-0500-00003F000000}"/>
    <hyperlink ref="E65" r:id="rId65" xr:uid="{00000000-0004-0000-0500-000040000000}"/>
    <hyperlink ref="E66" r:id="rId66" xr:uid="{00000000-0004-0000-0500-000041000000}"/>
    <hyperlink ref="E68" r:id="rId67" xr:uid="{00000000-0004-0000-0500-000042000000}"/>
    <hyperlink ref="G68" r:id="rId68" xr:uid="{00000000-0004-0000-0500-000043000000}"/>
    <hyperlink ref="E69" r:id="rId69" xr:uid="{00000000-0004-0000-0500-000044000000}"/>
    <hyperlink ref="E70" r:id="rId70" xr:uid="{00000000-0004-0000-0500-000045000000}"/>
    <hyperlink ref="E71" r:id="rId71" xr:uid="{00000000-0004-0000-0500-000046000000}"/>
    <hyperlink ref="E72" r:id="rId72" xr:uid="{00000000-0004-0000-0500-000047000000}"/>
    <hyperlink ref="E73" r:id="rId73" xr:uid="{00000000-0004-0000-0500-000048000000}"/>
    <hyperlink ref="E74" r:id="rId74" xr:uid="{00000000-0004-0000-0500-000049000000}"/>
    <hyperlink ref="E75" r:id="rId75" xr:uid="{00000000-0004-0000-0500-00004A000000}"/>
    <hyperlink ref="E76" r:id="rId76" xr:uid="{00000000-0004-0000-0500-00004B000000}"/>
    <hyperlink ref="E77" r:id="rId77" xr:uid="{00000000-0004-0000-0500-00004C000000}"/>
    <hyperlink ref="E78" r:id="rId78" xr:uid="{00000000-0004-0000-0500-00004D000000}"/>
    <hyperlink ref="E79" r:id="rId79" xr:uid="{00000000-0004-0000-0500-00004E000000}"/>
    <hyperlink ref="E80" r:id="rId80" xr:uid="{00000000-0004-0000-0500-00004F000000}"/>
    <hyperlink ref="E81" r:id="rId81" xr:uid="{00000000-0004-0000-0500-000050000000}"/>
    <hyperlink ref="E82" r:id="rId82" xr:uid="{00000000-0004-0000-0500-000051000000}"/>
    <hyperlink ref="E83" r:id="rId83" xr:uid="{00000000-0004-0000-0500-000052000000}"/>
    <hyperlink ref="E84" r:id="rId84" xr:uid="{00000000-0004-0000-0500-000053000000}"/>
    <hyperlink ref="E85" r:id="rId85" xr:uid="{00000000-0004-0000-0500-000054000000}"/>
    <hyperlink ref="E86" r:id="rId86" xr:uid="{00000000-0004-0000-0500-000055000000}"/>
    <hyperlink ref="E87" r:id="rId87" xr:uid="{00000000-0004-0000-0500-000056000000}"/>
    <hyperlink ref="E88" r:id="rId88" xr:uid="{00000000-0004-0000-0500-000057000000}"/>
    <hyperlink ref="E90" r:id="rId89" xr:uid="{00000000-0004-0000-0500-000058000000}"/>
    <hyperlink ref="E91" r:id="rId90" xr:uid="{00000000-0004-0000-0500-000059000000}"/>
    <hyperlink ref="G91" r:id="rId91" xr:uid="{00000000-0004-0000-0500-00005A000000}"/>
    <hyperlink ref="E92" r:id="rId92" xr:uid="{00000000-0004-0000-0500-00005B000000}"/>
    <hyperlink ref="E93" r:id="rId93" xr:uid="{00000000-0004-0000-0500-00005C000000}"/>
    <hyperlink ref="E94" r:id="rId94" xr:uid="{00000000-0004-0000-0500-00005D000000}"/>
    <hyperlink ref="E95" r:id="rId95" xr:uid="{00000000-0004-0000-0500-00005E000000}"/>
    <hyperlink ref="E97" r:id="rId96" xr:uid="{00000000-0004-0000-0500-00005F000000}"/>
    <hyperlink ref="G97" r:id="rId97" xr:uid="{00000000-0004-0000-0500-000060000000}"/>
    <hyperlink ref="E98" r:id="rId98" xr:uid="{00000000-0004-0000-0500-000061000000}"/>
    <hyperlink ref="E99" r:id="rId99" xr:uid="{00000000-0004-0000-0500-000062000000}"/>
    <hyperlink ref="E100" r:id="rId100" xr:uid="{00000000-0004-0000-0500-000063000000}"/>
    <hyperlink ref="E101" r:id="rId101" xr:uid="{00000000-0004-0000-0500-000064000000}"/>
    <hyperlink ref="E102" r:id="rId102" xr:uid="{00000000-0004-0000-0500-000065000000}"/>
    <hyperlink ref="E103" r:id="rId103" xr:uid="{00000000-0004-0000-0500-000066000000}"/>
    <hyperlink ref="E104" r:id="rId104" xr:uid="{00000000-0004-0000-0500-000067000000}"/>
    <hyperlink ref="E106" r:id="rId105" xr:uid="{00000000-0004-0000-0500-000068000000}"/>
    <hyperlink ref="E107" r:id="rId106" xr:uid="{00000000-0004-0000-0500-000069000000}"/>
    <hyperlink ref="E108" r:id="rId107" xr:uid="{00000000-0004-0000-0500-00006A000000}"/>
    <hyperlink ref="E109" r:id="rId108" xr:uid="{00000000-0004-0000-0500-00006B000000}"/>
    <hyperlink ref="E110" r:id="rId109" xr:uid="{00000000-0004-0000-0500-00006C000000}"/>
    <hyperlink ref="E111" r:id="rId110" xr:uid="{00000000-0004-0000-0500-00006D000000}"/>
    <hyperlink ref="E113" r:id="rId111" xr:uid="{00000000-0004-0000-0500-00006E000000}"/>
    <hyperlink ref="E114" r:id="rId112" xr:uid="{00000000-0004-0000-0500-00006F000000}"/>
    <hyperlink ref="E115" r:id="rId113" xr:uid="{00000000-0004-0000-0500-000070000000}"/>
    <hyperlink ref="E116" r:id="rId114" xr:uid="{00000000-0004-0000-0500-000071000000}"/>
    <hyperlink ref="E117" r:id="rId115" xr:uid="{00000000-0004-0000-0500-000072000000}"/>
    <hyperlink ref="E118" r:id="rId116" xr:uid="{00000000-0004-0000-0500-000073000000}"/>
    <hyperlink ref="E119" r:id="rId117" xr:uid="{00000000-0004-0000-0500-000074000000}"/>
    <hyperlink ref="E120" r:id="rId118" xr:uid="{00000000-0004-0000-0500-000075000000}"/>
    <hyperlink ref="E121" r:id="rId119" xr:uid="{00000000-0004-0000-0500-000076000000}"/>
    <hyperlink ref="E123" r:id="rId120" xr:uid="{00000000-0004-0000-0500-000077000000}"/>
    <hyperlink ref="E124" r:id="rId121" xr:uid="{00000000-0004-0000-0500-000078000000}"/>
    <hyperlink ref="E125" r:id="rId122" xr:uid="{00000000-0004-0000-0500-000079000000}"/>
    <hyperlink ref="E126" r:id="rId123" xr:uid="{00000000-0004-0000-0500-00007A000000}"/>
    <hyperlink ref="E127" r:id="rId124" xr:uid="{00000000-0004-0000-0500-00007B000000}"/>
    <hyperlink ref="E129" r:id="rId125" xr:uid="{00000000-0004-0000-0500-00007C000000}"/>
    <hyperlink ref="E130" r:id="rId126" xr:uid="{00000000-0004-0000-0500-00007D000000}"/>
    <hyperlink ref="E131" r:id="rId127" xr:uid="{00000000-0004-0000-0500-00007E000000}"/>
    <hyperlink ref="E132" r:id="rId128" xr:uid="{00000000-0004-0000-0500-00007F000000}"/>
    <hyperlink ref="E133" r:id="rId129" xr:uid="{00000000-0004-0000-0500-000080000000}"/>
    <hyperlink ref="E134" r:id="rId130" xr:uid="{00000000-0004-0000-0500-000081000000}"/>
    <hyperlink ref="E135" r:id="rId131" xr:uid="{00000000-0004-0000-0500-000082000000}"/>
    <hyperlink ref="E136" r:id="rId132" xr:uid="{00000000-0004-0000-0500-000083000000}"/>
    <hyperlink ref="E137" r:id="rId133" xr:uid="{00000000-0004-0000-0500-000084000000}"/>
    <hyperlink ref="E138" r:id="rId134" xr:uid="{00000000-0004-0000-0500-000085000000}"/>
    <hyperlink ref="E140" r:id="rId135" xr:uid="{00000000-0004-0000-0500-000086000000}"/>
    <hyperlink ref="G140" r:id="rId136" xr:uid="{00000000-0004-0000-0500-000087000000}"/>
    <hyperlink ref="E141" r:id="rId137" xr:uid="{00000000-0004-0000-0500-000088000000}"/>
    <hyperlink ref="E142" r:id="rId138" xr:uid="{00000000-0004-0000-0500-000089000000}"/>
    <hyperlink ref="E143" r:id="rId139" xr:uid="{00000000-0004-0000-0500-00008A000000}"/>
    <hyperlink ref="E144" r:id="rId140" xr:uid="{00000000-0004-0000-0500-00008B000000}"/>
    <hyperlink ref="E145" r:id="rId141" xr:uid="{00000000-0004-0000-0500-00008C000000}"/>
    <hyperlink ref="E146" r:id="rId142" xr:uid="{00000000-0004-0000-0500-00008D000000}"/>
    <hyperlink ref="E147" r:id="rId143" xr:uid="{00000000-0004-0000-0500-00008E000000}"/>
    <hyperlink ref="E149" r:id="rId144" xr:uid="{00000000-0004-0000-0500-00008F000000}"/>
    <hyperlink ref="E150" r:id="rId145" xr:uid="{00000000-0004-0000-0500-000090000000}"/>
    <hyperlink ref="E151" r:id="rId146" xr:uid="{00000000-0004-0000-0500-000091000000}"/>
    <hyperlink ref="E152" r:id="rId147" xr:uid="{00000000-0004-0000-0500-000092000000}"/>
    <hyperlink ref="E153" r:id="rId148" xr:uid="{00000000-0004-0000-0500-000093000000}"/>
    <hyperlink ref="E154" r:id="rId149" xr:uid="{00000000-0004-0000-0500-000094000000}"/>
    <hyperlink ref="E155" r:id="rId150" xr:uid="{00000000-0004-0000-0500-000095000000}"/>
    <hyperlink ref="E156" r:id="rId151" xr:uid="{00000000-0004-0000-0500-000096000000}"/>
    <hyperlink ref="E157" r:id="rId152" xr:uid="{00000000-0004-0000-0500-000097000000}"/>
    <hyperlink ref="E158" r:id="rId153" xr:uid="{00000000-0004-0000-0500-000098000000}"/>
    <hyperlink ref="E159" r:id="rId154" xr:uid="{00000000-0004-0000-0500-000099000000}"/>
    <hyperlink ref="E160" r:id="rId155" xr:uid="{00000000-0004-0000-0500-00009A000000}"/>
    <hyperlink ref="E161" r:id="rId156" xr:uid="{00000000-0004-0000-0500-00009B000000}"/>
    <hyperlink ref="E162" r:id="rId157" xr:uid="{00000000-0004-0000-0500-00009C000000}"/>
    <hyperlink ref="E163" r:id="rId158" xr:uid="{00000000-0004-0000-0500-00009D000000}"/>
    <hyperlink ref="E164" r:id="rId159" xr:uid="{00000000-0004-0000-0500-00009E000000}"/>
    <hyperlink ref="E165" r:id="rId160" xr:uid="{00000000-0004-0000-0500-00009F000000}"/>
    <hyperlink ref="E166" r:id="rId161" xr:uid="{00000000-0004-0000-0500-0000A0000000}"/>
    <hyperlink ref="E167" r:id="rId162" xr:uid="{00000000-0004-0000-0500-0000A1000000}"/>
    <hyperlink ref="E168" r:id="rId163" xr:uid="{00000000-0004-0000-0500-0000A2000000}"/>
    <hyperlink ref="E169" r:id="rId164" xr:uid="{00000000-0004-0000-0500-0000A3000000}"/>
    <hyperlink ref="E170" r:id="rId165" xr:uid="{00000000-0004-0000-0500-0000A4000000}"/>
    <hyperlink ref="E171" r:id="rId166" xr:uid="{00000000-0004-0000-0500-0000A5000000}"/>
    <hyperlink ref="E172" r:id="rId167" xr:uid="{00000000-0004-0000-0500-0000A6000000}"/>
    <hyperlink ref="E174" r:id="rId168" xr:uid="{00000000-0004-0000-0500-0000A7000000}"/>
    <hyperlink ref="E175" r:id="rId169" xr:uid="{00000000-0004-0000-0500-0000A8000000}"/>
    <hyperlink ref="E176" r:id="rId170" xr:uid="{00000000-0004-0000-0500-0000A9000000}"/>
    <hyperlink ref="E177" r:id="rId171" xr:uid="{00000000-0004-0000-0500-0000AA000000}"/>
    <hyperlink ref="E178" r:id="rId172" xr:uid="{00000000-0004-0000-0500-0000AB000000}"/>
    <hyperlink ref="E179" r:id="rId173" xr:uid="{00000000-0004-0000-0500-0000AC000000}"/>
    <hyperlink ref="E180" r:id="rId174" xr:uid="{00000000-0004-0000-0500-0000AD000000}"/>
    <hyperlink ref="E181" r:id="rId175" xr:uid="{00000000-0004-0000-0500-0000AE000000}"/>
    <hyperlink ref="E182" r:id="rId176" xr:uid="{00000000-0004-0000-0500-0000AF000000}"/>
    <hyperlink ref="E183" r:id="rId177" xr:uid="{00000000-0004-0000-0500-0000B0000000}"/>
    <hyperlink ref="E184" r:id="rId178" xr:uid="{00000000-0004-0000-0500-0000B1000000}"/>
    <hyperlink ref="E185" r:id="rId179" xr:uid="{00000000-0004-0000-0500-0000B2000000}"/>
    <hyperlink ref="E186" r:id="rId180" xr:uid="{00000000-0004-0000-0500-0000B3000000}"/>
    <hyperlink ref="E187" r:id="rId181" xr:uid="{00000000-0004-0000-0500-0000B4000000}"/>
    <hyperlink ref="E188" r:id="rId182" xr:uid="{00000000-0004-0000-0500-0000B5000000}"/>
    <hyperlink ref="E189" r:id="rId183" xr:uid="{00000000-0004-0000-0500-0000B6000000}"/>
    <hyperlink ref="E190" r:id="rId184" xr:uid="{00000000-0004-0000-0500-0000B7000000}"/>
    <hyperlink ref="E192" r:id="rId185" xr:uid="{00000000-0004-0000-0500-0000B8000000}"/>
    <hyperlink ref="E193" r:id="rId186" xr:uid="{00000000-0004-0000-0500-0000B9000000}"/>
    <hyperlink ref="E194" r:id="rId187" xr:uid="{00000000-0004-0000-0500-0000BA000000}"/>
    <hyperlink ref="E195" r:id="rId188" xr:uid="{00000000-0004-0000-0500-0000BB000000}"/>
    <hyperlink ref="E196" r:id="rId189" xr:uid="{00000000-0004-0000-0500-0000BC000000}"/>
    <hyperlink ref="E197" r:id="rId190" xr:uid="{00000000-0004-0000-0500-0000BD000000}"/>
    <hyperlink ref="E199" r:id="rId191" xr:uid="{00000000-0004-0000-0500-0000BE000000}"/>
    <hyperlink ref="E200" r:id="rId192" xr:uid="{00000000-0004-0000-0500-0000BF000000}"/>
    <hyperlink ref="E201" r:id="rId193" xr:uid="{00000000-0004-0000-0500-0000C0000000}"/>
    <hyperlink ref="E202" r:id="rId194" xr:uid="{00000000-0004-0000-0500-0000C1000000}"/>
    <hyperlink ref="E203" r:id="rId195" xr:uid="{00000000-0004-0000-0500-0000C2000000}"/>
    <hyperlink ref="E204" r:id="rId196" xr:uid="{00000000-0004-0000-0500-0000C3000000}"/>
    <hyperlink ref="E205" r:id="rId197" xr:uid="{00000000-0004-0000-0500-0000C4000000}"/>
    <hyperlink ref="E206" r:id="rId198" xr:uid="{00000000-0004-0000-0500-0000C5000000}"/>
    <hyperlink ref="E207" r:id="rId199" xr:uid="{00000000-0004-0000-0500-0000C6000000}"/>
    <hyperlink ref="E208" r:id="rId200" xr:uid="{00000000-0004-0000-0500-0000C7000000}"/>
    <hyperlink ref="E209" r:id="rId201" xr:uid="{00000000-0004-0000-0500-0000C8000000}"/>
    <hyperlink ref="E210" r:id="rId202" xr:uid="{00000000-0004-0000-0500-0000C9000000}"/>
    <hyperlink ref="E211" r:id="rId203" xr:uid="{00000000-0004-0000-0500-0000CA000000}"/>
    <hyperlink ref="E212" r:id="rId204" xr:uid="{00000000-0004-0000-0500-0000CB000000}"/>
    <hyperlink ref="E213" r:id="rId205" xr:uid="{00000000-0004-0000-0500-0000CC000000}"/>
    <hyperlink ref="E215" r:id="rId206" xr:uid="{00000000-0004-0000-0500-0000CD000000}"/>
    <hyperlink ref="E216" r:id="rId207" xr:uid="{00000000-0004-0000-0500-0000CE000000}"/>
    <hyperlink ref="E217" r:id="rId208" xr:uid="{00000000-0004-0000-0500-0000CF000000}"/>
    <hyperlink ref="E218" r:id="rId209" xr:uid="{00000000-0004-0000-0500-0000D0000000}"/>
    <hyperlink ref="E219" r:id="rId210" xr:uid="{00000000-0004-0000-0500-0000D1000000}"/>
    <hyperlink ref="E220" r:id="rId211" xr:uid="{00000000-0004-0000-0500-0000D2000000}"/>
    <hyperlink ref="E221" r:id="rId212" xr:uid="{00000000-0004-0000-0500-0000D3000000}"/>
    <hyperlink ref="E222" r:id="rId213" xr:uid="{00000000-0004-0000-0500-0000D4000000}"/>
    <hyperlink ref="E223" r:id="rId214" xr:uid="{00000000-0004-0000-0500-0000D5000000}"/>
    <hyperlink ref="E224" r:id="rId215" xr:uid="{00000000-0004-0000-0500-0000D6000000}"/>
    <hyperlink ref="E225" r:id="rId216" xr:uid="{00000000-0004-0000-0500-0000D7000000}"/>
    <hyperlink ref="E226" r:id="rId217" xr:uid="{00000000-0004-0000-0500-0000D8000000}"/>
    <hyperlink ref="E227" r:id="rId218" xr:uid="{00000000-0004-0000-0500-0000D9000000}"/>
    <hyperlink ref="E228" r:id="rId219" xr:uid="{00000000-0004-0000-0500-0000DA000000}"/>
    <hyperlink ref="E229" r:id="rId220" xr:uid="{00000000-0004-0000-0500-0000DB000000}"/>
    <hyperlink ref="E230" r:id="rId221" xr:uid="{00000000-0004-0000-0500-0000DC000000}"/>
    <hyperlink ref="E231" r:id="rId222" xr:uid="{00000000-0004-0000-0500-0000DD000000}"/>
    <hyperlink ref="E232" r:id="rId223" xr:uid="{00000000-0004-0000-0500-0000DE000000}"/>
    <hyperlink ref="E233" r:id="rId224" xr:uid="{00000000-0004-0000-0500-0000DF000000}"/>
    <hyperlink ref="E234" r:id="rId225" xr:uid="{00000000-0004-0000-0500-0000E0000000}"/>
    <hyperlink ref="E235" r:id="rId226" xr:uid="{00000000-0004-0000-0500-0000E1000000}"/>
    <hyperlink ref="E236" r:id="rId227" xr:uid="{00000000-0004-0000-0500-0000E2000000}"/>
    <hyperlink ref="E238" r:id="rId228" xr:uid="{00000000-0004-0000-0500-0000E3000000}"/>
    <hyperlink ref="E239" r:id="rId229" xr:uid="{00000000-0004-0000-0500-0000E4000000}"/>
    <hyperlink ref="E240" r:id="rId230" xr:uid="{00000000-0004-0000-0500-0000E5000000}"/>
    <hyperlink ref="E241" r:id="rId231" xr:uid="{00000000-0004-0000-0500-0000E6000000}"/>
    <hyperlink ref="E242" r:id="rId232" xr:uid="{00000000-0004-0000-0500-0000E7000000}"/>
    <hyperlink ref="E243" r:id="rId233" xr:uid="{00000000-0004-0000-0500-0000E8000000}"/>
    <hyperlink ref="E244" r:id="rId234" xr:uid="{00000000-0004-0000-0500-0000E9000000}"/>
    <hyperlink ref="E246" r:id="rId235" xr:uid="{00000000-0004-0000-0500-0000EA000000}"/>
    <hyperlink ref="E247" r:id="rId236" xr:uid="{00000000-0004-0000-0500-0000EB000000}"/>
    <hyperlink ref="E248" r:id="rId237" xr:uid="{00000000-0004-0000-0500-0000EC000000}"/>
    <hyperlink ref="E249" r:id="rId238" xr:uid="{00000000-0004-0000-0500-0000ED000000}"/>
    <hyperlink ref="E250" r:id="rId239" xr:uid="{00000000-0004-0000-0500-0000EE000000}"/>
    <hyperlink ref="E251" r:id="rId240" xr:uid="{00000000-0004-0000-0500-0000EF000000}"/>
    <hyperlink ref="E252" r:id="rId241" xr:uid="{00000000-0004-0000-0500-0000F0000000}"/>
    <hyperlink ref="E253" r:id="rId242" xr:uid="{00000000-0004-0000-0500-0000F1000000}"/>
    <hyperlink ref="E254" r:id="rId243" xr:uid="{00000000-0004-0000-0500-0000F2000000}"/>
    <hyperlink ref="E256" r:id="rId244" xr:uid="{00000000-0004-0000-0500-0000F3000000}"/>
    <hyperlink ref="E257" r:id="rId245" xr:uid="{00000000-0004-0000-0500-0000F4000000}"/>
    <hyperlink ref="E258" r:id="rId246" xr:uid="{00000000-0004-0000-0500-0000F5000000}"/>
    <hyperlink ref="E259" r:id="rId247" xr:uid="{00000000-0004-0000-0500-0000F6000000}"/>
    <hyperlink ref="E260" r:id="rId248" xr:uid="{00000000-0004-0000-0500-0000F7000000}"/>
    <hyperlink ref="E261" r:id="rId249" xr:uid="{00000000-0004-0000-0500-0000F8000000}"/>
    <hyperlink ref="E262" r:id="rId250" xr:uid="{00000000-0004-0000-0500-0000F9000000}"/>
    <hyperlink ref="E263" r:id="rId251" xr:uid="{00000000-0004-0000-0500-0000FA000000}"/>
    <hyperlink ref="E264" r:id="rId252" xr:uid="{00000000-0004-0000-0500-0000FB000000}"/>
    <hyperlink ref="E265" r:id="rId253" xr:uid="{00000000-0004-0000-0500-0000FC000000}"/>
    <hyperlink ref="E266" r:id="rId254" xr:uid="{00000000-0004-0000-0500-0000FD000000}"/>
    <hyperlink ref="E267" r:id="rId255" xr:uid="{00000000-0004-0000-0500-0000FE000000}"/>
    <hyperlink ref="E268" r:id="rId256" xr:uid="{00000000-0004-0000-0500-0000FF000000}"/>
    <hyperlink ref="E269" r:id="rId257" xr:uid="{00000000-0004-0000-0500-000000010000}"/>
    <hyperlink ref="E270" r:id="rId258" xr:uid="{00000000-0004-0000-0500-000001010000}"/>
    <hyperlink ref="E271" r:id="rId259" xr:uid="{00000000-0004-0000-0500-000002010000}"/>
    <hyperlink ref="E272" r:id="rId260" xr:uid="{00000000-0004-0000-0500-000003010000}"/>
    <hyperlink ref="E274" r:id="rId261" xr:uid="{00000000-0004-0000-0500-000004010000}"/>
    <hyperlink ref="E275" r:id="rId262" xr:uid="{00000000-0004-0000-0500-000005010000}"/>
    <hyperlink ref="E276" r:id="rId263" xr:uid="{00000000-0004-0000-0500-000006010000}"/>
    <hyperlink ref="E277" r:id="rId264" xr:uid="{00000000-0004-0000-0500-000007010000}"/>
    <hyperlink ref="E278" r:id="rId265" xr:uid="{00000000-0004-0000-0500-000008010000}"/>
    <hyperlink ref="E279" r:id="rId266" xr:uid="{00000000-0004-0000-0500-000009010000}"/>
    <hyperlink ref="E280" r:id="rId267" xr:uid="{00000000-0004-0000-0500-00000A010000}"/>
    <hyperlink ref="E281" r:id="rId268" xr:uid="{00000000-0004-0000-0500-00000B010000}"/>
    <hyperlink ref="E282" r:id="rId269" xr:uid="{00000000-0004-0000-0500-00000C010000}"/>
    <hyperlink ref="E283" r:id="rId270" xr:uid="{00000000-0004-0000-0500-00000D010000}"/>
    <hyperlink ref="E284" r:id="rId271" xr:uid="{00000000-0004-0000-0500-00000E010000}"/>
    <hyperlink ref="E285" r:id="rId272" xr:uid="{00000000-0004-0000-0500-00000F010000}"/>
    <hyperlink ref="E286" r:id="rId273" xr:uid="{00000000-0004-0000-0500-000010010000}"/>
    <hyperlink ref="E287" r:id="rId274" xr:uid="{00000000-0004-0000-0500-000011010000}"/>
    <hyperlink ref="E288" r:id="rId275" xr:uid="{00000000-0004-0000-0500-000012010000}"/>
    <hyperlink ref="E289" r:id="rId276" xr:uid="{00000000-0004-0000-0500-000013010000}"/>
    <hyperlink ref="E290" r:id="rId277" xr:uid="{00000000-0004-0000-0500-000014010000}"/>
    <hyperlink ref="E291" r:id="rId278" xr:uid="{00000000-0004-0000-0500-000015010000}"/>
    <hyperlink ref="E292" r:id="rId279" xr:uid="{00000000-0004-0000-0500-000016010000}"/>
    <hyperlink ref="E293" r:id="rId280" xr:uid="{00000000-0004-0000-0500-000017010000}"/>
    <hyperlink ref="E294" r:id="rId281" xr:uid="{00000000-0004-0000-0500-000018010000}"/>
    <hyperlink ref="E296" r:id="rId282" xr:uid="{00000000-0004-0000-0500-000019010000}"/>
    <hyperlink ref="E297" r:id="rId283" xr:uid="{00000000-0004-0000-0500-00001A010000}"/>
    <hyperlink ref="E299" r:id="rId284" xr:uid="{00000000-0004-0000-0500-00001B010000}"/>
    <hyperlink ref="E300" r:id="rId285" xr:uid="{00000000-0004-0000-0500-00001C010000}"/>
    <hyperlink ref="E301" r:id="rId286" xr:uid="{00000000-0004-0000-0500-00001D010000}"/>
    <hyperlink ref="E302" r:id="rId287" xr:uid="{00000000-0004-0000-0500-00001E010000}"/>
    <hyperlink ref="E303" r:id="rId288" xr:uid="{00000000-0004-0000-0500-00001F010000}"/>
    <hyperlink ref="E304" r:id="rId289" xr:uid="{00000000-0004-0000-0500-000020010000}"/>
    <hyperlink ref="E305" r:id="rId290" xr:uid="{00000000-0004-0000-0500-000021010000}"/>
    <hyperlink ref="E306" r:id="rId291" xr:uid="{00000000-0004-0000-0500-000022010000}"/>
    <hyperlink ref="E307" r:id="rId292" xr:uid="{00000000-0004-0000-0500-000023010000}"/>
  </hyperlink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45818E"/>
    <outlinePr summaryBelow="0" summaryRight="0"/>
  </sheetPr>
  <dimension ref="A1:K666"/>
  <sheetViews>
    <sheetView workbookViewId="0">
      <pane ySplit="1" topLeftCell="A2" activePane="bottomLeft" state="frozen"/>
      <selection pane="bottomLeft" activeCell="B3" sqref="B3"/>
    </sheetView>
  </sheetViews>
  <sheetFormatPr baseColWidth="10" defaultColWidth="11.1640625" defaultRowHeight="15" customHeight="1"/>
  <cols>
    <col min="1" max="1" width="28.6640625" customWidth="1"/>
    <col min="2" max="2" width="31.6640625" customWidth="1"/>
    <col min="3" max="3" width="24" customWidth="1"/>
    <col min="4" max="4" width="17" customWidth="1"/>
    <col min="5" max="5" width="53.1640625" customWidth="1"/>
    <col min="6" max="6" width="32.5" hidden="1" customWidth="1"/>
    <col min="7" max="7" width="32.6640625" customWidth="1"/>
    <col min="8" max="8" width="22.33203125" hidden="1" customWidth="1"/>
    <col min="9" max="11" width="10.5" customWidth="1"/>
  </cols>
  <sheetData>
    <row r="1" spans="1:11" ht="33.75" customHeight="1">
      <c r="A1" s="145" t="s">
        <v>1230</v>
      </c>
      <c r="B1" s="146" t="s">
        <v>1231</v>
      </c>
      <c r="C1" s="147" t="s">
        <v>1232</v>
      </c>
      <c r="D1" s="148" t="s">
        <v>62</v>
      </c>
      <c r="E1" s="147" t="s">
        <v>1233</v>
      </c>
      <c r="F1" s="149" t="s">
        <v>64</v>
      </c>
      <c r="G1" s="149" t="s">
        <v>65</v>
      </c>
      <c r="H1" s="149" t="s">
        <v>66</v>
      </c>
      <c r="I1" s="150"/>
      <c r="J1" s="150"/>
      <c r="K1" s="150"/>
    </row>
    <row r="2" spans="1:11" ht="15.75" customHeight="1">
      <c r="A2" s="111" t="s">
        <v>0</v>
      </c>
      <c r="B2" s="151" t="s">
        <v>1234</v>
      </c>
      <c r="C2" s="152" t="s">
        <v>68</v>
      </c>
      <c r="D2" s="152" t="s">
        <v>62</v>
      </c>
      <c r="E2" s="56" t="s">
        <v>69</v>
      </c>
      <c r="F2" s="153"/>
      <c r="G2" s="153" t="s">
        <v>70</v>
      </c>
      <c r="H2" s="78"/>
      <c r="I2" s="78"/>
      <c r="J2" s="78"/>
      <c r="K2" s="78"/>
    </row>
    <row r="3" spans="1:11" ht="15.75" customHeight="1">
      <c r="A3" s="1" t="s">
        <v>0</v>
      </c>
      <c r="B3" s="154" t="s">
        <v>1234</v>
      </c>
      <c r="C3" s="43">
        <v>2928588</v>
      </c>
      <c r="D3" s="1" t="s">
        <v>71</v>
      </c>
      <c r="E3" s="45" t="s">
        <v>1235</v>
      </c>
      <c r="F3" s="155"/>
      <c r="G3" s="47" t="s">
        <v>1236</v>
      </c>
    </row>
    <row r="4" spans="1:11" ht="15.75" customHeight="1">
      <c r="A4" s="42" t="s">
        <v>0</v>
      </c>
      <c r="B4" s="154" t="s">
        <v>1234</v>
      </c>
      <c r="C4" s="43">
        <v>2931602</v>
      </c>
      <c r="D4" s="1" t="s">
        <v>101</v>
      </c>
      <c r="E4" s="49" t="s">
        <v>1237</v>
      </c>
      <c r="F4" s="155"/>
      <c r="G4" s="48" t="s">
        <v>1238</v>
      </c>
    </row>
    <row r="5" spans="1:11" ht="15.75" customHeight="1">
      <c r="A5" s="42" t="s">
        <v>0</v>
      </c>
      <c r="B5" s="154" t="s">
        <v>1234</v>
      </c>
      <c r="C5" s="43">
        <v>2901333</v>
      </c>
      <c r="D5" s="1" t="s">
        <v>101</v>
      </c>
      <c r="E5" s="45" t="s">
        <v>1239</v>
      </c>
      <c r="F5" s="155"/>
      <c r="G5" s="48" t="s">
        <v>1240</v>
      </c>
    </row>
    <row r="6" spans="1:11" ht="15.75" customHeight="1">
      <c r="A6" s="42" t="s">
        <v>0</v>
      </c>
      <c r="B6" s="154" t="s">
        <v>1234</v>
      </c>
      <c r="C6" s="43">
        <v>753229</v>
      </c>
      <c r="D6" s="1" t="s">
        <v>71</v>
      </c>
      <c r="E6" s="45" t="s">
        <v>1241</v>
      </c>
      <c r="F6" s="155"/>
      <c r="G6" s="48" t="s">
        <v>1242</v>
      </c>
    </row>
    <row r="7" spans="1:11" ht="15.75" customHeight="1">
      <c r="A7" s="42" t="s">
        <v>0</v>
      </c>
      <c r="B7" s="154" t="s">
        <v>1234</v>
      </c>
      <c r="C7" s="43">
        <v>801474</v>
      </c>
      <c r="D7" s="1" t="s">
        <v>90</v>
      </c>
      <c r="E7" s="45" t="s">
        <v>1243</v>
      </c>
      <c r="F7" s="155"/>
      <c r="G7" s="48" t="s">
        <v>1244</v>
      </c>
    </row>
    <row r="8" spans="1:11" ht="15.75" customHeight="1">
      <c r="A8" s="42" t="s">
        <v>0</v>
      </c>
      <c r="B8" s="154" t="s">
        <v>1234</v>
      </c>
      <c r="C8" s="43">
        <v>2908959</v>
      </c>
      <c r="D8" s="1" t="s">
        <v>90</v>
      </c>
      <c r="E8" s="45" t="s">
        <v>1245</v>
      </c>
      <c r="F8" s="155"/>
      <c r="G8" s="48" t="s">
        <v>1246</v>
      </c>
    </row>
    <row r="9" spans="1:11" ht="15.75" customHeight="1">
      <c r="A9" s="1" t="s">
        <v>0</v>
      </c>
      <c r="B9" s="154" t="s">
        <v>1234</v>
      </c>
      <c r="C9" s="43">
        <v>753094</v>
      </c>
      <c r="D9" s="1" t="s">
        <v>71</v>
      </c>
      <c r="E9" s="45" t="s">
        <v>1247</v>
      </c>
      <c r="F9" s="155"/>
      <c r="G9" s="48" t="s">
        <v>1240</v>
      </c>
    </row>
    <row r="10" spans="1:11" ht="15.75" customHeight="1">
      <c r="A10" s="42" t="s">
        <v>0</v>
      </c>
      <c r="B10" s="154" t="s">
        <v>1234</v>
      </c>
      <c r="C10" s="43">
        <v>2911573</v>
      </c>
      <c r="D10" s="1" t="s">
        <v>80</v>
      </c>
      <c r="E10" s="45" t="s">
        <v>1248</v>
      </c>
      <c r="F10" s="155"/>
      <c r="G10" s="50"/>
    </row>
    <row r="11" spans="1:11" ht="15.75" customHeight="1">
      <c r="A11" s="42" t="s">
        <v>0</v>
      </c>
      <c r="B11" s="154" t="s">
        <v>1234</v>
      </c>
      <c r="C11" s="43">
        <v>801458</v>
      </c>
      <c r="D11" s="1" t="s">
        <v>83</v>
      </c>
      <c r="E11" s="45" t="s">
        <v>1249</v>
      </c>
      <c r="F11" s="155"/>
      <c r="G11" s="50"/>
    </row>
    <row r="12" spans="1:11" ht="15.75" customHeight="1">
      <c r="A12" s="42" t="s">
        <v>0</v>
      </c>
      <c r="B12" s="154" t="s">
        <v>1234</v>
      </c>
      <c r="C12" s="43">
        <v>2841352</v>
      </c>
      <c r="D12" s="1" t="s">
        <v>83</v>
      </c>
      <c r="E12" s="45" t="s">
        <v>1250</v>
      </c>
      <c r="F12" s="155"/>
      <c r="G12" s="50"/>
    </row>
    <row r="13" spans="1:11" ht="15.75" customHeight="1">
      <c r="A13" s="42" t="s">
        <v>0</v>
      </c>
      <c r="B13" s="154" t="s">
        <v>1234</v>
      </c>
      <c r="C13" s="43">
        <v>753101</v>
      </c>
      <c r="D13" s="1" t="s">
        <v>80</v>
      </c>
      <c r="E13" s="45" t="s">
        <v>1251</v>
      </c>
      <c r="F13" s="155"/>
      <c r="G13" s="59"/>
    </row>
    <row r="14" spans="1:11" ht="15.75" customHeight="1">
      <c r="A14" s="42" t="s">
        <v>0</v>
      </c>
      <c r="B14" s="154" t="s">
        <v>1234</v>
      </c>
      <c r="C14" s="43">
        <v>2841355</v>
      </c>
      <c r="D14" s="1" t="s">
        <v>83</v>
      </c>
      <c r="E14" s="45" t="s">
        <v>1252</v>
      </c>
      <c r="F14" s="155"/>
      <c r="G14" s="59"/>
    </row>
    <row r="15" spans="1:11" ht="15.75" customHeight="1">
      <c r="A15" s="42" t="s">
        <v>0</v>
      </c>
      <c r="B15" s="154" t="s">
        <v>1234</v>
      </c>
      <c r="C15" s="43">
        <v>2877107</v>
      </c>
      <c r="D15" s="1" t="s">
        <v>80</v>
      </c>
      <c r="E15" s="45" t="s">
        <v>1253</v>
      </c>
      <c r="F15" s="155"/>
      <c r="G15" s="59"/>
    </row>
    <row r="16" spans="1:11" ht="15.75" customHeight="1">
      <c r="A16" s="42" t="s">
        <v>0</v>
      </c>
      <c r="B16" s="154" t="s">
        <v>1234</v>
      </c>
      <c r="C16" s="43">
        <v>2903154</v>
      </c>
      <c r="D16" s="1" t="s">
        <v>83</v>
      </c>
      <c r="E16" s="45" t="s">
        <v>1254</v>
      </c>
      <c r="F16" s="155"/>
      <c r="G16" s="59"/>
    </row>
    <row r="17" spans="1:7" ht="15.75" customHeight="1">
      <c r="A17" s="42" t="s">
        <v>0</v>
      </c>
      <c r="B17" s="154" t="s">
        <v>1234</v>
      </c>
      <c r="C17" s="43">
        <v>2929566</v>
      </c>
      <c r="D17" s="1" t="s">
        <v>83</v>
      </c>
      <c r="E17" s="45" t="s">
        <v>1255</v>
      </c>
      <c r="F17" s="155"/>
      <c r="G17" s="59"/>
    </row>
    <row r="18" spans="1:7" ht="15.75" customHeight="1">
      <c r="A18" s="42" t="s">
        <v>0</v>
      </c>
      <c r="B18" s="154" t="s">
        <v>1234</v>
      </c>
      <c r="C18" s="43">
        <v>2928582</v>
      </c>
      <c r="D18" s="1" t="s">
        <v>83</v>
      </c>
      <c r="E18" s="45" t="s">
        <v>1256</v>
      </c>
      <c r="F18" s="155"/>
      <c r="G18" s="59"/>
    </row>
    <row r="19" spans="1:7" ht="15.75" customHeight="1">
      <c r="A19" s="42" t="s">
        <v>0</v>
      </c>
      <c r="B19" s="154" t="s">
        <v>1234</v>
      </c>
      <c r="C19" s="43">
        <v>2900319</v>
      </c>
      <c r="D19" s="1" t="s">
        <v>80</v>
      </c>
      <c r="E19" s="45" t="s">
        <v>1257</v>
      </c>
      <c r="F19" s="155"/>
      <c r="G19" s="59"/>
    </row>
    <row r="20" spans="1:7" ht="15.75" customHeight="1">
      <c r="A20" s="42" t="s">
        <v>0</v>
      </c>
      <c r="B20" s="154" t="s">
        <v>1234</v>
      </c>
      <c r="C20" s="43">
        <v>2929560</v>
      </c>
      <c r="D20" s="1" t="s">
        <v>71</v>
      </c>
      <c r="E20" s="45" t="s">
        <v>1258</v>
      </c>
      <c r="F20" s="155"/>
      <c r="G20" s="59"/>
    </row>
    <row r="21" spans="1:7" ht="15.75" customHeight="1">
      <c r="A21" s="42" t="s">
        <v>0</v>
      </c>
      <c r="B21" s="154" t="s">
        <v>1234</v>
      </c>
      <c r="C21" s="43">
        <v>2841353</v>
      </c>
      <c r="D21" s="1" t="s">
        <v>80</v>
      </c>
      <c r="E21" s="45" t="s">
        <v>1259</v>
      </c>
      <c r="F21" s="155"/>
      <c r="G21" s="59"/>
    </row>
    <row r="22" spans="1:7" ht="15.75" customHeight="1">
      <c r="A22" s="42" t="s">
        <v>0</v>
      </c>
      <c r="B22" s="154" t="s">
        <v>1234</v>
      </c>
      <c r="C22" s="43">
        <v>2929553</v>
      </c>
      <c r="D22" s="1" t="s">
        <v>80</v>
      </c>
      <c r="E22" s="45" t="s">
        <v>1260</v>
      </c>
      <c r="F22" s="155"/>
      <c r="G22" s="59"/>
    </row>
    <row r="23" spans="1:7" ht="15.75" customHeight="1">
      <c r="A23" s="42" t="s">
        <v>0</v>
      </c>
      <c r="B23" s="154" t="s">
        <v>1234</v>
      </c>
      <c r="C23" s="43">
        <v>5014845</v>
      </c>
      <c r="D23" s="1" t="s">
        <v>80</v>
      </c>
      <c r="E23" s="45" t="s">
        <v>1261</v>
      </c>
      <c r="F23" s="155"/>
      <c r="G23" s="59"/>
    </row>
    <row r="24" spans="1:7" ht="15.75" customHeight="1">
      <c r="A24" s="42" t="s">
        <v>0</v>
      </c>
      <c r="B24" s="154" t="s">
        <v>1234</v>
      </c>
      <c r="C24" s="43">
        <v>801457</v>
      </c>
      <c r="D24" s="1" t="s">
        <v>71</v>
      </c>
      <c r="E24" s="45" t="s">
        <v>1262</v>
      </c>
      <c r="F24" s="155"/>
      <c r="G24" s="59"/>
    </row>
    <row r="25" spans="1:7" ht="15.75" customHeight="1">
      <c r="A25" s="42" t="s">
        <v>0</v>
      </c>
      <c r="B25" s="154" t="s">
        <v>1234</v>
      </c>
      <c r="C25" s="43">
        <v>2876117</v>
      </c>
      <c r="D25" s="1" t="s">
        <v>83</v>
      </c>
      <c r="E25" s="45" t="s">
        <v>1263</v>
      </c>
      <c r="F25" s="155"/>
      <c r="G25" s="59"/>
    </row>
    <row r="26" spans="1:7" ht="15.75" customHeight="1">
      <c r="A26" s="42" t="s">
        <v>0</v>
      </c>
      <c r="B26" s="154" t="s">
        <v>1234</v>
      </c>
      <c r="C26" s="43">
        <v>753221</v>
      </c>
      <c r="D26" s="1" t="s">
        <v>80</v>
      </c>
      <c r="E26" s="45" t="s">
        <v>1264</v>
      </c>
      <c r="F26" s="155"/>
      <c r="G26" s="59"/>
    </row>
    <row r="27" spans="1:7" ht="15.75" customHeight="1">
      <c r="A27" s="42" t="s">
        <v>0</v>
      </c>
      <c r="B27" s="154" t="s">
        <v>1234</v>
      </c>
      <c r="C27" s="43">
        <v>753200</v>
      </c>
      <c r="D27" s="1" t="s">
        <v>80</v>
      </c>
      <c r="E27" s="45" t="s">
        <v>1265</v>
      </c>
      <c r="F27" s="155"/>
      <c r="G27" s="59"/>
    </row>
    <row r="28" spans="1:7" ht="15.75" customHeight="1">
      <c r="A28" s="42" t="s">
        <v>0</v>
      </c>
      <c r="B28" s="154" t="s">
        <v>1234</v>
      </c>
      <c r="C28" s="43">
        <v>5011686</v>
      </c>
      <c r="D28" s="1" t="s">
        <v>80</v>
      </c>
      <c r="E28" s="49" t="s">
        <v>1266</v>
      </c>
      <c r="F28" s="155"/>
      <c r="G28" s="59"/>
    </row>
    <row r="29" spans="1:7" ht="15.75" customHeight="1">
      <c r="A29" s="42" t="s">
        <v>0</v>
      </c>
      <c r="B29" s="154" t="s">
        <v>1234</v>
      </c>
      <c r="C29" s="43">
        <v>800926</v>
      </c>
      <c r="D29" s="1" t="s">
        <v>80</v>
      </c>
      <c r="E29" s="45" t="s">
        <v>1267</v>
      </c>
      <c r="F29" s="155"/>
      <c r="G29" s="59"/>
    </row>
    <row r="30" spans="1:7" ht="15.75" customHeight="1">
      <c r="A30" s="42" t="s">
        <v>0</v>
      </c>
      <c r="B30" s="154" t="s">
        <v>1234</v>
      </c>
      <c r="C30" s="43">
        <v>2928589</v>
      </c>
      <c r="D30" s="1" t="s">
        <v>83</v>
      </c>
      <c r="E30" s="45" t="s">
        <v>1268</v>
      </c>
      <c r="F30" s="155"/>
      <c r="G30" s="59"/>
    </row>
    <row r="31" spans="1:7" ht="15.75" customHeight="1">
      <c r="A31" s="42" t="s">
        <v>0</v>
      </c>
      <c r="B31" s="154" t="s">
        <v>1234</v>
      </c>
      <c r="C31" s="43">
        <v>2928584</v>
      </c>
      <c r="D31" s="1" t="s">
        <v>101</v>
      </c>
      <c r="E31" s="45" t="s">
        <v>1269</v>
      </c>
      <c r="F31" s="155"/>
      <c r="G31" s="59"/>
    </row>
    <row r="32" spans="1:7" ht="15.75" customHeight="1">
      <c r="A32" s="42" t="s">
        <v>0</v>
      </c>
      <c r="B32" s="154" t="s">
        <v>1234</v>
      </c>
      <c r="C32" s="43">
        <v>753215</v>
      </c>
      <c r="D32" s="1" t="s">
        <v>80</v>
      </c>
      <c r="E32" s="45" t="s">
        <v>1270</v>
      </c>
      <c r="F32" s="155"/>
      <c r="G32" s="59"/>
    </row>
    <row r="33" spans="1:11" ht="15.75" customHeight="1">
      <c r="A33" s="42" t="s">
        <v>0</v>
      </c>
      <c r="B33" s="154" t="s">
        <v>1234</v>
      </c>
      <c r="C33" s="43">
        <v>2391482</v>
      </c>
      <c r="D33" s="1" t="s">
        <v>83</v>
      </c>
      <c r="E33" s="45" t="s">
        <v>1271</v>
      </c>
      <c r="F33" s="155"/>
      <c r="G33" s="59"/>
    </row>
    <row r="34" spans="1:11" ht="15.75" customHeight="1">
      <c r="A34" s="42" t="s">
        <v>0</v>
      </c>
      <c r="B34" s="154" t="s">
        <v>1234</v>
      </c>
      <c r="C34" s="43">
        <v>753069</v>
      </c>
      <c r="D34" s="1" t="s">
        <v>80</v>
      </c>
      <c r="E34" s="45" t="s">
        <v>1272</v>
      </c>
      <c r="F34" s="155"/>
      <c r="G34" s="59"/>
    </row>
    <row r="35" spans="1:11" ht="15.75" customHeight="1">
      <c r="A35" s="42" t="s">
        <v>0</v>
      </c>
      <c r="B35" s="154" t="s">
        <v>1234</v>
      </c>
      <c r="C35" s="43">
        <v>2908954</v>
      </c>
      <c r="D35" s="1" t="s">
        <v>71</v>
      </c>
      <c r="E35" s="45" t="s">
        <v>1273</v>
      </c>
      <c r="F35" s="155"/>
      <c r="G35" s="59"/>
    </row>
    <row r="36" spans="1:11" ht="15.75" customHeight="1">
      <c r="A36" s="42" t="s">
        <v>0</v>
      </c>
      <c r="B36" s="154" t="s">
        <v>1234</v>
      </c>
      <c r="C36" s="43">
        <v>2911568</v>
      </c>
      <c r="D36" s="1" t="s">
        <v>71</v>
      </c>
      <c r="E36" s="45" t="s">
        <v>1274</v>
      </c>
      <c r="F36" s="155"/>
      <c r="G36" s="59"/>
    </row>
    <row r="37" spans="1:11" ht="15.75" customHeight="1">
      <c r="A37" s="42" t="s">
        <v>0</v>
      </c>
      <c r="B37" s="154" t="s">
        <v>1234</v>
      </c>
      <c r="C37" s="43">
        <v>2911571</v>
      </c>
      <c r="D37" s="1" t="s">
        <v>71</v>
      </c>
      <c r="E37" s="45" t="s">
        <v>1275</v>
      </c>
      <c r="F37" s="155"/>
      <c r="G37" s="59"/>
    </row>
    <row r="38" spans="1:11" ht="15.75" customHeight="1">
      <c r="A38" s="42" t="s">
        <v>0</v>
      </c>
      <c r="B38" s="154" t="s">
        <v>1234</v>
      </c>
      <c r="C38" s="43">
        <v>752465</v>
      </c>
      <c r="D38" s="1" t="s">
        <v>71</v>
      </c>
      <c r="E38" s="45" t="s">
        <v>1276</v>
      </c>
      <c r="F38" s="155"/>
      <c r="G38" s="59"/>
    </row>
    <row r="39" spans="1:11" ht="15.75" customHeight="1">
      <c r="A39" s="42" t="s">
        <v>0</v>
      </c>
      <c r="B39" s="154" t="s">
        <v>1234</v>
      </c>
      <c r="C39" s="43">
        <v>2928599</v>
      </c>
      <c r="D39" s="1" t="s">
        <v>80</v>
      </c>
      <c r="E39" s="45" t="s">
        <v>1277</v>
      </c>
      <c r="F39" s="155"/>
      <c r="G39" s="59"/>
    </row>
    <row r="40" spans="1:11" ht="15.75" customHeight="1">
      <c r="A40" s="42" t="s">
        <v>0</v>
      </c>
      <c r="B40" s="154" t="s">
        <v>1234</v>
      </c>
      <c r="C40" s="43">
        <v>2841370</v>
      </c>
      <c r="D40" s="1" t="s">
        <v>71</v>
      </c>
      <c r="E40" s="45" t="s">
        <v>1278</v>
      </c>
      <c r="F40" s="155"/>
      <c r="G40" s="59"/>
    </row>
    <row r="41" spans="1:11" ht="15.75" customHeight="1">
      <c r="A41" s="42" t="s">
        <v>0</v>
      </c>
      <c r="B41" s="154" t="s">
        <v>1234</v>
      </c>
      <c r="C41" s="43">
        <v>2903152</v>
      </c>
      <c r="D41" s="1" t="s">
        <v>80</v>
      </c>
      <c r="E41" s="45" t="s">
        <v>1279</v>
      </c>
      <c r="F41" s="155"/>
      <c r="G41" s="59"/>
    </row>
    <row r="42" spans="1:11" ht="15.75" customHeight="1">
      <c r="A42" s="42" t="s">
        <v>0</v>
      </c>
      <c r="B42" s="154" t="s">
        <v>1234</v>
      </c>
      <c r="C42" s="43">
        <v>2841362</v>
      </c>
      <c r="D42" s="1" t="s">
        <v>83</v>
      </c>
      <c r="E42" s="45" t="s">
        <v>1280</v>
      </c>
      <c r="F42" s="155"/>
      <c r="G42" s="59"/>
    </row>
    <row r="43" spans="1:11" ht="15.75" customHeight="1">
      <c r="A43" s="42" t="s">
        <v>0</v>
      </c>
      <c r="B43" s="154" t="s">
        <v>1234</v>
      </c>
      <c r="C43" s="43">
        <v>2930668</v>
      </c>
      <c r="D43" s="1" t="s">
        <v>80</v>
      </c>
      <c r="E43" s="45" t="s">
        <v>1281</v>
      </c>
      <c r="F43" s="155"/>
      <c r="G43" s="59"/>
    </row>
    <row r="44" spans="1:11" ht="15.75" customHeight="1">
      <c r="A44" s="111" t="s">
        <v>1</v>
      </c>
      <c r="B44" s="151" t="s">
        <v>1282</v>
      </c>
      <c r="C44" s="152" t="s">
        <v>68</v>
      </c>
      <c r="D44" s="152" t="s">
        <v>62</v>
      </c>
      <c r="E44" s="56" t="s">
        <v>69</v>
      </c>
      <c r="F44" s="153"/>
      <c r="G44" s="48" t="s">
        <v>70</v>
      </c>
      <c r="H44" s="78"/>
      <c r="I44" s="78"/>
      <c r="J44" s="78"/>
      <c r="K44" s="78"/>
    </row>
    <row r="45" spans="1:11" ht="15.75" customHeight="1">
      <c r="A45" s="1" t="s">
        <v>1</v>
      </c>
      <c r="B45" s="154" t="s">
        <v>1282</v>
      </c>
      <c r="C45" s="43">
        <v>2928588</v>
      </c>
      <c r="D45" s="1" t="s">
        <v>71</v>
      </c>
      <c r="E45" s="45" t="s">
        <v>1235</v>
      </c>
      <c r="F45" s="155"/>
      <c r="G45" s="48" t="s">
        <v>1236</v>
      </c>
    </row>
    <row r="46" spans="1:11" ht="15.75" customHeight="1">
      <c r="A46" s="1" t="s">
        <v>1</v>
      </c>
      <c r="B46" s="154" t="s">
        <v>1282</v>
      </c>
      <c r="C46" s="43">
        <v>800898</v>
      </c>
      <c r="D46" s="1" t="s">
        <v>80</v>
      </c>
      <c r="E46" s="45" t="s">
        <v>1283</v>
      </c>
      <c r="F46" s="155"/>
      <c r="G46" s="48" t="s">
        <v>1240</v>
      </c>
    </row>
    <row r="47" spans="1:11" ht="15.75" customHeight="1">
      <c r="A47" s="1" t="s">
        <v>1</v>
      </c>
      <c r="B47" s="154" t="s">
        <v>1282</v>
      </c>
      <c r="C47" s="43">
        <v>2873259</v>
      </c>
      <c r="D47" s="1" t="s">
        <v>71</v>
      </c>
      <c r="E47" s="49" t="s">
        <v>1284</v>
      </c>
      <c r="F47" s="155"/>
      <c r="G47" s="48" t="s">
        <v>1285</v>
      </c>
    </row>
    <row r="48" spans="1:11" ht="15.75" customHeight="1">
      <c r="A48" s="1" t="s">
        <v>1</v>
      </c>
      <c r="B48" s="154" t="s">
        <v>1282</v>
      </c>
      <c r="C48" s="43">
        <v>2386413</v>
      </c>
      <c r="D48" s="1" t="s">
        <v>80</v>
      </c>
      <c r="E48" s="45" t="s">
        <v>1286</v>
      </c>
      <c r="F48" s="155"/>
      <c r="G48" s="48" t="s">
        <v>1242</v>
      </c>
    </row>
    <row r="49" spans="1:7" ht="15.75" customHeight="1">
      <c r="A49" s="1" t="s">
        <v>1</v>
      </c>
      <c r="B49" s="154" t="s">
        <v>1282</v>
      </c>
      <c r="C49" s="43">
        <v>801474</v>
      </c>
      <c r="D49" s="1" t="s">
        <v>90</v>
      </c>
      <c r="E49" s="45" t="s">
        <v>1243</v>
      </c>
      <c r="F49" s="155"/>
      <c r="G49" s="50"/>
    </row>
    <row r="50" spans="1:7" ht="15.75" customHeight="1">
      <c r="A50" s="1" t="s">
        <v>1</v>
      </c>
      <c r="B50" s="154" t="s">
        <v>1282</v>
      </c>
      <c r="C50" s="43">
        <v>2928590</v>
      </c>
      <c r="D50" s="1" t="s">
        <v>90</v>
      </c>
      <c r="E50" s="45" t="s">
        <v>1287</v>
      </c>
      <c r="F50" s="155"/>
      <c r="G50" s="50"/>
    </row>
    <row r="51" spans="1:7" ht="15.75" customHeight="1">
      <c r="A51" s="1" t="s">
        <v>1</v>
      </c>
      <c r="B51" s="154" t="s">
        <v>1282</v>
      </c>
      <c r="C51" s="43">
        <v>753101</v>
      </c>
      <c r="D51" s="1" t="s">
        <v>80</v>
      </c>
      <c r="E51" s="45" t="s">
        <v>1251</v>
      </c>
      <c r="G51" s="50"/>
    </row>
    <row r="52" spans="1:7" ht="15.75" customHeight="1">
      <c r="A52" s="1" t="s">
        <v>1</v>
      </c>
      <c r="B52" s="154" t="s">
        <v>1282</v>
      </c>
      <c r="C52" s="43">
        <v>2874192</v>
      </c>
      <c r="D52" s="1" t="s">
        <v>90</v>
      </c>
      <c r="E52" s="45" t="s">
        <v>1288</v>
      </c>
      <c r="G52" s="50"/>
    </row>
    <row r="53" spans="1:7" ht="15.75" customHeight="1">
      <c r="A53" s="1" t="s">
        <v>1</v>
      </c>
      <c r="B53" s="154" t="s">
        <v>1282</v>
      </c>
      <c r="C53" s="43">
        <v>2929566</v>
      </c>
      <c r="D53" s="1" t="s">
        <v>83</v>
      </c>
      <c r="E53" s="45" t="s">
        <v>1255</v>
      </c>
      <c r="F53" s="155"/>
      <c r="G53" s="131"/>
    </row>
    <row r="54" spans="1:7" ht="15.75" customHeight="1">
      <c r="A54" s="1" t="s">
        <v>1</v>
      </c>
      <c r="B54" s="154" t="s">
        <v>1282</v>
      </c>
      <c r="C54" s="43">
        <v>2841360</v>
      </c>
      <c r="D54" s="1" t="s">
        <v>101</v>
      </c>
      <c r="E54" s="45" t="s">
        <v>1289</v>
      </c>
      <c r="F54" s="155"/>
      <c r="G54" s="131"/>
    </row>
    <row r="55" spans="1:7" ht="15.75" customHeight="1">
      <c r="A55" s="1" t="s">
        <v>1</v>
      </c>
      <c r="B55" s="154" t="s">
        <v>1282</v>
      </c>
      <c r="C55" s="43">
        <v>2876178</v>
      </c>
      <c r="D55" s="1" t="s">
        <v>80</v>
      </c>
      <c r="E55" s="45" t="s">
        <v>1290</v>
      </c>
      <c r="F55" s="155"/>
      <c r="G55" s="131"/>
    </row>
    <row r="56" spans="1:7" ht="15.75" customHeight="1">
      <c r="A56" s="1" t="s">
        <v>1</v>
      </c>
      <c r="B56" s="154" t="s">
        <v>1282</v>
      </c>
      <c r="C56" s="43">
        <v>2908964</v>
      </c>
      <c r="D56" s="1" t="s">
        <v>71</v>
      </c>
      <c r="E56" s="45" t="s">
        <v>1291</v>
      </c>
      <c r="F56" s="155"/>
      <c r="G56" s="131"/>
    </row>
    <row r="57" spans="1:7" ht="15.75" customHeight="1">
      <c r="A57" s="1" t="s">
        <v>1</v>
      </c>
      <c r="B57" s="154" t="s">
        <v>1282</v>
      </c>
      <c r="C57" s="43">
        <v>3161741</v>
      </c>
      <c r="D57" s="1" t="s">
        <v>80</v>
      </c>
      <c r="E57" s="49" t="s">
        <v>1292</v>
      </c>
      <c r="F57" s="155"/>
      <c r="G57" s="131"/>
    </row>
    <row r="58" spans="1:7" ht="15.75" customHeight="1">
      <c r="A58" s="1" t="s">
        <v>1</v>
      </c>
      <c r="B58" s="154" t="s">
        <v>1282</v>
      </c>
      <c r="C58" s="43">
        <v>753215</v>
      </c>
      <c r="D58" s="1" t="s">
        <v>80</v>
      </c>
      <c r="E58" s="45" t="s">
        <v>1270</v>
      </c>
      <c r="F58" s="155"/>
      <c r="G58" s="131"/>
    </row>
    <row r="59" spans="1:7" ht="15.75" customHeight="1">
      <c r="A59" s="1" t="s">
        <v>1</v>
      </c>
      <c r="B59" s="154" t="s">
        <v>1282</v>
      </c>
      <c r="C59" s="43">
        <v>779493</v>
      </c>
      <c r="D59" s="1" t="s">
        <v>90</v>
      </c>
      <c r="E59" s="45" t="s">
        <v>1293</v>
      </c>
      <c r="F59" s="155"/>
      <c r="G59" s="131"/>
    </row>
    <row r="60" spans="1:7" ht="15.75" customHeight="1">
      <c r="A60" s="1" t="s">
        <v>1</v>
      </c>
      <c r="B60" s="154" t="s">
        <v>1282</v>
      </c>
      <c r="C60" s="43">
        <v>2900316</v>
      </c>
      <c r="D60" s="1" t="s">
        <v>90</v>
      </c>
      <c r="E60" s="45" t="s">
        <v>1294</v>
      </c>
      <c r="F60" s="155"/>
      <c r="G60" s="131"/>
    </row>
    <row r="61" spans="1:7" ht="15.75" customHeight="1">
      <c r="A61" s="1" t="s">
        <v>1</v>
      </c>
      <c r="B61" s="154" t="s">
        <v>1282</v>
      </c>
      <c r="C61" s="43">
        <v>2929551</v>
      </c>
      <c r="D61" s="1" t="s">
        <v>80</v>
      </c>
      <c r="E61" s="45" t="s">
        <v>1295</v>
      </c>
      <c r="F61" s="155"/>
      <c r="G61" s="131"/>
    </row>
    <row r="62" spans="1:7" ht="15.75" customHeight="1">
      <c r="A62" s="1" t="s">
        <v>1</v>
      </c>
      <c r="B62" s="154" t="s">
        <v>1282</v>
      </c>
      <c r="C62" s="43">
        <v>753078</v>
      </c>
      <c r="D62" s="1" t="s">
        <v>80</v>
      </c>
      <c r="E62" s="49" t="s">
        <v>1296</v>
      </c>
      <c r="F62" s="155"/>
      <c r="G62" s="131"/>
    </row>
    <row r="63" spans="1:7" ht="15.75" customHeight="1">
      <c r="A63" s="1" t="s">
        <v>1</v>
      </c>
      <c r="B63" s="154" t="s">
        <v>1282</v>
      </c>
      <c r="C63" s="43">
        <v>2908954</v>
      </c>
      <c r="D63" s="1" t="s">
        <v>71</v>
      </c>
      <c r="E63" s="45" t="s">
        <v>1273</v>
      </c>
      <c r="F63" s="155"/>
      <c r="G63" s="131"/>
    </row>
    <row r="64" spans="1:7" ht="15.75" customHeight="1">
      <c r="A64" s="1" t="s">
        <v>1</v>
      </c>
      <c r="B64" s="154" t="s">
        <v>1282</v>
      </c>
      <c r="C64" s="43">
        <v>2911570</v>
      </c>
      <c r="D64" s="1" t="s">
        <v>71</v>
      </c>
      <c r="E64" s="45" t="s">
        <v>1297</v>
      </c>
      <c r="F64" s="155"/>
      <c r="G64" s="131"/>
    </row>
    <row r="65" spans="1:11" ht="15.75" customHeight="1">
      <c r="A65" s="1" t="s">
        <v>1</v>
      </c>
      <c r="B65" s="154" t="s">
        <v>1282</v>
      </c>
      <c r="C65" s="43">
        <v>2910529</v>
      </c>
      <c r="D65" s="1" t="s">
        <v>71</v>
      </c>
      <c r="E65" s="45" t="s">
        <v>1298</v>
      </c>
      <c r="F65" s="155"/>
      <c r="G65" s="131"/>
    </row>
    <row r="66" spans="1:11" ht="15.75" customHeight="1">
      <c r="A66" s="1" t="s">
        <v>1</v>
      </c>
      <c r="B66" s="154" t="s">
        <v>1282</v>
      </c>
      <c r="C66" s="43">
        <v>2391483</v>
      </c>
      <c r="D66" s="1" t="s">
        <v>80</v>
      </c>
      <c r="E66" s="45" t="s">
        <v>1299</v>
      </c>
      <c r="F66" s="156" t="s">
        <v>1289</v>
      </c>
      <c r="G66" s="131"/>
    </row>
    <row r="67" spans="1:11" ht="15.75" customHeight="1">
      <c r="A67" s="1" t="s">
        <v>1</v>
      </c>
      <c r="B67" s="154" t="s">
        <v>1282</v>
      </c>
      <c r="C67" s="43">
        <v>2928599</v>
      </c>
      <c r="D67" s="1" t="s">
        <v>80</v>
      </c>
      <c r="E67" s="45" t="s">
        <v>1277</v>
      </c>
      <c r="F67" s="156"/>
      <c r="G67" s="131"/>
    </row>
    <row r="68" spans="1:11" ht="15.75" customHeight="1">
      <c r="A68" s="1" t="s">
        <v>1</v>
      </c>
      <c r="B68" s="154" t="s">
        <v>1282</v>
      </c>
      <c r="C68" s="43">
        <v>3103280</v>
      </c>
      <c r="D68" s="1" t="s">
        <v>80</v>
      </c>
      <c r="E68" s="157" t="s">
        <v>1300</v>
      </c>
      <c r="F68" s="156"/>
      <c r="G68" s="131"/>
    </row>
    <row r="69" spans="1:11" ht="15.75" customHeight="1">
      <c r="A69" s="1" t="s">
        <v>1</v>
      </c>
      <c r="B69" s="154" t="s">
        <v>1282</v>
      </c>
      <c r="C69" s="43">
        <v>2388472</v>
      </c>
      <c r="D69" s="1" t="s">
        <v>90</v>
      </c>
      <c r="E69" s="45" t="s">
        <v>1301</v>
      </c>
      <c r="F69" s="1" t="s">
        <v>135</v>
      </c>
      <c r="G69" s="131"/>
    </row>
    <row r="70" spans="1:11" ht="15.75" customHeight="1">
      <c r="A70" s="1" t="s">
        <v>1</v>
      </c>
      <c r="B70" s="154" t="s">
        <v>1282</v>
      </c>
      <c r="C70" s="43">
        <v>752461</v>
      </c>
      <c r="D70" s="1" t="s">
        <v>71</v>
      </c>
      <c r="E70" s="45" t="s">
        <v>1302</v>
      </c>
      <c r="F70" s="156"/>
      <c r="G70" s="131"/>
    </row>
    <row r="71" spans="1:11" ht="15.75" customHeight="1">
      <c r="A71" s="1" t="s">
        <v>1</v>
      </c>
      <c r="B71" s="154" t="s">
        <v>1282</v>
      </c>
      <c r="C71" s="43">
        <v>753070</v>
      </c>
      <c r="D71" s="1" t="s">
        <v>80</v>
      </c>
      <c r="E71" s="45" t="s">
        <v>1303</v>
      </c>
      <c r="F71" s="156"/>
      <c r="G71" s="131"/>
    </row>
    <row r="72" spans="1:11" ht="15.75" customHeight="1">
      <c r="A72" s="1" t="s">
        <v>1</v>
      </c>
      <c r="B72" s="154" t="s">
        <v>1282</v>
      </c>
      <c r="C72" s="43">
        <v>2902080</v>
      </c>
      <c r="D72" s="1" t="s">
        <v>80</v>
      </c>
      <c r="E72" s="45" t="s">
        <v>1304</v>
      </c>
      <c r="F72" s="156"/>
      <c r="G72" s="131"/>
    </row>
    <row r="73" spans="1:11" ht="15.75" customHeight="1">
      <c r="A73" s="1" t="s">
        <v>1</v>
      </c>
      <c r="B73" s="154" t="s">
        <v>1282</v>
      </c>
      <c r="C73" s="43">
        <v>753217</v>
      </c>
      <c r="D73" s="1" t="s">
        <v>80</v>
      </c>
      <c r="E73" s="45" t="s">
        <v>1305</v>
      </c>
      <c r="F73" s="156"/>
      <c r="G73" s="131"/>
    </row>
    <row r="74" spans="1:11" ht="15.75" customHeight="1">
      <c r="A74" s="1" t="s">
        <v>1</v>
      </c>
      <c r="B74" s="154" t="s">
        <v>1282</v>
      </c>
      <c r="C74" s="43">
        <v>2930668</v>
      </c>
      <c r="D74" s="1" t="s">
        <v>80</v>
      </c>
      <c r="E74" s="45" t="s">
        <v>1281</v>
      </c>
      <c r="F74" s="156"/>
      <c r="G74" s="131"/>
    </row>
    <row r="75" spans="1:11" ht="15.75" customHeight="1">
      <c r="A75" s="111" t="s">
        <v>2</v>
      </c>
      <c r="B75" s="151" t="s">
        <v>1306</v>
      </c>
      <c r="C75" s="152" t="s">
        <v>68</v>
      </c>
      <c r="D75" s="152" t="s">
        <v>62</v>
      </c>
      <c r="E75" s="56" t="s">
        <v>69</v>
      </c>
      <c r="F75" s="153"/>
      <c r="G75" s="48" t="s">
        <v>70</v>
      </c>
      <c r="H75" s="78"/>
      <c r="I75" s="78"/>
      <c r="J75" s="78"/>
      <c r="K75" s="78"/>
    </row>
    <row r="76" spans="1:11" ht="15.75" customHeight="1">
      <c r="A76" s="132" t="s">
        <v>2</v>
      </c>
      <c r="B76" s="154" t="s">
        <v>1306</v>
      </c>
      <c r="C76" s="43">
        <v>2931603</v>
      </c>
      <c r="D76" s="1" t="s">
        <v>80</v>
      </c>
      <c r="E76" s="45" t="s">
        <v>1307</v>
      </c>
      <c r="G76" s="48" t="s">
        <v>1308</v>
      </c>
    </row>
    <row r="77" spans="1:11" ht="15.75" customHeight="1">
      <c r="A77" s="132" t="s">
        <v>2</v>
      </c>
      <c r="B77" s="154" t="s">
        <v>1306</v>
      </c>
      <c r="C77" s="43">
        <v>2415000</v>
      </c>
      <c r="D77" s="1" t="s">
        <v>71</v>
      </c>
      <c r="E77" s="49" t="s">
        <v>1309</v>
      </c>
      <c r="G77" s="48" t="s">
        <v>1244</v>
      </c>
    </row>
    <row r="78" spans="1:11" ht="15.75" customHeight="1">
      <c r="A78" s="132" t="s">
        <v>2</v>
      </c>
      <c r="B78" s="154" t="s">
        <v>1306</v>
      </c>
      <c r="C78" s="43">
        <v>2929559</v>
      </c>
      <c r="D78" s="1" t="s">
        <v>80</v>
      </c>
      <c r="E78" s="45" t="s">
        <v>1310</v>
      </c>
      <c r="G78" s="48" t="s">
        <v>1240</v>
      </c>
    </row>
    <row r="79" spans="1:11" ht="15.75" customHeight="1">
      <c r="A79" s="132" t="s">
        <v>2</v>
      </c>
      <c r="B79" s="154" t="s">
        <v>1306</v>
      </c>
      <c r="C79" s="43">
        <v>2400386</v>
      </c>
      <c r="D79" s="1" t="s">
        <v>90</v>
      </c>
      <c r="E79" s="45" t="s">
        <v>1311</v>
      </c>
      <c r="G79" s="131"/>
    </row>
    <row r="80" spans="1:11" ht="15.75" customHeight="1">
      <c r="A80" s="132" t="s">
        <v>2</v>
      </c>
      <c r="B80" s="154" t="s">
        <v>1306</v>
      </c>
      <c r="C80" s="43">
        <v>3201142</v>
      </c>
      <c r="D80" s="1" t="s">
        <v>80</v>
      </c>
      <c r="E80" s="49" t="s">
        <v>1312</v>
      </c>
      <c r="F80" s="155"/>
      <c r="G80" s="50"/>
    </row>
    <row r="81" spans="1:7" ht="15.75" customHeight="1">
      <c r="A81" s="132" t="s">
        <v>2</v>
      </c>
      <c r="B81" s="154" t="s">
        <v>1306</v>
      </c>
      <c r="C81" s="43">
        <v>801464</v>
      </c>
      <c r="D81" s="1" t="s">
        <v>71</v>
      </c>
      <c r="E81" s="45" t="s">
        <v>1313</v>
      </c>
      <c r="F81" s="155"/>
      <c r="G81" s="131"/>
    </row>
    <row r="82" spans="1:7" ht="15.75" customHeight="1">
      <c r="A82" s="132" t="s">
        <v>2</v>
      </c>
      <c r="B82" s="154" t="s">
        <v>1306</v>
      </c>
      <c r="C82" s="43">
        <v>2931602</v>
      </c>
      <c r="D82" s="1" t="s">
        <v>101</v>
      </c>
      <c r="E82" s="49" t="s">
        <v>1237</v>
      </c>
      <c r="G82" s="131"/>
    </row>
    <row r="83" spans="1:7" ht="15.75" customHeight="1">
      <c r="A83" s="132" t="s">
        <v>2</v>
      </c>
      <c r="B83" s="154" t="s">
        <v>1306</v>
      </c>
      <c r="C83" s="43">
        <v>2877214</v>
      </c>
      <c r="D83" s="1" t="s">
        <v>71</v>
      </c>
      <c r="E83" s="45" t="s">
        <v>1314</v>
      </c>
      <c r="G83" s="131"/>
    </row>
    <row r="84" spans="1:7" ht="15.75" customHeight="1">
      <c r="A84" s="132" t="s">
        <v>2</v>
      </c>
      <c r="B84" s="154" t="s">
        <v>1306</v>
      </c>
      <c r="C84" s="43">
        <v>753229</v>
      </c>
      <c r="D84" s="1" t="s">
        <v>71</v>
      </c>
      <c r="E84" s="45" t="s">
        <v>1241</v>
      </c>
      <c r="G84" s="131"/>
    </row>
    <row r="85" spans="1:7" ht="15.75" customHeight="1">
      <c r="A85" s="132" t="s">
        <v>2</v>
      </c>
      <c r="B85" s="154" t="s">
        <v>1306</v>
      </c>
      <c r="C85" s="43">
        <v>800463</v>
      </c>
      <c r="D85" s="1" t="s">
        <v>83</v>
      </c>
      <c r="E85" s="45" t="s">
        <v>1315</v>
      </c>
      <c r="G85" s="131"/>
    </row>
    <row r="86" spans="1:7" ht="15.75" customHeight="1">
      <c r="A86" s="132" t="s">
        <v>2</v>
      </c>
      <c r="B86" s="154" t="s">
        <v>1306</v>
      </c>
      <c r="C86" s="43">
        <v>2908959</v>
      </c>
      <c r="D86" s="1" t="s">
        <v>90</v>
      </c>
      <c r="E86" s="45" t="s">
        <v>1245</v>
      </c>
      <c r="G86" s="50"/>
    </row>
    <row r="87" spans="1:7" ht="15.75" customHeight="1">
      <c r="A87" s="132" t="s">
        <v>2</v>
      </c>
      <c r="B87" s="154" t="s">
        <v>1306</v>
      </c>
      <c r="C87" s="43">
        <v>753094</v>
      </c>
      <c r="D87" s="1" t="s">
        <v>71</v>
      </c>
      <c r="E87" s="45" t="s">
        <v>1247</v>
      </c>
      <c r="G87" s="131"/>
    </row>
    <row r="88" spans="1:7" ht="15.75" customHeight="1">
      <c r="A88" s="132" t="s">
        <v>2</v>
      </c>
      <c r="B88" s="154" t="s">
        <v>1306</v>
      </c>
      <c r="C88" s="43">
        <v>801458</v>
      </c>
      <c r="D88" s="1" t="s">
        <v>83</v>
      </c>
      <c r="E88" s="45" t="s">
        <v>1249</v>
      </c>
      <c r="F88" s="155"/>
      <c r="G88" s="131"/>
    </row>
    <row r="89" spans="1:7" ht="15.75" customHeight="1">
      <c r="A89" s="132" t="s">
        <v>2</v>
      </c>
      <c r="B89" s="154" t="s">
        <v>1306</v>
      </c>
      <c r="C89" s="43">
        <v>2929567</v>
      </c>
      <c r="D89" s="1" t="s">
        <v>83</v>
      </c>
      <c r="E89" s="45" t="s">
        <v>1316</v>
      </c>
      <c r="F89" s="155"/>
      <c r="G89" s="131"/>
    </row>
    <row r="90" spans="1:7" ht="15.75" customHeight="1">
      <c r="A90" s="132" t="s">
        <v>2</v>
      </c>
      <c r="B90" s="154" t="s">
        <v>1306</v>
      </c>
      <c r="C90" s="43">
        <v>2928582</v>
      </c>
      <c r="D90" s="1" t="s">
        <v>83</v>
      </c>
      <c r="E90" s="45" t="s">
        <v>1256</v>
      </c>
      <c r="F90" s="155"/>
      <c r="G90" s="131"/>
    </row>
    <row r="91" spans="1:7" ht="15.75" customHeight="1">
      <c r="A91" s="132" t="s">
        <v>2</v>
      </c>
      <c r="B91" s="154" t="s">
        <v>1306</v>
      </c>
      <c r="C91" s="43">
        <v>2873260</v>
      </c>
      <c r="D91" s="1" t="s">
        <v>71</v>
      </c>
      <c r="E91" s="45" t="s">
        <v>1317</v>
      </c>
      <c r="F91" s="155"/>
      <c r="G91" s="131"/>
    </row>
    <row r="92" spans="1:7" ht="15.75" customHeight="1">
      <c r="A92" s="132" t="s">
        <v>2</v>
      </c>
      <c r="B92" s="154" t="s">
        <v>1306</v>
      </c>
      <c r="C92" s="43">
        <v>2437180</v>
      </c>
      <c r="D92" s="1" t="s">
        <v>71</v>
      </c>
      <c r="E92" s="49" t="s">
        <v>1318</v>
      </c>
      <c r="F92" s="155"/>
      <c r="G92" s="131"/>
    </row>
    <row r="93" spans="1:7" ht="15.75" customHeight="1">
      <c r="A93" s="132" t="s">
        <v>2</v>
      </c>
      <c r="B93" s="154" t="s">
        <v>1306</v>
      </c>
      <c r="C93" s="43">
        <v>2929560</v>
      </c>
      <c r="D93" s="1" t="s">
        <v>71</v>
      </c>
      <c r="E93" s="45" t="s">
        <v>1258</v>
      </c>
      <c r="F93" s="155"/>
      <c r="G93" s="131"/>
    </row>
    <row r="94" spans="1:7" ht="15.75" customHeight="1">
      <c r="A94" s="132" t="s">
        <v>2</v>
      </c>
      <c r="B94" s="154" t="s">
        <v>1306</v>
      </c>
      <c r="C94" s="43">
        <v>5036508</v>
      </c>
      <c r="D94" s="1" t="s">
        <v>83</v>
      </c>
      <c r="E94" s="49" t="s">
        <v>1319</v>
      </c>
      <c r="F94" s="155"/>
      <c r="G94" s="131"/>
    </row>
    <row r="95" spans="1:7" ht="15.75" customHeight="1">
      <c r="A95" s="132" t="s">
        <v>2</v>
      </c>
      <c r="B95" s="154" t="s">
        <v>1306</v>
      </c>
      <c r="C95" s="43">
        <v>2841371</v>
      </c>
      <c r="D95" s="1" t="s">
        <v>83</v>
      </c>
      <c r="E95" s="45" t="s">
        <v>1320</v>
      </c>
      <c r="F95" s="155"/>
      <c r="G95" s="131"/>
    </row>
    <row r="96" spans="1:7" ht="15.75" customHeight="1">
      <c r="A96" s="132" t="s">
        <v>2</v>
      </c>
      <c r="B96" s="154" t="s">
        <v>1306</v>
      </c>
      <c r="C96" s="43">
        <v>2410066</v>
      </c>
      <c r="D96" s="1" t="s">
        <v>90</v>
      </c>
      <c r="E96" s="49" t="s">
        <v>1321</v>
      </c>
      <c r="F96" s="155"/>
      <c r="G96" s="131"/>
    </row>
    <row r="97" spans="1:7" ht="15.75" customHeight="1">
      <c r="A97" s="132" t="s">
        <v>2</v>
      </c>
      <c r="B97" s="154" t="s">
        <v>1306</v>
      </c>
      <c r="C97" s="43">
        <v>753224</v>
      </c>
      <c r="D97" s="1" t="s">
        <v>80</v>
      </c>
      <c r="E97" s="45" t="s">
        <v>1322</v>
      </c>
      <c r="F97" s="155"/>
      <c r="G97" s="131"/>
    </row>
    <row r="98" spans="1:7" ht="15.75" customHeight="1">
      <c r="A98" s="132" t="s">
        <v>2</v>
      </c>
      <c r="B98" s="154" t="s">
        <v>1306</v>
      </c>
      <c r="C98" s="43">
        <v>2901334</v>
      </c>
      <c r="D98" s="1" t="s">
        <v>101</v>
      </c>
      <c r="E98" s="45" t="s">
        <v>1323</v>
      </c>
      <c r="F98" s="155"/>
      <c r="G98" s="131"/>
    </row>
    <row r="99" spans="1:7" ht="15.75" customHeight="1">
      <c r="A99" s="132" t="s">
        <v>2</v>
      </c>
      <c r="B99" s="154" t="s">
        <v>1306</v>
      </c>
      <c r="C99" s="43">
        <v>2391491</v>
      </c>
      <c r="D99" s="1" t="s">
        <v>83</v>
      </c>
      <c r="E99" s="45" t="s">
        <v>1324</v>
      </c>
      <c r="F99" s="155"/>
      <c r="G99" s="131"/>
    </row>
    <row r="100" spans="1:7" ht="15.75" customHeight="1">
      <c r="A100" s="132" t="s">
        <v>2</v>
      </c>
      <c r="B100" s="154" t="s">
        <v>1306</v>
      </c>
      <c r="C100" s="43">
        <v>753203</v>
      </c>
      <c r="D100" s="1" t="s">
        <v>71</v>
      </c>
      <c r="E100" s="49" t="s">
        <v>1325</v>
      </c>
      <c r="F100" s="155"/>
      <c r="G100" s="131"/>
    </row>
    <row r="101" spans="1:7" ht="15.75" customHeight="1">
      <c r="A101" s="132" t="s">
        <v>2</v>
      </c>
      <c r="B101" s="154" t="s">
        <v>1306</v>
      </c>
      <c r="C101" s="43">
        <v>3143814</v>
      </c>
      <c r="D101" s="1" t="s">
        <v>80</v>
      </c>
      <c r="E101" s="45" t="s">
        <v>1326</v>
      </c>
      <c r="F101" s="155"/>
      <c r="G101" s="131"/>
    </row>
    <row r="102" spans="1:7" ht="15.75" customHeight="1">
      <c r="A102" s="132" t="s">
        <v>2</v>
      </c>
      <c r="B102" s="154" t="s">
        <v>1306</v>
      </c>
      <c r="C102" s="43">
        <v>2873193</v>
      </c>
      <c r="D102" s="1" t="s">
        <v>80</v>
      </c>
      <c r="E102" s="45" t="s">
        <v>1327</v>
      </c>
      <c r="F102" s="155"/>
      <c r="G102" s="131"/>
    </row>
    <row r="103" spans="1:7" ht="15.75" customHeight="1">
      <c r="A103" s="132" t="s">
        <v>2</v>
      </c>
      <c r="B103" s="154" t="s">
        <v>1306</v>
      </c>
      <c r="C103" s="43">
        <v>753220</v>
      </c>
      <c r="D103" s="1" t="s">
        <v>90</v>
      </c>
      <c r="E103" s="49" t="s">
        <v>1328</v>
      </c>
      <c r="F103" s="155"/>
      <c r="G103" s="131"/>
    </row>
    <row r="104" spans="1:7" ht="15.75" customHeight="1">
      <c r="A104" s="132" t="s">
        <v>2</v>
      </c>
      <c r="B104" s="154" t="s">
        <v>1306</v>
      </c>
      <c r="C104" s="43">
        <v>753073</v>
      </c>
      <c r="D104" s="1" t="s">
        <v>83</v>
      </c>
      <c r="E104" s="45" t="s">
        <v>1329</v>
      </c>
      <c r="F104" s="155"/>
      <c r="G104" s="131"/>
    </row>
    <row r="105" spans="1:7" ht="15.75" customHeight="1">
      <c r="A105" s="132" t="s">
        <v>2</v>
      </c>
      <c r="B105" s="154" t="s">
        <v>1306</v>
      </c>
      <c r="C105" s="43">
        <v>2874152</v>
      </c>
      <c r="D105" s="1" t="s">
        <v>80</v>
      </c>
      <c r="E105" s="45" t="s">
        <v>1330</v>
      </c>
      <c r="F105" s="155"/>
      <c r="G105" s="131"/>
    </row>
    <row r="106" spans="1:7" ht="15.75" customHeight="1">
      <c r="A106" s="132" t="s">
        <v>2</v>
      </c>
      <c r="B106" s="154" t="s">
        <v>1306</v>
      </c>
      <c r="C106" s="43">
        <v>2929551</v>
      </c>
      <c r="D106" s="1" t="s">
        <v>80</v>
      </c>
      <c r="E106" s="45" t="s">
        <v>1295</v>
      </c>
      <c r="F106" s="155"/>
      <c r="G106" s="131"/>
    </row>
    <row r="107" spans="1:7" ht="15.75" customHeight="1">
      <c r="A107" s="132" t="s">
        <v>2</v>
      </c>
      <c r="B107" s="154" t="s">
        <v>1306</v>
      </c>
      <c r="C107" s="43">
        <v>753093</v>
      </c>
      <c r="D107" s="1" t="s">
        <v>80</v>
      </c>
      <c r="E107" s="45" t="s">
        <v>1331</v>
      </c>
      <c r="F107" s="155"/>
      <c r="G107" s="131"/>
    </row>
    <row r="108" spans="1:7" ht="15.75" customHeight="1">
      <c r="A108" s="132" t="s">
        <v>2</v>
      </c>
      <c r="B108" s="154" t="s">
        <v>1306</v>
      </c>
      <c r="C108" s="43">
        <v>2908954</v>
      </c>
      <c r="D108" s="1" t="s">
        <v>71</v>
      </c>
      <c r="E108" s="45" t="s">
        <v>1273</v>
      </c>
      <c r="F108" s="155"/>
      <c r="G108" s="131"/>
    </row>
    <row r="109" spans="1:7" ht="15.75" customHeight="1">
      <c r="A109" s="132" t="s">
        <v>2</v>
      </c>
      <c r="B109" s="154" t="s">
        <v>1306</v>
      </c>
      <c r="C109" s="43">
        <v>2911568</v>
      </c>
      <c r="D109" s="1" t="s">
        <v>71</v>
      </c>
      <c r="E109" s="45" t="s">
        <v>1274</v>
      </c>
      <c r="F109" s="155"/>
      <c r="G109" s="131"/>
    </row>
    <row r="110" spans="1:7" ht="15.75" customHeight="1">
      <c r="A110" s="132" t="s">
        <v>2</v>
      </c>
      <c r="B110" s="154" t="s">
        <v>1306</v>
      </c>
      <c r="C110" s="43">
        <v>2911571</v>
      </c>
      <c r="D110" s="1" t="s">
        <v>71</v>
      </c>
      <c r="E110" s="45" t="s">
        <v>1275</v>
      </c>
      <c r="F110" s="155"/>
      <c r="G110" s="131"/>
    </row>
    <row r="111" spans="1:7" ht="15.75" customHeight="1">
      <c r="A111" s="132" t="s">
        <v>2</v>
      </c>
      <c r="B111" s="154" t="s">
        <v>1306</v>
      </c>
      <c r="C111" s="43">
        <v>2432277</v>
      </c>
      <c r="D111" s="1" t="s">
        <v>101</v>
      </c>
      <c r="E111" s="49" t="s">
        <v>1332</v>
      </c>
      <c r="F111" s="155"/>
      <c r="G111" s="131"/>
    </row>
    <row r="112" spans="1:7" ht="15.75" customHeight="1">
      <c r="A112" s="132" t="s">
        <v>2</v>
      </c>
      <c r="B112" s="154" t="s">
        <v>1306</v>
      </c>
      <c r="C112" s="43">
        <v>752459</v>
      </c>
      <c r="D112" s="1" t="s">
        <v>83</v>
      </c>
      <c r="E112" s="45" t="s">
        <v>1333</v>
      </c>
      <c r="F112" s="155"/>
      <c r="G112" s="131"/>
    </row>
    <row r="113" spans="1:11" ht="15.75" customHeight="1">
      <c r="A113" s="132" t="s">
        <v>2</v>
      </c>
      <c r="B113" s="154" t="s">
        <v>1306</v>
      </c>
      <c r="C113" s="43">
        <v>753072</v>
      </c>
      <c r="D113" s="1" t="s">
        <v>71</v>
      </c>
      <c r="E113" s="45" t="s">
        <v>1334</v>
      </c>
      <c r="F113" s="155"/>
      <c r="G113" s="131"/>
    </row>
    <row r="114" spans="1:11" ht="15.75" customHeight="1">
      <c r="A114" s="132" t="s">
        <v>2</v>
      </c>
      <c r="B114" s="154" t="s">
        <v>1306</v>
      </c>
      <c r="C114" s="43">
        <v>801461</v>
      </c>
      <c r="D114" s="1" t="s">
        <v>71</v>
      </c>
      <c r="E114" s="49" t="s">
        <v>1335</v>
      </c>
      <c r="F114" s="155"/>
      <c r="G114" s="131"/>
    </row>
    <row r="115" spans="1:11" ht="15.75" customHeight="1">
      <c r="A115" s="132" t="s">
        <v>2</v>
      </c>
      <c r="B115" s="154" t="s">
        <v>1306</v>
      </c>
      <c r="C115" s="43">
        <v>2210175</v>
      </c>
      <c r="D115" s="1" t="s">
        <v>71</v>
      </c>
      <c r="E115" s="45" t="s">
        <v>1336</v>
      </c>
      <c r="F115" s="155"/>
      <c r="G115" s="131"/>
    </row>
    <row r="116" spans="1:11" ht="15.75" customHeight="1">
      <c r="A116" s="132" t="s">
        <v>2</v>
      </c>
      <c r="B116" s="154" t="s">
        <v>1306</v>
      </c>
      <c r="C116" s="43">
        <v>2910528</v>
      </c>
      <c r="D116" s="1" t="s">
        <v>71</v>
      </c>
      <c r="E116" s="45" t="s">
        <v>1337</v>
      </c>
      <c r="F116" s="155"/>
      <c r="G116" s="131"/>
    </row>
    <row r="117" spans="1:11" ht="15.75" customHeight="1">
      <c r="A117" s="132" t="s">
        <v>2</v>
      </c>
      <c r="B117" s="154" t="s">
        <v>1306</v>
      </c>
      <c r="C117" s="43">
        <v>752465</v>
      </c>
      <c r="D117" s="1" t="s">
        <v>71</v>
      </c>
      <c r="E117" s="45" t="s">
        <v>1276</v>
      </c>
      <c r="F117" s="155"/>
      <c r="G117" s="131"/>
    </row>
    <row r="118" spans="1:11" ht="15.75" customHeight="1">
      <c r="A118" s="132" t="s">
        <v>2</v>
      </c>
      <c r="B118" s="154" t="s">
        <v>1306</v>
      </c>
      <c r="C118" s="43">
        <v>753081</v>
      </c>
      <c r="D118" s="1" t="s">
        <v>83</v>
      </c>
      <c r="E118" s="45" t="s">
        <v>1338</v>
      </c>
      <c r="F118" s="155"/>
      <c r="G118" s="131"/>
    </row>
    <row r="119" spans="1:11" ht="15.75" customHeight="1">
      <c r="A119" s="132" t="s">
        <v>2</v>
      </c>
      <c r="B119" s="154" t="s">
        <v>1306</v>
      </c>
      <c r="C119" s="43">
        <v>2432281</v>
      </c>
      <c r="D119" s="1" t="s">
        <v>101</v>
      </c>
      <c r="E119" s="49" t="s">
        <v>1339</v>
      </c>
      <c r="F119" s="155"/>
      <c r="G119" s="131"/>
    </row>
    <row r="120" spans="1:11" ht="15.75" customHeight="1">
      <c r="A120" s="132" t="s">
        <v>2</v>
      </c>
      <c r="B120" s="154" t="s">
        <v>1306</v>
      </c>
      <c r="C120" s="43">
        <v>753068</v>
      </c>
      <c r="D120" s="1" t="s">
        <v>83</v>
      </c>
      <c r="E120" s="45" t="s">
        <v>1340</v>
      </c>
      <c r="F120" s="155"/>
      <c r="G120" s="131"/>
    </row>
    <row r="121" spans="1:11" ht="15.75" customHeight="1">
      <c r="A121" s="132" t="s">
        <v>2</v>
      </c>
      <c r="B121" s="154" t="s">
        <v>1306</v>
      </c>
      <c r="C121" s="43">
        <v>2931592</v>
      </c>
      <c r="D121" s="1" t="s">
        <v>83</v>
      </c>
      <c r="E121" s="45" t="s">
        <v>1341</v>
      </c>
      <c r="F121" s="155"/>
      <c r="G121" s="131"/>
    </row>
    <row r="122" spans="1:11" ht="15.75" customHeight="1">
      <c r="A122" s="111" t="s">
        <v>3</v>
      </c>
      <c r="B122" s="151" t="s">
        <v>1342</v>
      </c>
      <c r="C122" s="152" t="s">
        <v>68</v>
      </c>
      <c r="D122" s="152" t="s">
        <v>62</v>
      </c>
      <c r="E122" s="56" t="s">
        <v>69</v>
      </c>
      <c r="F122" s="153"/>
      <c r="G122" s="48" t="s">
        <v>70</v>
      </c>
      <c r="H122" s="78"/>
      <c r="I122" s="78"/>
      <c r="J122" s="78"/>
      <c r="K122" s="78"/>
    </row>
    <row r="123" spans="1:11" ht="15.75" customHeight="1">
      <c r="A123" s="1" t="s">
        <v>3</v>
      </c>
      <c r="B123" s="154" t="s">
        <v>1342</v>
      </c>
      <c r="C123" s="43">
        <v>2931603</v>
      </c>
      <c r="D123" s="1" t="s">
        <v>80</v>
      </c>
      <c r="E123" s="45" t="s">
        <v>1307</v>
      </c>
      <c r="G123" s="48" t="s">
        <v>1240</v>
      </c>
    </row>
    <row r="124" spans="1:11" ht="15.75" customHeight="1">
      <c r="A124" s="1" t="s">
        <v>3</v>
      </c>
      <c r="B124" s="154" t="s">
        <v>1342</v>
      </c>
      <c r="C124" s="43">
        <v>2908957</v>
      </c>
      <c r="D124" s="1" t="s">
        <v>83</v>
      </c>
      <c r="E124" s="45" t="s">
        <v>1343</v>
      </c>
      <c r="G124" s="48" t="s">
        <v>1244</v>
      </c>
    </row>
    <row r="125" spans="1:11" ht="15.75" customHeight="1">
      <c r="A125" s="1" t="s">
        <v>3</v>
      </c>
      <c r="B125" s="154" t="s">
        <v>1342</v>
      </c>
      <c r="C125" s="43">
        <v>801464</v>
      </c>
      <c r="D125" s="1" t="s">
        <v>71</v>
      </c>
      <c r="E125" s="45" t="s">
        <v>1313</v>
      </c>
      <c r="G125" s="131"/>
    </row>
    <row r="126" spans="1:11" ht="15.75" customHeight="1">
      <c r="A126" s="1" t="s">
        <v>3</v>
      </c>
      <c r="B126" s="154" t="s">
        <v>1342</v>
      </c>
      <c r="C126" s="43">
        <v>2931602</v>
      </c>
      <c r="D126" s="1" t="s">
        <v>101</v>
      </c>
      <c r="E126" s="49" t="s">
        <v>1237</v>
      </c>
      <c r="G126" s="131"/>
    </row>
    <row r="127" spans="1:11" ht="15.75" customHeight="1">
      <c r="A127" s="1" t="s">
        <v>3</v>
      </c>
      <c r="B127" s="154" t="s">
        <v>1342</v>
      </c>
      <c r="C127" s="43">
        <v>800463</v>
      </c>
      <c r="D127" s="1" t="s">
        <v>83</v>
      </c>
      <c r="E127" s="45" t="s">
        <v>1315</v>
      </c>
      <c r="G127" s="131"/>
    </row>
    <row r="128" spans="1:11" ht="15.75" customHeight="1">
      <c r="A128" s="1" t="s">
        <v>3</v>
      </c>
      <c r="B128" s="154" t="s">
        <v>1342</v>
      </c>
      <c r="C128" s="43">
        <v>2908959</v>
      </c>
      <c r="D128" s="1" t="s">
        <v>90</v>
      </c>
      <c r="E128" s="45" t="s">
        <v>1245</v>
      </c>
      <c r="G128" s="131"/>
    </row>
    <row r="129" spans="1:7" ht="15.75" customHeight="1">
      <c r="A129" s="1" t="s">
        <v>3</v>
      </c>
      <c r="B129" s="154" t="s">
        <v>1342</v>
      </c>
      <c r="C129" s="43">
        <v>752464</v>
      </c>
      <c r="D129" s="1" t="s">
        <v>83</v>
      </c>
      <c r="E129" s="49" t="s">
        <v>1344</v>
      </c>
      <c r="G129" s="131"/>
    </row>
    <row r="130" spans="1:7" ht="15.75" customHeight="1">
      <c r="A130" s="1" t="s">
        <v>3</v>
      </c>
      <c r="B130" s="154" t="s">
        <v>1342</v>
      </c>
      <c r="C130" s="43">
        <v>2282124</v>
      </c>
      <c r="D130" s="1" t="s">
        <v>83</v>
      </c>
      <c r="E130" s="45" t="s">
        <v>1345</v>
      </c>
      <c r="G130" s="131"/>
    </row>
    <row r="131" spans="1:7" ht="15.75" customHeight="1">
      <c r="A131" s="1" t="s">
        <v>3</v>
      </c>
      <c r="B131" s="154" t="s">
        <v>1342</v>
      </c>
      <c r="C131" s="43">
        <v>2928582</v>
      </c>
      <c r="D131" s="1" t="s">
        <v>83</v>
      </c>
      <c r="E131" s="45" t="s">
        <v>1256</v>
      </c>
      <c r="F131" s="155"/>
      <c r="G131" s="131"/>
    </row>
    <row r="132" spans="1:7" ht="15.75" customHeight="1">
      <c r="A132" s="1" t="s">
        <v>3</v>
      </c>
      <c r="B132" s="154" t="s">
        <v>1342</v>
      </c>
      <c r="C132" s="43">
        <v>748851</v>
      </c>
      <c r="D132" s="1" t="s">
        <v>80</v>
      </c>
      <c r="E132" s="45" t="s">
        <v>1346</v>
      </c>
      <c r="F132" s="155"/>
      <c r="G132" s="131"/>
    </row>
    <row r="133" spans="1:7" ht="15.75" customHeight="1">
      <c r="A133" s="1" t="s">
        <v>3</v>
      </c>
      <c r="B133" s="154" t="s">
        <v>1342</v>
      </c>
      <c r="C133" s="43">
        <v>2432276</v>
      </c>
      <c r="D133" s="1" t="s">
        <v>71</v>
      </c>
      <c r="E133" s="49" t="s">
        <v>1347</v>
      </c>
      <c r="F133" s="155"/>
      <c r="G133" s="131"/>
    </row>
    <row r="134" spans="1:7" ht="15.75" customHeight="1">
      <c r="A134" s="1" t="s">
        <v>3</v>
      </c>
      <c r="B134" s="154" t="s">
        <v>1342</v>
      </c>
      <c r="C134" s="43">
        <v>2873260</v>
      </c>
      <c r="D134" s="1" t="s">
        <v>71</v>
      </c>
      <c r="E134" s="45" t="s">
        <v>1317</v>
      </c>
      <c r="F134" s="155"/>
      <c r="G134" s="131"/>
    </row>
    <row r="135" spans="1:7" ht="15.75" customHeight="1">
      <c r="A135" s="1" t="s">
        <v>3</v>
      </c>
      <c r="B135" s="154" t="s">
        <v>1342</v>
      </c>
      <c r="C135" s="43">
        <v>801463</v>
      </c>
      <c r="D135" s="1" t="s">
        <v>71</v>
      </c>
      <c r="E135" s="49" t="s">
        <v>1348</v>
      </c>
      <c r="F135" s="155"/>
      <c r="G135" s="131"/>
    </row>
    <row r="136" spans="1:7" ht="15.75" customHeight="1">
      <c r="A136" s="1" t="s">
        <v>3</v>
      </c>
      <c r="B136" s="154" t="s">
        <v>1342</v>
      </c>
      <c r="C136" s="43">
        <v>753211</v>
      </c>
      <c r="D136" s="1" t="s">
        <v>80</v>
      </c>
      <c r="E136" s="49" t="s">
        <v>1349</v>
      </c>
      <c r="F136" s="155"/>
      <c r="G136" s="131"/>
    </row>
    <row r="137" spans="1:7" ht="15.75" customHeight="1">
      <c r="A137" s="1" t="s">
        <v>3</v>
      </c>
      <c r="B137" s="154" t="s">
        <v>1342</v>
      </c>
      <c r="C137" s="43">
        <v>2841371</v>
      </c>
      <c r="D137" s="1" t="s">
        <v>83</v>
      </c>
      <c r="E137" s="45" t="s">
        <v>1320</v>
      </c>
      <c r="F137" s="155"/>
      <c r="G137" s="131"/>
    </row>
    <row r="138" spans="1:7" ht="15.75" customHeight="1">
      <c r="A138" s="1" t="s">
        <v>3</v>
      </c>
      <c r="B138" s="154" t="s">
        <v>1342</v>
      </c>
      <c r="C138" s="43">
        <v>753224</v>
      </c>
      <c r="D138" s="1" t="s">
        <v>80</v>
      </c>
      <c r="E138" s="45" t="s">
        <v>1322</v>
      </c>
      <c r="F138" s="155"/>
      <c r="G138" s="131"/>
    </row>
    <row r="139" spans="1:7" ht="15.75" customHeight="1">
      <c r="A139" s="1" t="s">
        <v>3</v>
      </c>
      <c r="B139" s="154" t="s">
        <v>1342</v>
      </c>
      <c r="C139" s="43">
        <v>801465</v>
      </c>
      <c r="D139" s="1" t="s">
        <v>101</v>
      </c>
      <c r="E139" s="49" t="s">
        <v>1350</v>
      </c>
      <c r="F139" s="155"/>
      <c r="G139" s="131"/>
    </row>
    <row r="140" spans="1:7" ht="15.75" customHeight="1">
      <c r="A140" s="1" t="s">
        <v>3</v>
      </c>
      <c r="B140" s="154" t="s">
        <v>1342</v>
      </c>
      <c r="C140" s="43">
        <v>2928593</v>
      </c>
      <c r="D140" s="1" t="s">
        <v>80</v>
      </c>
      <c r="E140" s="49" t="s">
        <v>1351</v>
      </c>
      <c r="F140" s="155"/>
      <c r="G140" s="131"/>
    </row>
    <row r="141" spans="1:7" ht="15.75" customHeight="1">
      <c r="A141" s="1" t="s">
        <v>3</v>
      </c>
      <c r="B141" s="154" t="s">
        <v>1342</v>
      </c>
      <c r="C141" s="43">
        <v>2873193</v>
      </c>
      <c r="D141" s="1" t="s">
        <v>80</v>
      </c>
      <c r="E141" s="45" t="s">
        <v>1327</v>
      </c>
      <c r="F141" s="155"/>
      <c r="G141" s="131"/>
    </row>
    <row r="142" spans="1:7" ht="15.75" customHeight="1">
      <c r="A142" s="1" t="s">
        <v>3</v>
      </c>
      <c r="B142" s="154" t="s">
        <v>1342</v>
      </c>
      <c r="C142" s="43">
        <v>753084</v>
      </c>
      <c r="D142" s="1" t="s">
        <v>80</v>
      </c>
      <c r="E142" s="45" t="s">
        <v>1352</v>
      </c>
      <c r="F142" s="155"/>
      <c r="G142" s="131"/>
    </row>
    <row r="143" spans="1:7" ht="15.75" customHeight="1">
      <c r="A143" s="1" t="s">
        <v>3</v>
      </c>
      <c r="B143" s="154" t="s">
        <v>1342</v>
      </c>
      <c r="C143" s="43">
        <v>2841359</v>
      </c>
      <c r="D143" s="1" t="s">
        <v>83</v>
      </c>
      <c r="E143" s="45" t="s">
        <v>1353</v>
      </c>
      <c r="F143" s="155"/>
      <c r="G143" s="131"/>
    </row>
    <row r="144" spans="1:7" ht="15.75" customHeight="1">
      <c r="A144" s="1" t="s">
        <v>3</v>
      </c>
      <c r="B144" s="154" t="s">
        <v>1342</v>
      </c>
      <c r="C144" s="43">
        <v>5011686</v>
      </c>
      <c r="D144" s="1" t="s">
        <v>80</v>
      </c>
      <c r="E144" s="49" t="s">
        <v>1266</v>
      </c>
      <c r="F144" s="155"/>
      <c r="G144" s="131"/>
    </row>
    <row r="145" spans="1:11" ht="15.75" customHeight="1">
      <c r="A145" s="1" t="s">
        <v>3</v>
      </c>
      <c r="B145" s="154" t="s">
        <v>1342</v>
      </c>
      <c r="C145" s="43">
        <v>2876176</v>
      </c>
      <c r="D145" s="1" t="s">
        <v>83</v>
      </c>
      <c r="E145" s="45" t="s">
        <v>1354</v>
      </c>
      <c r="F145" s="155"/>
      <c r="G145" s="131"/>
    </row>
    <row r="146" spans="1:11" ht="15.75" customHeight="1">
      <c r="A146" s="1" t="s">
        <v>3</v>
      </c>
      <c r="B146" s="154" t="s">
        <v>1342</v>
      </c>
      <c r="C146" s="43">
        <v>752458</v>
      </c>
      <c r="D146" s="1" t="s">
        <v>80</v>
      </c>
      <c r="E146" s="45" t="s">
        <v>1355</v>
      </c>
      <c r="F146" s="155"/>
      <c r="G146" s="131"/>
    </row>
    <row r="147" spans="1:11" ht="15.75" customHeight="1">
      <c r="A147" s="1" t="s">
        <v>3</v>
      </c>
      <c r="B147" s="154" t="s">
        <v>1342</v>
      </c>
      <c r="C147" s="43">
        <v>753214</v>
      </c>
      <c r="D147" s="1" t="s">
        <v>80</v>
      </c>
      <c r="E147" s="45" t="s">
        <v>1356</v>
      </c>
      <c r="F147" s="155"/>
      <c r="G147" s="131"/>
    </row>
    <row r="148" spans="1:11" ht="15.75" customHeight="1">
      <c r="A148" s="1" t="s">
        <v>3</v>
      </c>
      <c r="B148" s="154" t="s">
        <v>1342</v>
      </c>
      <c r="C148" s="43">
        <v>2391482</v>
      </c>
      <c r="D148" s="1" t="s">
        <v>83</v>
      </c>
      <c r="E148" s="45" t="s">
        <v>1271</v>
      </c>
      <c r="F148" s="155"/>
      <c r="G148" s="131"/>
    </row>
    <row r="149" spans="1:11" ht="15.75" customHeight="1">
      <c r="A149" s="1" t="s">
        <v>3</v>
      </c>
      <c r="B149" s="154" t="s">
        <v>1342</v>
      </c>
      <c r="C149" s="43">
        <v>2874152</v>
      </c>
      <c r="D149" s="1" t="s">
        <v>80</v>
      </c>
      <c r="E149" s="45" t="s">
        <v>1330</v>
      </c>
      <c r="F149" s="155"/>
      <c r="G149" s="131"/>
    </row>
    <row r="150" spans="1:11" ht="15.75" customHeight="1">
      <c r="A150" s="1" t="s">
        <v>3</v>
      </c>
      <c r="B150" s="154" t="s">
        <v>1342</v>
      </c>
      <c r="C150" s="43">
        <v>753193</v>
      </c>
      <c r="D150" s="1" t="s">
        <v>80</v>
      </c>
      <c r="E150" s="45" t="s">
        <v>1357</v>
      </c>
      <c r="F150" s="155"/>
      <c r="G150" s="131"/>
    </row>
    <row r="151" spans="1:11" ht="15.75" customHeight="1">
      <c r="A151" s="1" t="s">
        <v>3</v>
      </c>
      <c r="B151" s="154" t="s">
        <v>1342</v>
      </c>
      <c r="C151" s="43">
        <v>753082</v>
      </c>
      <c r="D151" s="1" t="s">
        <v>83</v>
      </c>
      <c r="E151" s="45" t="s">
        <v>1358</v>
      </c>
      <c r="F151" s="155"/>
      <c r="G151" s="131"/>
    </row>
    <row r="152" spans="1:11" ht="15.75" customHeight="1">
      <c r="A152" s="1" t="s">
        <v>3</v>
      </c>
      <c r="B152" s="154" t="s">
        <v>1342</v>
      </c>
      <c r="C152" s="43">
        <v>753093</v>
      </c>
      <c r="D152" s="1" t="s">
        <v>80</v>
      </c>
      <c r="E152" s="45" t="s">
        <v>1331</v>
      </c>
      <c r="F152" s="155"/>
      <c r="G152" s="131"/>
    </row>
    <row r="153" spans="1:11" ht="15.75" customHeight="1">
      <c r="A153" s="1" t="s">
        <v>3</v>
      </c>
      <c r="B153" s="154" t="s">
        <v>1342</v>
      </c>
      <c r="C153" s="43">
        <v>752459</v>
      </c>
      <c r="D153" s="1" t="s">
        <v>83</v>
      </c>
      <c r="E153" s="45" t="s">
        <v>1333</v>
      </c>
      <c r="F153" s="155"/>
      <c r="G153" s="131"/>
    </row>
    <row r="154" spans="1:11" ht="15.75" customHeight="1">
      <c r="A154" s="1" t="s">
        <v>3</v>
      </c>
      <c r="B154" s="154" t="s">
        <v>1342</v>
      </c>
      <c r="C154" s="43">
        <v>2210175</v>
      </c>
      <c r="D154" s="1" t="s">
        <v>71</v>
      </c>
      <c r="E154" s="45" t="s">
        <v>1336</v>
      </c>
      <c r="F154" s="155"/>
      <c r="G154" s="131"/>
    </row>
    <row r="155" spans="1:11" ht="15.75" customHeight="1">
      <c r="A155" s="1" t="s">
        <v>3</v>
      </c>
      <c r="B155" s="154" t="s">
        <v>1342</v>
      </c>
      <c r="C155" s="43">
        <v>2929563</v>
      </c>
      <c r="D155" s="1" t="s">
        <v>80</v>
      </c>
      <c r="E155" s="45" t="s">
        <v>1359</v>
      </c>
      <c r="F155" s="155"/>
      <c r="G155" s="131"/>
    </row>
    <row r="156" spans="1:11" ht="15.75" customHeight="1">
      <c r="A156" s="1" t="s">
        <v>3</v>
      </c>
      <c r="B156" s="154" t="s">
        <v>1342</v>
      </c>
      <c r="C156" s="43">
        <v>2841350</v>
      </c>
      <c r="D156" s="1" t="s">
        <v>71</v>
      </c>
      <c r="E156" s="45" t="s">
        <v>1360</v>
      </c>
      <c r="F156" s="155"/>
      <c r="G156" s="131"/>
    </row>
    <row r="157" spans="1:11" ht="15.75" customHeight="1">
      <c r="A157" s="1" t="s">
        <v>3</v>
      </c>
      <c r="B157" s="154" t="s">
        <v>1342</v>
      </c>
      <c r="C157" s="43">
        <v>753076</v>
      </c>
      <c r="D157" s="1" t="s">
        <v>83</v>
      </c>
      <c r="E157" s="45" t="s">
        <v>1361</v>
      </c>
      <c r="F157" s="155"/>
      <c r="G157" s="131"/>
    </row>
    <row r="158" spans="1:11" ht="15.75" customHeight="1">
      <c r="A158" s="111" t="s">
        <v>4</v>
      </c>
      <c r="B158" s="151" t="s">
        <v>1362</v>
      </c>
      <c r="C158" s="152" t="s">
        <v>68</v>
      </c>
      <c r="D158" s="152" t="s">
        <v>62</v>
      </c>
      <c r="E158" s="56" t="s">
        <v>69</v>
      </c>
      <c r="F158" s="153"/>
      <c r="G158" s="48" t="s">
        <v>70</v>
      </c>
      <c r="H158" s="78"/>
      <c r="I158" s="78"/>
      <c r="J158" s="78"/>
      <c r="K158" s="78"/>
    </row>
    <row r="159" spans="1:11" ht="15.75" customHeight="1">
      <c r="A159" s="1" t="s">
        <v>4</v>
      </c>
      <c r="B159" s="154" t="s">
        <v>1362</v>
      </c>
      <c r="C159" s="43">
        <v>2931603</v>
      </c>
      <c r="D159" s="1" t="s">
        <v>80</v>
      </c>
      <c r="E159" s="45" t="s">
        <v>1307</v>
      </c>
      <c r="F159" s="155"/>
      <c r="G159" s="48" t="s">
        <v>1363</v>
      </c>
    </row>
    <row r="160" spans="1:11" ht="15.75" customHeight="1">
      <c r="A160" s="1" t="s">
        <v>4</v>
      </c>
      <c r="B160" s="154" t="s">
        <v>1362</v>
      </c>
      <c r="C160" s="43">
        <v>2908957</v>
      </c>
      <c r="D160" s="1" t="s">
        <v>83</v>
      </c>
      <c r="E160" s="45" t="s">
        <v>1343</v>
      </c>
      <c r="F160" s="155"/>
      <c r="G160" s="131"/>
    </row>
    <row r="161" spans="1:7" ht="15.75" customHeight="1">
      <c r="A161" s="1" t="s">
        <v>4</v>
      </c>
      <c r="B161" s="154" t="s">
        <v>1362</v>
      </c>
      <c r="C161" s="43">
        <v>2929559</v>
      </c>
      <c r="D161" s="1" t="s">
        <v>80</v>
      </c>
      <c r="E161" s="45" t="s">
        <v>1310</v>
      </c>
      <c r="F161" s="155"/>
      <c r="G161" s="131"/>
    </row>
    <row r="162" spans="1:7" ht="15.75" customHeight="1">
      <c r="A162" s="1" t="s">
        <v>4</v>
      </c>
      <c r="B162" s="154" t="s">
        <v>1362</v>
      </c>
      <c r="C162" s="43">
        <v>2929565</v>
      </c>
      <c r="D162" s="1" t="s">
        <v>83</v>
      </c>
      <c r="E162" s="49" t="s">
        <v>1364</v>
      </c>
      <c r="F162" s="155"/>
      <c r="G162" s="50"/>
    </row>
    <row r="163" spans="1:7" ht="15.75" customHeight="1">
      <c r="A163" s="1" t="s">
        <v>4</v>
      </c>
      <c r="B163" s="154" t="s">
        <v>1362</v>
      </c>
      <c r="C163" s="43">
        <v>2928600</v>
      </c>
      <c r="D163" s="1" t="s">
        <v>80</v>
      </c>
      <c r="E163" s="45" t="s">
        <v>1365</v>
      </c>
      <c r="F163" s="155"/>
      <c r="G163" s="50"/>
    </row>
    <row r="164" spans="1:7" ht="15.75" customHeight="1">
      <c r="A164" s="1" t="s">
        <v>4</v>
      </c>
      <c r="B164" s="154" t="s">
        <v>1362</v>
      </c>
      <c r="C164" s="43">
        <v>2901333</v>
      </c>
      <c r="D164" s="1" t="s">
        <v>101</v>
      </c>
      <c r="E164" s="45" t="s">
        <v>1239</v>
      </c>
      <c r="F164" s="155"/>
      <c r="G164" s="131"/>
    </row>
    <row r="165" spans="1:7" ht="15.75" customHeight="1">
      <c r="A165" s="42" t="s">
        <v>4</v>
      </c>
      <c r="B165" s="154" t="s">
        <v>1362</v>
      </c>
      <c r="C165" s="43">
        <v>2282124</v>
      </c>
      <c r="D165" s="1" t="s">
        <v>83</v>
      </c>
      <c r="E165" s="45" t="s">
        <v>1345</v>
      </c>
      <c r="F165" s="155"/>
      <c r="G165" s="131"/>
    </row>
    <row r="166" spans="1:7" ht="15.75" customHeight="1">
      <c r="A166" s="42" t="s">
        <v>4</v>
      </c>
      <c r="B166" s="154" t="s">
        <v>1362</v>
      </c>
      <c r="C166" s="43">
        <v>2841349</v>
      </c>
      <c r="D166" s="1" t="s">
        <v>71</v>
      </c>
      <c r="E166" s="49" t="s">
        <v>1366</v>
      </c>
      <c r="F166" s="155"/>
      <c r="G166" s="131"/>
    </row>
    <row r="167" spans="1:7" ht="15.75" customHeight="1">
      <c r="A167" s="42" t="s">
        <v>4</v>
      </c>
      <c r="B167" s="154" t="s">
        <v>1362</v>
      </c>
      <c r="C167" s="43">
        <v>748851</v>
      </c>
      <c r="D167" s="1" t="s">
        <v>80</v>
      </c>
      <c r="E167" s="45" t="s">
        <v>1346</v>
      </c>
      <c r="F167" s="155"/>
      <c r="G167" s="131"/>
    </row>
    <row r="168" spans="1:7" ht="15.75" customHeight="1">
      <c r="A168" s="42" t="s">
        <v>4</v>
      </c>
      <c r="B168" s="154" t="s">
        <v>1362</v>
      </c>
      <c r="C168" s="43">
        <v>801473</v>
      </c>
      <c r="D168" s="1" t="s">
        <v>71</v>
      </c>
      <c r="E168" s="45" t="s">
        <v>1367</v>
      </c>
      <c r="F168" s="155"/>
      <c r="G168" s="131"/>
    </row>
    <row r="169" spans="1:7" ht="15.75" customHeight="1">
      <c r="A169" s="42" t="s">
        <v>4</v>
      </c>
      <c r="B169" s="154" t="s">
        <v>1362</v>
      </c>
      <c r="C169" s="43">
        <v>733879</v>
      </c>
      <c r="D169" s="1" t="s">
        <v>80</v>
      </c>
      <c r="E169" s="45" t="s">
        <v>1368</v>
      </c>
      <c r="F169" s="155"/>
      <c r="G169" s="131"/>
    </row>
    <row r="170" spans="1:7" ht="15.75" customHeight="1">
      <c r="A170" s="42" t="s">
        <v>4</v>
      </c>
      <c r="B170" s="154" t="s">
        <v>1362</v>
      </c>
      <c r="C170" s="43">
        <v>753224</v>
      </c>
      <c r="D170" s="1" t="s">
        <v>80</v>
      </c>
      <c r="E170" s="45" t="s">
        <v>1322</v>
      </c>
      <c r="F170" s="155"/>
      <c r="G170" s="131"/>
    </row>
    <row r="171" spans="1:7" ht="15.75" customHeight="1">
      <c r="A171" s="42" t="s">
        <v>4</v>
      </c>
      <c r="B171" s="154" t="s">
        <v>1362</v>
      </c>
      <c r="C171" s="43">
        <v>801465</v>
      </c>
      <c r="D171" s="1" t="s">
        <v>101</v>
      </c>
      <c r="E171" s="49" t="s">
        <v>1350</v>
      </c>
      <c r="F171" s="155"/>
      <c r="G171" s="131"/>
    </row>
    <row r="172" spans="1:7" ht="15.75" customHeight="1">
      <c r="A172" s="42" t="s">
        <v>4</v>
      </c>
      <c r="B172" s="154" t="s">
        <v>1362</v>
      </c>
      <c r="C172" s="43">
        <v>2908964</v>
      </c>
      <c r="D172" s="1" t="s">
        <v>71</v>
      </c>
      <c r="E172" s="45" t="s">
        <v>1291</v>
      </c>
      <c r="F172" s="155"/>
      <c r="G172" s="131"/>
    </row>
    <row r="173" spans="1:7" ht="15.75" customHeight="1">
      <c r="A173" s="42" t="s">
        <v>4</v>
      </c>
      <c r="B173" s="154" t="s">
        <v>1362</v>
      </c>
      <c r="C173" s="43">
        <v>2928593</v>
      </c>
      <c r="D173" s="1" t="s">
        <v>80</v>
      </c>
      <c r="E173" s="49" t="s">
        <v>1351</v>
      </c>
      <c r="F173" s="155"/>
      <c r="G173" s="131"/>
    </row>
    <row r="174" spans="1:7" ht="15.75" customHeight="1">
      <c r="A174" s="42" t="s">
        <v>4</v>
      </c>
      <c r="B174" s="154" t="s">
        <v>1362</v>
      </c>
      <c r="C174" s="43">
        <v>3166657</v>
      </c>
      <c r="D174" s="1" t="s">
        <v>80</v>
      </c>
      <c r="E174" s="49" t="s">
        <v>1369</v>
      </c>
      <c r="F174" s="155"/>
      <c r="G174" s="131"/>
    </row>
    <row r="175" spans="1:7" ht="15.75" customHeight="1">
      <c r="A175" s="42" t="s">
        <v>4</v>
      </c>
      <c r="B175" s="154" t="s">
        <v>1362</v>
      </c>
      <c r="C175" s="43">
        <v>753084</v>
      </c>
      <c r="D175" s="1" t="s">
        <v>80</v>
      </c>
      <c r="E175" s="45" t="s">
        <v>1352</v>
      </c>
      <c r="F175" s="155"/>
      <c r="G175" s="131"/>
    </row>
    <row r="176" spans="1:7" ht="15.75" customHeight="1">
      <c r="A176" s="42" t="s">
        <v>4</v>
      </c>
      <c r="B176" s="154" t="s">
        <v>1362</v>
      </c>
      <c r="C176" s="43">
        <v>2841351</v>
      </c>
      <c r="D176" s="1" t="s">
        <v>83</v>
      </c>
      <c r="E176" s="45" t="s">
        <v>1370</v>
      </c>
      <c r="F176" s="155"/>
      <c r="G176" s="131"/>
    </row>
    <row r="177" spans="1:11" ht="15.75" customHeight="1">
      <c r="A177" s="42" t="s">
        <v>4</v>
      </c>
      <c r="B177" s="154" t="s">
        <v>1362</v>
      </c>
      <c r="C177" s="43">
        <v>5011686</v>
      </c>
      <c r="D177" s="1" t="s">
        <v>80</v>
      </c>
      <c r="E177" s="49" t="s">
        <v>1266</v>
      </c>
      <c r="F177" s="155"/>
      <c r="G177" s="131"/>
    </row>
    <row r="178" spans="1:11" ht="15.75" customHeight="1">
      <c r="A178" s="42" t="s">
        <v>4</v>
      </c>
      <c r="B178" s="154" t="s">
        <v>1362</v>
      </c>
      <c r="C178" s="43">
        <v>752458</v>
      </c>
      <c r="D178" s="1" t="s">
        <v>80</v>
      </c>
      <c r="E178" s="45" t="s">
        <v>1355</v>
      </c>
      <c r="F178" s="155"/>
      <c r="G178" s="131"/>
    </row>
    <row r="179" spans="1:11" ht="15.75" customHeight="1">
      <c r="A179" s="42" t="s">
        <v>4</v>
      </c>
      <c r="B179" s="154" t="s">
        <v>1362</v>
      </c>
      <c r="C179" s="43">
        <v>2909980</v>
      </c>
      <c r="D179" s="1" t="s">
        <v>83</v>
      </c>
      <c r="E179" s="49" t="s">
        <v>1371</v>
      </c>
      <c r="F179" s="155"/>
      <c r="G179" s="131"/>
    </row>
    <row r="180" spans="1:11" ht="15.75" customHeight="1">
      <c r="A180" s="42" t="s">
        <v>4</v>
      </c>
      <c r="B180" s="154" t="s">
        <v>1362</v>
      </c>
      <c r="C180" s="43">
        <v>753082</v>
      </c>
      <c r="D180" s="1" t="s">
        <v>83</v>
      </c>
      <c r="E180" s="45" t="s">
        <v>1358</v>
      </c>
      <c r="F180" s="155"/>
      <c r="G180" s="131"/>
    </row>
    <row r="181" spans="1:11" ht="15.75" customHeight="1">
      <c r="A181" s="42" t="s">
        <v>4</v>
      </c>
      <c r="B181" s="154" t="s">
        <v>1362</v>
      </c>
      <c r="C181" s="43">
        <v>3154987</v>
      </c>
      <c r="D181" s="1" t="s">
        <v>80</v>
      </c>
      <c r="E181" s="49" t="s">
        <v>1372</v>
      </c>
      <c r="F181" s="155"/>
      <c r="G181" s="131"/>
    </row>
    <row r="182" spans="1:11" ht="15.75" customHeight="1">
      <c r="A182" s="42" t="s">
        <v>4</v>
      </c>
      <c r="B182" s="154" t="s">
        <v>1362</v>
      </c>
      <c r="C182" s="43">
        <v>753076</v>
      </c>
      <c r="D182" s="1" t="s">
        <v>83</v>
      </c>
      <c r="E182" s="45" t="s">
        <v>1361</v>
      </c>
      <c r="F182" s="155"/>
      <c r="G182" s="131"/>
    </row>
    <row r="183" spans="1:11" ht="15.75" customHeight="1">
      <c r="A183" s="42" t="s">
        <v>4</v>
      </c>
      <c r="B183" s="154" t="s">
        <v>1362</v>
      </c>
      <c r="C183" s="43">
        <v>753209</v>
      </c>
      <c r="D183" s="1" t="s">
        <v>80</v>
      </c>
      <c r="E183" s="45" t="s">
        <v>1373</v>
      </c>
      <c r="F183" s="155"/>
      <c r="G183" s="131"/>
    </row>
    <row r="184" spans="1:11" ht="15.75" customHeight="1">
      <c r="A184" s="42" t="s">
        <v>4</v>
      </c>
      <c r="B184" s="154" t="s">
        <v>1362</v>
      </c>
      <c r="C184" s="43">
        <v>2900318</v>
      </c>
      <c r="D184" s="1" t="s">
        <v>83</v>
      </c>
      <c r="E184" s="45" t="s">
        <v>1374</v>
      </c>
      <c r="F184" s="155"/>
      <c r="G184" s="131"/>
    </row>
    <row r="185" spans="1:11" ht="15.75" customHeight="1">
      <c r="A185" s="42" t="s">
        <v>4</v>
      </c>
      <c r="B185" s="154" t="s">
        <v>1362</v>
      </c>
      <c r="C185" s="43">
        <v>2931592</v>
      </c>
      <c r="D185" s="1" t="s">
        <v>83</v>
      </c>
      <c r="E185" s="45" t="s">
        <v>1341</v>
      </c>
      <c r="F185" s="155"/>
      <c r="G185" s="131"/>
    </row>
    <row r="186" spans="1:11" ht="15.75" customHeight="1">
      <c r="A186" s="42" t="s">
        <v>4</v>
      </c>
      <c r="B186" s="154" t="s">
        <v>1362</v>
      </c>
      <c r="C186" s="43">
        <v>2910530</v>
      </c>
      <c r="D186" s="1" t="s">
        <v>71</v>
      </c>
      <c r="E186" s="45" t="s">
        <v>1375</v>
      </c>
      <c r="F186" s="155"/>
      <c r="G186" s="131"/>
    </row>
    <row r="187" spans="1:11" ht="15.75" customHeight="1">
      <c r="A187" s="111" t="s">
        <v>5</v>
      </c>
      <c r="B187" s="151" t="s">
        <v>1376</v>
      </c>
      <c r="C187" s="152" t="s">
        <v>68</v>
      </c>
      <c r="D187" s="152" t="s">
        <v>62</v>
      </c>
      <c r="E187" s="56" t="s">
        <v>69</v>
      </c>
      <c r="F187" s="153"/>
      <c r="G187" s="48" t="s">
        <v>70</v>
      </c>
      <c r="H187" s="78"/>
      <c r="I187" s="78"/>
      <c r="J187" s="78"/>
      <c r="K187" s="78"/>
    </row>
    <row r="188" spans="1:11" ht="15.75" customHeight="1">
      <c r="A188" s="1" t="s">
        <v>5</v>
      </c>
      <c r="B188" s="154" t="s">
        <v>1376</v>
      </c>
      <c r="C188" s="43">
        <v>2928600</v>
      </c>
      <c r="D188" s="1" t="s">
        <v>80</v>
      </c>
      <c r="E188" s="45" t="s">
        <v>1365</v>
      </c>
      <c r="F188" s="155"/>
      <c r="G188" s="48" t="s">
        <v>1377</v>
      </c>
    </row>
    <row r="189" spans="1:11" ht="15.75" customHeight="1">
      <c r="A189" s="1" t="s">
        <v>5</v>
      </c>
      <c r="B189" s="154" t="s">
        <v>1376</v>
      </c>
      <c r="C189" s="43">
        <v>752464</v>
      </c>
      <c r="D189" s="1" t="s">
        <v>83</v>
      </c>
      <c r="E189" s="49" t="s">
        <v>1344</v>
      </c>
      <c r="F189" s="155"/>
      <c r="G189" s="48" t="s">
        <v>1242</v>
      </c>
    </row>
    <row r="190" spans="1:11" ht="15.75" customHeight="1">
      <c r="A190" s="1" t="s">
        <v>5</v>
      </c>
      <c r="B190" s="154" t="s">
        <v>1376</v>
      </c>
      <c r="C190" s="43">
        <v>2282124</v>
      </c>
      <c r="D190" s="1" t="s">
        <v>83</v>
      </c>
      <c r="E190" s="45" t="s">
        <v>1345</v>
      </c>
      <c r="F190" s="155"/>
      <c r="G190" s="50"/>
    </row>
    <row r="191" spans="1:11" ht="15.75" customHeight="1">
      <c r="A191" s="1" t="s">
        <v>5</v>
      </c>
      <c r="B191" s="154" t="s">
        <v>1376</v>
      </c>
      <c r="C191" s="43">
        <v>753101</v>
      </c>
      <c r="D191" s="1" t="s">
        <v>80</v>
      </c>
      <c r="E191" s="45" t="s">
        <v>1251</v>
      </c>
      <c r="F191" s="155"/>
      <c r="G191" s="50"/>
    </row>
    <row r="192" spans="1:11" ht="15.75" customHeight="1">
      <c r="A192" s="1" t="s">
        <v>5</v>
      </c>
      <c r="B192" s="154" t="s">
        <v>1376</v>
      </c>
      <c r="C192" s="43">
        <v>801472</v>
      </c>
      <c r="D192" s="1" t="s">
        <v>80</v>
      </c>
      <c r="E192" s="45" t="s">
        <v>1378</v>
      </c>
      <c r="F192" s="155"/>
      <c r="G192" s="131"/>
    </row>
    <row r="193" spans="1:11" ht="15.75" customHeight="1">
      <c r="A193" s="1" t="s">
        <v>5</v>
      </c>
      <c r="B193" s="154" t="s">
        <v>1376</v>
      </c>
      <c r="C193" s="43">
        <v>748851</v>
      </c>
      <c r="D193" s="1" t="s">
        <v>80</v>
      </c>
      <c r="E193" s="45" t="s">
        <v>1346</v>
      </c>
      <c r="F193" s="155"/>
      <c r="G193" s="131"/>
    </row>
    <row r="194" spans="1:11" ht="15.75" customHeight="1">
      <c r="A194" s="1" t="s">
        <v>5</v>
      </c>
      <c r="B194" s="154" t="s">
        <v>1376</v>
      </c>
      <c r="C194" s="43">
        <v>801463</v>
      </c>
      <c r="D194" s="1" t="s">
        <v>71</v>
      </c>
      <c r="E194" s="49" t="s">
        <v>1348</v>
      </c>
      <c r="F194" s="155"/>
      <c r="G194" s="50"/>
    </row>
    <row r="195" spans="1:11" ht="15.75" customHeight="1">
      <c r="A195" s="1" t="s">
        <v>5</v>
      </c>
      <c r="B195" s="154" t="s">
        <v>1376</v>
      </c>
      <c r="C195" s="43">
        <v>2841371</v>
      </c>
      <c r="D195" s="1" t="s">
        <v>83</v>
      </c>
      <c r="E195" s="45" t="s">
        <v>1320</v>
      </c>
      <c r="F195" s="155"/>
      <c r="G195" s="50"/>
    </row>
    <row r="196" spans="1:11" ht="15.75" customHeight="1">
      <c r="A196" s="1" t="s">
        <v>5</v>
      </c>
      <c r="B196" s="154" t="s">
        <v>1376</v>
      </c>
      <c r="C196" s="43">
        <v>801465</v>
      </c>
      <c r="D196" s="1" t="s">
        <v>101</v>
      </c>
      <c r="E196" s="49" t="s">
        <v>1350</v>
      </c>
      <c r="F196" s="155"/>
      <c r="G196" s="50"/>
    </row>
    <row r="197" spans="1:11" ht="15.75" customHeight="1">
      <c r="A197" s="1" t="s">
        <v>5</v>
      </c>
      <c r="B197" s="154" t="s">
        <v>1376</v>
      </c>
      <c r="C197" s="43">
        <v>2928593</v>
      </c>
      <c r="D197" s="1" t="s">
        <v>80</v>
      </c>
      <c r="E197" s="49" t="s">
        <v>1351</v>
      </c>
      <c r="F197" s="155"/>
      <c r="G197" s="50"/>
    </row>
    <row r="198" spans="1:11" ht="15.75" customHeight="1">
      <c r="A198" s="1" t="s">
        <v>5</v>
      </c>
      <c r="B198" s="154" t="s">
        <v>1376</v>
      </c>
      <c r="C198" s="43">
        <v>753084</v>
      </c>
      <c r="D198" s="1" t="s">
        <v>80</v>
      </c>
      <c r="E198" s="45" t="s">
        <v>1352</v>
      </c>
      <c r="F198" s="155"/>
      <c r="G198" s="50"/>
    </row>
    <row r="199" spans="1:11" ht="15.75" customHeight="1">
      <c r="A199" s="1" t="s">
        <v>5</v>
      </c>
      <c r="B199" s="154" t="s">
        <v>1376</v>
      </c>
      <c r="C199" s="43">
        <v>2930665</v>
      </c>
      <c r="D199" s="1" t="s">
        <v>83</v>
      </c>
      <c r="E199" s="49" t="s">
        <v>1379</v>
      </c>
      <c r="F199" s="155"/>
      <c r="G199" s="50"/>
    </row>
    <row r="200" spans="1:11" ht="15.75" customHeight="1">
      <c r="A200" s="1" t="s">
        <v>5</v>
      </c>
      <c r="B200" s="154" t="s">
        <v>1376</v>
      </c>
      <c r="C200" s="43">
        <v>753193</v>
      </c>
      <c r="D200" s="1" t="s">
        <v>80</v>
      </c>
      <c r="E200" s="45" t="s">
        <v>1357</v>
      </c>
      <c r="F200" s="155"/>
      <c r="G200" s="50"/>
    </row>
    <row r="201" spans="1:11" ht="15.75" customHeight="1">
      <c r="A201" s="1" t="s">
        <v>5</v>
      </c>
      <c r="B201" s="154" t="s">
        <v>1376</v>
      </c>
      <c r="C201" s="43">
        <v>753082</v>
      </c>
      <c r="D201" s="1" t="s">
        <v>83</v>
      </c>
      <c r="E201" s="45" t="s">
        <v>1358</v>
      </c>
      <c r="F201" s="155"/>
      <c r="G201" s="50"/>
    </row>
    <row r="202" spans="1:11" ht="15.75" customHeight="1">
      <c r="A202" s="1" t="s">
        <v>5</v>
      </c>
      <c r="B202" s="154" t="s">
        <v>1376</v>
      </c>
      <c r="C202" s="43">
        <v>2432277</v>
      </c>
      <c r="D202" s="1" t="s">
        <v>101</v>
      </c>
      <c r="E202" s="49" t="s">
        <v>1332</v>
      </c>
      <c r="F202" s="155"/>
      <c r="G202" s="50"/>
    </row>
    <row r="203" spans="1:11" ht="15.75" customHeight="1">
      <c r="A203" s="1" t="s">
        <v>5</v>
      </c>
      <c r="B203" s="154" t="s">
        <v>1376</v>
      </c>
      <c r="C203" s="43">
        <v>752459</v>
      </c>
      <c r="D203" s="1" t="s">
        <v>83</v>
      </c>
      <c r="E203" s="45" t="s">
        <v>1333</v>
      </c>
      <c r="F203" s="155"/>
      <c r="G203" s="50"/>
    </row>
    <row r="204" spans="1:11" ht="15.75" customHeight="1">
      <c r="A204" s="1" t="s">
        <v>5</v>
      </c>
      <c r="B204" s="154" t="s">
        <v>1376</v>
      </c>
      <c r="C204" s="43">
        <v>2210175</v>
      </c>
      <c r="D204" s="1" t="s">
        <v>71</v>
      </c>
      <c r="E204" s="45" t="s">
        <v>1336</v>
      </c>
      <c r="F204" s="155"/>
      <c r="G204" s="50"/>
    </row>
    <row r="205" spans="1:11" ht="15.75" customHeight="1">
      <c r="A205" s="1" t="s">
        <v>5</v>
      </c>
      <c r="B205" s="154" t="s">
        <v>1376</v>
      </c>
      <c r="C205" s="43">
        <v>5018005</v>
      </c>
      <c r="D205" s="1" t="s">
        <v>101</v>
      </c>
      <c r="E205" s="45" t="s">
        <v>1380</v>
      </c>
      <c r="F205" s="155"/>
      <c r="G205" s="50"/>
    </row>
    <row r="206" spans="1:11" ht="15.75" customHeight="1">
      <c r="A206" s="1" t="s">
        <v>5</v>
      </c>
      <c r="B206" s="154" t="s">
        <v>1376</v>
      </c>
      <c r="C206" s="43">
        <v>2841368</v>
      </c>
      <c r="D206" s="1" t="s">
        <v>80</v>
      </c>
      <c r="E206" s="45" t="s">
        <v>1381</v>
      </c>
      <c r="F206" s="155"/>
      <c r="G206" s="50"/>
    </row>
    <row r="207" spans="1:11" ht="15.75" customHeight="1">
      <c r="A207" s="111" t="s">
        <v>6</v>
      </c>
      <c r="B207" s="151" t="s">
        <v>1382</v>
      </c>
      <c r="C207" s="152" t="s">
        <v>68</v>
      </c>
      <c r="D207" s="152" t="s">
        <v>62</v>
      </c>
      <c r="E207" s="56" t="s">
        <v>69</v>
      </c>
      <c r="F207" s="153"/>
      <c r="G207" s="48" t="s">
        <v>70</v>
      </c>
      <c r="H207" s="78"/>
      <c r="I207" s="78"/>
      <c r="J207" s="78"/>
      <c r="K207" s="78"/>
    </row>
    <row r="208" spans="1:11" ht="15.75" customHeight="1">
      <c r="A208" s="1" t="s">
        <v>6</v>
      </c>
      <c r="B208" s="154" t="s">
        <v>1382</v>
      </c>
      <c r="C208" s="43">
        <v>2929565</v>
      </c>
      <c r="D208" s="44" t="s">
        <v>83</v>
      </c>
      <c r="E208" s="49" t="s">
        <v>1364</v>
      </c>
      <c r="F208" s="49" t="s">
        <v>1364</v>
      </c>
      <c r="G208" s="48" t="s">
        <v>528</v>
      </c>
    </row>
    <row r="209" spans="1:11" ht="15.75" customHeight="1">
      <c r="A209" s="42" t="s">
        <v>6</v>
      </c>
      <c r="B209" s="154" t="s">
        <v>1382</v>
      </c>
      <c r="C209" s="43">
        <v>2928596</v>
      </c>
      <c r="D209" s="44" t="s">
        <v>80</v>
      </c>
      <c r="E209" s="45" t="s">
        <v>1383</v>
      </c>
      <c r="F209" s="45" t="s">
        <v>1383</v>
      </c>
      <c r="G209" s="131"/>
    </row>
    <row r="210" spans="1:11" ht="15.75" customHeight="1">
      <c r="A210" s="42" t="s">
        <v>6</v>
      </c>
      <c r="B210" s="154" t="s">
        <v>1382</v>
      </c>
      <c r="C210" s="43">
        <v>753212</v>
      </c>
      <c r="D210" s="44" t="s">
        <v>80</v>
      </c>
      <c r="E210" s="45" t="s">
        <v>1384</v>
      </c>
      <c r="F210" s="45" t="s">
        <v>1384</v>
      </c>
      <c r="G210" s="131"/>
    </row>
    <row r="211" spans="1:11" ht="15.75" customHeight="1">
      <c r="A211" s="42" t="s">
        <v>6</v>
      </c>
      <c r="B211" s="154" t="s">
        <v>1382</v>
      </c>
      <c r="C211" s="43">
        <v>753078</v>
      </c>
      <c r="D211" s="44" t="s">
        <v>80</v>
      </c>
      <c r="E211" s="49" t="s">
        <v>1296</v>
      </c>
      <c r="F211" s="49" t="s">
        <v>1296</v>
      </c>
      <c r="G211" s="131"/>
    </row>
    <row r="212" spans="1:11" ht="15.75" customHeight="1">
      <c r="A212" s="42" t="s">
        <v>6</v>
      </c>
      <c r="B212" s="154" t="s">
        <v>1382</v>
      </c>
      <c r="C212" s="43">
        <v>3161813</v>
      </c>
      <c r="D212" s="44" t="s">
        <v>83</v>
      </c>
      <c r="E212" s="49" t="s">
        <v>1385</v>
      </c>
      <c r="F212" s="49" t="s">
        <v>1385</v>
      </c>
      <c r="G212" s="131"/>
    </row>
    <row r="213" spans="1:11" ht="15.75" customHeight="1">
      <c r="A213" s="42" t="s">
        <v>6</v>
      </c>
      <c r="B213" s="154" t="s">
        <v>1382</v>
      </c>
      <c r="C213" s="43">
        <v>3163721</v>
      </c>
      <c r="D213" s="44" t="s">
        <v>83</v>
      </c>
      <c r="E213" s="49" t="s">
        <v>1386</v>
      </c>
      <c r="F213" s="49" t="s">
        <v>1386</v>
      </c>
      <c r="G213" s="131"/>
    </row>
    <row r="214" spans="1:11" ht="15.75" customHeight="1">
      <c r="A214" s="42" t="s">
        <v>6</v>
      </c>
      <c r="B214" s="154" t="s">
        <v>1382</v>
      </c>
      <c r="C214" s="43">
        <v>3158980</v>
      </c>
      <c r="D214" s="44" t="s">
        <v>71</v>
      </c>
      <c r="E214" s="49" t="s">
        <v>1387</v>
      </c>
      <c r="F214" s="49" t="s">
        <v>1387</v>
      </c>
      <c r="G214" s="131"/>
    </row>
    <row r="215" spans="1:11" ht="15.75" customHeight="1">
      <c r="A215" s="111" t="s">
        <v>7</v>
      </c>
      <c r="B215" s="151" t="s">
        <v>1388</v>
      </c>
      <c r="C215" s="152" t="s">
        <v>68</v>
      </c>
      <c r="D215" s="152" t="s">
        <v>62</v>
      </c>
      <c r="E215" s="56" t="s">
        <v>69</v>
      </c>
      <c r="F215" s="153"/>
      <c r="G215" s="48" t="s">
        <v>70</v>
      </c>
      <c r="H215" s="78"/>
      <c r="I215" s="78"/>
      <c r="J215" s="78"/>
      <c r="K215" s="78"/>
    </row>
    <row r="216" spans="1:11" ht="15.75" customHeight="1">
      <c r="A216" s="42" t="s">
        <v>7</v>
      </c>
      <c r="B216" s="154" t="s">
        <v>1388</v>
      </c>
      <c r="C216" s="43">
        <v>2928594</v>
      </c>
      <c r="D216" s="1" t="s">
        <v>90</v>
      </c>
      <c r="E216" s="45" t="s">
        <v>1389</v>
      </c>
      <c r="G216" s="48" t="s">
        <v>1240</v>
      </c>
    </row>
    <row r="217" spans="1:11" ht="15.75" customHeight="1">
      <c r="A217" s="42" t="s">
        <v>7</v>
      </c>
      <c r="B217" s="154" t="s">
        <v>1388</v>
      </c>
      <c r="C217" s="43">
        <v>2432276</v>
      </c>
      <c r="D217" s="1" t="s">
        <v>71</v>
      </c>
      <c r="E217" s="49" t="s">
        <v>1347</v>
      </c>
      <c r="G217" s="131"/>
    </row>
    <row r="218" spans="1:11" ht="15.75" customHeight="1">
      <c r="A218" s="42" t="s">
        <v>7</v>
      </c>
      <c r="B218" s="154" t="s">
        <v>1388</v>
      </c>
      <c r="C218" s="43">
        <v>2841369</v>
      </c>
      <c r="D218" s="1" t="s">
        <v>80</v>
      </c>
      <c r="E218" s="45" t="s">
        <v>1390</v>
      </c>
      <c r="G218" s="131"/>
    </row>
    <row r="219" spans="1:11" ht="15.75" customHeight="1">
      <c r="A219" s="42" t="s">
        <v>7</v>
      </c>
      <c r="B219" s="154" t="s">
        <v>1388</v>
      </c>
      <c r="C219" s="43">
        <v>2930672</v>
      </c>
      <c r="D219" s="1" t="s">
        <v>83</v>
      </c>
      <c r="E219" s="45" t="s">
        <v>1391</v>
      </c>
      <c r="G219" s="131"/>
    </row>
    <row r="220" spans="1:11" ht="15.75" customHeight="1">
      <c r="A220" s="42" t="s">
        <v>7</v>
      </c>
      <c r="B220" s="154" t="s">
        <v>1388</v>
      </c>
      <c r="C220" s="43">
        <v>753215</v>
      </c>
      <c r="D220" s="1" t="s">
        <v>80</v>
      </c>
      <c r="E220" s="45" t="s">
        <v>1270</v>
      </c>
      <c r="G220" s="131"/>
    </row>
    <row r="221" spans="1:11" ht="15.75" customHeight="1">
      <c r="A221" s="42" t="s">
        <v>7</v>
      </c>
      <c r="B221" s="154" t="s">
        <v>1388</v>
      </c>
      <c r="C221" s="43">
        <v>3159818</v>
      </c>
      <c r="D221" s="1" t="s">
        <v>83</v>
      </c>
      <c r="E221" s="49" t="s">
        <v>1392</v>
      </c>
      <c r="G221" s="131"/>
    </row>
    <row r="222" spans="1:11" ht="15.75" customHeight="1">
      <c r="A222" s="42" t="s">
        <v>7</v>
      </c>
      <c r="B222" s="154" t="s">
        <v>1388</v>
      </c>
      <c r="C222" s="43">
        <v>3161800</v>
      </c>
      <c r="D222" s="1" t="s">
        <v>83</v>
      </c>
      <c r="E222" s="49" t="s">
        <v>1393</v>
      </c>
      <c r="G222" s="131"/>
    </row>
    <row r="223" spans="1:11" ht="15.75" customHeight="1">
      <c r="A223" s="42" t="s">
        <v>7</v>
      </c>
      <c r="B223" s="154" t="s">
        <v>1388</v>
      </c>
      <c r="C223" s="43">
        <v>3161802</v>
      </c>
      <c r="D223" s="1" t="s">
        <v>83</v>
      </c>
      <c r="E223" s="49" t="s">
        <v>1394</v>
      </c>
      <c r="G223" s="131"/>
    </row>
    <row r="224" spans="1:11" ht="15.75" customHeight="1">
      <c r="A224" s="42" t="s">
        <v>7</v>
      </c>
      <c r="B224" s="154" t="s">
        <v>1388</v>
      </c>
      <c r="C224" s="43">
        <v>3160806</v>
      </c>
      <c r="D224" s="1" t="s">
        <v>83</v>
      </c>
      <c r="E224" s="49" t="s">
        <v>1395</v>
      </c>
      <c r="G224" s="131"/>
    </row>
    <row r="225" spans="1:11" ht="15.75" customHeight="1">
      <c r="A225" s="42" t="s">
        <v>7</v>
      </c>
      <c r="B225" s="154" t="s">
        <v>1388</v>
      </c>
      <c r="C225" s="43">
        <v>3159819</v>
      </c>
      <c r="D225" s="1" t="s">
        <v>83</v>
      </c>
      <c r="E225" s="49" t="s">
        <v>1396</v>
      </c>
      <c r="G225" s="131"/>
    </row>
    <row r="226" spans="1:11" ht="15.75" customHeight="1">
      <c r="A226" s="42" t="s">
        <v>7</v>
      </c>
      <c r="B226" s="154" t="s">
        <v>1388</v>
      </c>
      <c r="C226" s="43">
        <v>753078</v>
      </c>
      <c r="D226" s="44" t="s">
        <v>80</v>
      </c>
      <c r="E226" s="49" t="s">
        <v>1296</v>
      </c>
      <c r="G226" s="131"/>
    </row>
    <row r="227" spans="1:11" ht="15.75" customHeight="1">
      <c r="A227" s="42" t="s">
        <v>7</v>
      </c>
      <c r="B227" s="154" t="s">
        <v>1388</v>
      </c>
      <c r="C227" s="43">
        <v>2388472</v>
      </c>
      <c r="D227" s="1" t="s">
        <v>90</v>
      </c>
      <c r="E227" s="45" t="s">
        <v>1301</v>
      </c>
      <c r="G227" s="131"/>
    </row>
    <row r="228" spans="1:11" ht="15.75" customHeight="1">
      <c r="A228" s="42" t="s">
        <v>7</v>
      </c>
      <c r="B228" s="154" t="s">
        <v>1388</v>
      </c>
      <c r="C228" s="43">
        <v>2841370</v>
      </c>
      <c r="D228" s="1" t="s">
        <v>71</v>
      </c>
      <c r="E228" s="45" t="s">
        <v>1278</v>
      </c>
      <c r="G228" s="131"/>
    </row>
    <row r="229" spans="1:11" ht="15.75" customHeight="1">
      <c r="A229" s="42" t="s">
        <v>7</v>
      </c>
      <c r="B229" s="154" t="s">
        <v>1388</v>
      </c>
      <c r="C229" s="43">
        <v>753228</v>
      </c>
      <c r="D229" s="1" t="s">
        <v>83</v>
      </c>
      <c r="E229" s="45" t="s">
        <v>1397</v>
      </c>
      <c r="G229" s="131"/>
    </row>
    <row r="230" spans="1:11" ht="15.75" customHeight="1">
      <c r="A230" s="42" t="s">
        <v>7</v>
      </c>
      <c r="B230" s="154" t="s">
        <v>1388</v>
      </c>
      <c r="C230" s="43">
        <v>2902080</v>
      </c>
      <c r="D230" s="1" t="s">
        <v>80</v>
      </c>
      <c r="E230" s="45" t="s">
        <v>1304</v>
      </c>
      <c r="G230" s="131"/>
    </row>
    <row r="231" spans="1:11" ht="15.75" customHeight="1">
      <c r="A231" s="42" t="s">
        <v>7</v>
      </c>
      <c r="B231" s="154" t="s">
        <v>1388</v>
      </c>
      <c r="C231" s="43">
        <v>753217</v>
      </c>
      <c r="D231" s="1" t="s">
        <v>80</v>
      </c>
      <c r="E231" s="45" t="s">
        <v>1305</v>
      </c>
      <c r="G231" s="131"/>
    </row>
    <row r="232" spans="1:11" ht="15.75" customHeight="1">
      <c r="A232" s="42" t="s">
        <v>7</v>
      </c>
      <c r="B232" s="154" t="s">
        <v>1388</v>
      </c>
      <c r="C232" s="43">
        <v>2910535</v>
      </c>
      <c r="D232" s="1" t="s">
        <v>80</v>
      </c>
      <c r="E232" s="45" t="s">
        <v>1398</v>
      </c>
      <c r="G232" s="131"/>
    </row>
    <row r="233" spans="1:11" ht="15.75" customHeight="1">
      <c r="A233" s="111" t="s">
        <v>8</v>
      </c>
      <c r="B233" s="151" t="s">
        <v>1399</v>
      </c>
      <c r="C233" s="152" t="s">
        <v>68</v>
      </c>
      <c r="D233" s="152" t="s">
        <v>62</v>
      </c>
      <c r="E233" s="56" t="s">
        <v>69</v>
      </c>
      <c r="F233" s="153"/>
      <c r="G233" s="48" t="s">
        <v>70</v>
      </c>
      <c r="H233" s="78"/>
      <c r="I233" s="78"/>
      <c r="J233" s="78"/>
      <c r="K233" s="78"/>
    </row>
    <row r="234" spans="1:11" ht="15.75" customHeight="1">
      <c r="A234" s="134" t="s">
        <v>8</v>
      </c>
      <c r="B234" s="154" t="s">
        <v>1399</v>
      </c>
      <c r="C234" s="43">
        <v>753200</v>
      </c>
      <c r="D234" s="158" t="s">
        <v>80</v>
      </c>
      <c r="E234" s="56" t="s">
        <v>1265</v>
      </c>
      <c r="G234" s="48" t="s">
        <v>1242</v>
      </c>
    </row>
    <row r="235" spans="1:11" ht="15.75" customHeight="1">
      <c r="A235" s="134" t="s">
        <v>8</v>
      </c>
      <c r="B235" s="154" t="s">
        <v>1399</v>
      </c>
      <c r="C235" s="43">
        <v>800898</v>
      </c>
      <c r="D235" s="158" t="s">
        <v>80</v>
      </c>
      <c r="E235" s="56" t="s">
        <v>1283</v>
      </c>
      <c r="G235" s="50"/>
    </row>
    <row r="236" spans="1:11" ht="15.75" customHeight="1">
      <c r="A236" s="134" t="s">
        <v>8</v>
      </c>
      <c r="B236" s="154" t="s">
        <v>1399</v>
      </c>
      <c r="C236" s="43">
        <v>753101</v>
      </c>
      <c r="D236" s="158" t="s">
        <v>80</v>
      </c>
      <c r="E236" s="56" t="s">
        <v>1251</v>
      </c>
      <c r="G236" s="131"/>
    </row>
    <row r="237" spans="1:11" ht="15.75" customHeight="1">
      <c r="A237" s="134" t="s">
        <v>8</v>
      </c>
      <c r="B237" s="154" t="s">
        <v>1399</v>
      </c>
      <c r="C237" s="43">
        <v>753070</v>
      </c>
      <c r="D237" s="158" t="s">
        <v>80</v>
      </c>
      <c r="E237" s="56" t="s">
        <v>1303</v>
      </c>
      <c r="G237" s="131"/>
    </row>
    <row r="238" spans="1:11" ht="15.75" customHeight="1">
      <c r="A238" s="134" t="s">
        <v>8</v>
      </c>
      <c r="B238" s="154" t="s">
        <v>1399</v>
      </c>
      <c r="C238" s="43">
        <v>753100</v>
      </c>
      <c r="D238" s="158" t="s">
        <v>83</v>
      </c>
      <c r="E238" s="56" t="s">
        <v>1400</v>
      </c>
      <c r="G238" s="50"/>
    </row>
    <row r="239" spans="1:11" ht="15.75" customHeight="1">
      <c r="A239" s="134" t="s">
        <v>8</v>
      </c>
      <c r="B239" s="154" t="s">
        <v>1399</v>
      </c>
      <c r="C239" s="43">
        <v>733749</v>
      </c>
      <c r="D239" s="158" t="s">
        <v>83</v>
      </c>
      <c r="E239" s="56" t="s">
        <v>1401</v>
      </c>
      <c r="G239" s="131"/>
    </row>
    <row r="240" spans="1:11" ht="15.75" customHeight="1">
      <c r="A240" s="134" t="s">
        <v>8</v>
      </c>
      <c r="B240" s="154" t="s">
        <v>1399</v>
      </c>
      <c r="C240" s="43">
        <v>753083</v>
      </c>
      <c r="D240" s="158" t="s">
        <v>71</v>
      </c>
      <c r="E240" s="56" t="s">
        <v>1402</v>
      </c>
      <c r="G240" s="131"/>
    </row>
    <row r="241" spans="1:11" ht="15.75" customHeight="1">
      <c r="A241" s="134" t="s">
        <v>8</v>
      </c>
      <c r="B241" s="154" t="s">
        <v>1399</v>
      </c>
      <c r="C241" s="43">
        <v>778027</v>
      </c>
      <c r="D241" s="158" t="s">
        <v>83</v>
      </c>
      <c r="E241" s="56" t="s">
        <v>1403</v>
      </c>
      <c r="G241" s="131"/>
    </row>
    <row r="242" spans="1:11" ht="15.75" customHeight="1">
      <c r="A242" s="134" t="s">
        <v>8</v>
      </c>
      <c r="B242" s="154" t="s">
        <v>1399</v>
      </c>
      <c r="C242" s="43">
        <v>733879</v>
      </c>
      <c r="D242" s="158" t="s">
        <v>80</v>
      </c>
      <c r="E242" s="56" t="s">
        <v>1368</v>
      </c>
      <c r="G242" s="131"/>
    </row>
    <row r="243" spans="1:11" ht="15.75" customHeight="1">
      <c r="A243" s="134" t="s">
        <v>8</v>
      </c>
      <c r="B243" s="154" t="s">
        <v>1399</v>
      </c>
      <c r="C243" s="43">
        <v>753205</v>
      </c>
      <c r="D243" s="158" t="s">
        <v>80</v>
      </c>
      <c r="E243" s="56" t="s">
        <v>1404</v>
      </c>
      <c r="G243" s="131"/>
    </row>
    <row r="244" spans="1:11" ht="15.75" customHeight="1">
      <c r="A244" s="134" t="s">
        <v>8</v>
      </c>
      <c r="B244" s="154" t="s">
        <v>1399</v>
      </c>
      <c r="C244" s="43">
        <v>2928584</v>
      </c>
      <c r="D244" s="158" t="s">
        <v>773</v>
      </c>
      <c r="E244" s="56" t="s">
        <v>1269</v>
      </c>
      <c r="G244" s="131"/>
    </row>
    <row r="245" spans="1:11" ht="15.75" customHeight="1">
      <c r="A245" s="134" t="s">
        <v>8</v>
      </c>
      <c r="B245" s="154" t="s">
        <v>1399</v>
      </c>
      <c r="C245" s="43">
        <v>2282124</v>
      </c>
      <c r="D245" s="158" t="s">
        <v>83</v>
      </c>
      <c r="E245" s="56" t="s">
        <v>1345</v>
      </c>
      <c r="G245" s="131"/>
    </row>
    <row r="246" spans="1:11" ht="15.75" customHeight="1">
      <c r="A246" s="134" t="s">
        <v>8</v>
      </c>
      <c r="B246" s="154" t="s">
        <v>1399</v>
      </c>
      <c r="C246" s="43">
        <v>2929567</v>
      </c>
      <c r="D246" s="158" t="s">
        <v>83</v>
      </c>
      <c r="E246" s="56" t="s">
        <v>1316</v>
      </c>
      <c r="G246" s="131"/>
    </row>
    <row r="247" spans="1:11" ht="15.75" customHeight="1">
      <c r="A247" s="134" t="s">
        <v>8</v>
      </c>
      <c r="B247" s="154" t="s">
        <v>1399</v>
      </c>
      <c r="C247" s="43">
        <v>753101</v>
      </c>
      <c r="D247" s="158" t="s">
        <v>80</v>
      </c>
      <c r="E247" s="56" t="s">
        <v>1251</v>
      </c>
      <c r="G247" s="131"/>
    </row>
    <row r="248" spans="1:11" ht="15.75" customHeight="1">
      <c r="A248" s="134" t="s">
        <v>8</v>
      </c>
      <c r="B248" s="154" t="s">
        <v>1399</v>
      </c>
      <c r="C248" s="43">
        <v>2392460</v>
      </c>
      <c r="D248" s="158" t="s">
        <v>90</v>
      </c>
      <c r="E248" s="56" t="s">
        <v>1405</v>
      </c>
      <c r="G248" s="131"/>
    </row>
    <row r="249" spans="1:11" ht="15.75" customHeight="1">
      <c r="A249" s="111" t="s">
        <v>9</v>
      </c>
      <c r="B249" s="151" t="s">
        <v>1406</v>
      </c>
      <c r="C249" s="152" t="s">
        <v>68</v>
      </c>
      <c r="D249" s="152" t="s">
        <v>62</v>
      </c>
      <c r="E249" s="56" t="s">
        <v>69</v>
      </c>
      <c r="F249" s="153"/>
      <c r="G249" s="48" t="s">
        <v>70</v>
      </c>
      <c r="H249" s="78"/>
      <c r="I249" s="78"/>
      <c r="J249" s="78"/>
      <c r="K249" s="78"/>
    </row>
    <row r="250" spans="1:11" ht="15.75" customHeight="1">
      <c r="A250" s="1" t="s">
        <v>9</v>
      </c>
      <c r="B250" s="154" t="s">
        <v>1406</v>
      </c>
      <c r="C250" s="43">
        <v>2931604</v>
      </c>
      <c r="D250" s="1" t="s">
        <v>83</v>
      </c>
      <c r="E250" s="45" t="s">
        <v>1407</v>
      </c>
      <c r="G250" s="48" t="s">
        <v>1408</v>
      </c>
    </row>
    <row r="251" spans="1:11" ht="15.75" customHeight="1">
      <c r="A251" s="1" t="s">
        <v>9</v>
      </c>
      <c r="B251" s="154" t="s">
        <v>1406</v>
      </c>
      <c r="C251" s="43">
        <v>2928598</v>
      </c>
      <c r="D251" s="1" t="s">
        <v>101</v>
      </c>
      <c r="E251" s="45" t="s">
        <v>1409</v>
      </c>
      <c r="G251" s="50"/>
    </row>
    <row r="252" spans="1:11" ht="15.75" customHeight="1">
      <c r="A252" s="1" t="s">
        <v>9</v>
      </c>
      <c r="B252" s="154" t="s">
        <v>1406</v>
      </c>
      <c r="C252" s="43">
        <v>2929565</v>
      </c>
      <c r="D252" s="1" t="s">
        <v>83</v>
      </c>
      <c r="E252" s="49" t="s">
        <v>1364</v>
      </c>
      <c r="G252" s="50"/>
    </row>
    <row r="253" spans="1:11" ht="15.75" customHeight="1">
      <c r="A253" s="1" t="s">
        <v>9</v>
      </c>
      <c r="B253" s="154" t="s">
        <v>1406</v>
      </c>
      <c r="C253" s="43">
        <v>748851</v>
      </c>
      <c r="D253" s="1" t="s">
        <v>80</v>
      </c>
      <c r="E253" s="45" t="s">
        <v>1346</v>
      </c>
      <c r="G253" s="50"/>
    </row>
    <row r="254" spans="1:11" ht="15.75" customHeight="1">
      <c r="A254" s="1" t="s">
        <v>9</v>
      </c>
      <c r="B254" s="154" t="s">
        <v>1406</v>
      </c>
      <c r="C254" s="43">
        <v>2903150</v>
      </c>
      <c r="D254" s="1" t="s">
        <v>71</v>
      </c>
      <c r="E254" s="45" t="s">
        <v>1410</v>
      </c>
      <c r="G254" s="50"/>
    </row>
    <row r="255" spans="1:11" ht="15.75" customHeight="1">
      <c r="A255" s="1" t="s">
        <v>9</v>
      </c>
      <c r="B255" s="154" t="s">
        <v>1406</v>
      </c>
      <c r="C255" s="43">
        <v>5013109</v>
      </c>
      <c r="D255" s="1" t="s">
        <v>71</v>
      </c>
      <c r="E255" s="45" t="s">
        <v>1411</v>
      </c>
      <c r="G255" s="50"/>
    </row>
    <row r="256" spans="1:11" ht="15.75" customHeight="1">
      <c r="A256" s="1" t="s">
        <v>9</v>
      </c>
      <c r="B256" s="154" t="s">
        <v>1406</v>
      </c>
      <c r="C256" s="43">
        <v>5020994</v>
      </c>
      <c r="D256" s="1" t="s">
        <v>71</v>
      </c>
      <c r="E256" s="45" t="s">
        <v>1412</v>
      </c>
      <c r="G256" s="50"/>
    </row>
    <row r="257" spans="1:11" ht="15.75" customHeight="1">
      <c r="A257" s="1" t="s">
        <v>9</v>
      </c>
      <c r="B257" s="154" t="s">
        <v>1406</v>
      </c>
      <c r="C257" s="43">
        <v>2875200</v>
      </c>
      <c r="D257" s="1" t="s">
        <v>71</v>
      </c>
      <c r="E257" s="45" t="s">
        <v>1413</v>
      </c>
      <c r="G257" s="50"/>
    </row>
    <row r="258" spans="1:11" ht="15.75" customHeight="1">
      <c r="A258" s="1" t="s">
        <v>9</v>
      </c>
      <c r="B258" s="154" t="s">
        <v>1406</v>
      </c>
      <c r="C258" s="43">
        <v>2928596</v>
      </c>
      <c r="D258" s="1" t="s">
        <v>80</v>
      </c>
      <c r="E258" s="45" t="s">
        <v>1383</v>
      </c>
      <c r="G258" s="50"/>
    </row>
    <row r="259" spans="1:11" ht="15.75" customHeight="1">
      <c r="A259" s="1" t="s">
        <v>9</v>
      </c>
      <c r="B259" s="154" t="s">
        <v>1406</v>
      </c>
      <c r="C259" s="43">
        <v>5036507</v>
      </c>
      <c r="D259" s="1" t="s">
        <v>83</v>
      </c>
      <c r="E259" s="45" t="s">
        <v>1414</v>
      </c>
      <c r="G259" s="50"/>
    </row>
    <row r="260" spans="1:11" ht="15.75" customHeight="1">
      <c r="A260" s="1" t="s">
        <v>9</v>
      </c>
      <c r="B260" s="154" t="s">
        <v>1406</v>
      </c>
      <c r="C260" s="43">
        <v>5034154</v>
      </c>
      <c r="D260" s="1" t="s">
        <v>71</v>
      </c>
      <c r="E260" s="45" t="s">
        <v>1415</v>
      </c>
      <c r="G260" s="50"/>
    </row>
    <row r="261" spans="1:11" ht="15.75" customHeight="1">
      <c r="A261" s="1" t="s">
        <v>9</v>
      </c>
      <c r="B261" s="154" t="s">
        <v>1406</v>
      </c>
      <c r="C261" s="43">
        <v>2902183</v>
      </c>
      <c r="D261" s="1" t="s">
        <v>71</v>
      </c>
      <c r="E261" s="49" t="s">
        <v>1416</v>
      </c>
      <c r="G261" s="50"/>
    </row>
    <row r="262" spans="1:11" ht="15.75" customHeight="1">
      <c r="A262" s="1" t="s">
        <v>9</v>
      </c>
      <c r="B262" s="154" t="s">
        <v>1406</v>
      </c>
      <c r="C262" s="43">
        <v>5039705</v>
      </c>
      <c r="D262" s="1" t="s">
        <v>80</v>
      </c>
      <c r="E262" s="49" t="s">
        <v>1417</v>
      </c>
      <c r="G262" s="50"/>
    </row>
    <row r="263" spans="1:11" ht="15.75" customHeight="1">
      <c r="A263" s="1" t="s">
        <v>9</v>
      </c>
      <c r="B263" s="154" t="s">
        <v>1406</v>
      </c>
      <c r="C263" s="43">
        <v>2903151</v>
      </c>
      <c r="D263" s="1" t="s">
        <v>90</v>
      </c>
      <c r="E263" s="45" t="s">
        <v>1418</v>
      </c>
      <c r="G263" s="50"/>
    </row>
    <row r="264" spans="1:11" ht="15.75" customHeight="1">
      <c r="A264" s="1" t="s">
        <v>9</v>
      </c>
      <c r="B264" s="154" t="s">
        <v>1406</v>
      </c>
      <c r="C264" s="43">
        <v>2908965</v>
      </c>
      <c r="D264" s="1" t="s">
        <v>71</v>
      </c>
      <c r="E264" s="157" t="s">
        <v>1419</v>
      </c>
      <c r="G264" s="50"/>
    </row>
    <row r="265" spans="1:11" ht="15.75" customHeight="1">
      <c r="A265" s="1" t="s">
        <v>9</v>
      </c>
      <c r="B265" s="154" t="s">
        <v>1406</v>
      </c>
      <c r="C265" s="43">
        <v>2876144</v>
      </c>
      <c r="D265" s="1" t="s">
        <v>83</v>
      </c>
      <c r="E265" s="45" t="s">
        <v>1420</v>
      </c>
      <c r="G265" s="50"/>
    </row>
    <row r="266" spans="1:11" ht="15.75" customHeight="1">
      <c r="A266" s="1" t="s">
        <v>9</v>
      </c>
      <c r="B266" s="154" t="s">
        <v>1406</v>
      </c>
      <c r="C266" s="43">
        <v>2931597</v>
      </c>
      <c r="D266" s="1" t="s">
        <v>90</v>
      </c>
      <c r="E266" s="45" t="s">
        <v>1421</v>
      </c>
      <c r="G266" s="50"/>
    </row>
    <row r="267" spans="1:11" ht="15.75" customHeight="1">
      <c r="A267" s="1" t="s">
        <v>9</v>
      </c>
      <c r="B267" s="154" t="s">
        <v>1406</v>
      </c>
      <c r="C267" s="43">
        <v>2910530</v>
      </c>
      <c r="D267" s="1" t="s">
        <v>71</v>
      </c>
      <c r="E267" s="45" t="s">
        <v>1375</v>
      </c>
      <c r="G267" s="50"/>
    </row>
    <row r="268" spans="1:11" ht="15.75" customHeight="1">
      <c r="A268" s="1" t="s">
        <v>9</v>
      </c>
      <c r="B268" s="154" t="s">
        <v>1406</v>
      </c>
      <c r="C268" s="43">
        <v>753223</v>
      </c>
      <c r="D268" s="1" t="s">
        <v>71</v>
      </c>
      <c r="E268" s="45" t="s">
        <v>1422</v>
      </c>
      <c r="G268" s="50"/>
    </row>
    <row r="269" spans="1:11" ht="15.75" customHeight="1">
      <c r="A269" s="1" t="s">
        <v>9</v>
      </c>
      <c r="B269" s="154" t="s">
        <v>1406</v>
      </c>
      <c r="C269" s="43">
        <v>3157968</v>
      </c>
      <c r="D269" s="1" t="s">
        <v>71</v>
      </c>
      <c r="E269" s="49" t="s">
        <v>1423</v>
      </c>
      <c r="G269" s="50"/>
    </row>
    <row r="270" spans="1:11" ht="15.75" customHeight="1">
      <c r="A270" s="111" t="s">
        <v>10</v>
      </c>
      <c r="B270" s="151" t="s">
        <v>1424</v>
      </c>
      <c r="C270" s="152" t="s">
        <v>68</v>
      </c>
      <c r="D270" s="152" t="s">
        <v>62</v>
      </c>
      <c r="E270" s="56" t="s">
        <v>69</v>
      </c>
      <c r="F270" s="153"/>
      <c r="G270" s="48" t="s">
        <v>70</v>
      </c>
      <c r="H270" s="78"/>
      <c r="I270" s="78"/>
      <c r="J270" s="78"/>
      <c r="K270" s="78"/>
    </row>
    <row r="271" spans="1:11" ht="15.75" customHeight="1">
      <c r="A271" s="1" t="s">
        <v>10</v>
      </c>
      <c r="B271" s="154" t="s">
        <v>1424</v>
      </c>
      <c r="C271" s="43">
        <v>2929554</v>
      </c>
      <c r="D271" s="1" t="s">
        <v>71</v>
      </c>
      <c r="E271" s="45" t="s">
        <v>1425</v>
      </c>
      <c r="G271" s="48" t="s">
        <v>1426</v>
      </c>
    </row>
    <row r="272" spans="1:11" ht="15.75" customHeight="1">
      <c r="A272" s="1" t="s">
        <v>10</v>
      </c>
      <c r="B272" s="154" t="s">
        <v>1424</v>
      </c>
      <c r="C272" s="43">
        <v>2415000</v>
      </c>
      <c r="D272" s="1" t="s">
        <v>71</v>
      </c>
      <c r="E272" s="49" t="s">
        <v>1309</v>
      </c>
      <c r="G272" s="50"/>
    </row>
    <row r="273" spans="1:7" ht="15.75" customHeight="1">
      <c r="A273" s="1" t="s">
        <v>10</v>
      </c>
      <c r="B273" s="154" t="s">
        <v>1424</v>
      </c>
      <c r="C273" s="43">
        <v>2930673</v>
      </c>
      <c r="D273" s="1" t="s">
        <v>80</v>
      </c>
      <c r="E273" s="45" t="s">
        <v>1427</v>
      </c>
      <c r="G273" s="50"/>
    </row>
    <row r="274" spans="1:7" ht="15.75" customHeight="1">
      <c r="A274" s="1" t="s">
        <v>10</v>
      </c>
      <c r="B274" s="154" t="s">
        <v>1424</v>
      </c>
      <c r="C274" s="43">
        <v>2929562</v>
      </c>
      <c r="D274" s="1" t="s">
        <v>101</v>
      </c>
      <c r="E274" s="45" t="s">
        <v>1428</v>
      </c>
      <c r="G274" s="50"/>
    </row>
    <row r="275" spans="1:7" ht="15.75" customHeight="1">
      <c r="A275" s="1" t="s">
        <v>10</v>
      </c>
      <c r="B275" s="154" t="s">
        <v>1424</v>
      </c>
      <c r="C275" s="43">
        <v>2902185</v>
      </c>
      <c r="D275" s="1" t="s">
        <v>71</v>
      </c>
      <c r="E275" s="45" t="s">
        <v>1429</v>
      </c>
      <c r="G275" s="50"/>
    </row>
    <row r="276" spans="1:7" ht="15.75" customHeight="1">
      <c r="A276" s="1" t="s">
        <v>10</v>
      </c>
      <c r="B276" s="154" t="s">
        <v>1424</v>
      </c>
      <c r="C276" s="43">
        <v>2929548</v>
      </c>
      <c r="D276" s="1" t="s">
        <v>83</v>
      </c>
      <c r="E276" s="49" t="s">
        <v>1430</v>
      </c>
      <c r="G276" s="50"/>
    </row>
    <row r="277" spans="1:7" ht="15.75" customHeight="1">
      <c r="A277" s="1" t="s">
        <v>10</v>
      </c>
      <c r="B277" s="154" t="s">
        <v>1424</v>
      </c>
      <c r="C277" s="43">
        <v>2875217</v>
      </c>
      <c r="D277" s="1" t="s">
        <v>71</v>
      </c>
      <c r="E277" s="45" t="s">
        <v>1431</v>
      </c>
      <c r="G277" s="50"/>
    </row>
    <row r="278" spans="1:7" ht="15.75" customHeight="1">
      <c r="A278" s="1" t="s">
        <v>10</v>
      </c>
      <c r="B278" s="154" t="s">
        <v>1424</v>
      </c>
      <c r="C278" s="43">
        <v>2921898</v>
      </c>
      <c r="D278" s="1" t="s">
        <v>71</v>
      </c>
      <c r="E278" s="45" t="s">
        <v>1432</v>
      </c>
      <c r="G278" s="50"/>
    </row>
    <row r="279" spans="1:7" ht="15.75" customHeight="1">
      <c r="A279" s="1" t="s">
        <v>10</v>
      </c>
      <c r="B279" s="154" t="s">
        <v>1424</v>
      </c>
      <c r="C279" s="43">
        <v>2908962</v>
      </c>
      <c r="D279" s="1" t="s">
        <v>83</v>
      </c>
      <c r="E279" s="45" t="s">
        <v>1433</v>
      </c>
      <c r="G279" s="50"/>
    </row>
    <row r="280" spans="1:7" ht="15.75" customHeight="1">
      <c r="A280" s="1" t="s">
        <v>10</v>
      </c>
      <c r="B280" s="154" t="s">
        <v>1424</v>
      </c>
      <c r="C280" s="43">
        <v>2928581</v>
      </c>
      <c r="D280" s="1" t="s">
        <v>101</v>
      </c>
      <c r="E280" s="45" t="s">
        <v>1434</v>
      </c>
      <c r="G280" s="50"/>
    </row>
    <row r="281" spans="1:7" ht="15.75" customHeight="1">
      <c r="A281" s="1" t="s">
        <v>10</v>
      </c>
      <c r="B281" s="154" t="s">
        <v>1424</v>
      </c>
      <c r="C281" s="43">
        <v>2910531</v>
      </c>
      <c r="D281" s="1" t="s">
        <v>83</v>
      </c>
      <c r="E281" s="45" t="s">
        <v>1435</v>
      </c>
      <c r="G281" s="50"/>
    </row>
    <row r="282" spans="1:7" ht="15.75" customHeight="1">
      <c r="A282" s="1" t="s">
        <v>10</v>
      </c>
      <c r="B282" s="154" t="s">
        <v>1424</v>
      </c>
      <c r="C282" s="43">
        <v>5018053</v>
      </c>
      <c r="D282" s="1" t="s">
        <v>83</v>
      </c>
      <c r="E282" s="45" t="s">
        <v>1436</v>
      </c>
      <c r="G282" s="50"/>
    </row>
    <row r="283" spans="1:7" ht="15.75" customHeight="1">
      <c r="A283" s="1" t="s">
        <v>10</v>
      </c>
      <c r="B283" s="154" t="s">
        <v>1424</v>
      </c>
      <c r="C283" s="43">
        <v>2909979</v>
      </c>
      <c r="D283" s="1" t="s">
        <v>71</v>
      </c>
      <c r="E283" s="45" t="s">
        <v>1437</v>
      </c>
      <c r="G283" s="50"/>
    </row>
    <row r="284" spans="1:7" ht="15.75" customHeight="1">
      <c r="A284" s="1" t="s">
        <v>10</v>
      </c>
      <c r="B284" s="154" t="s">
        <v>1424</v>
      </c>
      <c r="C284" s="43">
        <v>2432275</v>
      </c>
      <c r="D284" s="1" t="s">
        <v>80</v>
      </c>
      <c r="E284" s="49" t="s">
        <v>1438</v>
      </c>
      <c r="G284" s="50"/>
    </row>
    <row r="285" spans="1:7" ht="15.75" customHeight="1">
      <c r="A285" s="1" t="s">
        <v>10</v>
      </c>
      <c r="B285" s="154" t="s">
        <v>1424</v>
      </c>
      <c r="C285" s="43">
        <v>2928597</v>
      </c>
      <c r="D285" s="1" t="s">
        <v>80</v>
      </c>
      <c r="E285" s="45" t="s">
        <v>1439</v>
      </c>
      <c r="G285" s="50"/>
    </row>
    <row r="286" spans="1:7" ht="15.75" customHeight="1">
      <c r="A286" s="1" t="s">
        <v>10</v>
      </c>
      <c r="B286" s="154" t="s">
        <v>1424</v>
      </c>
      <c r="C286" s="43">
        <v>2874279</v>
      </c>
      <c r="D286" s="1" t="s">
        <v>101</v>
      </c>
      <c r="E286" s="45" t="s">
        <v>1440</v>
      </c>
      <c r="G286" s="50"/>
    </row>
    <row r="287" spans="1:7" ht="15.75" customHeight="1">
      <c r="A287" s="1" t="s">
        <v>10</v>
      </c>
      <c r="B287" s="154" t="s">
        <v>1424</v>
      </c>
      <c r="C287" s="43">
        <v>2908960</v>
      </c>
      <c r="D287" s="1" t="s">
        <v>101</v>
      </c>
      <c r="E287" s="45" t="s">
        <v>1441</v>
      </c>
      <c r="G287" s="50"/>
    </row>
    <row r="288" spans="1:7" ht="15.75" customHeight="1">
      <c r="A288" s="1" t="s">
        <v>10</v>
      </c>
      <c r="B288" s="154" t="s">
        <v>1424</v>
      </c>
      <c r="C288" s="43">
        <v>2878158</v>
      </c>
      <c r="D288" s="1" t="s">
        <v>83</v>
      </c>
      <c r="E288" s="45" t="s">
        <v>1442</v>
      </c>
      <c r="G288" s="50"/>
    </row>
    <row r="289" spans="1:11" ht="15.75" customHeight="1">
      <c r="A289" s="1" t="s">
        <v>10</v>
      </c>
      <c r="B289" s="154" t="s">
        <v>1424</v>
      </c>
      <c r="C289" s="43">
        <v>2875329</v>
      </c>
      <c r="D289" s="1" t="s">
        <v>90</v>
      </c>
      <c r="E289" s="45" t="s">
        <v>1443</v>
      </c>
      <c r="G289" s="50"/>
    </row>
    <row r="290" spans="1:11" ht="15.75" customHeight="1">
      <c r="A290" s="111" t="s">
        <v>11</v>
      </c>
      <c r="B290" s="151" t="s">
        <v>1444</v>
      </c>
      <c r="C290" s="152" t="s">
        <v>68</v>
      </c>
      <c r="D290" s="152" t="s">
        <v>62</v>
      </c>
      <c r="E290" s="56" t="s">
        <v>69</v>
      </c>
      <c r="F290" s="153"/>
      <c r="G290" s="48" t="s">
        <v>70</v>
      </c>
      <c r="H290" s="78"/>
      <c r="I290" s="78"/>
      <c r="J290" s="78"/>
      <c r="K290" s="78"/>
    </row>
    <row r="291" spans="1:11" ht="15.75" customHeight="1">
      <c r="A291" s="1" t="s">
        <v>11</v>
      </c>
      <c r="B291" s="154" t="s">
        <v>1444</v>
      </c>
      <c r="C291" s="43">
        <v>753080</v>
      </c>
      <c r="D291" s="1" t="s">
        <v>71</v>
      </c>
      <c r="E291" s="45" t="s">
        <v>1445</v>
      </c>
      <c r="F291" s="155"/>
      <c r="G291" s="48" t="s">
        <v>528</v>
      </c>
    </row>
    <row r="292" spans="1:11" ht="15.75" customHeight="1">
      <c r="A292" s="1" t="s">
        <v>11</v>
      </c>
      <c r="B292" s="154" t="s">
        <v>1444</v>
      </c>
      <c r="C292" s="43">
        <v>753192</v>
      </c>
      <c r="D292" s="1" t="s">
        <v>71</v>
      </c>
      <c r="E292" s="49" t="s">
        <v>1446</v>
      </c>
      <c r="F292" s="155"/>
      <c r="G292" s="131"/>
    </row>
    <row r="293" spans="1:11" ht="15.75" customHeight="1">
      <c r="A293" s="1" t="s">
        <v>11</v>
      </c>
      <c r="B293" s="154" t="s">
        <v>1444</v>
      </c>
      <c r="C293" s="43">
        <v>2908962</v>
      </c>
      <c r="D293" s="1" t="s">
        <v>83</v>
      </c>
      <c r="E293" s="45" t="s">
        <v>1433</v>
      </c>
      <c r="F293" s="155"/>
      <c r="G293" s="131"/>
    </row>
    <row r="294" spans="1:11" ht="15.75" customHeight="1">
      <c r="A294" s="1" t="s">
        <v>11</v>
      </c>
      <c r="B294" s="154" t="s">
        <v>1444</v>
      </c>
      <c r="C294" s="43">
        <v>2930666</v>
      </c>
      <c r="D294" s="1" t="s">
        <v>83</v>
      </c>
      <c r="E294" s="45" t="s">
        <v>1447</v>
      </c>
      <c r="F294" s="155"/>
      <c r="G294" s="131"/>
    </row>
    <row r="295" spans="1:11" ht="15.75" customHeight="1">
      <c r="A295" s="1" t="s">
        <v>11</v>
      </c>
      <c r="B295" s="154" t="s">
        <v>1444</v>
      </c>
      <c r="C295" s="43">
        <v>2928580</v>
      </c>
      <c r="D295" s="1" t="s">
        <v>83</v>
      </c>
      <c r="E295" s="45" t="s">
        <v>1448</v>
      </c>
      <c r="F295" s="155"/>
      <c r="G295" s="131"/>
    </row>
    <row r="296" spans="1:11" ht="15.75" customHeight="1">
      <c r="A296" s="1" t="s">
        <v>11</v>
      </c>
      <c r="B296" s="154" t="s">
        <v>1444</v>
      </c>
      <c r="C296" s="43">
        <v>2928601</v>
      </c>
      <c r="D296" s="1" t="s">
        <v>83</v>
      </c>
      <c r="E296" s="45" t="s">
        <v>1449</v>
      </c>
      <c r="F296" s="155"/>
      <c r="G296" s="131"/>
    </row>
    <row r="297" spans="1:11" ht="15.75" customHeight="1">
      <c r="A297" s="1" t="s">
        <v>11</v>
      </c>
      <c r="B297" s="154" t="s">
        <v>1444</v>
      </c>
      <c r="C297" s="43">
        <v>2909979</v>
      </c>
      <c r="D297" s="1" t="s">
        <v>71</v>
      </c>
      <c r="E297" s="45" t="s">
        <v>1437</v>
      </c>
      <c r="F297" s="155"/>
      <c r="G297" s="131"/>
    </row>
    <row r="298" spans="1:11" ht="15.75" customHeight="1">
      <c r="A298" s="111" t="s">
        <v>12</v>
      </c>
      <c r="B298" s="151" t="s">
        <v>1450</v>
      </c>
      <c r="C298" s="152" t="s">
        <v>68</v>
      </c>
      <c r="D298" s="152" t="s">
        <v>62</v>
      </c>
      <c r="E298" s="56" t="s">
        <v>69</v>
      </c>
      <c r="F298" s="153"/>
      <c r="G298" s="48" t="s">
        <v>70</v>
      </c>
      <c r="H298" s="78"/>
      <c r="I298" s="78"/>
      <c r="J298" s="78"/>
      <c r="K298" s="78"/>
    </row>
    <row r="299" spans="1:11" ht="15.75" customHeight="1">
      <c r="A299" s="1" t="s">
        <v>12</v>
      </c>
      <c r="B299" s="154" t="s">
        <v>1450</v>
      </c>
      <c r="C299" s="43">
        <v>2931603</v>
      </c>
      <c r="D299" s="1" t="s">
        <v>80</v>
      </c>
      <c r="E299" s="45" t="s">
        <v>1307</v>
      </c>
      <c r="F299" s="159"/>
      <c r="G299" s="48" t="s">
        <v>1308</v>
      </c>
    </row>
    <row r="300" spans="1:11" ht="15.75" customHeight="1">
      <c r="A300" s="1" t="s">
        <v>12</v>
      </c>
      <c r="B300" s="154" t="s">
        <v>1450</v>
      </c>
      <c r="C300" s="43">
        <v>2929559</v>
      </c>
      <c r="D300" s="1" t="s">
        <v>80</v>
      </c>
      <c r="E300" s="45" t="s">
        <v>1310</v>
      </c>
      <c r="F300" s="144"/>
      <c r="G300" s="48" t="s">
        <v>1451</v>
      </c>
    </row>
    <row r="301" spans="1:11" ht="15.75" customHeight="1">
      <c r="A301" s="1" t="s">
        <v>12</v>
      </c>
      <c r="B301" s="154" t="s">
        <v>1450</v>
      </c>
      <c r="C301" s="43">
        <v>2448095</v>
      </c>
      <c r="D301" s="1" t="s">
        <v>101</v>
      </c>
      <c r="E301" s="49" t="s">
        <v>1452</v>
      </c>
      <c r="F301" s="144"/>
      <c r="G301" s="59"/>
    </row>
    <row r="302" spans="1:11" ht="15.75" customHeight="1">
      <c r="A302" s="1" t="s">
        <v>12</v>
      </c>
      <c r="B302" s="154" t="s">
        <v>1450</v>
      </c>
      <c r="C302" s="43">
        <v>2908959</v>
      </c>
      <c r="D302" s="1" t="s">
        <v>90</v>
      </c>
      <c r="E302" s="45" t="s">
        <v>1245</v>
      </c>
      <c r="F302" s="144"/>
      <c r="G302" s="59"/>
    </row>
    <row r="303" spans="1:11" ht="15.75" customHeight="1">
      <c r="A303" s="1" t="s">
        <v>12</v>
      </c>
      <c r="B303" s="154" t="s">
        <v>1450</v>
      </c>
      <c r="C303" s="43">
        <v>2931453</v>
      </c>
      <c r="D303" s="1" t="s">
        <v>83</v>
      </c>
      <c r="E303" s="49" t="s">
        <v>1453</v>
      </c>
      <c r="F303" s="144"/>
      <c r="G303" s="59"/>
    </row>
    <row r="304" spans="1:11" ht="15.75" customHeight="1">
      <c r="A304" s="1" t="s">
        <v>12</v>
      </c>
      <c r="B304" s="154" t="s">
        <v>1450</v>
      </c>
      <c r="C304" s="43">
        <v>753196</v>
      </c>
      <c r="D304" s="1" t="s">
        <v>71</v>
      </c>
      <c r="E304" s="45" t="s">
        <v>1454</v>
      </c>
      <c r="F304" s="144"/>
      <c r="G304" s="59"/>
    </row>
    <row r="305" spans="1:7" ht="15.75" customHeight="1">
      <c r="A305" s="1" t="s">
        <v>12</v>
      </c>
      <c r="B305" s="154" t="s">
        <v>1450</v>
      </c>
      <c r="C305" s="43">
        <v>2928582</v>
      </c>
      <c r="D305" s="1" t="s">
        <v>83</v>
      </c>
      <c r="E305" s="45" t="s">
        <v>1256</v>
      </c>
      <c r="F305" s="144"/>
      <c r="G305" s="59"/>
    </row>
    <row r="306" spans="1:7" ht="15.75" customHeight="1">
      <c r="A306" s="1" t="s">
        <v>12</v>
      </c>
      <c r="B306" s="154" t="s">
        <v>1450</v>
      </c>
      <c r="C306" s="43">
        <v>2873260</v>
      </c>
      <c r="D306" s="1" t="s">
        <v>71</v>
      </c>
      <c r="E306" s="45" t="s">
        <v>1317</v>
      </c>
      <c r="F306" s="144"/>
      <c r="G306" s="59"/>
    </row>
    <row r="307" spans="1:7" ht="15.75" customHeight="1">
      <c r="A307" s="1" t="s">
        <v>12</v>
      </c>
      <c r="B307" s="154" t="s">
        <v>1450</v>
      </c>
      <c r="C307" s="43">
        <v>2929560</v>
      </c>
      <c r="D307" s="1" t="s">
        <v>71</v>
      </c>
      <c r="E307" s="45" t="s">
        <v>1258</v>
      </c>
      <c r="F307" s="144"/>
      <c r="G307" s="59"/>
    </row>
    <row r="308" spans="1:7" ht="15.75" customHeight="1">
      <c r="A308" s="1" t="s">
        <v>12</v>
      </c>
      <c r="B308" s="154" t="s">
        <v>1450</v>
      </c>
      <c r="C308" s="43">
        <v>5036508</v>
      </c>
      <c r="D308" s="1" t="s">
        <v>83</v>
      </c>
      <c r="E308" s="49" t="s">
        <v>1319</v>
      </c>
      <c r="F308" s="144"/>
      <c r="G308" s="59"/>
    </row>
    <row r="309" spans="1:7" ht="15.75" customHeight="1">
      <c r="A309" s="1" t="s">
        <v>12</v>
      </c>
      <c r="B309" s="154" t="s">
        <v>1450</v>
      </c>
      <c r="C309" s="43">
        <v>2841371</v>
      </c>
      <c r="D309" s="1" t="s">
        <v>83</v>
      </c>
      <c r="E309" s="45" t="s">
        <v>1320</v>
      </c>
      <c r="F309" s="144"/>
      <c r="G309" s="59"/>
    </row>
    <row r="310" spans="1:7" ht="15.75" customHeight="1">
      <c r="A310" s="1" t="s">
        <v>12</v>
      </c>
      <c r="B310" s="154" t="s">
        <v>1450</v>
      </c>
      <c r="C310" s="43">
        <v>2901334</v>
      </c>
      <c r="D310" s="1" t="s">
        <v>101</v>
      </c>
      <c r="E310" s="45" t="s">
        <v>1323</v>
      </c>
      <c r="F310" s="144"/>
      <c r="G310" s="59"/>
    </row>
    <row r="311" spans="1:7" ht="15.75" customHeight="1">
      <c r="A311" s="1" t="s">
        <v>12</v>
      </c>
      <c r="B311" s="154" t="s">
        <v>1450</v>
      </c>
      <c r="C311" s="43">
        <v>2873193</v>
      </c>
      <c r="D311" s="1" t="s">
        <v>80</v>
      </c>
      <c r="E311" s="45" t="s">
        <v>1327</v>
      </c>
      <c r="F311" s="144"/>
      <c r="G311" s="59"/>
    </row>
    <row r="312" spans="1:7" ht="15.75" customHeight="1">
      <c r="A312" s="1" t="s">
        <v>12</v>
      </c>
      <c r="B312" s="154" t="s">
        <v>1450</v>
      </c>
      <c r="C312" s="43">
        <v>2931595</v>
      </c>
      <c r="D312" s="1" t="s">
        <v>101</v>
      </c>
      <c r="E312" s="49" t="s">
        <v>1455</v>
      </c>
      <c r="F312" s="144"/>
      <c r="G312" s="59"/>
    </row>
    <row r="313" spans="1:7" ht="15.75" customHeight="1">
      <c r="A313" s="1" t="s">
        <v>12</v>
      </c>
      <c r="B313" s="154" t="s">
        <v>1450</v>
      </c>
      <c r="C313" s="43">
        <v>753220</v>
      </c>
      <c r="D313" s="1" t="s">
        <v>90</v>
      </c>
      <c r="E313" s="49" t="s">
        <v>1328</v>
      </c>
      <c r="F313" s="144"/>
      <c r="G313" s="59"/>
    </row>
    <row r="314" spans="1:7" ht="15.75" customHeight="1">
      <c r="A314" s="1" t="s">
        <v>12</v>
      </c>
      <c r="B314" s="154" t="s">
        <v>1450</v>
      </c>
      <c r="C314" s="43">
        <v>5023837</v>
      </c>
      <c r="D314" s="1" t="s">
        <v>71</v>
      </c>
      <c r="E314" s="45" t="s">
        <v>1456</v>
      </c>
      <c r="F314" s="144"/>
      <c r="G314" s="59"/>
    </row>
    <row r="315" spans="1:7" ht="15.75" customHeight="1">
      <c r="A315" s="1" t="s">
        <v>12</v>
      </c>
      <c r="B315" s="154" t="s">
        <v>1450</v>
      </c>
      <c r="C315" s="43">
        <v>2459040</v>
      </c>
      <c r="D315" s="1" t="s">
        <v>80</v>
      </c>
      <c r="E315" s="49" t="s">
        <v>1457</v>
      </c>
      <c r="F315" s="144"/>
      <c r="G315" s="59"/>
    </row>
    <row r="316" spans="1:7" ht="15.75" customHeight="1">
      <c r="A316" s="1" t="s">
        <v>12</v>
      </c>
      <c r="B316" s="154" t="s">
        <v>1450</v>
      </c>
      <c r="C316" s="43">
        <v>2874152</v>
      </c>
      <c r="D316" s="1" t="s">
        <v>80</v>
      </c>
      <c r="E316" s="45" t="s">
        <v>1330</v>
      </c>
      <c r="F316" s="144"/>
      <c r="G316" s="59"/>
    </row>
    <row r="317" spans="1:7" ht="15.75" customHeight="1">
      <c r="A317" s="1" t="s">
        <v>12</v>
      </c>
      <c r="B317" s="154" t="s">
        <v>1450</v>
      </c>
      <c r="C317" s="43">
        <v>2911567</v>
      </c>
      <c r="D317" s="1" t="s">
        <v>83</v>
      </c>
      <c r="E317" s="45" t="s">
        <v>1458</v>
      </c>
      <c r="F317" s="144"/>
      <c r="G317" s="59"/>
    </row>
    <row r="318" spans="1:7" ht="15.75" customHeight="1">
      <c r="A318" s="1" t="s">
        <v>12</v>
      </c>
      <c r="B318" s="154" t="s">
        <v>1450</v>
      </c>
      <c r="C318" s="43">
        <v>2210175</v>
      </c>
      <c r="D318" s="1" t="s">
        <v>71</v>
      </c>
      <c r="E318" s="45" t="s">
        <v>1336</v>
      </c>
      <c r="F318" s="144"/>
      <c r="G318" s="59"/>
    </row>
    <row r="319" spans="1:7" ht="15.75" customHeight="1">
      <c r="A319" s="1" t="s">
        <v>12</v>
      </c>
      <c r="B319" s="154" t="s">
        <v>1450</v>
      </c>
      <c r="C319" s="43">
        <v>3154987</v>
      </c>
      <c r="D319" s="1" t="s">
        <v>80</v>
      </c>
      <c r="E319" s="49" t="s">
        <v>1372</v>
      </c>
      <c r="F319" s="144"/>
      <c r="G319" s="59"/>
    </row>
    <row r="320" spans="1:7" ht="15.75" customHeight="1">
      <c r="A320" s="1" t="s">
        <v>12</v>
      </c>
      <c r="B320" s="154" t="s">
        <v>1450</v>
      </c>
      <c r="C320" s="43">
        <v>2841350</v>
      </c>
      <c r="D320" s="1" t="s">
        <v>71</v>
      </c>
      <c r="E320" s="45" t="s">
        <v>1360</v>
      </c>
      <c r="F320" s="144"/>
      <c r="G320" s="59"/>
    </row>
    <row r="321" spans="1:11" ht="15.75" customHeight="1">
      <c r="A321" s="1" t="s">
        <v>12</v>
      </c>
      <c r="B321" s="154" t="s">
        <v>1450</v>
      </c>
      <c r="C321" s="43">
        <v>2434279</v>
      </c>
      <c r="D321" s="1" t="s">
        <v>90</v>
      </c>
      <c r="E321" s="49" t="s">
        <v>1459</v>
      </c>
      <c r="F321" s="144"/>
      <c r="G321" s="59"/>
    </row>
    <row r="322" spans="1:11" ht="15.75" customHeight="1">
      <c r="A322" s="1" t="s">
        <v>12</v>
      </c>
      <c r="B322" s="154" t="s">
        <v>1450</v>
      </c>
      <c r="C322" s="43">
        <v>2896676</v>
      </c>
      <c r="D322" s="1" t="s">
        <v>90</v>
      </c>
      <c r="E322" s="49" t="s">
        <v>1460</v>
      </c>
      <c r="F322" s="144"/>
      <c r="G322" s="59"/>
    </row>
    <row r="323" spans="1:11" ht="15.75" customHeight="1">
      <c r="A323" s="1" t="s">
        <v>12</v>
      </c>
      <c r="B323" s="154" t="s">
        <v>1450</v>
      </c>
      <c r="C323" s="43">
        <v>2928591</v>
      </c>
      <c r="D323" s="1" t="s">
        <v>71</v>
      </c>
      <c r="E323" s="45" t="s">
        <v>1461</v>
      </c>
      <c r="F323" s="144"/>
      <c r="G323" s="59"/>
    </row>
    <row r="324" spans="1:11" ht="15.75" customHeight="1">
      <c r="A324" s="1" t="s">
        <v>12</v>
      </c>
      <c r="B324" s="154" t="s">
        <v>1450</v>
      </c>
      <c r="C324" s="43">
        <v>2931592</v>
      </c>
      <c r="D324" s="1" t="s">
        <v>83</v>
      </c>
      <c r="E324" s="45" t="s">
        <v>1341</v>
      </c>
      <c r="F324" s="144"/>
      <c r="G324" s="59"/>
    </row>
    <row r="325" spans="1:11" ht="15.75" customHeight="1">
      <c r="A325" s="111" t="s">
        <v>13</v>
      </c>
      <c r="B325" s="151" t="s">
        <v>1462</v>
      </c>
      <c r="C325" s="152" t="s">
        <v>68</v>
      </c>
      <c r="D325" s="152" t="s">
        <v>62</v>
      </c>
      <c r="E325" s="56" t="s">
        <v>69</v>
      </c>
      <c r="F325" s="153"/>
      <c r="G325" s="48" t="s">
        <v>70</v>
      </c>
      <c r="H325" s="78"/>
      <c r="I325" s="78"/>
      <c r="J325" s="78"/>
      <c r="K325" s="78"/>
    </row>
    <row r="326" spans="1:11" ht="15.75" customHeight="1">
      <c r="A326" s="42" t="s">
        <v>13</v>
      </c>
      <c r="B326" s="154" t="s">
        <v>1462</v>
      </c>
      <c r="C326" s="43">
        <v>2908955</v>
      </c>
      <c r="D326" s="1" t="s">
        <v>80</v>
      </c>
      <c r="E326" s="49" t="s">
        <v>1463</v>
      </c>
      <c r="F326" s="1"/>
      <c r="G326" s="48" t="s">
        <v>1308</v>
      </c>
    </row>
    <row r="327" spans="1:11" ht="15.75" customHeight="1">
      <c r="A327" s="42" t="s">
        <v>13</v>
      </c>
      <c r="B327" s="154" t="s">
        <v>1462</v>
      </c>
      <c r="C327" s="43">
        <v>801467</v>
      </c>
      <c r="D327" s="1" t="s">
        <v>80</v>
      </c>
      <c r="E327" s="45" t="s">
        <v>1464</v>
      </c>
      <c r="F327" s="159"/>
      <c r="G327" s="48" t="s">
        <v>1451</v>
      </c>
    </row>
    <row r="328" spans="1:11" ht="15.75" customHeight="1">
      <c r="A328" s="42" t="s">
        <v>13</v>
      </c>
      <c r="B328" s="154" t="s">
        <v>1462</v>
      </c>
      <c r="C328" s="43">
        <v>3201142</v>
      </c>
      <c r="D328" s="1" t="s">
        <v>80</v>
      </c>
      <c r="E328" s="49" t="s">
        <v>1312</v>
      </c>
      <c r="F328" s="155"/>
      <c r="G328" s="59"/>
    </row>
    <row r="329" spans="1:11" ht="15.75" customHeight="1">
      <c r="A329" s="42" t="s">
        <v>13</v>
      </c>
      <c r="B329" s="154" t="s">
        <v>1462</v>
      </c>
      <c r="C329" s="43">
        <v>2873259</v>
      </c>
      <c r="D329" s="1" t="s">
        <v>71</v>
      </c>
      <c r="E329" s="49" t="s">
        <v>1284</v>
      </c>
      <c r="F329" s="155"/>
      <c r="G329" s="59"/>
    </row>
    <row r="330" spans="1:11" ht="15.75" customHeight="1">
      <c r="A330" s="42" t="s">
        <v>13</v>
      </c>
      <c r="B330" s="154" t="s">
        <v>1462</v>
      </c>
      <c r="C330" s="43">
        <v>2386413</v>
      </c>
      <c r="D330" s="1" t="s">
        <v>80</v>
      </c>
      <c r="E330" s="45" t="s">
        <v>1286</v>
      </c>
      <c r="F330" s="155"/>
      <c r="G330" s="59"/>
    </row>
    <row r="331" spans="1:11" ht="15.75" customHeight="1">
      <c r="A331" s="42" t="s">
        <v>13</v>
      </c>
      <c r="B331" s="154" t="s">
        <v>1462</v>
      </c>
      <c r="C331" s="43">
        <v>801474</v>
      </c>
      <c r="D331" s="1" t="s">
        <v>90</v>
      </c>
      <c r="E331" s="45" t="s">
        <v>1243</v>
      </c>
      <c r="F331" s="155"/>
      <c r="G331" s="59"/>
    </row>
    <row r="332" spans="1:11" ht="15.75" customHeight="1">
      <c r="A332" s="42" t="s">
        <v>13</v>
      </c>
      <c r="B332" s="154" t="s">
        <v>1462</v>
      </c>
      <c r="C332" s="43">
        <v>2928590</v>
      </c>
      <c r="D332" s="1" t="s">
        <v>90</v>
      </c>
      <c r="E332" s="45" t="s">
        <v>1287</v>
      </c>
      <c r="F332" s="155"/>
      <c r="G332" s="59"/>
    </row>
    <row r="333" spans="1:11" ht="15.75" customHeight="1">
      <c r="A333" s="42" t="s">
        <v>13</v>
      </c>
      <c r="B333" s="154" t="s">
        <v>1462</v>
      </c>
      <c r="C333" s="43">
        <v>2841349</v>
      </c>
      <c r="D333" s="1" t="s">
        <v>71</v>
      </c>
      <c r="E333" s="49" t="s">
        <v>1366</v>
      </c>
      <c r="F333" s="155"/>
      <c r="G333" s="59"/>
    </row>
    <row r="334" spans="1:11" ht="15.75" customHeight="1">
      <c r="A334" s="42" t="s">
        <v>13</v>
      </c>
      <c r="B334" s="154" t="s">
        <v>1462</v>
      </c>
      <c r="C334" s="43">
        <v>2874192</v>
      </c>
      <c r="D334" s="1" t="s">
        <v>90</v>
      </c>
      <c r="E334" s="45" t="s">
        <v>1288</v>
      </c>
      <c r="F334" s="155"/>
      <c r="G334" s="59"/>
    </row>
    <row r="335" spans="1:11" ht="15.75" customHeight="1">
      <c r="A335" s="42" t="s">
        <v>13</v>
      </c>
      <c r="B335" s="154" t="s">
        <v>1462</v>
      </c>
      <c r="C335" s="43">
        <v>2929566</v>
      </c>
      <c r="D335" s="1" t="s">
        <v>83</v>
      </c>
      <c r="E335" s="45" t="s">
        <v>1255</v>
      </c>
      <c r="F335" s="155"/>
      <c r="G335" s="59"/>
    </row>
    <row r="336" spans="1:11" ht="15.75" customHeight="1">
      <c r="A336" s="42" t="s">
        <v>13</v>
      </c>
      <c r="B336" s="154" t="s">
        <v>1462</v>
      </c>
      <c r="C336" s="43">
        <v>2432276</v>
      </c>
      <c r="D336" s="1" t="s">
        <v>71</v>
      </c>
      <c r="E336" s="49" t="s">
        <v>1347</v>
      </c>
      <c r="F336" s="155"/>
      <c r="G336" s="59"/>
    </row>
    <row r="337" spans="1:11" ht="15.75" customHeight="1">
      <c r="A337" s="42" t="s">
        <v>13</v>
      </c>
      <c r="B337" s="154" t="s">
        <v>1462</v>
      </c>
      <c r="C337" s="43">
        <v>2460035</v>
      </c>
      <c r="D337" s="1" t="s">
        <v>80</v>
      </c>
      <c r="E337" s="49" t="s">
        <v>1465</v>
      </c>
      <c r="F337" s="155"/>
      <c r="G337" s="59"/>
    </row>
    <row r="338" spans="1:11" ht="15.75" customHeight="1">
      <c r="A338" s="42" t="s">
        <v>13</v>
      </c>
      <c r="B338" s="154" t="s">
        <v>1462</v>
      </c>
      <c r="C338" s="43">
        <v>2876178</v>
      </c>
      <c r="D338" s="1" t="s">
        <v>80</v>
      </c>
      <c r="E338" s="45" t="s">
        <v>1290</v>
      </c>
      <c r="F338" s="155"/>
      <c r="G338" s="59"/>
    </row>
    <row r="339" spans="1:11" ht="15.75" customHeight="1">
      <c r="A339" s="42" t="s">
        <v>13</v>
      </c>
      <c r="B339" s="154" t="s">
        <v>1462</v>
      </c>
      <c r="C339" s="43">
        <v>2908964</v>
      </c>
      <c r="D339" s="1" t="s">
        <v>71</v>
      </c>
      <c r="E339" s="45" t="s">
        <v>1291</v>
      </c>
      <c r="F339" s="155"/>
      <c r="G339" s="59"/>
    </row>
    <row r="340" spans="1:11" ht="15.75" customHeight="1">
      <c r="A340" s="42" t="s">
        <v>13</v>
      </c>
      <c r="B340" s="154" t="s">
        <v>1462</v>
      </c>
      <c r="C340" s="43">
        <v>801456</v>
      </c>
      <c r="D340" s="1" t="s">
        <v>90</v>
      </c>
      <c r="E340" s="45" t="s">
        <v>1466</v>
      </c>
      <c r="F340" s="155"/>
      <c r="G340" s="59"/>
    </row>
    <row r="341" spans="1:11" ht="15.75" customHeight="1">
      <c r="A341" s="42" t="s">
        <v>13</v>
      </c>
      <c r="B341" s="154" t="s">
        <v>1462</v>
      </c>
      <c r="C341" s="43">
        <v>3161001</v>
      </c>
      <c r="D341" s="1" t="s">
        <v>83</v>
      </c>
      <c r="E341" s="49" t="s">
        <v>1467</v>
      </c>
      <c r="F341" s="155"/>
      <c r="G341" s="59"/>
    </row>
    <row r="342" spans="1:11" ht="15.75" customHeight="1">
      <c r="A342" s="42" t="s">
        <v>13</v>
      </c>
      <c r="B342" s="154" t="s">
        <v>1462</v>
      </c>
      <c r="C342" s="43">
        <v>2929551</v>
      </c>
      <c r="D342" s="1" t="s">
        <v>80</v>
      </c>
      <c r="E342" s="45" t="s">
        <v>1295</v>
      </c>
      <c r="F342" s="155"/>
      <c r="G342" s="59"/>
    </row>
    <row r="343" spans="1:11" ht="15.75" customHeight="1">
      <c r="A343" s="42" t="s">
        <v>13</v>
      </c>
      <c r="B343" s="154" t="s">
        <v>1462</v>
      </c>
      <c r="C343" s="43">
        <v>2908961</v>
      </c>
      <c r="D343" s="1" t="s">
        <v>83</v>
      </c>
      <c r="E343" s="45" t="s">
        <v>1468</v>
      </c>
      <c r="F343" s="155"/>
      <c r="G343" s="59"/>
    </row>
    <row r="344" spans="1:11" ht="15.75" customHeight="1">
      <c r="A344" s="42" t="s">
        <v>13</v>
      </c>
      <c r="B344" s="154" t="s">
        <v>1462</v>
      </c>
      <c r="C344" s="43">
        <v>753078</v>
      </c>
      <c r="D344" s="1" t="s">
        <v>80</v>
      </c>
      <c r="E344" s="49" t="s">
        <v>1296</v>
      </c>
      <c r="F344" s="155"/>
      <c r="G344" s="59"/>
    </row>
    <row r="345" spans="1:11" ht="15.75" customHeight="1">
      <c r="A345" s="42" t="s">
        <v>13</v>
      </c>
      <c r="B345" s="154" t="s">
        <v>1462</v>
      </c>
      <c r="C345" s="43">
        <v>2391483</v>
      </c>
      <c r="D345" s="1" t="s">
        <v>80</v>
      </c>
      <c r="E345" s="45" t="s">
        <v>1299</v>
      </c>
      <c r="F345" s="155"/>
      <c r="G345" s="59"/>
    </row>
    <row r="346" spans="1:11" ht="15.75" customHeight="1">
      <c r="A346" s="42" t="s">
        <v>13</v>
      </c>
      <c r="B346" s="154" t="s">
        <v>1462</v>
      </c>
      <c r="C346" s="43">
        <v>3103280</v>
      </c>
      <c r="D346" s="1" t="s">
        <v>80</v>
      </c>
      <c r="E346" s="157" t="s">
        <v>1300</v>
      </c>
      <c r="F346" s="155"/>
      <c r="G346" s="59"/>
    </row>
    <row r="347" spans="1:11" ht="15.75" customHeight="1">
      <c r="A347" s="42" t="s">
        <v>13</v>
      </c>
      <c r="B347" s="154" t="s">
        <v>1462</v>
      </c>
      <c r="C347" s="43">
        <v>2902184</v>
      </c>
      <c r="D347" s="1" t="s">
        <v>773</v>
      </c>
      <c r="E347" s="45" t="s">
        <v>1469</v>
      </c>
      <c r="F347" s="155"/>
      <c r="G347" s="59"/>
    </row>
    <row r="348" spans="1:11" ht="15.75" customHeight="1">
      <c r="A348" s="42" t="s">
        <v>13</v>
      </c>
      <c r="B348" s="154" t="s">
        <v>1462</v>
      </c>
      <c r="C348" s="43">
        <v>2388472</v>
      </c>
      <c r="D348" s="1" t="s">
        <v>90</v>
      </c>
      <c r="E348" s="45" t="s">
        <v>1301</v>
      </c>
      <c r="F348" s="155"/>
      <c r="G348" s="59"/>
    </row>
    <row r="349" spans="1:11" ht="15.75" customHeight="1">
      <c r="A349" s="42" t="s">
        <v>13</v>
      </c>
      <c r="B349" s="154" t="s">
        <v>1462</v>
      </c>
      <c r="C349" s="43">
        <v>752461</v>
      </c>
      <c r="D349" s="1" t="s">
        <v>71</v>
      </c>
      <c r="E349" s="45" t="s">
        <v>1302</v>
      </c>
      <c r="F349" s="155"/>
      <c r="G349" s="59"/>
    </row>
    <row r="350" spans="1:11" ht="15.75" customHeight="1">
      <c r="A350" s="42" t="s">
        <v>13</v>
      </c>
      <c r="B350" s="154" t="s">
        <v>1462</v>
      </c>
      <c r="C350" s="43">
        <v>2902080</v>
      </c>
      <c r="D350" s="1" t="s">
        <v>80</v>
      </c>
      <c r="E350" s="45" t="s">
        <v>1304</v>
      </c>
      <c r="F350" s="155"/>
      <c r="G350" s="59"/>
    </row>
    <row r="351" spans="1:11" ht="15.75" customHeight="1">
      <c r="A351" s="42" t="s">
        <v>13</v>
      </c>
      <c r="B351" s="154" t="s">
        <v>1462</v>
      </c>
      <c r="C351" s="43">
        <v>753208</v>
      </c>
      <c r="D351" s="1" t="s">
        <v>71</v>
      </c>
      <c r="E351" s="45" t="s">
        <v>1470</v>
      </c>
      <c r="F351" s="155"/>
      <c r="G351" s="59"/>
    </row>
    <row r="352" spans="1:11" ht="15.75" customHeight="1">
      <c r="A352" s="111" t="s">
        <v>14</v>
      </c>
      <c r="B352" s="151" t="s">
        <v>1471</v>
      </c>
      <c r="C352" s="152" t="s">
        <v>68</v>
      </c>
      <c r="D352" s="152" t="s">
        <v>62</v>
      </c>
      <c r="E352" s="56" t="s">
        <v>69</v>
      </c>
      <c r="F352" s="153"/>
      <c r="G352" s="48" t="s">
        <v>70</v>
      </c>
      <c r="H352" s="78"/>
      <c r="I352" s="78"/>
      <c r="J352" s="78"/>
      <c r="K352" s="78"/>
    </row>
    <row r="353" spans="1:7" ht="15.75" customHeight="1">
      <c r="A353" s="1" t="s">
        <v>14</v>
      </c>
      <c r="B353" s="154" t="s">
        <v>1471</v>
      </c>
      <c r="C353" s="43">
        <v>2908955</v>
      </c>
      <c r="D353" s="1" t="s">
        <v>80</v>
      </c>
      <c r="E353" s="49" t="s">
        <v>1463</v>
      </c>
      <c r="F353" s="159"/>
      <c r="G353" s="48" t="s">
        <v>1308</v>
      </c>
    </row>
    <row r="354" spans="1:7" ht="15.75" customHeight="1">
      <c r="A354" s="1" t="s">
        <v>14</v>
      </c>
      <c r="B354" s="154" t="s">
        <v>1471</v>
      </c>
      <c r="C354" s="43">
        <v>3201142</v>
      </c>
      <c r="D354" s="44" t="s">
        <v>80</v>
      </c>
      <c r="E354" s="49" t="s">
        <v>1312</v>
      </c>
      <c r="F354" s="159"/>
      <c r="G354" s="48" t="s">
        <v>1451</v>
      </c>
    </row>
    <row r="355" spans="1:7" ht="15.75" customHeight="1">
      <c r="A355" s="1" t="s">
        <v>14</v>
      </c>
      <c r="B355" s="154" t="s">
        <v>1471</v>
      </c>
      <c r="C355" s="43">
        <v>2877214</v>
      </c>
      <c r="D355" s="1" t="s">
        <v>71</v>
      </c>
      <c r="E355" s="45" t="s">
        <v>1314</v>
      </c>
      <c r="F355" s="159"/>
      <c r="G355" s="48" t="s">
        <v>1472</v>
      </c>
    </row>
    <row r="356" spans="1:7" ht="15.75" customHeight="1">
      <c r="A356" s="1" t="s">
        <v>14</v>
      </c>
      <c r="B356" s="154" t="s">
        <v>1471</v>
      </c>
      <c r="C356" s="43">
        <v>2928594</v>
      </c>
      <c r="D356" s="1" t="s">
        <v>90</v>
      </c>
      <c r="E356" s="45" t="s">
        <v>1389</v>
      </c>
      <c r="F356" s="155"/>
      <c r="G356" s="59"/>
    </row>
    <row r="357" spans="1:7" ht="15.75" customHeight="1">
      <c r="A357" s="1" t="s">
        <v>14</v>
      </c>
      <c r="B357" s="154" t="s">
        <v>1471</v>
      </c>
      <c r="C357" s="43">
        <v>2908959</v>
      </c>
      <c r="D357" s="1" t="s">
        <v>90</v>
      </c>
      <c r="E357" s="45" t="s">
        <v>1245</v>
      </c>
      <c r="F357" s="159"/>
      <c r="G357" s="59"/>
    </row>
    <row r="358" spans="1:7" ht="15.75" customHeight="1">
      <c r="A358" s="1" t="s">
        <v>14</v>
      </c>
      <c r="B358" s="154" t="s">
        <v>1471</v>
      </c>
      <c r="C358" s="43">
        <v>753094</v>
      </c>
      <c r="D358" s="1" t="s">
        <v>71</v>
      </c>
      <c r="E358" s="45" t="s">
        <v>1247</v>
      </c>
      <c r="F358" s="155"/>
      <c r="G358" s="131"/>
    </row>
    <row r="359" spans="1:7" ht="15.75" customHeight="1">
      <c r="A359" s="1" t="s">
        <v>14</v>
      </c>
      <c r="B359" s="154" t="s">
        <v>1471</v>
      </c>
      <c r="C359" s="43">
        <v>2931453</v>
      </c>
      <c r="D359" s="1" t="s">
        <v>83</v>
      </c>
      <c r="E359" s="49" t="s">
        <v>1453</v>
      </c>
      <c r="F359" s="155"/>
      <c r="G359" s="50"/>
    </row>
    <row r="360" spans="1:7" ht="15.75" customHeight="1">
      <c r="A360" s="1" t="s">
        <v>14</v>
      </c>
      <c r="B360" s="154" t="s">
        <v>1471</v>
      </c>
      <c r="C360" s="43">
        <v>2928582</v>
      </c>
      <c r="D360" s="1" t="s">
        <v>83</v>
      </c>
      <c r="E360" s="45" t="s">
        <v>1256</v>
      </c>
      <c r="F360" s="155"/>
      <c r="G360" s="50"/>
    </row>
    <row r="361" spans="1:7" ht="15.75" customHeight="1">
      <c r="A361" s="1" t="s">
        <v>14</v>
      </c>
      <c r="B361" s="154" t="s">
        <v>1471</v>
      </c>
      <c r="C361" s="43">
        <v>2432276</v>
      </c>
      <c r="D361" s="44" t="s">
        <v>71</v>
      </c>
      <c r="E361" s="49" t="s">
        <v>1347</v>
      </c>
      <c r="F361" s="155"/>
      <c r="G361" s="50"/>
    </row>
    <row r="362" spans="1:7" ht="15.75" customHeight="1">
      <c r="A362" s="1" t="s">
        <v>14</v>
      </c>
      <c r="B362" s="154" t="s">
        <v>1471</v>
      </c>
      <c r="C362" s="43">
        <v>2460035</v>
      </c>
      <c r="D362" s="44" t="s">
        <v>80</v>
      </c>
      <c r="E362" s="49" t="s">
        <v>1465</v>
      </c>
      <c r="F362" s="155"/>
      <c r="G362" s="50"/>
    </row>
    <row r="363" spans="1:7" ht="15.75" customHeight="1">
      <c r="A363" s="1" t="s">
        <v>14</v>
      </c>
      <c r="B363" s="154" t="s">
        <v>1471</v>
      </c>
      <c r="C363" s="43">
        <v>2929560</v>
      </c>
      <c r="D363" s="1" t="s">
        <v>71</v>
      </c>
      <c r="E363" s="45" t="s">
        <v>1258</v>
      </c>
      <c r="F363" s="155"/>
      <c r="G363" s="50"/>
    </row>
    <row r="364" spans="1:7" ht="15.75" customHeight="1">
      <c r="A364" s="1" t="s">
        <v>14</v>
      </c>
      <c r="B364" s="154" t="s">
        <v>1471</v>
      </c>
      <c r="C364" s="43">
        <v>2909978</v>
      </c>
      <c r="D364" s="1" t="s">
        <v>71</v>
      </c>
      <c r="E364" s="45" t="s">
        <v>1473</v>
      </c>
      <c r="F364" s="155"/>
      <c r="G364" s="50"/>
    </row>
    <row r="365" spans="1:7" ht="15.75" customHeight="1">
      <c r="A365" s="1" t="s">
        <v>14</v>
      </c>
      <c r="B365" s="154" t="s">
        <v>1471</v>
      </c>
      <c r="C365" s="43">
        <v>733879</v>
      </c>
      <c r="D365" s="1" t="s">
        <v>80</v>
      </c>
      <c r="E365" s="45" t="s">
        <v>1368</v>
      </c>
      <c r="F365" s="155"/>
      <c r="G365" s="50"/>
    </row>
    <row r="366" spans="1:7" ht="15.75" customHeight="1">
      <c r="A366" s="1" t="s">
        <v>14</v>
      </c>
      <c r="B366" s="154" t="s">
        <v>1471</v>
      </c>
      <c r="C366" s="43">
        <v>801457</v>
      </c>
      <c r="D366" s="1" t="s">
        <v>71</v>
      </c>
      <c r="E366" s="45" t="s">
        <v>1262</v>
      </c>
      <c r="F366" s="155"/>
      <c r="G366" s="50"/>
    </row>
    <row r="367" spans="1:7" ht="15.75" customHeight="1">
      <c r="A367" s="1" t="s">
        <v>14</v>
      </c>
      <c r="B367" s="154" t="s">
        <v>1471</v>
      </c>
      <c r="C367" s="43">
        <v>2410066</v>
      </c>
      <c r="D367" s="1" t="s">
        <v>90</v>
      </c>
      <c r="E367" s="49" t="s">
        <v>1321</v>
      </c>
      <c r="F367" s="155"/>
      <c r="G367" s="50"/>
    </row>
    <row r="368" spans="1:7" ht="15.75" customHeight="1">
      <c r="A368" s="1" t="s">
        <v>14</v>
      </c>
      <c r="B368" s="154" t="s">
        <v>1471</v>
      </c>
      <c r="C368" s="43">
        <v>753224</v>
      </c>
      <c r="D368" s="1" t="s">
        <v>80</v>
      </c>
      <c r="E368" s="45" t="s">
        <v>1322</v>
      </c>
      <c r="F368" s="155"/>
      <c r="G368" s="50"/>
    </row>
    <row r="369" spans="1:9" ht="15.75" customHeight="1">
      <c r="A369" s="1" t="s">
        <v>14</v>
      </c>
      <c r="B369" s="154" t="s">
        <v>1471</v>
      </c>
      <c r="C369" s="43">
        <v>2901334</v>
      </c>
      <c r="D369" s="1" t="s">
        <v>101</v>
      </c>
      <c r="E369" s="45" t="s">
        <v>1323</v>
      </c>
      <c r="F369" s="155"/>
      <c r="G369" s="50"/>
    </row>
    <row r="370" spans="1:9" ht="15.75" customHeight="1">
      <c r="A370" s="1" t="s">
        <v>14</v>
      </c>
      <c r="B370" s="154" t="s">
        <v>1471</v>
      </c>
      <c r="C370" s="43">
        <v>753202</v>
      </c>
      <c r="D370" s="1" t="s">
        <v>83</v>
      </c>
      <c r="E370" s="49" t="s">
        <v>1474</v>
      </c>
      <c r="F370" s="160"/>
      <c r="G370" s="50"/>
      <c r="H370" s="155"/>
      <c r="I370" s="121"/>
    </row>
    <row r="371" spans="1:9" ht="15.75" customHeight="1">
      <c r="A371" s="1" t="s">
        <v>14</v>
      </c>
      <c r="B371" s="154" t="s">
        <v>1471</v>
      </c>
      <c r="C371" s="43">
        <v>2841359</v>
      </c>
      <c r="D371" s="1" t="s">
        <v>83</v>
      </c>
      <c r="E371" s="45" t="s">
        <v>1353</v>
      </c>
      <c r="F371" s="155"/>
      <c r="G371" s="50"/>
    </row>
    <row r="372" spans="1:9" ht="15.75" customHeight="1">
      <c r="A372" s="1" t="s">
        <v>14</v>
      </c>
      <c r="B372" s="154" t="s">
        <v>1471</v>
      </c>
      <c r="C372" s="43">
        <v>2875199</v>
      </c>
      <c r="D372" s="1" t="s">
        <v>71</v>
      </c>
      <c r="E372" s="45" t="s">
        <v>1475</v>
      </c>
      <c r="F372" s="155"/>
      <c r="G372" s="131"/>
    </row>
    <row r="373" spans="1:9" ht="15.75" customHeight="1">
      <c r="A373" s="1" t="s">
        <v>14</v>
      </c>
      <c r="B373" s="154" t="s">
        <v>1471</v>
      </c>
      <c r="C373" s="43">
        <v>748850</v>
      </c>
      <c r="D373" s="1" t="s">
        <v>71</v>
      </c>
      <c r="E373" s="45" t="s">
        <v>1476</v>
      </c>
      <c r="F373" s="155"/>
      <c r="G373" s="131"/>
    </row>
    <row r="374" spans="1:9" ht="15.75" customHeight="1">
      <c r="A374" s="1" t="s">
        <v>14</v>
      </c>
      <c r="B374" s="154" t="s">
        <v>1471</v>
      </c>
      <c r="C374" s="43">
        <v>2931595</v>
      </c>
      <c r="D374" s="1" t="s">
        <v>101</v>
      </c>
      <c r="E374" s="49" t="s">
        <v>1455</v>
      </c>
      <c r="F374" s="155"/>
      <c r="G374" s="131"/>
    </row>
    <row r="375" spans="1:9" ht="15.75" customHeight="1">
      <c r="A375" s="1" t="s">
        <v>14</v>
      </c>
      <c r="B375" s="154" t="s">
        <v>1471</v>
      </c>
      <c r="C375" s="43">
        <v>752462</v>
      </c>
      <c r="D375" s="1" t="s">
        <v>71</v>
      </c>
      <c r="E375" s="45" t="s">
        <v>1477</v>
      </c>
      <c r="F375" s="155"/>
      <c r="G375" s="131"/>
    </row>
    <row r="376" spans="1:9" ht="15.75" customHeight="1">
      <c r="A376" s="1" t="s">
        <v>14</v>
      </c>
      <c r="B376" s="154" t="s">
        <v>1471</v>
      </c>
      <c r="C376" s="43">
        <v>2901329</v>
      </c>
      <c r="D376" s="1" t="s">
        <v>71</v>
      </c>
      <c r="E376" s="45" t="s">
        <v>1478</v>
      </c>
      <c r="F376" s="155"/>
      <c r="G376" s="131"/>
    </row>
    <row r="377" spans="1:9" ht="15.75" customHeight="1">
      <c r="A377" s="1" t="s">
        <v>14</v>
      </c>
      <c r="B377" s="154" t="s">
        <v>1471</v>
      </c>
      <c r="C377" s="43">
        <v>3161001</v>
      </c>
      <c r="D377" s="44" t="s">
        <v>83</v>
      </c>
      <c r="E377" s="49" t="s">
        <v>1467</v>
      </c>
      <c r="F377" s="155"/>
      <c r="G377" s="131"/>
    </row>
    <row r="378" spans="1:9" ht="15.75" customHeight="1">
      <c r="A378" s="1" t="s">
        <v>14</v>
      </c>
      <c r="B378" s="154" t="s">
        <v>1471</v>
      </c>
      <c r="C378" s="43">
        <v>2874152</v>
      </c>
      <c r="D378" s="1" t="s">
        <v>80</v>
      </c>
      <c r="E378" s="45" t="s">
        <v>1330</v>
      </c>
      <c r="F378" s="155"/>
      <c r="G378" s="131"/>
    </row>
    <row r="379" spans="1:9" ht="15.75" customHeight="1">
      <c r="A379" s="1" t="s">
        <v>14</v>
      </c>
      <c r="B379" s="154" t="s">
        <v>1471</v>
      </c>
      <c r="C379" s="43">
        <v>2911567</v>
      </c>
      <c r="D379" s="1" t="s">
        <v>83</v>
      </c>
      <c r="E379" s="45" t="s">
        <v>1458</v>
      </c>
      <c r="F379" s="155"/>
      <c r="G379" s="131"/>
    </row>
    <row r="380" spans="1:9" ht="15.75" customHeight="1">
      <c r="A380" s="1" t="s">
        <v>14</v>
      </c>
      <c r="B380" s="154" t="s">
        <v>1471</v>
      </c>
      <c r="C380" s="43">
        <v>2929551</v>
      </c>
      <c r="D380" s="1" t="s">
        <v>80</v>
      </c>
      <c r="E380" s="45" t="s">
        <v>1295</v>
      </c>
      <c r="F380" s="155"/>
      <c r="G380" s="131"/>
    </row>
    <row r="381" spans="1:9" ht="15.75" customHeight="1">
      <c r="A381" s="1" t="s">
        <v>14</v>
      </c>
      <c r="B381" s="154" t="s">
        <v>1471</v>
      </c>
      <c r="C381" s="43">
        <v>2910526</v>
      </c>
      <c r="D381" s="1" t="s">
        <v>83</v>
      </c>
      <c r="E381" s="45" t="s">
        <v>1479</v>
      </c>
      <c r="F381" s="155"/>
      <c r="G381" s="131"/>
    </row>
    <row r="382" spans="1:9" ht="15.75" customHeight="1">
      <c r="A382" s="1" t="s">
        <v>14</v>
      </c>
      <c r="B382" s="154" t="s">
        <v>1471</v>
      </c>
      <c r="C382" s="43">
        <v>753218</v>
      </c>
      <c r="D382" s="1" t="s">
        <v>83</v>
      </c>
      <c r="E382" s="45" t="s">
        <v>1480</v>
      </c>
      <c r="F382" s="155"/>
      <c r="G382" s="131"/>
    </row>
    <row r="383" spans="1:9" ht="15.75" customHeight="1">
      <c r="A383" s="1" t="s">
        <v>14</v>
      </c>
      <c r="B383" s="154" t="s">
        <v>1471</v>
      </c>
      <c r="C383" s="43">
        <v>753074</v>
      </c>
      <c r="D383" s="1" t="s">
        <v>83</v>
      </c>
      <c r="E383" s="45" t="s">
        <v>1481</v>
      </c>
      <c r="F383" s="155"/>
      <c r="G383" s="131"/>
    </row>
    <row r="384" spans="1:9" ht="15.75" customHeight="1">
      <c r="A384" s="1" t="s">
        <v>14</v>
      </c>
      <c r="B384" s="154" t="s">
        <v>1471</v>
      </c>
      <c r="C384" s="43">
        <v>2908954</v>
      </c>
      <c r="D384" s="1" t="s">
        <v>71</v>
      </c>
      <c r="E384" s="45" t="s">
        <v>1273</v>
      </c>
      <c r="F384" s="155"/>
      <c r="G384" s="131"/>
    </row>
    <row r="385" spans="1:7" ht="15.75" customHeight="1">
      <c r="A385" s="1" t="s">
        <v>14</v>
      </c>
      <c r="B385" s="154" t="s">
        <v>1471</v>
      </c>
      <c r="C385" s="43">
        <v>2911568</v>
      </c>
      <c r="D385" s="1" t="s">
        <v>71</v>
      </c>
      <c r="E385" s="45" t="s">
        <v>1274</v>
      </c>
      <c r="F385" s="155"/>
      <c r="G385" s="131"/>
    </row>
    <row r="386" spans="1:7" ht="15.75" customHeight="1">
      <c r="A386" s="1" t="s">
        <v>14</v>
      </c>
      <c r="B386" s="154" t="s">
        <v>1471</v>
      </c>
      <c r="C386" s="43">
        <v>2432277</v>
      </c>
      <c r="D386" s="44" t="s">
        <v>101</v>
      </c>
      <c r="E386" s="49" t="s">
        <v>1332</v>
      </c>
      <c r="F386" s="155"/>
      <c r="G386" s="131"/>
    </row>
    <row r="387" spans="1:7" ht="15.75" customHeight="1">
      <c r="A387" s="1" t="s">
        <v>14</v>
      </c>
      <c r="B387" s="154" t="s">
        <v>1471</v>
      </c>
      <c r="C387" s="43">
        <v>2911574</v>
      </c>
      <c r="D387" s="1" t="s">
        <v>83</v>
      </c>
      <c r="E387" s="45" t="s">
        <v>1482</v>
      </c>
      <c r="F387" s="155"/>
      <c r="G387" s="131"/>
    </row>
    <row r="388" spans="1:7" ht="15.75" customHeight="1">
      <c r="A388" s="1" t="s">
        <v>14</v>
      </c>
      <c r="B388" s="154" t="s">
        <v>1471</v>
      </c>
      <c r="C388" s="43">
        <v>2909985</v>
      </c>
      <c r="D388" s="1" t="s">
        <v>83</v>
      </c>
      <c r="E388" s="45" t="s">
        <v>1483</v>
      </c>
      <c r="F388" s="155"/>
      <c r="G388" s="131"/>
    </row>
    <row r="389" spans="1:7" ht="15.75" customHeight="1">
      <c r="A389" s="1" t="s">
        <v>14</v>
      </c>
      <c r="B389" s="154" t="s">
        <v>1471</v>
      </c>
      <c r="C389" s="43">
        <v>2382514</v>
      </c>
      <c r="D389" s="1" t="s">
        <v>71</v>
      </c>
      <c r="E389" s="45" t="s">
        <v>1484</v>
      </c>
      <c r="F389" s="155"/>
      <c r="G389" s="131"/>
    </row>
    <row r="390" spans="1:7" ht="15.75" customHeight="1">
      <c r="A390" s="1" t="s">
        <v>14</v>
      </c>
      <c r="B390" s="154" t="s">
        <v>1471</v>
      </c>
      <c r="C390" s="43">
        <v>2841350</v>
      </c>
      <c r="D390" s="1" t="s">
        <v>71</v>
      </c>
      <c r="E390" s="45" t="s">
        <v>1360</v>
      </c>
      <c r="F390" s="155"/>
      <c r="G390" s="131"/>
    </row>
    <row r="391" spans="1:7" ht="15.75" customHeight="1">
      <c r="A391" s="1" t="s">
        <v>14</v>
      </c>
      <c r="B391" s="154" t="s">
        <v>1471</v>
      </c>
      <c r="C391" s="43">
        <v>2902184</v>
      </c>
      <c r="D391" s="1" t="s">
        <v>101</v>
      </c>
      <c r="E391" s="45" t="s">
        <v>1469</v>
      </c>
      <c r="F391" s="155"/>
      <c r="G391" s="131"/>
    </row>
    <row r="392" spans="1:7" ht="15.75" customHeight="1">
      <c r="A392" s="1" t="s">
        <v>14</v>
      </c>
      <c r="B392" s="154" t="s">
        <v>1471</v>
      </c>
      <c r="C392" s="43">
        <v>753076</v>
      </c>
      <c r="D392" s="1" t="s">
        <v>83</v>
      </c>
      <c r="E392" s="45" t="s">
        <v>1361</v>
      </c>
      <c r="F392" s="155"/>
      <c r="G392" s="131"/>
    </row>
    <row r="393" spans="1:7" ht="15.75" customHeight="1">
      <c r="A393" s="1" t="s">
        <v>14</v>
      </c>
      <c r="B393" s="154" t="s">
        <v>1471</v>
      </c>
      <c r="C393" s="43">
        <v>2388472</v>
      </c>
      <c r="D393" s="44" t="s">
        <v>90</v>
      </c>
      <c r="E393" s="45" t="s">
        <v>1301</v>
      </c>
      <c r="F393" s="155"/>
      <c r="G393" s="131"/>
    </row>
    <row r="394" spans="1:7" ht="15.75" customHeight="1">
      <c r="A394" s="1" t="s">
        <v>14</v>
      </c>
      <c r="B394" s="154" t="s">
        <v>1471</v>
      </c>
      <c r="C394" s="43">
        <v>5031298</v>
      </c>
      <c r="D394" s="1" t="s">
        <v>71</v>
      </c>
      <c r="E394" s="45" t="s">
        <v>1485</v>
      </c>
      <c r="F394" s="155"/>
      <c r="G394" s="131"/>
    </row>
    <row r="395" spans="1:7" ht="15.75" customHeight="1">
      <c r="A395" s="1" t="s">
        <v>14</v>
      </c>
      <c r="B395" s="154" t="s">
        <v>1471</v>
      </c>
      <c r="C395" s="43">
        <v>2877209</v>
      </c>
      <c r="D395" s="1" t="s">
        <v>71</v>
      </c>
      <c r="E395" s="157" t="s">
        <v>1486</v>
      </c>
      <c r="F395" s="155"/>
      <c r="G395" s="131"/>
    </row>
    <row r="396" spans="1:7" ht="15.75" customHeight="1">
      <c r="A396" s="1" t="s">
        <v>14</v>
      </c>
      <c r="B396" s="154" t="s">
        <v>1471</v>
      </c>
      <c r="C396" s="43">
        <v>2434279</v>
      </c>
      <c r="D396" s="44" t="s">
        <v>90</v>
      </c>
      <c r="E396" s="49" t="s">
        <v>1459</v>
      </c>
      <c r="F396" s="155"/>
      <c r="G396" s="131"/>
    </row>
    <row r="397" spans="1:7" ht="15.75" customHeight="1">
      <c r="A397" s="1" t="s">
        <v>14</v>
      </c>
      <c r="B397" s="154" t="s">
        <v>1471</v>
      </c>
      <c r="C397" s="43">
        <v>2903151</v>
      </c>
      <c r="D397" s="1" t="s">
        <v>90</v>
      </c>
      <c r="E397" s="45" t="s">
        <v>1418</v>
      </c>
      <c r="F397" s="155"/>
      <c r="G397" s="131"/>
    </row>
    <row r="398" spans="1:7" ht="15.75" customHeight="1">
      <c r="A398" s="1" t="s">
        <v>14</v>
      </c>
      <c r="B398" s="154" t="s">
        <v>1471</v>
      </c>
      <c r="C398" s="43">
        <v>3151684</v>
      </c>
      <c r="D398" s="1" t="s">
        <v>101</v>
      </c>
      <c r="E398" s="45" t="s">
        <v>1487</v>
      </c>
      <c r="F398" s="155"/>
      <c r="G398" s="131"/>
    </row>
    <row r="399" spans="1:7" ht="15.75" customHeight="1">
      <c r="A399" s="1" t="s">
        <v>14</v>
      </c>
      <c r="B399" s="154" t="s">
        <v>1471</v>
      </c>
      <c r="C399" s="43">
        <v>801460</v>
      </c>
      <c r="D399" s="1" t="s">
        <v>71</v>
      </c>
      <c r="E399" s="45" t="s">
        <v>1488</v>
      </c>
      <c r="F399" s="155"/>
      <c r="G399" s="131"/>
    </row>
    <row r="400" spans="1:7" ht="15.75" customHeight="1">
      <c r="A400" s="1" t="s">
        <v>14</v>
      </c>
      <c r="B400" s="154" t="s">
        <v>1471</v>
      </c>
      <c r="C400" s="43">
        <v>752461</v>
      </c>
      <c r="D400" s="1" t="s">
        <v>71</v>
      </c>
      <c r="E400" s="45" t="s">
        <v>1302</v>
      </c>
      <c r="F400" s="155"/>
      <c r="G400" s="131"/>
    </row>
    <row r="401" spans="1:11" ht="15.75" customHeight="1">
      <c r="A401" s="1" t="s">
        <v>14</v>
      </c>
      <c r="B401" s="154" t="s">
        <v>1471</v>
      </c>
      <c r="C401" s="43">
        <v>2896676</v>
      </c>
      <c r="D401" s="44" t="s">
        <v>90</v>
      </c>
      <c r="E401" s="49" t="s">
        <v>1460</v>
      </c>
      <c r="F401" s="155"/>
      <c r="G401" s="131"/>
    </row>
    <row r="402" spans="1:11" ht="15.75" customHeight="1">
      <c r="A402" s="1" t="s">
        <v>14</v>
      </c>
      <c r="B402" s="154" t="s">
        <v>1471</v>
      </c>
      <c r="C402" s="43">
        <v>2908963</v>
      </c>
      <c r="D402" s="1" t="s">
        <v>101</v>
      </c>
      <c r="E402" s="45" t="s">
        <v>1489</v>
      </c>
      <c r="F402" s="155"/>
      <c r="G402" s="131"/>
    </row>
    <row r="403" spans="1:11" ht="15.75" customHeight="1">
      <c r="A403" s="1" t="s">
        <v>14</v>
      </c>
      <c r="B403" s="154" t="s">
        <v>1471</v>
      </c>
      <c r="C403" s="43">
        <v>2911569</v>
      </c>
      <c r="D403" s="1" t="s">
        <v>71</v>
      </c>
      <c r="E403" s="45" t="s">
        <v>1490</v>
      </c>
      <c r="F403" s="155"/>
      <c r="G403" s="131"/>
    </row>
    <row r="404" spans="1:11" ht="15.75" customHeight="1">
      <c r="A404" s="1" t="s">
        <v>14</v>
      </c>
      <c r="B404" s="154" t="s">
        <v>1471</v>
      </c>
      <c r="C404" s="43">
        <v>753066</v>
      </c>
      <c r="D404" s="1" t="s">
        <v>71</v>
      </c>
      <c r="E404" s="45" t="s">
        <v>1491</v>
      </c>
      <c r="F404" s="155"/>
      <c r="G404" s="131"/>
    </row>
    <row r="405" spans="1:11" ht="15.75" customHeight="1">
      <c r="A405" s="1" t="s">
        <v>14</v>
      </c>
      <c r="B405" s="154" t="s">
        <v>1471</v>
      </c>
      <c r="C405" s="43">
        <v>2901332</v>
      </c>
      <c r="D405" s="1" t="s">
        <v>80</v>
      </c>
      <c r="E405" s="45" t="s">
        <v>1492</v>
      </c>
      <c r="F405" s="155"/>
      <c r="G405" s="131"/>
    </row>
    <row r="406" spans="1:11" ht="15.75" customHeight="1">
      <c r="A406" s="1" t="s">
        <v>14</v>
      </c>
      <c r="B406" s="154" t="s">
        <v>1471</v>
      </c>
      <c r="C406" s="43">
        <v>2841354</v>
      </c>
      <c r="D406" s="1" t="s">
        <v>80</v>
      </c>
      <c r="E406" s="45" t="s">
        <v>1493</v>
      </c>
      <c r="F406" s="155"/>
      <c r="G406" s="131"/>
    </row>
    <row r="407" spans="1:11" ht="15.75" customHeight="1">
      <c r="A407" s="1" t="s">
        <v>14</v>
      </c>
      <c r="B407" s="154" t="s">
        <v>1471</v>
      </c>
      <c r="C407" s="43">
        <v>2928591</v>
      </c>
      <c r="D407" s="1" t="s">
        <v>71</v>
      </c>
      <c r="E407" s="45" t="s">
        <v>1461</v>
      </c>
      <c r="F407" s="155"/>
      <c r="G407" s="131"/>
    </row>
    <row r="408" spans="1:11" ht="15.75" customHeight="1">
      <c r="A408" s="1" t="s">
        <v>14</v>
      </c>
      <c r="B408" s="154" t="s">
        <v>1471</v>
      </c>
      <c r="C408" s="43">
        <v>2394498</v>
      </c>
      <c r="D408" s="1" t="s">
        <v>71</v>
      </c>
      <c r="E408" s="45" t="s">
        <v>1494</v>
      </c>
      <c r="F408" s="155"/>
      <c r="G408" s="131"/>
    </row>
    <row r="409" spans="1:11" ht="15.75" customHeight="1">
      <c r="A409" s="1" t="s">
        <v>14</v>
      </c>
      <c r="B409" s="154" t="s">
        <v>1471</v>
      </c>
      <c r="C409" s="43">
        <v>2436156</v>
      </c>
      <c r="D409" s="44" t="s">
        <v>80</v>
      </c>
      <c r="E409" s="49" t="s">
        <v>1495</v>
      </c>
      <c r="F409" s="155"/>
      <c r="G409" s="131"/>
    </row>
    <row r="410" spans="1:11" ht="15.75" customHeight="1">
      <c r="A410" s="1" t="s">
        <v>14</v>
      </c>
      <c r="B410" s="154" t="s">
        <v>1471</v>
      </c>
      <c r="C410" s="43">
        <v>2910532</v>
      </c>
      <c r="D410" s="1" t="s">
        <v>71</v>
      </c>
      <c r="E410" s="45" t="s">
        <v>1496</v>
      </c>
      <c r="F410" s="155"/>
      <c r="G410" s="131"/>
    </row>
    <row r="411" spans="1:11" ht="15.75" customHeight="1">
      <c r="A411" s="1" t="s">
        <v>14</v>
      </c>
      <c r="B411" s="154" t="s">
        <v>1471</v>
      </c>
      <c r="C411" s="43">
        <v>2903152</v>
      </c>
      <c r="D411" s="1" t="s">
        <v>80</v>
      </c>
      <c r="E411" s="45" t="s">
        <v>1279</v>
      </c>
      <c r="F411" s="155"/>
      <c r="G411" s="131"/>
    </row>
    <row r="412" spans="1:11" ht="15.75" customHeight="1">
      <c r="A412" s="1" t="s">
        <v>14</v>
      </c>
      <c r="B412" s="154" t="s">
        <v>1471</v>
      </c>
      <c r="C412" s="43">
        <v>753083</v>
      </c>
      <c r="D412" s="1" t="s">
        <v>71</v>
      </c>
      <c r="E412" s="45" t="s">
        <v>1402</v>
      </c>
      <c r="F412" s="155"/>
      <c r="G412" s="131"/>
    </row>
    <row r="413" spans="1:11" ht="15.75" customHeight="1">
      <c r="A413" s="1" t="s">
        <v>14</v>
      </c>
      <c r="B413" s="154" t="s">
        <v>1471</v>
      </c>
      <c r="C413" s="43">
        <v>753208</v>
      </c>
      <c r="D413" s="1" t="s">
        <v>71</v>
      </c>
      <c r="E413" s="45" t="s">
        <v>1470</v>
      </c>
      <c r="F413" s="155"/>
      <c r="G413" s="131"/>
    </row>
    <row r="414" spans="1:11" ht="15.75" customHeight="1">
      <c r="A414" s="1" t="s">
        <v>14</v>
      </c>
      <c r="B414" s="154" t="s">
        <v>1471</v>
      </c>
      <c r="C414" s="43">
        <v>2910535</v>
      </c>
      <c r="D414" s="1" t="s">
        <v>80</v>
      </c>
      <c r="E414" s="45" t="s">
        <v>1398</v>
      </c>
      <c r="F414" s="155"/>
      <c r="G414" s="131"/>
    </row>
    <row r="415" spans="1:11" ht="15.75" customHeight="1">
      <c r="A415" s="111" t="s">
        <v>15</v>
      </c>
      <c r="B415" s="151" t="s">
        <v>1497</v>
      </c>
      <c r="C415" s="152" t="s">
        <v>68</v>
      </c>
      <c r="D415" s="152" t="s">
        <v>62</v>
      </c>
      <c r="E415" s="56" t="s">
        <v>69</v>
      </c>
      <c r="F415" s="153"/>
      <c r="G415" s="48" t="s">
        <v>70</v>
      </c>
      <c r="H415" s="78"/>
      <c r="I415" s="78"/>
      <c r="J415" s="78"/>
      <c r="K415" s="78"/>
    </row>
    <row r="416" spans="1:11" ht="15.75" customHeight="1">
      <c r="A416" s="42" t="s">
        <v>15</v>
      </c>
      <c r="B416" s="154" t="s">
        <v>1497</v>
      </c>
      <c r="C416" s="43">
        <v>2931603</v>
      </c>
      <c r="D416" s="1" t="s">
        <v>80</v>
      </c>
      <c r="E416" s="45" t="s">
        <v>1307</v>
      </c>
      <c r="F416" s="155"/>
      <c r="G416" s="48" t="s">
        <v>1498</v>
      </c>
    </row>
    <row r="417" spans="1:7" ht="15.75" customHeight="1">
      <c r="A417" s="42" t="s">
        <v>15</v>
      </c>
      <c r="B417" s="154" t="s">
        <v>1497</v>
      </c>
      <c r="C417" s="43">
        <v>3201142</v>
      </c>
      <c r="D417" s="1" t="s">
        <v>80</v>
      </c>
      <c r="E417" s="49" t="s">
        <v>1312</v>
      </c>
      <c r="F417" s="155"/>
      <c r="G417" s="59"/>
    </row>
    <row r="418" spans="1:7" ht="15.75" customHeight="1">
      <c r="A418" s="42" t="s">
        <v>15</v>
      </c>
      <c r="B418" s="154" t="s">
        <v>1497</v>
      </c>
      <c r="C418" s="43">
        <v>801464</v>
      </c>
      <c r="D418" s="1" t="s">
        <v>71</v>
      </c>
      <c r="E418" s="45" t="s">
        <v>1313</v>
      </c>
      <c r="F418" s="155"/>
      <c r="G418" s="59"/>
    </row>
    <row r="419" spans="1:7" ht="15.75" customHeight="1">
      <c r="A419" s="42" t="s">
        <v>15</v>
      </c>
      <c r="B419" s="154" t="s">
        <v>1497</v>
      </c>
      <c r="C419" s="43">
        <v>753229</v>
      </c>
      <c r="D419" s="1" t="s">
        <v>71</v>
      </c>
      <c r="E419" s="45" t="s">
        <v>1241</v>
      </c>
      <c r="F419" s="155"/>
      <c r="G419" s="48" t="s">
        <v>1308</v>
      </c>
    </row>
    <row r="420" spans="1:7" ht="15.75" customHeight="1">
      <c r="A420" s="42" t="s">
        <v>15</v>
      </c>
      <c r="B420" s="154" t="s">
        <v>1497</v>
      </c>
      <c r="C420" s="43">
        <v>2928594</v>
      </c>
      <c r="D420" s="1" t="s">
        <v>90</v>
      </c>
      <c r="E420" s="45" t="s">
        <v>1389</v>
      </c>
      <c r="F420" s="155"/>
      <c r="G420" s="48" t="s">
        <v>1451</v>
      </c>
    </row>
    <row r="421" spans="1:7" ht="15.75" customHeight="1">
      <c r="A421" s="42" t="s">
        <v>15</v>
      </c>
      <c r="B421" s="154" t="s">
        <v>1497</v>
      </c>
      <c r="C421" s="43">
        <v>800463</v>
      </c>
      <c r="D421" s="1" t="s">
        <v>83</v>
      </c>
      <c r="E421" s="45" t="s">
        <v>1315</v>
      </c>
      <c r="F421" s="155"/>
      <c r="G421" s="48" t="s">
        <v>1240</v>
      </c>
    </row>
    <row r="422" spans="1:7" ht="15.75" customHeight="1">
      <c r="A422" s="42" t="s">
        <v>15</v>
      </c>
      <c r="B422" s="154" t="s">
        <v>1497</v>
      </c>
      <c r="C422" s="43">
        <v>2908959</v>
      </c>
      <c r="D422" s="1" t="s">
        <v>90</v>
      </c>
      <c r="E422" s="45" t="s">
        <v>1245</v>
      </c>
      <c r="F422" s="155"/>
      <c r="G422" s="131"/>
    </row>
    <row r="423" spans="1:7" ht="15.75" customHeight="1">
      <c r="A423" s="42" t="s">
        <v>15</v>
      </c>
      <c r="B423" s="154" t="s">
        <v>1497</v>
      </c>
      <c r="C423" s="43">
        <v>801458</v>
      </c>
      <c r="D423" s="1" t="s">
        <v>83</v>
      </c>
      <c r="E423" s="45" t="s">
        <v>1249</v>
      </c>
      <c r="F423" s="155"/>
      <c r="G423" s="131"/>
    </row>
    <row r="424" spans="1:7" ht="15.75" customHeight="1">
      <c r="A424" s="42" t="s">
        <v>15</v>
      </c>
      <c r="B424" s="154" t="s">
        <v>1497</v>
      </c>
      <c r="C424" s="43">
        <v>2931453</v>
      </c>
      <c r="D424" s="1" t="s">
        <v>83</v>
      </c>
      <c r="E424" s="49" t="s">
        <v>1453</v>
      </c>
      <c r="F424" s="155"/>
      <c r="G424" s="131"/>
    </row>
    <row r="425" spans="1:7" ht="15.75" customHeight="1">
      <c r="A425" s="42" t="s">
        <v>15</v>
      </c>
      <c r="B425" s="154" t="s">
        <v>1497</v>
      </c>
      <c r="C425" s="43">
        <v>2841349</v>
      </c>
      <c r="D425" s="1" t="s">
        <v>71</v>
      </c>
      <c r="E425" s="49" t="s">
        <v>1366</v>
      </c>
      <c r="F425" s="155"/>
      <c r="G425" s="131"/>
    </row>
    <row r="426" spans="1:7" ht="15.75" customHeight="1">
      <c r="A426" s="42" t="s">
        <v>15</v>
      </c>
      <c r="B426" s="154" t="s">
        <v>1497</v>
      </c>
      <c r="C426" s="43">
        <v>3117418</v>
      </c>
      <c r="D426" s="1" t="s">
        <v>80</v>
      </c>
      <c r="E426" s="49" t="s">
        <v>1499</v>
      </c>
      <c r="F426" s="155"/>
      <c r="G426" s="131"/>
    </row>
    <row r="427" spans="1:7" ht="15.75" customHeight="1">
      <c r="A427" s="42" t="s">
        <v>15</v>
      </c>
      <c r="B427" s="154" t="s">
        <v>1497</v>
      </c>
      <c r="C427" s="43">
        <v>3202148</v>
      </c>
      <c r="D427" s="1" t="s">
        <v>80</v>
      </c>
      <c r="E427" s="49" t="s">
        <v>1500</v>
      </c>
      <c r="F427" s="155"/>
      <c r="G427" s="131"/>
    </row>
    <row r="428" spans="1:7" ht="15.75" customHeight="1">
      <c r="A428" s="42" t="s">
        <v>15</v>
      </c>
      <c r="B428" s="154" t="s">
        <v>1497</v>
      </c>
      <c r="C428" s="43">
        <v>2928582</v>
      </c>
      <c r="D428" s="1" t="s">
        <v>83</v>
      </c>
      <c r="E428" s="45" t="s">
        <v>1256</v>
      </c>
      <c r="F428" s="155"/>
      <c r="G428" s="131"/>
    </row>
    <row r="429" spans="1:7" ht="15.75" customHeight="1">
      <c r="A429" s="42" t="s">
        <v>15</v>
      </c>
      <c r="B429" s="154" t="s">
        <v>1497</v>
      </c>
      <c r="C429" s="43">
        <v>2437180</v>
      </c>
      <c r="D429" s="1" t="s">
        <v>71</v>
      </c>
      <c r="E429" s="49" t="s">
        <v>1318</v>
      </c>
      <c r="F429" s="155"/>
      <c r="G429" s="131"/>
    </row>
    <row r="430" spans="1:7" ht="15.75" customHeight="1">
      <c r="A430" s="42" t="s">
        <v>15</v>
      </c>
      <c r="B430" s="154" t="s">
        <v>1497</v>
      </c>
      <c r="C430" s="43">
        <v>2929560</v>
      </c>
      <c r="D430" s="1" t="s">
        <v>71</v>
      </c>
      <c r="E430" s="45" t="s">
        <v>1258</v>
      </c>
      <c r="F430" s="155"/>
      <c r="G430" s="131"/>
    </row>
    <row r="431" spans="1:7" ht="15.75" customHeight="1">
      <c r="A431" s="42" t="s">
        <v>15</v>
      </c>
      <c r="B431" s="154" t="s">
        <v>1497</v>
      </c>
      <c r="C431" s="43">
        <v>5036508</v>
      </c>
      <c r="D431" s="1" t="s">
        <v>83</v>
      </c>
      <c r="E431" s="49" t="s">
        <v>1319</v>
      </c>
      <c r="F431" s="155"/>
      <c r="G431" s="131"/>
    </row>
    <row r="432" spans="1:7" ht="15.75" customHeight="1">
      <c r="A432" s="42" t="s">
        <v>15</v>
      </c>
      <c r="B432" s="154" t="s">
        <v>1497</v>
      </c>
      <c r="C432" s="43">
        <v>753224</v>
      </c>
      <c r="D432" s="1" t="s">
        <v>80</v>
      </c>
      <c r="E432" s="45" t="s">
        <v>1322</v>
      </c>
      <c r="F432" s="155"/>
      <c r="G432" s="131"/>
    </row>
    <row r="433" spans="1:7" ht="15.75" customHeight="1">
      <c r="A433" s="42" t="s">
        <v>15</v>
      </c>
      <c r="B433" s="154" t="s">
        <v>1497</v>
      </c>
      <c r="C433" s="43">
        <v>2901334</v>
      </c>
      <c r="D433" s="1" t="s">
        <v>101</v>
      </c>
      <c r="E433" s="45" t="s">
        <v>1323</v>
      </c>
      <c r="F433" s="155"/>
      <c r="G433" s="131"/>
    </row>
    <row r="434" spans="1:7" ht="15.75" customHeight="1">
      <c r="A434" s="42" t="s">
        <v>15</v>
      </c>
      <c r="B434" s="154" t="s">
        <v>1497</v>
      </c>
      <c r="C434" s="43">
        <v>753203</v>
      </c>
      <c r="D434" s="1" t="s">
        <v>71</v>
      </c>
      <c r="E434" s="49" t="s">
        <v>1325</v>
      </c>
      <c r="F434" s="155"/>
      <c r="G434" s="131"/>
    </row>
    <row r="435" spans="1:7" ht="15.75" customHeight="1">
      <c r="A435" s="42" t="s">
        <v>15</v>
      </c>
      <c r="B435" s="154" t="s">
        <v>1497</v>
      </c>
      <c r="C435" s="43">
        <v>2928593</v>
      </c>
      <c r="D435" s="1" t="s">
        <v>80</v>
      </c>
      <c r="E435" s="49" t="s">
        <v>1351</v>
      </c>
      <c r="F435" s="155"/>
      <c r="G435" s="131"/>
    </row>
    <row r="436" spans="1:7" ht="15.75" customHeight="1">
      <c r="A436" s="42" t="s">
        <v>15</v>
      </c>
      <c r="B436" s="154" t="s">
        <v>1497</v>
      </c>
      <c r="C436" s="43">
        <v>3157408</v>
      </c>
      <c r="D436" s="1" t="s">
        <v>80</v>
      </c>
      <c r="E436" s="49" t="s">
        <v>1501</v>
      </c>
      <c r="F436" s="155"/>
      <c r="G436" s="131"/>
    </row>
    <row r="437" spans="1:7" ht="15.75" customHeight="1">
      <c r="A437" s="42" t="s">
        <v>15</v>
      </c>
      <c r="B437" s="154" t="s">
        <v>1497</v>
      </c>
      <c r="C437" s="43">
        <v>2841359</v>
      </c>
      <c r="D437" s="1" t="s">
        <v>83</v>
      </c>
      <c r="E437" s="45" t="s">
        <v>1353</v>
      </c>
      <c r="F437" s="155"/>
      <c r="G437" s="131"/>
    </row>
    <row r="438" spans="1:7" ht="15.75" customHeight="1">
      <c r="A438" s="42" t="s">
        <v>15</v>
      </c>
      <c r="B438" s="154" t="s">
        <v>1497</v>
      </c>
      <c r="C438" s="43">
        <v>2875199</v>
      </c>
      <c r="D438" s="1" t="s">
        <v>71</v>
      </c>
      <c r="E438" s="45" t="s">
        <v>1475</v>
      </c>
      <c r="F438" s="155"/>
      <c r="G438" s="131"/>
    </row>
    <row r="439" spans="1:7" ht="15.75" customHeight="1">
      <c r="A439" s="42" t="s">
        <v>15</v>
      </c>
      <c r="B439" s="154" t="s">
        <v>1497</v>
      </c>
      <c r="C439" s="43">
        <v>2931595</v>
      </c>
      <c r="D439" s="1" t="s">
        <v>101</v>
      </c>
      <c r="E439" s="49" t="s">
        <v>1455</v>
      </c>
      <c r="F439" s="155"/>
      <c r="G439" s="131"/>
    </row>
    <row r="440" spans="1:7" ht="15.75" customHeight="1">
      <c r="A440" s="42" t="s">
        <v>15</v>
      </c>
      <c r="B440" s="154" t="s">
        <v>1497</v>
      </c>
      <c r="C440" s="43">
        <v>753073</v>
      </c>
      <c r="D440" s="1" t="s">
        <v>83</v>
      </c>
      <c r="E440" s="45" t="s">
        <v>1329</v>
      </c>
      <c r="F440" s="155"/>
      <c r="G440" s="131"/>
    </row>
    <row r="441" spans="1:7" ht="15.75" customHeight="1">
      <c r="A441" s="42" t="s">
        <v>15</v>
      </c>
      <c r="B441" s="154" t="s">
        <v>1497</v>
      </c>
      <c r="C441" s="43">
        <v>2911567</v>
      </c>
      <c r="D441" s="1" t="s">
        <v>83</v>
      </c>
      <c r="E441" s="45" t="s">
        <v>1458</v>
      </c>
      <c r="F441" s="155"/>
      <c r="G441" s="131"/>
    </row>
    <row r="442" spans="1:7" ht="15.75" customHeight="1">
      <c r="A442" s="42" t="s">
        <v>15</v>
      </c>
      <c r="B442" s="154" t="s">
        <v>1497</v>
      </c>
      <c r="C442" s="43">
        <v>733920</v>
      </c>
      <c r="D442" s="1" t="s">
        <v>83</v>
      </c>
      <c r="E442" s="45" t="s">
        <v>1502</v>
      </c>
      <c r="F442" s="155"/>
      <c r="G442" s="131"/>
    </row>
    <row r="443" spans="1:7" ht="15.75" customHeight="1">
      <c r="A443" s="42" t="s">
        <v>15</v>
      </c>
      <c r="B443" s="154" t="s">
        <v>1497</v>
      </c>
      <c r="C443" s="43">
        <v>2929551</v>
      </c>
      <c r="D443" s="1" t="s">
        <v>80</v>
      </c>
      <c r="E443" s="45" t="s">
        <v>1295</v>
      </c>
      <c r="F443" s="155"/>
      <c r="G443" s="131"/>
    </row>
    <row r="444" spans="1:7" ht="15.75" customHeight="1">
      <c r="A444" s="42" t="s">
        <v>15</v>
      </c>
      <c r="B444" s="154" t="s">
        <v>1497</v>
      </c>
      <c r="C444" s="43">
        <v>2910526</v>
      </c>
      <c r="D444" s="1" t="s">
        <v>83</v>
      </c>
      <c r="E444" s="45" t="s">
        <v>1479</v>
      </c>
      <c r="F444" s="155"/>
      <c r="G444" s="131"/>
    </row>
    <row r="445" spans="1:7" ht="15.75" customHeight="1">
      <c r="A445" s="42" t="s">
        <v>15</v>
      </c>
      <c r="B445" s="154" t="s">
        <v>1497</v>
      </c>
      <c r="C445" s="43">
        <v>2432277</v>
      </c>
      <c r="D445" s="1" t="s">
        <v>101</v>
      </c>
      <c r="E445" s="49" t="s">
        <v>1332</v>
      </c>
      <c r="F445" s="155"/>
      <c r="G445" s="131"/>
    </row>
    <row r="446" spans="1:7" ht="15.75" customHeight="1">
      <c r="A446" s="42" t="s">
        <v>15</v>
      </c>
      <c r="B446" s="154" t="s">
        <v>1497</v>
      </c>
      <c r="C446" s="43">
        <v>801461</v>
      </c>
      <c r="D446" s="1" t="s">
        <v>71</v>
      </c>
      <c r="E446" s="49" t="s">
        <v>1335</v>
      </c>
      <c r="F446" s="155"/>
      <c r="G446" s="131"/>
    </row>
    <row r="447" spans="1:7" ht="15.75" customHeight="1">
      <c r="A447" s="42" t="s">
        <v>15</v>
      </c>
      <c r="B447" s="154" t="s">
        <v>1497</v>
      </c>
      <c r="C447" s="43">
        <v>2210175</v>
      </c>
      <c r="D447" s="1" t="s">
        <v>71</v>
      </c>
      <c r="E447" s="45" t="s">
        <v>1336</v>
      </c>
      <c r="F447" s="155"/>
      <c r="G447" s="131"/>
    </row>
    <row r="448" spans="1:7" ht="15.75" customHeight="1">
      <c r="A448" s="42" t="s">
        <v>15</v>
      </c>
      <c r="B448" s="154" t="s">
        <v>1497</v>
      </c>
      <c r="C448" s="43">
        <v>2929563</v>
      </c>
      <c r="D448" s="1" t="s">
        <v>80</v>
      </c>
      <c r="E448" s="45" t="s">
        <v>1359</v>
      </c>
      <c r="F448" s="155"/>
      <c r="G448" s="131"/>
    </row>
    <row r="449" spans="1:7" ht="15.75" customHeight="1">
      <c r="A449" s="42" t="s">
        <v>15</v>
      </c>
      <c r="B449" s="154" t="s">
        <v>1497</v>
      </c>
      <c r="C449" s="43">
        <v>2910528</v>
      </c>
      <c r="D449" s="1" t="s">
        <v>71</v>
      </c>
      <c r="E449" s="45" t="s">
        <v>1337</v>
      </c>
      <c r="F449" s="155"/>
      <c r="G449" s="131"/>
    </row>
    <row r="450" spans="1:7" ht="15.75" customHeight="1">
      <c r="A450" s="42" t="s">
        <v>15</v>
      </c>
      <c r="B450" s="154" t="s">
        <v>1497</v>
      </c>
      <c r="C450" s="43">
        <v>752465</v>
      </c>
      <c r="D450" s="1" t="s">
        <v>71</v>
      </c>
      <c r="E450" s="45" t="s">
        <v>1276</v>
      </c>
      <c r="F450" s="155"/>
      <c r="G450" s="131"/>
    </row>
    <row r="451" spans="1:7" ht="15.75" customHeight="1">
      <c r="A451" s="42" t="s">
        <v>15</v>
      </c>
      <c r="B451" s="154" t="s">
        <v>1497</v>
      </c>
      <c r="C451" s="43">
        <v>2382514</v>
      </c>
      <c r="D451" s="1" t="s">
        <v>71</v>
      </c>
      <c r="E451" s="45" t="s">
        <v>1484</v>
      </c>
      <c r="F451" s="155"/>
      <c r="G451" s="131"/>
    </row>
    <row r="452" spans="1:7" ht="15.75" customHeight="1">
      <c r="A452" s="42" t="s">
        <v>15</v>
      </c>
      <c r="B452" s="154" t="s">
        <v>1497</v>
      </c>
      <c r="C452" s="43">
        <v>2841350</v>
      </c>
      <c r="D452" s="1" t="s">
        <v>71</v>
      </c>
      <c r="E452" s="45" t="s">
        <v>1360</v>
      </c>
      <c r="F452" s="155"/>
      <c r="G452" s="131"/>
    </row>
    <row r="453" spans="1:7" ht="15.75" customHeight="1">
      <c r="A453" s="42" t="s">
        <v>15</v>
      </c>
      <c r="B453" s="154" t="s">
        <v>1497</v>
      </c>
      <c r="C453" s="43">
        <v>2902184</v>
      </c>
      <c r="D453" s="1" t="s">
        <v>101</v>
      </c>
      <c r="E453" s="45" t="s">
        <v>1469</v>
      </c>
      <c r="F453" s="155"/>
      <c r="G453" s="131"/>
    </row>
    <row r="454" spans="1:7" ht="15.75" customHeight="1">
      <c r="A454" s="42" t="s">
        <v>15</v>
      </c>
      <c r="B454" s="154" t="s">
        <v>1497</v>
      </c>
      <c r="C454" s="43">
        <v>5031298</v>
      </c>
      <c r="D454" s="1" t="s">
        <v>71</v>
      </c>
      <c r="E454" s="45" t="s">
        <v>1485</v>
      </c>
      <c r="F454" s="155"/>
      <c r="G454" s="131"/>
    </row>
    <row r="455" spans="1:7" ht="15.75" customHeight="1">
      <c r="A455" s="42" t="s">
        <v>15</v>
      </c>
      <c r="B455" s="154" t="s">
        <v>1497</v>
      </c>
      <c r="C455" s="43">
        <v>2903151</v>
      </c>
      <c r="D455" s="1" t="s">
        <v>90</v>
      </c>
      <c r="E455" s="45" t="s">
        <v>1418</v>
      </c>
      <c r="F455" s="155"/>
      <c r="G455" s="131"/>
    </row>
    <row r="456" spans="1:7" ht="15.75" customHeight="1">
      <c r="A456" s="42" t="s">
        <v>15</v>
      </c>
      <c r="B456" s="154" t="s">
        <v>1497</v>
      </c>
      <c r="C456" s="43">
        <v>3151684</v>
      </c>
      <c r="D456" s="1" t="s">
        <v>101</v>
      </c>
      <c r="E456" s="45" t="s">
        <v>1487</v>
      </c>
      <c r="F456" s="155"/>
      <c r="G456" s="131"/>
    </row>
    <row r="457" spans="1:7" ht="15.75" customHeight="1">
      <c r="A457" s="42" t="s">
        <v>15</v>
      </c>
      <c r="B457" s="154" t="s">
        <v>1497</v>
      </c>
      <c r="C457" s="43">
        <v>2911569</v>
      </c>
      <c r="D457" s="1" t="s">
        <v>71</v>
      </c>
      <c r="E457" s="45" t="s">
        <v>1490</v>
      </c>
      <c r="F457" s="155"/>
      <c r="G457" s="131"/>
    </row>
    <row r="458" spans="1:7" ht="15.75" customHeight="1">
      <c r="A458" s="42" t="s">
        <v>15</v>
      </c>
      <c r="B458" s="154" t="s">
        <v>1497</v>
      </c>
      <c r="C458" s="43">
        <v>753066</v>
      </c>
      <c r="D458" s="1" t="s">
        <v>71</v>
      </c>
      <c r="E458" s="45" t="s">
        <v>1491</v>
      </c>
      <c r="F458" s="155"/>
      <c r="G458" s="131"/>
    </row>
    <row r="459" spans="1:7" ht="15.75" customHeight="1">
      <c r="A459" s="42" t="s">
        <v>15</v>
      </c>
      <c r="B459" s="154" t="s">
        <v>1497</v>
      </c>
      <c r="C459" s="43">
        <v>753081</v>
      </c>
      <c r="D459" s="1" t="s">
        <v>83</v>
      </c>
      <c r="E459" s="45" t="s">
        <v>1338</v>
      </c>
      <c r="F459" s="155"/>
      <c r="G459" s="131"/>
    </row>
    <row r="460" spans="1:7" ht="15.75" customHeight="1">
      <c r="A460" s="42" t="s">
        <v>15</v>
      </c>
      <c r="B460" s="154" t="s">
        <v>1497</v>
      </c>
      <c r="C460" s="43">
        <v>2841354</v>
      </c>
      <c r="D460" s="1" t="s">
        <v>80</v>
      </c>
      <c r="E460" s="45" t="s">
        <v>1493</v>
      </c>
      <c r="F460" s="155"/>
      <c r="G460" s="131"/>
    </row>
    <row r="461" spans="1:7" ht="15.75" customHeight="1">
      <c r="A461" s="42" t="s">
        <v>15</v>
      </c>
      <c r="B461" s="154" t="s">
        <v>1497</v>
      </c>
      <c r="C461" s="43">
        <v>2432281</v>
      </c>
      <c r="D461" s="1" t="s">
        <v>101</v>
      </c>
      <c r="E461" s="49" t="s">
        <v>1339</v>
      </c>
      <c r="F461" s="155"/>
      <c r="G461" s="131"/>
    </row>
    <row r="462" spans="1:7" ht="15.75" customHeight="1">
      <c r="A462" s="42" t="s">
        <v>15</v>
      </c>
      <c r="B462" s="154" t="s">
        <v>1497</v>
      </c>
      <c r="C462" s="43">
        <v>753071</v>
      </c>
      <c r="D462" s="1" t="s">
        <v>83</v>
      </c>
      <c r="E462" s="49" t="s">
        <v>1503</v>
      </c>
      <c r="F462" s="155"/>
      <c r="G462" s="131"/>
    </row>
    <row r="463" spans="1:7" ht="15.75" customHeight="1">
      <c r="A463" s="42" t="s">
        <v>15</v>
      </c>
      <c r="B463" s="154" t="s">
        <v>1497</v>
      </c>
      <c r="C463" s="43">
        <v>2928591</v>
      </c>
      <c r="D463" s="1" t="s">
        <v>71</v>
      </c>
      <c r="E463" s="45" t="s">
        <v>1461</v>
      </c>
      <c r="F463" s="155"/>
      <c r="G463" s="131"/>
    </row>
    <row r="464" spans="1:7" ht="15.75" customHeight="1">
      <c r="A464" s="42" t="s">
        <v>15</v>
      </c>
      <c r="B464" s="154" t="s">
        <v>1497</v>
      </c>
      <c r="C464" s="43">
        <v>2394498</v>
      </c>
      <c r="D464" s="1" t="s">
        <v>71</v>
      </c>
      <c r="E464" s="45" t="s">
        <v>1494</v>
      </c>
      <c r="F464" s="155"/>
      <c r="G464" s="131"/>
    </row>
    <row r="465" spans="1:11" ht="15.75" customHeight="1">
      <c r="A465" s="42" t="s">
        <v>15</v>
      </c>
      <c r="B465" s="154" t="s">
        <v>1497</v>
      </c>
      <c r="C465" s="43">
        <v>753068</v>
      </c>
      <c r="D465" s="1" t="s">
        <v>83</v>
      </c>
      <c r="E465" s="45" t="s">
        <v>1340</v>
      </c>
      <c r="F465" s="155"/>
      <c r="G465" s="131"/>
    </row>
    <row r="466" spans="1:11" ht="15.75" customHeight="1">
      <c r="A466" s="42" t="s">
        <v>15</v>
      </c>
      <c r="B466" s="154" t="s">
        <v>1497</v>
      </c>
      <c r="C466" s="43">
        <v>2903152</v>
      </c>
      <c r="D466" s="1" t="s">
        <v>80</v>
      </c>
      <c r="E466" s="45" t="s">
        <v>1279</v>
      </c>
      <c r="F466" s="155"/>
      <c r="G466" s="131"/>
    </row>
    <row r="467" spans="1:11" ht="15.75" customHeight="1">
      <c r="A467" s="111" t="s">
        <v>16</v>
      </c>
      <c r="B467" s="151" t="s">
        <v>1504</v>
      </c>
      <c r="C467" s="152" t="s">
        <v>68</v>
      </c>
      <c r="D467" s="152" t="s">
        <v>62</v>
      </c>
      <c r="E467" s="56" t="s">
        <v>69</v>
      </c>
      <c r="F467" s="153"/>
      <c r="G467" s="48" t="s">
        <v>70</v>
      </c>
      <c r="H467" s="78"/>
      <c r="I467" s="78"/>
      <c r="J467" s="78"/>
      <c r="K467" s="78"/>
    </row>
    <row r="468" spans="1:11" ht="15.75" customHeight="1">
      <c r="A468" s="132" t="s">
        <v>16</v>
      </c>
      <c r="B468" s="154" t="s">
        <v>1504</v>
      </c>
      <c r="C468" s="43">
        <v>2928588</v>
      </c>
      <c r="D468" s="1" t="s">
        <v>71</v>
      </c>
      <c r="E468" s="45" t="s">
        <v>1235</v>
      </c>
      <c r="F468" s="155"/>
      <c r="G468" s="48" t="s">
        <v>1498</v>
      </c>
    </row>
    <row r="469" spans="1:11" ht="15.75" customHeight="1">
      <c r="A469" s="132" t="s">
        <v>16</v>
      </c>
      <c r="B469" s="154" t="s">
        <v>1504</v>
      </c>
      <c r="C469" s="43">
        <v>2929559</v>
      </c>
      <c r="D469" s="1" t="s">
        <v>80</v>
      </c>
      <c r="E469" s="45" t="s">
        <v>1310</v>
      </c>
      <c r="F469" s="155"/>
      <c r="G469" s="48" t="s">
        <v>1240</v>
      </c>
    </row>
    <row r="470" spans="1:11" ht="15.75" customHeight="1">
      <c r="A470" s="132" t="s">
        <v>16</v>
      </c>
      <c r="B470" s="154" t="s">
        <v>1504</v>
      </c>
      <c r="C470" s="43">
        <v>801464</v>
      </c>
      <c r="D470" s="1" t="s">
        <v>71</v>
      </c>
      <c r="E470" s="45" t="s">
        <v>1313</v>
      </c>
      <c r="F470" s="155"/>
      <c r="G470" s="131"/>
    </row>
    <row r="471" spans="1:11" ht="15.75" customHeight="1">
      <c r="A471" s="132" t="s">
        <v>16</v>
      </c>
      <c r="B471" s="154" t="s">
        <v>1504</v>
      </c>
      <c r="C471" s="43">
        <v>801474</v>
      </c>
      <c r="D471" s="1" t="s">
        <v>90</v>
      </c>
      <c r="E471" s="45" t="s">
        <v>1243</v>
      </c>
      <c r="F471" s="155"/>
      <c r="G471" s="131"/>
    </row>
    <row r="472" spans="1:11" ht="15.75" customHeight="1">
      <c r="A472" s="132" t="s">
        <v>16</v>
      </c>
      <c r="B472" s="154" t="s">
        <v>1504</v>
      </c>
      <c r="C472" s="43">
        <v>2908959</v>
      </c>
      <c r="D472" s="1" t="s">
        <v>90</v>
      </c>
      <c r="E472" s="45" t="s">
        <v>1245</v>
      </c>
      <c r="F472" s="155"/>
      <c r="G472" s="131"/>
    </row>
    <row r="473" spans="1:11" ht="15.75" customHeight="1">
      <c r="A473" s="132" t="s">
        <v>16</v>
      </c>
      <c r="B473" s="154" t="s">
        <v>1504</v>
      </c>
      <c r="C473" s="43">
        <v>2929566</v>
      </c>
      <c r="D473" s="1" t="s">
        <v>83</v>
      </c>
      <c r="E473" s="45" t="s">
        <v>1255</v>
      </c>
      <c r="F473" s="155"/>
      <c r="G473" s="131"/>
    </row>
    <row r="474" spans="1:11" ht="15.75" customHeight="1">
      <c r="A474" s="132" t="s">
        <v>16</v>
      </c>
      <c r="B474" s="154" t="s">
        <v>1504</v>
      </c>
      <c r="C474" s="43">
        <v>2901334</v>
      </c>
      <c r="D474" s="1" t="s">
        <v>101</v>
      </c>
      <c r="E474" s="45" t="s">
        <v>1323</v>
      </c>
      <c r="F474" s="155"/>
      <c r="G474" s="131"/>
    </row>
    <row r="475" spans="1:11" ht="15.75" customHeight="1">
      <c r="A475" s="132" t="s">
        <v>16</v>
      </c>
      <c r="B475" s="154" t="s">
        <v>1504</v>
      </c>
      <c r="C475" s="43">
        <v>3159819</v>
      </c>
      <c r="D475" s="1" t="s">
        <v>83</v>
      </c>
      <c r="E475" s="49" t="s">
        <v>1396</v>
      </c>
      <c r="F475" s="155"/>
      <c r="G475" s="131"/>
    </row>
    <row r="476" spans="1:11" ht="15.75" customHeight="1">
      <c r="A476" s="132" t="s">
        <v>16</v>
      </c>
      <c r="B476" s="154" t="s">
        <v>1504</v>
      </c>
      <c r="C476" s="43">
        <v>801471</v>
      </c>
      <c r="D476" s="1" t="s">
        <v>80</v>
      </c>
      <c r="E476" s="45" t="s">
        <v>1505</v>
      </c>
      <c r="F476" s="155"/>
      <c r="G476" s="131"/>
    </row>
    <row r="477" spans="1:11" ht="15.75" customHeight="1">
      <c r="A477" s="132" t="s">
        <v>16</v>
      </c>
      <c r="B477" s="154" t="s">
        <v>1504</v>
      </c>
      <c r="C477" s="43">
        <v>753100</v>
      </c>
      <c r="D477" s="1" t="s">
        <v>83</v>
      </c>
      <c r="E477" s="45" t="s">
        <v>1400</v>
      </c>
      <c r="F477" s="155"/>
      <c r="G477" s="131"/>
    </row>
    <row r="478" spans="1:11" ht="15.75" customHeight="1">
      <c r="A478" s="132" t="s">
        <v>16</v>
      </c>
      <c r="B478" s="154" t="s">
        <v>1504</v>
      </c>
      <c r="C478" s="43">
        <v>2929550</v>
      </c>
      <c r="D478" s="1" t="s">
        <v>101</v>
      </c>
      <c r="E478" s="45" t="s">
        <v>1506</v>
      </c>
      <c r="F478" s="155"/>
      <c r="G478" s="131"/>
    </row>
    <row r="479" spans="1:11" ht="15.75" customHeight="1">
      <c r="A479" s="132" t="s">
        <v>16</v>
      </c>
      <c r="B479" s="154" t="s">
        <v>1504</v>
      </c>
      <c r="C479" s="43">
        <v>2929551</v>
      </c>
      <c r="D479" s="1" t="s">
        <v>80</v>
      </c>
      <c r="E479" s="45" t="s">
        <v>1295</v>
      </c>
      <c r="F479" s="155"/>
      <c r="G479" s="131"/>
    </row>
    <row r="480" spans="1:11" ht="15.75" customHeight="1">
      <c r="A480" s="132" t="s">
        <v>16</v>
      </c>
      <c r="B480" s="154" t="s">
        <v>1504</v>
      </c>
      <c r="C480" s="43">
        <v>2910526</v>
      </c>
      <c r="D480" s="1" t="s">
        <v>83</v>
      </c>
      <c r="E480" s="45" t="s">
        <v>1479</v>
      </c>
      <c r="F480" s="155"/>
      <c r="G480" s="131"/>
    </row>
    <row r="481" spans="1:11" ht="15.75" customHeight="1">
      <c r="A481" s="132" t="s">
        <v>16</v>
      </c>
      <c r="B481" s="154" t="s">
        <v>1504</v>
      </c>
      <c r="C481" s="43">
        <v>2911572</v>
      </c>
      <c r="D481" s="1" t="s">
        <v>71</v>
      </c>
      <c r="E481" s="45" t="s">
        <v>1507</v>
      </c>
      <c r="F481" s="155"/>
      <c r="G481" s="131"/>
    </row>
    <row r="482" spans="1:11" ht="15.75" customHeight="1">
      <c r="A482" s="132" t="s">
        <v>16</v>
      </c>
      <c r="B482" s="154" t="s">
        <v>1504</v>
      </c>
      <c r="C482" s="43">
        <v>801468</v>
      </c>
      <c r="D482" s="1" t="s">
        <v>83</v>
      </c>
      <c r="E482" s="45" t="s">
        <v>1508</v>
      </c>
      <c r="F482" s="155"/>
      <c r="G482" s="131"/>
    </row>
    <row r="483" spans="1:11" ht="15.75" customHeight="1">
      <c r="A483" s="132" t="s">
        <v>16</v>
      </c>
      <c r="B483" s="154" t="s">
        <v>1504</v>
      </c>
      <c r="C483" s="43">
        <v>753206</v>
      </c>
      <c r="D483" s="1" t="s">
        <v>80</v>
      </c>
      <c r="E483" s="45" t="s">
        <v>1509</v>
      </c>
      <c r="F483" s="155"/>
      <c r="G483" s="131"/>
    </row>
    <row r="484" spans="1:11" ht="15.75" customHeight="1">
      <c r="A484" s="132" t="s">
        <v>16</v>
      </c>
      <c r="B484" s="154" t="s">
        <v>1504</v>
      </c>
      <c r="C484" s="43">
        <v>2908954</v>
      </c>
      <c r="D484" s="1" t="s">
        <v>71</v>
      </c>
      <c r="E484" s="45" t="s">
        <v>1273</v>
      </c>
      <c r="F484" s="155"/>
      <c r="G484" s="131"/>
    </row>
    <row r="485" spans="1:11" ht="15.75" customHeight="1">
      <c r="A485" s="132" t="s">
        <v>16</v>
      </c>
      <c r="B485" s="154" t="s">
        <v>1504</v>
      </c>
      <c r="C485" s="43">
        <v>2911570</v>
      </c>
      <c r="D485" s="1" t="s">
        <v>71</v>
      </c>
      <c r="E485" s="45" t="s">
        <v>1297</v>
      </c>
      <c r="F485" s="155"/>
      <c r="G485" s="131"/>
    </row>
    <row r="486" spans="1:11" ht="15.75" customHeight="1">
      <c r="A486" s="132" t="s">
        <v>16</v>
      </c>
      <c r="B486" s="154" t="s">
        <v>1504</v>
      </c>
      <c r="C486" s="43">
        <v>2910529</v>
      </c>
      <c r="D486" s="1" t="s">
        <v>71</v>
      </c>
      <c r="E486" s="45" t="s">
        <v>1298</v>
      </c>
      <c r="F486" s="155"/>
      <c r="G486" s="131"/>
    </row>
    <row r="487" spans="1:11" ht="15.75" customHeight="1">
      <c r="A487" s="132" t="s">
        <v>16</v>
      </c>
      <c r="B487" s="154" t="s">
        <v>1504</v>
      </c>
      <c r="C487" s="43">
        <v>2911569</v>
      </c>
      <c r="D487" s="1" t="s">
        <v>71</v>
      </c>
      <c r="E487" s="45" t="s">
        <v>1490</v>
      </c>
      <c r="F487" s="155"/>
      <c r="G487" s="131"/>
    </row>
    <row r="488" spans="1:11" ht="15.75" customHeight="1">
      <c r="A488" s="132" t="s">
        <v>16</v>
      </c>
      <c r="B488" s="154" t="s">
        <v>1504</v>
      </c>
      <c r="C488" s="43">
        <v>801470</v>
      </c>
      <c r="D488" s="1" t="s">
        <v>71</v>
      </c>
      <c r="E488" s="45" t="s">
        <v>1510</v>
      </c>
      <c r="F488" s="155"/>
      <c r="G488" s="131"/>
    </row>
    <row r="489" spans="1:11" ht="15.75" customHeight="1">
      <c r="A489" s="132" t="s">
        <v>16</v>
      </c>
      <c r="B489" s="154" t="s">
        <v>1504</v>
      </c>
      <c r="C489" s="43">
        <v>753197</v>
      </c>
      <c r="D489" s="1" t="s">
        <v>71</v>
      </c>
      <c r="E489" s="45" t="s">
        <v>1511</v>
      </c>
      <c r="F489" s="155"/>
      <c r="G489" s="131"/>
    </row>
    <row r="490" spans="1:11" ht="15.75" customHeight="1">
      <c r="A490" s="111" t="s">
        <v>17</v>
      </c>
      <c r="B490" s="151" t="s">
        <v>1512</v>
      </c>
      <c r="C490" s="152" t="s">
        <v>68</v>
      </c>
      <c r="D490" s="152" t="s">
        <v>62</v>
      </c>
      <c r="E490" s="56" t="s">
        <v>69</v>
      </c>
      <c r="F490" s="153"/>
      <c r="G490" s="48" t="s">
        <v>70</v>
      </c>
      <c r="H490" s="78"/>
      <c r="I490" s="78"/>
      <c r="J490" s="78"/>
      <c r="K490" s="78"/>
    </row>
    <row r="491" spans="1:11" ht="15.75" customHeight="1">
      <c r="A491" s="1" t="s">
        <v>17</v>
      </c>
      <c r="B491" s="154" t="s">
        <v>1512</v>
      </c>
      <c r="C491" s="43">
        <v>2901333</v>
      </c>
      <c r="D491" s="1" t="s">
        <v>101</v>
      </c>
      <c r="E491" s="45" t="s">
        <v>1239</v>
      </c>
      <c r="F491" s="155"/>
      <c r="G491" s="48" t="s">
        <v>528</v>
      </c>
    </row>
    <row r="492" spans="1:11" ht="15.75" customHeight="1">
      <c r="A492" s="1" t="s">
        <v>17</v>
      </c>
      <c r="B492" s="154" t="s">
        <v>1512</v>
      </c>
      <c r="C492" s="43">
        <v>753227</v>
      </c>
      <c r="D492" s="1" t="s">
        <v>80</v>
      </c>
      <c r="E492" s="45" t="s">
        <v>1513</v>
      </c>
      <c r="F492" s="155"/>
      <c r="G492" s="131"/>
    </row>
    <row r="493" spans="1:11" ht="15.75" customHeight="1">
      <c r="A493" s="1" t="s">
        <v>17</v>
      </c>
      <c r="B493" s="154" t="s">
        <v>1512</v>
      </c>
      <c r="C493" s="43">
        <v>733703</v>
      </c>
      <c r="D493" s="1" t="s">
        <v>80</v>
      </c>
      <c r="E493" s="45" t="s">
        <v>1514</v>
      </c>
      <c r="F493" s="155"/>
      <c r="G493" s="131"/>
    </row>
    <row r="494" spans="1:11" ht="15.75" customHeight="1">
      <c r="A494" s="1" t="s">
        <v>17</v>
      </c>
      <c r="B494" s="154" t="s">
        <v>1512</v>
      </c>
      <c r="C494" s="43">
        <v>752460</v>
      </c>
      <c r="D494" s="1" t="s">
        <v>80</v>
      </c>
      <c r="E494" s="45" t="s">
        <v>1515</v>
      </c>
      <c r="F494" s="155"/>
      <c r="G494" s="131"/>
    </row>
    <row r="495" spans="1:11" ht="15.75" customHeight="1">
      <c r="A495" s="1" t="s">
        <v>17</v>
      </c>
      <c r="B495" s="154" t="s">
        <v>1512</v>
      </c>
      <c r="C495" s="43">
        <v>753084</v>
      </c>
      <c r="D495" s="1" t="s">
        <v>80</v>
      </c>
      <c r="E495" s="45" t="s">
        <v>1352</v>
      </c>
      <c r="F495" s="155"/>
      <c r="G495" s="131"/>
    </row>
    <row r="496" spans="1:11" ht="15.75" customHeight="1">
      <c r="A496" s="1" t="s">
        <v>17</v>
      </c>
      <c r="B496" s="154" t="s">
        <v>1512</v>
      </c>
      <c r="C496" s="43">
        <v>753225</v>
      </c>
      <c r="D496" s="1" t="s">
        <v>71</v>
      </c>
      <c r="E496" s="45" t="s">
        <v>1516</v>
      </c>
      <c r="F496" s="155"/>
      <c r="G496" s="131"/>
    </row>
    <row r="497" spans="1:11" ht="15.75" customHeight="1">
      <c r="A497" s="1" t="s">
        <v>17</v>
      </c>
      <c r="B497" s="154" t="s">
        <v>1512</v>
      </c>
      <c r="C497" s="43">
        <v>753219</v>
      </c>
      <c r="D497" s="1" t="s">
        <v>101</v>
      </c>
      <c r="E497" s="45" t="s">
        <v>1517</v>
      </c>
      <c r="F497" s="155"/>
      <c r="G497" s="131"/>
    </row>
    <row r="498" spans="1:11" ht="15.75" customHeight="1">
      <c r="A498" s="1" t="s">
        <v>17</v>
      </c>
      <c r="B498" s="154" t="s">
        <v>1512</v>
      </c>
      <c r="C498" s="43">
        <v>753201</v>
      </c>
      <c r="D498" s="1" t="s">
        <v>90</v>
      </c>
      <c r="E498" s="45" t="s">
        <v>1518</v>
      </c>
      <c r="F498" s="155"/>
      <c r="G498" s="131"/>
    </row>
    <row r="499" spans="1:11" ht="15.75" customHeight="1">
      <c r="A499" s="1" t="s">
        <v>17</v>
      </c>
      <c r="B499" s="154" t="s">
        <v>1512</v>
      </c>
      <c r="C499" s="43">
        <v>753198</v>
      </c>
      <c r="D499" s="1" t="s">
        <v>101</v>
      </c>
      <c r="E499" s="45" t="s">
        <v>1519</v>
      </c>
      <c r="F499" s="155"/>
      <c r="G499" s="131"/>
    </row>
    <row r="500" spans="1:11" ht="15.75" customHeight="1">
      <c r="A500" s="1" t="s">
        <v>17</v>
      </c>
      <c r="B500" s="154" t="s">
        <v>1512</v>
      </c>
      <c r="C500" s="43">
        <v>2901328</v>
      </c>
      <c r="D500" s="1" t="s">
        <v>101</v>
      </c>
      <c r="E500" s="45" t="s">
        <v>1520</v>
      </c>
      <c r="F500" s="155"/>
      <c r="G500" s="131"/>
    </row>
    <row r="501" spans="1:11" ht="15.75" customHeight="1">
      <c r="A501" s="111" t="s">
        <v>18</v>
      </c>
      <c r="B501" s="151" t="s">
        <v>1521</v>
      </c>
      <c r="C501" s="152" t="s">
        <v>68</v>
      </c>
      <c r="D501" s="152" t="s">
        <v>62</v>
      </c>
      <c r="E501" s="56" t="s">
        <v>69</v>
      </c>
      <c r="F501" s="153"/>
      <c r="G501" s="48" t="s">
        <v>70</v>
      </c>
      <c r="H501" s="78"/>
      <c r="I501" s="78"/>
      <c r="J501" s="78"/>
      <c r="K501" s="78"/>
    </row>
    <row r="502" spans="1:11" ht="15.75" customHeight="1">
      <c r="A502" s="42" t="s">
        <v>18</v>
      </c>
      <c r="B502" s="154" t="s">
        <v>1521</v>
      </c>
      <c r="C502" s="43">
        <v>2928588</v>
      </c>
      <c r="D502" s="1" t="s">
        <v>71</v>
      </c>
      <c r="E502" s="45" t="s">
        <v>1235</v>
      </c>
      <c r="G502" s="48" t="s">
        <v>1498</v>
      </c>
    </row>
    <row r="503" spans="1:11" ht="15.75" customHeight="1">
      <c r="A503" s="42" t="s">
        <v>18</v>
      </c>
      <c r="B503" s="154" t="s">
        <v>1521</v>
      </c>
      <c r="C503" s="43">
        <v>2892558</v>
      </c>
      <c r="D503" s="1" t="s">
        <v>83</v>
      </c>
      <c r="E503" s="45" t="s">
        <v>1522</v>
      </c>
      <c r="G503" s="131"/>
    </row>
    <row r="504" spans="1:11" ht="15.75" customHeight="1">
      <c r="A504" s="42" t="s">
        <v>18</v>
      </c>
      <c r="B504" s="154" t="s">
        <v>1521</v>
      </c>
      <c r="C504" s="43">
        <v>2929559</v>
      </c>
      <c r="D504" s="1" t="s">
        <v>80</v>
      </c>
      <c r="E504" s="45" t="s">
        <v>1310</v>
      </c>
      <c r="G504" s="131"/>
    </row>
    <row r="505" spans="1:11" ht="15.75" customHeight="1">
      <c r="A505" s="42" t="s">
        <v>18</v>
      </c>
      <c r="B505" s="154" t="s">
        <v>1521</v>
      </c>
      <c r="C505" s="43">
        <v>5014755</v>
      </c>
      <c r="D505" s="1" t="s">
        <v>71</v>
      </c>
      <c r="E505" s="45" t="s">
        <v>1523</v>
      </c>
      <c r="G505" s="131"/>
    </row>
    <row r="506" spans="1:11" ht="15.75" customHeight="1">
      <c r="A506" s="42" t="s">
        <v>18</v>
      </c>
      <c r="B506" s="154" t="s">
        <v>1521</v>
      </c>
      <c r="C506" s="43">
        <v>2453175</v>
      </c>
      <c r="D506" s="1" t="s">
        <v>83</v>
      </c>
      <c r="E506" s="49" t="s">
        <v>1524</v>
      </c>
      <c r="G506" s="131"/>
    </row>
    <row r="507" spans="1:11" ht="15.75" customHeight="1">
      <c r="A507" s="42" t="s">
        <v>18</v>
      </c>
      <c r="B507" s="154" t="s">
        <v>1521</v>
      </c>
      <c r="C507" s="43">
        <v>2908966</v>
      </c>
      <c r="D507" s="1" t="s">
        <v>83</v>
      </c>
      <c r="E507" s="45" t="s">
        <v>1525</v>
      </c>
      <c r="G507" s="131"/>
    </row>
    <row r="508" spans="1:11" ht="15.75" customHeight="1">
      <c r="A508" s="42" t="s">
        <v>18</v>
      </c>
      <c r="B508" s="154" t="s">
        <v>1521</v>
      </c>
      <c r="C508" s="43">
        <v>2921899</v>
      </c>
      <c r="D508" s="1" t="s">
        <v>71</v>
      </c>
      <c r="E508" s="45" t="s">
        <v>1526</v>
      </c>
      <c r="G508" s="131"/>
    </row>
    <row r="509" spans="1:11" ht="15.75" customHeight="1">
      <c r="A509" s="42" t="s">
        <v>18</v>
      </c>
      <c r="B509" s="154" t="s">
        <v>1521</v>
      </c>
      <c r="C509" s="43">
        <v>801471</v>
      </c>
      <c r="D509" s="1" t="s">
        <v>80</v>
      </c>
      <c r="E509" s="45" t="s">
        <v>1505</v>
      </c>
      <c r="G509" s="131"/>
    </row>
    <row r="510" spans="1:11" ht="15.75" customHeight="1">
      <c r="A510" s="42" t="s">
        <v>18</v>
      </c>
      <c r="B510" s="154" t="s">
        <v>1521</v>
      </c>
      <c r="C510" s="43">
        <v>2929551</v>
      </c>
      <c r="D510" s="1" t="s">
        <v>80</v>
      </c>
      <c r="E510" s="45" t="s">
        <v>1295</v>
      </c>
      <c r="G510" s="131"/>
    </row>
    <row r="511" spans="1:11" ht="15.75" customHeight="1">
      <c r="A511" s="42" t="s">
        <v>18</v>
      </c>
      <c r="B511" s="154" t="s">
        <v>1521</v>
      </c>
      <c r="C511" s="43">
        <v>752463</v>
      </c>
      <c r="D511" s="1" t="s">
        <v>83</v>
      </c>
      <c r="E511" s="45" t="s">
        <v>1527</v>
      </c>
      <c r="G511" s="131"/>
    </row>
    <row r="512" spans="1:11" ht="15.75" customHeight="1">
      <c r="A512" s="42" t="s">
        <v>18</v>
      </c>
      <c r="B512" s="154" t="s">
        <v>1521</v>
      </c>
      <c r="C512" s="43">
        <v>733961</v>
      </c>
      <c r="D512" s="1" t="s">
        <v>83</v>
      </c>
      <c r="E512" s="45" t="s">
        <v>1528</v>
      </c>
      <c r="G512" s="131"/>
    </row>
    <row r="513" spans="1:7" ht="15.75" customHeight="1">
      <c r="A513" s="42" t="s">
        <v>18</v>
      </c>
      <c r="B513" s="154" t="s">
        <v>1521</v>
      </c>
      <c r="C513" s="43">
        <v>752457</v>
      </c>
      <c r="D513" s="1" t="s">
        <v>83</v>
      </c>
      <c r="E513" s="45" t="s">
        <v>1529</v>
      </c>
      <c r="F513" s="155"/>
      <c r="G513" s="131"/>
    </row>
    <row r="514" spans="1:7" ht="15.75" customHeight="1">
      <c r="A514" s="42" t="s">
        <v>18</v>
      </c>
      <c r="B514" s="154" t="s">
        <v>1521</v>
      </c>
      <c r="C514" s="43">
        <v>2911572</v>
      </c>
      <c r="D514" s="1" t="s">
        <v>71</v>
      </c>
      <c r="E514" s="45" t="s">
        <v>1507</v>
      </c>
      <c r="G514" s="131"/>
    </row>
    <row r="515" spans="1:7" ht="15.75" customHeight="1">
      <c r="A515" s="42" t="s">
        <v>18</v>
      </c>
      <c r="B515" s="154" t="s">
        <v>1521</v>
      </c>
      <c r="C515" s="43">
        <v>753082</v>
      </c>
      <c r="D515" s="1" t="s">
        <v>83</v>
      </c>
      <c r="E515" s="45" t="s">
        <v>1358</v>
      </c>
      <c r="G515" s="131"/>
    </row>
    <row r="516" spans="1:7" ht="15.75" customHeight="1">
      <c r="A516" s="42" t="s">
        <v>18</v>
      </c>
      <c r="B516" s="154" t="s">
        <v>1521</v>
      </c>
      <c r="C516" s="43">
        <v>2909982</v>
      </c>
      <c r="D516" s="1" t="s">
        <v>83</v>
      </c>
      <c r="E516" s="45" t="s">
        <v>1530</v>
      </c>
      <c r="G516" s="131"/>
    </row>
    <row r="517" spans="1:7" ht="15.75" customHeight="1">
      <c r="A517" s="42" t="s">
        <v>18</v>
      </c>
      <c r="B517" s="154" t="s">
        <v>1521</v>
      </c>
      <c r="C517" s="43">
        <v>2910534</v>
      </c>
      <c r="D517" s="1" t="s">
        <v>71</v>
      </c>
      <c r="E517" s="45" t="s">
        <v>1531</v>
      </c>
      <c r="G517" s="131"/>
    </row>
    <row r="518" spans="1:7" ht="15.75" customHeight="1">
      <c r="A518" s="42" t="s">
        <v>18</v>
      </c>
      <c r="B518" s="154" t="s">
        <v>1521</v>
      </c>
      <c r="C518" s="43">
        <v>753226</v>
      </c>
      <c r="D518" s="1" t="s">
        <v>83</v>
      </c>
      <c r="E518" s="45" t="s">
        <v>1532</v>
      </c>
      <c r="G518" s="131"/>
    </row>
    <row r="519" spans="1:7" ht="15.75" customHeight="1">
      <c r="A519" s="42" t="s">
        <v>18</v>
      </c>
      <c r="B519" s="154" t="s">
        <v>1521</v>
      </c>
      <c r="C519" s="43">
        <v>2909981</v>
      </c>
      <c r="D519" s="1" t="s">
        <v>83</v>
      </c>
      <c r="E519" s="45" t="s">
        <v>1533</v>
      </c>
      <c r="G519" s="131"/>
    </row>
    <row r="520" spans="1:7" ht="15.75" customHeight="1">
      <c r="A520" s="42" t="s">
        <v>18</v>
      </c>
      <c r="B520" s="154" t="s">
        <v>1521</v>
      </c>
      <c r="C520" s="43">
        <v>752467</v>
      </c>
      <c r="D520" s="1" t="s">
        <v>83</v>
      </c>
      <c r="E520" s="45" t="s">
        <v>1534</v>
      </c>
      <c r="G520" s="131"/>
    </row>
    <row r="521" spans="1:7" ht="15.75" customHeight="1">
      <c r="A521" s="42" t="s">
        <v>18</v>
      </c>
      <c r="B521" s="154" t="s">
        <v>1521</v>
      </c>
      <c r="C521" s="43">
        <v>2908961</v>
      </c>
      <c r="D521" s="1" t="s">
        <v>83</v>
      </c>
      <c r="E521" s="45" t="s">
        <v>1468</v>
      </c>
      <c r="G521" s="131"/>
    </row>
    <row r="522" spans="1:7" ht="15.75" customHeight="1">
      <c r="A522" s="42" t="s">
        <v>18</v>
      </c>
      <c r="B522" s="154" t="s">
        <v>1521</v>
      </c>
      <c r="C522" s="43">
        <v>798606</v>
      </c>
      <c r="D522" s="1" t="s">
        <v>101</v>
      </c>
      <c r="E522" s="45" t="s">
        <v>1535</v>
      </c>
      <c r="G522" s="131"/>
    </row>
    <row r="523" spans="1:7" ht="15.75" customHeight="1">
      <c r="A523" s="42" t="s">
        <v>18</v>
      </c>
      <c r="B523" s="154" t="s">
        <v>1521</v>
      </c>
      <c r="C523" s="43">
        <v>753075</v>
      </c>
      <c r="D523" s="1" t="s">
        <v>83</v>
      </c>
      <c r="E523" s="45" t="s">
        <v>1536</v>
      </c>
      <c r="G523" s="131"/>
    </row>
    <row r="524" spans="1:7" ht="15.75" customHeight="1">
      <c r="A524" s="42" t="s">
        <v>18</v>
      </c>
      <c r="B524" s="154" t="s">
        <v>1521</v>
      </c>
      <c r="C524" s="43">
        <v>2910527</v>
      </c>
      <c r="D524" s="1" t="s">
        <v>71</v>
      </c>
      <c r="E524" s="45" t="s">
        <v>1537</v>
      </c>
      <c r="G524" s="131"/>
    </row>
    <row r="525" spans="1:7" ht="15.75" customHeight="1">
      <c r="A525" s="42" t="s">
        <v>18</v>
      </c>
      <c r="B525" s="154" t="s">
        <v>1521</v>
      </c>
      <c r="C525" s="43">
        <v>752459</v>
      </c>
      <c r="D525" s="1" t="s">
        <v>83</v>
      </c>
      <c r="E525" s="45" t="s">
        <v>1333</v>
      </c>
      <c r="G525" s="131"/>
    </row>
    <row r="526" spans="1:7" ht="15.75" customHeight="1">
      <c r="A526" s="42" t="s">
        <v>18</v>
      </c>
      <c r="B526" s="154" t="s">
        <v>1521</v>
      </c>
      <c r="C526" s="43">
        <v>752466</v>
      </c>
      <c r="D526" s="1" t="s">
        <v>83</v>
      </c>
      <c r="E526" s="45" t="s">
        <v>1538</v>
      </c>
      <c r="G526" s="131"/>
    </row>
    <row r="527" spans="1:7" ht="15.75" customHeight="1">
      <c r="A527" s="42" t="s">
        <v>18</v>
      </c>
      <c r="B527" s="154" t="s">
        <v>1521</v>
      </c>
      <c r="C527" s="43">
        <v>2423306</v>
      </c>
      <c r="D527" s="1" t="s">
        <v>101</v>
      </c>
      <c r="E527" s="45" t="s">
        <v>1539</v>
      </c>
      <c r="G527" s="131"/>
    </row>
    <row r="528" spans="1:7" ht="15.75" customHeight="1">
      <c r="A528" s="42" t="s">
        <v>18</v>
      </c>
      <c r="B528" s="154" t="s">
        <v>1521</v>
      </c>
      <c r="C528" s="43">
        <v>2929563</v>
      </c>
      <c r="D528" s="1" t="s">
        <v>80</v>
      </c>
      <c r="E528" s="45" t="s">
        <v>1359</v>
      </c>
      <c r="G528" s="131"/>
    </row>
    <row r="529" spans="1:11" ht="15.75" customHeight="1">
      <c r="A529" s="42" t="s">
        <v>18</v>
      </c>
      <c r="B529" s="154" t="s">
        <v>1521</v>
      </c>
      <c r="C529" s="43">
        <v>5018005</v>
      </c>
      <c r="D529" s="1" t="s">
        <v>101</v>
      </c>
      <c r="E529" s="45" t="s">
        <v>1380</v>
      </c>
      <c r="G529" s="131"/>
    </row>
    <row r="530" spans="1:11" ht="15.75" customHeight="1">
      <c r="A530" s="42" t="s">
        <v>18</v>
      </c>
      <c r="B530" s="154" t="s">
        <v>1521</v>
      </c>
      <c r="C530" s="43">
        <v>2896917</v>
      </c>
      <c r="D530" s="1" t="s">
        <v>83</v>
      </c>
      <c r="E530" s="49" t="s">
        <v>1540</v>
      </c>
      <c r="G530" s="131"/>
    </row>
    <row r="531" spans="1:11" ht="15.75" customHeight="1">
      <c r="A531" s="42" t="s">
        <v>18</v>
      </c>
      <c r="B531" s="154" t="s">
        <v>1521</v>
      </c>
      <c r="C531" s="43">
        <v>801469</v>
      </c>
      <c r="D531" s="1" t="s">
        <v>90</v>
      </c>
      <c r="E531" s="45" t="s">
        <v>1541</v>
      </c>
      <c r="G531" s="131"/>
    </row>
    <row r="532" spans="1:11" ht="15.75" customHeight="1">
      <c r="A532" s="111" t="s">
        <v>19</v>
      </c>
      <c r="B532" s="151" t="s">
        <v>1542</v>
      </c>
      <c r="C532" s="152" t="s">
        <v>68</v>
      </c>
      <c r="D532" s="152" t="s">
        <v>62</v>
      </c>
      <c r="E532" s="56" t="s">
        <v>69</v>
      </c>
      <c r="F532" s="153"/>
      <c r="G532" s="48" t="s">
        <v>70</v>
      </c>
      <c r="H532" s="78"/>
      <c r="I532" s="78"/>
      <c r="J532" s="78"/>
      <c r="K532" s="78"/>
    </row>
    <row r="533" spans="1:11" ht="15.75" customHeight="1">
      <c r="A533" s="42" t="s">
        <v>19</v>
      </c>
      <c r="B533" s="154" t="s">
        <v>1542</v>
      </c>
      <c r="C533" s="43">
        <v>5013631</v>
      </c>
      <c r="D533" s="1" t="s">
        <v>71</v>
      </c>
      <c r="E533" s="45" t="s">
        <v>1543</v>
      </c>
      <c r="G533" s="48" t="s">
        <v>1544</v>
      </c>
    </row>
    <row r="534" spans="1:11" ht="15.75" customHeight="1">
      <c r="A534" s="42" t="s">
        <v>19</v>
      </c>
      <c r="B534" s="154" t="s">
        <v>1542</v>
      </c>
      <c r="C534" s="43">
        <v>2928598</v>
      </c>
      <c r="D534" s="1" t="s">
        <v>101</v>
      </c>
      <c r="E534" s="45" t="s">
        <v>1409</v>
      </c>
      <c r="F534" s="155"/>
      <c r="G534" s="131"/>
    </row>
    <row r="535" spans="1:11" ht="15.75" customHeight="1">
      <c r="A535" s="42" t="s">
        <v>19</v>
      </c>
      <c r="B535" s="154" t="s">
        <v>1542</v>
      </c>
      <c r="C535" s="43">
        <v>2929565</v>
      </c>
      <c r="D535" s="1" t="s">
        <v>83</v>
      </c>
      <c r="E535" s="49" t="s">
        <v>1364</v>
      </c>
      <c r="F535" s="155"/>
      <c r="G535" s="50"/>
    </row>
    <row r="536" spans="1:11" ht="15.75" customHeight="1">
      <c r="A536" s="42" t="s">
        <v>19</v>
      </c>
      <c r="B536" s="154" t="s">
        <v>1542</v>
      </c>
      <c r="C536" s="43">
        <v>2903150</v>
      </c>
      <c r="D536" s="1" t="s">
        <v>71</v>
      </c>
      <c r="E536" s="45" t="s">
        <v>1410</v>
      </c>
      <c r="F536" s="155"/>
      <c r="G536" s="50"/>
    </row>
    <row r="537" spans="1:11" ht="15.75" customHeight="1">
      <c r="A537" s="42" t="s">
        <v>19</v>
      </c>
      <c r="B537" s="154" t="s">
        <v>1542</v>
      </c>
      <c r="C537" s="43">
        <v>801473</v>
      </c>
      <c r="D537" s="1" t="s">
        <v>71</v>
      </c>
      <c r="E537" s="45" t="s">
        <v>1367</v>
      </c>
      <c r="F537" s="155"/>
      <c r="G537" s="50"/>
    </row>
    <row r="538" spans="1:11" ht="15.75" customHeight="1">
      <c r="A538" s="42" t="s">
        <v>19</v>
      </c>
      <c r="B538" s="154" t="s">
        <v>1542</v>
      </c>
      <c r="C538" s="43">
        <v>733879</v>
      </c>
      <c r="D538" s="1" t="s">
        <v>80</v>
      </c>
      <c r="E538" s="45" t="s">
        <v>1368</v>
      </c>
      <c r="F538" s="155"/>
      <c r="G538" s="50"/>
    </row>
    <row r="539" spans="1:11" ht="15.75" customHeight="1">
      <c r="A539" s="42" t="s">
        <v>19</v>
      </c>
      <c r="B539" s="154" t="s">
        <v>1542</v>
      </c>
      <c r="C539" s="43">
        <v>5013109</v>
      </c>
      <c r="D539" s="1" t="s">
        <v>71</v>
      </c>
      <c r="E539" s="45" t="s">
        <v>1411</v>
      </c>
      <c r="F539" s="155"/>
      <c r="G539" s="50"/>
    </row>
    <row r="540" spans="1:11" ht="15.75" customHeight="1">
      <c r="A540" s="42" t="s">
        <v>19</v>
      </c>
      <c r="B540" s="154" t="s">
        <v>1542</v>
      </c>
      <c r="C540" s="43">
        <v>5016088</v>
      </c>
      <c r="D540" s="1" t="s">
        <v>71</v>
      </c>
      <c r="E540" s="45" t="s">
        <v>1545</v>
      </c>
      <c r="F540" s="155"/>
      <c r="G540" s="50"/>
    </row>
    <row r="541" spans="1:11" ht="15.75" customHeight="1">
      <c r="A541" s="42" t="s">
        <v>19</v>
      </c>
      <c r="B541" s="154" t="s">
        <v>1542</v>
      </c>
      <c r="C541" s="43">
        <v>5020994</v>
      </c>
      <c r="D541" s="1" t="s">
        <v>71</v>
      </c>
      <c r="E541" s="45" t="s">
        <v>1412</v>
      </c>
      <c r="F541" s="155"/>
      <c r="G541" s="50"/>
    </row>
    <row r="542" spans="1:11" ht="15.75" customHeight="1">
      <c r="A542" s="42" t="s">
        <v>19</v>
      </c>
      <c r="B542" s="154" t="s">
        <v>1542</v>
      </c>
      <c r="C542" s="43">
        <v>2875200</v>
      </c>
      <c r="D542" s="1" t="s">
        <v>71</v>
      </c>
      <c r="E542" s="45" t="s">
        <v>1413</v>
      </c>
      <c r="F542" s="155"/>
      <c r="G542" s="50"/>
    </row>
    <row r="543" spans="1:11" ht="15.75" customHeight="1">
      <c r="A543" s="42" t="s">
        <v>19</v>
      </c>
      <c r="B543" s="154" t="s">
        <v>1542</v>
      </c>
      <c r="C543" s="43">
        <v>2928596</v>
      </c>
      <c r="D543" s="1" t="s">
        <v>80</v>
      </c>
      <c r="E543" s="45" t="s">
        <v>1383</v>
      </c>
      <c r="F543" s="155"/>
      <c r="G543" s="50"/>
    </row>
    <row r="544" spans="1:11" ht="15.75" customHeight="1">
      <c r="A544" s="42" t="s">
        <v>19</v>
      </c>
      <c r="B544" s="154" t="s">
        <v>1542</v>
      </c>
      <c r="C544" s="43">
        <v>807491</v>
      </c>
      <c r="D544" s="1" t="s">
        <v>83</v>
      </c>
      <c r="E544" s="45" t="s">
        <v>1546</v>
      </c>
      <c r="F544" s="155"/>
      <c r="G544" s="50"/>
    </row>
    <row r="545" spans="1:11" ht="15.75" customHeight="1">
      <c r="A545" s="42" t="s">
        <v>19</v>
      </c>
      <c r="B545" s="154" t="s">
        <v>1542</v>
      </c>
      <c r="C545" s="43">
        <v>5034154</v>
      </c>
      <c r="D545" s="1" t="s">
        <v>71</v>
      </c>
      <c r="E545" s="45" t="s">
        <v>1415</v>
      </c>
      <c r="F545" s="155"/>
      <c r="G545" s="50"/>
    </row>
    <row r="546" spans="1:11" ht="15.75" customHeight="1">
      <c r="A546" s="42" t="s">
        <v>19</v>
      </c>
      <c r="B546" s="154" t="s">
        <v>1542</v>
      </c>
      <c r="C546" s="43">
        <v>2902183</v>
      </c>
      <c r="D546" s="1" t="s">
        <v>71</v>
      </c>
      <c r="E546" s="49" t="s">
        <v>1416</v>
      </c>
      <c r="F546" s="155"/>
      <c r="G546" s="50"/>
    </row>
    <row r="547" spans="1:11" ht="15.75" customHeight="1">
      <c r="A547" s="42" t="s">
        <v>19</v>
      </c>
      <c r="B547" s="154" t="s">
        <v>1542</v>
      </c>
      <c r="C547" s="43">
        <v>5039705</v>
      </c>
      <c r="D547" s="1" t="s">
        <v>80</v>
      </c>
      <c r="E547" s="49" t="s">
        <v>1417</v>
      </c>
      <c r="F547" s="155"/>
      <c r="G547" s="50"/>
    </row>
    <row r="548" spans="1:11" ht="15.75" customHeight="1">
      <c r="A548" s="42" t="s">
        <v>19</v>
      </c>
      <c r="B548" s="154" t="s">
        <v>1542</v>
      </c>
      <c r="C548" s="43">
        <v>2903151</v>
      </c>
      <c r="D548" s="1" t="s">
        <v>90</v>
      </c>
      <c r="E548" s="45" t="s">
        <v>1418</v>
      </c>
      <c r="F548" s="155"/>
      <c r="G548" s="50"/>
    </row>
    <row r="549" spans="1:11" ht="15.75" customHeight="1">
      <c r="A549" s="42" t="s">
        <v>19</v>
      </c>
      <c r="B549" s="154" t="s">
        <v>1542</v>
      </c>
      <c r="C549" s="43">
        <v>2900317</v>
      </c>
      <c r="D549" s="1" t="s">
        <v>101</v>
      </c>
      <c r="E549" s="45" t="s">
        <v>1547</v>
      </c>
      <c r="F549" s="155"/>
      <c r="G549" s="50"/>
    </row>
    <row r="550" spans="1:11" ht="15.75" customHeight="1">
      <c r="A550" s="42" t="s">
        <v>19</v>
      </c>
      <c r="B550" s="154" t="s">
        <v>1542</v>
      </c>
      <c r="C550" s="43">
        <v>2908965</v>
      </c>
      <c r="D550" s="1" t="s">
        <v>71</v>
      </c>
      <c r="E550" s="157" t="s">
        <v>1419</v>
      </c>
      <c r="F550" s="155"/>
      <c r="G550" s="50"/>
    </row>
    <row r="551" spans="1:11" ht="15.75" customHeight="1">
      <c r="A551" s="42" t="s">
        <v>19</v>
      </c>
      <c r="B551" s="154" t="s">
        <v>1542</v>
      </c>
      <c r="C551" s="43">
        <v>2878084</v>
      </c>
      <c r="D551" s="1" t="s">
        <v>80</v>
      </c>
      <c r="E551" s="45" t="s">
        <v>1548</v>
      </c>
      <c r="F551" s="155"/>
      <c r="G551" s="50"/>
    </row>
    <row r="552" spans="1:11" ht="15.75" customHeight="1">
      <c r="A552" s="42" t="s">
        <v>19</v>
      </c>
      <c r="B552" s="154" t="s">
        <v>1542</v>
      </c>
      <c r="C552" s="43">
        <v>2876144</v>
      </c>
      <c r="D552" s="1" t="s">
        <v>83</v>
      </c>
      <c r="E552" s="45" t="s">
        <v>1420</v>
      </c>
      <c r="F552" s="155"/>
      <c r="G552" s="50"/>
    </row>
    <row r="553" spans="1:11" ht="15.75" customHeight="1">
      <c r="A553" s="42" t="s">
        <v>19</v>
      </c>
      <c r="B553" s="154" t="s">
        <v>1542</v>
      </c>
      <c r="C553" s="43">
        <v>2931597</v>
      </c>
      <c r="D553" s="1" t="s">
        <v>90</v>
      </c>
      <c r="E553" s="45" t="s">
        <v>1421</v>
      </c>
      <c r="F553" s="155"/>
      <c r="G553" s="50"/>
    </row>
    <row r="554" spans="1:11" ht="15.75" customHeight="1">
      <c r="A554" s="42" t="s">
        <v>19</v>
      </c>
      <c r="B554" s="154" t="s">
        <v>1542</v>
      </c>
      <c r="C554" s="43">
        <v>2910530</v>
      </c>
      <c r="D554" s="1" t="s">
        <v>71</v>
      </c>
      <c r="E554" s="45" t="s">
        <v>1375</v>
      </c>
      <c r="F554" s="155"/>
      <c r="G554" s="50"/>
    </row>
    <row r="555" spans="1:11" ht="15.75" customHeight="1">
      <c r="A555" s="111" t="s">
        <v>20</v>
      </c>
      <c r="B555" s="151" t="s">
        <v>1549</v>
      </c>
      <c r="C555" s="152" t="s">
        <v>68</v>
      </c>
      <c r="D555" s="152" t="s">
        <v>62</v>
      </c>
      <c r="E555" s="56" t="s">
        <v>69</v>
      </c>
      <c r="F555" s="153"/>
      <c r="G555" s="48" t="s">
        <v>70</v>
      </c>
      <c r="H555" s="78"/>
      <c r="I555" s="78"/>
      <c r="J555" s="78"/>
      <c r="K555" s="78"/>
    </row>
    <row r="556" spans="1:11" ht="15.75" customHeight="1">
      <c r="A556" s="42" t="s">
        <v>20</v>
      </c>
      <c r="B556" s="154" t="s">
        <v>1549</v>
      </c>
      <c r="C556" s="43">
        <v>2908955</v>
      </c>
      <c r="D556" s="1" t="s">
        <v>80</v>
      </c>
      <c r="E556" s="49" t="s">
        <v>1463</v>
      </c>
      <c r="F556" s="155"/>
      <c r="G556" s="48" t="s">
        <v>528</v>
      </c>
    </row>
    <row r="557" spans="1:11" ht="15.75" customHeight="1">
      <c r="A557" s="42" t="s">
        <v>20</v>
      </c>
      <c r="B557" s="154" t="s">
        <v>1549</v>
      </c>
      <c r="C557" s="43">
        <v>753080</v>
      </c>
      <c r="D557" s="1" t="s">
        <v>71</v>
      </c>
      <c r="E557" s="45" t="s">
        <v>1445</v>
      </c>
      <c r="F557" s="155"/>
      <c r="G557" s="50"/>
    </row>
    <row r="558" spans="1:11" ht="15.75" customHeight="1">
      <c r="A558" s="42" t="s">
        <v>20</v>
      </c>
      <c r="B558" s="154" t="s">
        <v>1549</v>
      </c>
      <c r="C558" s="43">
        <v>801474</v>
      </c>
      <c r="D558" s="1" t="s">
        <v>90</v>
      </c>
      <c r="E558" s="45" t="s">
        <v>1243</v>
      </c>
      <c r="F558" s="155"/>
      <c r="G558" s="50"/>
    </row>
    <row r="559" spans="1:11" ht="15.75" customHeight="1">
      <c r="A559" s="42" t="s">
        <v>20</v>
      </c>
      <c r="B559" s="154" t="s">
        <v>1549</v>
      </c>
      <c r="C559" s="43">
        <v>2909978</v>
      </c>
      <c r="D559" s="1" t="s">
        <v>71</v>
      </c>
      <c r="E559" s="45" t="s">
        <v>1473</v>
      </c>
      <c r="F559" s="155"/>
      <c r="G559" s="50"/>
    </row>
    <row r="560" spans="1:11" ht="15.75" customHeight="1">
      <c r="A560" s="42" t="s">
        <v>20</v>
      </c>
      <c r="B560" s="154" t="s">
        <v>1549</v>
      </c>
      <c r="C560" s="43">
        <v>801456</v>
      </c>
      <c r="D560" s="1" t="s">
        <v>90</v>
      </c>
      <c r="E560" s="45" t="s">
        <v>1466</v>
      </c>
      <c r="F560" s="155"/>
      <c r="G560" s="50"/>
    </row>
    <row r="561" spans="1:11" ht="15.75" customHeight="1">
      <c r="A561" s="42" t="s">
        <v>20</v>
      </c>
      <c r="B561" s="154" t="s">
        <v>1549</v>
      </c>
      <c r="C561" s="43">
        <v>753212</v>
      </c>
      <c r="D561" s="1" t="s">
        <v>80</v>
      </c>
      <c r="E561" s="45" t="s">
        <v>1384</v>
      </c>
      <c r="F561" s="155"/>
      <c r="G561" s="50"/>
    </row>
    <row r="562" spans="1:11" ht="15.75" customHeight="1">
      <c r="A562" s="42" t="s">
        <v>20</v>
      </c>
      <c r="B562" s="154" t="s">
        <v>1549</v>
      </c>
      <c r="C562" s="43">
        <v>753078</v>
      </c>
      <c r="D562" s="1" t="s">
        <v>80</v>
      </c>
      <c r="E562" s="49" t="s">
        <v>1296</v>
      </c>
      <c r="F562" s="155"/>
      <c r="G562" s="50"/>
    </row>
    <row r="563" spans="1:11" ht="15.75" customHeight="1">
      <c r="A563" s="42" t="s">
        <v>20</v>
      </c>
      <c r="B563" s="154" t="s">
        <v>1549</v>
      </c>
      <c r="C563" s="43">
        <v>2931593</v>
      </c>
      <c r="D563" s="1" t="s">
        <v>101</v>
      </c>
      <c r="E563" s="45" t="s">
        <v>1550</v>
      </c>
      <c r="F563" s="155"/>
      <c r="G563" s="50"/>
    </row>
    <row r="564" spans="1:11" ht="15.75" customHeight="1">
      <c r="A564" s="42" t="s">
        <v>20</v>
      </c>
      <c r="B564" s="154" t="s">
        <v>1549</v>
      </c>
      <c r="C564" s="43">
        <v>753150</v>
      </c>
      <c r="D564" s="1" t="s">
        <v>71</v>
      </c>
      <c r="E564" s="45" t="s">
        <v>1551</v>
      </c>
      <c r="F564" s="155"/>
      <c r="G564" s="50"/>
    </row>
    <row r="565" spans="1:11" ht="15.75" customHeight="1">
      <c r="A565" s="42" t="s">
        <v>20</v>
      </c>
      <c r="B565" s="154" t="s">
        <v>1549</v>
      </c>
      <c r="C565" s="43">
        <v>753209</v>
      </c>
      <c r="D565" s="1" t="s">
        <v>80</v>
      </c>
      <c r="E565" s="45" t="s">
        <v>1373</v>
      </c>
      <c r="F565" s="155"/>
      <c r="G565" s="50"/>
    </row>
    <row r="566" spans="1:11" ht="15.75" customHeight="1">
      <c r="A566" s="42" t="s">
        <v>20</v>
      </c>
      <c r="B566" s="154" t="s">
        <v>1549</v>
      </c>
      <c r="C566" s="43">
        <v>778027</v>
      </c>
      <c r="D566" s="1" t="s">
        <v>83</v>
      </c>
      <c r="E566" s="45" t="s">
        <v>1403</v>
      </c>
      <c r="F566" s="155"/>
      <c r="G566" s="50"/>
    </row>
    <row r="567" spans="1:11" ht="15.75" customHeight="1">
      <c r="A567" s="42" t="s">
        <v>20</v>
      </c>
      <c r="B567" s="154" t="s">
        <v>1549</v>
      </c>
      <c r="C567" s="43">
        <v>753083</v>
      </c>
      <c r="D567" s="1" t="s">
        <v>71</v>
      </c>
      <c r="E567" s="45" t="s">
        <v>1402</v>
      </c>
      <c r="F567" s="155"/>
      <c r="G567" s="50"/>
    </row>
    <row r="568" spans="1:11" ht="15.75" customHeight="1">
      <c r="A568" s="42" t="s">
        <v>20</v>
      </c>
      <c r="B568" s="154" t="s">
        <v>1549</v>
      </c>
      <c r="C568" s="43">
        <v>753208</v>
      </c>
      <c r="D568" s="1" t="s">
        <v>71</v>
      </c>
      <c r="E568" s="45" t="s">
        <v>1470</v>
      </c>
      <c r="F568" s="155"/>
      <c r="G568" s="50"/>
    </row>
    <row r="569" spans="1:11" ht="15.75" customHeight="1">
      <c r="A569" s="42" t="s">
        <v>20</v>
      </c>
      <c r="B569" s="154" t="s">
        <v>1549</v>
      </c>
      <c r="C569" s="43">
        <v>2908958</v>
      </c>
      <c r="D569" s="1" t="s">
        <v>83</v>
      </c>
      <c r="E569" s="45" t="s">
        <v>1552</v>
      </c>
      <c r="F569" s="155"/>
      <c r="G569" s="50"/>
    </row>
    <row r="570" spans="1:11" ht="15.75" customHeight="1">
      <c r="A570" s="111" t="s">
        <v>21</v>
      </c>
      <c r="B570" s="151" t="s">
        <v>1553</v>
      </c>
      <c r="C570" s="152" t="s">
        <v>68</v>
      </c>
      <c r="D570" s="152" t="s">
        <v>62</v>
      </c>
      <c r="E570" s="56" t="s">
        <v>69</v>
      </c>
      <c r="F570" s="153"/>
      <c r="G570" s="48" t="s">
        <v>70</v>
      </c>
      <c r="H570" s="78"/>
      <c r="I570" s="78"/>
      <c r="J570" s="78"/>
      <c r="K570" s="78"/>
    </row>
    <row r="571" spans="1:11" ht="15.75" customHeight="1">
      <c r="A571" s="42" t="s">
        <v>21</v>
      </c>
      <c r="B571" s="154" t="s">
        <v>1553</v>
      </c>
      <c r="C571" s="43">
        <v>801464</v>
      </c>
      <c r="D571" s="1" t="s">
        <v>71</v>
      </c>
      <c r="E571" s="45" t="s">
        <v>1313</v>
      </c>
      <c r="F571" s="155"/>
      <c r="G571" s="48" t="s">
        <v>1308</v>
      </c>
    </row>
    <row r="572" spans="1:11" ht="15.75" customHeight="1">
      <c r="A572" s="42" t="s">
        <v>21</v>
      </c>
      <c r="B572" s="154" t="s">
        <v>1553</v>
      </c>
      <c r="C572" s="43">
        <v>753229</v>
      </c>
      <c r="D572" s="1" t="s">
        <v>71</v>
      </c>
      <c r="E572" s="45" t="s">
        <v>1241</v>
      </c>
      <c r="F572" s="155"/>
      <c r="G572" s="48" t="s">
        <v>1451</v>
      </c>
    </row>
    <row r="573" spans="1:11" ht="15.75" customHeight="1">
      <c r="A573" s="1" t="s">
        <v>21</v>
      </c>
      <c r="B573" s="154" t="s">
        <v>1553</v>
      </c>
      <c r="C573" s="43">
        <v>800463</v>
      </c>
      <c r="D573" s="1" t="s">
        <v>83</v>
      </c>
      <c r="E573" s="45" t="s">
        <v>1315</v>
      </c>
      <c r="F573" s="155"/>
      <c r="G573" s="50"/>
    </row>
    <row r="574" spans="1:11" ht="15.75" customHeight="1">
      <c r="A574" s="42" t="s">
        <v>21</v>
      </c>
      <c r="B574" s="154" t="s">
        <v>1553</v>
      </c>
      <c r="C574" s="43">
        <v>2908959</v>
      </c>
      <c r="D574" s="1" t="s">
        <v>90</v>
      </c>
      <c r="E574" s="45" t="s">
        <v>1245</v>
      </c>
      <c r="F574" s="155"/>
      <c r="G574" s="50"/>
    </row>
    <row r="575" spans="1:11" ht="15.75" customHeight="1">
      <c r="A575" s="42" t="s">
        <v>21</v>
      </c>
      <c r="B575" s="154" t="s">
        <v>1553</v>
      </c>
      <c r="C575" s="43">
        <v>752464</v>
      </c>
      <c r="D575" s="1" t="s">
        <v>83</v>
      </c>
      <c r="E575" s="49" t="s">
        <v>1344</v>
      </c>
      <c r="F575" s="155"/>
      <c r="G575" s="50"/>
    </row>
    <row r="576" spans="1:11" ht="15.75" customHeight="1">
      <c r="A576" s="42" t="s">
        <v>21</v>
      </c>
      <c r="B576" s="154" t="s">
        <v>1553</v>
      </c>
      <c r="C576" s="43">
        <v>801458</v>
      </c>
      <c r="D576" s="1" t="s">
        <v>83</v>
      </c>
      <c r="E576" s="45" t="s">
        <v>1249</v>
      </c>
      <c r="G576" s="50"/>
    </row>
    <row r="577" spans="1:7" ht="15.75" customHeight="1">
      <c r="A577" s="42" t="s">
        <v>21</v>
      </c>
      <c r="B577" s="154" t="s">
        <v>1553</v>
      </c>
      <c r="C577" s="43">
        <v>3117418</v>
      </c>
      <c r="D577" s="1" t="s">
        <v>80</v>
      </c>
      <c r="E577" s="49" t="s">
        <v>1499</v>
      </c>
      <c r="G577" s="50"/>
    </row>
    <row r="578" spans="1:7" ht="15.75" customHeight="1">
      <c r="A578" s="42" t="s">
        <v>21</v>
      </c>
      <c r="B578" s="154" t="s">
        <v>1553</v>
      </c>
      <c r="C578" s="43">
        <v>753149</v>
      </c>
      <c r="D578" s="1" t="s">
        <v>80</v>
      </c>
      <c r="E578" s="49" t="s">
        <v>1554</v>
      </c>
      <c r="G578" s="50"/>
    </row>
    <row r="579" spans="1:7" ht="15.75" customHeight="1">
      <c r="A579" s="42" t="s">
        <v>21</v>
      </c>
      <c r="B579" s="154" t="s">
        <v>1553</v>
      </c>
      <c r="C579" s="43">
        <v>5036508</v>
      </c>
      <c r="D579" s="1" t="s">
        <v>83</v>
      </c>
      <c r="E579" s="49" t="s">
        <v>1319</v>
      </c>
      <c r="G579" s="50"/>
    </row>
    <row r="580" spans="1:7" ht="15.75" customHeight="1">
      <c r="A580" s="42" t="s">
        <v>21</v>
      </c>
      <c r="B580" s="154" t="s">
        <v>1553</v>
      </c>
      <c r="C580" s="43">
        <v>2901334</v>
      </c>
      <c r="D580" s="1" t="s">
        <v>101</v>
      </c>
      <c r="E580" s="45" t="s">
        <v>1323</v>
      </c>
      <c r="G580" s="50"/>
    </row>
    <row r="581" spans="1:7" ht="15.75" customHeight="1">
      <c r="A581" s="42" t="s">
        <v>21</v>
      </c>
      <c r="B581" s="154" t="s">
        <v>1553</v>
      </c>
      <c r="C581" s="43">
        <v>3157408</v>
      </c>
      <c r="D581" s="1" t="s">
        <v>80</v>
      </c>
      <c r="E581" s="49" t="s">
        <v>1501</v>
      </c>
      <c r="G581" s="50"/>
    </row>
    <row r="582" spans="1:7" ht="15.75" customHeight="1">
      <c r="A582" s="42" t="s">
        <v>21</v>
      </c>
      <c r="B582" s="154" t="s">
        <v>1553</v>
      </c>
      <c r="C582" s="43">
        <v>2875199</v>
      </c>
      <c r="D582" s="1" t="s">
        <v>71</v>
      </c>
      <c r="E582" s="45" t="s">
        <v>1475</v>
      </c>
      <c r="G582" s="50"/>
    </row>
    <row r="583" spans="1:7" ht="15.75" customHeight="1">
      <c r="A583" s="42" t="s">
        <v>21</v>
      </c>
      <c r="B583" s="154" t="s">
        <v>1553</v>
      </c>
      <c r="C583" s="43">
        <v>2431370</v>
      </c>
      <c r="D583" s="1" t="s">
        <v>80</v>
      </c>
      <c r="E583" s="49" t="s">
        <v>1555</v>
      </c>
      <c r="G583" s="50"/>
    </row>
    <row r="584" spans="1:7" ht="15.75" customHeight="1">
      <c r="A584" s="42" t="s">
        <v>21</v>
      </c>
      <c r="B584" s="154" t="s">
        <v>1553</v>
      </c>
      <c r="C584" s="43">
        <v>2931595</v>
      </c>
      <c r="D584" s="1" t="s">
        <v>101</v>
      </c>
      <c r="E584" s="49" t="s">
        <v>1455</v>
      </c>
      <c r="G584" s="50"/>
    </row>
    <row r="585" spans="1:7" ht="15.75" customHeight="1">
      <c r="A585" s="42" t="s">
        <v>21</v>
      </c>
      <c r="B585" s="154" t="s">
        <v>1553</v>
      </c>
      <c r="C585" s="43">
        <v>753220</v>
      </c>
      <c r="D585" s="1" t="s">
        <v>90</v>
      </c>
      <c r="E585" s="49" t="s">
        <v>1328</v>
      </c>
      <c r="G585" s="50"/>
    </row>
    <row r="586" spans="1:7" ht="15.75" customHeight="1">
      <c r="A586" s="42" t="s">
        <v>21</v>
      </c>
      <c r="B586" s="154" t="s">
        <v>1553</v>
      </c>
      <c r="C586" s="43">
        <v>5023837</v>
      </c>
      <c r="D586" s="1" t="s">
        <v>71</v>
      </c>
      <c r="E586" s="45" t="s">
        <v>1456</v>
      </c>
      <c r="G586" s="50"/>
    </row>
    <row r="587" spans="1:7" ht="15.75" customHeight="1">
      <c r="A587" s="42" t="s">
        <v>21</v>
      </c>
      <c r="B587" s="154" t="s">
        <v>1553</v>
      </c>
      <c r="C587" s="43">
        <v>753073</v>
      </c>
      <c r="D587" s="1" t="s">
        <v>83</v>
      </c>
      <c r="E587" s="45" t="s">
        <v>1329</v>
      </c>
      <c r="G587" s="50"/>
    </row>
    <row r="588" spans="1:7" ht="15.75" customHeight="1">
      <c r="A588" s="42" t="s">
        <v>21</v>
      </c>
      <c r="B588" s="154" t="s">
        <v>1553</v>
      </c>
      <c r="C588" s="43">
        <v>3159818</v>
      </c>
      <c r="D588" s="44" t="s">
        <v>83</v>
      </c>
      <c r="E588" s="49" t="s">
        <v>1392</v>
      </c>
      <c r="G588" s="50"/>
    </row>
    <row r="589" spans="1:7" ht="15.75" customHeight="1">
      <c r="A589" s="42" t="s">
        <v>21</v>
      </c>
      <c r="B589" s="154" t="s">
        <v>1553</v>
      </c>
      <c r="C589" s="43">
        <v>3161800</v>
      </c>
      <c r="D589" s="44" t="s">
        <v>83</v>
      </c>
      <c r="E589" s="49" t="s">
        <v>1393</v>
      </c>
      <c r="G589" s="50"/>
    </row>
    <row r="590" spans="1:7" ht="15.75" customHeight="1">
      <c r="A590" s="42" t="s">
        <v>21</v>
      </c>
      <c r="B590" s="154" t="s">
        <v>1553</v>
      </c>
      <c r="C590" s="43">
        <v>3160806</v>
      </c>
      <c r="D590" s="44" t="s">
        <v>83</v>
      </c>
      <c r="E590" s="49" t="s">
        <v>1395</v>
      </c>
      <c r="G590" s="50"/>
    </row>
    <row r="591" spans="1:7" ht="15.75" customHeight="1">
      <c r="A591" s="42" t="s">
        <v>21</v>
      </c>
      <c r="B591" s="154" t="s">
        <v>1553</v>
      </c>
      <c r="C591" s="43">
        <v>2210175</v>
      </c>
      <c r="D591" s="1" t="s">
        <v>71</v>
      </c>
      <c r="E591" s="45" t="s">
        <v>1336</v>
      </c>
      <c r="G591" s="50"/>
    </row>
    <row r="592" spans="1:7" ht="15.75" customHeight="1">
      <c r="A592" s="42" t="s">
        <v>21</v>
      </c>
      <c r="B592" s="154" t="s">
        <v>1553</v>
      </c>
      <c r="C592" s="43">
        <v>2911574</v>
      </c>
      <c r="D592" s="1" t="s">
        <v>83</v>
      </c>
      <c r="E592" s="45" t="s">
        <v>1482</v>
      </c>
      <c r="G592" s="50"/>
    </row>
    <row r="593" spans="1:11" ht="15.75" customHeight="1">
      <c r="A593" s="42" t="s">
        <v>21</v>
      </c>
      <c r="B593" s="154" t="s">
        <v>1553</v>
      </c>
      <c r="C593" s="43">
        <v>2909985</v>
      </c>
      <c r="D593" s="1" t="s">
        <v>83</v>
      </c>
      <c r="E593" s="45" t="s">
        <v>1483</v>
      </c>
      <c r="G593" s="50"/>
    </row>
    <row r="594" spans="1:11" ht="15.75" customHeight="1">
      <c r="A594" s="42" t="s">
        <v>21</v>
      </c>
      <c r="B594" s="154" t="s">
        <v>1553</v>
      </c>
      <c r="C594" s="43">
        <v>753081</v>
      </c>
      <c r="D594" s="1" t="s">
        <v>83</v>
      </c>
      <c r="E594" s="45" t="s">
        <v>1338</v>
      </c>
      <c r="G594" s="50"/>
    </row>
    <row r="595" spans="1:11" ht="15.75" customHeight="1">
      <c r="A595" s="111" t="s">
        <v>22</v>
      </c>
      <c r="B595" s="151" t="s">
        <v>1556</v>
      </c>
      <c r="C595" s="152" t="s">
        <v>68</v>
      </c>
      <c r="D595" s="152" t="s">
        <v>62</v>
      </c>
      <c r="E595" s="56" t="s">
        <v>69</v>
      </c>
      <c r="F595" s="153"/>
      <c r="G595" s="48" t="s">
        <v>70</v>
      </c>
      <c r="H595" s="78"/>
      <c r="I595" s="78"/>
      <c r="J595" s="78"/>
      <c r="K595" s="78"/>
    </row>
    <row r="596" spans="1:11" ht="15.75" customHeight="1">
      <c r="A596" s="1" t="s">
        <v>22</v>
      </c>
      <c r="B596" s="154" t="s">
        <v>1556</v>
      </c>
      <c r="C596" s="43">
        <v>801464</v>
      </c>
      <c r="D596" s="1" t="s">
        <v>71</v>
      </c>
      <c r="E596" s="45" t="s">
        <v>1313</v>
      </c>
      <c r="G596" s="48" t="s">
        <v>1498</v>
      </c>
    </row>
    <row r="597" spans="1:11" ht="15.75" customHeight="1">
      <c r="A597" s="1" t="s">
        <v>22</v>
      </c>
      <c r="B597" s="154" t="s">
        <v>1556</v>
      </c>
      <c r="C597" s="43">
        <v>2931602</v>
      </c>
      <c r="D597" s="1" t="s">
        <v>101</v>
      </c>
      <c r="E597" s="49" t="s">
        <v>1237</v>
      </c>
      <c r="G597" s="48" t="s">
        <v>1308</v>
      </c>
    </row>
    <row r="598" spans="1:11" ht="15.75" customHeight="1">
      <c r="A598" s="42" t="s">
        <v>22</v>
      </c>
      <c r="B598" s="154" t="s">
        <v>1556</v>
      </c>
      <c r="C598" s="43">
        <v>800463</v>
      </c>
      <c r="D598" s="1" t="s">
        <v>83</v>
      </c>
      <c r="E598" s="45" t="s">
        <v>1315</v>
      </c>
      <c r="G598" s="48" t="s">
        <v>1451</v>
      </c>
    </row>
    <row r="599" spans="1:11" ht="15.75" customHeight="1">
      <c r="A599" s="42" t="s">
        <v>22</v>
      </c>
      <c r="B599" s="154" t="s">
        <v>1556</v>
      </c>
      <c r="C599" s="43">
        <v>2908959</v>
      </c>
      <c r="D599" s="1" t="s">
        <v>90</v>
      </c>
      <c r="E599" s="45" t="s">
        <v>1245</v>
      </c>
      <c r="G599" s="48" t="s">
        <v>1240</v>
      </c>
    </row>
    <row r="600" spans="1:11" ht="15.75" customHeight="1">
      <c r="A600" s="42" t="s">
        <v>22</v>
      </c>
      <c r="B600" s="154" t="s">
        <v>1556</v>
      </c>
      <c r="C600" s="43">
        <v>801458</v>
      </c>
      <c r="D600" s="1" t="s">
        <v>83</v>
      </c>
      <c r="E600" s="45" t="s">
        <v>1249</v>
      </c>
      <c r="G600" s="50"/>
    </row>
    <row r="601" spans="1:11" ht="15.75" customHeight="1">
      <c r="A601" s="42" t="s">
        <v>22</v>
      </c>
      <c r="B601" s="154" t="s">
        <v>1556</v>
      </c>
      <c r="C601" s="43">
        <v>2841349</v>
      </c>
      <c r="D601" s="1" t="s">
        <v>71</v>
      </c>
      <c r="E601" s="49" t="s">
        <v>1366</v>
      </c>
      <c r="G601" s="50"/>
    </row>
    <row r="602" spans="1:11" ht="15.75" customHeight="1">
      <c r="A602" s="42" t="s">
        <v>22</v>
      </c>
      <c r="B602" s="154" t="s">
        <v>1556</v>
      </c>
      <c r="C602" s="43">
        <v>3117418</v>
      </c>
      <c r="D602" s="1" t="s">
        <v>80</v>
      </c>
      <c r="E602" s="49" t="s">
        <v>1499</v>
      </c>
      <c r="G602" s="50"/>
    </row>
    <row r="603" spans="1:11" ht="15.75" customHeight="1">
      <c r="A603" s="42" t="s">
        <v>22</v>
      </c>
      <c r="B603" s="154" t="s">
        <v>1556</v>
      </c>
      <c r="C603" s="43">
        <v>3202148</v>
      </c>
      <c r="D603" s="1" t="s">
        <v>80</v>
      </c>
      <c r="E603" s="49" t="s">
        <v>1500</v>
      </c>
      <c r="G603" s="50"/>
    </row>
    <row r="604" spans="1:11" ht="15.75" customHeight="1">
      <c r="A604" s="42" t="s">
        <v>22</v>
      </c>
      <c r="B604" s="154" t="s">
        <v>1556</v>
      </c>
      <c r="C604" s="43">
        <v>2928582</v>
      </c>
      <c r="D604" s="1" t="s">
        <v>83</v>
      </c>
      <c r="E604" s="45" t="s">
        <v>1256</v>
      </c>
      <c r="G604" s="50"/>
    </row>
    <row r="605" spans="1:11" ht="15.75" customHeight="1">
      <c r="A605" s="42" t="s">
        <v>22</v>
      </c>
      <c r="B605" s="154" t="s">
        <v>1556</v>
      </c>
      <c r="C605" s="43">
        <v>2929560</v>
      </c>
      <c r="D605" s="1" t="s">
        <v>71</v>
      </c>
      <c r="E605" s="45" t="s">
        <v>1258</v>
      </c>
      <c r="G605" s="50"/>
    </row>
    <row r="606" spans="1:11" ht="15.75" customHeight="1">
      <c r="A606" s="42" t="s">
        <v>22</v>
      </c>
      <c r="B606" s="154" t="s">
        <v>1556</v>
      </c>
      <c r="C606" s="43">
        <v>5036508</v>
      </c>
      <c r="D606" s="1" t="s">
        <v>83</v>
      </c>
      <c r="E606" s="49" t="s">
        <v>1319</v>
      </c>
      <c r="G606" s="50"/>
    </row>
    <row r="607" spans="1:11" ht="15.75" customHeight="1">
      <c r="A607" s="42" t="s">
        <v>22</v>
      </c>
      <c r="B607" s="154" t="s">
        <v>1556</v>
      </c>
      <c r="C607" s="43">
        <v>2901334</v>
      </c>
      <c r="D607" s="1" t="s">
        <v>101</v>
      </c>
      <c r="E607" s="45" t="s">
        <v>1323</v>
      </c>
      <c r="G607" s="50"/>
    </row>
    <row r="608" spans="1:11" ht="15.75" customHeight="1">
      <c r="A608" s="42" t="s">
        <v>22</v>
      </c>
      <c r="B608" s="154" t="s">
        <v>1556</v>
      </c>
      <c r="C608" s="43">
        <v>2875199</v>
      </c>
      <c r="D608" s="1" t="s">
        <v>71</v>
      </c>
      <c r="E608" s="45" t="s">
        <v>1475</v>
      </c>
      <c r="G608" s="50"/>
    </row>
    <row r="609" spans="1:11" ht="15.75" customHeight="1">
      <c r="A609" s="42" t="s">
        <v>22</v>
      </c>
      <c r="B609" s="154" t="s">
        <v>1556</v>
      </c>
      <c r="C609" s="43">
        <v>2931595</v>
      </c>
      <c r="D609" s="1" t="s">
        <v>101</v>
      </c>
      <c r="E609" s="49" t="s">
        <v>1455</v>
      </c>
      <c r="G609" s="50"/>
    </row>
    <row r="610" spans="1:11" ht="15.75" customHeight="1">
      <c r="A610" s="42" t="s">
        <v>22</v>
      </c>
      <c r="B610" s="154" t="s">
        <v>1556</v>
      </c>
      <c r="C610" s="43">
        <v>5023837</v>
      </c>
      <c r="D610" s="1" t="s">
        <v>71</v>
      </c>
      <c r="E610" s="45" t="s">
        <v>1456</v>
      </c>
      <c r="G610" s="50"/>
    </row>
    <row r="611" spans="1:11" ht="15.75" customHeight="1">
      <c r="A611" s="42" t="s">
        <v>22</v>
      </c>
      <c r="B611" s="154" t="s">
        <v>1556</v>
      </c>
      <c r="C611" s="43">
        <v>733920</v>
      </c>
      <c r="D611" s="1" t="s">
        <v>83</v>
      </c>
      <c r="E611" s="45" t="s">
        <v>1502</v>
      </c>
      <c r="G611" s="50"/>
    </row>
    <row r="612" spans="1:11" ht="15.75" customHeight="1">
      <c r="A612" s="42" t="s">
        <v>22</v>
      </c>
      <c r="B612" s="154" t="s">
        <v>1556</v>
      </c>
      <c r="C612" s="43">
        <v>753072</v>
      </c>
      <c r="D612" s="1" t="s">
        <v>71</v>
      </c>
      <c r="E612" s="45" t="s">
        <v>1334</v>
      </c>
      <c r="G612" s="50"/>
    </row>
    <row r="613" spans="1:11" ht="15.75" customHeight="1">
      <c r="A613" s="42" t="s">
        <v>22</v>
      </c>
      <c r="B613" s="154" t="s">
        <v>1556</v>
      </c>
      <c r="C613" s="43">
        <v>801462</v>
      </c>
      <c r="D613" s="1" t="s">
        <v>71</v>
      </c>
      <c r="E613" s="45" t="s">
        <v>1557</v>
      </c>
      <c r="G613" s="50"/>
    </row>
    <row r="614" spans="1:11" ht="15.75" customHeight="1">
      <c r="A614" s="42" t="s">
        <v>22</v>
      </c>
      <c r="B614" s="154" t="s">
        <v>1556</v>
      </c>
      <c r="C614" s="43">
        <v>801461</v>
      </c>
      <c r="D614" s="1" t="s">
        <v>71</v>
      </c>
      <c r="E614" s="49" t="s">
        <v>1335</v>
      </c>
      <c r="G614" s="50"/>
    </row>
    <row r="615" spans="1:11" ht="15.75" customHeight="1">
      <c r="A615" s="42" t="s">
        <v>22</v>
      </c>
      <c r="B615" s="154" t="s">
        <v>1556</v>
      </c>
      <c r="C615" s="43">
        <v>2210175</v>
      </c>
      <c r="D615" s="1" t="s">
        <v>71</v>
      </c>
      <c r="E615" s="45" t="s">
        <v>1336</v>
      </c>
      <c r="G615" s="50"/>
    </row>
    <row r="616" spans="1:11" ht="15.75" customHeight="1">
      <c r="A616" s="42" t="s">
        <v>22</v>
      </c>
      <c r="B616" s="154" t="s">
        <v>1556</v>
      </c>
      <c r="C616" s="43">
        <v>2911574</v>
      </c>
      <c r="D616" s="1" t="s">
        <v>83</v>
      </c>
      <c r="E616" s="45" t="s">
        <v>1482</v>
      </c>
      <c r="G616" s="50"/>
    </row>
    <row r="617" spans="1:11" ht="15.75" customHeight="1">
      <c r="A617" s="42" t="s">
        <v>22</v>
      </c>
      <c r="B617" s="154" t="s">
        <v>1556</v>
      </c>
      <c r="C617" s="43">
        <v>2909985</v>
      </c>
      <c r="D617" s="1" t="s">
        <v>83</v>
      </c>
      <c r="E617" s="45" t="s">
        <v>1483</v>
      </c>
      <c r="G617" s="50"/>
    </row>
    <row r="618" spans="1:11" ht="15.75" customHeight="1">
      <c r="A618" s="42" t="s">
        <v>22</v>
      </c>
      <c r="B618" s="154" t="s">
        <v>1556</v>
      </c>
      <c r="C618" s="43">
        <v>2841370</v>
      </c>
      <c r="D618" s="1" t="s">
        <v>71</v>
      </c>
      <c r="E618" s="45" t="s">
        <v>1278</v>
      </c>
      <c r="G618" s="50"/>
    </row>
    <row r="619" spans="1:11" ht="15.75" customHeight="1">
      <c r="A619" s="42" t="s">
        <v>22</v>
      </c>
      <c r="B619" s="154" t="s">
        <v>1556</v>
      </c>
      <c r="C619" s="43">
        <v>753081</v>
      </c>
      <c r="D619" s="1" t="s">
        <v>83</v>
      </c>
      <c r="E619" s="45" t="s">
        <v>1338</v>
      </c>
      <c r="G619" s="50"/>
    </row>
    <row r="620" spans="1:11" ht="15.75" customHeight="1">
      <c r="A620" s="42" t="s">
        <v>22</v>
      </c>
      <c r="B620" s="154" t="s">
        <v>1556</v>
      </c>
      <c r="C620" s="43">
        <v>753071</v>
      </c>
      <c r="D620" s="1" t="s">
        <v>83</v>
      </c>
      <c r="E620" s="49" t="s">
        <v>1503</v>
      </c>
      <c r="G620" s="50"/>
    </row>
    <row r="621" spans="1:11" ht="15.75" customHeight="1">
      <c r="A621" s="111" t="s">
        <v>23</v>
      </c>
      <c r="B621" s="151" t="s">
        <v>1558</v>
      </c>
      <c r="C621" s="152" t="s">
        <v>68</v>
      </c>
      <c r="D621" s="152" t="s">
        <v>62</v>
      </c>
      <c r="E621" s="56" t="s">
        <v>69</v>
      </c>
      <c r="F621" s="153"/>
      <c r="G621" s="48" t="s">
        <v>70</v>
      </c>
      <c r="H621" s="78"/>
      <c r="I621" s="78"/>
      <c r="J621" s="78"/>
      <c r="K621" s="78"/>
    </row>
    <row r="622" spans="1:11" ht="15.75" customHeight="1">
      <c r="A622" s="1" t="s">
        <v>23</v>
      </c>
      <c r="B622" s="154" t="s">
        <v>1558</v>
      </c>
      <c r="C622" s="43">
        <v>2931603</v>
      </c>
      <c r="D622" s="1" t="s">
        <v>80</v>
      </c>
      <c r="E622" s="45" t="s">
        <v>1307</v>
      </c>
      <c r="F622" s="1"/>
      <c r="G622" s="48" t="s">
        <v>1559</v>
      </c>
    </row>
    <row r="623" spans="1:11" ht="15.75" customHeight="1">
      <c r="A623" s="1" t="s">
        <v>23</v>
      </c>
      <c r="B623" s="154" t="s">
        <v>1558</v>
      </c>
      <c r="C623" s="43">
        <v>2889453</v>
      </c>
      <c r="D623" s="1" t="s">
        <v>80</v>
      </c>
      <c r="E623" s="45" t="s">
        <v>1560</v>
      </c>
      <c r="F623" s="1"/>
      <c r="G623" s="48" t="s">
        <v>1561</v>
      </c>
    </row>
    <row r="624" spans="1:11" ht="15.75" customHeight="1">
      <c r="A624" s="1" t="s">
        <v>23</v>
      </c>
      <c r="B624" s="154" t="s">
        <v>1558</v>
      </c>
      <c r="C624" s="43">
        <v>2929559</v>
      </c>
      <c r="D624" s="1" t="s">
        <v>80</v>
      </c>
      <c r="E624" s="45" t="s">
        <v>1310</v>
      </c>
      <c r="G624" s="131"/>
    </row>
    <row r="625" spans="1:7" ht="15.75" customHeight="1">
      <c r="A625" s="1" t="s">
        <v>23</v>
      </c>
      <c r="B625" s="154" t="s">
        <v>1558</v>
      </c>
      <c r="C625" s="43">
        <v>2890471</v>
      </c>
      <c r="D625" s="1" t="s">
        <v>80</v>
      </c>
      <c r="E625" s="45" t="s">
        <v>1562</v>
      </c>
      <c r="G625" s="131"/>
    </row>
    <row r="626" spans="1:7" ht="15.75" customHeight="1">
      <c r="A626" s="1" t="s">
        <v>23</v>
      </c>
      <c r="B626" s="154" t="s">
        <v>1558</v>
      </c>
      <c r="C626" s="43">
        <v>2841352</v>
      </c>
      <c r="D626" s="1" t="s">
        <v>83</v>
      </c>
      <c r="E626" s="45" t="s">
        <v>1250</v>
      </c>
      <c r="G626" s="131"/>
    </row>
    <row r="627" spans="1:7" ht="15.75" customHeight="1">
      <c r="A627" s="1" t="s">
        <v>23</v>
      </c>
      <c r="B627" s="154" t="s">
        <v>1558</v>
      </c>
      <c r="C627" s="43">
        <v>2895466</v>
      </c>
      <c r="D627" s="1" t="s">
        <v>80</v>
      </c>
      <c r="E627" s="49" t="s">
        <v>1563</v>
      </c>
      <c r="G627" s="131"/>
    </row>
    <row r="628" spans="1:7" ht="15.75" customHeight="1">
      <c r="A628" s="1" t="s">
        <v>23</v>
      </c>
      <c r="B628" s="154" t="s">
        <v>1558</v>
      </c>
      <c r="C628" s="43">
        <v>2421638</v>
      </c>
      <c r="D628" s="1" t="s">
        <v>83</v>
      </c>
      <c r="E628" s="157" t="s">
        <v>1564</v>
      </c>
      <c r="G628" s="131"/>
    </row>
    <row r="629" spans="1:7" ht="15.75" customHeight="1">
      <c r="A629" s="1" t="s">
        <v>23</v>
      </c>
      <c r="B629" s="154" t="s">
        <v>1558</v>
      </c>
      <c r="C629" s="43">
        <v>2929560</v>
      </c>
      <c r="D629" s="1" t="s">
        <v>71</v>
      </c>
      <c r="E629" s="45" t="s">
        <v>1258</v>
      </c>
      <c r="G629" s="131"/>
    </row>
    <row r="630" spans="1:7" ht="15.75" customHeight="1">
      <c r="A630" s="1" t="s">
        <v>23</v>
      </c>
      <c r="B630" s="154" t="s">
        <v>1558</v>
      </c>
      <c r="C630" s="43">
        <v>2928593</v>
      </c>
      <c r="D630" s="1" t="s">
        <v>80</v>
      </c>
      <c r="E630" s="49" t="s">
        <v>1351</v>
      </c>
      <c r="G630" s="131"/>
    </row>
    <row r="631" spans="1:7" ht="15.75" customHeight="1">
      <c r="A631" s="1" t="s">
        <v>23</v>
      </c>
      <c r="B631" s="154" t="s">
        <v>1558</v>
      </c>
      <c r="C631" s="43">
        <v>2841351</v>
      </c>
      <c r="D631" s="1" t="s">
        <v>83</v>
      </c>
      <c r="E631" s="45" t="s">
        <v>1370</v>
      </c>
      <c r="G631" s="131"/>
    </row>
    <row r="632" spans="1:7" ht="15.75" customHeight="1">
      <c r="A632" s="1" t="s">
        <v>23</v>
      </c>
      <c r="B632" s="154" t="s">
        <v>1558</v>
      </c>
      <c r="C632" s="43">
        <v>2930665</v>
      </c>
      <c r="D632" s="1" t="s">
        <v>83</v>
      </c>
      <c r="E632" s="49" t="s">
        <v>1379</v>
      </c>
      <c r="G632" s="131"/>
    </row>
    <row r="633" spans="1:7" ht="15.75" customHeight="1">
      <c r="A633" s="1" t="s">
        <v>23</v>
      </c>
      <c r="B633" s="154" t="s">
        <v>1558</v>
      </c>
      <c r="C633" s="43">
        <v>2416000</v>
      </c>
      <c r="D633" s="1" t="s">
        <v>80</v>
      </c>
      <c r="E633" s="45" t="s">
        <v>1565</v>
      </c>
      <c r="G633" s="131"/>
    </row>
    <row r="634" spans="1:7" ht="15.75" customHeight="1">
      <c r="A634" s="1" t="s">
        <v>23</v>
      </c>
      <c r="B634" s="154" t="s">
        <v>1558</v>
      </c>
      <c r="C634" s="43">
        <v>2928589</v>
      </c>
      <c r="D634" s="1" t="s">
        <v>83</v>
      </c>
      <c r="E634" s="45" t="s">
        <v>1268</v>
      </c>
      <c r="G634" s="131"/>
    </row>
    <row r="635" spans="1:7" ht="15.75" customHeight="1">
      <c r="A635" s="1" t="s">
        <v>23</v>
      </c>
      <c r="B635" s="154" t="s">
        <v>1558</v>
      </c>
      <c r="C635" s="43">
        <v>2459040</v>
      </c>
      <c r="D635" s="1" t="s">
        <v>80</v>
      </c>
      <c r="E635" s="49" t="s">
        <v>1457</v>
      </c>
      <c r="G635" s="131"/>
    </row>
    <row r="636" spans="1:7" ht="15.75" customHeight="1">
      <c r="A636" s="1" t="s">
        <v>23</v>
      </c>
      <c r="B636" s="154" t="s">
        <v>1558</v>
      </c>
      <c r="C636" s="43">
        <v>2877301</v>
      </c>
      <c r="D636" s="1" t="s">
        <v>101</v>
      </c>
      <c r="E636" s="157" t="s">
        <v>1566</v>
      </c>
      <c r="G636" s="131"/>
    </row>
    <row r="637" spans="1:7" ht="15.75" customHeight="1">
      <c r="A637" s="1" t="s">
        <v>23</v>
      </c>
      <c r="B637" s="154" t="s">
        <v>1558</v>
      </c>
      <c r="C637" s="43">
        <v>779493</v>
      </c>
      <c r="D637" s="1" t="s">
        <v>90</v>
      </c>
      <c r="E637" s="45" t="s">
        <v>1293</v>
      </c>
      <c r="G637" s="131"/>
    </row>
    <row r="638" spans="1:7" ht="15.75" customHeight="1">
      <c r="A638" s="1" t="s">
        <v>23</v>
      </c>
      <c r="B638" s="154" t="s">
        <v>1558</v>
      </c>
      <c r="C638" s="43">
        <v>2929564</v>
      </c>
      <c r="D638" s="1" t="s">
        <v>83</v>
      </c>
      <c r="E638" s="45" t="s">
        <v>1567</v>
      </c>
      <c r="G638" s="131"/>
    </row>
    <row r="639" spans="1:7" ht="15.75" customHeight="1">
      <c r="A639" s="1" t="s">
        <v>23</v>
      </c>
      <c r="B639" s="154" t="s">
        <v>1558</v>
      </c>
      <c r="C639" s="43">
        <v>2931598</v>
      </c>
      <c r="D639" s="1" t="s">
        <v>71</v>
      </c>
      <c r="E639" s="45" t="s">
        <v>1568</v>
      </c>
      <c r="G639" s="131"/>
    </row>
    <row r="640" spans="1:7" ht="15.75" customHeight="1">
      <c r="A640" s="1" t="s">
        <v>23</v>
      </c>
      <c r="B640" s="154" t="s">
        <v>1558</v>
      </c>
      <c r="C640" s="43">
        <v>2929563</v>
      </c>
      <c r="D640" s="1" t="s">
        <v>80</v>
      </c>
      <c r="E640" s="45" t="s">
        <v>1359</v>
      </c>
      <c r="G640" s="131"/>
    </row>
    <row r="641" spans="1:11" ht="15.75" customHeight="1">
      <c r="A641" s="1" t="s">
        <v>23</v>
      </c>
      <c r="B641" s="154" t="s">
        <v>1558</v>
      </c>
      <c r="C641" s="43">
        <v>2910528</v>
      </c>
      <c r="D641" s="1" t="s">
        <v>71</v>
      </c>
      <c r="E641" s="45" t="s">
        <v>1337</v>
      </c>
      <c r="G641" s="131"/>
    </row>
    <row r="642" spans="1:11" ht="15.75" customHeight="1">
      <c r="A642" s="1" t="s">
        <v>23</v>
      </c>
      <c r="B642" s="154" t="s">
        <v>1558</v>
      </c>
      <c r="C642" s="43">
        <v>2928602</v>
      </c>
      <c r="D642" s="1" t="s">
        <v>80</v>
      </c>
      <c r="E642" s="45" t="s">
        <v>1569</v>
      </c>
      <c r="G642" s="131"/>
    </row>
    <row r="643" spans="1:11" ht="15.75" customHeight="1">
      <c r="A643" s="1" t="s">
        <v>23</v>
      </c>
      <c r="B643" s="154" t="s">
        <v>1558</v>
      </c>
      <c r="C643" s="43">
        <v>3154987</v>
      </c>
      <c r="D643" s="1" t="s">
        <v>80</v>
      </c>
      <c r="E643" s="49" t="s">
        <v>1372</v>
      </c>
      <c r="G643" s="131"/>
    </row>
    <row r="644" spans="1:11" ht="15.75" customHeight="1">
      <c r="A644" s="1" t="s">
        <v>23</v>
      </c>
      <c r="B644" s="154" t="s">
        <v>1558</v>
      </c>
      <c r="C644" s="43">
        <v>753076</v>
      </c>
      <c r="D644" s="1" t="s">
        <v>83</v>
      </c>
      <c r="E644" s="45" t="s">
        <v>1361</v>
      </c>
      <c r="G644" s="131"/>
    </row>
    <row r="645" spans="1:11" ht="15.75" customHeight="1">
      <c r="A645" s="1" t="s">
        <v>23</v>
      </c>
      <c r="B645" s="154" t="s">
        <v>1558</v>
      </c>
      <c r="C645" s="43">
        <v>2877209</v>
      </c>
      <c r="D645" s="1" t="s">
        <v>71</v>
      </c>
      <c r="E645" s="157" t="s">
        <v>1486</v>
      </c>
      <c r="G645" s="131"/>
    </row>
    <row r="646" spans="1:11" ht="15.75" customHeight="1">
      <c r="A646" s="1" t="s">
        <v>23</v>
      </c>
      <c r="B646" s="154" t="s">
        <v>1558</v>
      </c>
      <c r="C646" s="43">
        <v>2434279</v>
      </c>
      <c r="D646" s="1" t="s">
        <v>90</v>
      </c>
      <c r="E646" s="49" t="s">
        <v>1459</v>
      </c>
      <c r="G646" s="131"/>
    </row>
    <row r="647" spans="1:11" ht="15.75" customHeight="1">
      <c r="A647" s="1" t="s">
        <v>23</v>
      </c>
      <c r="B647" s="154" t="s">
        <v>1558</v>
      </c>
      <c r="C647" s="43">
        <v>801466</v>
      </c>
      <c r="D647" s="1" t="s">
        <v>71</v>
      </c>
      <c r="E647" s="45" t="s">
        <v>1570</v>
      </c>
      <c r="G647" s="131"/>
    </row>
    <row r="648" spans="1:11" ht="15.75" customHeight="1">
      <c r="A648" s="1" t="s">
        <v>23</v>
      </c>
      <c r="B648" s="154" t="s">
        <v>1558</v>
      </c>
      <c r="C648" s="43">
        <v>2896676</v>
      </c>
      <c r="D648" s="1" t="s">
        <v>90</v>
      </c>
      <c r="E648" s="49" t="s">
        <v>1460</v>
      </c>
      <c r="G648" s="131"/>
    </row>
    <row r="649" spans="1:11" ht="15.75" customHeight="1">
      <c r="A649" s="1" t="s">
        <v>23</v>
      </c>
      <c r="B649" s="154" t="s">
        <v>1558</v>
      </c>
      <c r="C649" s="43">
        <v>2908963</v>
      </c>
      <c r="D649" s="1" t="s">
        <v>101</v>
      </c>
      <c r="E649" s="45" t="s">
        <v>1489</v>
      </c>
      <c r="G649" s="131"/>
    </row>
    <row r="650" spans="1:11" ht="15.75" customHeight="1">
      <c r="A650" s="1" t="s">
        <v>23</v>
      </c>
      <c r="B650" s="154" t="s">
        <v>1558</v>
      </c>
      <c r="C650" s="43">
        <v>2392461</v>
      </c>
      <c r="D650" s="1" t="s">
        <v>83</v>
      </c>
      <c r="E650" s="45" t="s">
        <v>1571</v>
      </c>
      <c r="G650" s="131"/>
    </row>
    <row r="651" spans="1:11" ht="15.75" customHeight="1">
      <c r="A651" s="1" t="s">
        <v>23</v>
      </c>
      <c r="B651" s="154" t="s">
        <v>1558</v>
      </c>
      <c r="C651" s="43">
        <v>753066</v>
      </c>
      <c r="D651" s="1" t="s">
        <v>71</v>
      </c>
      <c r="E651" s="45" t="s">
        <v>1491</v>
      </c>
      <c r="G651" s="131"/>
    </row>
    <row r="652" spans="1:11" ht="15.75" customHeight="1">
      <c r="A652" s="1" t="s">
        <v>23</v>
      </c>
      <c r="B652" s="154" t="s">
        <v>1558</v>
      </c>
      <c r="C652" s="43">
        <v>2841354</v>
      </c>
      <c r="D652" s="1" t="s">
        <v>80</v>
      </c>
      <c r="E652" s="45" t="s">
        <v>1493</v>
      </c>
      <c r="G652" s="131"/>
    </row>
    <row r="653" spans="1:11" ht="15.75" customHeight="1">
      <c r="A653" s="1" t="s">
        <v>23</v>
      </c>
      <c r="B653" s="154" t="s">
        <v>1558</v>
      </c>
      <c r="C653" s="43">
        <v>2382603</v>
      </c>
      <c r="D653" s="1" t="s">
        <v>80</v>
      </c>
      <c r="E653" s="45" t="s">
        <v>1572</v>
      </c>
      <c r="G653" s="131"/>
    </row>
    <row r="654" spans="1:11" ht="15.75" customHeight="1">
      <c r="A654" s="111" t="s">
        <v>24</v>
      </c>
      <c r="B654" s="151" t="s">
        <v>1573</v>
      </c>
      <c r="C654" s="152" t="s">
        <v>68</v>
      </c>
      <c r="D654" s="152" t="s">
        <v>62</v>
      </c>
      <c r="E654" s="56" t="s">
        <v>69</v>
      </c>
      <c r="F654" s="153"/>
      <c r="G654" s="48" t="s">
        <v>70</v>
      </c>
      <c r="H654" s="78"/>
      <c r="I654" s="78"/>
      <c r="J654" s="78"/>
      <c r="K654" s="78"/>
    </row>
    <row r="655" spans="1:11" ht="15.75" customHeight="1">
      <c r="A655" s="1" t="s">
        <v>24</v>
      </c>
      <c r="B655" s="154" t="s">
        <v>1573</v>
      </c>
      <c r="C655" s="43">
        <v>2931604</v>
      </c>
      <c r="D655" s="1" t="s">
        <v>83</v>
      </c>
      <c r="E655" s="45" t="s">
        <v>1407</v>
      </c>
      <c r="G655" s="50"/>
    </row>
    <row r="656" spans="1:11" ht="15.75" customHeight="1">
      <c r="A656" s="1" t="s">
        <v>24</v>
      </c>
      <c r="B656" s="154" t="s">
        <v>1573</v>
      </c>
      <c r="C656" s="43">
        <v>2458034</v>
      </c>
      <c r="D656" s="1" t="s">
        <v>80</v>
      </c>
      <c r="E656" s="49" t="s">
        <v>1574</v>
      </c>
      <c r="G656" s="50"/>
    </row>
    <row r="657" spans="1:9" ht="15.75" customHeight="1">
      <c r="A657" s="1" t="s">
        <v>24</v>
      </c>
      <c r="B657" s="154" t="s">
        <v>1573</v>
      </c>
      <c r="C657" s="43">
        <v>2897031</v>
      </c>
      <c r="D657" s="1" t="s">
        <v>71</v>
      </c>
      <c r="E657" s="157" t="s">
        <v>1575</v>
      </c>
      <c r="G657" s="48" t="s">
        <v>528</v>
      </c>
    </row>
    <row r="658" spans="1:9" ht="15.75" customHeight="1">
      <c r="A658" s="1" t="s">
        <v>24</v>
      </c>
      <c r="B658" s="154" t="s">
        <v>1573</v>
      </c>
      <c r="C658" s="43">
        <v>3152727</v>
      </c>
      <c r="D658" s="1" t="s">
        <v>71</v>
      </c>
      <c r="E658" s="157" t="s">
        <v>1576</v>
      </c>
      <c r="G658" s="48"/>
    </row>
    <row r="659" spans="1:9" ht="15.75" customHeight="1">
      <c r="A659" s="111" t="s">
        <v>25</v>
      </c>
      <c r="B659" s="151" t="s">
        <v>1577</v>
      </c>
      <c r="C659" s="152" t="s">
        <v>68</v>
      </c>
      <c r="D659" s="152" t="s">
        <v>62</v>
      </c>
      <c r="E659" s="56" t="s">
        <v>69</v>
      </c>
      <c r="F659" s="153"/>
      <c r="G659" s="48" t="s">
        <v>70</v>
      </c>
      <c r="H659" s="78"/>
      <c r="I659" s="78"/>
    </row>
    <row r="660" spans="1:9" ht="15.75" customHeight="1">
      <c r="A660" s="120" t="s">
        <v>25</v>
      </c>
      <c r="B660" s="154" t="s">
        <v>1577</v>
      </c>
      <c r="C660" s="43">
        <v>2889453</v>
      </c>
      <c r="D660" s="1" t="s">
        <v>80</v>
      </c>
      <c r="E660" s="45" t="s">
        <v>1560</v>
      </c>
      <c r="G660" s="131"/>
    </row>
    <row r="661" spans="1:9" ht="15.75" customHeight="1">
      <c r="A661" s="120" t="s">
        <v>25</v>
      </c>
      <c r="B661" s="154" t="s">
        <v>1577</v>
      </c>
      <c r="C661" s="43">
        <v>3201142</v>
      </c>
      <c r="D661" s="1" t="s">
        <v>80</v>
      </c>
      <c r="E661" s="49" t="s">
        <v>1312</v>
      </c>
      <c r="F661" s="1" t="s">
        <v>135</v>
      </c>
    </row>
    <row r="662" spans="1:9" ht="15.75" customHeight="1">
      <c r="A662" s="120" t="s">
        <v>25</v>
      </c>
      <c r="B662" s="154" t="s">
        <v>1577</v>
      </c>
      <c r="C662" s="43">
        <v>2386413</v>
      </c>
      <c r="D662" s="1" t="s">
        <v>80</v>
      </c>
      <c r="E662" s="45" t="s">
        <v>1286</v>
      </c>
      <c r="F662" s="1" t="s">
        <v>135</v>
      </c>
    </row>
    <row r="663" spans="1:9" ht="15.75" customHeight="1">
      <c r="A663" s="120" t="s">
        <v>25</v>
      </c>
      <c r="B663" s="154" t="s">
        <v>1577</v>
      </c>
      <c r="C663" s="43">
        <v>3202148</v>
      </c>
      <c r="D663" s="1" t="s">
        <v>80</v>
      </c>
      <c r="E663" s="49" t="s">
        <v>1500</v>
      </c>
    </row>
    <row r="664" spans="1:9" ht="15.75" customHeight="1">
      <c r="A664" s="120" t="s">
        <v>25</v>
      </c>
      <c r="B664" s="154" t="s">
        <v>1577</v>
      </c>
      <c r="C664" s="43">
        <v>2841360</v>
      </c>
      <c r="D664" s="1" t="s">
        <v>101</v>
      </c>
      <c r="E664" s="45" t="s">
        <v>1289</v>
      </c>
    </row>
    <row r="665" spans="1:9" ht="15.75" customHeight="1">
      <c r="A665" s="120" t="s">
        <v>25</v>
      </c>
      <c r="B665" s="154" t="s">
        <v>1577</v>
      </c>
      <c r="C665" s="43">
        <v>5014845</v>
      </c>
      <c r="D665" s="1" t="s">
        <v>80</v>
      </c>
      <c r="E665" s="45" t="s">
        <v>1261</v>
      </c>
    </row>
    <row r="666" spans="1:9" ht="15.75" customHeight="1">
      <c r="A666" s="120" t="s">
        <v>25</v>
      </c>
      <c r="B666" s="154" t="s">
        <v>1577</v>
      </c>
      <c r="C666" s="43">
        <v>801455</v>
      </c>
      <c r="D666" s="1" t="s">
        <v>80</v>
      </c>
      <c r="E666" s="45" t="s">
        <v>1578</v>
      </c>
    </row>
  </sheetData>
  <autoFilter ref="A1:I666" xr:uid="{00000000-0009-0000-0000-000006000000}"/>
  <hyperlinks>
    <hyperlink ref="G3" r:id="rId1" xr:uid="{00000000-0004-0000-0600-000000000000}"/>
    <hyperlink ref="E4" r:id="rId2" xr:uid="{00000000-0004-0000-0600-000001000000}"/>
    <hyperlink ref="G4" r:id="rId3" xr:uid="{00000000-0004-0000-0600-000002000000}"/>
    <hyperlink ref="G5" r:id="rId4" xr:uid="{00000000-0004-0000-0600-000003000000}"/>
    <hyperlink ref="G6" r:id="rId5" xr:uid="{00000000-0004-0000-0600-000004000000}"/>
    <hyperlink ref="G7" r:id="rId6" xr:uid="{00000000-0004-0000-0600-000005000000}"/>
    <hyperlink ref="G8" r:id="rId7" xr:uid="{00000000-0004-0000-0600-000006000000}"/>
    <hyperlink ref="G9" r:id="rId8" xr:uid="{00000000-0004-0000-0600-000007000000}"/>
    <hyperlink ref="E28" r:id="rId9" xr:uid="{00000000-0004-0000-0600-000008000000}"/>
    <hyperlink ref="G45" r:id="rId10" xr:uid="{00000000-0004-0000-0600-000009000000}"/>
    <hyperlink ref="G46" r:id="rId11" xr:uid="{00000000-0004-0000-0600-00000A000000}"/>
    <hyperlink ref="E47" r:id="rId12" xr:uid="{00000000-0004-0000-0600-00000B000000}"/>
    <hyperlink ref="G47" r:id="rId13" xr:uid="{00000000-0004-0000-0600-00000C000000}"/>
    <hyperlink ref="G48" r:id="rId14" xr:uid="{00000000-0004-0000-0600-00000D000000}"/>
    <hyperlink ref="E57" r:id="rId15" xr:uid="{00000000-0004-0000-0600-00000E000000}"/>
    <hyperlink ref="E62" r:id="rId16" xr:uid="{00000000-0004-0000-0600-00000F000000}"/>
    <hyperlink ref="F66" r:id="rId17" xr:uid="{00000000-0004-0000-0600-000010000000}"/>
    <hyperlink ref="G76" r:id="rId18" xr:uid="{00000000-0004-0000-0600-000011000000}"/>
    <hyperlink ref="E77" r:id="rId19" xr:uid="{00000000-0004-0000-0600-000012000000}"/>
    <hyperlink ref="G77" r:id="rId20" xr:uid="{00000000-0004-0000-0600-000013000000}"/>
    <hyperlink ref="G78" r:id="rId21" xr:uid="{00000000-0004-0000-0600-000014000000}"/>
    <hyperlink ref="E80" r:id="rId22" xr:uid="{00000000-0004-0000-0600-000015000000}"/>
    <hyperlink ref="E82" r:id="rId23" xr:uid="{00000000-0004-0000-0600-000016000000}"/>
    <hyperlink ref="E92" r:id="rId24" xr:uid="{00000000-0004-0000-0600-000017000000}"/>
    <hyperlink ref="E94" r:id="rId25" xr:uid="{00000000-0004-0000-0600-000018000000}"/>
    <hyperlink ref="E96" r:id="rId26" xr:uid="{00000000-0004-0000-0600-000019000000}"/>
    <hyperlink ref="E100" r:id="rId27" xr:uid="{00000000-0004-0000-0600-00001A000000}"/>
    <hyperlink ref="E103" r:id="rId28" xr:uid="{00000000-0004-0000-0600-00001B000000}"/>
    <hyperlink ref="E111" r:id="rId29" xr:uid="{00000000-0004-0000-0600-00001C000000}"/>
    <hyperlink ref="E114" r:id="rId30" xr:uid="{00000000-0004-0000-0600-00001D000000}"/>
    <hyperlink ref="E119" r:id="rId31" xr:uid="{00000000-0004-0000-0600-00001E000000}"/>
    <hyperlink ref="G123" r:id="rId32" xr:uid="{00000000-0004-0000-0600-00001F000000}"/>
    <hyperlink ref="G124" r:id="rId33" xr:uid="{00000000-0004-0000-0600-000020000000}"/>
    <hyperlink ref="E126" r:id="rId34" xr:uid="{00000000-0004-0000-0600-000021000000}"/>
    <hyperlink ref="E129" r:id="rId35" xr:uid="{00000000-0004-0000-0600-000022000000}"/>
    <hyperlink ref="E133" r:id="rId36" xr:uid="{00000000-0004-0000-0600-000023000000}"/>
    <hyperlink ref="E135" r:id="rId37" xr:uid="{00000000-0004-0000-0600-000024000000}"/>
    <hyperlink ref="E136" r:id="rId38" xr:uid="{00000000-0004-0000-0600-000025000000}"/>
    <hyperlink ref="E139" r:id="rId39" xr:uid="{00000000-0004-0000-0600-000026000000}"/>
    <hyperlink ref="E140" r:id="rId40" xr:uid="{00000000-0004-0000-0600-000027000000}"/>
    <hyperlink ref="E144" r:id="rId41" xr:uid="{00000000-0004-0000-0600-000028000000}"/>
    <hyperlink ref="G159" r:id="rId42" xr:uid="{00000000-0004-0000-0600-000029000000}"/>
    <hyperlink ref="E162" r:id="rId43" xr:uid="{00000000-0004-0000-0600-00002A000000}"/>
    <hyperlink ref="E166" r:id="rId44" xr:uid="{00000000-0004-0000-0600-00002B000000}"/>
    <hyperlink ref="E171" r:id="rId45" xr:uid="{00000000-0004-0000-0600-00002C000000}"/>
    <hyperlink ref="E173" r:id="rId46" xr:uid="{00000000-0004-0000-0600-00002D000000}"/>
    <hyperlink ref="E174" r:id="rId47" xr:uid="{00000000-0004-0000-0600-00002E000000}"/>
    <hyperlink ref="E177" r:id="rId48" xr:uid="{00000000-0004-0000-0600-00002F000000}"/>
    <hyperlink ref="E179" r:id="rId49" xr:uid="{00000000-0004-0000-0600-000030000000}"/>
    <hyperlink ref="E181" r:id="rId50" xr:uid="{00000000-0004-0000-0600-000031000000}"/>
    <hyperlink ref="G188" r:id="rId51" xr:uid="{00000000-0004-0000-0600-000032000000}"/>
    <hyperlink ref="E189" r:id="rId52" xr:uid="{00000000-0004-0000-0600-000033000000}"/>
    <hyperlink ref="G189" r:id="rId53" xr:uid="{00000000-0004-0000-0600-000034000000}"/>
    <hyperlink ref="E194" r:id="rId54" xr:uid="{00000000-0004-0000-0600-000035000000}"/>
    <hyperlink ref="E196" r:id="rId55" xr:uid="{00000000-0004-0000-0600-000036000000}"/>
    <hyperlink ref="E197" r:id="rId56" xr:uid="{00000000-0004-0000-0600-000037000000}"/>
    <hyperlink ref="E199" r:id="rId57" xr:uid="{00000000-0004-0000-0600-000038000000}"/>
    <hyperlink ref="E202" r:id="rId58" xr:uid="{00000000-0004-0000-0600-000039000000}"/>
    <hyperlink ref="E208" r:id="rId59" xr:uid="{00000000-0004-0000-0600-00003A000000}"/>
    <hyperlink ref="F208" r:id="rId60" xr:uid="{00000000-0004-0000-0600-00003B000000}"/>
    <hyperlink ref="E211" r:id="rId61" xr:uid="{00000000-0004-0000-0600-00003C000000}"/>
    <hyperlink ref="F211" r:id="rId62" xr:uid="{00000000-0004-0000-0600-00003D000000}"/>
    <hyperlink ref="E212" r:id="rId63" xr:uid="{00000000-0004-0000-0600-00003E000000}"/>
    <hyperlink ref="F212" r:id="rId64" xr:uid="{00000000-0004-0000-0600-00003F000000}"/>
    <hyperlink ref="E213" r:id="rId65" xr:uid="{00000000-0004-0000-0600-000040000000}"/>
    <hyperlink ref="F213" r:id="rId66" xr:uid="{00000000-0004-0000-0600-000041000000}"/>
    <hyperlink ref="E214" r:id="rId67" xr:uid="{00000000-0004-0000-0600-000042000000}"/>
    <hyperlink ref="F214" r:id="rId68" xr:uid="{00000000-0004-0000-0600-000043000000}"/>
    <hyperlink ref="G216" r:id="rId69" xr:uid="{00000000-0004-0000-0600-000044000000}"/>
    <hyperlink ref="E217" r:id="rId70" xr:uid="{00000000-0004-0000-0600-000045000000}"/>
    <hyperlink ref="E221" r:id="rId71" xr:uid="{00000000-0004-0000-0600-000046000000}"/>
    <hyperlink ref="E222" r:id="rId72" xr:uid="{00000000-0004-0000-0600-000047000000}"/>
    <hyperlink ref="E223" r:id="rId73" xr:uid="{00000000-0004-0000-0600-000048000000}"/>
    <hyperlink ref="E224" r:id="rId74" xr:uid="{00000000-0004-0000-0600-000049000000}"/>
    <hyperlink ref="E225" r:id="rId75" xr:uid="{00000000-0004-0000-0600-00004A000000}"/>
    <hyperlink ref="E226" r:id="rId76" xr:uid="{00000000-0004-0000-0600-00004B000000}"/>
    <hyperlink ref="E234" r:id="rId77" xr:uid="{00000000-0004-0000-0600-00004C000000}"/>
    <hyperlink ref="G234" r:id="rId78" xr:uid="{00000000-0004-0000-0600-00004D000000}"/>
    <hyperlink ref="E235" r:id="rId79" xr:uid="{00000000-0004-0000-0600-00004E000000}"/>
    <hyperlink ref="E236" r:id="rId80" xr:uid="{00000000-0004-0000-0600-00004F000000}"/>
    <hyperlink ref="E237" r:id="rId81" xr:uid="{00000000-0004-0000-0600-000050000000}"/>
    <hyperlink ref="E238" r:id="rId82" xr:uid="{00000000-0004-0000-0600-000051000000}"/>
    <hyperlink ref="E239" r:id="rId83" xr:uid="{00000000-0004-0000-0600-000052000000}"/>
    <hyperlink ref="E240" r:id="rId84" xr:uid="{00000000-0004-0000-0600-000053000000}"/>
    <hyperlink ref="E241" r:id="rId85" xr:uid="{00000000-0004-0000-0600-000054000000}"/>
    <hyperlink ref="E242" r:id="rId86" xr:uid="{00000000-0004-0000-0600-000055000000}"/>
    <hyperlink ref="E243" r:id="rId87" xr:uid="{00000000-0004-0000-0600-000056000000}"/>
    <hyperlink ref="E244" r:id="rId88" xr:uid="{00000000-0004-0000-0600-000057000000}"/>
    <hyperlink ref="E245" r:id="rId89" xr:uid="{00000000-0004-0000-0600-000058000000}"/>
    <hyperlink ref="E246" r:id="rId90" xr:uid="{00000000-0004-0000-0600-000059000000}"/>
    <hyperlink ref="E247" r:id="rId91" xr:uid="{00000000-0004-0000-0600-00005A000000}"/>
    <hyperlink ref="E248" r:id="rId92" xr:uid="{00000000-0004-0000-0600-00005B000000}"/>
    <hyperlink ref="G250" r:id="rId93" xr:uid="{00000000-0004-0000-0600-00005C000000}"/>
    <hyperlink ref="E252" r:id="rId94" xr:uid="{00000000-0004-0000-0600-00005D000000}"/>
    <hyperlink ref="E261" r:id="rId95" xr:uid="{00000000-0004-0000-0600-00005E000000}"/>
    <hyperlink ref="E262" r:id="rId96" xr:uid="{00000000-0004-0000-0600-00005F000000}"/>
    <hyperlink ref="E269" r:id="rId97" xr:uid="{00000000-0004-0000-0600-000060000000}"/>
    <hyperlink ref="G271" r:id="rId98" xr:uid="{00000000-0004-0000-0600-000061000000}"/>
    <hyperlink ref="E272" r:id="rId99" xr:uid="{00000000-0004-0000-0600-000062000000}"/>
    <hyperlink ref="E276" r:id="rId100" xr:uid="{00000000-0004-0000-0600-000063000000}"/>
    <hyperlink ref="E284" r:id="rId101" xr:uid="{00000000-0004-0000-0600-000064000000}"/>
    <hyperlink ref="E292" r:id="rId102" xr:uid="{00000000-0004-0000-0600-000065000000}"/>
    <hyperlink ref="G299" r:id="rId103" xr:uid="{00000000-0004-0000-0600-000066000000}"/>
    <hyperlink ref="G300" r:id="rId104" xr:uid="{00000000-0004-0000-0600-000067000000}"/>
    <hyperlink ref="E301" r:id="rId105" xr:uid="{00000000-0004-0000-0600-000068000000}"/>
    <hyperlink ref="E303" r:id="rId106" xr:uid="{00000000-0004-0000-0600-000069000000}"/>
    <hyperlink ref="E308" r:id="rId107" xr:uid="{00000000-0004-0000-0600-00006A000000}"/>
    <hyperlink ref="E312" r:id="rId108" xr:uid="{00000000-0004-0000-0600-00006B000000}"/>
    <hyperlink ref="E313" r:id="rId109" xr:uid="{00000000-0004-0000-0600-00006C000000}"/>
    <hyperlink ref="E315" r:id="rId110" xr:uid="{00000000-0004-0000-0600-00006D000000}"/>
    <hyperlink ref="E319" r:id="rId111" xr:uid="{00000000-0004-0000-0600-00006E000000}"/>
    <hyperlink ref="E321" r:id="rId112" xr:uid="{00000000-0004-0000-0600-00006F000000}"/>
    <hyperlink ref="E322" r:id="rId113" xr:uid="{00000000-0004-0000-0600-000070000000}"/>
    <hyperlink ref="E326" r:id="rId114" xr:uid="{00000000-0004-0000-0600-000071000000}"/>
    <hyperlink ref="G326" r:id="rId115" xr:uid="{00000000-0004-0000-0600-000072000000}"/>
    <hyperlink ref="G327" r:id="rId116" xr:uid="{00000000-0004-0000-0600-000073000000}"/>
    <hyperlink ref="E328" r:id="rId117" xr:uid="{00000000-0004-0000-0600-000074000000}"/>
    <hyperlink ref="E329" r:id="rId118" xr:uid="{00000000-0004-0000-0600-000075000000}"/>
    <hyperlink ref="E333" r:id="rId119" xr:uid="{00000000-0004-0000-0600-000076000000}"/>
    <hyperlink ref="E336" r:id="rId120" xr:uid="{00000000-0004-0000-0600-000077000000}"/>
    <hyperlink ref="E337" r:id="rId121" xr:uid="{00000000-0004-0000-0600-000078000000}"/>
    <hyperlink ref="E341" r:id="rId122" xr:uid="{00000000-0004-0000-0600-000079000000}"/>
    <hyperlink ref="E344" r:id="rId123" xr:uid="{00000000-0004-0000-0600-00007A000000}"/>
    <hyperlink ref="E353" r:id="rId124" xr:uid="{00000000-0004-0000-0600-00007B000000}"/>
    <hyperlink ref="G353" r:id="rId125" xr:uid="{00000000-0004-0000-0600-00007C000000}"/>
    <hyperlink ref="E354" r:id="rId126" xr:uid="{00000000-0004-0000-0600-00007D000000}"/>
    <hyperlink ref="G354" r:id="rId127" xr:uid="{00000000-0004-0000-0600-00007E000000}"/>
    <hyperlink ref="G355" r:id="rId128" xr:uid="{00000000-0004-0000-0600-00007F000000}"/>
    <hyperlink ref="E359" r:id="rId129" xr:uid="{00000000-0004-0000-0600-000080000000}"/>
    <hyperlink ref="E361" r:id="rId130" xr:uid="{00000000-0004-0000-0600-000081000000}"/>
    <hyperlink ref="E362" r:id="rId131" xr:uid="{00000000-0004-0000-0600-000082000000}"/>
    <hyperlink ref="E367" r:id="rId132" xr:uid="{00000000-0004-0000-0600-000083000000}"/>
    <hyperlink ref="E370" r:id="rId133" xr:uid="{00000000-0004-0000-0600-000084000000}"/>
    <hyperlink ref="E374" r:id="rId134" xr:uid="{00000000-0004-0000-0600-000085000000}"/>
    <hyperlink ref="E377" r:id="rId135" xr:uid="{00000000-0004-0000-0600-000086000000}"/>
    <hyperlink ref="E386" r:id="rId136" xr:uid="{00000000-0004-0000-0600-000087000000}"/>
    <hyperlink ref="E396" r:id="rId137" xr:uid="{00000000-0004-0000-0600-000088000000}"/>
    <hyperlink ref="E401" r:id="rId138" xr:uid="{00000000-0004-0000-0600-000089000000}"/>
    <hyperlink ref="E409" r:id="rId139" xr:uid="{00000000-0004-0000-0600-00008A000000}"/>
    <hyperlink ref="G416" r:id="rId140" xr:uid="{00000000-0004-0000-0600-00008B000000}"/>
    <hyperlink ref="E417" r:id="rId141" xr:uid="{00000000-0004-0000-0600-00008C000000}"/>
    <hyperlink ref="G419" r:id="rId142" xr:uid="{00000000-0004-0000-0600-00008D000000}"/>
    <hyperlink ref="G420" r:id="rId143" xr:uid="{00000000-0004-0000-0600-00008E000000}"/>
    <hyperlink ref="G421" r:id="rId144" xr:uid="{00000000-0004-0000-0600-00008F000000}"/>
    <hyperlink ref="E424" r:id="rId145" xr:uid="{00000000-0004-0000-0600-000090000000}"/>
    <hyperlink ref="E425" r:id="rId146" xr:uid="{00000000-0004-0000-0600-000091000000}"/>
    <hyperlink ref="E426" r:id="rId147" xr:uid="{00000000-0004-0000-0600-000092000000}"/>
    <hyperlink ref="E427" r:id="rId148" xr:uid="{00000000-0004-0000-0600-000093000000}"/>
    <hyperlink ref="E429" r:id="rId149" xr:uid="{00000000-0004-0000-0600-000094000000}"/>
    <hyperlink ref="E431" r:id="rId150" xr:uid="{00000000-0004-0000-0600-000095000000}"/>
    <hyperlink ref="E434" r:id="rId151" xr:uid="{00000000-0004-0000-0600-000096000000}"/>
    <hyperlink ref="E435" r:id="rId152" xr:uid="{00000000-0004-0000-0600-000097000000}"/>
    <hyperlink ref="E436" r:id="rId153" xr:uid="{00000000-0004-0000-0600-000098000000}"/>
    <hyperlink ref="E439" r:id="rId154" xr:uid="{00000000-0004-0000-0600-000099000000}"/>
    <hyperlink ref="E445" r:id="rId155" xr:uid="{00000000-0004-0000-0600-00009A000000}"/>
    <hyperlink ref="E446" r:id="rId156" xr:uid="{00000000-0004-0000-0600-00009B000000}"/>
    <hyperlink ref="E461" r:id="rId157" xr:uid="{00000000-0004-0000-0600-00009C000000}"/>
    <hyperlink ref="E462" r:id="rId158" xr:uid="{00000000-0004-0000-0600-00009D000000}"/>
    <hyperlink ref="G468" r:id="rId159" xr:uid="{00000000-0004-0000-0600-00009E000000}"/>
    <hyperlink ref="G469" r:id="rId160" xr:uid="{00000000-0004-0000-0600-00009F000000}"/>
    <hyperlink ref="E475" r:id="rId161" xr:uid="{00000000-0004-0000-0600-0000A0000000}"/>
    <hyperlink ref="G502" r:id="rId162" xr:uid="{00000000-0004-0000-0600-0000A1000000}"/>
    <hyperlink ref="E506" r:id="rId163" xr:uid="{00000000-0004-0000-0600-0000A2000000}"/>
    <hyperlink ref="E530" r:id="rId164" xr:uid="{00000000-0004-0000-0600-0000A3000000}"/>
    <hyperlink ref="G533" r:id="rId165" xr:uid="{00000000-0004-0000-0600-0000A4000000}"/>
    <hyperlink ref="E535" r:id="rId166" xr:uid="{00000000-0004-0000-0600-0000A5000000}"/>
    <hyperlink ref="E546" r:id="rId167" xr:uid="{00000000-0004-0000-0600-0000A6000000}"/>
    <hyperlink ref="E547" r:id="rId168" xr:uid="{00000000-0004-0000-0600-0000A7000000}"/>
    <hyperlink ref="E556" r:id="rId169" xr:uid="{00000000-0004-0000-0600-0000A8000000}"/>
    <hyperlink ref="E562" r:id="rId170" xr:uid="{00000000-0004-0000-0600-0000A9000000}"/>
    <hyperlink ref="G571" r:id="rId171" xr:uid="{00000000-0004-0000-0600-0000AA000000}"/>
    <hyperlink ref="G572" r:id="rId172" xr:uid="{00000000-0004-0000-0600-0000AB000000}"/>
    <hyperlink ref="E575" r:id="rId173" xr:uid="{00000000-0004-0000-0600-0000AC000000}"/>
    <hyperlink ref="E577" r:id="rId174" xr:uid="{00000000-0004-0000-0600-0000AD000000}"/>
    <hyperlink ref="E578" r:id="rId175" xr:uid="{00000000-0004-0000-0600-0000AE000000}"/>
    <hyperlink ref="E579" r:id="rId176" xr:uid="{00000000-0004-0000-0600-0000AF000000}"/>
    <hyperlink ref="E581" r:id="rId177" xr:uid="{00000000-0004-0000-0600-0000B0000000}"/>
    <hyperlink ref="E583" r:id="rId178" xr:uid="{00000000-0004-0000-0600-0000B1000000}"/>
    <hyperlink ref="E584" r:id="rId179" xr:uid="{00000000-0004-0000-0600-0000B2000000}"/>
    <hyperlink ref="E585" r:id="rId180" xr:uid="{00000000-0004-0000-0600-0000B3000000}"/>
    <hyperlink ref="E588" r:id="rId181" xr:uid="{00000000-0004-0000-0600-0000B4000000}"/>
    <hyperlink ref="E589" r:id="rId182" xr:uid="{00000000-0004-0000-0600-0000B5000000}"/>
    <hyperlink ref="E590" r:id="rId183" xr:uid="{00000000-0004-0000-0600-0000B6000000}"/>
    <hyperlink ref="G596" r:id="rId184" xr:uid="{00000000-0004-0000-0600-0000B7000000}"/>
    <hyperlink ref="E597" r:id="rId185" xr:uid="{00000000-0004-0000-0600-0000B8000000}"/>
    <hyperlink ref="G597" r:id="rId186" xr:uid="{00000000-0004-0000-0600-0000B9000000}"/>
    <hyperlink ref="G598" r:id="rId187" xr:uid="{00000000-0004-0000-0600-0000BA000000}"/>
    <hyperlink ref="G599" r:id="rId188" xr:uid="{00000000-0004-0000-0600-0000BB000000}"/>
    <hyperlink ref="E601" r:id="rId189" xr:uid="{00000000-0004-0000-0600-0000BC000000}"/>
    <hyperlink ref="E602" r:id="rId190" xr:uid="{00000000-0004-0000-0600-0000BD000000}"/>
    <hyperlink ref="E603" r:id="rId191" xr:uid="{00000000-0004-0000-0600-0000BE000000}"/>
    <hyperlink ref="E606" r:id="rId192" xr:uid="{00000000-0004-0000-0600-0000BF000000}"/>
    <hyperlink ref="E609" r:id="rId193" xr:uid="{00000000-0004-0000-0600-0000C0000000}"/>
    <hyperlink ref="E614" r:id="rId194" xr:uid="{00000000-0004-0000-0600-0000C1000000}"/>
    <hyperlink ref="E620" r:id="rId195" xr:uid="{00000000-0004-0000-0600-0000C2000000}"/>
    <hyperlink ref="G622" r:id="rId196" xr:uid="{00000000-0004-0000-0600-0000C3000000}"/>
    <hyperlink ref="G623" r:id="rId197" xr:uid="{00000000-0004-0000-0600-0000C4000000}"/>
    <hyperlink ref="E627" r:id="rId198" xr:uid="{00000000-0004-0000-0600-0000C5000000}"/>
    <hyperlink ref="E630" r:id="rId199" xr:uid="{00000000-0004-0000-0600-0000C6000000}"/>
    <hyperlink ref="E632" r:id="rId200" xr:uid="{00000000-0004-0000-0600-0000C7000000}"/>
    <hyperlink ref="E635" r:id="rId201" xr:uid="{00000000-0004-0000-0600-0000C8000000}"/>
    <hyperlink ref="E643" r:id="rId202" xr:uid="{00000000-0004-0000-0600-0000C9000000}"/>
    <hyperlink ref="E646" r:id="rId203" xr:uid="{00000000-0004-0000-0600-0000CA000000}"/>
    <hyperlink ref="E648" r:id="rId204" xr:uid="{00000000-0004-0000-0600-0000CB000000}"/>
    <hyperlink ref="E656" r:id="rId205" xr:uid="{00000000-0004-0000-0600-0000CC000000}"/>
    <hyperlink ref="E661" r:id="rId206" xr:uid="{00000000-0004-0000-0600-0000CD000000}"/>
    <hyperlink ref="E663" r:id="rId207" xr:uid="{00000000-0004-0000-0600-0000CE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1155CC"/>
    <outlinePr summaryBelow="0" summaryRight="0"/>
  </sheetPr>
  <dimension ref="A1:E2437"/>
  <sheetViews>
    <sheetView workbookViewId="0"/>
  </sheetViews>
  <sheetFormatPr baseColWidth="10" defaultColWidth="11.1640625" defaultRowHeight="15" customHeight="1"/>
  <cols>
    <col min="1" max="1" width="44.83203125" customWidth="1"/>
    <col min="2" max="2" width="14.83203125" customWidth="1"/>
    <col min="3" max="3" width="48.1640625" customWidth="1"/>
    <col min="4" max="4" width="77.1640625" customWidth="1"/>
    <col min="5" max="5" width="55.1640625" customWidth="1"/>
  </cols>
  <sheetData>
    <row r="1" spans="1:5">
      <c r="A1" s="161" t="s">
        <v>1579</v>
      </c>
      <c r="B1" s="162" t="s">
        <v>1580</v>
      </c>
      <c r="C1" s="162" t="s">
        <v>1581</v>
      </c>
      <c r="D1" s="163" t="s">
        <v>1582</v>
      </c>
      <c r="E1" s="164" t="s">
        <v>65</v>
      </c>
    </row>
    <row r="2" spans="1:5">
      <c r="A2" s="1" t="s">
        <v>0</v>
      </c>
      <c r="B2" s="165" t="s">
        <v>68</v>
      </c>
      <c r="C2" s="166" t="s">
        <v>62</v>
      </c>
      <c r="D2" s="167" t="s">
        <v>69</v>
      </c>
      <c r="E2" s="166" t="s">
        <v>70</v>
      </c>
    </row>
    <row r="3" spans="1:5">
      <c r="A3" s="1" t="s">
        <v>0</v>
      </c>
      <c r="B3" s="43">
        <v>5015886</v>
      </c>
      <c r="C3" s="168" t="s">
        <v>71</v>
      </c>
      <c r="D3" s="169" t="s">
        <v>1583</v>
      </c>
      <c r="E3" s="170" t="s">
        <v>1584</v>
      </c>
    </row>
    <row r="4" spans="1:5">
      <c r="A4" s="1" t="s">
        <v>0</v>
      </c>
      <c r="B4" s="43">
        <v>616665</v>
      </c>
      <c r="C4" s="168" t="s">
        <v>90</v>
      </c>
      <c r="D4" s="169" t="s">
        <v>1585</v>
      </c>
      <c r="E4" s="171" t="s">
        <v>1586</v>
      </c>
    </row>
    <row r="5" spans="1:5">
      <c r="A5" s="1" t="s">
        <v>0</v>
      </c>
      <c r="B5" s="43">
        <v>5034165</v>
      </c>
      <c r="C5" s="168" t="s">
        <v>773</v>
      </c>
      <c r="D5" s="169" t="s">
        <v>1587</v>
      </c>
      <c r="E5" s="172" t="s">
        <v>1588</v>
      </c>
    </row>
    <row r="6" spans="1:5">
      <c r="A6" s="1" t="s">
        <v>0</v>
      </c>
      <c r="B6" s="43">
        <v>2819025</v>
      </c>
      <c r="C6" s="168" t="s">
        <v>773</v>
      </c>
      <c r="D6" s="169" t="s">
        <v>1589</v>
      </c>
      <c r="E6" s="170" t="s">
        <v>1590</v>
      </c>
    </row>
    <row r="7" spans="1:5">
      <c r="A7" s="1" t="s">
        <v>0</v>
      </c>
      <c r="B7" s="43">
        <v>2825161</v>
      </c>
      <c r="C7" s="168" t="s">
        <v>773</v>
      </c>
      <c r="D7" s="169" t="s">
        <v>1591</v>
      </c>
      <c r="E7" s="170" t="s">
        <v>1592</v>
      </c>
    </row>
    <row r="8" spans="1:5">
      <c r="A8" s="1" t="s">
        <v>0</v>
      </c>
      <c r="B8" s="43">
        <v>661749</v>
      </c>
      <c r="C8" s="168" t="s">
        <v>1593</v>
      </c>
      <c r="D8" s="169" t="s">
        <v>1594</v>
      </c>
      <c r="E8" s="173"/>
    </row>
    <row r="9" spans="1:5">
      <c r="A9" s="1" t="s">
        <v>0</v>
      </c>
      <c r="B9" s="43">
        <v>784282</v>
      </c>
      <c r="C9" s="168" t="s">
        <v>71</v>
      </c>
      <c r="D9" s="174" t="s">
        <v>1595</v>
      </c>
      <c r="E9" s="173"/>
    </row>
    <row r="10" spans="1:5">
      <c r="A10" s="1" t="s">
        <v>0</v>
      </c>
      <c r="B10" s="43">
        <v>5010646</v>
      </c>
      <c r="C10" s="168" t="s">
        <v>71</v>
      </c>
      <c r="D10" s="169" t="s">
        <v>1596</v>
      </c>
      <c r="E10" s="173"/>
    </row>
    <row r="11" spans="1:5">
      <c r="A11" s="1" t="s">
        <v>0</v>
      </c>
      <c r="B11" s="43">
        <v>2890004</v>
      </c>
      <c r="C11" s="168" t="s">
        <v>1593</v>
      </c>
      <c r="D11" s="169" t="s">
        <v>1597</v>
      </c>
      <c r="E11" s="173"/>
    </row>
    <row r="12" spans="1:5">
      <c r="A12" s="1" t="s">
        <v>0</v>
      </c>
      <c r="B12" s="43">
        <v>564551</v>
      </c>
      <c r="C12" s="168" t="s">
        <v>1593</v>
      </c>
      <c r="D12" s="169" t="s">
        <v>1598</v>
      </c>
      <c r="E12" s="173"/>
    </row>
    <row r="13" spans="1:5">
      <c r="A13" s="1" t="s">
        <v>0</v>
      </c>
      <c r="B13" s="43">
        <v>2888109</v>
      </c>
      <c r="C13" s="168" t="s">
        <v>71</v>
      </c>
      <c r="D13" s="169" t="s">
        <v>1599</v>
      </c>
      <c r="E13" s="173"/>
    </row>
    <row r="14" spans="1:5">
      <c r="A14" s="1" t="s">
        <v>0</v>
      </c>
      <c r="B14" s="43">
        <v>2825260</v>
      </c>
      <c r="C14" s="168" t="s">
        <v>71</v>
      </c>
      <c r="D14" s="169" t="s">
        <v>1600</v>
      </c>
      <c r="E14" s="173"/>
    </row>
    <row r="15" spans="1:5">
      <c r="A15" s="1" t="s">
        <v>0</v>
      </c>
      <c r="B15" s="43">
        <v>2804658</v>
      </c>
      <c r="C15" s="168" t="s">
        <v>83</v>
      </c>
      <c r="D15" s="169" t="s">
        <v>1601</v>
      </c>
      <c r="E15" s="173"/>
    </row>
    <row r="16" spans="1:5">
      <c r="A16" s="1" t="s">
        <v>0</v>
      </c>
      <c r="B16" s="43">
        <v>661751</v>
      </c>
      <c r="C16" s="168" t="s">
        <v>83</v>
      </c>
      <c r="D16" s="169" t="s">
        <v>1602</v>
      </c>
      <c r="E16" s="173"/>
    </row>
    <row r="17" spans="1:5">
      <c r="A17" s="1" t="s">
        <v>0</v>
      </c>
      <c r="B17" s="43">
        <v>2810933</v>
      </c>
      <c r="C17" s="168" t="s">
        <v>83</v>
      </c>
      <c r="D17" s="169" t="s">
        <v>1603</v>
      </c>
      <c r="E17" s="173"/>
    </row>
    <row r="18" spans="1:5">
      <c r="A18" s="1" t="s">
        <v>0</v>
      </c>
      <c r="B18" s="43">
        <v>625908</v>
      </c>
      <c r="C18" s="168" t="s">
        <v>83</v>
      </c>
      <c r="D18" s="169" t="s">
        <v>1604</v>
      </c>
      <c r="E18" s="173"/>
    </row>
    <row r="19" spans="1:5">
      <c r="A19" s="1" t="s">
        <v>0</v>
      </c>
      <c r="B19" s="43">
        <v>114903</v>
      </c>
      <c r="C19" s="168" t="s">
        <v>83</v>
      </c>
      <c r="D19" s="169" t="s">
        <v>1605</v>
      </c>
      <c r="E19" s="173"/>
    </row>
    <row r="20" spans="1:5">
      <c r="A20" s="1" t="s">
        <v>0</v>
      </c>
      <c r="B20" s="43">
        <v>599597</v>
      </c>
      <c r="C20" s="168" t="s">
        <v>83</v>
      </c>
      <c r="D20" s="169" t="s">
        <v>1606</v>
      </c>
      <c r="E20" s="173"/>
    </row>
    <row r="21" spans="1:5">
      <c r="A21" s="1" t="s">
        <v>0</v>
      </c>
      <c r="B21" s="43">
        <v>155342</v>
      </c>
      <c r="C21" s="168" t="s">
        <v>83</v>
      </c>
      <c r="D21" s="169" t="s">
        <v>1607</v>
      </c>
      <c r="E21" s="173"/>
    </row>
    <row r="22" spans="1:5">
      <c r="A22" s="1" t="s">
        <v>0</v>
      </c>
      <c r="B22" s="43">
        <v>578055</v>
      </c>
      <c r="C22" s="168" t="s">
        <v>83</v>
      </c>
      <c r="D22" s="169" t="s">
        <v>1608</v>
      </c>
      <c r="E22" s="173"/>
    </row>
    <row r="23" spans="1:5">
      <c r="A23" s="1" t="s">
        <v>0</v>
      </c>
      <c r="B23" s="43">
        <v>2813145</v>
      </c>
      <c r="C23" s="168" t="s">
        <v>83</v>
      </c>
      <c r="D23" s="169" t="s">
        <v>1609</v>
      </c>
      <c r="E23" s="173"/>
    </row>
    <row r="24" spans="1:5">
      <c r="A24" s="1" t="s">
        <v>0</v>
      </c>
      <c r="B24" s="43">
        <v>2813184</v>
      </c>
      <c r="C24" s="168" t="s">
        <v>83</v>
      </c>
      <c r="D24" s="169" t="s">
        <v>1610</v>
      </c>
      <c r="E24" s="173"/>
    </row>
    <row r="25" spans="1:5">
      <c r="A25" s="1" t="s">
        <v>0</v>
      </c>
      <c r="B25" s="43">
        <v>2813277</v>
      </c>
      <c r="C25" s="168" t="s">
        <v>83</v>
      </c>
      <c r="D25" s="169" t="s">
        <v>1611</v>
      </c>
      <c r="E25" s="173"/>
    </row>
    <row r="26" spans="1:5">
      <c r="A26" s="1" t="s">
        <v>0</v>
      </c>
      <c r="B26" s="43">
        <v>2813278</v>
      </c>
      <c r="C26" s="168" t="s">
        <v>83</v>
      </c>
      <c r="D26" s="169" t="s">
        <v>1612</v>
      </c>
      <c r="E26" s="173"/>
    </row>
    <row r="27" spans="1:5">
      <c r="A27" s="1" t="s">
        <v>0</v>
      </c>
      <c r="B27" s="43">
        <v>2813279</v>
      </c>
      <c r="C27" s="168" t="s">
        <v>83</v>
      </c>
      <c r="D27" s="169" t="s">
        <v>1613</v>
      </c>
      <c r="E27" s="173"/>
    </row>
    <row r="28" spans="1:5">
      <c r="A28" s="1" t="s">
        <v>0</v>
      </c>
      <c r="B28" s="43">
        <v>2814141</v>
      </c>
      <c r="C28" s="168" t="s">
        <v>83</v>
      </c>
      <c r="D28" s="169" t="s">
        <v>1614</v>
      </c>
      <c r="E28" s="173"/>
    </row>
    <row r="29" spans="1:5">
      <c r="A29" s="1" t="s">
        <v>0</v>
      </c>
      <c r="B29" s="43">
        <v>2814142</v>
      </c>
      <c r="C29" s="168" t="s">
        <v>83</v>
      </c>
      <c r="D29" s="169" t="s">
        <v>1615</v>
      </c>
      <c r="E29" s="173"/>
    </row>
    <row r="30" spans="1:5">
      <c r="A30" s="1" t="s">
        <v>0</v>
      </c>
      <c r="B30" s="43">
        <v>2814143</v>
      </c>
      <c r="C30" s="168" t="s">
        <v>83</v>
      </c>
      <c r="D30" s="169" t="s">
        <v>1616</v>
      </c>
      <c r="E30" s="173"/>
    </row>
    <row r="31" spans="1:5">
      <c r="A31" s="1" t="s">
        <v>0</v>
      </c>
      <c r="B31" s="43">
        <v>2815118</v>
      </c>
      <c r="C31" s="168" t="s">
        <v>83</v>
      </c>
      <c r="D31" s="169" t="s">
        <v>1617</v>
      </c>
      <c r="E31" s="173"/>
    </row>
    <row r="32" spans="1:5">
      <c r="A32" s="1" t="s">
        <v>0</v>
      </c>
      <c r="B32" s="43">
        <v>2823511</v>
      </c>
      <c r="C32" s="168" t="s">
        <v>83</v>
      </c>
      <c r="D32" s="169" t="s">
        <v>1618</v>
      </c>
      <c r="E32" s="173"/>
    </row>
    <row r="33" spans="1:5">
      <c r="A33" s="1" t="s">
        <v>0</v>
      </c>
      <c r="B33" s="43">
        <v>2242039</v>
      </c>
      <c r="C33" s="168" t="s">
        <v>83</v>
      </c>
      <c r="D33" s="169" t="s">
        <v>1619</v>
      </c>
      <c r="E33" s="173"/>
    </row>
    <row r="34" spans="1:5">
      <c r="A34" s="1" t="s">
        <v>0</v>
      </c>
      <c r="B34" s="43">
        <v>2822203</v>
      </c>
      <c r="C34" s="168" t="s">
        <v>83</v>
      </c>
      <c r="D34" s="169" t="s">
        <v>1620</v>
      </c>
      <c r="E34" s="173"/>
    </row>
    <row r="35" spans="1:5">
      <c r="A35" s="1" t="s">
        <v>0</v>
      </c>
      <c r="B35" s="43">
        <v>2822312</v>
      </c>
      <c r="C35" s="168" t="s">
        <v>83</v>
      </c>
      <c r="D35" s="169" t="s">
        <v>1621</v>
      </c>
      <c r="E35" s="173"/>
    </row>
    <row r="36" spans="1:5">
      <c r="A36" s="1" t="s">
        <v>0</v>
      </c>
      <c r="B36" s="43">
        <v>2822639</v>
      </c>
      <c r="C36" s="168" t="s">
        <v>83</v>
      </c>
      <c r="D36" s="169" t="s">
        <v>1622</v>
      </c>
      <c r="E36" s="173"/>
    </row>
    <row r="37" spans="1:5">
      <c r="A37" s="1" t="s">
        <v>0</v>
      </c>
      <c r="B37" s="43">
        <v>2815117</v>
      </c>
      <c r="C37" s="168" t="s">
        <v>83</v>
      </c>
      <c r="D37" s="169" t="s">
        <v>1623</v>
      </c>
      <c r="E37" s="173"/>
    </row>
    <row r="38" spans="1:5">
      <c r="A38" s="1" t="s">
        <v>0</v>
      </c>
      <c r="B38" s="43">
        <v>2822310</v>
      </c>
      <c r="C38" s="168" t="s">
        <v>83</v>
      </c>
      <c r="D38" s="169" t="s">
        <v>1624</v>
      </c>
      <c r="E38" s="173"/>
    </row>
    <row r="39" spans="1:5">
      <c r="A39" s="1" t="s">
        <v>0</v>
      </c>
      <c r="B39" s="43">
        <v>2823512</v>
      </c>
      <c r="C39" s="168" t="s">
        <v>83</v>
      </c>
      <c r="D39" s="169" t="s">
        <v>1625</v>
      </c>
      <c r="E39" s="173"/>
    </row>
    <row r="40" spans="1:5">
      <c r="A40" s="1" t="s">
        <v>0</v>
      </c>
      <c r="B40" s="43">
        <v>2822454</v>
      </c>
      <c r="C40" s="168" t="s">
        <v>83</v>
      </c>
      <c r="D40" s="169" t="s">
        <v>1626</v>
      </c>
      <c r="E40" s="173"/>
    </row>
    <row r="41" spans="1:5">
      <c r="A41" s="1" t="s">
        <v>0</v>
      </c>
      <c r="B41" s="43">
        <v>2825479</v>
      </c>
      <c r="C41" s="168" t="s">
        <v>83</v>
      </c>
      <c r="D41" s="169" t="s">
        <v>1627</v>
      </c>
      <c r="E41" s="173"/>
    </row>
    <row r="42" spans="1:5">
      <c r="A42" s="1" t="s">
        <v>0</v>
      </c>
      <c r="B42" s="43">
        <v>2823289</v>
      </c>
      <c r="C42" s="168" t="s">
        <v>83</v>
      </c>
      <c r="D42" s="169" t="s">
        <v>1628</v>
      </c>
      <c r="E42" s="173"/>
    </row>
    <row r="43" spans="1:5">
      <c r="A43" s="1" t="s">
        <v>0</v>
      </c>
      <c r="B43" s="43">
        <v>2839044</v>
      </c>
      <c r="C43" s="168" t="s">
        <v>83</v>
      </c>
      <c r="D43" s="169" t="s">
        <v>1629</v>
      </c>
      <c r="E43" s="173"/>
    </row>
    <row r="44" spans="1:5">
      <c r="A44" s="1" t="s">
        <v>0</v>
      </c>
      <c r="B44" s="43">
        <v>2870084</v>
      </c>
      <c r="C44" s="168" t="s">
        <v>83</v>
      </c>
      <c r="D44" s="169" t="s">
        <v>1630</v>
      </c>
      <c r="E44" s="173"/>
    </row>
    <row r="45" spans="1:5">
      <c r="A45" s="1" t="s">
        <v>0</v>
      </c>
      <c r="B45" s="43">
        <v>2366891</v>
      </c>
      <c r="C45" s="168" t="s">
        <v>83</v>
      </c>
      <c r="D45" s="169" t="s">
        <v>1631</v>
      </c>
      <c r="E45" s="173"/>
    </row>
    <row r="46" spans="1:5">
      <c r="A46" s="1" t="s">
        <v>0</v>
      </c>
      <c r="B46" s="43">
        <v>2873068</v>
      </c>
      <c r="C46" s="168" t="s">
        <v>83</v>
      </c>
      <c r="D46" s="169" t="s">
        <v>1632</v>
      </c>
      <c r="E46" s="173"/>
    </row>
    <row r="47" spans="1:5">
      <c r="A47" s="1" t="s">
        <v>0</v>
      </c>
      <c r="B47" s="43">
        <v>2874006</v>
      </c>
      <c r="C47" s="168" t="s">
        <v>83</v>
      </c>
      <c r="D47" s="169" t="s">
        <v>1633</v>
      </c>
      <c r="E47" s="173"/>
    </row>
    <row r="48" spans="1:5">
      <c r="A48" s="1" t="s">
        <v>0</v>
      </c>
      <c r="B48" s="43">
        <v>2875042</v>
      </c>
      <c r="C48" s="168" t="s">
        <v>83</v>
      </c>
      <c r="D48" s="169" t="s">
        <v>1634</v>
      </c>
      <c r="E48" s="173"/>
    </row>
    <row r="49" spans="1:5">
      <c r="A49" s="1" t="s">
        <v>0</v>
      </c>
      <c r="B49" s="43">
        <v>2875043</v>
      </c>
      <c r="C49" s="168" t="s">
        <v>83</v>
      </c>
      <c r="D49" s="169" t="s">
        <v>1635</v>
      </c>
      <c r="E49" s="173"/>
    </row>
    <row r="50" spans="1:5">
      <c r="A50" s="1" t="s">
        <v>0</v>
      </c>
      <c r="B50" s="43">
        <v>2822030</v>
      </c>
      <c r="C50" s="168" t="s">
        <v>83</v>
      </c>
      <c r="D50" s="169" t="s">
        <v>1636</v>
      </c>
      <c r="E50" s="173"/>
    </row>
    <row r="51" spans="1:5">
      <c r="A51" s="1" t="s">
        <v>0</v>
      </c>
      <c r="B51" s="43">
        <v>2885172</v>
      </c>
      <c r="C51" s="168" t="s">
        <v>83</v>
      </c>
      <c r="D51" s="169" t="s">
        <v>1637</v>
      </c>
      <c r="E51" s="173"/>
    </row>
    <row r="52" spans="1:5">
      <c r="A52" s="1" t="s">
        <v>0</v>
      </c>
      <c r="B52" s="43">
        <v>2895112</v>
      </c>
      <c r="C52" s="168" t="s">
        <v>83</v>
      </c>
      <c r="D52" s="169" t="s">
        <v>1638</v>
      </c>
      <c r="E52" s="173"/>
    </row>
    <row r="53" spans="1:5">
      <c r="A53" s="1" t="s">
        <v>0</v>
      </c>
      <c r="B53" s="43">
        <v>2895003</v>
      </c>
      <c r="C53" s="168" t="s">
        <v>83</v>
      </c>
      <c r="D53" s="169" t="s">
        <v>1639</v>
      </c>
      <c r="E53" s="173"/>
    </row>
    <row r="54" spans="1:5">
      <c r="A54" s="1" t="s">
        <v>0</v>
      </c>
      <c r="B54" s="43">
        <v>2425283</v>
      </c>
      <c r="C54" s="168" t="s">
        <v>83</v>
      </c>
      <c r="D54" s="169" t="s">
        <v>1640</v>
      </c>
      <c r="E54" s="173"/>
    </row>
    <row r="55" spans="1:5">
      <c r="A55" s="1" t="s">
        <v>0</v>
      </c>
      <c r="B55" s="43">
        <v>3004703</v>
      </c>
      <c r="C55" s="168" t="s">
        <v>83</v>
      </c>
      <c r="D55" s="169" t="s">
        <v>1641</v>
      </c>
      <c r="E55" s="173"/>
    </row>
    <row r="56" spans="1:5">
      <c r="A56" s="1" t="s">
        <v>0</v>
      </c>
      <c r="B56" s="43">
        <v>3004947</v>
      </c>
      <c r="C56" s="168" t="s">
        <v>83</v>
      </c>
      <c r="D56" s="169" t="s">
        <v>1642</v>
      </c>
      <c r="E56" s="173"/>
    </row>
    <row r="57" spans="1:5">
      <c r="A57" s="1" t="s">
        <v>0</v>
      </c>
      <c r="B57" s="43">
        <v>3008781</v>
      </c>
      <c r="C57" s="168" t="s">
        <v>83</v>
      </c>
      <c r="D57" s="169" t="s">
        <v>1643</v>
      </c>
      <c r="E57" s="173"/>
    </row>
    <row r="58" spans="1:5">
      <c r="A58" s="1" t="s">
        <v>0</v>
      </c>
      <c r="B58" s="43">
        <v>3008782</v>
      </c>
      <c r="C58" s="168" t="s">
        <v>83</v>
      </c>
      <c r="D58" s="169" t="s">
        <v>1644</v>
      </c>
      <c r="E58" s="173"/>
    </row>
    <row r="59" spans="1:5">
      <c r="A59" s="1" t="s">
        <v>0</v>
      </c>
      <c r="B59" s="43">
        <v>2822392</v>
      </c>
      <c r="C59" s="168" t="s">
        <v>773</v>
      </c>
      <c r="D59" s="169" t="s">
        <v>1645</v>
      </c>
      <c r="E59" s="173"/>
    </row>
    <row r="60" spans="1:5">
      <c r="A60" s="1" t="s">
        <v>0</v>
      </c>
      <c r="B60" s="43">
        <v>2424406</v>
      </c>
      <c r="C60" s="168" t="s">
        <v>1593</v>
      </c>
      <c r="D60" s="169" t="s">
        <v>1646</v>
      </c>
      <c r="E60" s="173"/>
    </row>
    <row r="61" spans="1:5">
      <c r="A61" s="1" t="s">
        <v>0</v>
      </c>
      <c r="B61" s="43">
        <v>170777</v>
      </c>
      <c r="C61" s="168" t="s">
        <v>1593</v>
      </c>
      <c r="D61" s="169" t="s">
        <v>1647</v>
      </c>
      <c r="E61" s="173"/>
    </row>
    <row r="62" spans="1:5">
      <c r="A62" s="1" t="s">
        <v>0</v>
      </c>
      <c r="B62" s="43">
        <v>777381</v>
      </c>
      <c r="C62" s="168" t="s">
        <v>1593</v>
      </c>
      <c r="D62" s="169" t="s">
        <v>1648</v>
      </c>
      <c r="E62" s="173"/>
    </row>
    <row r="63" spans="1:5">
      <c r="A63" s="1" t="s">
        <v>0</v>
      </c>
      <c r="B63" s="43">
        <v>718618</v>
      </c>
      <c r="C63" s="168" t="s">
        <v>1593</v>
      </c>
      <c r="D63" s="169" t="s">
        <v>1649</v>
      </c>
      <c r="E63" s="173"/>
    </row>
    <row r="64" spans="1:5">
      <c r="A64" s="1" t="s">
        <v>0</v>
      </c>
      <c r="B64" s="43">
        <v>458640</v>
      </c>
      <c r="C64" s="168" t="s">
        <v>1593</v>
      </c>
      <c r="D64" s="169" t="s">
        <v>1650</v>
      </c>
      <c r="E64" s="173"/>
    </row>
    <row r="65" spans="1:5">
      <c r="A65" s="1" t="s">
        <v>0</v>
      </c>
      <c r="B65" s="43">
        <v>458641</v>
      </c>
      <c r="C65" s="168" t="s">
        <v>1593</v>
      </c>
      <c r="D65" s="169" t="s">
        <v>1651</v>
      </c>
      <c r="E65" s="173"/>
    </row>
    <row r="66" spans="1:5">
      <c r="A66" s="1" t="s">
        <v>0</v>
      </c>
      <c r="B66" s="43">
        <v>170776</v>
      </c>
      <c r="C66" s="168" t="s">
        <v>1593</v>
      </c>
      <c r="D66" s="169" t="s">
        <v>1652</v>
      </c>
      <c r="E66" s="173"/>
    </row>
    <row r="67" spans="1:5">
      <c r="A67" s="1" t="s">
        <v>0</v>
      </c>
      <c r="B67" s="43">
        <v>533302</v>
      </c>
      <c r="C67" s="168" t="s">
        <v>1593</v>
      </c>
      <c r="D67" s="169" t="s">
        <v>1653</v>
      </c>
      <c r="E67" s="173"/>
    </row>
    <row r="68" spans="1:5">
      <c r="A68" s="1" t="s">
        <v>0</v>
      </c>
      <c r="B68" s="43">
        <v>734629</v>
      </c>
      <c r="C68" s="168" t="s">
        <v>1593</v>
      </c>
      <c r="D68" s="169" t="s">
        <v>1654</v>
      </c>
      <c r="E68" s="173"/>
    </row>
    <row r="69" spans="1:5">
      <c r="A69" s="1" t="s">
        <v>0</v>
      </c>
      <c r="B69" s="43">
        <v>669533</v>
      </c>
      <c r="C69" s="168" t="s">
        <v>1593</v>
      </c>
      <c r="D69" s="169" t="s">
        <v>1655</v>
      </c>
      <c r="E69" s="173"/>
    </row>
    <row r="70" spans="1:5">
      <c r="A70" s="1" t="s">
        <v>0</v>
      </c>
      <c r="B70" s="43">
        <v>397387</v>
      </c>
      <c r="C70" s="168" t="s">
        <v>1593</v>
      </c>
      <c r="D70" s="169" t="s">
        <v>1656</v>
      </c>
      <c r="E70" s="173"/>
    </row>
    <row r="71" spans="1:5">
      <c r="A71" s="1" t="s">
        <v>0</v>
      </c>
      <c r="B71" s="43">
        <v>580626</v>
      </c>
      <c r="C71" s="168" t="s">
        <v>1593</v>
      </c>
      <c r="D71" s="169" t="s">
        <v>1657</v>
      </c>
      <c r="E71" s="173"/>
    </row>
    <row r="72" spans="1:5">
      <c r="A72" s="1" t="s">
        <v>0</v>
      </c>
      <c r="B72" s="43">
        <v>387349</v>
      </c>
      <c r="C72" s="168" t="s">
        <v>1593</v>
      </c>
      <c r="D72" s="169" t="s">
        <v>1658</v>
      </c>
      <c r="E72" s="173"/>
    </row>
    <row r="73" spans="1:5">
      <c r="A73" s="1" t="s">
        <v>0</v>
      </c>
      <c r="B73" s="43">
        <v>737763</v>
      </c>
      <c r="C73" s="168" t="s">
        <v>1593</v>
      </c>
      <c r="D73" s="169" t="s">
        <v>1659</v>
      </c>
      <c r="E73" s="173"/>
    </row>
    <row r="74" spans="1:5">
      <c r="A74" s="1" t="s">
        <v>0</v>
      </c>
      <c r="B74" s="43">
        <v>2242041</v>
      </c>
      <c r="C74" s="168" t="s">
        <v>1593</v>
      </c>
      <c r="D74" s="169" t="s">
        <v>1660</v>
      </c>
      <c r="E74" s="173"/>
    </row>
    <row r="75" spans="1:5">
      <c r="A75" s="1" t="s">
        <v>0</v>
      </c>
      <c r="B75" s="43">
        <v>2244043</v>
      </c>
      <c r="C75" s="168" t="s">
        <v>1593</v>
      </c>
      <c r="D75" s="169" t="s">
        <v>1661</v>
      </c>
      <c r="E75" s="173"/>
    </row>
    <row r="76" spans="1:5">
      <c r="A76" s="1" t="s">
        <v>0</v>
      </c>
      <c r="B76" s="43">
        <v>2805120</v>
      </c>
      <c r="C76" s="168" t="s">
        <v>1593</v>
      </c>
      <c r="D76" s="169" t="s">
        <v>1662</v>
      </c>
      <c r="E76" s="173"/>
    </row>
    <row r="77" spans="1:5">
      <c r="A77" s="1" t="s">
        <v>0</v>
      </c>
      <c r="B77" s="43">
        <v>2841516</v>
      </c>
      <c r="C77" s="168" t="s">
        <v>1593</v>
      </c>
      <c r="D77" s="169" t="s">
        <v>1663</v>
      </c>
      <c r="E77" s="173"/>
    </row>
    <row r="78" spans="1:5">
      <c r="A78" s="1" t="s">
        <v>0</v>
      </c>
      <c r="B78" s="43">
        <v>2801187</v>
      </c>
      <c r="C78" s="168" t="s">
        <v>1593</v>
      </c>
      <c r="D78" s="169" t="s">
        <v>1664</v>
      </c>
      <c r="E78" s="173"/>
    </row>
    <row r="79" spans="1:5">
      <c r="A79" s="1" t="s">
        <v>0</v>
      </c>
      <c r="B79" s="43">
        <v>2849188</v>
      </c>
      <c r="C79" s="168" t="s">
        <v>1593</v>
      </c>
      <c r="D79" s="169" t="s">
        <v>1665</v>
      </c>
      <c r="E79" s="173"/>
    </row>
    <row r="80" spans="1:5">
      <c r="A80" s="1" t="s">
        <v>0</v>
      </c>
      <c r="B80" s="43">
        <v>2281181</v>
      </c>
      <c r="C80" s="168" t="s">
        <v>1593</v>
      </c>
      <c r="D80" s="169" t="s">
        <v>1666</v>
      </c>
      <c r="E80" s="173"/>
    </row>
    <row r="81" spans="1:5">
      <c r="A81" s="1" t="s">
        <v>0</v>
      </c>
      <c r="B81" s="43">
        <v>2825740</v>
      </c>
      <c r="C81" s="168" t="s">
        <v>1593</v>
      </c>
      <c r="D81" s="169" t="s">
        <v>1667</v>
      </c>
      <c r="E81" s="173"/>
    </row>
    <row r="82" spans="1:5">
      <c r="A82" s="1" t="s">
        <v>0</v>
      </c>
      <c r="B82" s="43">
        <v>3107148</v>
      </c>
      <c r="C82" s="168" t="s">
        <v>1593</v>
      </c>
      <c r="D82" s="169" t="s">
        <v>1668</v>
      </c>
      <c r="E82" s="173"/>
    </row>
    <row r="83" spans="1:5">
      <c r="A83" s="1" t="s">
        <v>0</v>
      </c>
      <c r="B83" s="43">
        <v>2875016</v>
      </c>
      <c r="C83" s="168" t="s">
        <v>1593</v>
      </c>
      <c r="D83" s="169" t="s">
        <v>1669</v>
      </c>
      <c r="E83" s="173"/>
    </row>
    <row r="84" spans="1:5">
      <c r="A84" s="1" t="s">
        <v>0</v>
      </c>
      <c r="B84" s="43">
        <v>2833004</v>
      </c>
      <c r="C84" s="168" t="s">
        <v>1593</v>
      </c>
      <c r="D84" s="169" t="s">
        <v>1670</v>
      </c>
      <c r="E84" s="173"/>
    </row>
    <row r="85" spans="1:5">
      <c r="A85" s="1" t="s">
        <v>0</v>
      </c>
      <c r="B85" s="43">
        <v>2300009</v>
      </c>
      <c r="C85" s="168" t="s">
        <v>1593</v>
      </c>
      <c r="D85" s="169" t="s">
        <v>1671</v>
      </c>
      <c r="E85" s="173"/>
    </row>
    <row r="86" spans="1:5">
      <c r="A86" s="1" t="s">
        <v>0</v>
      </c>
      <c r="B86" s="43">
        <v>2887218</v>
      </c>
      <c r="C86" s="168" t="s">
        <v>1593</v>
      </c>
      <c r="D86" s="169" t="s">
        <v>1672</v>
      </c>
      <c r="E86" s="173"/>
    </row>
    <row r="87" spans="1:5">
      <c r="A87" s="1" t="s">
        <v>0</v>
      </c>
      <c r="B87" s="43">
        <v>2895102</v>
      </c>
      <c r="C87" s="168" t="s">
        <v>1593</v>
      </c>
      <c r="D87" s="175" t="s">
        <v>1673</v>
      </c>
      <c r="E87" s="173"/>
    </row>
    <row r="88" spans="1:5">
      <c r="A88" s="1" t="s">
        <v>0</v>
      </c>
      <c r="B88" s="43">
        <v>3005198</v>
      </c>
      <c r="C88" s="168" t="s">
        <v>1593</v>
      </c>
      <c r="D88" s="169" t="s">
        <v>1674</v>
      </c>
      <c r="E88" s="173"/>
    </row>
    <row r="89" spans="1:5">
      <c r="A89" s="1" t="s">
        <v>0</v>
      </c>
      <c r="B89" s="43">
        <v>3005199</v>
      </c>
      <c r="C89" s="168" t="s">
        <v>1593</v>
      </c>
      <c r="D89" s="169" t="s">
        <v>1675</v>
      </c>
      <c r="E89" s="173"/>
    </row>
    <row r="90" spans="1:5">
      <c r="A90" s="1" t="s">
        <v>0</v>
      </c>
      <c r="B90" s="43">
        <v>3010104</v>
      </c>
      <c r="C90" s="168" t="s">
        <v>1593</v>
      </c>
      <c r="D90" s="169" t="s">
        <v>1676</v>
      </c>
      <c r="E90" s="173"/>
    </row>
    <row r="91" spans="1:5">
      <c r="A91" s="1" t="s">
        <v>0</v>
      </c>
      <c r="B91" s="43">
        <v>3011079</v>
      </c>
      <c r="C91" s="168" t="s">
        <v>1593</v>
      </c>
      <c r="D91" s="169" t="s">
        <v>1677</v>
      </c>
      <c r="E91" s="173"/>
    </row>
    <row r="92" spans="1:5">
      <c r="A92" s="1" t="s">
        <v>0</v>
      </c>
      <c r="B92" s="43">
        <v>185320</v>
      </c>
      <c r="C92" s="168" t="s">
        <v>71</v>
      </c>
      <c r="D92" s="169" t="s">
        <v>1678</v>
      </c>
      <c r="E92" s="173"/>
    </row>
    <row r="93" spans="1:5">
      <c r="A93" s="1" t="s">
        <v>0</v>
      </c>
      <c r="B93" s="43">
        <v>2822683</v>
      </c>
      <c r="C93" s="168" t="s">
        <v>71</v>
      </c>
      <c r="D93" s="169" t="s">
        <v>1679</v>
      </c>
      <c r="E93" s="173"/>
    </row>
    <row r="94" spans="1:5">
      <c r="A94" s="1" t="s">
        <v>0</v>
      </c>
      <c r="B94" s="43">
        <v>2849034</v>
      </c>
      <c r="C94" s="168" t="s">
        <v>71</v>
      </c>
      <c r="D94" s="169" t="s">
        <v>1680</v>
      </c>
      <c r="E94" s="173"/>
    </row>
    <row r="95" spans="1:5">
      <c r="A95" s="1" t="s">
        <v>1</v>
      </c>
      <c r="B95" s="165" t="s">
        <v>68</v>
      </c>
      <c r="C95" s="166" t="s">
        <v>62</v>
      </c>
      <c r="D95" s="176" t="s">
        <v>69</v>
      </c>
      <c r="E95" s="166" t="s">
        <v>70</v>
      </c>
    </row>
    <row r="96" spans="1:5">
      <c r="A96" s="1" t="s">
        <v>1</v>
      </c>
      <c r="B96" s="43">
        <v>689761</v>
      </c>
      <c r="C96" s="168" t="s">
        <v>90</v>
      </c>
      <c r="D96" s="169" t="s">
        <v>1681</v>
      </c>
      <c r="E96" s="172" t="s">
        <v>1682</v>
      </c>
    </row>
    <row r="97" spans="1:5">
      <c r="A97" s="1" t="s">
        <v>1</v>
      </c>
      <c r="B97" s="43">
        <v>580628</v>
      </c>
      <c r="C97" s="168" t="s">
        <v>83</v>
      </c>
      <c r="D97" s="169" t="s">
        <v>1683</v>
      </c>
      <c r="E97" s="170" t="s">
        <v>1684</v>
      </c>
    </row>
    <row r="98" spans="1:5">
      <c r="A98" s="1" t="s">
        <v>1</v>
      </c>
      <c r="B98" s="43">
        <v>2815157</v>
      </c>
      <c r="C98" s="168" t="s">
        <v>83</v>
      </c>
      <c r="D98" s="169" t="s">
        <v>1685</v>
      </c>
      <c r="E98" s="170" t="s">
        <v>1686</v>
      </c>
    </row>
    <row r="99" spans="1:5">
      <c r="A99" s="1" t="s">
        <v>1</v>
      </c>
      <c r="B99" s="43">
        <v>2811712</v>
      </c>
      <c r="C99" s="168" t="s">
        <v>1593</v>
      </c>
      <c r="D99" s="169" t="s">
        <v>1687</v>
      </c>
      <c r="E99" s="170" t="s">
        <v>1688</v>
      </c>
    </row>
    <row r="100" spans="1:5">
      <c r="A100" s="1" t="s">
        <v>1</v>
      </c>
      <c r="B100" s="43">
        <v>664805</v>
      </c>
      <c r="C100" s="168" t="s">
        <v>71</v>
      </c>
      <c r="D100" s="169" t="s">
        <v>1689</v>
      </c>
      <c r="E100" s="173"/>
    </row>
    <row r="101" spans="1:5">
      <c r="A101" s="1" t="s">
        <v>1</v>
      </c>
      <c r="B101" s="43">
        <v>5015882</v>
      </c>
      <c r="C101" s="168" t="s">
        <v>71</v>
      </c>
      <c r="D101" s="169" t="s">
        <v>1690</v>
      </c>
      <c r="E101" s="173"/>
    </row>
    <row r="102" spans="1:5">
      <c r="A102" s="1" t="s">
        <v>1</v>
      </c>
      <c r="B102" s="43">
        <v>2881200</v>
      </c>
      <c r="C102" s="168" t="s">
        <v>90</v>
      </c>
      <c r="D102" s="169" t="s">
        <v>1691</v>
      </c>
      <c r="E102" s="173"/>
    </row>
    <row r="103" spans="1:5">
      <c r="A103" s="1" t="s">
        <v>1</v>
      </c>
      <c r="B103" s="43">
        <v>661749</v>
      </c>
      <c r="C103" s="168" t="s">
        <v>1593</v>
      </c>
      <c r="D103" s="169" t="s">
        <v>1594</v>
      </c>
      <c r="E103" s="173"/>
    </row>
    <row r="104" spans="1:5">
      <c r="A104" s="1" t="s">
        <v>1</v>
      </c>
      <c r="B104" s="43">
        <v>520220</v>
      </c>
      <c r="C104" s="168" t="s">
        <v>71</v>
      </c>
      <c r="D104" s="169" t="s">
        <v>1692</v>
      </c>
      <c r="E104" s="173"/>
    </row>
    <row r="105" spans="1:5">
      <c r="A105" s="1" t="s">
        <v>1</v>
      </c>
      <c r="B105" s="43">
        <v>580624</v>
      </c>
      <c r="C105" s="168" t="s">
        <v>71</v>
      </c>
      <c r="D105" s="169" t="s">
        <v>1693</v>
      </c>
      <c r="E105" s="173"/>
    </row>
    <row r="106" spans="1:5">
      <c r="A106" s="1" t="s">
        <v>1</v>
      </c>
      <c r="B106" s="43">
        <v>622051</v>
      </c>
      <c r="C106" s="168" t="s">
        <v>71</v>
      </c>
      <c r="D106" s="169" t="s">
        <v>1694</v>
      </c>
      <c r="E106" s="173"/>
    </row>
    <row r="107" spans="1:5">
      <c r="A107" s="1" t="s">
        <v>1</v>
      </c>
      <c r="B107" s="43">
        <v>622050</v>
      </c>
      <c r="C107" s="168" t="s">
        <v>773</v>
      </c>
      <c r="D107" s="169" t="s">
        <v>1695</v>
      </c>
      <c r="E107" s="173"/>
    </row>
    <row r="108" spans="1:5">
      <c r="A108" s="1" t="s">
        <v>1</v>
      </c>
      <c r="B108" s="43">
        <v>2807856</v>
      </c>
      <c r="C108" s="168" t="s">
        <v>1593</v>
      </c>
      <c r="D108" s="169" t="s">
        <v>1696</v>
      </c>
      <c r="E108" s="173"/>
    </row>
    <row r="109" spans="1:5">
      <c r="A109" s="1" t="s">
        <v>1</v>
      </c>
      <c r="B109" s="43">
        <v>711796</v>
      </c>
      <c r="C109" s="168" t="s">
        <v>71</v>
      </c>
      <c r="D109" s="169" t="s">
        <v>1697</v>
      </c>
      <c r="E109" s="173"/>
    </row>
    <row r="110" spans="1:5">
      <c r="A110" s="1" t="s">
        <v>1</v>
      </c>
      <c r="B110" s="43">
        <v>753899</v>
      </c>
      <c r="C110" s="168" t="s">
        <v>71</v>
      </c>
      <c r="D110" s="169" t="s">
        <v>1698</v>
      </c>
      <c r="E110" s="173"/>
    </row>
    <row r="111" spans="1:5">
      <c r="A111" s="1" t="s">
        <v>1</v>
      </c>
      <c r="B111" s="43">
        <v>5022327</v>
      </c>
      <c r="C111" s="168" t="s">
        <v>71</v>
      </c>
      <c r="D111" s="169" t="s">
        <v>1699</v>
      </c>
      <c r="E111" s="173"/>
    </row>
    <row r="112" spans="1:5">
      <c r="A112" s="1" t="s">
        <v>1</v>
      </c>
      <c r="B112" s="43">
        <v>2421749</v>
      </c>
      <c r="C112" s="168" t="s">
        <v>71</v>
      </c>
      <c r="D112" s="169" t="s">
        <v>1700</v>
      </c>
      <c r="E112" s="173"/>
    </row>
    <row r="113" spans="1:5">
      <c r="A113" s="1" t="s">
        <v>1</v>
      </c>
      <c r="B113" s="43">
        <v>2880191</v>
      </c>
      <c r="C113" s="168" t="s">
        <v>83</v>
      </c>
      <c r="D113" s="169" t="s">
        <v>1701</v>
      </c>
      <c r="E113" s="173"/>
    </row>
    <row r="114" spans="1:5">
      <c r="A114" s="1" t="s">
        <v>1</v>
      </c>
      <c r="B114" s="43">
        <v>515156</v>
      </c>
      <c r="C114" s="168" t="s">
        <v>773</v>
      </c>
      <c r="D114" s="169" t="s">
        <v>1702</v>
      </c>
      <c r="E114" s="173"/>
    </row>
    <row r="115" spans="1:5">
      <c r="A115" s="1" t="s">
        <v>1</v>
      </c>
      <c r="B115" s="43">
        <v>2880016</v>
      </c>
      <c r="C115" s="168" t="s">
        <v>1593</v>
      </c>
      <c r="D115" s="169" t="s">
        <v>1703</v>
      </c>
      <c r="E115" s="173"/>
    </row>
    <row r="116" spans="1:5">
      <c r="A116" s="1" t="s">
        <v>1</v>
      </c>
      <c r="B116" s="43">
        <v>2881151</v>
      </c>
      <c r="C116" s="168" t="s">
        <v>1593</v>
      </c>
      <c r="D116" s="169" t="s">
        <v>1704</v>
      </c>
      <c r="E116" s="173"/>
    </row>
    <row r="117" spans="1:5">
      <c r="A117" s="1" t="s">
        <v>1</v>
      </c>
      <c r="B117" s="43">
        <v>2823579</v>
      </c>
      <c r="C117" s="168" t="s">
        <v>90</v>
      </c>
      <c r="D117" s="169" t="s">
        <v>1705</v>
      </c>
      <c r="E117" s="173"/>
    </row>
    <row r="118" spans="1:5">
      <c r="A118" s="1" t="s">
        <v>1</v>
      </c>
      <c r="B118" s="43">
        <v>2874005</v>
      </c>
      <c r="C118" s="168" t="s">
        <v>83</v>
      </c>
      <c r="D118" s="169" t="s">
        <v>1706</v>
      </c>
      <c r="E118" s="173"/>
    </row>
    <row r="119" spans="1:5">
      <c r="A119" s="1" t="s">
        <v>1</v>
      </c>
      <c r="B119" s="43">
        <v>2876024</v>
      </c>
      <c r="C119" s="168" t="s">
        <v>83</v>
      </c>
      <c r="D119" s="169" t="s">
        <v>1707</v>
      </c>
      <c r="E119" s="173"/>
    </row>
    <row r="120" spans="1:5">
      <c r="A120" s="1" t="s">
        <v>1</v>
      </c>
      <c r="B120" s="43">
        <v>2282149</v>
      </c>
      <c r="C120" s="168" t="s">
        <v>83</v>
      </c>
      <c r="D120" s="169" t="s">
        <v>1708</v>
      </c>
      <c r="E120" s="173"/>
    </row>
    <row r="121" spans="1:5">
      <c r="A121" s="1" t="s">
        <v>1</v>
      </c>
      <c r="B121" s="43">
        <v>599597</v>
      </c>
      <c r="C121" s="168" t="s">
        <v>83</v>
      </c>
      <c r="D121" s="169" t="s">
        <v>1606</v>
      </c>
      <c r="E121" s="173"/>
    </row>
    <row r="122" spans="1:5">
      <c r="A122" s="1" t="s">
        <v>1</v>
      </c>
      <c r="B122" s="43">
        <v>661751</v>
      </c>
      <c r="C122" s="168" t="s">
        <v>83</v>
      </c>
      <c r="D122" s="169" t="s">
        <v>1602</v>
      </c>
      <c r="E122" s="173"/>
    </row>
    <row r="123" spans="1:5">
      <c r="A123" s="1" t="s">
        <v>1</v>
      </c>
      <c r="B123" s="43">
        <v>2810626</v>
      </c>
      <c r="C123" s="168" t="s">
        <v>83</v>
      </c>
      <c r="D123" s="169" t="s">
        <v>1709</v>
      </c>
      <c r="E123" s="173"/>
    </row>
    <row r="124" spans="1:5">
      <c r="A124" s="1" t="s">
        <v>1</v>
      </c>
      <c r="B124" s="43">
        <v>2811713</v>
      </c>
      <c r="C124" s="168" t="s">
        <v>83</v>
      </c>
      <c r="D124" s="169" t="s">
        <v>1710</v>
      </c>
      <c r="E124" s="173"/>
    </row>
    <row r="125" spans="1:5">
      <c r="A125" s="1" t="s">
        <v>1</v>
      </c>
      <c r="B125" s="43">
        <v>2812532</v>
      </c>
      <c r="C125" s="168" t="s">
        <v>83</v>
      </c>
      <c r="D125" s="169" t="s">
        <v>1711</v>
      </c>
      <c r="E125" s="173"/>
    </row>
    <row r="126" spans="1:5">
      <c r="A126" s="1" t="s">
        <v>1</v>
      </c>
      <c r="B126" s="43">
        <v>2822310</v>
      </c>
      <c r="C126" s="168" t="s">
        <v>83</v>
      </c>
      <c r="D126" s="169" t="s">
        <v>1624</v>
      </c>
      <c r="E126" s="173"/>
    </row>
    <row r="127" spans="1:5">
      <c r="A127" s="1" t="s">
        <v>1</v>
      </c>
      <c r="B127" s="43">
        <v>2823252</v>
      </c>
      <c r="C127" s="168" t="s">
        <v>83</v>
      </c>
      <c r="D127" s="169" t="s">
        <v>1712</v>
      </c>
      <c r="E127" s="173"/>
    </row>
    <row r="128" spans="1:5">
      <c r="A128" s="1" t="s">
        <v>1</v>
      </c>
      <c r="B128" s="43">
        <v>2885014</v>
      </c>
      <c r="C128" s="168" t="s">
        <v>83</v>
      </c>
      <c r="D128" s="169" t="s">
        <v>1713</v>
      </c>
      <c r="E128" s="173"/>
    </row>
    <row r="129" spans="1:5">
      <c r="A129" s="1" t="s">
        <v>1</v>
      </c>
      <c r="B129" s="43">
        <v>2886013</v>
      </c>
      <c r="C129" s="168" t="s">
        <v>83</v>
      </c>
      <c r="D129" s="169" t="s">
        <v>1714</v>
      </c>
      <c r="E129" s="173"/>
    </row>
    <row r="130" spans="1:5">
      <c r="A130" s="1" t="s">
        <v>1</v>
      </c>
      <c r="B130" s="43">
        <v>2883047</v>
      </c>
      <c r="C130" s="168" t="s">
        <v>83</v>
      </c>
      <c r="D130" s="169" t="s">
        <v>1715</v>
      </c>
      <c r="E130" s="173"/>
    </row>
    <row r="131" spans="1:5">
      <c r="A131" s="1" t="s">
        <v>1</v>
      </c>
      <c r="B131" s="43">
        <v>2880190</v>
      </c>
      <c r="C131" s="168" t="s">
        <v>83</v>
      </c>
      <c r="D131" s="169" t="s">
        <v>1716</v>
      </c>
      <c r="E131" s="173"/>
    </row>
    <row r="132" spans="1:5">
      <c r="A132" s="1" t="s">
        <v>1</v>
      </c>
      <c r="B132" s="43">
        <v>2424324</v>
      </c>
      <c r="C132" s="168" t="s">
        <v>83</v>
      </c>
      <c r="D132" s="169" t="s">
        <v>1717</v>
      </c>
      <c r="E132" s="173"/>
    </row>
    <row r="133" spans="1:5">
      <c r="A133" s="1" t="s">
        <v>1</v>
      </c>
      <c r="B133" s="43">
        <v>2423652</v>
      </c>
      <c r="C133" s="168" t="s">
        <v>83</v>
      </c>
      <c r="D133" s="169" t="s">
        <v>1718</v>
      </c>
      <c r="E133" s="173"/>
    </row>
    <row r="134" spans="1:5">
      <c r="A134" s="1" t="s">
        <v>1</v>
      </c>
      <c r="B134" s="43">
        <v>3007571</v>
      </c>
      <c r="C134" s="168" t="s">
        <v>83</v>
      </c>
      <c r="D134" s="169" t="s">
        <v>1719</v>
      </c>
      <c r="E134" s="173"/>
    </row>
    <row r="135" spans="1:5">
      <c r="A135" s="1" t="s">
        <v>1</v>
      </c>
      <c r="B135" s="43">
        <v>3010972</v>
      </c>
      <c r="C135" s="168" t="s">
        <v>83</v>
      </c>
      <c r="D135" s="169" t="s">
        <v>1720</v>
      </c>
      <c r="E135" s="173"/>
    </row>
    <row r="136" spans="1:5">
      <c r="A136" s="1" t="s">
        <v>1</v>
      </c>
      <c r="B136" s="43">
        <v>2835068</v>
      </c>
      <c r="C136" s="168" t="s">
        <v>773</v>
      </c>
      <c r="D136" s="169" t="s">
        <v>1721</v>
      </c>
      <c r="E136" s="173"/>
    </row>
    <row r="137" spans="1:5">
      <c r="A137" s="1" t="s">
        <v>1</v>
      </c>
      <c r="B137" s="43">
        <v>2871163</v>
      </c>
      <c r="C137" s="168" t="s">
        <v>773</v>
      </c>
      <c r="D137" s="169" t="s">
        <v>1722</v>
      </c>
      <c r="E137" s="173"/>
    </row>
    <row r="138" spans="1:5">
      <c r="A138" s="1" t="s">
        <v>1</v>
      </c>
      <c r="B138" s="43">
        <v>2815033</v>
      </c>
      <c r="C138" s="168" t="s">
        <v>773</v>
      </c>
      <c r="D138" s="169" t="s">
        <v>1723</v>
      </c>
      <c r="E138" s="173"/>
    </row>
    <row r="139" spans="1:5">
      <c r="A139" s="1" t="s">
        <v>1</v>
      </c>
      <c r="B139" s="43">
        <v>659269</v>
      </c>
      <c r="C139" s="168" t="s">
        <v>773</v>
      </c>
      <c r="D139" s="169" t="s">
        <v>1724</v>
      </c>
      <c r="E139" s="177"/>
    </row>
    <row r="140" spans="1:5">
      <c r="A140" s="1" t="s">
        <v>1</v>
      </c>
      <c r="B140" s="43">
        <v>170777</v>
      </c>
      <c r="C140" s="168" t="s">
        <v>1593</v>
      </c>
      <c r="D140" s="169" t="s">
        <v>1647</v>
      </c>
      <c r="E140" s="173"/>
    </row>
    <row r="141" spans="1:5">
      <c r="A141" s="1" t="s">
        <v>1</v>
      </c>
      <c r="B141" s="43">
        <v>363225</v>
      </c>
      <c r="C141" s="168" t="s">
        <v>1593</v>
      </c>
      <c r="D141" s="169" t="s">
        <v>1725</v>
      </c>
      <c r="E141" s="173"/>
    </row>
    <row r="142" spans="1:5">
      <c r="A142" s="1" t="s">
        <v>1</v>
      </c>
      <c r="B142" s="43">
        <v>424116</v>
      </c>
      <c r="C142" s="168" t="s">
        <v>1593</v>
      </c>
      <c r="D142" s="169" t="s">
        <v>1726</v>
      </c>
      <c r="E142" s="173"/>
    </row>
    <row r="143" spans="1:5">
      <c r="A143" s="1" t="s">
        <v>1</v>
      </c>
      <c r="B143" s="43">
        <v>669533</v>
      </c>
      <c r="C143" s="168" t="s">
        <v>1593</v>
      </c>
      <c r="D143" s="169" t="s">
        <v>1655</v>
      </c>
      <c r="E143" s="173"/>
    </row>
    <row r="144" spans="1:5">
      <c r="A144" s="1" t="s">
        <v>1</v>
      </c>
      <c r="B144" s="43">
        <v>718618</v>
      </c>
      <c r="C144" s="168" t="s">
        <v>1593</v>
      </c>
      <c r="D144" s="169" t="s">
        <v>1649</v>
      </c>
      <c r="E144" s="173"/>
    </row>
    <row r="145" spans="1:5">
      <c r="A145" s="1" t="s">
        <v>1</v>
      </c>
      <c r="B145" s="43">
        <v>718628</v>
      </c>
      <c r="C145" s="168" t="s">
        <v>1593</v>
      </c>
      <c r="D145" s="169" t="s">
        <v>1727</v>
      </c>
      <c r="E145" s="173"/>
    </row>
    <row r="146" spans="1:5">
      <c r="A146" s="1" t="s">
        <v>1</v>
      </c>
      <c r="B146" s="43">
        <v>777381</v>
      </c>
      <c r="C146" s="168" t="s">
        <v>1593</v>
      </c>
      <c r="D146" s="169" t="s">
        <v>1648</v>
      </c>
      <c r="E146" s="173"/>
    </row>
    <row r="147" spans="1:5">
      <c r="A147" s="1" t="s">
        <v>1</v>
      </c>
      <c r="B147" s="43">
        <v>5015862</v>
      </c>
      <c r="C147" s="168" t="s">
        <v>1593</v>
      </c>
      <c r="D147" s="169" t="s">
        <v>1728</v>
      </c>
      <c r="E147" s="173"/>
    </row>
    <row r="148" spans="1:5">
      <c r="A148" s="1" t="s">
        <v>1</v>
      </c>
      <c r="B148" s="43">
        <v>387349</v>
      </c>
      <c r="C148" s="168" t="s">
        <v>1593</v>
      </c>
      <c r="D148" s="169" t="s">
        <v>1658</v>
      </c>
      <c r="E148" s="173"/>
    </row>
    <row r="149" spans="1:5">
      <c r="A149" s="1" t="s">
        <v>1</v>
      </c>
      <c r="B149" s="43">
        <v>2834040</v>
      </c>
      <c r="C149" s="168" t="s">
        <v>1593</v>
      </c>
      <c r="D149" s="169" t="s">
        <v>1729</v>
      </c>
      <c r="E149" s="173"/>
    </row>
    <row r="150" spans="1:5">
      <c r="A150" s="1" t="s">
        <v>1</v>
      </c>
      <c r="B150" s="43">
        <v>2824219</v>
      </c>
      <c r="C150" s="168" t="s">
        <v>1593</v>
      </c>
      <c r="D150" s="169" t="s">
        <v>1730</v>
      </c>
      <c r="E150" s="173"/>
    </row>
    <row r="151" spans="1:5">
      <c r="A151" s="1" t="s">
        <v>1</v>
      </c>
      <c r="B151" s="43">
        <v>2841516</v>
      </c>
      <c r="C151" s="168" t="s">
        <v>1593</v>
      </c>
      <c r="D151" s="175" t="s">
        <v>1663</v>
      </c>
      <c r="E151" s="173"/>
    </row>
    <row r="152" spans="1:5">
      <c r="A152" s="1" t="s">
        <v>1</v>
      </c>
      <c r="B152" s="43">
        <v>2805117</v>
      </c>
      <c r="C152" s="168" t="s">
        <v>1593</v>
      </c>
      <c r="D152" s="169" t="s">
        <v>1731</v>
      </c>
      <c r="E152" s="173"/>
    </row>
    <row r="153" spans="1:5">
      <c r="A153" s="1" t="s">
        <v>1</v>
      </c>
      <c r="B153" s="43">
        <v>2849188</v>
      </c>
      <c r="C153" s="168" t="s">
        <v>1593</v>
      </c>
      <c r="D153" s="169" t="s">
        <v>1665</v>
      </c>
      <c r="E153" s="173"/>
    </row>
    <row r="154" spans="1:5">
      <c r="A154" s="1" t="s">
        <v>1</v>
      </c>
      <c r="B154" s="43">
        <v>2883208</v>
      </c>
      <c r="C154" s="168" t="s">
        <v>1593</v>
      </c>
      <c r="D154" s="169" t="s">
        <v>1732</v>
      </c>
      <c r="E154" s="173"/>
    </row>
    <row r="155" spans="1:5">
      <c r="A155" s="1" t="s">
        <v>1</v>
      </c>
      <c r="B155" s="43">
        <v>2887258</v>
      </c>
      <c r="C155" s="168" t="s">
        <v>1593</v>
      </c>
      <c r="D155" s="169" t="s">
        <v>1733</v>
      </c>
      <c r="E155" s="173"/>
    </row>
    <row r="156" spans="1:5">
      <c r="A156" s="1" t="s">
        <v>1</v>
      </c>
      <c r="B156" s="43">
        <v>2896887</v>
      </c>
      <c r="C156" s="168" t="s">
        <v>1593</v>
      </c>
      <c r="D156" s="169" t="s">
        <v>1734</v>
      </c>
      <c r="E156" s="173"/>
    </row>
    <row r="157" spans="1:5">
      <c r="A157" s="1" t="s">
        <v>1</v>
      </c>
      <c r="B157" s="43">
        <v>636110</v>
      </c>
      <c r="C157" s="168" t="s">
        <v>71</v>
      </c>
      <c r="D157" s="169" t="s">
        <v>1735</v>
      </c>
      <c r="E157" s="173"/>
    </row>
    <row r="158" spans="1:5">
      <c r="A158" s="1" t="s">
        <v>1</v>
      </c>
      <c r="B158" s="43">
        <v>699331</v>
      </c>
      <c r="C158" s="168" t="s">
        <v>71</v>
      </c>
      <c r="D158" s="169" t="s">
        <v>1736</v>
      </c>
      <c r="E158" s="173"/>
    </row>
    <row r="159" spans="1:5">
      <c r="A159" s="1" t="s">
        <v>1</v>
      </c>
      <c r="B159" s="43">
        <v>753898</v>
      </c>
      <c r="C159" s="168" t="s">
        <v>71</v>
      </c>
      <c r="D159" s="169" t="s">
        <v>1737</v>
      </c>
      <c r="E159" s="173"/>
    </row>
    <row r="160" spans="1:5">
      <c r="A160" s="1" t="s">
        <v>1</v>
      </c>
      <c r="B160" s="43">
        <v>794117</v>
      </c>
      <c r="C160" s="168" t="s">
        <v>71</v>
      </c>
      <c r="D160" s="169" t="s">
        <v>1738</v>
      </c>
      <c r="E160" s="173"/>
    </row>
    <row r="161" spans="1:5">
      <c r="A161" s="1" t="s">
        <v>2</v>
      </c>
      <c r="B161" s="165" t="s">
        <v>68</v>
      </c>
      <c r="C161" s="166" t="s">
        <v>62</v>
      </c>
      <c r="D161" s="176" t="s">
        <v>69</v>
      </c>
      <c r="E161" s="166" t="s">
        <v>70</v>
      </c>
    </row>
    <row r="162" spans="1:5">
      <c r="A162" s="1" t="s">
        <v>2</v>
      </c>
      <c r="B162" s="43">
        <v>693111</v>
      </c>
      <c r="C162" s="168" t="s">
        <v>90</v>
      </c>
      <c r="D162" s="169" t="s">
        <v>1739</v>
      </c>
      <c r="E162" s="172" t="s">
        <v>1740</v>
      </c>
    </row>
    <row r="163" spans="1:5">
      <c r="A163" s="1" t="s">
        <v>2</v>
      </c>
      <c r="B163" s="43">
        <v>580628</v>
      </c>
      <c r="C163" s="168" t="s">
        <v>83</v>
      </c>
      <c r="D163" s="169" t="s">
        <v>1683</v>
      </c>
      <c r="E163" s="170" t="s">
        <v>1741</v>
      </c>
    </row>
    <row r="164" spans="1:5">
      <c r="A164" s="1" t="s">
        <v>2</v>
      </c>
      <c r="B164" s="43">
        <v>479849</v>
      </c>
      <c r="C164" s="168" t="s">
        <v>1593</v>
      </c>
      <c r="D164" s="169" t="s">
        <v>1742</v>
      </c>
      <c r="E164" s="170" t="s">
        <v>1743</v>
      </c>
    </row>
    <row r="165" spans="1:5">
      <c r="A165" s="1" t="s">
        <v>2</v>
      </c>
      <c r="B165" s="43">
        <v>797722</v>
      </c>
      <c r="C165" s="168" t="s">
        <v>71</v>
      </c>
      <c r="D165" s="169" t="s">
        <v>1744</v>
      </c>
      <c r="E165" s="170" t="s">
        <v>1745</v>
      </c>
    </row>
    <row r="166" spans="1:5">
      <c r="A166" s="1" t="s">
        <v>2</v>
      </c>
      <c r="B166" s="43">
        <v>574670</v>
      </c>
      <c r="C166" s="168" t="s">
        <v>90</v>
      </c>
      <c r="D166" s="169" t="s">
        <v>1746</v>
      </c>
      <c r="E166" s="170" t="s">
        <v>1747</v>
      </c>
    </row>
    <row r="167" spans="1:5">
      <c r="A167" s="1" t="s">
        <v>2</v>
      </c>
      <c r="B167" s="43">
        <v>2424658</v>
      </c>
      <c r="C167" s="168" t="s">
        <v>83</v>
      </c>
      <c r="D167" s="169" t="s">
        <v>1748</v>
      </c>
      <c r="E167" s="170" t="s">
        <v>1749</v>
      </c>
    </row>
    <row r="168" spans="1:5">
      <c r="A168" s="1" t="s">
        <v>2</v>
      </c>
      <c r="B168" s="43">
        <v>661748</v>
      </c>
      <c r="C168" s="168" t="s">
        <v>773</v>
      </c>
      <c r="D168" s="169" t="s">
        <v>1750</v>
      </c>
      <c r="E168" s="173"/>
    </row>
    <row r="169" spans="1:5">
      <c r="A169" s="1" t="s">
        <v>2</v>
      </c>
      <c r="B169" s="43">
        <v>2819025</v>
      </c>
      <c r="C169" s="168" t="s">
        <v>773</v>
      </c>
      <c r="D169" s="169" t="s">
        <v>1589</v>
      </c>
      <c r="E169" s="173"/>
    </row>
    <row r="170" spans="1:5">
      <c r="A170" s="1" t="s">
        <v>2</v>
      </c>
      <c r="B170" s="43">
        <v>585227</v>
      </c>
      <c r="C170" s="168" t="s">
        <v>71</v>
      </c>
      <c r="D170" s="169" t="s">
        <v>1751</v>
      </c>
      <c r="E170" s="173"/>
    </row>
    <row r="171" spans="1:5">
      <c r="A171" s="1" t="s">
        <v>2</v>
      </c>
      <c r="B171" s="43">
        <v>565364</v>
      </c>
      <c r="C171" s="168" t="s">
        <v>71</v>
      </c>
      <c r="D171" s="169" t="s">
        <v>1752</v>
      </c>
      <c r="E171" s="173"/>
    </row>
    <row r="172" spans="1:5">
      <c r="A172" s="1" t="s">
        <v>2</v>
      </c>
      <c r="B172" s="43">
        <v>427474</v>
      </c>
      <c r="C172" s="168" t="s">
        <v>83</v>
      </c>
      <c r="D172" s="169" t="s">
        <v>1753</v>
      </c>
      <c r="E172" s="173"/>
    </row>
    <row r="173" spans="1:5">
      <c r="A173" s="1" t="s">
        <v>2</v>
      </c>
      <c r="B173" s="43">
        <v>456353</v>
      </c>
      <c r="C173" s="168" t="s">
        <v>83</v>
      </c>
      <c r="D173" s="169" t="s">
        <v>1754</v>
      </c>
      <c r="E173" s="173"/>
    </row>
    <row r="174" spans="1:5">
      <c r="A174" s="1" t="s">
        <v>2</v>
      </c>
      <c r="B174" s="43">
        <v>2823297</v>
      </c>
      <c r="C174" s="168" t="s">
        <v>83</v>
      </c>
      <c r="D174" s="169" t="s">
        <v>1755</v>
      </c>
      <c r="E174" s="173"/>
    </row>
    <row r="175" spans="1:5">
      <c r="A175" s="1" t="s">
        <v>2</v>
      </c>
      <c r="B175" s="43">
        <v>2825337</v>
      </c>
      <c r="C175" s="168" t="s">
        <v>83</v>
      </c>
      <c r="D175" s="169" t="s">
        <v>1756</v>
      </c>
      <c r="E175" s="173"/>
    </row>
    <row r="176" spans="1:5">
      <c r="A176" s="1" t="s">
        <v>2</v>
      </c>
      <c r="B176" s="43">
        <v>2822314</v>
      </c>
      <c r="C176" s="168" t="s">
        <v>83</v>
      </c>
      <c r="D176" s="169" t="s">
        <v>1757</v>
      </c>
      <c r="E176" s="173"/>
    </row>
    <row r="177" spans="1:5">
      <c r="A177" s="1" t="s">
        <v>2</v>
      </c>
      <c r="B177" s="43">
        <v>2367358</v>
      </c>
      <c r="C177" s="168" t="s">
        <v>83</v>
      </c>
      <c r="D177" s="169" t="s">
        <v>1758</v>
      </c>
      <c r="E177" s="173"/>
    </row>
    <row r="178" spans="1:5">
      <c r="A178" s="1" t="s">
        <v>2</v>
      </c>
      <c r="B178" s="43">
        <v>2424735</v>
      </c>
      <c r="C178" s="168" t="s">
        <v>83</v>
      </c>
      <c r="D178" s="169" t="s">
        <v>1759</v>
      </c>
      <c r="E178" s="173"/>
    </row>
    <row r="179" spans="1:5">
      <c r="A179" s="1" t="s">
        <v>2</v>
      </c>
      <c r="B179" s="43">
        <v>3009443</v>
      </c>
      <c r="C179" s="168" t="s">
        <v>773</v>
      </c>
      <c r="D179" s="169" t="s">
        <v>1760</v>
      </c>
      <c r="E179" s="173"/>
    </row>
    <row r="180" spans="1:5">
      <c r="A180" s="1" t="s">
        <v>2</v>
      </c>
      <c r="B180" s="43">
        <v>5034159</v>
      </c>
      <c r="C180" s="168" t="s">
        <v>773</v>
      </c>
      <c r="D180" s="169" t="s">
        <v>1761</v>
      </c>
      <c r="E180" s="173"/>
    </row>
    <row r="181" spans="1:5">
      <c r="A181" s="1" t="s">
        <v>2</v>
      </c>
      <c r="B181" s="43">
        <v>2825332</v>
      </c>
      <c r="C181" s="168" t="s">
        <v>773</v>
      </c>
      <c r="D181" s="169" t="s">
        <v>1762</v>
      </c>
      <c r="E181" s="173"/>
    </row>
    <row r="182" spans="1:5">
      <c r="A182" s="1" t="s">
        <v>2</v>
      </c>
      <c r="B182" s="43">
        <v>802842</v>
      </c>
      <c r="C182" s="168" t="s">
        <v>773</v>
      </c>
      <c r="D182" s="169" t="s">
        <v>1763</v>
      </c>
      <c r="E182" s="173"/>
    </row>
    <row r="183" spans="1:5">
      <c r="A183" s="1" t="s">
        <v>2</v>
      </c>
      <c r="B183" s="43">
        <v>661750</v>
      </c>
      <c r="C183" s="168" t="s">
        <v>773</v>
      </c>
      <c r="D183" s="169" t="s">
        <v>1764</v>
      </c>
      <c r="E183" s="173"/>
    </row>
    <row r="184" spans="1:5">
      <c r="A184" s="1" t="s">
        <v>2</v>
      </c>
      <c r="B184" s="43">
        <v>746304</v>
      </c>
      <c r="C184" s="168" t="s">
        <v>773</v>
      </c>
      <c r="D184" s="169" t="s">
        <v>1765</v>
      </c>
      <c r="E184" s="173"/>
    </row>
    <row r="185" spans="1:5">
      <c r="A185" s="1" t="s">
        <v>2</v>
      </c>
      <c r="B185" s="43">
        <v>5028615</v>
      </c>
      <c r="C185" s="168" t="s">
        <v>773</v>
      </c>
      <c r="D185" s="169" t="s">
        <v>1766</v>
      </c>
      <c r="E185" s="173"/>
    </row>
    <row r="186" spans="1:5">
      <c r="A186" s="1" t="s">
        <v>2</v>
      </c>
      <c r="B186" s="43">
        <v>688508</v>
      </c>
      <c r="C186" s="168" t="s">
        <v>773</v>
      </c>
      <c r="D186" s="169" t="s">
        <v>1767</v>
      </c>
      <c r="E186" s="173"/>
    </row>
    <row r="187" spans="1:5">
      <c r="A187" s="1" t="s">
        <v>2</v>
      </c>
      <c r="B187" s="43">
        <v>784280</v>
      </c>
      <c r="C187" s="168" t="s">
        <v>1593</v>
      </c>
      <c r="D187" s="169" t="s">
        <v>1768</v>
      </c>
      <c r="E187" s="173"/>
    </row>
    <row r="188" spans="1:5">
      <c r="A188" s="1" t="s">
        <v>2</v>
      </c>
      <c r="B188" s="43">
        <v>2877028</v>
      </c>
      <c r="C188" s="168" t="s">
        <v>1593</v>
      </c>
      <c r="D188" s="169" t="s">
        <v>1769</v>
      </c>
      <c r="E188" s="173"/>
    </row>
    <row r="189" spans="1:5">
      <c r="A189" s="1" t="s">
        <v>2</v>
      </c>
      <c r="B189" s="43">
        <v>167028</v>
      </c>
      <c r="C189" s="168" t="s">
        <v>71</v>
      </c>
      <c r="D189" s="169" t="s">
        <v>1770</v>
      </c>
      <c r="E189" s="173"/>
    </row>
    <row r="190" spans="1:5">
      <c r="A190" s="1" t="s">
        <v>2</v>
      </c>
      <c r="B190" s="43">
        <v>737756</v>
      </c>
      <c r="C190" s="168" t="s">
        <v>71</v>
      </c>
      <c r="D190" s="169" t="s">
        <v>1771</v>
      </c>
      <c r="E190" s="173"/>
    </row>
    <row r="191" spans="1:5">
      <c r="A191" s="1" t="s">
        <v>2</v>
      </c>
      <c r="B191" s="43">
        <v>656781</v>
      </c>
      <c r="C191" s="168" t="s">
        <v>71</v>
      </c>
      <c r="D191" s="169" t="s">
        <v>1772</v>
      </c>
      <c r="E191" s="173"/>
    </row>
    <row r="192" spans="1:5">
      <c r="A192" s="1" t="s">
        <v>2</v>
      </c>
      <c r="B192" s="43">
        <v>175129</v>
      </c>
      <c r="C192" s="168" t="s">
        <v>71</v>
      </c>
      <c r="D192" s="169" t="s">
        <v>1773</v>
      </c>
      <c r="E192" s="173"/>
    </row>
    <row r="193" spans="1:5">
      <c r="A193" s="1" t="s">
        <v>2</v>
      </c>
      <c r="B193" s="43">
        <v>659267</v>
      </c>
      <c r="C193" s="168" t="s">
        <v>71</v>
      </c>
      <c r="D193" s="169" t="s">
        <v>1774</v>
      </c>
      <c r="E193" s="173"/>
    </row>
    <row r="194" spans="1:5">
      <c r="A194" s="1" t="s">
        <v>2</v>
      </c>
      <c r="B194" s="43">
        <v>656779</v>
      </c>
      <c r="C194" s="168" t="s">
        <v>71</v>
      </c>
      <c r="D194" s="169" t="s">
        <v>1775</v>
      </c>
      <c r="E194" s="173"/>
    </row>
    <row r="195" spans="1:5">
      <c r="A195" s="1" t="s">
        <v>2</v>
      </c>
      <c r="B195" s="43">
        <v>681075</v>
      </c>
      <c r="C195" s="168" t="s">
        <v>71</v>
      </c>
      <c r="D195" s="169" t="s">
        <v>1776</v>
      </c>
      <c r="E195" s="173"/>
    </row>
    <row r="196" spans="1:5">
      <c r="A196" s="1" t="s">
        <v>2</v>
      </c>
      <c r="B196" s="43">
        <v>656780</v>
      </c>
      <c r="C196" s="168" t="s">
        <v>71</v>
      </c>
      <c r="D196" s="169" t="s">
        <v>1777</v>
      </c>
      <c r="E196" s="173"/>
    </row>
    <row r="197" spans="1:5">
      <c r="A197" s="1" t="s">
        <v>2</v>
      </c>
      <c r="B197" s="43">
        <v>2228264</v>
      </c>
      <c r="C197" s="168" t="s">
        <v>71</v>
      </c>
      <c r="D197" s="169" t="s">
        <v>1778</v>
      </c>
      <c r="E197" s="173"/>
    </row>
    <row r="198" spans="1:5">
      <c r="A198" s="1" t="s">
        <v>2</v>
      </c>
      <c r="B198" s="43">
        <v>2822159</v>
      </c>
      <c r="C198" s="168" t="s">
        <v>71</v>
      </c>
      <c r="D198" s="169" t="s">
        <v>1779</v>
      </c>
      <c r="E198" s="173"/>
    </row>
    <row r="199" spans="1:5">
      <c r="A199" s="1" t="s">
        <v>2</v>
      </c>
      <c r="B199" s="43">
        <v>2820016</v>
      </c>
      <c r="C199" s="168" t="s">
        <v>71</v>
      </c>
      <c r="D199" s="169" t="s">
        <v>1780</v>
      </c>
      <c r="E199" s="173"/>
    </row>
    <row r="200" spans="1:5">
      <c r="A200" s="1" t="s">
        <v>2</v>
      </c>
      <c r="B200" s="43">
        <v>126132</v>
      </c>
      <c r="C200" s="168" t="s">
        <v>71</v>
      </c>
      <c r="D200" s="169" t="s">
        <v>1781</v>
      </c>
      <c r="E200" s="173"/>
    </row>
    <row r="201" spans="1:5">
      <c r="A201" s="1" t="s">
        <v>2</v>
      </c>
      <c r="B201" s="43">
        <v>2802466</v>
      </c>
      <c r="C201" s="168" t="s">
        <v>71</v>
      </c>
      <c r="D201" s="169" t="s">
        <v>1782</v>
      </c>
      <c r="E201" s="173"/>
    </row>
    <row r="202" spans="1:5">
      <c r="A202" s="1" t="s">
        <v>2</v>
      </c>
      <c r="B202" s="43">
        <v>2829006</v>
      </c>
      <c r="C202" s="168" t="s">
        <v>71</v>
      </c>
      <c r="D202" s="169" t="s">
        <v>1783</v>
      </c>
      <c r="E202" s="173"/>
    </row>
    <row r="203" spans="1:5">
      <c r="A203" s="1" t="s">
        <v>2</v>
      </c>
      <c r="B203" s="43">
        <v>2892005</v>
      </c>
      <c r="C203" s="168" t="s">
        <v>71</v>
      </c>
      <c r="D203" s="169" t="s">
        <v>1784</v>
      </c>
      <c r="E203" s="173"/>
    </row>
    <row r="204" spans="1:5">
      <c r="A204" s="1" t="s">
        <v>2</v>
      </c>
      <c r="B204" s="43">
        <v>2878235</v>
      </c>
      <c r="C204" s="168" t="s">
        <v>90</v>
      </c>
      <c r="D204" s="169" t="s">
        <v>1785</v>
      </c>
      <c r="E204" s="173"/>
    </row>
    <row r="205" spans="1:5">
      <c r="A205" s="1" t="s">
        <v>2</v>
      </c>
      <c r="B205" s="43">
        <v>2974167</v>
      </c>
      <c r="C205" s="168" t="s">
        <v>83</v>
      </c>
      <c r="D205" s="169" t="s">
        <v>1786</v>
      </c>
      <c r="E205" s="173"/>
    </row>
    <row r="206" spans="1:5">
      <c r="A206" s="1" t="s">
        <v>2</v>
      </c>
      <c r="B206" s="43">
        <v>2243047</v>
      </c>
      <c r="C206" s="168" t="s">
        <v>83</v>
      </c>
      <c r="D206" s="169" t="s">
        <v>1787</v>
      </c>
      <c r="E206" s="173"/>
    </row>
    <row r="207" spans="1:5">
      <c r="A207" s="1" t="s">
        <v>2</v>
      </c>
      <c r="B207" s="43">
        <v>2813307</v>
      </c>
      <c r="C207" s="168" t="s">
        <v>83</v>
      </c>
      <c r="D207" s="169" t="s">
        <v>1788</v>
      </c>
      <c r="E207" s="173"/>
    </row>
    <row r="208" spans="1:5">
      <c r="A208" s="1" t="s">
        <v>2</v>
      </c>
      <c r="B208" s="43">
        <v>2825376</v>
      </c>
      <c r="C208" s="168" t="s">
        <v>83</v>
      </c>
      <c r="D208" s="169" t="s">
        <v>1789</v>
      </c>
      <c r="E208" s="173"/>
    </row>
    <row r="209" spans="1:5">
      <c r="A209" s="1" t="s">
        <v>2</v>
      </c>
      <c r="B209" s="43">
        <v>2823255</v>
      </c>
      <c r="C209" s="168" t="s">
        <v>83</v>
      </c>
      <c r="D209" s="169" t="s">
        <v>1790</v>
      </c>
      <c r="E209" s="173"/>
    </row>
    <row r="210" spans="1:5">
      <c r="A210" s="1" t="s">
        <v>2</v>
      </c>
      <c r="B210" s="43">
        <v>2823195</v>
      </c>
      <c r="C210" s="168" t="s">
        <v>83</v>
      </c>
      <c r="D210" s="169" t="s">
        <v>1791</v>
      </c>
      <c r="E210" s="173"/>
    </row>
    <row r="211" spans="1:5">
      <c r="A211" s="1" t="s">
        <v>2</v>
      </c>
      <c r="B211" s="43">
        <v>2825494</v>
      </c>
      <c r="C211" s="168" t="s">
        <v>83</v>
      </c>
      <c r="D211" s="169" t="s">
        <v>1792</v>
      </c>
      <c r="E211" s="173"/>
    </row>
    <row r="212" spans="1:5">
      <c r="A212" s="1" t="s">
        <v>2</v>
      </c>
      <c r="B212" s="43">
        <v>2846053</v>
      </c>
      <c r="C212" s="168" t="s">
        <v>83</v>
      </c>
      <c r="D212" s="169" t="s">
        <v>1793</v>
      </c>
      <c r="E212" s="173"/>
    </row>
    <row r="213" spans="1:5">
      <c r="A213" s="1" t="s">
        <v>2</v>
      </c>
      <c r="B213" s="43">
        <v>2834039</v>
      </c>
      <c r="C213" s="168" t="s">
        <v>83</v>
      </c>
      <c r="D213" s="169" t="s">
        <v>1794</v>
      </c>
      <c r="E213" s="173"/>
    </row>
    <row r="214" spans="1:5">
      <c r="A214" s="1" t="s">
        <v>2</v>
      </c>
      <c r="B214" s="43">
        <v>2884171</v>
      </c>
      <c r="C214" s="168" t="s">
        <v>83</v>
      </c>
      <c r="D214" s="169" t="s">
        <v>1795</v>
      </c>
      <c r="E214" s="173"/>
    </row>
    <row r="215" spans="1:5">
      <c r="A215" s="1" t="s">
        <v>2</v>
      </c>
      <c r="B215" s="43">
        <v>2884172</v>
      </c>
      <c r="C215" s="168" t="s">
        <v>83</v>
      </c>
      <c r="D215" s="169" t="s">
        <v>1796</v>
      </c>
      <c r="E215" s="173"/>
    </row>
    <row r="216" spans="1:5">
      <c r="A216" s="1" t="s">
        <v>2</v>
      </c>
      <c r="B216" s="43">
        <v>2888118</v>
      </c>
      <c r="C216" s="168" t="s">
        <v>83</v>
      </c>
      <c r="D216" s="169" t="s">
        <v>1797</v>
      </c>
      <c r="E216" s="173"/>
    </row>
    <row r="217" spans="1:5">
      <c r="A217" s="1" t="s">
        <v>2</v>
      </c>
      <c r="B217" s="43">
        <v>2426609</v>
      </c>
      <c r="C217" s="168" t="s">
        <v>83</v>
      </c>
      <c r="D217" s="169" t="s">
        <v>1798</v>
      </c>
      <c r="E217" s="173"/>
    </row>
    <row r="218" spans="1:5">
      <c r="A218" s="1" t="s">
        <v>2</v>
      </c>
      <c r="B218" s="43">
        <v>647657</v>
      </c>
      <c r="C218" s="168" t="s">
        <v>1593</v>
      </c>
      <c r="D218" s="169" t="s">
        <v>1799</v>
      </c>
      <c r="E218" s="173"/>
    </row>
    <row r="219" spans="1:5">
      <c r="A219" s="1" t="s">
        <v>2</v>
      </c>
      <c r="B219" s="43">
        <v>758616</v>
      </c>
      <c r="C219" s="168" t="s">
        <v>1593</v>
      </c>
      <c r="D219" s="169" t="s">
        <v>1800</v>
      </c>
      <c r="E219" s="173"/>
    </row>
    <row r="220" spans="1:5">
      <c r="A220" s="1" t="s">
        <v>2</v>
      </c>
      <c r="B220" s="43">
        <v>2244039</v>
      </c>
      <c r="C220" s="168" t="s">
        <v>1593</v>
      </c>
      <c r="D220" s="169" t="s">
        <v>1801</v>
      </c>
      <c r="E220" s="173"/>
    </row>
    <row r="221" spans="1:5">
      <c r="A221" s="1" t="s">
        <v>2</v>
      </c>
      <c r="B221" s="43">
        <v>2837262</v>
      </c>
      <c r="C221" s="168" t="s">
        <v>1593</v>
      </c>
      <c r="D221" s="169" t="s">
        <v>1802</v>
      </c>
      <c r="E221" s="173"/>
    </row>
    <row r="222" spans="1:5">
      <c r="A222" s="1" t="s">
        <v>2</v>
      </c>
      <c r="B222" s="43">
        <v>2835113</v>
      </c>
      <c r="C222" s="168" t="s">
        <v>1593</v>
      </c>
      <c r="D222" s="169" t="s">
        <v>1803</v>
      </c>
      <c r="E222" s="173"/>
    </row>
    <row r="223" spans="1:5">
      <c r="A223" s="1" t="s">
        <v>2</v>
      </c>
      <c r="B223" s="43">
        <v>2884194</v>
      </c>
      <c r="C223" s="168" t="s">
        <v>1593</v>
      </c>
      <c r="D223" s="169" t="s">
        <v>1804</v>
      </c>
      <c r="E223" s="173"/>
    </row>
    <row r="224" spans="1:5">
      <c r="A224" s="1" t="s">
        <v>2</v>
      </c>
      <c r="B224" s="43">
        <v>2884198</v>
      </c>
      <c r="C224" s="168" t="s">
        <v>1593</v>
      </c>
      <c r="D224" s="169" t="s">
        <v>1805</v>
      </c>
      <c r="E224" s="173"/>
    </row>
    <row r="225" spans="1:5">
      <c r="A225" s="1" t="s">
        <v>2</v>
      </c>
      <c r="B225" s="43">
        <v>718627</v>
      </c>
      <c r="C225" s="168" t="s">
        <v>71</v>
      </c>
      <c r="D225" s="175" t="s">
        <v>1806</v>
      </c>
      <c r="E225" s="173"/>
    </row>
    <row r="226" spans="1:5">
      <c r="A226" s="1" t="s">
        <v>2</v>
      </c>
      <c r="B226" s="43">
        <v>2825124</v>
      </c>
      <c r="C226" s="168" t="s">
        <v>71</v>
      </c>
      <c r="D226" s="169" t="s">
        <v>1807</v>
      </c>
      <c r="E226" s="173"/>
    </row>
    <row r="227" spans="1:5">
      <c r="A227" s="1" t="s">
        <v>2</v>
      </c>
      <c r="B227" s="43">
        <v>2972406</v>
      </c>
      <c r="C227" s="168" t="s">
        <v>71</v>
      </c>
      <c r="D227" s="169" t="s">
        <v>1808</v>
      </c>
      <c r="E227" s="173"/>
    </row>
    <row r="228" spans="1:5">
      <c r="A228" s="1" t="s">
        <v>2</v>
      </c>
      <c r="B228" s="43">
        <v>2974330</v>
      </c>
      <c r="C228" s="168" t="s">
        <v>71</v>
      </c>
      <c r="D228" s="169" t="s">
        <v>1809</v>
      </c>
      <c r="E228" s="173"/>
    </row>
    <row r="229" spans="1:5">
      <c r="A229" s="1" t="s">
        <v>2</v>
      </c>
      <c r="B229" s="43">
        <v>2975167</v>
      </c>
      <c r="C229" s="168" t="s">
        <v>71</v>
      </c>
      <c r="D229" s="169" t="s">
        <v>1810</v>
      </c>
      <c r="E229" s="173"/>
    </row>
    <row r="230" spans="1:5">
      <c r="A230" s="1" t="s">
        <v>2</v>
      </c>
      <c r="B230" s="43">
        <v>2874261</v>
      </c>
      <c r="C230" s="168" t="s">
        <v>71</v>
      </c>
      <c r="D230" s="169" t="s">
        <v>1811</v>
      </c>
      <c r="E230" s="173"/>
    </row>
    <row r="231" spans="1:5">
      <c r="A231" s="1" t="s">
        <v>2</v>
      </c>
      <c r="B231" s="43">
        <v>2828008</v>
      </c>
      <c r="C231" s="168" t="s">
        <v>71</v>
      </c>
      <c r="D231" s="169" t="s">
        <v>1812</v>
      </c>
      <c r="E231" s="173"/>
    </row>
    <row r="232" spans="1:5">
      <c r="A232" s="1" t="s">
        <v>2</v>
      </c>
      <c r="B232" s="43">
        <v>2825695</v>
      </c>
      <c r="C232" s="168" t="s">
        <v>71</v>
      </c>
      <c r="D232" s="169" t="s">
        <v>1813</v>
      </c>
      <c r="E232" s="173"/>
    </row>
    <row r="233" spans="1:5">
      <c r="A233" s="1" t="s">
        <v>2</v>
      </c>
      <c r="B233" s="43">
        <v>2876319</v>
      </c>
      <c r="C233" s="168" t="s">
        <v>71</v>
      </c>
      <c r="D233" s="169" t="s">
        <v>1814</v>
      </c>
      <c r="E233" s="173"/>
    </row>
    <row r="234" spans="1:5">
      <c r="A234" s="1" t="s">
        <v>3</v>
      </c>
      <c r="B234" s="165" t="s">
        <v>68</v>
      </c>
      <c r="C234" s="166" t="s">
        <v>62</v>
      </c>
      <c r="D234" s="176" t="s">
        <v>69</v>
      </c>
      <c r="E234" s="166" t="s">
        <v>70</v>
      </c>
    </row>
    <row r="235" spans="1:5">
      <c r="A235" s="1" t="s">
        <v>3</v>
      </c>
      <c r="B235" s="43">
        <v>645013</v>
      </c>
      <c r="C235" s="168" t="s">
        <v>71</v>
      </c>
      <c r="D235" s="169" t="s">
        <v>1815</v>
      </c>
      <c r="E235" s="170" t="s">
        <v>1816</v>
      </c>
    </row>
    <row r="236" spans="1:5">
      <c r="A236" s="1" t="s">
        <v>3</v>
      </c>
      <c r="B236" s="43">
        <v>2825259</v>
      </c>
      <c r="C236" s="168" t="s">
        <v>71</v>
      </c>
      <c r="D236" s="169" t="s">
        <v>1817</v>
      </c>
      <c r="E236" s="170" t="s">
        <v>1818</v>
      </c>
    </row>
    <row r="237" spans="1:5">
      <c r="A237" s="1" t="s">
        <v>3</v>
      </c>
      <c r="B237" s="43">
        <v>479849</v>
      </c>
      <c r="C237" s="168" t="s">
        <v>1593</v>
      </c>
      <c r="D237" s="169" t="s">
        <v>1742</v>
      </c>
      <c r="E237" s="170" t="s">
        <v>1819</v>
      </c>
    </row>
    <row r="238" spans="1:5">
      <c r="A238" s="1" t="s">
        <v>3</v>
      </c>
      <c r="B238" s="43">
        <v>700792</v>
      </c>
      <c r="C238" s="168" t="s">
        <v>71</v>
      </c>
      <c r="D238" s="169" t="s">
        <v>1820</v>
      </c>
      <c r="E238" s="170" t="s">
        <v>1743</v>
      </c>
    </row>
    <row r="239" spans="1:5">
      <c r="A239" s="1" t="s">
        <v>3</v>
      </c>
      <c r="B239" s="43">
        <v>5028617</v>
      </c>
      <c r="C239" s="168" t="s">
        <v>71</v>
      </c>
      <c r="D239" s="169" t="s">
        <v>1821</v>
      </c>
      <c r="E239" s="170" t="s">
        <v>1749</v>
      </c>
    </row>
    <row r="240" spans="1:5">
      <c r="A240" s="1" t="s">
        <v>3</v>
      </c>
      <c r="B240" s="43">
        <v>2242035</v>
      </c>
      <c r="C240" s="168" t="s">
        <v>1593</v>
      </c>
      <c r="D240" s="169" t="s">
        <v>1822</v>
      </c>
      <c r="E240" s="170" t="s">
        <v>3</v>
      </c>
    </row>
    <row r="241" spans="1:5">
      <c r="A241" s="1" t="s">
        <v>3</v>
      </c>
      <c r="B241" s="43">
        <v>2315934</v>
      </c>
      <c r="C241" s="168" t="s">
        <v>773</v>
      </c>
      <c r="D241" s="169" t="s">
        <v>1823</v>
      </c>
      <c r="E241" s="173"/>
    </row>
    <row r="242" spans="1:5">
      <c r="A242" s="1" t="s">
        <v>3</v>
      </c>
      <c r="B242" s="43">
        <v>784280</v>
      </c>
      <c r="C242" s="168" t="s">
        <v>1593</v>
      </c>
      <c r="D242" s="169" t="s">
        <v>1768</v>
      </c>
      <c r="E242" s="173"/>
    </row>
    <row r="243" spans="1:5">
      <c r="A243" s="1" t="s">
        <v>3</v>
      </c>
      <c r="B243" s="43">
        <v>2241057</v>
      </c>
      <c r="C243" s="168" t="s">
        <v>1593</v>
      </c>
      <c r="D243" s="169" t="s">
        <v>1824</v>
      </c>
      <c r="E243" s="173"/>
    </row>
    <row r="244" spans="1:5">
      <c r="A244" s="1" t="s">
        <v>3</v>
      </c>
      <c r="B244" s="43">
        <v>2243045</v>
      </c>
      <c r="C244" s="168" t="s">
        <v>1593</v>
      </c>
      <c r="D244" s="169" t="s">
        <v>1825</v>
      </c>
      <c r="E244" s="173"/>
    </row>
    <row r="245" spans="1:5">
      <c r="A245" s="1" t="s">
        <v>3</v>
      </c>
      <c r="B245" s="43">
        <v>2807856</v>
      </c>
      <c r="C245" s="168" t="s">
        <v>1593</v>
      </c>
      <c r="D245" s="169" t="s">
        <v>1696</v>
      </c>
      <c r="E245" s="173"/>
    </row>
    <row r="246" spans="1:5">
      <c r="A246" s="1" t="s">
        <v>3</v>
      </c>
      <c r="B246" s="43">
        <v>784278</v>
      </c>
      <c r="C246" s="168" t="s">
        <v>1593</v>
      </c>
      <c r="D246" s="169" t="s">
        <v>1826</v>
      </c>
      <c r="E246" s="173"/>
    </row>
    <row r="247" spans="1:5">
      <c r="A247" s="1" t="s">
        <v>3</v>
      </c>
      <c r="B247" s="43">
        <v>656781</v>
      </c>
      <c r="C247" s="168" t="s">
        <v>71</v>
      </c>
      <c r="D247" s="169" t="s">
        <v>1772</v>
      </c>
      <c r="E247" s="173"/>
    </row>
    <row r="248" spans="1:5">
      <c r="A248" s="1" t="s">
        <v>3</v>
      </c>
      <c r="B248" s="43">
        <v>126132</v>
      </c>
      <c r="C248" s="168" t="s">
        <v>71</v>
      </c>
      <c r="D248" s="169" t="s">
        <v>1781</v>
      </c>
      <c r="E248" s="173"/>
    </row>
    <row r="249" spans="1:5">
      <c r="A249" s="1" t="s">
        <v>3</v>
      </c>
      <c r="B249" s="43">
        <v>647652</v>
      </c>
      <c r="C249" s="168" t="s">
        <v>71</v>
      </c>
      <c r="D249" s="169" t="s">
        <v>1827</v>
      </c>
      <c r="E249" s="173"/>
    </row>
    <row r="250" spans="1:5">
      <c r="A250" s="1" t="s">
        <v>3</v>
      </c>
      <c r="B250" s="43">
        <v>711794</v>
      </c>
      <c r="C250" s="168" t="s">
        <v>71</v>
      </c>
      <c r="D250" s="169" t="s">
        <v>1828</v>
      </c>
      <c r="E250" s="173"/>
    </row>
    <row r="251" spans="1:5">
      <c r="A251" s="1" t="s">
        <v>3</v>
      </c>
      <c r="B251" s="43">
        <v>784283</v>
      </c>
      <c r="C251" s="168" t="s">
        <v>71</v>
      </c>
      <c r="D251" s="169" t="s">
        <v>1829</v>
      </c>
      <c r="E251" s="173"/>
    </row>
    <row r="252" spans="1:5">
      <c r="A252" s="1" t="s">
        <v>3</v>
      </c>
      <c r="B252" s="43">
        <v>2802466</v>
      </c>
      <c r="C252" s="168" t="s">
        <v>71</v>
      </c>
      <c r="D252" s="169" t="s">
        <v>1782</v>
      </c>
      <c r="E252" s="173"/>
    </row>
    <row r="253" spans="1:5">
      <c r="A253" s="1" t="s">
        <v>3</v>
      </c>
      <c r="B253" s="43">
        <v>2883003</v>
      </c>
      <c r="C253" s="168" t="s">
        <v>71</v>
      </c>
      <c r="D253" s="169" t="s">
        <v>1830</v>
      </c>
      <c r="E253" s="173"/>
    </row>
    <row r="254" spans="1:5">
      <c r="A254" s="1" t="s">
        <v>3</v>
      </c>
      <c r="B254" s="43">
        <v>2878235</v>
      </c>
      <c r="C254" s="168" t="s">
        <v>90</v>
      </c>
      <c r="D254" s="169" t="s">
        <v>1785</v>
      </c>
      <c r="E254" s="173"/>
    </row>
    <row r="255" spans="1:5">
      <c r="A255" s="1" t="s">
        <v>3</v>
      </c>
      <c r="B255" s="43">
        <v>2848322</v>
      </c>
      <c r="C255" s="168" t="s">
        <v>1593</v>
      </c>
      <c r="D255" s="169" t="s">
        <v>1831</v>
      </c>
      <c r="E255" s="173"/>
    </row>
    <row r="256" spans="1:5">
      <c r="A256" s="1" t="s">
        <v>3</v>
      </c>
      <c r="B256" s="43">
        <v>2886117</v>
      </c>
      <c r="C256" s="168" t="s">
        <v>1593</v>
      </c>
      <c r="D256" s="169" t="s">
        <v>1832</v>
      </c>
      <c r="E256" s="173"/>
    </row>
    <row r="257" spans="1:5">
      <c r="A257" s="1" t="s">
        <v>3</v>
      </c>
      <c r="B257" s="43">
        <v>2890004</v>
      </c>
      <c r="C257" s="168" t="s">
        <v>1593</v>
      </c>
      <c r="D257" s="169" t="s">
        <v>1597</v>
      </c>
      <c r="E257" s="173"/>
    </row>
    <row r="258" spans="1:5">
      <c r="A258" s="1" t="s">
        <v>3</v>
      </c>
      <c r="B258" s="43">
        <v>2423851</v>
      </c>
      <c r="C258" s="168" t="s">
        <v>71</v>
      </c>
      <c r="D258" s="169" t="s">
        <v>1833</v>
      </c>
      <c r="E258" s="173"/>
    </row>
    <row r="259" spans="1:5">
      <c r="A259" s="1" t="s">
        <v>3</v>
      </c>
      <c r="B259" s="43">
        <v>5040389</v>
      </c>
      <c r="C259" s="168" t="s">
        <v>90</v>
      </c>
      <c r="D259" s="169" t="s">
        <v>1834</v>
      </c>
      <c r="E259" s="173"/>
    </row>
    <row r="260" spans="1:5">
      <c r="A260" s="1" t="s">
        <v>3</v>
      </c>
      <c r="B260" s="43">
        <v>2877032</v>
      </c>
      <c r="C260" s="168" t="s">
        <v>83</v>
      </c>
      <c r="D260" s="169" t="s">
        <v>1835</v>
      </c>
      <c r="E260" s="173"/>
    </row>
    <row r="261" spans="1:5">
      <c r="A261" s="1" t="s">
        <v>3</v>
      </c>
      <c r="B261" s="43">
        <v>2870083</v>
      </c>
      <c r="C261" s="168" t="s">
        <v>83</v>
      </c>
      <c r="D261" s="169" t="s">
        <v>1836</v>
      </c>
      <c r="E261" s="173"/>
    </row>
    <row r="262" spans="1:5">
      <c r="A262" s="1" t="s">
        <v>3</v>
      </c>
      <c r="B262" s="43">
        <v>758614</v>
      </c>
      <c r="C262" s="168" t="s">
        <v>83</v>
      </c>
      <c r="D262" s="169" t="s">
        <v>1837</v>
      </c>
      <c r="E262" s="173"/>
    </row>
    <row r="263" spans="1:5">
      <c r="A263" s="1" t="s">
        <v>3</v>
      </c>
      <c r="B263" s="43">
        <v>534584</v>
      </c>
      <c r="C263" s="168" t="s">
        <v>83</v>
      </c>
      <c r="D263" s="169" t="s">
        <v>1838</v>
      </c>
      <c r="E263" s="173"/>
    </row>
    <row r="264" spans="1:5">
      <c r="A264" s="1" t="s">
        <v>3</v>
      </c>
      <c r="B264" s="43">
        <v>622054</v>
      </c>
      <c r="C264" s="168" t="s">
        <v>83</v>
      </c>
      <c r="D264" s="169" t="s">
        <v>1839</v>
      </c>
      <c r="E264" s="173"/>
    </row>
    <row r="265" spans="1:5">
      <c r="A265" s="1" t="s">
        <v>3</v>
      </c>
      <c r="B265" s="43">
        <v>570966</v>
      </c>
      <c r="C265" s="168" t="s">
        <v>83</v>
      </c>
      <c r="D265" s="169" t="s">
        <v>1840</v>
      </c>
      <c r="E265" s="173"/>
    </row>
    <row r="266" spans="1:5">
      <c r="A266" s="1" t="s">
        <v>3</v>
      </c>
      <c r="B266" s="43">
        <v>580627</v>
      </c>
      <c r="C266" s="168" t="s">
        <v>83</v>
      </c>
      <c r="D266" s="169" t="s">
        <v>1841</v>
      </c>
      <c r="E266" s="173"/>
    </row>
    <row r="267" spans="1:5">
      <c r="A267" s="1" t="s">
        <v>3</v>
      </c>
      <c r="B267" s="43">
        <v>624206</v>
      </c>
      <c r="C267" s="168" t="s">
        <v>83</v>
      </c>
      <c r="D267" s="169" t="s">
        <v>1842</v>
      </c>
      <c r="E267" s="173"/>
    </row>
    <row r="268" spans="1:5">
      <c r="A268" s="1" t="s">
        <v>3</v>
      </c>
      <c r="B268" s="43">
        <v>2808545</v>
      </c>
      <c r="C268" s="168" t="s">
        <v>83</v>
      </c>
      <c r="D268" s="169" t="s">
        <v>1843</v>
      </c>
      <c r="E268" s="173"/>
    </row>
    <row r="269" spans="1:5">
      <c r="A269" s="1" t="s">
        <v>3</v>
      </c>
      <c r="B269" s="43">
        <v>2813144</v>
      </c>
      <c r="C269" s="168" t="s">
        <v>83</v>
      </c>
      <c r="D269" s="169" t="s">
        <v>1844</v>
      </c>
      <c r="E269" s="173"/>
    </row>
    <row r="270" spans="1:5">
      <c r="A270" s="1" t="s">
        <v>3</v>
      </c>
      <c r="B270" s="43">
        <v>2822315</v>
      </c>
      <c r="C270" s="168" t="s">
        <v>83</v>
      </c>
      <c r="D270" s="169" t="s">
        <v>1845</v>
      </c>
      <c r="E270" s="173"/>
    </row>
    <row r="271" spans="1:5">
      <c r="A271" s="1" t="s">
        <v>3</v>
      </c>
      <c r="B271" s="43">
        <v>2825494</v>
      </c>
      <c r="C271" s="168" t="s">
        <v>83</v>
      </c>
      <c r="D271" s="169" t="s">
        <v>1792</v>
      </c>
      <c r="E271" s="173"/>
    </row>
    <row r="272" spans="1:5">
      <c r="A272" s="1" t="s">
        <v>3</v>
      </c>
      <c r="B272" s="43">
        <v>2823195</v>
      </c>
      <c r="C272" s="168" t="s">
        <v>83</v>
      </c>
      <c r="D272" s="169" t="s">
        <v>1791</v>
      </c>
      <c r="E272" s="173"/>
    </row>
    <row r="273" spans="1:5">
      <c r="A273" s="1" t="s">
        <v>3</v>
      </c>
      <c r="B273" s="43">
        <v>2848272</v>
      </c>
      <c r="C273" s="168" t="s">
        <v>83</v>
      </c>
      <c r="D273" s="169" t="s">
        <v>1846</v>
      </c>
      <c r="E273" s="173"/>
    </row>
    <row r="274" spans="1:5">
      <c r="A274" s="1" t="s">
        <v>3</v>
      </c>
      <c r="B274" s="43">
        <v>2848245</v>
      </c>
      <c r="C274" s="168" t="s">
        <v>83</v>
      </c>
      <c r="D274" s="169" t="s">
        <v>1847</v>
      </c>
      <c r="E274" s="173"/>
    </row>
    <row r="275" spans="1:5">
      <c r="A275" s="1" t="s">
        <v>3</v>
      </c>
      <c r="B275" s="43">
        <v>2848243</v>
      </c>
      <c r="C275" s="168" t="s">
        <v>83</v>
      </c>
      <c r="D275" s="169" t="s">
        <v>1848</v>
      </c>
      <c r="E275" s="173"/>
    </row>
    <row r="276" spans="1:5">
      <c r="A276" s="1" t="s">
        <v>3</v>
      </c>
      <c r="B276" s="43">
        <v>2849194</v>
      </c>
      <c r="C276" s="168" t="s">
        <v>83</v>
      </c>
      <c r="D276" s="169" t="s">
        <v>1849</v>
      </c>
      <c r="E276" s="173"/>
    </row>
    <row r="277" spans="1:5">
      <c r="A277" s="1" t="s">
        <v>3</v>
      </c>
      <c r="B277" s="43">
        <v>2887217</v>
      </c>
      <c r="C277" s="168" t="s">
        <v>83</v>
      </c>
      <c r="D277" s="169" t="s">
        <v>1850</v>
      </c>
      <c r="E277" s="173"/>
    </row>
    <row r="278" spans="1:5">
      <c r="A278" s="1" t="s">
        <v>3</v>
      </c>
      <c r="B278" s="43">
        <v>3152728</v>
      </c>
      <c r="C278" s="168" t="s">
        <v>83</v>
      </c>
      <c r="D278" s="169" t="s">
        <v>1851</v>
      </c>
      <c r="E278" s="173"/>
    </row>
    <row r="279" spans="1:5">
      <c r="A279" s="1" t="s">
        <v>3</v>
      </c>
      <c r="B279" s="43">
        <v>2427504</v>
      </c>
      <c r="C279" s="168" t="s">
        <v>83</v>
      </c>
      <c r="D279" s="169" t="s">
        <v>1852</v>
      </c>
      <c r="E279" s="173"/>
    </row>
    <row r="280" spans="1:5">
      <c r="A280" s="1" t="s">
        <v>3</v>
      </c>
      <c r="B280" s="43">
        <v>3006558</v>
      </c>
      <c r="C280" s="168" t="s">
        <v>83</v>
      </c>
      <c r="D280" s="169" t="s">
        <v>1853</v>
      </c>
      <c r="E280" s="173"/>
    </row>
    <row r="281" spans="1:5">
      <c r="A281" s="1" t="s">
        <v>3</v>
      </c>
      <c r="B281" s="43">
        <v>2818078</v>
      </c>
      <c r="C281" s="168" t="s">
        <v>773</v>
      </c>
      <c r="D281" s="169" t="s">
        <v>1854</v>
      </c>
      <c r="E281" s="173"/>
    </row>
    <row r="282" spans="1:5">
      <c r="A282" s="1" t="s">
        <v>3</v>
      </c>
      <c r="B282" s="43">
        <v>2823321</v>
      </c>
      <c r="C282" s="168" t="s">
        <v>773</v>
      </c>
      <c r="D282" s="169" t="s">
        <v>1855</v>
      </c>
      <c r="E282" s="173"/>
    </row>
    <row r="283" spans="1:5">
      <c r="A283" s="1" t="s">
        <v>3</v>
      </c>
      <c r="B283" s="43">
        <v>709833</v>
      </c>
      <c r="C283" s="168" t="s">
        <v>773</v>
      </c>
      <c r="D283" s="169" t="s">
        <v>1856</v>
      </c>
      <c r="E283" s="173"/>
    </row>
    <row r="284" spans="1:5">
      <c r="A284" s="1" t="s">
        <v>3</v>
      </c>
      <c r="B284" s="43">
        <v>700791</v>
      </c>
      <c r="C284" s="168" t="s">
        <v>773</v>
      </c>
      <c r="D284" s="169" t="s">
        <v>1857</v>
      </c>
      <c r="E284" s="173"/>
    </row>
    <row r="285" spans="1:5">
      <c r="A285" s="1" t="s">
        <v>3</v>
      </c>
      <c r="B285" s="43">
        <v>622053</v>
      </c>
      <c r="C285" s="168" t="s">
        <v>773</v>
      </c>
      <c r="D285" s="169" t="s">
        <v>1858</v>
      </c>
      <c r="E285" s="173"/>
    </row>
    <row r="286" spans="1:5">
      <c r="A286" s="1" t="s">
        <v>3</v>
      </c>
      <c r="B286" s="43">
        <v>653220</v>
      </c>
      <c r="C286" s="168" t="s">
        <v>773</v>
      </c>
      <c r="D286" s="169" t="s">
        <v>1859</v>
      </c>
      <c r="E286" s="173"/>
    </row>
    <row r="287" spans="1:5">
      <c r="A287" s="1" t="s">
        <v>3</v>
      </c>
      <c r="B287" s="43">
        <v>2886252</v>
      </c>
      <c r="C287" s="168" t="s">
        <v>773</v>
      </c>
      <c r="D287" s="169" t="s">
        <v>1860</v>
      </c>
      <c r="E287" s="173"/>
    </row>
    <row r="288" spans="1:5">
      <c r="A288" s="1" t="s">
        <v>3</v>
      </c>
      <c r="B288" s="43">
        <v>2425359</v>
      </c>
      <c r="C288" s="168" t="s">
        <v>1593</v>
      </c>
      <c r="D288" s="169" t="s">
        <v>1861</v>
      </c>
      <c r="E288" s="173"/>
    </row>
    <row r="289" spans="1:5">
      <c r="A289" s="1" t="s">
        <v>3</v>
      </c>
      <c r="B289" s="43">
        <v>176760</v>
      </c>
      <c r="C289" s="168" t="s">
        <v>1593</v>
      </c>
      <c r="D289" s="169" t="s">
        <v>1862</v>
      </c>
      <c r="E289" s="173"/>
    </row>
    <row r="290" spans="1:5">
      <c r="A290" s="1" t="s">
        <v>3</v>
      </c>
      <c r="B290" s="43">
        <v>570965</v>
      </c>
      <c r="C290" s="168" t="s">
        <v>1593</v>
      </c>
      <c r="D290" s="169" t="s">
        <v>1863</v>
      </c>
      <c r="E290" s="173"/>
    </row>
    <row r="291" spans="1:5">
      <c r="A291" s="1" t="s">
        <v>3</v>
      </c>
      <c r="B291" s="43">
        <v>466176</v>
      </c>
      <c r="C291" s="168" t="s">
        <v>1593</v>
      </c>
      <c r="D291" s="169" t="s">
        <v>1864</v>
      </c>
      <c r="E291" s="173"/>
    </row>
    <row r="292" spans="1:5">
      <c r="A292" s="1" t="s">
        <v>3</v>
      </c>
      <c r="B292" s="43">
        <v>2825258</v>
      </c>
      <c r="C292" s="168" t="s">
        <v>1593</v>
      </c>
      <c r="D292" s="169" t="s">
        <v>1865</v>
      </c>
      <c r="E292" s="173"/>
    </row>
    <row r="293" spans="1:5">
      <c r="A293" s="1" t="s">
        <v>3</v>
      </c>
      <c r="B293" s="43">
        <v>2313156</v>
      </c>
      <c r="C293" s="168" t="s">
        <v>1593</v>
      </c>
      <c r="D293" s="175" t="s">
        <v>1866</v>
      </c>
      <c r="E293" s="173"/>
    </row>
    <row r="294" spans="1:5">
      <c r="A294" s="1" t="s">
        <v>3</v>
      </c>
      <c r="B294" s="43">
        <v>2801187</v>
      </c>
      <c r="C294" s="168" t="s">
        <v>1593</v>
      </c>
      <c r="D294" s="169" t="s">
        <v>1664</v>
      </c>
      <c r="E294" s="173"/>
    </row>
    <row r="295" spans="1:5">
      <c r="A295" s="1" t="s">
        <v>3</v>
      </c>
      <c r="B295" s="43">
        <v>5025098</v>
      </c>
      <c r="C295" s="168" t="s">
        <v>1593</v>
      </c>
      <c r="D295" s="169" t="s">
        <v>1867</v>
      </c>
      <c r="E295" s="173"/>
    </row>
    <row r="296" spans="1:5">
      <c r="A296" s="1" t="s">
        <v>3</v>
      </c>
      <c r="B296" s="43">
        <v>2849185</v>
      </c>
      <c r="C296" s="168" t="s">
        <v>1593</v>
      </c>
      <c r="D296" s="169" t="s">
        <v>1868</v>
      </c>
      <c r="E296" s="173"/>
    </row>
    <row r="297" spans="1:5">
      <c r="A297" s="1" t="s">
        <v>3</v>
      </c>
      <c r="B297" s="43">
        <v>2835113</v>
      </c>
      <c r="C297" s="168" t="s">
        <v>1593</v>
      </c>
      <c r="D297" s="169" t="s">
        <v>1803</v>
      </c>
      <c r="E297" s="173"/>
    </row>
    <row r="298" spans="1:5">
      <c r="A298" s="1" t="s">
        <v>3</v>
      </c>
      <c r="B298" s="43">
        <v>2300009</v>
      </c>
      <c r="C298" s="168" t="s">
        <v>1593</v>
      </c>
      <c r="D298" s="169" t="s">
        <v>1671</v>
      </c>
      <c r="E298" s="173"/>
    </row>
    <row r="299" spans="1:5">
      <c r="A299" s="1" t="s">
        <v>3</v>
      </c>
      <c r="B299" s="43">
        <v>2894042</v>
      </c>
      <c r="C299" s="168" t="s">
        <v>1593</v>
      </c>
      <c r="D299" s="169" t="s">
        <v>1869</v>
      </c>
      <c r="E299" s="173"/>
    </row>
    <row r="300" spans="1:5">
      <c r="A300" s="1" t="s">
        <v>3</v>
      </c>
      <c r="B300" s="43">
        <v>2825601</v>
      </c>
      <c r="C300" s="168" t="s">
        <v>71</v>
      </c>
      <c r="D300" s="169" t="s">
        <v>1870</v>
      </c>
      <c r="E300" s="173"/>
    </row>
    <row r="301" spans="1:5">
      <c r="A301" s="1" t="s">
        <v>3</v>
      </c>
      <c r="B301" s="43">
        <v>699245</v>
      </c>
      <c r="C301" s="168" t="s">
        <v>71</v>
      </c>
      <c r="D301" s="169" t="s">
        <v>1871</v>
      </c>
      <c r="E301" s="173"/>
    </row>
    <row r="302" spans="1:5">
      <c r="A302" s="1" t="s">
        <v>3</v>
      </c>
      <c r="B302" s="43">
        <v>612162</v>
      </c>
      <c r="C302" s="168" t="s">
        <v>71</v>
      </c>
      <c r="D302" s="169" t="s">
        <v>1872</v>
      </c>
      <c r="E302" s="173"/>
    </row>
    <row r="303" spans="1:5">
      <c r="A303" s="1" t="s">
        <v>3</v>
      </c>
      <c r="B303" s="43">
        <v>2813182</v>
      </c>
      <c r="C303" s="168" t="s">
        <v>71</v>
      </c>
      <c r="D303" s="169" t="s">
        <v>1873</v>
      </c>
      <c r="E303" s="173"/>
    </row>
    <row r="304" spans="1:5">
      <c r="A304" s="1" t="s">
        <v>3</v>
      </c>
      <c r="B304" s="43">
        <v>2822684</v>
      </c>
      <c r="C304" s="168" t="s">
        <v>1593</v>
      </c>
      <c r="D304" s="169" t="s">
        <v>1874</v>
      </c>
      <c r="E304" s="173"/>
    </row>
    <row r="305" spans="1:5">
      <c r="A305" s="1" t="s">
        <v>3</v>
      </c>
      <c r="B305" s="43">
        <v>2895101</v>
      </c>
      <c r="C305" s="168" t="s">
        <v>71</v>
      </c>
      <c r="D305" s="169" t="s">
        <v>1875</v>
      </c>
      <c r="E305" s="173"/>
    </row>
    <row r="306" spans="1:5">
      <c r="A306" s="1" t="s">
        <v>4</v>
      </c>
      <c r="B306" s="165" t="s">
        <v>68</v>
      </c>
      <c r="C306" s="166" t="s">
        <v>62</v>
      </c>
      <c r="D306" s="176" t="s">
        <v>69</v>
      </c>
      <c r="E306" s="166" t="s">
        <v>70</v>
      </c>
    </row>
    <row r="307" spans="1:5">
      <c r="A307" s="1" t="s">
        <v>4</v>
      </c>
      <c r="B307" s="43">
        <v>797722</v>
      </c>
      <c r="C307" s="168" t="s">
        <v>71</v>
      </c>
      <c r="D307" s="169" t="s">
        <v>1744</v>
      </c>
      <c r="E307" s="170" t="s">
        <v>1876</v>
      </c>
    </row>
    <row r="308" spans="1:5">
      <c r="A308" s="1" t="s">
        <v>4</v>
      </c>
      <c r="B308" s="43">
        <v>693111</v>
      </c>
      <c r="C308" s="168" t="s">
        <v>90</v>
      </c>
      <c r="D308" s="169" t="s">
        <v>1739</v>
      </c>
      <c r="E308" s="170" t="s">
        <v>1877</v>
      </c>
    </row>
    <row r="309" spans="1:5">
      <c r="A309" s="1" t="s">
        <v>4</v>
      </c>
      <c r="B309" s="43">
        <v>693107</v>
      </c>
      <c r="C309" s="168" t="s">
        <v>90</v>
      </c>
      <c r="D309" s="169" t="s">
        <v>1878</v>
      </c>
      <c r="E309" s="170" t="s">
        <v>1879</v>
      </c>
    </row>
    <row r="310" spans="1:5">
      <c r="A310" s="1" t="s">
        <v>4</v>
      </c>
      <c r="B310" s="43">
        <v>2975163</v>
      </c>
      <c r="C310" s="168" t="s">
        <v>90</v>
      </c>
      <c r="D310" s="169" t="s">
        <v>1880</v>
      </c>
      <c r="E310" s="170" t="s">
        <v>1881</v>
      </c>
    </row>
    <row r="311" spans="1:5">
      <c r="A311" s="1" t="s">
        <v>4</v>
      </c>
      <c r="B311" s="43">
        <v>5028627</v>
      </c>
      <c r="C311" s="168" t="s">
        <v>90</v>
      </c>
      <c r="D311" s="169" t="s">
        <v>1882</v>
      </c>
      <c r="E311" s="170" t="s">
        <v>1883</v>
      </c>
    </row>
    <row r="312" spans="1:5">
      <c r="A312" s="1" t="s">
        <v>4</v>
      </c>
      <c r="B312" s="43">
        <v>2819025</v>
      </c>
      <c r="C312" s="168" t="s">
        <v>773</v>
      </c>
      <c r="D312" s="169" t="s">
        <v>1589</v>
      </c>
      <c r="E312" s="170" t="s">
        <v>1884</v>
      </c>
    </row>
    <row r="313" spans="1:5">
      <c r="A313" s="1" t="s">
        <v>4</v>
      </c>
      <c r="B313" s="43">
        <v>370569</v>
      </c>
      <c r="C313" s="168" t="s">
        <v>1593</v>
      </c>
      <c r="D313" s="169" t="s">
        <v>1885</v>
      </c>
      <c r="E313" s="170" t="s">
        <v>1743</v>
      </c>
    </row>
    <row r="314" spans="1:5">
      <c r="A314" s="1" t="s">
        <v>4</v>
      </c>
      <c r="B314" s="43">
        <v>376381</v>
      </c>
      <c r="C314" s="168" t="s">
        <v>1593</v>
      </c>
      <c r="D314" s="169" t="s">
        <v>1886</v>
      </c>
      <c r="E314" s="170" t="s">
        <v>1887</v>
      </c>
    </row>
    <row r="315" spans="1:5">
      <c r="A315" s="1" t="s">
        <v>4</v>
      </c>
      <c r="B315" s="43">
        <v>2811020</v>
      </c>
      <c r="C315" s="168" t="s">
        <v>71</v>
      </c>
      <c r="D315" s="169" t="s">
        <v>1888</v>
      </c>
      <c r="E315" s="170" t="s">
        <v>1889</v>
      </c>
    </row>
    <row r="316" spans="1:5">
      <c r="A316" s="1" t="s">
        <v>4</v>
      </c>
      <c r="B316" s="43">
        <v>2252216</v>
      </c>
      <c r="C316" s="168" t="s">
        <v>71</v>
      </c>
      <c r="D316" s="169" t="s">
        <v>1890</v>
      </c>
      <c r="E316" s="170" t="s">
        <v>1749</v>
      </c>
    </row>
    <row r="317" spans="1:5">
      <c r="A317" s="1" t="s">
        <v>4</v>
      </c>
      <c r="B317" s="43">
        <v>5028617</v>
      </c>
      <c r="C317" s="168" t="s">
        <v>71</v>
      </c>
      <c r="D317" s="169" t="s">
        <v>1821</v>
      </c>
      <c r="E317" s="170" t="s">
        <v>1688</v>
      </c>
    </row>
    <row r="318" spans="1:5">
      <c r="A318" s="1" t="s">
        <v>4</v>
      </c>
      <c r="B318" s="43">
        <v>743145</v>
      </c>
      <c r="C318" s="168" t="s">
        <v>71</v>
      </c>
      <c r="D318" s="169" t="s">
        <v>1891</v>
      </c>
      <c r="E318" s="172" t="s">
        <v>1892</v>
      </c>
    </row>
    <row r="319" spans="1:5">
      <c r="A319" s="1" t="s">
        <v>4</v>
      </c>
      <c r="B319" s="43">
        <v>791342</v>
      </c>
      <c r="C319" s="168" t="s">
        <v>71</v>
      </c>
      <c r="D319" s="169" t="s">
        <v>1893</v>
      </c>
      <c r="E319" s="170" t="s">
        <v>1894</v>
      </c>
    </row>
    <row r="320" spans="1:5">
      <c r="A320" s="1" t="s">
        <v>4</v>
      </c>
      <c r="B320" s="43">
        <v>5022326</v>
      </c>
      <c r="C320" s="168" t="s">
        <v>71</v>
      </c>
      <c r="D320" s="169" t="s">
        <v>1895</v>
      </c>
      <c r="E320" s="173"/>
    </row>
    <row r="321" spans="1:5">
      <c r="A321" s="1" t="s">
        <v>4</v>
      </c>
      <c r="B321" s="43">
        <v>696326</v>
      </c>
      <c r="C321" s="168" t="s">
        <v>71</v>
      </c>
      <c r="D321" s="169" t="s">
        <v>1896</v>
      </c>
      <c r="E321" s="173"/>
    </row>
    <row r="322" spans="1:5">
      <c r="A322" s="1" t="s">
        <v>4</v>
      </c>
      <c r="B322" s="43">
        <v>2875304</v>
      </c>
      <c r="C322" s="168" t="s">
        <v>71</v>
      </c>
      <c r="D322" s="169" t="s">
        <v>1897</v>
      </c>
      <c r="E322" s="173"/>
    </row>
    <row r="323" spans="1:5">
      <c r="A323" s="1" t="s">
        <v>4</v>
      </c>
      <c r="B323" s="43">
        <v>2881075</v>
      </c>
      <c r="C323" s="168" t="s">
        <v>90</v>
      </c>
      <c r="D323" s="169" t="s">
        <v>1898</v>
      </c>
      <c r="E323" s="173"/>
    </row>
    <row r="324" spans="1:5">
      <c r="A324" s="1" t="s">
        <v>4</v>
      </c>
      <c r="B324" s="43">
        <v>2428601</v>
      </c>
      <c r="C324" s="168" t="s">
        <v>83</v>
      </c>
      <c r="D324" s="169" t="s">
        <v>1899</v>
      </c>
      <c r="E324" s="173"/>
    </row>
    <row r="325" spans="1:5">
      <c r="A325" s="1" t="s">
        <v>4</v>
      </c>
      <c r="B325" s="43">
        <v>2824175</v>
      </c>
      <c r="C325" s="168" t="s">
        <v>83</v>
      </c>
      <c r="D325" s="169" t="s">
        <v>1900</v>
      </c>
      <c r="E325" s="173"/>
    </row>
    <row r="326" spans="1:5">
      <c r="A326" s="1" t="s">
        <v>4</v>
      </c>
      <c r="B326" s="43">
        <v>2315934</v>
      </c>
      <c r="C326" s="168" t="s">
        <v>773</v>
      </c>
      <c r="D326" s="169" t="s">
        <v>1823</v>
      </c>
      <c r="E326" s="173"/>
    </row>
    <row r="327" spans="1:5">
      <c r="A327" s="1" t="s">
        <v>4</v>
      </c>
      <c r="B327" s="43">
        <v>2809355</v>
      </c>
      <c r="C327" s="168" t="s">
        <v>1593</v>
      </c>
      <c r="D327" s="169" t="s">
        <v>1901</v>
      </c>
      <c r="E327" s="173"/>
    </row>
    <row r="328" spans="1:5">
      <c r="A328" s="1" t="s">
        <v>4</v>
      </c>
      <c r="B328" s="43">
        <v>2841066</v>
      </c>
      <c r="C328" s="168" t="s">
        <v>1593</v>
      </c>
      <c r="D328" s="169" t="s">
        <v>1902</v>
      </c>
      <c r="E328" s="173"/>
    </row>
    <row r="329" spans="1:5">
      <c r="A329" s="1" t="s">
        <v>4</v>
      </c>
      <c r="B329" s="43">
        <v>656781</v>
      </c>
      <c r="C329" s="168" t="s">
        <v>71</v>
      </c>
      <c r="D329" s="169" t="s">
        <v>1772</v>
      </c>
      <c r="E329" s="173"/>
    </row>
    <row r="330" spans="1:5">
      <c r="A330" s="1" t="s">
        <v>4</v>
      </c>
      <c r="B330" s="43">
        <v>174923</v>
      </c>
      <c r="C330" s="168" t="s">
        <v>71</v>
      </c>
      <c r="D330" s="169" t="s">
        <v>1903</v>
      </c>
      <c r="E330" s="173"/>
    </row>
    <row r="331" spans="1:5">
      <c r="A331" s="1" t="s">
        <v>4</v>
      </c>
      <c r="B331" s="43">
        <v>647652</v>
      </c>
      <c r="C331" s="168" t="s">
        <v>71</v>
      </c>
      <c r="D331" s="169" t="s">
        <v>1827</v>
      </c>
      <c r="E331" s="173"/>
    </row>
    <row r="332" spans="1:5">
      <c r="A332" s="1" t="s">
        <v>4</v>
      </c>
      <c r="B332" s="43">
        <v>778180</v>
      </c>
      <c r="C332" s="168" t="s">
        <v>71</v>
      </c>
      <c r="D332" s="169" t="s">
        <v>1904</v>
      </c>
      <c r="E332" s="173"/>
    </row>
    <row r="333" spans="1:5">
      <c r="A333" s="1" t="s">
        <v>4</v>
      </c>
      <c r="B333" s="43">
        <v>711794</v>
      </c>
      <c r="C333" s="168" t="s">
        <v>71</v>
      </c>
      <c r="D333" s="169" t="s">
        <v>1828</v>
      </c>
      <c r="E333" s="173"/>
    </row>
    <row r="334" spans="1:5">
      <c r="A334" s="1" t="s">
        <v>4</v>
      </c>
      <c r="B334" s="43">
        <v>797723</v>
      </c>
      <c r="C334" s="168" t="s">
        <v>71</v>
      </c>
      <c r="D334" s="169" t="s">
        <v>1905</v>
      </c>
      <c r="E334" s="173"/>
    </row>
    <row r="335" spans="1:5">
      <c r="A335" s="1" t="s">
        <v>4</v>
      </c>
      <c r="B335" s="43">
        <v>2895001</v>
      </c>
      <c r="C335" s="168" t="s">
        <v>71</v>
      </c>
      <c r="D335" s="169" t="s">
        <v>1906</v>
      </c>
      <c r="E335" s="173"/>
    </row>
    <row r="336" spans="1:5">
      <c r="A336" s="1" t="s">
        <v>4</v>
      </c>
      <c r="B336" s="43">
        <v>2893004</v>
      </c>
      <c r="C336" s="168" t="s">
        <v>71</v>
      </c>
      <c r="D336" s="169" t="s">
        <v>1907</v>
      </c>
      <c r="E336" s="173"/>
    </row>
    <row r="337" spans="1:5">
      <c r="A337" s="1" t="s">
        <v>4</v>
      </c>
      <c r="B337" s="43">
        <v>2888051</v>
      </c>
      <c r="C337" s="168" t="s">
        <v>83</v>
      </c>
      <c r="D337" s="169" t="s">
        <v>1908</v>
      </c>
      <c r="E337" s="173"/>
    </row>
    <row r="338" spans="1:5">
      <c r="A338" s="1" t="s">
        <v>4</v>
      </c>
      <c r="B338" s="43">
        <v>2848322</v>
      </c>
      <c r="C338" s="168" t="s">
        <v>1593</v>
      </c>
      <c r="D338" s="169" t="s">
        <v>1831</v>
      </c>
      <c r="E338" s="173"/>
    </row>
    <row r="339" spans="1:5">
      <c r="A339" s="1" t="s">
        <v>4</v>
      </c>
      <c r="B339" s="43">
        <v>2875147</v>
      </c>
      <c r="C339" s="168" t="s">
        <v>1593</v>
      </c>
      <c r="D339" s="169" t="s">
        <v>1909</v>
      </c>
      <c r="E339" s="173"/>
    </row>
    <row r="340" spans="1:5">
      <c r="A340" s="1" t="s">
        <v>4</v>
      </c>
      <c r="B340" s="43">
        <v>534584</v>
      </c>
      <c r="C340" s="168" t="s">
        <v>83</v>
      </c>
      <c r="D340" s="169" t="s">
        <v>1838</v>
      </c>
      <c r="E340" s="173"/>
    </row>
    <row r="341" spans="1:5">
      <c r="A341" s="1" t="s">
        <v>4</v>
      </c>
      <c r="B341" s="43">
        <v>700790</v>
      </c>
      <c r="C341" s="168" t="s">
        <v>83</v>
      </c>
      <c r="D341" s="169" t="s">
        <v>1910</v>
      </c>
      <c r="E341" s="173"/>
    </row>
    <row r="342" spans="1:5">
      <c r="A342" s="1" t="s">
        <v>4</v>
      </c>
      <c r="B342" s="43">
        <v>580627</v>
      </c>
      <c r="C342" s="168" t="s">
        <v>83</v>
      </c>
      <c r="D342" s="169" t="s">
        <v>1841</v>
      </c>
      <c r="E342" s="173"/>
    </row>
    <row r="343" spans="1:5">
      <c r="A343" s="1" t="s">
        <v>4</v>
      </c>
      <c r="B343" s="43">
        <v>653219</v>
      </c>
      <c r="C343" s="168" t="s">
        <v>83</v>
      </c>
      <c r="D343" s="169" t="s">
        <v>1911</v>
      </c>
      <c r="E343" s="173"/>
    </row>
    <row r="344" spans="1:5">
      <c r="A344" s="1" t="s">
        <v>4</v>
      </c>
      <c r="B344" s="43">
        <v>553701</v>
      </c>
      <c r="C344" s="168" t="s">
        <v>83</v>
      </c>
      <c r="D344" s="169" t="s">
        <v>1912</v>
      </c>
      <c r="E344" s="173"/>
    </row>
    <row r="345" spans="1:5">
      <c r="A345" s="1" t="s">
        <v>4</v>
      </c>
      <c r="B345" s="43">
        <v>578056</v>
      </c>
      <c r="C345" s="168" t="s">
        <v>83</v>
      </c>
      <c r="D345" s="169" t="s">
        <v>1913</v>
      </c>
      <c r="E345" s="173"/>
    </row>
    <row r="346" spans="1:5">
      <c r="A346" s="1" t="s">
        <v>4</v>
      </c>
      <c r="B346" s="43">
        <v>2805907</v>
      </c>
      <c r="C346" s="168" t="s">
        <v>83</v>
      </c>
      <c r="D346" s="169" t="s">
        <v>1914</v>
      </c>
      <c r="E346" s="173"/>
    </row>
    <row r="347" spans="1:5">
      <c r="A347" s="1" t="s">
        <v>4</v>
      </c>
      <c r="B347" s="43">
        <v>2807858</v>
      </c>
      <c r="C347" s="168" t="s">
        <v>83</v>
      </c>
      <c r="D347" s="169" t="s">
        <v>1915</v>
      </c>
      <c r="E347" s="173"/>
    </row>
    <row r="348" spans="1:5">
      <c r="A348" s="1" t="s">
        <v>4</v>
      </c>
      <c r="B348" s="43">
        <v>2807859</v>
      </c>
      <c r="C348" s="168" t="s">
        <v>83</v>
      </c>
      <c r="D348" s="169" t="s">
        <v>1916</v>
      </c>
      <c r="E348" s="173"/>
    </row>
    <row r="349" spans="1:5">
      <c r="A349" s="1" t="s">
        <v>4</v>
      </c>
      <c r="B349" s="43">
        <v>2808545</v>
      </c>
      <c r="C349" s="168" t="s">
        <v>83</v>
      </c>
      <c r="D349" s="169" t="s">
        <v>1843</v>
      </c>
      <c r="E349" s="173"/>
    </row>
    <row r="350" spans="1:5">
      <c r="A350" s="1" t="s">
        <v>4</v>
      </c>
      <c r="B350" s="43">
        <v>2812533</v>
      </c>
      <c r="C350" s="168" t="s">
        <v>83</v>
      </c>
      <c r="D350" s="169" t="s">
        <v>1917</v>
      </c>
      <c r="E350" s="173"/>
    </row>
    <row r="351" spans="1:5">
      <c r="A351" s="1" t="s">
        <v>4</v>
      </c>
      <c r="B351" s="43">
        <v>2813144</v>
      </c>
      <c r="C351" s="168" t="s">
        <v>83</v>
      </c>
      <c r="D351" s="169" t="s">
        <v>1844</v>
      </c>
      <c r="E351" s="173"/>
    </row>
    <row r="352" spans="1:5">
      <c r="A352" s="1" t="s">
        <v>4</v>
      </c>
      <c r="B352" s="43">
        <v>2243047</v>
      </c>
      <c r="C352" s="168" t="s">
        <v>83</v>
      </c>
      <c r="D352" s="169" t="s">
        <v>1787</v>
      </c>
      <c r="E352" s="173"/>
    </row>
    <row r="353" spans="1:5">
      <c r="A353" s="1" t="s">
        <v>4</v>
      </c>
      <c r="B353" s="43">
        <v>2834027</v>
      </c>
      <c r="C353" s="168" t="s">
        <v>83</v>
      </c>
      <c r="D353" s="169" t="s">
        <v>1918</v>
      </c>
      <c r="E353" s="173"/>
    </row>
    <row r="354" spans="1:5">
      <c r="A354" s="1" t="s">
        <v>4</v>
      </c>
      <c r="B354" s="43">
        <v>2299019</v>
      </c>
      <c r="C354" s="168" t="s">
        <v>83</v>
      </c>
      <c r="D354" s="169" t="s">
        <v>1919</v>
      </c>
      <c r="E354" s="173"/>
    </row>
    <row r="355" spans="1:5">
      <c r="A355" s="1" t="s">
        <v>4</v>
      </c>
      <c r="B355" s="43">
        <v>2837268</v>
      </c>
      <c r="C355" s="168" t="s">
        <v>83</v>
      </c>
      <c r="D355" s="169" t="s">
        <v>1920</v>
      </c>
      <c r="E355" s="173"/>
    </row>
    <row r="356" spans="1:5">
      <c r="A356" s="1" t="s">
        <v>4</v>
      </c>
      <c r="B356" s="43">
        <v>2836031</v>
      </c>
      <c r="C356" s="168" t="s">
        <v>83</v>
      </c>
      <c r="D356" s="169" t="s">
        <v>1921</v>
      </c>
      <c r="E356" s="173"/>
    </row>
    <row r="357" spans="1:5">
      <c r="A357" s="1" t="s">
        <v>4</v>
      </c>
      <c r="B357" s="43">
        <v>2873069</v>
      </c>
      <c r="C357" s="168" t="s">
        <v>83</v>
      </c>
      <c r="D357" s="169" t="s">
        <v>1922</v>
      </c>
      <c r="E357" s="173"/>
    </row>
    <row r="358" spans="1:5">
      <c r="A358" s="1" t="s">
        <v>4</v>
      </c>
      <c r="B358" s="43">
        <v>2877030</v>
      </c>
      <c r="C358" s="168" t="s">
        <v>83</v>
      </c>
      <c r="D358" s="169" t="s">
        <v>1923</v>
      </c>
      <c r="E358" s="173"/>
    </row>
    <row r="359" spans="1:5">
      <c r="A359" s="1" t="s">
        <v>4</v>
      </c>
      <c r="B359" s="43">
        <v>2865036</v>
      </c>
      <c r="C359" s="168" t="s">
        <v>83</v>
      </c>
      <c r="D359" s="169" t="s">
        <v>1924</v>
      </c>
      <c r="E359" s="173"/>
    </row>
    <row r="360" spans="1:5">
      <c r="A360" s="1" t="s">
        <v>4</v>
      </c>
      <c r="B360" s="43">
        <v>2877078</v>
      </c>
      <c r="C360" s="168" t="s">
        <v>83</v>
      </c>
      <c r="D360" s="169" t="s">
        <v>1925</v>
      </c>
      <c r="E360" s="173"/>
    </row>
    <row r="361" spans="1:5">
      <c r="A361" s="1" t="s">
        <v>4</v>
      </c>
      <c r="B361" s="43">
        <v>2877077</v>
      </c>
      <c r="C361" s="168" t="s">
        <v>83</v>
      </c>
      <c r="D361" s="169" t="s">
        <v>1926</v>
      </c>
      <c r="E361" s="173"/>
    </row>
    <row r="362" spans="1:5">
      <c r="A362" s="1" t="s">
        <v>4</v>
      </c>
      <c r="B362" s="43">
        <v>2974329</v>
      </c>
      <c r="C362" s="168" t="s">
        <v>83</v>
      </c>
      <c r="D362" s="169" t="s">
        <v>1927</v>
      </c>
      <c r="E362" s="173"/>
    </row>
    <row r="363" spans="1:5">
      <c r="A363" s="1" t="s">
        <v>4</v>
      </c>
      <c r="B363" s="43">
        <v>2834039</v>
      </c>
      <c r="C363" s="168" t="s">
        <v>83</v>
      </c>
      <c r="D363" s="169" t="s">
        <v>1794</v>
      </c>
      <c r="E363" s="173"/>
    </row>
    <row r="364" spans="1:5">
      <c r="A364" s="1" t="s">
        <v>4</v>
      </c>
      <c r="B364" s="43">
        <v>2877282</v>
      </c>
      <c r="C364" s="168" t="s">
        <v>83</v>
      </c>
      <c r="D364" s="169" t="s">
        <v>1928</v>
      </c>
      <c r="E364" s="173"/>
    </row>
    <row r="365" spans="1:5">
      <c r="A365" s="1" t="s">
        <v>4</v>
      </c>
      <c r="B365" s="43">
        <v>2882168</v>
      </c>
      <c r="C365" s="168" t="s">
        <v>83</v>
      </c>
      <c r="D365" s="169" t="s">
        <v>1929</v>
      </c>
      <c r="E365" s="173"/>
    </row>
    <row r="366" spans="1:5">
      <c r="A366" s="1" t="s">
        <v>4</v>
      </c>
      <c r="B366" s="43">
        <v>2823588</v>
      </c>
      <c r="C366" s="168" t="s">
        <v>83</v>
      </c>
      <c r="D366" s="169" t="s">
        <v>1930</v>
      </c>
      <c r="E366" s="173"/>
    </row>
    <row r="367" spans="1:5">
      <c r="A367" s="1" t="s">
        <v>4</v>
      </c>
      <c r="B367" s="43">
        <v>2881187</v>
      </c>
      <c r="C367" s="168" t="s">
        <v>83</v>
      </c>
      <c r="D367" s="169" t="s">
        <v>1931</v>
      </c>
      <c r="E367" s="173"/>
    </row>
    <row r="368" spans="1:5">
      <c r="A368" s="1" t="s">
        <v>4</v>
      </c>
      <c r="B368" s="43">
        <v>2885185</v>
      </c>
      <c r="C368" s="168" t="s">
        <v>83</v>
      </c>
      <c r="D368" s="169" t="s">
        <v>1932</v>
      </c>
      <c r="E368" s="173"/>
    </row>
    <row r="369" spans="1:5">
      <c r="A369" s="1" t="s">
        <v>4</v>
      </c>
      <c r="B369" s="43">
        <v>2886207</v>
      </c>
      <c r="C369" s="168" t="s">
        <v>83</v>
      </c>
      <c r="D369" s="169" t="s">
        <v>1933</v>
      </c>
      <c r="E369" s="173"/>
    </row>
    <row r="370" spans="1:5">
      <c r="A370" s="1" t="s">
        <v>4</v>
      </c>
      <c r="B370" s="43">
        <v>2881291</v>
      </c>
      <c r="C370" s="168" t="s">
        <v>83</v>
      </c>
      <c r="D370" s="169" t="s">
        <v>1934</v>
      </c>
      <c r="E370" s="173"/>
    </row>
    <row r="371" spans="1:5">
      <c r="A371" s="1" t="s">
        <v>4</v>
      </c>
      <c r="B371" s="43">
        <v>2887335</v>
      </c>
      <c r="C371" s="168" t="s">
        <v>83</v>
      </c>
      <c r="D371" s="169" t="s">
        <v>1935</v>
      </c>
      <c r="E371" s="173"/>
    </row>
    <row r="372" spans="1:5">
      <c r="A372" s="1" t="s">
        <v>4</v>
      </c>
      <c r="B372" s="43">
        <v>2423654</v>
      </c>
      <c r="C372" s="168" t="s">
        <v>83</v>
      </c>
      <c r="D372" s="169" t="s">
        <v>1936</v>
      </c>
      <c r="E372" s="173"/>
    </row>
    <row r="373" spans="1:5">
      <c r="A373" s="1" t="s">
        <v>4</v>
      </c>
      <c r="B373" s="43">
        <v>2426603</v>
      </c>
      <c r="C373" s="168" t="s">
        <v>83</v>
      </c>
      <c r="D373" s="169" t="s">
        <v>1937</v>
      </c>
      <c r="E373" s="173"/>
    </row>
    <row r="374" spans="1:5">
      <c r="A374" s="1" t="s">
        <v>4</v>
      </c>
      <c r="B374" s="43">
        <v>3006797</v>
      </c>
      <c r="C374" s="168" t="s">
        <v>83</v>
      </c>
      <c r="D374" s="169" t="s">
        <v>1938</v>
      </c>
      <c r="E374" s="173"/>
    </row>
    <row r="375" spans="1:5">
      <c r="A375" s="1" t="s">
        <v>4</v>
      </c>
      <c r="B375" s="43">
        <v>3010188</v>
      </c>
      <c r="C375" s="168" t="s">
        <v>83</v>
      </c>
      <c r="D375" s="169" t="s">
        <v>1939</v>
      </c>
      <c r="E375" s="173"/>
    </row>
    <row r="376" spans="1:5">
      <c r="A376" s="1" t="s">
        <v>4</v>
      </c>
      <c r="B376" s="43">
        <v>3011746</v>
      </c>
      <c r="C376" s="168" t="s">
        <v>83</v>
      </c>
      <c r="D376" s="169" t="s">
        <v>1940</v>
      </c>
      <c r="E376" s="173"/>
    </row>
    <row r="377" spans="1:5">
      <c r="A377" s="1" t="s">
        <v>4</v>
      </c>
      <c r="B377" s="43">
        <v>3013334</v>
      </c>
      <c r="C377" s="168" t="s">
        <v>83</v>
      </c>
      <c r="D377" s="169" t="s">
        <v>1941</v>
      </c>
      <c r="E377" s="173"/>
    </row>
    <row r="378" spans="1:5">
      <c r="A378" s="1" t="s">
        <v>4</v>
      </c>
      <c r="B378" s="43">
        <v>3007730</v>
      </c>
      <c r="C378" s="168" t="s">
        <v>83</v>
      </c>
      <c r="D378" s="169" t="s">
        <v>1942</v>
      </c>
      <c r="E378" s="173"/>
    </row>
    <row r="379" spans="1:5">
      <c r="A379" s="1" t="s">
        <v>4</v>
      </c>
      <c r="B379" s="43">
        <v>3009566</v>
      </c>
      <c r="C379" s="168" t="s">
        <v>83</v>
      </c>
      <c r="D379" s="169" t="s">
        <v>1943</v>
      </c>
      <c r="E379" s="173"/>
    </row>
    <row r="380" spans="1:5">
      <c r="A380" s="1" t="s">
        <v>4</v>
      </c>
      <c r="B380" s="43">
        <v>693068</v>
      </c>
      <c r="C380" s="168" t="s">
        <v>773</v>
      </c>
      <c r="D380" s="169" t="s">
        <v>1944</v>
      </c>
      <c r="E380" s="173"/>
    </row>
    <row r="381" spans="1:5">
      <c r="A381" s="1" t="s">
        <v>4</v>
      </c>
      <c r="B381" s="43">
        <v>2823321</v>
      </c>
      <c r="C381" s="168" t="s">
        <v>773</v>
      </c>
      <c r="D381" s="169" t="s">
        <v>1855</v>
      </c>
      <c r="E381" s="173"/>
    </row>
    <row r="382" spans="1:5">
      <c r="A382" s="1" t="s">
        <v>4</v>
      </c>
      <c r="B382" s="43">
        <v>2816032</v>
      </c>
      <c r="C382" s="168" t="s">
        <v>773</v>
      </c>
      <c r="D382" s="169" t="s">
        <v>1945</v>
      </c>
      <c r="E382" s="173"/>
    </row>
    <row r="383" spans="1:5">
      <c r="A383" s="1" t="s">
        <v>4</v>
      </c>
      <c r="B383" s="43">
        <v>808669</v>
      </c>
      <c r="C383" s="168" t="s">
        <v>773</v>
      </c>
      <c r="D383" s="169" t="s">
        <v>1946</v>
      </c>
      <c r="E383" s="173"/>
    </row>
    <row r="384" spans="1:5">
      <c r="A384" s="1" t="s">
        <v>4</v>
      </c>
      <c r="B384" s="43">
        <v>700791</v>
      </c>
      <c r="C384" s="168" t="s">
        <v>773</v>
      </c>
      <c r="D384" s="169" t="s">
        <v>1857</v>
      </c>
      <c r="E384" s="173"/>
    </row>
    <row r="385" spans="1:5">
      <c r="A385" s="1" t="s">
        <v>4</v>
      </c>
      <c r="B385" s="43">
        <v>653220</v>
      </c>
      <c r="C385" s="168" t="s">
        <v>773</v>
      </c>
      <c r="D385" s="169" t="s">
        <v>1859</v>
      </c>
      <c r="E385" s="173"/>
    </row>
    <row r="386" spans="1:5">
      <c r="A386" s="1" t="s">
        <v>4</v>
      </c>
      <c r="B386" s="43">
        <v>612173</v>
      </c>
      <c r="C386" s="168" t="s">
        <v>773</v>
      </c>
      <c r="D386" s="169" t="s">
        <v>1947</v>
      </c>
      <c r="E386" s="173"/>
    </row>
    <row r="387" spans="1:5">
      <c r="A387" s="1" t="s">
        <v>4</v>
      </c>
      <c r="B387" s="43">
        <v>612162</v>
      </c>
      <c r="C387" s="168" t="s">
        <v>71</v>
      </c>
      <c r="D387" s="169" t="s">
        <v>1872</v>
      </c>
      <c r="E387" s="173"/>
    </row>
    <row r="388" spans="1:5">
      <c r="A388" s="1" t="s">
        <v>4</v>
      </c>
      <c r="B388" s="43">
        <v>743144</v>
      </c>
      <c r="C388" s="168" t="s">
        <v>71</v>
      </c>
      <c r="D388" s="169" t="s">
        <v>1948</v>
      </c>
      <c r="E388" s="173"/>
    </row>
    <row r="389" spans="1:5">
      <c r="A389" s="1" t="s">
        <v>4</v>
      </c>
      <c r="B389" s="43">
        <v>2814066</v>
      </c>
      <c r="C389" s="168" t="s">
        <v>71</v>
      </c>
      <c r="D389" s="169" t="s">
        <v>1949</v>
      </c>
      <c r="E389" s="173"/>
    </row>
    <row r="390" spans="1:5">
      <c r="A390" s="1" t="s">
        <v>4</v>
      </c>
      <c r="B390" s="43">
        <v>2839042</v>
      </c>
      <c r="C390" s="168" t="s">
        <v>71</v>
      </c>
      <c r="D390" s="169" t="s">
        <v>1950</v>
      </c>
      <c r="E390" s="173"/>
    </row>
    <row r="391" spans="1:5">
      <c r="A391" s="1" t="s">
        <v>4</v>
      </c>
      <c r="B391" s="43">
        <v>2825490</v>
      </c>
      <c r="C391" s="168" t="s">
        <v>71</v>
      </c>
      <c r="D391" s="169" t="s">
        <v>1951</v>
      </c>
      <c r="E391" s="173"/>
    </row>
    <row r="392" spans="1:5">
      <c r="A392" s="1" t="s">
        <v>4</v>
      </c>
      <c r="B392" s="43">
        <v>2829007</v>
      </c>
      <c r="C392" s="168" t="s">
        <v>71</v>
      </c>
      <c r="D392" s="169" t="s">
        <v>1952</v>
      </c>
      <c r="E392" s="173"/>
    </row>
    <row r="393" spans="1:5">
      <c r="A393" s="1" t="s">
        <v>4</v>
      </c>
      <c r="B393" s="43">
        <v>711805</v>
      </c>
      <c r="C393" s="168" t="s">
        <v>90</v>
      </c>
      <c r="D393" s="169" t="s">
        <v>1953</v>
      </c>
      <c r="E393" s="173"/>
    </row>
    <row r="394" spans="1:5">
      <c r="A394" s="1" t="s">
        <v>4</v>
      </c>
      <c r="B394" s="43">
        <v>482051</v>
      </c>
      <c r="C394" s="168" t="s">
        <v>1593</v>
      </c>
      <c r="D394" s="169" t="s">
        <v>1954</v>
      </c>
      <c r="E394" s="173"/>
    </row>
    <row r="395" spans="1:5">
      <c r="A395" s="1" t="s">
        <v>4</v>
      </c>
      <c r="B395" s="43">
        <v>359601</v>
      </c>
      <c r="C395" s="168" t="s">
        <v>1593</v>
      </c>
      <c r="D395" s="169" t="s">
        <v>1955</v>
      </c>
      <c r="E395" s="173"/>
    </row>
    <row r="396" spans="1:5">
      <c r="A396" s="1" t="s">
        <v>4</v>
      </c>
      <c r="B396" s="43">
        <v>2825076</v>
      </c>
      <c r="C396" s="168" t="s">
        <v>1593</v>
      </c>
      <c r="D396" s="169" t="s">
        <v>1956</v>
      </c>
      <c r="E396" s="173"/>
    </row>
    <row r="397" spans="1:5">
      <c r="A397" s="1" t="s">
        <v>4</v>
      </c>
      <c r="B397" s="43">
        <v>2825261</v>
      </c>
      <c r="C397" s="168" t="s">
        <v>1593</v>
      </c>
      <c r="D397" s="169" t="s">
        <v>1957</v>
      </c>
      <c r="E397" s="173"/>
    </row>
    <row r="398" spans="1:5">
      <c r="A398" s="1" t="s">
        <v>4</v>
      </c>
      <c r="B398" s="43">
        <v>2836016</v>
      </c>
      <c r="C398" s="168" t="s">
        <v>1593</v>
      </c>
      <c r="D398" s="169" t="s">
        <v>1958</v>
      </c>
      <c r="E398" s="173"/>
    </row>
    <row r="399" spans="1:5">
      <c r="A399" s="1" t="s">
        <v>4</v>
      </c>
      <c r="B399" s="43">
        <v>2976136</v>
      </c>
      <c r="C399" s="168" t="s">
        <v>1593</v>
      </c>
      <c r="D399" s="169" t="s">
        <v>1959</v>
      </c>
      <c r="E399" s="173"/>
    </row>
    <row r="400" spans="1:5">
      <c r="A400" s="1" t="s">
        <v>4</v>
      </c>
      <c r="B400" s="43">
        <v>5025098</v>
      </c>
      <c r="C400" s="168" t="s">
        <v>1593</v>
      </c>
      <c r="D400" s="169" t="s">
        <v>1867</v>
      </c>
      <c r="E400" s="173"/>
    </row>
    <row r="401" spans="1:5">
      <c r="A401" s="1" t="s">
        <v>4</v>
      </c>
      <c r="B401" s="43">
        <v>2825731</v>
      </c>
      <c r="C401" s="168" t="s">
        <v>1593</v>
      </c>
      <c r="D401" s="175" t="s">
        <v>1960</v>
      </c>
      <c r="E401" s="173"/>
    </row>
    <row r="402" spans="1:5">
      <c r="A402" s="1" t="s">
        <v>4</v>
      </c>
      <c r="B402" s="43">
        <v>2313156</v>
      </c>
      <c r="C402" s="168" t="s">
        <v>1593</v>
      </c>
      <c r="D402" s="169" t="s">
        <v>1866</v>
      </c>
      <c r="E402" s="173"/>
    </row>
    <row r="403" spans="1:5">
      <c r="A403" s="1" t="s">
        <v>4</v>
      </c>
      <c r="B403" s="43">
        <v>5019837</v>
      </c>
      <c r="C403" s="168" t="s">
        <v>1593</v>
      </c>
      <c r="D403" s="169" t="s">
        <v>1961</v>
      </c>
      <c r="E403" s="173"/>
    </row>
    <row r="404" spans="1:5">
      <c r="A404" s="1" t="s">
        <v>4</v>
      </c>
      <c r="B404" s="43">
        <v>2353949</v>
      </c>
      <c r="C404" s="168" t="s">
        <v>1593</v>
      </c>
      <c r="D404" s="169" t="s">
        <v>1962</v>
      </c>
      <c r="E404" s="173"/>
    </row>
    <row r="405" spans="1:5">
      <c r="A405" s="1" t="s">
        <v>4</v>
      </c>
      <c r="B405" s="43">
        <v>2849185</v>
      </c>
      <c r="C405" s="168" t="s">
        <v>1593</v>
      </c>
      <c r="D405" s="169" t="s">
        <v>1868</v>
      </c>
      <c r="E405" s="173"/>
    </row>
    <row r="406" spans="1:5">
      <c r="A406" s="1" t="s">
        <v>4</v>
      </c>
      <c r="B406" s="43">
        <v>2848321</v>
      </c>
      <c r="C406" s="168" t="s">
        <v>1593</v>
      </c>
      <c r="D406" s="169" t="s">
        <v>1963</v>
      </c>
      <c r="E406" s="173"/>
    </row>
    <row r="407" spans="1:5">
      <c r="A407" s="1" t="s">
        <v>4</v>
      </c>
      <c r="B407" s="43">
        <v>2825696</v>
      </c>
      <c r="C407" s="168" t="s">
        <v>1593</v>
      </c>
      <c r="D407" s="169" t="s">
        <v>1964</v>
      </c>
      <c r="E407" s="173"/>
    </row>
    <row r="408" spans="1:5">
      <c r="A408" s="1" t="s">
        <v>4</v>
      </c>
      <c r="B408" s="43">
        <v>2878126</v>
      </c>
      <c r="C408" s="168" t="s">
        <v>1593</v>
      </c>
      <c r="D408" s="169" t="s">
        <v>1965</v>
      </c>
      <c r="E408" s="173"/>
    </row>
    <row r="409" spans="1:5">
      <c r="A409" s="1" t="s">
        <v>4</v>
      </c>
      <c r="B409" s="43">
        <v>2857061</v>
      </c>
      <c r="C409" s="168" t="s">
        <v>1593</v>
      </c>
      <c r="D409" s="169" t="s">
        <v>1966</v>
      </c>
      <c r="E409" s="173"/>
    </row>
    <row r="410" spans="1:5">
      <c r="A410" s="1" t="s">
        <v>4</v>
      </c>
      <c r="B410" s="43">
        <v>2824373</v>
      </c>
      <c r="C410" s="168" t="s">
        <v>1593</v>
      </c>
      <c r="D410" s="169" t="s">
        <v>1967</v>
      </c>
      <c r="E410" s="173"/>
    </row>
    <row r="411" spans="1:5">
      <c r="A411" s="1" t="s">
        <v>4</v>
      </c>
      <c r="B411" s="43">
        <v>2874051</v>
      </c>
      <c r="C411" s="168" t="s">
        <v>1593</v>
      </c>
      <c r="D411" s="169" t="s">
        <v>1968</v>
      </c>
      <c r="E411" s="173"/>
    </row>
    <row r="412" spans="1:5">
      <c r="A412" s="1" t="s">
        <v>4</v>
      </c>
      <c r="B412" s="43">
        <v>2874052</v>
      </c>
      <c r="C412" s="168" t="s">
        <v>1593</v>
      </c>
      <c r="D412" s="169" t="s">
        <v>1969</v>
      </c>
      <c r="E412" s="173"/>
    </row>
    <row r="413" spans="1:5">
      <c r="A413" s="1" t="s">
        <v>4</v>
      </c>
      <c r="B413" s="43">
        <v>2829004</v>
      </c>
      <c r="C413" s="168" t="s">
        <v>1593</v>
      </c>
      <c r="D413" s="169" t="s">
        <v>1970</v>
      </c>
      <c r="E413" s="173"/>
    </row>
    <row r="414" spans="1:5">
      <c r="A414" s="1" t="s">
        <v>4</v>
      </c>
      <c r="B414" s="43">
        <v>2825738</v>
      </c>
      <c r="C414" s="168" t="s">
        <v>1593</v>
      </c>
      <c r="D414" s="169" t="s">
        <v>1971</v>
      </c>
      <c r="E414" s="173"/>
    </row>
    <row r="415" spans="1:5">
      <c r="A415" s="1" t="s">
        <v>4</v>
      </c>
      <c r="B415" s="43">
        <v>2401226</v>
      </c>
      <c r="C415" s="168" t="s">
        <v>1593</v>
      </c>
      <c r="D415" s="169" t="s">
        <v>1972</v>
      </c>
      <c r="E415" s="173"/>
    </row>
    <row r="416" spans="1:5">
      <c r="A416" s="1" t="s">
        <v>4</v>
      </c>
      <c r="B416" s="43">
        <v>2833082</v>
      </c>
      <c r="C416" s="168" t="s">
        <v>1593</v>
      </c>
      <c r="D416" s="169" t="s">
        <v>1973</v>
      </c>
      <c r="E416" s="173"/>
    </row>
    <row r="417" spans="1:5">
      <c r="A417" s="1" t="s">
        <v>4</v>
      </c>
      <c r="B417" s="43">
        <v>2825739</v>
      </c>
      <c r="C417" s="168" t="s">
        <v>1593</v>
      </c>
      <c r="D417" s="169" t="s">
        <v>1974</v>
      </c>
      <c r="E417" s="173"/>
    </row>
    <row r="418" spans="1:5">
      <c r="A418" s="1" t="s">
        <v>4</v>
      </c>
      <c r="B418" s="43">
        <v>2894005</v>
      </c>
      <c r="C418" s="168" t="s">
        <v>1593</v>
      </c>
      <c r="D418" s="169" t="s">
        <v>1975</v>
      </c>
      <c r="E418" s="173"/>
    </row>
    <row r="419" spans="1:5">
      <c r="A419" s="1" t="s">
        <v>4</v>
      </c>
      <c r="B419" s="43">
        <v>2825372</v>
      </c>
      <c r="C419" s="168" t="s">
        <v>1593</v>
      </c>
      <c r="D419" s="169" t="s">
        <v>1976</v>
      </c>
      <c r="E419" s="173"/>
    </row>
    <row r="420" spans="1:5">
      <c r="A420" s="1" t="s">
        <v>4</v>
      </c>
      <c r="B420" s="43">
        <v>2835067</v>
      </c>
      <c r="C420" s="168" t="s">
        <v>1593</v>
      </c>
      <c r="D420" s="169" t="s">
        <v>1977</v>
      </c>
      <c r="E420" s="173"/>
    </row>
    <row r="421" spans="1:5">
      <c r="A421" s="1" t="s">
        <v>4</v>
      </c>
      <c r="B421" s="43">
        <v>176760</v>
      </c>
      <c r="C421" s="168" t="s">
        <v>1593</v>
      </c>
      <c r="D421" s="169" t="s">
        <v>1862</v>
      </c>
      <c r="E421" s="173"/>
    </row>
    <row r="422" spans="1:5">
      <c r="A422" s="1" t="s">
        <v>4</v>
      </c>
      <c r="B422" s="43">
        <v>148625</v>
      </c>
      <c r="C422" s="168" t="s">
        <v>1593</v>
      </c>
      <c r="D422" s="169" t="s">
        <v>1978</v>
      </c>
      <c r="E422" s="173"/>
    </row>
    <row r="423" spans="1:5">
      <c r="A423" s="1" t="s">
        <v>4</v>
      </c>
      <c r="B423" s="43">
        <v>2424508</v>
      </c>
      <c r="C423" s="168" t="s">
        <v>1593</v>
      </c>
      <c r="D423" s="169" t="s">
        <v>1979</v>
      </c>
      <c r="E423" s="173"/>
    </row>
    <row r="424" spans="1:5">
      <c r="A424" s="1" t="s">
        <v>4</v>
      </c>
      <c r="B424" s="43">
        <v>2425282</v>
      </c>
      <c r="C424" s="168" t="s">
        <v>1593</v>
      </c>
      <c r="D424" s="169" t="s">
        <v>1980</v>
      </c>
      <c r="E424" s="173"/>
    </row>
    <row r="425" spans="1:5">
      <c r="A425" s="1" t="s">
        <v>4</v>
      </c>
      <c r="B425" s="43">
        <v>2425359</v>
      </c>
      <c r="C425" s="168" t="s">
        <v>1593</v>
      </c>
      <c r="D425" s="169" t="s">
        <v>1861</v>
      </c>
      <c r="E425" s="173"/>
    </row>
    <row r="426" spans="1:5">
      <c r="A426" s="1" t="s">
        <v>5</v>
      </c>
      <c r="B426" s="165" t="s">
        <v>68</v>
      </c>
      <c r="C426" s="166" t="s">
        <v>62</v>
      </c>
      <c r="D426" s="176" t="s">
        <v>69</v>
      </c>
      <c r="E426" s="166" t="s">
        <v>70</v>
      </c>
    </row>
    <row r="427" spans="1:5">
      <c r="A427" s="1" t="s">
        <v>5</v>
      </c>
      <c r="B427" s="43">
        <v>664804</v>
      </c>
      <c r="C427" s="168" t="s">
        <v>71</v>
      </c>
      <c r="D427" s="169" t="s">
        <v>1981</v>
      </c>
      <c r="E427" s="170" t="s">
        <v>1982</v>
      </c>
    </row>
    <row r="428" spans="1:5">
      <c r="A428" s="1" t="s">
        <v>5</v>
      </c>
      <c r="B428" s="43">
        <v>5015882</v>
      </c>
      <c r="C428" s="168" t="s">
        <v>71</v>
      </c>
      <c r="D428" s="169" t="s">
        <v>1690</v>
      </c>
      <c r="E428" s="170" t="s">
        <v>1749</v>
      </c>
    </row>
    <row r="429" spans="1:5">
      <c r="A429" s="1" t="s">
        <v>5</v>
      </c>
      <c r="B429" s="43">
        <v>2242042</v>
      </c>
      <c r="C429" s="168" t="s">
        <v>1593</v>
      </c>
      <c r="D429" s="169" t="s">
        <v>1983</v>
      </c>
      <c r="E429" s="170" t="s">
        <v>1688</v>
      </c>
    </row>
    <row r="430" spans="1:5">
      <c r="A430" s="1" t="s">
        <v>5</v>
      </c>
      <c r="B430" s="43">
        <v>182921</v>
      </c>
      <c r="C430" s="168" t="s">
        <v>90</v>
      </c>
      <c r="D430" s="169" t="s">
        <v>1984</v>
      </c>
      <c r="E430" s="170" t="s">
        <v>1985</v>
      </c>
    </row>
    <row r="431" spans="1:5">
      <c r="A431" s="1" t="s">
        <v>5</v>
      </c>
      <c r="B431" s="43">
        <v>580624</v>
      </c>
      <c r="C431" s="168" t="s">
        <v>71</v>
      </c>
      <c r="D431" s="169" t="s">
        <v>1693</v>
      </c>
      <c r="E431" s="173"/>
    </row>
    <row r="432" spans="1:5">
      <c r="A432" s="1" t="s">
        <v>5</v>
      </c>
      <c r="B432" s="43">
        <v>743145</v>
      </c>
      <c r="C432" s="168" t="s">
        <v>71</v>
      </c>
      <c r="D432" s="169" t="s">
        <v>1891</v>
      </c>
      <c r="E432" s="173"/>
    </row>
    <row r="433" spans="1:5">
      <c r="A433" s="1" t="s">
        <v>5</v>
      </c>
      <c r="B433" s="43">
        <v>2825157</v>
      </c>
      <c r="C433" s="168" t="s">
        <v>773</v>
      </c>
      <c r="D433" s="169" t="s">
        <v>1986</v>
      </c>
      <c r="E433" s="173"/>
    </row>
    <row r="434" spans="1:5">
      <c r="A434" s="1" t="s">
        <v>5</v>
      </c>
      <c r="B434" s="43">
        <v>564548</v>
      </c>
      <c r="C434" s="168" t="s">
        <v>1593</v>
      </c>
      <c r="D434" s="169" t="s">
        <v>1987</v>
      </c>
      <c r="E434" s="173"/>
    </row>
    <row r="435" spans="1:5">
      <c r="A435" s="1" t="s">
        <v>5</v>
      </c>
      <c r="B435" s="43">
        <v>2241055</v>
      </c>
      <c r="C435" s="168" t="s">
        <v>1593</v>
      </c>
      <c r="D435" s="169" t="s">
        <v>1988</v>
      </c>
      <c r="E435" s="173"/>
    </row>
    <row r="436" spans="1:5">
      <c r="A436" s="1" t="s">
        <v>5</v>
      </c>
      <c r="B436" s="43">
        <v>656781</v>
      </c>
      <c r="C436" s="168" t="s">
        <v>71</v>
      </c>
      <c r="D436" s="169" t="s">
        <v>1772</v>
      </c>
      <c r="E436" s="173"/>
    </row>
    <row r="437" spans="1:5">
      <c r="A437" s="1" t="s">
        <v>5</v>
      </c>
      <c r="B437" s="43">
        <v>601769</v>
      </c>
      <c r="C437" s="168" t="s">
        <v>71</v>
      </c>
      <c r="D437" s="169" t="s">
        <v>1989</v>
      </c>
      <c r="E437" s="173"/>
    </row>
    <row r="438" spans="1:5">
      <c r="A438" s="1" t="s">
        <v>5</v>
      </c>
      <c r="B438" s="43">
        <v>808670</v>
      </c>
      <c r="C438" s="168" t="s">
        <v>71</v>
      </c>
      <c r="D438" s="169" t="s">
        <v>1990</v>
      </c>
      <c r="E438" s="173"/>
    </row>
    <row r="439" spans="1:5">
      <c r="A439" s="1" t="s">
        <v>5</v>
      </c>
      <c r="B439" s="43">
        <v>746305</v>
      </c>
      <c r="C439" s="168" t="s">
        <v>71</v>
      </c>
      <c r="D439" s="169" t="s">
        <v>1991</v>
      </c>
      <c r="E439" s="173"/>
    </row>
    <row r="440" spans="1:5">
      <c r="A440" s="1" t="s">
        <v>5</v>
      </c>
      <c r="B440" s="43">
        <v>681075</v>
      </c>
      <c r="C440" s="168" t="s">
        <v>71</v>
      </c>
      <c r="D440" s="169" t="s">
        <v>1776</v>
      </c>
      <c r="E440" s="173"/>
    </row>
    <row r="441" spans="1:5">
      <c r="A441" s="1" t="s">
        <v>5</v>
      </c>
      <c r="B441" s="43">
        <v>2820193</v>
      </c>
      <c r="C441" s="168" t="s">
        <v>71</v>
      </c>
      <c r="D441" s="175" t="s">
        <v>1992</v>
      </c>
      <c r="E441" s="173"/>
    </row>
    <row r="442" spans="1:5">
      <c r="A442" s="1" t="s">
        <v>5</v>
      </c>
      <c r="B442" s="43">
        <v>5015883</v>
      </c>
      <c r="C442" s="168" t="s">
        <v>71</v>
      </c>
      <c r="D442" s="169" t="s">
        <v>1993</v>
      </c>
      <c r="E442" s="173"/>
    </row>
    <row r="443" spans="1:5">
      <c r="A443" s="1" t="s">
        <v>5</v>
      </c>
      <c r="B443" s="43">
        <v>2870082</v>
      </c>
      <c r="C443" s="168" t="s">
        <v>1593</v>
      </c>
      <c r="D443" s="169" t="s">
        <v>1994</v>
      </c>
      <c r="E443" s="173"/>
    </row>
    <row r="444" spans="1:5">
      <c r="A444" s="1" t="s">
        <v>5</v>
      </c>
      <c r="B444" s="43">
        <v>784281</v>
      </c>
      <c r="C444" s="168" t="s">
        <v>90</v>
      </c>
      <c r="D444" s="169" t="s">
        <v>1995</v>
      </c>
      <c r="E444" s="173"/>
    </row>
    <row r="445" spans="1:5">
      <c r="A445" s="1" t="s">
        <v>5</v>
      </c>
      <c r="B445" s="43">
        <v>2885186</v>
      </c>
      <c r="C445" s="168" t="s">
        <v>90</v>
      </c>
      <c r="D445" s="169" t="s">
        <v>1996</v>
      </c>
      <c r="E445" s="173"/>
    </row>
    <row r="446" spans="1:5">
      <c r="A446" s="1" t="s">
        <v>5</v>
      </c>
      <c r="B446" s="43">
        <v>2832010</v>
      </c>
      <c r="C446" s="168" t="s">
        <v>83</v>
      </c>
      <c r="D446" s="169" t="s">
        <v>1997</v>
      </c>
      <c r="E446" s="173"/>
    </row>
    <row r="447" spans="1:5">
      <c r="A447" s="1" t="s">
        <v>5</v>
      </c>
      <c r="B447" s="43">
        <v>2870084</v>
      </c>
      <c r="C447" s="168" t="s">
        <v>83</v>
      </c>
      <c r="D447" s="169" t="s">
        <v>1630</v>
      </c>
      <c r="E447" s="173"/>
    </row>
    <row r="448" spans="1:5">
      <c r="A448" s="1" t="s">
        <v>5</v>
      </c>
      <c r="B448" s="43">
        <v>534584</v>
      </c>
      <c r="C448" s="168" t="s">
        <v>83</v>
      </c>
      <c r="D448" s="169" t="s">
        <v>1838</v>
      </c>
      <c r="E448" s="173"/>
    </row>
    <row r="449" spans="1:5">
      <c r="A449" s="1" t="s">
        <v>5</v>
      </c>
      <c r="B449" s="43">
        <v>746260</v>
      </c>
      <c r="C449" s="168" t="s">
        <v>83</v>
      </c>
      <c r="D449" s="169" t="s">
        <v>1998</v>
      </c>
      <c r="E449" s="173"/>
    </row>
    <row r="450" spans="1:5">
      <c r="A450" s="1" t="s">
        <v>5</v>
      </c>
      <c r="B450" s="43">
        <v>2825336</v>
      </c>
      <c r="C450" s="168" t="s">
        <v>83</v>
      </c>
      <c r="D450" s="169" t="s">
        <v>1999</v>
      </c>
      <c r="E450" s="173"/>
    </row>
    <row r="451" spans="1:5">
      <c r="A451" s="1" t="s">
        <v>5</v>
      </c>
      <c r="B451" s="43">
        <v>2887217</v>
      </c>
      <c r="C451" s="168" t="s">
        <v>83</v>
      </c>
      <c r="D451" s="169" t="s">
        <v>1850</v>
      </c>
      <c r="E451" s="173"/>
    </row>
    <row r="452" spans="1:5">
      <c r="A452" s="1" t="s">
        <v>5</v>
      </c>
      <c r="B452" s="43">
        <v>2884261</v>
      </c>
      <c r="C452" s="168" t="s">
        <v>83</v>
      </c>
      <c r="D452" s="169" t="s">
        <v>2000</v>
      </c>
      <c r="E452" s="173"/>
    </row>
    <row r="453" spans="1:5">
      <c r="A453" s="1" t="s">
        <v>5</v>
      </c>
      <c r="B453" s="43">
        <v>2884262</v>
      </c>
      <c r="C453" s="168" t="s">
        <v>83</v>
      </c>
      <c r="D453" s="169" t="s">
        <v>2001</v>
      </c>
      <c r="E453" s="173"/>
    </row>
    <row r="454" spans="1:5">
      <c r="A454" s="1" t="s">
        <v>5</v>
      </c>
      <c r="B454" s="43">
        <v>2882168</v>
      </c>
      <c r="C454" s="168" t="s">
        <v>83</v>
      </c>
      <c r="D454" s="169" t="s">
        <v>1929</v>
      </c>
      <c r="E454" s="173"/>
    </row>
    <row r="455" spans="1:5">
      <c r="A455" s="1" t="s">
        <v>5</v>
      </c>
      <c r="B455" s="43">
        <v>2815033</v>
      </c>
      <c r="C455" s="168" t="s">
        <v>773</v>
      </c>
      <c r="D455" s="169" t="s">
        <v>1723</v>
      </c>
      <c r="E455" s="173"/>
    </row>
    <row r="456" spans="1:5">
      <c r="A456" s="1" t="s">
        <v>5</v>
      </c>
      <c r="B456" s="43">
        <v>622052</v>
      </c>
      <c r="C456" s="168" t="s">
        <v>773</v>
      </c>
      <c r="D456" s="169" t="s">
        <v>2002</v>
      </c>
      <c r="E456" s="173"/>
    </row>
    <row r="457" spans="1:5">
      <c r="A457" s="1" t="s">
        <v>5</v>
      </c>
      <c r="B457" s="43">
        <v>423244</v>
      </c>
      <c r="C457" s="168" t="s">
        <v>1593</v>
      </c>
      <c r="D457" s="169" t="s">
        <v>2003</v>
      </c>
      <c r="E457" s="173"/>
    </row>
    <row r="458" spans="1:5">
      <c r="A458" s="1" t="s">
        <v>5</v>
      </c>
      <c r="B458" s="43">
        <v>746303</v>
      </c>
      <c r="C458" s="168" t="s">
        <v>1593</v>
      </c>
      <c r="D458" s="169" t="s">
        <v>2004</v>
      </c>
      <c r="E458" s="173"/>
    </row>
    <row r="459" spans="1:5">
      <c r="A459" s="1" t="s">
        <v>5</v>
      </c>
      <c r="B459" s="43">
        <v>180863</v>
      </c>
      <c r="C459" s="168" t="s">
        <v>1593</v>
      </c>
      <c r="D459" s="169" t="s">
        <v>2005</v>
      </c>
      <c r="E459" s="173"/>
    </row>
    <row r="460" spans="1:5">
      <c r="A460" s="1" t="s">
        <v>5</v>
      </c>
      <c r="B460" s="43">
        <v>176760</v>
      </c>
      <c r="C460" s="168" t="s">
        <v>1593</v>
      </c>
      <c r="D460" s="169" t="s">
        <v>1862</v>
      </c>
      <c r="E460" s="173"/>
    </row>
    <row r="461" spans="1:5">
      <c r="A461" s="1" t="s">
        <v>5</v>
      </c>
      <c r="B461" s="43">
        <v>2832037</v>
      </c>
      <c r="C461" s="168" t="s">
        <v>1593</v>
      </c>
      <c r="D461" s="169" t="s">
        <v>2006</v>
      </c>
      <c r="E461" s="173"/>
    </row>
    <row r="462" spans="1:5">
      <c r="A462" s="1" t="s">
        <v>5</v>
      </c>
      <c r="B462" s="43">
        <v>2838111</v>
      </c>
      <c r="C462" s="168" t="s">
        <v>1593</v>
      </c>
      <c r="D462" s="169" t="s">
        <v>2007</v>
      </c>
      <c r="E462" s="173"/>
    </row>
    <row r="463" spans="1:5">
      <c r="A463" s="1" t="s">
        <v>5</v>
      </c>
      <c r="B463" s="43">
        <v>2819030</v>
      </c>
      <c r="C463" s="168" t="s">
        <v>1593</v>
      </c>
      <c r="D463" s="169" t="s">
        <v>2008</v>
      </c>
      <c r="E463" s="173"/>
    </row>
    <row r="464" spans="1:5">
      <c r="A464" s="1" t="s">
        <v>5</v>
      </c>
      <c r="B464" s="43">
        <v>2878126</v>
      </c>
      <c r="C464" s="168" t="s">
        <v>1593</v>
      </c>
      <c r="D464" s="169" t="s">
        <v>1965</v>
      </c>
      <c r="E464" s="173"/>
    </row>
    <row r="465" spans="1:5">
      <c r="A465" s="1" t="s">
        <v>5</v>
      </c>
      <c r="B465" s="43">
        <v>2823547</v>
      </c>
      <c r="C465" s="168" t="s">
        <v>71</v>
      </c>
      <c r="D465" s="169" t="s">
        <v>2009</v>
      </c>
      <c r="E465" s="173"/>
    </row>
    <row r="466" spans="1:5">
      <c r="A466" s="1" t="s">
        <v>6</v>
      </c>
      <c r="B466" s="165" t="s">
        <v>68</v>
      </c>
      <c r="C466" s="166" t="s">
        <v>62</v>
      </c>
      <c r="D466" s="176" t="s">
        <v>69</v>
      </c>
      <c r="E466" s="166" t="s">
        <v>70</v>
      </c>
    </row>
    <row r="467" spans="1:5">
      <c r="A467" s="1" t="s">
        <v>6</v>
      </c>
      <c r="B467" s="43">
        <v>2801190</v>
      </c>
      <c r="C467" s="168" t="s">
        <v>90</v>
      </c>
      <c r="D467" s="169" t="s">
        <v>2010</v>
      </c>
      <c r="E467" s="170" t="s">
        <v>2011</v>
      </c>
    </row>
    <row r="468" spans="1:5">
      <c r="A468" s="1" t="s">
        <v>6</v>
      </c>
      <c r="B468" s="43">
        <v>693111</v>
      </c>
      <c r="C468" s="168" t="s">
        <v>90</v>
      </c>
      <c r="D468" s="169" t="s">
        <v>1739</v>
      </c>
      <c r="E468" s="170" t="s">
        <v>2012</v>
      </c>
    </row>
    <row r="469" spans="1:5">
      <c r="A469" s="1" t="s">
        <v>6</v>
      </c>
      <c r="B469" s="43">
        <v>740417</v>
      </c>
      <c r="C469" s="168" t="s">
        <v>83</v>
      </c>
      <c r="D469" s="169" t="s">
        <v>2013</v>
      </c>
      <c r="E469" s="170" t="s">
        <v>2014</v>
      </c>
    </row>
    <row r="470" spans="1:5">
      <c r="A470" s="1" t="s">
        <v>6</v>
      </c>
      <c r="B470" s="43">
        <v>5015866</v>
      </c>
      <c r="C470" s="168" t="s">
        <v>71</v>
      </c>
      <c r="D470" s="169" t="s">
        <v>2015</v>
      </c>
      <c r="E470" s="170" t="s">
        <v>2016</v>
      </c>
    </row>
    <row r="471" spans="1:5">
      <c r="A471" s="1" t="s">
        <v>6</v>
      </c>
      <c r="B471" s="43">
        <v>2875267</v>
      </c>
      <c r="C471" s="168" t="s">
        <v>90</v>
      </c>
      <c r="D471" s="169" t="s">
        <v>2017</v>
      </c>
      <c r="E471" s="170" t="s">
        <v>2018</v>
      </c>
    </row>
    <row r="472" spans="1:5">
      <c r="A472" s="1" t="s">
        <v>6</v>
      </c>
      <c r="B472" s="43">
        <v>447322</v>
      </c>
      <c r="C472" s="168" t="s">
        <v>71</v>
      </c>
      <c r="D472" s="169" t="s">
        <v>2019</v>
      </c>
      <c r="E472" s="170" t="s">
        <v>2020</v>
      </c>
    </row>
    <row r="473" spans="1:5">
      <c r="A473" s="1" t="s">
        <v>6</v>
      </c>
      <c r="B473" s="43">
        <v>2838174</v>
      </c>
      <c r="C473" s="168" t="s">
        <v>90</v>
      </c>
      <c r="D473" s="169" t="s">
        <v>2021</v>
      </c>
      <c r="E473" s="170" t="s">
        <v>2022</v>
      </c>
    </row>
    <row r="474" spans="1:5">
      <c r="A474" s="1" t="s">
        <v>6</v>
      </c>
      <c r="B474" s="43">
        <v>2878185</v>
      </c>
      <c r="C474" s="168" t="s">
        <v>83</v>
      </c>
      <c r="D474" s="169" t="s">
        <v>2023</v>
      </c>
      <c r="E474" s="170" t="s">
        <v>2024</v>
      </c>
    </row>
    <row r="475" spans="1:5">
      <c r="A475" s="1" t="s">
        <v>6</v>
      </c>
      <c r="B475" s="43">
        <v>3129485</v>
      </c>
      <c r="C475" s="168" t="s">
        <v>83</v>
      </c>
      <c r="D475" s="169" t="s">
        <v>2025</v>
      </c>
      <c r="E475" s="170" t="s">
        <v>2026</v>
      </c>
    </row>
    <row r="476" spans="1:5">
      <c r="A476" s="1" t="s">
        <v>6</v>
      </c>
      <c r="B476" s="43">
        <v>2841521</v>
      </c>
      <c r="C476" s="168" t="s">
        <v>83</v>
      </c>
      <c r="D476" s="169" t="s">
        <v>2027</v>
      </c>
      <c r="E476" s="170" t="s">
        <v>2028</v>
      </c>
    </row>
    <row r="477" spans="1:5">
      <c r="A477" s="1" t="s">
        <v>6</v>
      </c>
      <c r="B477" s="43">
        <v>2876205</v>
      </c>
      <c r="C477" s="168" t="s">
        <v>83</v>
      </c>
      <c r="D477" s="169" t="s">
        <v>2029</v>
      </c>
      <c r="E477" s="170" t="s">
        <v>2030</v>
      </c>
    </row>
    <row r="478" spans="1:5">
      <c r="A478" s="1" t="s">
        <v>6</v>
      </c>
      <c r="B478" s="43">
        <v>2888051</v>
      </c>
      <c r="C478" s="168" t="s">
        <v>83</v>
      </c>
      <c r="D478" s="169" t="s">
        <v>1908</v>
      </c>
      <c r="E478" s="170" t="s">
        <v>2031</v>
      </c>
    </row>
    <row r="479" spans="1:5">
      <c r="A479" s="1" t="s">
        <v>6</v>
      </c>
      <c r="B479" s="43">
        <v>2873285</v>
      </c>
      <c r="C479" s="168" t="s">
        <v>71</v>
      </c>
      <c r="D479" s="169" t="s">
        <v>2032</v>
      </c>
      <c r="E479" s="170" t="s">
        <v>2033</v>
      </c>
    </row>
    <row r="480" spans="1:5">
      <c r="A480" s="1" t="s">
        <v>6</v>
      </c>
      <c r="B480" s="43">
        <v>2875326</v>
      </c>
      <c r="C480" s="168" t="s">
        <v>71</v>
      </c>
      <c r="D480" s="169" t="s">
        <v>2034</v>
      </c>
      <c r="E480" s="170" t="s">
        <v>2035</v>
      </c>
    </row>
    <row r="481" spans="1:5">
      <c r="A481" s="1" t="s">
        <v>6</v>
      </c>
      <c r="B481" s="43">
        <v>624312</v>
      </c>
      <c r="C481" s="168" t="s">
        <v>90</v>
      </c>
      <c r="D481" s="169" t="s">
        <v>2036</v>
      </c>
      <c r="E481" s="170" t="s">
        <v>2037</v>
      </c>
    </row>
    <row r="482" spans="1:5">
      <c r="A482" s="1" t="s">
        <v>6</v>
      </c>
      <c r="B482" s="43">
        <v>2807866</v>
      </c>
      <c r="C482" s="168" t="s">
        <v>90</v>
      </c>
      <c r="D482" s="169" t="s">
        <v>2038</v>
      </c>
      <c r="E482" s="173"/>
    </row>
    <row r="483" spans="1:5">
      <c r="A483" s="1" t="s">
        <v>6</v>
      </c>
      <c r="B483" s="43">
        <v>5038215</v>
      </c>
      <c r="C483" s="168" t="s">
        <v>90</v>
      </c>
      <c r="D483" s="169" t="s">
        <v>2039</v>
      </c>
      <c r="E483" s="173"/>
    </row>
    <row r="484" spans="1:5">
      <c r="A484" s="1" t="s">
        <v>6</v>
      </c>
      <c r="B484" s="43">
        <v>2814043</v>
      </c>
      <c r="C484" s="168" t="s">
        <v>90</v>
      </c>
      <c r="D484" s="169" t="s">
        <v>2040</v>
      </c>
      <c r="E484" s="173"/>
    </row>
    <row r="485" spans="1:5">
      <c r="A485" s="1" t="s">
        <v>6</v>
      </c>
      <c r="B485" s="43">
        <v>2817028</v>
      </c>
      <c r="C485" s="168" t="s">
        <v>90</v>
      </c>
      <c r="D485" s="169" t="s">
        <v>2041</v>
      </c>
      <c r="E485" s="173"/>
    </row>
    <row r="486" spans="1:5">
      <c r="A486" s="1" t="s">
        <v>6</v>
      </c>
      <c r="B486" s="43">
        <v>2823074</v>
      </c>
      <c r="C486" s="168" t="s">
        <v>90</v>
      </c>
      <c r="D486" s="169" t="s">
        <v>2042</v>
      </c>
      <c r="E486" s="173"/>
    </row>
    <row r="487" spans="1:5">
      <c r="A487" s="1" t="s">
        <v>6</v>
      </c>
      <c r="B487" s="43">
        <v>2823517</v>
      </c>
      <c r="C487" s="168" t="s">
        <v>90</v>
      </c>
      <c r="D487" s="169" t="s">
        <v>2043</v>
      </c>
      <c r="E487" s="173"/>
    </row>
    <row r="488" spans="1:5">
      <c r="A488" s="1" t="s">
        <v>6</v>
      </c>
      <c r="B488" s="43">
        <v>2824363</v>
      </c>
      <c r="C488" s="168" t="s">
        <v>90</v>
      </c>
      <c r="D488" s="169" t="s">
        <v>2044</v>
      </c>
      <c r="E488" s="173"/>
    </row>
    <row r="489" spans="1:5">
      <c r="A489" s="1" t="s">
        <v>6</v>
      </c>
      <c r="B489" s="43">
        <v>2882047</v>
      </c>
      <c r="C489" s="168" t="s">
        <v>90</v>
      </c>
      <c r="D489" s="169" t="s">
        <v>2045</v>
      </c>
      <c r="E489" s="173"/>
    </row>
    <row r="490" spans="1:5">
      <c r="A490" s="1" t="s">
        <v>6</v>
      </c>
      <c r="B490" s="43">
        <v>737794</v>
      </c>
      <c r="C490" s="168" t="s">
        <v>83</v>
      </c>
      <c r="D490" s="169" t="s">
        <v>2046</v>
      </c>
      <c r="E490" s="173"/>
    </row>
    <row r="491" spans="1:5">
      <c r="A491" s="1" t="s">
        <v>6</v>
      </c>
      <c r="B491" s="43">
        <v>5010662</v>
      </c>
      <c r="C491" s="168" t="s">
        <v>83</v>
      </c>
      <c r="D491" s="169" t="s">
        <v>2047</v>
      </c>
      <c r="E491" s="173"/>
    </row>
    <row r="492" spans="1:5">
      <c r="A492" s="1" t="s">
        <v>6</v>
      </c>
      <c r="B492" s="43">
        <v>601813</v>
      </c>
      <c r="C492" s="168" t="s">
        <v>83</v>
      </c>
      <c r="D492" s="169" t="s">
        <v>2048</v>
      </c>
      <c r="E492" s="173"/>
    </row>
    <row r="493" spans="1:5">
      <c r="A493" s="1" t="s">
        <v>6</v>
      </c>
      <c r="B493" s="43">
        <v>2808539</v>
      </c>
      <c r="C493" s="168" t="s">
        <v>83</v>
      </c>
      <c r="D493" s="169" t="s">
        <v>2049</v>
      </c>
      <c r="E493" s="173"/>
    </row>
    <row r="494" spans="1:5">
      <c r="A494" s="1" t="s">
        <v>6</v>
      </c>
      <c r="B494" s="43">
        <v>737795</v>
      </c>
      <c r="C494" s="168" t="s">
        <v>83</v>
      </c>
      <c r="D494" s="169" t="s">
        <v>2050</v>
      </c>
      <c r="E494" s="173"/>
    </row>
    <row r="495" spans="1:5">
      <c r="A495" s="1" t="s">
        <v>6</v>
      </c>
      <c r="B495" s="43">
        <v>672872</v>
      </c>
      <c r="C495" s="168" t="s">
        <v>83</v>
      </c>
      <c r="D495" s="169" t="s">
        <v>2051</v>
      </c>
      <c r="E495" s="173"/>
    </row>
    <row r="496" spans="1:5">
      <c r="A496" s="1" t="s">
        <v>6</v>
      </c>
      <c r="B496" s="43">
        <v>2211320</v>
      </c>
      <c r="C496" s="168" t="s">
        <v>83</v>
      </c>
      <c r="D496" s="169" t="s">
        <v>2052</v>
      </c>
      <c r="E496" s="173"/>
    </row>
    <row r="497" spans="1:5">
      <c r="A497" s="1" t="s">
        <v>6</v>
      </c>
      <c r="B497" s="43">
        <v>2213242</v>
      </c>
      <c r="C497" s="168" t="s">
        <v>83</v>
      </c>
      <c r="D497" s="169" t="s">
        <v>2053</v>
      </c>
      <c r="E497" s="173"/>
    </row>
    <row r="498" spans="1:5">
      <c r="A498" s="1" t="s">
        <v>6</v>
      </c>
      <c r="B498" s="43">
        <v>2810407</v>
      </c>
      <c r="C498" s="168" t="s">
        <v>83</v>
      </c>
      <c r="D498" s="169" t="s">
        <v>2054</v>
      </c>
      <c r="E498" s="173"/>
    </row>
    <row r="499" spans="1:5">
      <c r="A499" s="1" t="s">
        <v>6</v>
      </c>
      <c r="B499" s="43">
        <v>2815150</v>
      </c>
      <c r="C499" s="168" t="s">
        <v>83</v>
      </c>
      <c r="D499" s="169" t="s">
        <v>2055</v>
      </c>
      <c r="E499" s="173"/>
    </row>
    <row r="500" spans="1:5">
      <c r="A500" s="1" t="s">
        <v>6</v>
      </c>
      <c r="B500" s="43">
        <v>2816003</v>
      </c>
      <c r="C500" s="168" t="s">
        <v>83</v>
      </c>
      <c r="D500" s="169" t="s">
        <v>2056</v>
      </c>
      <c r="E500" s="173"/>
    </row>
    <row r="501" spans="1:5">
      <c r="A501" s="1" t="s">
        <v>6</v>
      </c>
      <c r="B501" s="43">
        <v>5035823</v>
      </c>
      <c r="C501" s="168" t="s">
        <v>83</v>
      </c>
      <c r="D501" s="169" t="s">
        <v>2057</v>
      </c>
      <c r="E501" s="173"/>
    </row>
    <row r="502" spans="1:5">
      <c r="A502" s="1" t="s">
        <v>6</v>
      </c>
      <c r="B502" s="43">
        <v>5038216</v>
      </c>
      <c r="C502" s="168" t="s">
        <v>83</v>
      </c>
      <c r="D502" s="169" t="s">
        <v>2058</v>
      </c>
      <c r="E502" s="173"/>
    </row>
    <row r="503" spans="1:5">
      <c r="A503" s="1" t="s">
        <v>6</v>
      </c>
      <c r="B503" s="43">
        <v>2813226</v>
      </c>
      <c r="C503" s="168" t="s">
        <v>83</v>
      </c>
      <c r="D503" s="169" t="s">
        <v>2059</v>
      </c>
      <c r="E503" s="173"/>
    </row>
    <row r="504" spans="1:5">
      <c r="A504" s="1" t="s">
        <v>6</v>
      </c>
      <c r="B504" s="43">
        <v>2814166</v>
      </c>
      <c r="C504" s="168" t="s">
        <v>83</v>
      </c>
      <c r="D504" s="169" t="s">
        <v>2060</v>
      </c>
      <c r="E504" s="173"/>
    </row>
    <row r="505" spans="1:5">
      <c r="A505" s="1" t="s">
        <v>6</v>
      </c>
      <c r="B505" s="43">
        <v>2815022</v>
      </c>
      <c r="C505" s="168" t="s">
        <v>83</v>
      </c>
      <c r="D505" s="169" t="s">
        <v>2061</v>
      </c>
      <c r="E505" s="173"/>
    </row>
    <row r="506" spans="1:5">
      <c r="A506" s="1" t="s">
        <v>6</v>
      </c>
      <c r="B506" s="43">
        <v>2817190</v>
      </c>
      <c r="C506" s="168" t="s">
        <v>83</v>
      </c>
      <c r="D506" s="169" t="s">
        <v>2062</v>
      </c>
      <c r="E506" s="173"/>
    </row>
    <row r="507" spans="1:5">
      <c r="A507" s="1" t="s">
        <v>6</v>
      </c>
      <c r="B507" s="43">
        <v>2820163</v>
      </c>
      <c r="C507" s="168" t="s">
        <v>83</v>
      </c>
      <c r="D507" s="169" t="s">
        <v>2063</v>
      </c>
      <c r="E507" s="173"/>
    </row>
    <row r="508" spans="1:5">
      <c r="A508" s="1" t="s">
        <v>6</v>
      </c>
      <c r="B508" s="43">
        <v>2822025</v>
      </c>
      <c r="C508" s="168" t="s">
        <v>83</v>
      </c>
      <c r="D508" s="169" t="s">
        <v>2064</v>
      </c>
      <c r="E508" s="173"/>
    </row>
    <row r="509" spans="1:5">
      <c r="A509" s="1" t="s">
        <v>6</v>
      </c>
      <c r="B509" s="43">
        <v>2823142</v>
      </c>
      <c r="C509" s="168" t="s">
        <v>83</v>
      </c>
      <c r="D509" s="169" t="s">
        <v>2065</v>
      </c>
      <c r="E509" s="173"/>
    </row>
    <row r="510" spans="1:5">
      <c r="A510" s="1" t="s">
        <v>6</v>
      </c>
      <c r="B510" s="43">
        <v>2825028</v>
      </c>
      <c r="C510" s="168" t="s">
        <v>83</v>
      </c>
      <c r="D510" s="169" t="s">
        <v>2066</v>
      </c>
      <c r="E510" s="173"/>
    </row>
    <row r="511" spans="1:5">
      <c r="A511" s="1" t="s">
        <v>6</v>
      </c>
      <c r="B511" s="43">
        <v>2825058</v>
      </c>
      <c r="C511" s="168" t="s">
        <v>83</v>
      </c>
      <c r="D511" s="169" t="s">
        <v>2067</v>
      </c>
      <c r="E511" s="173"/>
    </row>
    <row r="512" spans="1:5">
      <c r="A512" s="1" t="s">
        <v>6</v>
      </c>
      <c r="B512" s="43">
        <v>2825133</v>
      </c>
      <c r="C512" s="168" t="s">
        <v>83</v>
      </c>
      <c r="D512" s="169" t="s">
        <v>2068</v>
      </c>
      <c r="E512" s="173"/>
    </row>
    <row r="513" spans="1:5">
      <c r="A513" s="1" t="s">
        <v>6</v>
      </c>
      <c r="B513" s="43">
        <v>2825441</v>
      </c>
      <c r="C513" s="168" t="s">
        <v>83</v>
      </c>
      <c r="D513" s="169" t="s">
        <v>2069</v>
      </c>
      <c r="E513" s="173"/>
    </row>
    <row r="514" spans="1:5">
      <c r="A514" s="1" t="s">
        <v>6</v>
      </c>
      <c r="B514" s="43">
        <v>5038214</v>
      </c>
      <c r="C514" s="168" t="s">
        <v>83</v>
      </c>
      <c r="D514" s="169" t="s">
        <v>2070</v>
      </c>
      <c r="E514" s="173"/>
    </row>
    <row r="515" spans="1:5">
      <c r="A515" s="1" t="s">
        <v>6</v>
      </c>
      <c r="B515" s="43">
        <v>2822427</v>
      </c>
      <c r="C515" s="168" t="s">
        <v>83</v>
      </c>
      <c r="D515" s="169" t="s">
        <v>2071</v>
      </c>
      <c r="E515" s="173"/>
    </row>
    <row r="516" spans="1:5">
      <c r="A516" s="1" t="s">
        <v>6</v>
      </c>
      <c r="B516" s="43">
        <v>2822636</v>
      </c>
      <c r="C516" s="168" t="s">
        <v>83</v>
      </c>
      <c r="D516" s="169" t="s">
        <v>2072</v>
      </c>
      <c r="E516" s="173"/>
    </row>
    <row r="517" spans="1:5">
      <c r="A517" s="1" t="s">
        <v>6</v>
      </c>
      <c r="B517" s="43">
        <v>2823516</v>
      </c>
      <c r="C517" s="168" t="s">
        <v>83</v>
      </c>
      <c r="D517" s="169" t="s">
        <v>2073</v>
      </c>
      <c r="E517" s="173"/>
    </row>
    <row r="518" spans="1:5">
      <c r="A518" s="1" t="s">
        <v>6</v>
      </c>
      <c r="B518" s="43">
        <v>2822476</v>
      </c>
      <c r="C518" s="168" t="s">
        <v>83</v>
      </c>
      <c r="D518" s="169" t="s">
        <v>2074</v>
      </c>
      <c r="E518" s="173"/>
    </row>
    <row r="519" spans="1:5">
      <c r="A519" s="1" t="s">
        <v>6</v>
      </c>
      <c r="B519" s="43">
        <v>2823493</v>
      </c>
      <c r="C519" s="168" t="s">
        <v>83</v>
      </c>
      <c r="D519" s="169" t="s">
        <v>2075</v>
      </c>
      <c r="E519" s="173"/>
    </row>
    <row r="520" spans="1:5">
      <c r="A520" s="1" t="s">
        <v>6</v>
      </c>
      <c r="B520" s="43">
        <v>2824266</v>
      </c>
      <c r="C520" s="168" t="s">
        <v>83</v>
      </c>
      <c r="D520" s="169" t="s">
        <v>2076</v>
      </c>
      <c r="E520" s="173"/>
    </row>
    <row r="521" spans="1:5">
      <c r="A521" s="1" t="s">
        <v>6</v>
      </c>
      <c r="B521" s="43">
        <v>2824270</v>
      </c>
      <c r="C521" s="168" t="s">
        <v>83</v>
      </c>
      <c r="D521" s="169" t="s">
        <v>2077</v>
      </c>
      <c r="E521" s="173"/>
    </row>
    <row r="522" spans="1:5">
      <c r="A522" s="1" t="s">
        <v>6</v>
      </c>
      <c r="B522" s="43">
        <v>2822317</v>
      </c>
      <c r="C522" s="168" t="s">
        <v>83</v>
      </c>
      <c r="D522" s="169" t="s">
        <v>2078</v>
      </c>
      <c r="E522" s="173"/>
    </row>
    <row r="523" spans="1:5">
      <c r="A523" s="1" t="s">
        <v>6</v>
      </c>
      <c r="B523" s="43">
        <v>2825620</v>
      </c>
      <c r="C523" s="168" t="s">
        <v>83</v>
      </c>
      <c r="D523" s="169" t="s">
        <v>2079</v>
      </c>
      <c r="E523" s="173"/>
    </row>
    <row r="524" spans="1:5">
      <c r="A524" s="1" t="s">
        <v>6</v>
      </c>
      <c r="B524" s="43">
        <v>2823572</v>
      </c>
      <c r="C524" s="168" t="s">
        <v>83</v>
      </c>
      <c r="D524" s="169" t="s">
        <v>2080</v>
      </c>
      <c r="E524" s="173"/>
    </row>
    <row r="525" spans="1:5">
      <c r="A525" s="1" t="s">
        <v>6</v>
      </c>
      <c r="B525" s="43">
        <v>2822696</v>
      </c>
      <c r="C525" s="168" t="s">
        <v>83</v>
      </c>
      <c r="D525" s="169" t="s">
        <v>2081</v>
      </c>
      <c r="E525" s="173"/>
    </row>
    <row r="526" spans="1:5">
      <c r="A526" s="1" t="s">
        <v>6</v>
      </c>
      <c r="B526" s="43">
        <v>2823594</v>
      </c>
      <c r="C526" s="168" t="s">
        <v>83</v>
      </c>
      <c r="D526" s="169" t="s">
        <v>2082</v>
      </c>
      <c r="E526" s="173"/>
    </row>
    <row r="527" spans="1:5">
      <c r="A527" s="1" t="s">
        <v>6</v>
      </c>
      <c r="B527" s="43">
        <v>2825707</v>
      </c>
      <c r="C527" s="168" t="s">
        <v>83</v>
      </c>
      <c r="D527" s="169" t="s">
        <v>2083</v>
      </c>
      <c r="E527" s="173"/>
    </row>
    <row r="528" spans="1:5">
      <c r="A528" s="1" t="s">
        <v>6</v>
      </c>
      <c r="B528" s="43">
        <v>2835091</v>
      </c>
      <c r="C528" s="168" t="s">
        <v>83</v>
      </c>
      <c r="D528" s="169" t="s">
        <v>2084</v>
      </c>
      <c r="E528" s="173"/>
    </row>
    <row r="529" spans="1:5">
      <c r="A529" s="1" t="s">
        <v>6</v>
      </c>
      <c r="B529" s="43">
        <v>2841308</v>
      </c>
      <c r="C529" s="168" t="s">
        <v>83</v>
      </c>
      <c r="D529" s="169" t="s">
        <v>2085</v>
      </c>
      <c r="E529" s="173"/>
    </row>
    <row r="530" spans="1:5">
      <c r="A530" s="1" t="s">
        <v>6</v>
      </c>
      <c r="B530" s="43">
        <v>2871157</v>
      </c>
      <c r="C530" s="168" t="s">
        <v>83</v>
      </c>
      <c r="D530" s="169" t="s">
        <v>2086</v>
      </c>
      <c r="E530" s="173"/>
    </row>
    <row r="531" spans="1:5">
      <c r="A531" s="1" t="s">
        <v>6</v>
      </c>
      <c r="B531" s="43">
        <v>2832068</v>
      </c>
      <c r="C531" s="168" t="s">
        <v>83</v>
      </c>
      <c r="D531" s="169" t="s">
        <v>2087</v>
      </c>
      <c r="E531" s="173"/>
    </row>
    <row r="532" spans="1:5">
      <c r="A532" s="1" t="s">
        <v>6</v>
      </c>
      <c r="B532" s="43">
        <v>2841614</v>
      </c>
      <c r="C532" s="168" t="s">
        <v>83</v>
      </c>
      <c r="D532" s="169" t="s">
        <v>2088</v>
      </c>
      <c r="E532" s="173"/>
    </row>
    <row r="533" spans="1:5">
      <c r="A533" s="1" t="s">
        <v>6</v>
      </c>
      <c r="B533" s="43">
        <v>2871077</v>
      </c>
      <c r="C533" s="168" t="s">
        <v>83</v>
      </c>
      <c r="D533" s="169" t="s">
        <v>2089</v>
      </c>
      <c r="E533" s="173"/>
    </row>
    <row r="534" spans="1:5">
      <c r="A534" s="1" t="s">
        <v>6</v>
      </c>
      <c r="B534" s="43">
        <v>2282152</v>
      </c>
      <c r="C534" s="168" t="s">
        <v>83</v>
      </c>
      <c r="D534" s="169" t="s">
        <v>2090</v>
      </c>
      <c r="E534" s="173"/>
    </row>
    <row r="535" spans="1:5">
      <c r="A535" s="1" t="s">
        <v>6</v>
      </c>
      <c r="B535" s="43">
        <v>2841524</v>
      </c>
      <c r="C535" s="168" t="s">
        <v>83</v>
      </c>
      <c r="D535" s="169" t="s">
        <v>2091</v>
      </c>
      <c r="E535" s="173"/>
    </row>
    <row r="536" spans="1:5">
      <c r="A536" s="1" t="s">
        <v>6</v>
      </c>
      <c r="B536" s="43">
        <v>2841621</v>
      </c>
      <c r="C536" s="168" t="s">
        <v>83</v>
      </c>
      <c r="D536" s="169" t="s">
        <v>2092</v>
      </c>
      <c r="E536" s="173"/>
    </row>
    <row r="537" spans="1:5">
      <c r="A537" s="1" t="s">
        <v>6</v>
      </c>
      <c r="B537" s="43">
        <v>2871132</v>
      </c>
      <c r="C537" s="168" t="s">
        <v>83</v>
      </c>
      <c r="D537" s="169" t="s">
        <v>2093</v>
      </c>
      <c r="E537" s="173"/>
    </row>
    <row r="538" spans="1:5">
      <c r="A538" s="1" t="s">
        <v>6</v>
      </c>
      <c r="B538" s="43">
        <v>2873325</v>
      </c>
      <c r="C538" s="168" t="s">
        <v>83</v>
      </c>
      <c r="D538" s="169" t="s">
        <v>2094</v>
      </c>
      <c r="E538" s="173"/>
    </row>
    <row r="539" spans="1:5">
      <c r="A539" s="1" t="s">
        <v>6</v>
      </c>
      <c r="B539" s="43">
        <v>2874334</v>
      </c>
      <c r="C539" s="168" t="s">
        <v>83</v>
      </c>
      <c r="D539" s="169" t="s">
        <v>2095</v>
      </c>
      <c r="E539" s="173"/>
    </row>
    <row r="540" spans="1:5">
      <c r="A540" s="1" t="s">
        <v>6</v>
      </c>
      <c r="B540" s="43">
        <v>2875203</v>
      </c>
      <c r="C540" s="168" t="s">
        <v>83</v>
      </c>
      <c r="D540" s="169" t="s">
        <v>2096</v>
      </c>
      <c r="E540" s="173"/>
    </row>
    <row r="541" spans="1:5">
      <c r="A541" s="1" t="s">
        <v>6</v>
      </c>
      <c r="B541" s="43">
        <v>2884123</v>
      </c>
      <c r="C541" s="168" t="s">
        <v>83</v>
      </c>
      <c r="D541" s="169" t="s">
        <v>2097</v>
      </c>
      <c r="E541" s="173"/>
    </row>
    <row r="542" spans="1:5">
      <c r="A542" s="1" t="s">
        <v>6</v>
      </c>
      <c r="B542" s="43">
        <v>2883053</v>
      </c>
      <c r="C542" s="168" t="s">
        <v>83</v>
      </c>
      <c r="D542" s="169" t="s">
        <v>2098</v>
      </c>
      <c r="E542" s="173"/>
    </row>
    <row r="543" spans="1:5">
      <c r="A543" s="1" t="s">
        <v>6</v>
      </c>
      <c r="B543" s="43">
        <v>2894046</v>
      </c>
      <c r="C543" s="168" t="s">
        <v>83</v>
      </c>
      <c r="D543" s="169" t="s">
        <v>2099</v>
      </c>
      <c r="E543" s="173"/>
    </row>
    <row r="544" spans="1:5">
      <c r="A544" s="1" t="s">
        <v>6</v>
      </c>
      <c r="B544" s="43">
        <v>2886062</v>
      </c>
      <c r="C544" s="168" t="s">
        <v>83</v>
      </c>
      <c r="D544" s="169" t="s">
        <v>2100</v>
      </c>
      <c r="E544" s="173"/>
    </row>
    <row r="545" spans="1:5">
      <c r="A545" s="1" t="s">
        <v>6</v>
      </c>
      <c r="B545" s="43">
        <v>2882060</v>
      </c>
      <c r="C545" s="168" t="s">
        <v>83</v>
      </c>
      <c r="D545" s="169" t="s">
        <v>2101</v>
      </c>
      <c r="E545" s="173"/>
    </row>
    <row r="546" spans="1:5">
      <c r="A546" s="1" t="s">
        <v>6</v>
      </c>
      <c r="B546" s="43">
        <v>2422613</v>
      </c>
      <c r="C546" s="168" t="s">
        <v>83</v>
      </c>
      <c r="D546" s="169" t="s">
        <v>2102</v>
      </c>
      <c r="E546" s="173"/>
    </row>
    <row r="547" spans="1:5">
      <c r="A547" s="1" t="s">
        <v>6</v>
      </c>
      <c r="B547" s="43">
        <v>2425484</v>
      </c>
      <c r="C547" s="168" t="s">
        <v>83</v>
      </c>
      <c r="D547" s="169" t="s">
        <v>2103</v>
      </c>
      <c r="E547" s="173"/>
    </row>
    <row r="548" spans="1:5">
      <c r="A548" s="1" t="s">
        <v>6</v>
      </c>
      <c r="B548" s="43">
        <v>2884067</v>
      </c>
      <c r="C548" s="168" t="s">
        <v>83</v>
      </c>
      <c r="D548" s="169" t="s">
        <v>2104</v>
      </c>
      <c r="E548" s="173"/>
    </row>
    <row r="549" spans="1:5">
      <c r="A549" s="1" t="s">
        <v>6</v>
      </c>
      <c r="B549" s="43">
        <v>2885052</v>
      </c>
      <c r="C549" s="168" t="s">
        <v>83</v>
      </c>
      <c r="D549" s="169" t="s">
        <v>2105</v>
      </c>
      <c r="E549" s="173"/>
    </row>
    <row r="550" spans="1:5">
      <c r="A550" s="1" t="s">
        <v>6</v>
      </c>
      <c r="B550" s="43">
        <v>2885053</v>
      </c>
      <c r="C550" s="168" t="s">
        <v>83</v>
      </c>
      <c r="D550" s="169" t="s">
        <v>2106</v>
      </c>
      <c r="E550" s="173"/>
    </row>
    <row r="551" spans="1:5">
      <c r="A551" s="1" t="s">
        <v>6</v>
      </c>
      <c r="B551" s="43">
        <v>3000143</v>
      </c>
      <c r="C551" s="168" t="s">
        <v>83</v>
      </c>
      <c r="D551" s="169" t="s">
        <v>2107</v>
      </c>
      <c r="E551" s="173"/>
    </row>
    <row r="552" spans="1:5">
      <c r="A552" s="1" t="s">
        <v>6</v>
      </c>
      <c r="B552" s="43">
        <v>3003657</v>
      </c>
      <c r="C552" s="168" t="s">
        <v>83</v>
      </c>
      <c r="D552" s="169" t="s">
        <v>2108</v>
      </c>
      <c r="E552" s="173"/>
    </row>
    <row r="553" spans="1:5">
      <c r="A553" s="1" t="s">
        <v>6</v>
      </c>
      <c r="B553" s="43">
        <v>3004107</v>
      </c>
      <c r="C553" s="168" t="s">
        <v>83</v>
      </c>
      <c r="D553" s="169" t="s">
        <v>2109</v>
      </c>
      <c r="E553" s="173"/>
    </row>
    <row r="554" spans="1:5">
      <c r="A554" s="1" t="s">
        <v>6</v>
      </c>
      <c r="B554" s="43">
        <v>3156787</v>
      </c>
      <c r="C554" s="168" t="s">
        <v>83</v>
      </c>
      <c r="D554" s="169" t="s">
        <v>2110</v>
      </c>
      <c r="E554" s="173"/>
    </row>
    <row r="555" spans="1:5">
      <c r="A555" s="1" t="s">
        <v>6</v>
      </c>
      <c r="B555" s="43">
        <v>2423855</v>
      </c>
      <c r="C555" s="168" t="s">
        <v>83</v>
      </c>
      <c r="D555" s="169" t="s">
        <v>2111</v>
      </c>
      <c r="E555" s="173"/>
    </row>
    <row r="556" spans="1:5">
      <c r="A556" s="1" t="s">
        <v>6</v>
      </c>
      <c r="B556" s="43">
        <v>3003222</v>
      </c>
      <c r="C556" s="168" t="s">
        <v>83</v>
      </c>
      <c r="D556" s="169" t="s">
        <v>2112</v>
      </c>
      <c r="E556" s="173"/>
    </row>
    <row r="557" spans="1:5">
      <c r="A557" s="1" t="s">
        <v>6</v>
      </c>
      <c r="B557" s="43">
        <v>3011082</v>
      </c>
      <c r="C557" s="168" t="s">
        <v>83</v>
      </c>
      <c r="D557" s="169" t="s">
        <v>2113</v>
      </c>
      <c r="E557" s="173"/>
    </row>
    <row r="558" spans="1:5">
      <c r="A558" s="1" t="s">
        <v>6</v>
      </c>
      <c r="B558" s="43">
        <v>2427723</v>
      </c>
      <c r="C558" s="168" t="s">
        <v>83</v>
      </c>
      <c r="D558" s="169" t="s">
        <v>2114</v>
      </c>
      <c r="E558" s="173"/>
    </row>
    <row r="559" spans="1:5">
      <c r="A559" s="1" t="s">
        <v>6</v>
      </c>
      <c r="B559" s="43">
        <v>3013035</v>
      </c>
      <c r="C559" s="168" t="s">
        <v>83</v>
      </c>
      <c r="D559" s="169" t="s">
        <v>2115</v>
      </c>
      <c r="E559" s="173"/>
    </row>
    <row r="560" spans="1:5">
      <c r="A560" s="1" t="s">
        <v>6</v>
      </c>
      <c r="B560" s="43">
        <v>2423753</v>
      </c>
      <c r="C560" s="168" t="s">
        <v>83</v>
      </c>
      <c r="D560" s="169" t="s">
        <v>2116</v>
      </c>
      <c r="E560" s="173"/>
    </row>
    <row r="561" spans="1:5">
      <c r="A561" s="1" t="s">
        <v>6</v>
      </c>
      <c r="B561" s="43">
        <v>3008224</v>
      </c>
      <c r="C561" s="168" t="s">
        <v>773</v>
      </c>
      <c r="D561" s="169" t="s">
        <v>2117</v>
      </c>
      <c r="E561" s="173"/>
    </row>
    <row r="562" spans="1:5">
      <c r="A562" s="1" t="s">
        <v>6</v>
      </c>
      <c r="B562" s="43">
        <v>2210431</v>
      </c>
      <c r="C562" s="168" t="s">
        <v>773</v>
      </c>
      <c r="D562" s="169" t="s">
        <v>2118</v>
      </c>
      <c r="E562" s="173"/>
    </row>
    <row r="563" spans="1:5">
      <c r="A563" s="1" t="s">
        <v>6</v>
      </c>
      <c r="B563" s="43">
        <v>2824237</v>
      </c>
      <c r="C563" s="168" t="s">
        <v>773</v>
      </c>
      <c r="D563" s="169" t="s">
        <v>2119</v>
      </c>
      <c r="E563" s="173"/>
    </row>
    <row r="564" spans="1:5">
      <c r="A564" s="1" t="s">
        <v>6</v>
      </c>
      <c r="B564" s="43">
        <v>471976</v>
      </c>
      <c r="C564" s="168" t="s">
        <v>773</v>
      </c>
      <c r="D564" s="175" t="s">
        <v>2120</v>
      </c>
      <c r="E564" s="173"/>
    </row>
    <row r="565" spans="1:5">
      <c r="A565" s="1" t="s">
        <v>6</v>
      </c>
      <c r="B565" s="43">
        <v>157305</v>
      </c>
      <c r="C565" s="168" t="s">
        <v>1593</v>
      </c>
      <c r="D565" s="169" t="s">
        <v>2121</v>
      </c>
      <c r="E565" s="173"/>
    </row>
    <row r="566" spans="1:5">
      <c r="A566" s="1" t="s">
        <v>6</v>
      </c>
      <c r="B566" s="43">
        <v>737788</v>
      </c>
      <c r="C566" s="168" t="s">
        <v>1593</v>
      </c>
      <c r="D566" s="169" t="s">
        <v>2122</v>
      </c>
      <c r="E566" s="173"/>
    </row>
    <row r="567" spans="1:5">
      <c r="A567" s="1" t="s">
        <v>6</v>
      </c>
      <c r="B567" s="43">
        <v>2818028</v>
      </c>
      <c r="C567" s="168" t="s">
        <v>1593</v>
      </c>
      <c r="D567" s="169" t="s">
        <v>2123</v>
      </c>
      <c r="E567" s="173"/>
    </row>
    <row r="568" spans="1:5">
      <c r="A568" s="1" t="s">
        <v>6</v>
      </c>
      <c r="B568" s="43">
        <v>2838111</v>
      </c>
      <c r="C568" s="168" t="s">
        <v>1593</v>
      </c>
      <c r="D568" s="169" t="s">
        <v>2007</v>
      </c>
      <c r="E568" s="173"/>
    </row>
    <row r="569" spans="1:5">
      <c r="A569" s="1" t="s">
        <v>6</v>
      </c>
      <c r="B569" s="43">
        <v>2836033</v>
      </c>
      <c r="C569" s="168" t="s">
        <v>1593</v>
      </c>
      <c r="D569" s="169" t="s">
        <v>2124</v>
      </c>
      <c r="E569" s="173"/>
    </row>
    <row r="570" spans="1:5">
      <c r="A570" s="1" t="s">
        <v>6</v>
      </c>
      <c r="B570" s="43">
        <v>2870045</v>
      </c>
      <c r="C570" s="168" t="s">
        <v>1593</v>
      </c>
      <c r="D570" s="169" t="s">
        <v>2125</v>
      </c>
      <c r="E570" s="173"/>
    </row>
    <row r="571" spans="1:5">
      <c r="A571" s="1" t="s">
        <v>6</v>
      </c>
      <c r="B571" s="43">
        <v>2834035</v>
      </c>
      <c r="C571" s="168" t="s">
        <v>71</v>
      </c>
      <c r="D571" s="169" t="s">
        <v>2126</v>
      </c>
      <c r="E571" s="173"/>
    </row>
    <row r="572" spans="1:5">
      <c r="A572" s="1" t="s">
        <v>6</v>
      </c>
      <c r="B572" s="43">
        <v>656809</v>
      </c>
      <c r="C572" s="168" t="s">
        <v>71</v>
      </c>
      <c r="D572" s="169" t="s">
        <v>2127</v>
      </c>
      <c r="E572" s="173"/>
    </row>
    <row r="573" spans="1:5">
      <c r="A573" s="1" t="s">
        <v>6</v>
      </c>
      <c r="B573" s="43">
        <v>514231</v>
      </c>
      <c r="C573" s="168" t="s">
        <v>71</v>
      </c>
      <c r="D573" s="169" t="s">
        <v>2128</v>
      </c>
      <c r="E573" s="173"/>
    </row>
    <row r="574" spans="1:5">
      <c r="A574" s="1" t="s">
        <v>6</v>
      </c>
      <c r="B574" s="43">
        <v>2808548</v>
      </c>
      <c r="C574" s="168" t="s">
        <v>71</v>
      </c>
      <c r="D574" s="169" t="s">
        <v>2129</v>
      </c>
      <c r="E574" s="173"/>
    </row>
    <row r="575" spans="1:5">
      <c r="A575" s="1" t="s">
        <v>6</v>
      </c>
      <c r="B575" s="43">
        <v>2849044</v>
      </c>
      <c r="C575" s="168" t="s">
        <v>71</v>
      </c>
      <c r="D575" s="169" t="s">
        <v>2130</v>
      </c>
      <c r="E575" s="173"/>
    </row>
    <row r="576" spans="1:5">
      <c r="A576" s="1" t="s">
        <v>6</v>
      </c>
      <c r="B576" s="43">
        <v>2833101</v>
      </c>
      <c r="C576" s="168" t="s">
        <v>71</v>
      </c>
      <c r="D576" s="169" t="s">
        <v>2131</v>
      </c>
      <c r="E576" s="173"/>
    </row>
    <row r="577" spans="1:5">
      <c r="A577" s="1" t="s">
        <v>6</v>
      </c>
      <c r="B577" s="43">
        <v>2841396</v>
      </c>
      <c r="C577" s="168" t="s">
        <v>71</v>
      </c>
      <c r="D577" s="169" t="s">
        <v>2132</v>
      </c>
      <c r="E577" s="173"/>
    </row>
    <row r="578" spans="1:5">
      <c r="A578" s="1" t="s">
        <v>6</v>
      </c>
      <c r="B578" s="43">
        <v>2864007</v>
      </c>
      <c r="C578" s="168" t="s">
        <v>71</v>
      </c>
      <c r="D578" s="169" t="s">
        <v>2133</v>
      </c>
      <c r="E578" s="173"/>
    </row>
    <row r="579" spans="1:5">
      <c r="A579" s="1" t="s">
        <v>6</v>
      </c>
      <c r="B579" s="43">
        <v>2833073</v>
      </c>
      <c r="C579" s="168" t="s">
        <v>71</v>
      </c>
      <c r="D579" s="169" t="s">
        <v>2134</v>
      </c>
      <c r="E579" s="173"/>
    </row>
    <row r="580" spans="1:5">
      <c r="A580" s="1" t="s">
        <v>6</v>
      </c>
      <c r="B580" s="43">
        <v>2818029</v>
      </c>
      <c r="C580" s="168" t="s">
        <v>71</v>
      </c>
      <c r="D580" s="169" t="s">
        <v>2135</v>
      </c>
      <c r="E580" s="173"/>
    </row>
    <row r="581" spans="1:5">
      <c r="A581" s="1" t="s">
        <v>6</v>
      </c>
      <c r="B581" s="43">
        <v>2817189</v>
      </c>
      <c r="C581" s="168" t="s">
        <v>71</v>
      </c>
      <c r="D581" s="169" t="s">
        <v>2136</v>
      </c>
      <c r="E581" s="173"/>
    </row>
    <row r="582" spans="1:5">
      <c r="A582" s="1" t="s">
        <v>6</v>
      </c>
      <c r="B582" s="43">
        <v>2819186</v>
      </c>
      <c r="C582" s="168" t="s">
        <v>71</v>
      </c>
      <c r="D582" s="169" t="s">
        <v>2137</v>
      </c>
      <c r="E582" s="173"/>
    </row>
    <row r="583" spans="1:5">
      <c r="A583" s="1" t="s">
        <v>6</v>
      </c>
      <c r="B583" s="43">
        <v>2822059</v>
      </c>
      <c r="C583" s="168" t="s">
        <v>71</v>
      </c>
      <c r="D583" s="169" t="s">
        <v>2138</v>
      </c>
      <c r="E583" s="173"/>
    </row>
    <row r="584" spans="1:5">
      <c r="A584" s="1" t="s">
        <v>6</v>
      </c>
      <c r="B584" s="43">
        <v>2823073</v>
      </c>
      <c r="C584" s="168" t="s">
        <v>71</v>
      </c>
      <c r="D584" s="169" t="s">
        <v>2139</v>
      </c>
      <c r="E584" s="173"/>
    </row>
    <row r="585" spans="1:5">
      <c r="A585" s="1" t="s">
        <v>6</v>
      </c>
      <c r="B585" s="43">
        <v>2226728</v>
      </c>
      <c r="C585" s="168" t="s">
        <v>71</v>
      </c>
      <c r="D585" s="169" t="s">
        <v>2140</v>
      </c>
      <c r="E585" s="173"/>
    </row>
    <row r="586" spans="1:5">
      <c r="A586" s="1" t="s">
        <v>6</v>
      </c>
      <c r="B586" s="43">
        <v>2242052</v>
      </c>
      <c r="C586" s="168" t="s">
        <v>71</v>
      </c>
      <c r="D586" s="169" t="s">
        <v>2141</v>
      </c>
      <c r="E586" s="173"/>
    </row>
    <row r="587" spans="1:5">
      <c r="A587" s="1" t="s">
        <v>6</v>
      </c>
      <c r="B587" s="43">
        <v>2839084</v>
      </c>
      <c r="C587" s="168" t="s">
        <v>71</v>
      </c>
      <c r="D587" s="169" t="s">
        <v>2142</v>
      </c>
      <c r="E587" s="173"/>
    </row>
    <row r="588" spans="1:5">
      <c r="A588" s="1" t="s">
        <v>6</v>
      </c>
      <c r="B588" s="43">
        <v>2833046</v>
      </c>
      <c r="C588" s="168" t="s">
        <v>71</v>
      </c>
      <c r="D588" s="169" t="s">
        <v>2143</v>
      </c>
      <c r="E588" s="173"/>
    </row>
    <row r="589" spans="1:5">
      <c r="A589" s="1" t="s">
        <v>6</v>
      </c>
      <c r="B589" s="43">
        <v>2849045</v>
      </c>
      <c r="C589" s="168" t="s">
        <v>71</v>
      </c>
      <c r="D589" s="169" t="s">
        <v>2144</v>
      </c>
      <c r="E589" s="173"/>
    </row>
    <row r="590" spans="1:5">
      <c r="A590" s="1" t="s">
        <v>6</v>
      </c>
      <c r="B590" s="43">
        <v>2874017</v>
      </c>
      <c r="C590" s="168" t="s">
        <v>71</v>
      </c>
      <c r="D590" s="169" t="s">
        <v>2145</v>
      </c>
      <c r="E590" s="173"/>
    </row>
    <row r="591" spans="1:5">
      <c r="A591" s="1" t="s">
        <v>6</v>
      </c>
      <c r="B591" s="43">
        <v>2834042</v>
      </c>
      <c r="C591" s="168" t="s">
        <v>71</v>
      </c>
      <c r="D591" s="169" t="s">
        <v>2146</v>
      </c>
      <c r="E591" s="173"/>
    </row>
    <row r="592" spans="1:5">
      <c r="A592" s="1" t="s">
        <v>6</v>
      </c>
      <c r="B592" s="43">
        <v>2849004</v>
      </c>
      <c r="C592" s="168" t="s">
        <v>71</v>
      </c>
      <c r="D592" s="169" t="s">
        <v>2147</v>
      </c>
      <c r="E592" s="173"/>
    </row>
    <row r="593" spans="1:5">
      <c r="A593" s="1" t="s">
        <v>6</v>
      </c>
      <c r="B593" s="43">
        <v>2875239</v>
      </c>
      <c r="C593" s="168" t="s">
        <v>71</v>
      </c>
      <c r="D593" s="169" t="s">
        <v>2148</v>
      </c>
      <c r="E593" s="173"/>
    </row>
    <row r="594" spans="1:5">
      <c r="A594" s="1" t="s">
        <v>6</v>
      </c>
      <c r="B594" s="43">
        <v>2875242</v>
      </c>
      <c r="C594" s="168" t="s">
        <v>71</v>
      </c>
      <c r="D594" s="169" t="s">
        <v>2149</v>
      </c>
      <c r="E594" s="173"/>
    </row>
    <row r="595" spans="1:5">
      <c r="A595" s="1" t="s">
        <v>6</v>
      </c>
      <c r="B595" s="43">
        <v>2882048</v>
      </c>
      <c r="C595" s="168" t="s">
        <v>71</v>
      </c>
      <c r="D595" s="169" t="s">
        <v>2150</v>
      </c>
      <c r="E595" s="173"/>
    </row>
    <row r="596" spans="1:5">
      <c r="A596" s="1" t="s">
        <v>6</v>
      </c>
      <c r="B596" s="43">
        <v>2886001</v>
      </c>
      <c r="C596" s="168" t="s">
        <v>71</v>
      </c>
      <c r="D596" s="169" t="s">
        <v>2151</v>
      </c>
      <c r="E596" s="173"/>
    </row>
    <row r="597" spans="1:5">
      <c r="A597" s="1" t="s">
        <v>6</v>
      </c>
      <c r="B597" s="43">
        <v>2874008</v>
      </c>
      <c r="C597" s="168" t="s">
        <v>71</v>
      </c>
      <c r="D597" s="169" t="s">
        <v>2152</v>
      </c>
      <c r="E597" s="173"/>
    </row>
    <row r="598" spans="1:5">
      <c r="A598" s="1" t="s">
        <v>6</v>
      </c>
      <c r="B598" s="43">
        <v>2421500</v>
      </c>
      <c r="C598" s="168" t="s">
        <v>71</v>
      </c>
      <c r="D598" s="169" t="s">
        <v>2153</v>
      </c>
      <c r="E598" s="173"/>
    </row>
    <row r="599" spans="1:5">
      <c r="A599" s="1" t="s">
        <v>6</v>
      </c>
      <c r="B599" s="43">
        <v>2426262</v>
      </c>
      <c r="C599" s="168" t="s">
        <v>71</v>
      </c>
      <c r="D599" s="169" t="s">
        <v>2154</v>
      </c>
      <c r="E599" s="173"/>
    </row>
    <row r="600" spans="1:5">
      <c r="A600" s="1" t="s">
        <v>6</v>
      </c>
      <c r="B600" s="43">
        <v>2892593</v>
      </c>
      <c r="C600" s="168" t="s">
        <v>71</v>
      </c>
      <c r="D600" s="169" t="s">
        <v>2155</v>
      </c>
      <c r="E600" s="173"/>
    </row>
    <row r="601" spans="1:5">
      <c r="A601" s="1" t="s">
        <v>7</v>
      </c>
      <c r="B601" s="165" t="s">
        <v>68</v>
      </c>
      <c r="C601" s="166" t="s">
        <v>62</v>
      </c>
      <c r="D601" s="176" t="s">
        <v>69</v>
      </c>
      <c r="E601" s="166" t="s">
        <v>70</v>
      </c>
    </row>
    <row r="602" spans="1:5">
      <c r="A602" s="1" t="s">
        <v>7</v>
      </c>
      <c r="B602" s="43">
        <v>2810399</v>
      </c>
      <c r="C602" s="168" t="s">
        <v>90</v>
      </c>
      <c r="D602" s="169" t="s">
        <v>2156</v>
      </c>
      <c r="E602" s="170" t="s">
        <v>2157</v>
      </c>
    </row>
    <row r="603" spans="1:5">
      <c r="A603" s="1" t="s">
        <v>7</v>
      </c>
      <c r="B603" s="43">
        <v>2815157</v>
      </c>
      <c r="C603" s="168" t="s">
        <v>83</v>
      </c>
      <c r="D603" s="169" t="s">
        <v>1685</v>
      </c>
      <c r="E603" s="170" t="s">
        <v>2158</v>
      </c>
    </row>
    <row r="604" spans="1:5">
      <c r="A604" s="1" t="s">
        <v>7</v>
      </c>
      <c r="B604" s="43">
        <v>585010</v>
      </c>
      <c r="C604" s="168" t="s">
        <v>773</v>
      </c>
      <c r="D604" s="169" t="s">
        <v>2159</v>
      </c>
      <c r="E604" s="170" t="s">
        <v>2160</v>
      </c>
    </row>
    <row r="605" spans="1:5">
      <c r="A605" s="1" t="s">
        <v>7</v>
      </c>
      <c r="B605" s="43">
        <v>608995</v>
      </c>
      <c r="C605" s="168" t="s">
        <v>1593</v>
      </c>
      <c r="D605" s="169" t="s">
        <v>2161</v>
      </c>
      <c r="E605" s="170" t="s">
        <v>2162</v>
      </c>
    </row>
    <row r="606" spans="1:5">
      <c r="A606" s="1" t="s">
        <v>7</v>
      </c>
      <c r="B606" s="43">
        <v>2244040</v>
      </c>
      <c r="C606" s="168" t="s">
        <v>1593</v>
      </c>
      <c r="D606" s="169" t="s">
        <v>2163</v>
      </c>
      <c r="E606" s="170" t="s">
        <v>2164</v>
      </c>
    </row>
    <row r="607" spans="1:5">
      <c r="A607" s="1" t="s">
        <v>7</v>
      </c>
      <c r="B607" s="43">
        <v>5015872</v>
      </c>
      <c r="C607" s="168" t="s">
        <v>71</v>
      </c>
      <c r="D607" s="169" t="s">
        <v>2165</v>
      </c>
      <c r="E607" s="170" t="s">
        <v>2166</v>
      </c>
    </row>
    <row r="608" spans="1:5">
      <c r="A608" s="1" t="s">
        <v>7</v>
      </c>
      <c r="B608" s="43">
        <v>2818081</v>
      </c>
      <c r="C608" s="168" t="s">
        <v>71</v>
      </c>
      <c r="D608" s="169" t="s">
        <v>2167</v>
      </c>
      <c r="E608" s="173"/>
    </row>
    <row r="609" spans="1:5">
      <c r="A609" s="1" t="s">
        <v>7</v>
      </c>
      <c r="B609" s="43">
        <v>492724</v>
      </c>
      <c r="C609" s="168" t="s">
        <v>90</v>
      </c>
      <c r="D609" s="169" t="s">
        <v>2168</v>
      </c>
      <c r="E609" s="173"/>
    </row>
    <row r="610" spans="1:5">
      <c r="A610" s="1" t="s">
        <v>7</v>
      </c>
      <c r="B610" s="43">
        <v>2864209</v>
      </c>
      <c r="C610" s="168" t="s">
        <v>90</v>
      </c>
      <c r="D610" s="169" t="s">
        <v>2169</v>
      </c>
      <c r="E610" s="173"/>
    </row>
    <row r="611" spans="1:5">
      <c r="A611" s="1" t="s">
        <v>7</v>
      </c>
      <c r="B611" s="43">
        <v>2876020</v>
      </c>
      <c r="C611" s="168" t="s">
        <v>90</v>
      </c>
      <c r="D611" s="169" t="s">
        <v>2170</v>
      </c>
      <c r="E611" s="173"/>
    </row>
    <row r="612" spans="1:5">
      <c r="A612" s="1" t="s">
        <v>7</v>
      </c>
      <c r="B612" s="43">
        <v>2813223</v>
      </c>
      <c r="C612" s="168" t="s">
        <v>1593</v>
      </c>
      <c r="D612" s="169" t="s">
        <v>2171</v>
      </c>
      <c r="E612" s="173"/>
    </row>
    <row r="613" spans="1:5">
      <c r="A613" s="1" t="s">
        <v>7</v>
      </c>
      <c r="B613" s="43">
        <v>2825455</v>
      </c>
      <c r="C613" s="168" t="s">
        <v>71</v>
      </c>
      <c r="D613" s="169" t="s">
        <v>2172</v>
      </c>
      <c r="E613" s="173"/>
    </row>
    <row r="614" spans="1:5">
      <c r="A614" s="1" t="s">
        <v>7</v>
      </c>
      <c r="B614" s="43">
        <v>784282</v>
      </c>
      <c r="C614" s="168" t="s">
        <v>71</v>
      </c>
      <c r="D614" s="169" t="s">
        <v>1595</v>
      </c>
      <c r="E614" s="173"/>
    </row>
    <row r="615" spans="1:5">
      <c r="A615" s="1" t="s">
        <v>7</v>
      </c>
      <c r="B615" s="43">
        <v>2807856</v>
      </c>
      <c r="C615" s="168" t="s">
        <v>1593</v>
      </c>
      <c r="D615" s="169" t="s">
        <v>1696</v>
      </c>
      <c r="E615" s="173"/>
    </row>
    <row r="616" spans="1:5">
      <c r="A616" s="1" t="s">
        <v>7</v>
      </c>
      <c r="B616" s="43">
        <v>685022</v>
      </c>
      <c r="C616" s="168" t="s">
        <v>71</v>
      </c>
      <c r="D616" s="169" t="s">
        <v>2173</v>
      </c>
      <c r="E616" s="173"/>
    </row>
    <row r="617" spans="1:5">
      <c r="A617" s="1" t="s">
        <v>7</v>
      </c>
      <c r="B617" s="43">
        <v>2297062</v>
      </c>
      <c r="C617" s="168" t="s">
        <v>71</v>
      </c>
      <c r="D617" s="169" t="s">
        <v>2174</v>
      </c>
      <c r="E617" s="173"/>
    </row>
    <row r="618" spans="1:5">
      <c r="A618" s="1" t="s">
        <v>7</v>
      </c>
      <c r="B618" s="43">
        <v>2888004</v>
      </c>
      <c r="C618" s="168" t="s">
        <v>71</v>
      </c>
      <c r="D618" s="175" t="s">
        <v>2175</v>
      </c>
      <c r="E618" s="173"/>
    </row>
    <row r="619" spans="1:5">
      <c r="A619" s="1" t="s">
        <v>7</v>
      </c>
      <c r="B619" s="43">
        <v>2299017</v>
      </c>
      <c r="C619" s="168" t="s">
        <v>90</v>
      </c>
      <c r="D619" s="169" t="s">
        <v>2176</v>
      </c>
      <c r="E619" s="173"/>
    </row>
    <row r="620" spans="1:5">
      <c r="A620" s="1" t="s">
        <v>7</v>
      </c>
      <c r="B620" s="43">
        <v>548712</v>
      </c>
      <c r="C620" s="168" t="s">
        <v>83</v>
      </c>
      <c r="D620" s="169" t="s">
        <v>2177</v>
      </c>
      <c r="E620" s="173"/>
    </row>
    <row r="621" spans="1:5">
      <c r="A621" s="1" t="s">
        <v>7</v>
      </c>
      <c r="B621" s="43">
        <v>178137</v>
      </c>
      <c r="C621" s="168" t="s">
        <v>83</v>
      </c>
      <c r="D621" s="169" t="s">
        <v>2178</v>
      </c>
      <c r="E621" s="173"/>
    </row>
    <row r="622" spans="1:5">
      <c r="A622" s="1" t="s">
        <v>7</v>
      </c>
      <c r="B622" s="43">
        <v>2804654</v>
      </c>
      <c r="C622" s="168" t="s">
        <v>83</v>
      </c>
      <c r="D622" s="169" t="s">
        <v>2179</v>
      </c>
      <c r="E622" s="173"/>
    </row>
    <row r="623" spans="1:5">
      <c r="A623" s="1" t="s">
        <v>7</v>
      </c>
      <c r="B623" s="43">
        <v>178138</v>
      </c>
      <c r="C623" s="168" t="s">
        <v>83</v>
      </c>
      <c r="D623" s="169" t="s">
        <v>2180</v>
      </c>
      <c r="E623" s="173"/>
    </row>
    <row r="624" spans="1:5">
      <c r="A624" s="1" t="s">
        <v>7</v>
      </c>
      <c r="B624" s="43">
        <v>2213242</v>
      </c>
      <c r="C624" s="168" t="s">
        <v>83</v>
      </c>
      <c r="D624" s="169" t="s">
        <v>2053</v>
      </c>
      <c r="E624" s="173"/>
    </row>
    <row r="625" spans="1:5">
      <c r="A625" s="1" t="s">
        <v>7</v>
      </c>
      <c r="B625" s="43">
        <v>2822032</v>
      </c>
      <c r="C625" s="168" t="s">
        <v>83</v>
      </c>
      <c r="D625" s="169" t="s">
        <v>2181</v>
      </c>
      <c r="E625" s="173"/>
    </row>
    <row r="626" spans="1:5">
      <c r="A626" s="1" t="s">
        <v>7</v>
      </c>
      <c r="B626" s="43">
        <v>2823256</v>
      </c>
      <c r="C626" s="168" t="s">
        <v>83</v>
      </c>
      <c r="D626" s="169" t="s">
        <v>2182</v>
      </c>
      <c r="E626" s="173"/>
    </row>
    <row r="627" spans="1:5">
      <c r="A627" s="1" t="s">
        <v>7</v>
      </c>
      <c r="B627" s="43">
        <v>2426604</v>
      </c>
      <c r="C627" s="168" t="s">
        <v>83</v>
      </c>
      <c r="D627" s="169" t="s">
        <v>2183</v>
      </c>
      <c r="E627" s="173"/>
    </row>
    <row r="628" spans="1:5">
      <c r="A628" s="1" t="s">
        <v>7</v>
      </c>
      <c r="B628" s="43">
        <v>2426261</v>
      </c>
      <c r="C628" s="168" t="s">
        <v>83</v>
      </c>
      <c r="D628" s="169" t="s">
        <v>2184</v>
      </c>
      <c r="E628" s="173"/>
    </row>
    <row r="629" spans="1:5">
      <c r="A629" s="1" t="s">
        <v>7</v>
      </c>
      <c r="B629" s="43">
        <v>2833086</v>
      </c>
      <c r="C629" s="168" t="s">
        <v>83</v>
      </c>
      <c r="D629" s="169" t="s">
        <v>2185</v>
      </c>
      <c r="E629" s="173"/>
    </row>
    <row r="630" spans="1:5">
      <c r="A630" s="1" t="s">
        <v>7</v>
      </c>
      <c r="B630" s="43">
        <v>2833044</v>
      </c>
      <c r="C630" s="168" t="s">
        <v>773</v>
      </c>
      <c r="D630" s="169" t="s">
        <v>2186</v>
      </c>
      <c r="E630" s="173"/>
    </row>
    <row r="631" spans="1:5">
      <c r="A631" s="1" t="s">
        <v>7</v>
      </c>
      <c r="B631" s="43">
        <v>2833091</v>
      </c>
      <c r="C631" s="168" t="s">
        <v>773</v>
      </c>
      <c r="D631" s="169" t="s">
        <v>2187</v>
      </c>
      <c r="E631" s="173"/>
    </row>
    <row r="632" spans="1:5">
      <c r="A632" s="1" t="s">
        <v>7</v>
      </c>
      <c r="B632" s="43">
        <v>2840016</v>
      </c>
      <c r="C632" s="168" t="s">
        <v>773</v>
      </c>
      <c r="D632" s="169" t="s">
        <v>2188</v>
      </c>
      <c r="E632" s="173"/>
    </row>
    <row r="633" spans="1:5">
      <c r="A633" s="1" t="s">
        <v>7</v>
      </c>
      <c r="B633" s="43">
        <v>2824376</v>
      </c>
      <c r="C633" s="168" t="s">
        <v>773</v>
      </c>
      <c r="D633" s="169" t="s">
        <v>2189</v>
      </c>
      <c r="E633" s="173"/>
    </row>
    <row r="634" spans="1:5">
      <c r="A634" s="1" t="s">
        <v>7</v>
      </c>
      <c r="B634" s="43">
        <v>2824108</v>
      </c>
      <c r="C634" s="168" t="s">
        <v>773</v>
      </c>
      <c r="D634" s="169" t="s">
        <v>2190</v>
      </c>
      <c r="E634" s="173"/>
    </row>
    <row r="635" spans="1:5">
      <c r="A635" s="1" t="s">
        <v>7</v>
      </c>
      <c r="B635" s="43">
        <v>5030976</v>
      </c>
      <c r="C635" s="168" t="s">
        <v>773</v>
      </c>
      <c r="D635" s="169" t="s">
        <v>2191</v>
      </c>
      <c r="E635" s="173"/>
    </row>
    <row r="636" spans="1:5">
      <c r="A636" s="1" t="s">
        <v>7</v>
      </c>
      <c r="B636" s="43">
        <v>782124</v>
      </c>
      <c r="C636" s="168" t="s">
        <v>773</v>
      </c>
      <c r="D636" s="169" t="s">
        <v>2192</v>
      </c>
      <c r="E636" s="173"/>
    </row>
    <row r="637" spans="1:5">
      <c r="A637" s="1" t="s">
        <v>7</v>
      </c>
      <c r="B637" s="43">
        <v>138322</v>
      </c>
      <c r="C637" s="168" t="s">
        <v>773</v>
      </c>
      <c r="D637" s="169" t="s">
        <v>2193</v>
      </c>
      <c r="E637" s="173"/>
    </row>
    <row r="638" spans="1:5">
      <c r="A638" s="1" t="s">
        <v>7</v>
      </c>
      <c r="B638" s="43">
        <v>774900</v>
      </c>
      <c r="C638" s="168" t="s">
        <v>1593</v>
      </c>
      <c r="D638" s="169" t="s">
        <v>2194</v>
      </c>
      <c r="E638" s="173"/>
    </row>
    <row r="639" spans="1:5">
      <c r="A639" s="1" t="s">
        <v>7</v>
      </c>
      <c r="B639" s="43">
        <v>706920</v>
      </c>
      <c r="C639" s="168" t="s">
        <v>1593</v>
      </c>
      <c r="D639" s="169" t="s">
        <v>2166</v>
      </c>
      <c r="E639" s="173"/>
    </row>
    <row r="640" spans="1:5">
      <c r="A640" s="1" t="s">
        <v>7</v>
      </c>
      <c r="B640" s="43">
        <v>2839072</v>
      </c>
      <c r="C640" s="168" t="s">
        <v>1593</v>
      </c>
      <c r="D640" s="169" t="s">
        <v>2195</v>
      </c>
      <c r="E640" s="173"/>
    </row>
    <row r="641" spans="1:5">
      <c r="A641" s="1" t="s">
        <v>7</v>
      </c>
      <c r="B641" s="43">
        <v>2831007</v>
      </c>
      <c r="C641" s="168" t="s">
        <v>1593</v>
      </c>
      <c r="D641" s="169" t="s">
        <v>2196</v>
      </c>
      <c r="E641" s="173"/>
    </row>
    <row r="642" spans="1:5">
      <c r="A642" s="1" t="s">
        <v>7</v>
      </c>
      <c r="B642" s="43">
        <v>2823037</v>
      </c>
      <c r="C642" s="168" t="s">
        <v>1593</v>
      </c>
      <c r="D642" s="169" t="s">
        <v>2197</v>
      </c>
      <c r="E642" s="173"/>
    </row>
    <row r="643" spans="1:5">
      <c r="A643" s="1" t="s">
        <v>7</v>
      </c>
      <c r="B643" s="43">
        <v>2825163</v>
      </c>
      <c r="C643" s="168" t="s">
        <v>1593</v>
      </c>
      <c r="D643" s="169" t="s">
        <v>2198</v>
      </c>
      <c r="E643" s="173"/>
    </row>
    <row r="644" spans="1:5">
      <c r="A644" s="1" t="s">
        <v>7</v>
      </c>
      <c r="B644" s="43">
        <v>2804662</v>
      </c>
      <c r="C644" s="168" t="s">
        <v>1593</v>
      </c>
      <c r="D644" s="169" t="s">
        <v>2199</v>
      </c>
      <c r="E644" s="173"/>
    </row>
    <row r="645" spans="1:5">
      <c r="A645" s="1" t="s">
        <v>7</v>
      </c>
      <c r="B645" s="43">
        <v>2836030</v>
      </c>
      <c r="C645" s="168" t="s">
        <v>1593</v>
      </c>
      <c r="D645" s="169" t="s">
        <v>2200</v>
      </c>
      <c r="E645" s="173"/>
    </row>
    <row r="646" spans="1:5">
      <c r="A646" s="1" t="s">
        <v>7</v>
      </c>
      <c r="B646" s="43">
        <v>2841399</v>
      </c>
      <c r="C646" s="168" t="s">
        <v>1593</v>
      </c>
      <c r="D646" s="169" t="s">
        <v>2201</v>
      </c>
      <c r="E646" s="173"/>
    </row>
    <row r="647" spans="1:5">
      <c r="A647" s="1" t="s">
        <v>7</v>
      </c>
      <c r="B647" s="43">
        <v>571620</v>
      </c>
      <c r="C647" s="168" t="s">
        <v>1593</v>
      </c>
      <c r="D647" s="169" t="s">
        <v>2202</v>
      </c>
      <c r="E647" s="173"/>
    </row>
    <row r="648" spans="1:5">
      <c r="A648" s="1" t="s">
        <v>7</v>
      </c>
      <c r="B648" s="43">
        <v>2887259</v>
      </c>
      <c r="C648" s="168" t="s">
        <v>1593</v>
      </c>
      <c r="D648" s="169" t="s">
        <v>2203</v>
      </c>
      <c r="E648" s="173"/>
    </row>
    <row r="649" spans="1:5">
      <c r="A649" s="1" t="s">
        <v>7</v>
      </c>
      <c r="B649" s="43">
        <v>2423502</v>
      </c>
      <c r="C649" s="168" t="s">
        <v>1593</v>
      </c>
      <c r="D649" s="169" t="s">
        <v>2204</v>
      </c>
      <c r="E649" s="173"/>
    </row>
    <row r="650" spans="1:5">
      <c r="A650" s="1" t="s">
        <v>7</v>
      </c>
      <c r="B650" s="43">
        <v>3013038</v>
      </c>
      <c r="C650" s="168" t="s">
        <v>1593</v>
      </c>
      <c r="D650" s="169" t="s">
        <v>2205</v>
      </c>
      <c r="E650" s="173"/>
    </row>
    <row r="651" spans="1:5">
      <c r="A651" s="1" t="s">
        <v>7</v>
      </c>
      <c r="B651" s="43">
        <v>2873280</v>
      </c>
      <c r="C651" s="168" t="s">
        <v>1593</v>
      </c>
      <c r="D651" s="169" t="s">
        <v>2206</v>
      </c>
      <c r="E651" s="173"/>
    </row>
    <row r="652" spans="1:5">
      <c r="A652" s="1" t="s">
        <v>7</v>
      </c>
      <c r="B652" s="43">
        <v>2880063</v>
      </c>
      <c r="C652" s="168" t="s">
        <v>1593</v>
      </c>
      <c r="D652" s="169" t="s">
        <v>2207</v>
      </c>
      <c r="E652" s="173"/>
    </row>
    <row r="653" spans="1:5">
      <c r="A653" s="1" t="s">
        <v>7</v>
      </c>
      <c r="B653" s="43">
        <v>2885072</v>
      </c>
      <c r="C653" s="168" t="s">
        <v>1593</v>
      </c>
      <c r="D653" s="169" t="s">
        <v>2208</v>
      </c>
      <c r="E653" s="173"/>
    </row>
    <row r="654" spans="1:5">
      <c r="A654" s="1" t="s">
        <v>7</v>
      </c>
      <c r="B654" s="43">
        <v>2841547</v>
      </c>
      <c r="C654" s="168" t="s">
        <v>71</v>
      </c>
      <c r="D654" s="169" t="s">
        <v>2209</v>
      </c>
      <c r="E654" s="173"/>
    </row>
    <row r="655" spans="1:5">
      <c r="A655" s="1" t="s">
        <v>7</v>
      </c>
      <c r="B655" s="43">
        <v>718627</v>
      </c>
      <c r="C655" s="168" t="s">
        <v>71</v>
      </c>
      <c r="D655" s="169" t="s">
        <v>1806</v>
      </c>
      <c r="E655" s="173"/>
    </row>
    <row r="656" spans="1:5">
      <c r="A656" s="1" t="s">
        <v>7</v>
      </c>
      <c r="B656" s="43">
        <v>2824253</v>
      </c>
      <c r="C656" s="168" t="s">
        <v>71</v>
      </c>
      <c r="D656" s="169" t="s">
        <v>2210</v>
      </c>
      <c r="E656" s="173"/>
    </row>
    <row r="657" spans="1:5">
      <c r="A657" s="1" t="s">
        <v>7</v>
      </c>
      <c r="B657" s="43">
        <v>2836022</v>
      </c>
      <c r="C657" s="168" t="s">
        <v>71</v>
      </c>
      <c r="D657" s="169" t="s">
        <v>2211</v>
      </c>
      <c r="E657" s="173"/>
    </row>
    <row r="658" spans="1:5">
      <c r="A658" s="1" t="s">
        <v>7</v>
      </c>
      <c r="B658" s="43">
        <v>2837260</v>
      </c>
      <c r="C658" s="168" t="s">
        <v>71</v>
      </c>
      <c r="D658" s="169" t="s">
        <v>2212</v>
      </c>
      <c r="E658" s="173"/>
    </row>
    <row r="659" spans="1:5">
      <c r="A659" s="1" t="s">
        <v>8</v>
      </c>
      <c r="B659" s="165" t="s">
        <v>68</v>
      </c>
      <c r="C659" s="166" t="s">
        <v>62</v>
      </c>
      <c r="D659" s="176" t="s">
        <v>69</v>
      </c>
      <c r="E659" s="166" t="s">
        <v>70</v>
      </c>
    </row>
    <row r="660" spans="1:5">
      <c r="A660" s="1" t="s">
        <v>8</v>
      </c>
      <c r="B660" s="43">
        <v>740417</v>
      </c>
      <c r="C660" s="168" t="s">
        <v>83</v>
      </c>
      <c r="D660" s="169" t="s">
        <v>2013</v>
      </c>
      <c r="E660" s="170" t="s">
        <v>2213</v>
      </c>
    </row>
    <row r="661" spans="1:5">
      <c r="A661" s="1" t="s">
        <v>8</v>
      </c>
      <c r="B661" s="43">
        <v>782126</v>
      </c>
      <c r="C661" s="168" t="s">
        <v>1593</v>
      </c>
      <c r="D661" s="169" t="s">
        <v>2214</v>
      </c>
      <c r="E661" s="170" t="s">
        <v>1590</v>
      </c>
    </row>
    <row r="662" spans="1:5">
      <c r="A662" s="1" t="s">
        <v>8</v>
      </c>
      <c r="B662" s="43">
        <v>661749</v>
      </c>
      <c r="C662" s="168" t="s">
        <v>1593</v>
      </c>
      <c r="D662" s="169" t="s">
        <v>1594</v>
      </c>
      <c r="E662" s="170" t="s">
        <v>2215</v>
      </c>
    </row>
    <row r="663" spans="1:5">
      <c r="A663" s="1" t="s">
        <v>8</v>
      </c>
      <c r="B663" s="43">
        <v>373992</v>
      </c>
      <c r="C663" s="168" t="s">
        <v>71</v>
      </c>
      <c r="D663" s="169" t="s">
        <v>2216</v>
      </c>
      <c r="E663" s="170" t="s">
        <v>1688</v>
      </c>
    </row>
    <row r="664" spans="1:5">
      <c r="A664" s="1" t="s">
        <v>8</v>
      </c>
      <c r="B664" s="43">
        <v>5015873</v>
      </c>
      <c r="C664" s="168" t="s">
        <v>71</v>
      </c>
      <c r="D664" s="169" t="s">
        <v>2217</v>
      </c>
      <c r="E664" s="173"/>
    </row>
    <row r="665" spans="1:5">
      <c r="A665" s="1" t="s">
        <v>8</v>
      </c>
      <c r="B665" s="43">
        <v>2881075</v>
      </c>
      <c r="C665" s="168" t="s">
        <v>90</v>
      </c>
      <c r="D665" s="175" t="s">
        <v>1898</v>
      </c>
      <c r="E665" s="173"/>
    </row>
    <row r="666" spans="1:5">
      <c r="A666" s="1" t="s">
        <v>8</v>
      </c>
      <c r="B666" s="43">
        <v>2890118</v>
      </c>
      <c r="C666" s="168" t="s">
        <v>83</v>
      </c>
      <c r="D666" s="169" t="s">
        <v>2218</v>
      </c>
      <c r="E666" s="173"/>
    </row>
    <row r="667" spans="1:5">
      <c r="A667" s="1" t="s">
        <v>8</v>
      </c>
      <c r="B667" s="43">
        <v>2883063</v>
      </c>
      <c r="C667" s="168" t="s">
        <v>71</v>
      </c>
      <c r="D667" s="169" t="s">
        <v>2219</v>
      </c>
      <c r="E667" s="173"/>
    </row>
    <row r="668" spans="1:5">
      <c r="A668" s="1" t="s">
        <v>8</v>
      </c>
      <c r="B668" s="43">
        <v>685022</v>
      </c>
      <c r="C668" s="168" t="s">
        <v>71</v>
      </c>
      <c r="D668" s="169" t="s">
        <v>2173</v>
      </c>
      <c r="E668" s="173"/>
    </row>
    <row r="669" spans="1:5">
      <c r="A669" s="1" t="s">
        <v>8</v>
      </c>
      <c r="B669" s="43">
        <v>2833051</v>
      </c>
      <c r="C669" s="168" t="s">
        <v>71</v>
      </c>
      <c r="D669" s="169" t="s">
        <v>2220</v>
      </c>
      <c r="E669" s="173"/>
    </row>
    <row r="670" spans="1:5">
      <c r="A670" s="1" t="s">
        <v>8</v>
      </c>
      <c r="B670" s="43">
        <v>778180</v>
      </c>
      <c r="C670" s="168" t="s">
        <v>71</v>
      </c>
      <c r="D670" s="169" t="s">
        <v>1904</v>
      </c>
      <c r="E670" s="173"/>
    </row>
    <row r="671" spans="1:5">
      <c r="A671" s="1" t="s">
        <v>8</v>
      </c>
      <c r="B671" s="43">
        <v>3156782</v>
      </c>
      <c r="C671" s="168" t="s">
        <v>71</v>
      </c>
      <c r="D671" s="169" t="s">
        <v>2221</v>
      </c>
      <c r="E671" s="173"/>
    </row>
    <row r="672" spans="1:5">
      <c r="A672" s="1" t="s">
        <v>8</v>
      </c>
      <c r="B672" s="43">
        <v>3000781</v>
      </c>
      <c r="C672" s="168" t="s">
        <v>1593</v>
      </c>
      <c r="D672" s="169" t="s">
        <v>2222</v>
      </c>
      <c r="E672" s="173"/>
    </row>
    <row r="673" spans="1:5">
      <c r="A673" s="1" t="s">
        <v>8</v>
      </c>
      <c r="B673" s="43">
        <v>2813143</v>
      </c>
      <c r="C673" s="168" t="s">
        <v>90</v>
      </c>
      <c r="D673" s="169" t="s">
        <v>2223</v>
      </c>
      <c r="E673" s="173"/>
    </row>
    <row r="674" spans="1:5">
      <c r="A674" s="1" t="s">
        <v>8</v>
      </c>
      <c r="B674" s="43">
        <v>2851002</v>
      </c>
      <c r="C674" s="168" t="s">
        <v>90</v>
      </c>
      <c r="D674" s="169" t="s">
        <v>2224</v>
      </c>
      <c r="E674" s="173"/>
    </row>
    <row r="675" spans="1:5">
      <c r="A675" s="1" t="s">
        <v>8</v>
      </c>
      <c r="B675" s="43">
        <v>661751</v>
      </c>
      <c r="C675" s="168" t="s">
        <v>83</v>
      </c>
      <c r="D675" s="169" t="s">
        <v>1602</v>
      </c>
      <c r="E675" s="173"/>
    </row>
    <row r="676" spans="1:5">
      <c r="A676" s="1" t="s">
        <v>8</v>
      </c>
      <c r="B676" s="43">
        <v>114903</v>
      </c>
      <c r="C676" s="168" t="s">
        <v>83</v>
      </c>
      <c r="D676" s="169" t="s">
        <v>1605</v>
      </c>
      <c r="E676" s="173"/>
    </row>
    <row r="677" spans="1:5">
      <c r="A677" s="1" t="s">
        <v>8</v>
      </c>
      <c r="B677" s="43">
        <v>553700</v>
      </c>
      <c r="C677" s="168" t="s">
        <v>83</v>
      </c>
      <c r="D677" s="169" t="s">
        <v>2225</v>
      </c>
      <c r="E677" s="173"/>
    </row>
    <row r="678" spans="1:5">
      <c r="A678" s="1" t="s">
        <v>8</v>
      </c>
      <c r="B678" s="43">
        <v>365729</v>
      </c>
      <c r="C678" s="168" t="s">
        <v>83</v>
      </c>
      <c r="D678" s="169" t="s">
        <v>2226</v>
      </c>
      <c r="E678" s="173"/>
    </row>
    <row r="679" spans="1:5">
      <c r="A679" s="1" t="s">
        <v>8</v>
      </c>
      <c r="B679" s="43">
        <v>155342</v>
      </c>
      <c r="C679" s="168" t="s">
        <v>83</v>
      </c>
      <c r="D679" s="169" t="s">
        <v>1607</v>
      </c>
      <c r="E679" s="173"/>
    </row>
    <row r="680" spans="1:5">
      <c r="A680" s="1" t="s">
        <v>8</v>
      </c>
      <c r="B680" s="43">
        <v>2816034</v>
      </c>
      <c r="C680" s="168" t="s">
        <v>83</v>
      </c>
      <c r="D680" s="169" t="s">
        <v>2227</v>
      </c>
      <c r="E680" s="173"/>
    </row>
    <row r="681" spans="1:5">
      <c r="A681" s="1" t="s">
        <v>8</v>
      </c>
      <c r="B681" s="43">
        <v>2823137</v>
      </c>
      <c r="C681" s="168" t="s">
        <v>83</v>
      </c>
      <c r="D681" s="169" t="s">
        <v>2228</v>
      </c>
      <c r="E681" s="173"/>
    </row>
    <row r="682" spans="1:5">
      <c r="A682" s="1" t="s">
        <v>8</v>
      </c>
      <c r="B682" s="43">
        <v>2822455</v>
      </c>
      <c r="C682" s="168" t="s">
        <v>83</v>
      </c>
      <c r="D682" s="169" t="s">
        <v>2229</v>
      </c>
      <c r="E682" s="173"/>
    </row>
    <row r="683" spans="1:5">
      <c r="A683" s="1" t="s">
        <v>8</v>
      </c>
      <c r="B683" s="43">
        <v>2825480</v>
      </c>
      <c r="C683" s="168" t="s">
        <v>83</v>
      </c>
      <c r="D683" s="169" t="s">
        <v>2230</v>
      </c>
      <c r="E683" s="173"/>
    </row>
    <row r="684" spans="1:5">
      <c r="A684" s="1" t="s">
        <v>8</v>
      </c>
      <c r="B684" s="43">
        <v>2881017</v>
      </c>
      <c r="C684" s="168" t="s">
        <v>83</v>
      </c>
      <c r="D684" s="169" t="s">
        <v>2231</v>
      </c>
      <c r="E684" s="173"/>
    </row>
    <row r="685" spans="1:5">
      <c r="A685" s="1" t="s">
        <v>8</v>
      </c>
      <c r="B685" s="43">
        <v>2423652</v>
      </c>
      <c r="C685" s="168" t="s">
        <v>83</v>
      </c>
      <c r="D685" s="169" t="s">
        <v>1718</v>
      </c>
      <c r="E685" s="173"/>
    </row>
    <row r="686" spans="1:5">
      <c r="A686" s="1" t="s">
        <v>8</v>
      </c>
      <c r="B686" s="43">
        <v>2427506</v>
      </c>
      <c r="C686" s="168" t="s">
        <v>83</v>
      </c>
      <c r="D686" s="169" t="s">
        <v>2232</v>
      </c>
      <c r="E686" s="173"/>
    </row>
    <row r="687" spans="1:5">
      <c r="A687" s="1" t="s">
        <v>8</v>
      </c>
      <c r="B687" s="43">
        <v>2824108</v>
      </c>
      <c r="C687" s="168" t="s">
        <v>773</v>
      </c>
      <c r="D687" s="169" t="s">
        <v>2190</v>
      </c>
      <c r="E687" s="173"/>
    </row>
    <row r="688" spans="1:5">
      <c r="A688" s="1" t="s">
        <v>8</v>
      </c>
      <c r="B688" s="43">
        <v>170777</v>
      </c>
      <c r="C688" s="168" t="s">
        <v>1593</v>
      </c>
      <c r="D688" s="169" t="s">
        <v>1647</v>
      </c>
      <c r="E688" s="173"/>
    </row>
    <row r="689" spans="1:5">
      <c r="A689" s="1" t="s">
        <v>8</v>
      </c>
      <c r="B689" s="43">
        <v>424116</v>
      </c>
      <c r="C689" s="168" t="s">
        <v>1593</v>
      </c>
      <c r="D689" s="169" t="s">
        <v>1726</v>
      </c>
      <c r="E689" s="173"/>
    </row>
    <row r="690" spans="1:5">
      <c r="A690" s="1" t="s">
        <v>8</v>
      </c>
      <c r="B690" s="43">
        <v>718628</v>
      </c>
      <c r="C690" s="168" t="s">
        <v>1593</v>
      </c>
      <c r="D690" s="169" t="s">
        <v>1727</v>
      </c>
      <c r="E690" s="173"/>
    </row>
    <row r="691" spans="1:5">
      <c r="A691" s="1" t="s">
        <v>8</v>
      </c>
      <c r="B691" s="43">
        <v>777381</v>
      </c>
      <c r="C691" s="168" t="s">
        <v>1593</v>
      </c>
      <c r="D691" s="169" t="s">
        <v>1648</v>
      </c>
      <c r="E691" s="173"/>
    </row>
    <row r="692" spans="1:5">
      <c r="A692" s="1" t="s">
        <v>8</v>
      </c>
      <c r="B692" s="43">
        <v>718618</v>
      </c>
      <c r="C692" s="168" t="s">
        <v>1593</v>
      </c>
      <c r="D692" s="169" t="s">
        <v>1649</v>
      </c>
      <c r="E692" s="173"/>
    </row>
    <row r="693" spans="1:5">
      <c r="A693" s="1" t="s">
        <v>8</v>
      </c>
      <c r="B693" s="43">
        <v>458641</v>
      </c>
      <c r="C693" s="168" t="s">
        <v>1593</v>
      </c>
      <c r="D693" s="169" t="s">
        <v>1651</v>
      </c>
      <c r="E693" s="173"/>
    </row>
    <row r="694" spans="1:5">
      <c r="A694" s="1" t="s">
        <v>8</v>
      </c>
      <c r="B694" s="43">
        <v>363225</v>
      </c>
      <c r="C694" s="168" t="s">
        <v>1593</v>
      </c>
      <c r="D694" s="169" t="s">
        <v>1725</v>
      </c>
      <c r="E694" s="173"/>
    </row>
    <row r="695" spans="1:5">
      <c r="A695" s="1" t="s">
        <v>8</v>
      </c>
      <c r="B695" s="43">
        <v>737763</v>
      </c>
      <c r="C695" s="168" t="s">
        <v>1593</v>
      </c>
      <c r="D695" s="169" t="s">
        <v>1659</v>
      </c>
      <c r="E695" s="173"/>
    </row>
    <row r="696" spans="1:5">
      <c r="A696" s="1" t="s">
        <v>8</v>
      </c>
      <c r="B696" s="43">
        <v>669533</v>
      </c>
      <c r="C696" s="168" t="s">
        <v>1593</v>
      </c>
      <c r="D696" s="169" t="s">
        <v>1655</v>
      </c>
      <c r="E696" s="173"/>
    </row>
    <row r="697" spans="1:5">
      <c r="A697" s="1" t="s">
        <v>8</v>
      </c>
      <c r="B697" s="43">
        <v>728377</v>
      </c>
      <c r="C697" s="168" t="s">
        <v>1593</v>
      </c>
      <c r="D697" s="169" t="s">
        <v>2233</v>
      </c>
      <c r="E697" s="173"/>
    </row>
    <row r="698" spans="1:5">
      <c r="A698" s="1" t="s">
        <v>8</v>
      </c>
      <c r="B698" s="43">
        <v>387349</v>
      </c>
      <c r="C698" s="168" t="s">
        <v>1593</v>
      </c>
      <c r="D698" s="169" t="s">
        <v>1658</v>
      </c>
      <c r="E698" s="173"/>
    </row>
    <row r="699" spans="1:5">
      <c r="A699" s="1" t="s">
        <v>8</v>
      </c>
      <c r="B699" s="43">
        <v>5015863</v>
      </c>
      <c r="C699" s="168" t="s">
        <v>1593</v>
      </c>
      <c r="D699" s="169" t="s">
        <v>2234</v>
      </c>
      <c r="E699" s="173"/>
    </row>
    <row r="700" spans="1:5">
      <c r="A700" s="1" t="s">
        <v>8</v>
      </c>
      <c r="B700" s="43">
        <v>2837270</v>
      </c>
      <c r="C700" s="168" t="s">
        <v>1593</v>
      </c>
      <c r="D700" s="169" t="s">
        <v>2235</v>
      </c>
      <c r="E700" s="173"/>
    </row>
    <row r="701" spans="1:5">
      <c r="A701" s="1" t="s">
        <v>8</v>
      </c>
      <c r="B701" s="43">
        <v>2241056</v>
      </c>
      <c r="C701" s="168" t="s">
        <v>1593</v>
      </c>
      <c r="D701" s="169" t="s">
        <v>2236</v>
      </c>
      <c r="E701" s="173"/>
    </row>
    <row r="702" spans="1:5">
      <c r="A702" s="1" t="s">
        <v>8</v>
      </c>
      <c r="B702" s="43">
        <v>2885199</v>
      </c>
      <c r="C702" s="168" t="s">
        <v>1593</v>
      </c>
      <c r="D702" s="169" t="s">
        <v>2237</v>
      </c>
      <c r="E702" s="173"/>
    </row>
    <row r="703" spans="1:5">
      <c r="A703" s="1" t="s">
        <v>8</v>
      </c>
      <c r="B703" s="43">
        <v>2423502</v>
      </c>
      <c r="C703" s="168" t="s">
        <v>1593</v>
      </c>
      <c r="D703" s="169" t="s">
        <v>2204</v>
      </c>
      <c r="E703" s="173"/>
    </row>
    <row r="704" spans="1:5">
      <c r="A704" s="1" t="s">
        <v>8</v>
      </c>
      <c r="B704" s="43">
        <v>2882045</v>
      </c>
      <c r="C704" s="168" t="s">
        <v>1593</v>
      </c>
      <c r="D704" s="169" t="s">
        <v>2238</v>
      </c>
      <c r="E704" s="173"/>
    </row>
    <row r="705" spans="1:5">
      <c r="A705" s="1" t="s">
        <v>8</v>
      </c>
      <c r="B705" s="43">
        <v>3010106</v>
      </c>
      <c r="C705" s="168" t="s">
        <v>1593</v>
      </c>
      <c r="D705" s="169" t="s">
        <v>2239</v>
      </c>
      <c r="E705" s="173"/>
    </row>
    <row r="706" spans="1:5">
      <c r="A706" s="1" t="s">
        <v>8</v>
      </c>
      <c r="B706" s="43">
        <v>3010107</v>
      </c>
      <c r="C706" s="168" t="s">
        <v>1593</v>
      </c>
      <c r="D706" s="169" t="s">
        <v>2240</v>
      </c>
      <c r="E706" s="173"/>
    </row>
    <row r="707" spans="1:5">
      <c r="A707" s="1" t="s">
        <v>8</v>
      </c>
      <c r="B707" s="43">
        <v>2424406</v>
      </c>
      <c r="C707" s="168" t="s">
        <v>1593</v>
      </c>
      <c r="D707" s="169" t="s">
        <v>1646</v>
      </c>
      <c r="E707" s="173"/>
    </row>
    <row r="708" spans="1:5">
      <c r="A708" s="1" t="s">
        <v>8</v>
      </c>
      <c r="B708" s="43">
        <v>753898</v>
      </c>
      <c r="C708" s="168" t="s">
        <v>71</v>
      </c>
      <c r="D708" s="169" t="s">
        <v>1737</v>
      </c>
      <c r="E708" s="173"/>
    </row>
    <row r="709" spans="1:5">
      <c r="A709" s="1" t="s">
        <v>8</v>
      </c>
      <c r="B709" s="43">
        <v>2972405</v>
      </c>
      <c r="C709" s="168" t="s">
        <v>71</v>
      </c>
      <c r="D709" s="169" t="s">
        <v>2241</v>
      </c>
      <c r="E709" s="173"/>
    </row>
    <row r="710" spans="1:5">
      <c r="A710" s="1" t="s">
        <v>8</v>
      </c>
      <c r="B710" s="43">
        <v>2876175</v>
      </c>
      <c r="C710" s="168" t="s">
        <v>71</v>
      </c>
      <c r="D710" s="169" t="s">
        <v>2242</v>
      </c>
      <c r="E710" s="173"/>
    </row>
    <row r="711" spans="1:5">
      <c r="A711" s="1" t="s">
        <v>9</v>
      </c>
      <c r="B711" s="165" t="s">
        <v>68</v>
      </c>
      <c r="C711" s="166" t="s">
        <v>62</v>
      </c>
      <c r="D711" s="176" t="s">
        <v>69</v>
      </c>
      <c r="E711" s="166" t="s">
        <v>70</v>
      </c>
    </row>
    <row r="712" spans="1:5">
      <c r="A712" s="1" t="s">
        <v>9</v>
      </c>
      <c r="B712" s="43">
        <v>492724</v>
      </c>
      <c r="C712" s="168" t="s">
        <v>90</v>
      </c>
      <c r="D712" s="169" t="s">
        <v>2168</v>
      </c>
      <c r="E712" s="170" t="s">
        <v>2243</v>
      </c>
    </row>
    <row r="713" spans="1:5">
      <c r="A713" s="1" t="s">
        <v>9</v>
      </c>
      <c r="B713" s="43">
        <v>2894004</v>
      </c>
      <c r="C713" s="168" t="s">
        <v>90</v>
      </c>
      <c r="D713" s="169" t="s">
        <v>2244</v>
      </c>
      <c r="E713" s="170" t="s">
        <v>2245</v>
      </c>
    </row>
    <row r="714" spans="1:5">
      <c r="A714" s="1" t="s">
        <v>9</v>
      </c>
      <c r="B714" s="43">
        <v>599600</v>
      </c>
      <c r="C714" s="168" t="s">
        <v>71</v>
      </c>
      <c r="D714" s="169" t="s">
        <v>2246</v>
      </c>
      <c r="E714" s="170" t="s">
        <v>2247</v>
      </c>
    </row>
    <row r="715" spans="1:5">
      <c r="A715" s="1" t="s">
        <v>9</v>
      </c>
      <c r="B715" s="43">
        <v>2825603</v>
      </c>
      <c r="C715" s="168" t="s">
        <v>83</v>
      </c>
      <c r="D715" s="169" t="s">
        <v>2248</v>
      </c>
      <c r="E715" s="170" t="s">
        <v>2249</v>
      </c>
    </row>
    <row r="716" spans="1:5">
      <c r="A716" s="1" t="s">
        <v>9</v>
      </c>
      <c r="B716" s="43">
        <v>667357</v>
      </c>
      <c r="C716" s="168" t="s">
        <v>71</v>
      </c>
      <c r="D716" s="169" t="s">
        <v>2250</v>
      </c>
      <c r="E716" s="173"/>
    </row>
    <row r="717" spans="1:5">
      <c r="A717" s="1" t="s">
        <v>9</v>
      </c>
      <c r="B717" s="43">
        <v>2874285</v>
      </c>
      <c r="C717" s="168" t="s">
        <v>71</v>
      </c>
      <c r="D717" s="169" t="s">
        <v>2251</v>
      </c>
      <c r="E717" s="173"/>
    </row>
    <row r="718" spans="1:5">
      <c r="A718" s="1" t="s">
        <v>9</v>
      </c>
      <c r="B718" s="43">
        <v>2841603</v>
      </c>
      <c r="C718" s="168" t="s">
        <v>83</v>
      </c>
      <c r="D718" s="175" t="s">
        <v>2252</v>
      </c>
      <c r="E718" s="173"/>
    </row>
    <row r="719" spans="1:5">
      <c r="A719" s="1" t="s">
        <v>9</v>
      </c>
      <c r="B719" s="43">
        <v>2890000</v>
      </c>
      <c r="C719" s="168" t="s">
        <v>83</v>
      </c>
      <c r="D719" s="169" t="s">
        <v>2253</v>
      </c>
      <c r="E719" s="173"/>
    </row>
    <row r="720" spans="1:5">
      <c r="A720" s="1" t="s">
        <v>9</v>
      </c>
      <c r="B720" s="43">
        <v>2802030</v>
      </c>
      <c r="C720" s="168" t="s">
        <v>90</v>
      </c>
      <c r="D720" s="169" t="s">
        <v>2254</v>
      </c>
      <c r="E720" s="173"/>
    </row>
    <row r="721" spans="1:5">
      <c r="A721" s="1" t="s">
        <v>9</v>
      </c>
      <c r="B721" s="43">
        <v>2804059</v>
      </c>
      <c r="C721" s="168" t="s">
        <v>90</v>
      </c>
      <c r="D721" s="169" t="s">
        <v>2255</v>
      </c>
      <c r="E721" s="173"/>
    </row>
    <row r="722" spans="1:5">
      <c r="A722" s="1" t="s">
        <v>9</v>
      </c>
      <c r="B722" s="43">
        <v>2819182</v>
      </c>
      <c r="C722" s="168" t="s">
        <v>90</v>
      </c>
      <c r="D722" s="169" t="s">
        <v>2256</v>
      </c>
      <c r="E722" s="173"/>
    </row>
    <row r="723" spans="1:5">
      <c r="A723" s="1" t="s">
        <v>9</v>
      </c>
      <c r="B723" s="43">
        <v>2831003</v>
      </c>
      <c r="C723" s="168" t="s">
        <v>90</v>
      </c>
      <c r="D723" s="169" t="s">
        <v>2257</v>
      </c>
      <c r="E723" s="173"/>
    </row>
    <row r="724" spans="1:5">
      <c r="A724" s="1" t="s">
        <v>9</v>
      </c>
      <c r="B724" s="43">
        <v>2829005</v>
      </c>
      <c r="C724" s="168" t="s">
        <v>90</v>
      </c>
      <c r="D724" s="169" t="s">
        <v>2258</v>
      </c>
      <c r="E724" s="173"/>
    </row>
    <row r="725" spans="1:5">
      <c r="A725" s="1" t="s">
        <v>9</v>
      </c>
      <c r="B725" s="43">
        <v>2832002</v>
      </c>
      <c r="C725" s="168" t="s">
        <v>83</v>
      </c>
      <c r="D725" s="169" t="s">
        <v>2259</v>
      </c>
      <c r="E725" s="173"/>
    </row>
    <row r="726" spans="1:5">
      <c r="A726" s="1" t="s">
        <v>9</v>
      </c>
      <c r="B726" s="43">
        <v>693076</v>
      </c>
      <c r="C726" s="168" t="s">
        <v>83</v>
      </c>
      <c r="D726" s="169" t="s">
        <v>2260</v>
      </c>
      <c r="E726" s="173"/>
    </row>
    <row r="727" spans="1:5">
      <c r="A727" s="1" t="s">
        <v>9</v>
      </c>
      <c r="B727" s="43">
        <v>604223</v>
      </c>
      <c r="C727" s="168" t="s">
        <v>83</v>
      </c>
      <c r="D727" s="169" t="s">
        <v>2261</v>
      </c>
      <c r="E727" s="173"/>
    </row>
    <row r="728" spans="1:5">
      <c r="A728" s="1" t="s">
        <v>9</v>
      </c>
      <c r="B728" s="43">
        <v>2823345</v>
      </c>
      <c r="C728" s="168" t="s">
        <v>83</v>
      </c>
      <c r="D728" s="169" t="s">
        <v>2262</v>
      </c>
      <c r="E728" s="173"/>
    </row>
    <row r="729" spans="1:5">
      <c r="A729" s="1" t="s">
        <v>9</v>
      </c>
      <c r="B729" s="43">
        <v>2825032</v>
      </c>
      <c r="C729" s="168" t="s">
        <v>83</v>
      </c>
      <c r="D729" s="169" t="s">
        <v>2263</v>
      </c>
      <c r="E729" s="173"/>
    </row>
    <row r="730" spans="1:5">
      <c r="A730" s="1" t="s">
        <v>9</v>
      </c>
      <c r="B730" s="43">
        <v>2824270</v>
      </c>
      <c r="C730" s="168" t="s">
        <v>83</v>
      </c>
      <c r="D730" s="169" t="s">
        <v>2077</v>
      </c>
      <c r="E730" s="173"/>
    </row>
    <row r="731" spans="1:5">
      <c r="A731" s="1" t="s">
        <v>9</v>
      </c>
      <c r="B731" s="43">
        <v>2822580</v>
      </c>
      <c r="C731" s="168" t="s">
        <v>83</v>
      </c>
      <c r="D731" s="169" t="s">
        <v>2264</v>
      </c>
      <c r="E731" s="173"/>
    </row>
    <row r="732" spans="1:5">
      <c r="A732" s="1" t="s">
        <v>9</v>
      </c>
      <c r="B732" s="43">
        <v>2822581</v>
      </c>
      <c r="C732" s="168" t="s">
        <v>83</v>
      </c>
      <c r="D732" s="169" t="s">
        <v>2265</v>
      </c>
      <c r="E732" s="173"/>
    </row>
    <row r="733" spans="1:5">
      <c r="A733" s="1" t="s">
        <v>9</v>
      </c>
      <c r="B733" s="43">
        <v>2822582</v>
      </c>
      <c r="C733" s="168" t="s">
        <v>83</v>
      </c>
      <c r="D733" s="169" t="s">
        <v>2266</v>
      </c>
      <c r="E733" s="173"/>
    </row>
    <row r="734" spans="1:5">
      <c r="A734" s="1" t="s">
        <v>9</v>
      </c>
      <c r="B734" s="43">
        <v>2823488</v>
      </c>
      <c r="C734" s="168" t="s">
        <v>83</v>
      </c>
      <c r="D734" s="169" t="s">
        <v>2267</v>
      </c>
      <c r="E734" s="173"/>
    </row>
    <row r="735" spans="1:5">
      <c r="A735" s="1" t="s">
        <v>9</v>
      </c>
      <c r="B735" s="43">
        <v>2824356</v>
      </c>
      <c r="C735" s="168" t="s">
        <v>83</v>
      </c>
      <c r="D735" s="169" t="s">
        <v>2268</v>
      </c>
      <c r="E735" s="173"/>
    </row>
    <row r="736" spans="1:5">
      <c r="A736" s="1" t="s">
        <v>9</v>
      </c>
      <c r="B736" s="43">
        <v>704121</v>
      </c>
      <c r="C736" s="168" t="s">
        <v>83</v>
      </c>
      <c r="D736" s="169" t="s">
        <v>2269</v>
      </c>
      <c r="E736" s="173"/>
    </row>
    <row r="737" spans="1:5">
      <c r="A737" s="1" t="s">
        <v>9</v>
      </c>
      <c r="B737" s="43">
        <v>2822209</v>
      </c>
      <c r="C737" s="168" t="s">
        <v>83</v>
      </c>
      <c r="D737" s="169" t="s">
        <v>2270</v>
      </c>
      <c r="E737" s="173"/>
    </row>
    <row r="738" spans="1:5">
      <c r="A738" s="1" t="s">
        <v>9</v>
      </c>
      <c r="B738" s="43">
        <v>3157766</v>
      </c>
      <c r="C738" s="168" t="s">
        <v>83</v>
      </c>
      <c r="D738" s="169" t="s">
        <v>2271</v>
      </c>
      <c r="E738" s="173"/>
    </row>
    <row r="739" spans="1:5">
      <c r="A739" s="1" t="s">
        <v>9</v>
      </c>
      <c r="B739" s="43">
        <v>2823199</v>
      </c>
      <c r="C739" s="168" t="s">
        <v>773</v>
      </c>
      <c r="D739" s="169" t="s">
        <v>2272</v>
      </c>
      <c r="E739" s="173"/>
    </row>
    <row r="740" spans="1:5">
      <c r="A740" s="1" t="s">
        <v>9</v>
      </c>
      <c r="B740" s="43">
        <v>2823165</v>
      </c>
      <c r="C740" s="168" t="s">
        <v>773</v>
      </c>
      <c r="D740" s="169" t="s">
        <v>2273</v>
      </c>
      <c r="E740" s="173"/>
    </row>
    <row r="741" spans="1:5">
      <c r="A741" s="1" t="s">
        <v>9</v>
      </c>
      <c r="B741" s="43">
        <v>661753</v>
      </c>
      <c r="C741" s="168" t="s">
        <v>773</v>
      </c>
      <c r="D741" s="169" t="s">
        <v>2274</v>
      </c>
      <c r="E741" s="173"/>
    </row>
    <row r="742" spans="1:5">
      <c r="A742" s="1" t="s">
        <v>9</v>
      </c>
      <c r="B742" s="43">
        <v>704116</v>
      </c>
      <c r="C742" s="168" t="s">
        <v>773</v>
      </c>
      <c r="D742" s="169" t="s">
        <v>2275</v>
      </c>
      <c r="E742" s="173"/>
    </row>
    <row r="743" spans="1:5">
      <c r="A743" s="1" t="s">
        <v>9</v>
      </c>
      <c r="B743" s="43">
        <v>616661</v>
      </c>
      <c r="C743" s="168" t="s">
        <v>773</v>
      </c>
      <c r="D743" s="169" t="s">
        <v>2276</v>
      </c>
      <c r="E743" s="173"/>
    </row>
    <row r="744" spans="1:5">
      <c r="A744" s="1" t="s">
        <v>9</v>
      </c>
      <c r="B744" s="43">
        <v>645012</v>
      </c>
      <c r="C744" s="168" t="s">
        <v>773</v>
      </c>
      <c r="D744" s="169" t="s">
        <v>2277</v>
      </c>
      <c r="E744" s="173"/>
    </row>
    <row r="745" spans="1:5">
      <c r="A745" s="1" t="s">
        <v>9</v>
      </c>
      <c r="B745" s="43">
        <v>746263</v>
      </c>
      <c r="C745" s="168" t="s">
        <v>1593</v>
      </c>
      <c r="D745" s="169" t="s">
        <v>2278</v>
      </c>
      <c r="E745" s="173"/>
    </row>
    <row r="746" spans="1:5">
      <c r="A746" s="1" t="s">
        <v>9</v>
      </c>
      <c r="B746" s="43">
        <v>456351</v>
      </c>
      <c r="C746" s="168" t="s">
        <v>1593</v>
      </c>
      <c r="D746" s="169" t="s">
        <v>2279</v>
      </c>
      <c r="E746" s="173"/>
    </row>
    <row r="747" spans="1:5">
      <c r="A747" s="1" t="s">
        <v>9</v>
      </c>
      <c r="B747" s="43">
        <v>2880018</v>
      </c>
      <c r="C747" s="168" t="s">
        <v>1593</v>
      </c>
      <c r="D747" s="169" t="s">
        <v>2280</v>
      </c>
      <c r="E747" s="173"/>
    </row>
    <row r="748" spans="1:5">
      <c r="A748" s="1" t="s">
        <v>9</v>
      </c>
      <c r="B748" s="43">
        <v>2243042</v>
      </c>
      <c r="C748" s="168" t="s">
        <v>1593</v>
      </c>
      <c r="D748" s="169" t="s">
        <v>2281</v>
      </c>
      <c r="E748" s="173"/>
    </row>
    <row r="749" spans="1:5">
      <c r="A749" s="1" t="s">
        <v>9</v>
      </c>
      <c r="B749" s="43">
        <v>2822652</v>
      </c>
      <c r="C749" s="168" t="s">
        <v>1593</v>
      </c>
      <c r="D749" s="169" t="s">
        <v>2282</v>
      </c>
      <c r="E749" s="173"/>
    </row>
    <row r="750" spans="1:5">
      <c r="A750" s="1" t="s">
        <v>9</v>
      </c>
      <c r="B750" s="43">
        <v>2804060</v>
      </c>
      <c r="C750" s="168" t="s">
        <v>71</v>
      </c>
      <c r="D750" s="169" t="s">
        <v>2283</v>
      </c>
      <c r="E750" s="173"/>
    </row>
    <row r="751" spans="1:5">
      <c r="A751" s="1" t="s">
        <v>9</v>
      </c>
      <c r="B751" s="43">
        <v>784279</v>
      </c>
      <c r="C751" s="168" t="s">
        <v>71</v>
      </c>
      <c r="D751" s="169" t="s">
        <v>2284</v>
      </c>
      <c r="E751" s="173"/>
    </row>
    <row r="752" spans="1:5">
      <c r="A752" s="1" t="s">
        <v>9</v>
      </c>
      <c r="B752" s="43">
        <v>748569</v>
      </c>
      <c r="C752" s="168" t="s">
        <v>71</v>
      </c>
      <c r="D752" s="169" t="s">
        <v>2285</v>
      </c>
      <c r="E752" s="173"/>
    </row>
    <row r="753" spans="1:5">
      <c r="A753" s="1" t="s">
        <v>9</v>
      </c>
      <c r="B753" s="43">
        <v>791341</v>
      </c>
      <c r="C753" s="168" t="s">
        <v>71</v>
      </c>
      <c r="D753" s="169" t="s">
        <v>2286</v>
      </c>
      <c r="E753" s="173"/>
    </row>
    <row r="754" spans="1:5">
      <c r="A754" s="1" t="s">
        <v>9</v>
      </c>
      <c r="B754" s="43">
        <v>802825</v>
      </c>
      <c r="C754" s="168" t="s">
        <v>71</v>
      </c>
      <c r="D754" s="169" t="s">
        <v>2287</v>
      </c>
      <c r="E754" s="173"/>
    </row>
    <row r="755" spans="1:5">
      <c r="A755" s="1" t="s">
        <v>9</v>
      </c>
      <c r="B755" s="43">
        <v>191342</v>
      </c>
      <c r="C755" s="168" t="s">
        <v>71</v>
      </c>
      <c r="D755" s="169" t="s">
        <v>2288</v>
      </c>
      <c r="E755" s="173"/>
    </row>
    <row r="756" spans="1:5">
      <c r="A756" s="1" t="s">
        <v>9</v>
      </c>
      <c r="B756" s="43">
        <v>693077</v>
      </c>
      <c r="C756" s="168" t="s">
        <v>71</v>
      </c>
      <c r="D756" s="169" t="s">
        <v>2289</v>
      </c>
      <c r="E756" s="173"/>
    </row>
    <row r="757" spans="1:5">
      <c r="A757" s="1" t="s">
        <v>9</v>
      </c>
      <c r="B757" s="43">
        <v>167069</v>
      </c>
      <c r="C757" s="168" t="s">
        <v>71</v>
      </c>
      <c r="D757" s="169" t="s">
        <v>2290</v>
      </c>
      <c r="E757" s="173"/>
    </row>
    <row r="758" spans="1:5">
      <c r="A758" s="1" t="s">
        <v>9</v>
      </c>
      <c r="B758" s="43">
        <v>191340</v>
      </c>
      <c r="C758" s="168" t="s">
        <v>71</v>
      </c>
      <c r="D758" s="169" t="s">
        <v>2291</v>
      </c>
      <c r="E758" s="173"/>
    </row>
    <row r="759" spans="1:5">
      <c r="A759" s="1" t="s">
        <v>9</v>
      </c>
      <c r="B759" s="43">
        <v>2815148</v>
      </c>
      <c r="C759" s="168" t="s">
        <v>71</v>
      </c>
      <c r="D759" s="169" t="s">
        <v>2292</v>
      </c>
      <c r="E759" s="173"/>
    </row>
    <row r="760" spans="1:5">
      <c r="A760" s="1" t="s">
        <v>9</v>
      </c>
      <c r="B760" s="43">
        <v>2254038</v>
      </c>
      <c r="C760" s="168" t="s">
        <v>71</v>
      </c>
      <c r="D760" s="169" t="s">
        <v>2293</v>
      </c>
      <c r="E760" s="173"/>
    </row>
    <row r="761" spans="1:5">
      <c r="A761" s="1" t="s">
        <v>9</v>
      </c>
      <c r="B761" s="43">
        <v>2813275</v>
      </c>
      <c r="C761" s="168" t="s">
        <v>71</v>
      </c>
      <c r="D761" s="169" t="s">
        <v>2294</v>
      </c>
      <c r="E761" s="173"/>
    </row>
    <row r="762" spans="1:5">
      <c r="A762" s="1" t="s">
        <v>9</v>
      </c>
      <c r="B762" s="43">
        <v>2815115</v>
      </c>
      <c r="C762" s="168" t="s">
        <v>71</v>
      </c>
      <c r="D762" s="169" t="s">
        <v>2295</v>
      </c>
      <c r="E762" s="173"/>
    </row>
    <row r="763" spans="1:5">
      <c r="A763" s="1" t="s">
        <v>9</v>
      </c>
      <c r="B763" s="43">
        <v>2975167</v>
      </c>
      <c r="C763" s="168" t="s">
        <v>71</v>
      </c>
      <c r="D763" s="169" t="s">
        <v>1810</v>
      </c>
      <c r="E763" s="173"/>
    </row>
    <row r="764" spans="1:5">
      <c r="A764" s="1" t="s">
        <v>9</v>
      </c>
      <c r="B764" s="43">
        <v>2802470</v>
      </c>
      <c r="C764" s="168" t="s">
        <v>71</v>
      </c>
      <c r="D764" s="169" t="s">
        <v>2296</v>
      </c>
      <c r="E764" s="173"/>
    </row>
    <row r="765" spans="1:5">
      <c r="A765" s="1" t="s">
        <v>9</v>
      </c>
      <c r="B765" s="43">
        <v>697710</v>
      </c>
      <c r="C765" s="168" t="s">
        <v>71</v>
      </c>
      <c r="D765" s="169" t="s">
        <v>2297</v>
      </c>
      <c r="E765" s="173"/>
    </row>
    <row r="766" spans="1:5">
      <c r="A766" s="1" t="s">
        <v>9</v>
      </c>
      <c r="B766" s="43">
        <v>2832061</v>
      </c>
      <c r="C766" s="168" t="s">
        <v>71</v>
      </c>
      <c r="D766" s="169" t="s">
        <v>2298</v>
      </c>
      <c r="E766" s="173"/>
    </row>
    <row r="767" spans="1:5">
      <c r="A767" s="1" t="s">
        <v>10</v>
      </c>
      <c r="B767" s="165" t="s">
        <v>68</v>
      </c>
      <c r="C767" s="166" t="s">
        <v>62</v>
      </c>
      <c r="D767" s="176" t="s">
        <v>69</v>
      </c>
      <c r="E767" s="166" t="s">
        <v>70</v>
      </c>
    </row>
    <row r="768" spans="1:5">
      <c r="A768" s="1" t="s">
        <v>10</v>
      </c>
      <c r="B768" s="43">
        <v>2895588</v>
      </c>
      <c r="C768" s="168" t="s">
        <v>90</v>
      </c>
      <c r="D768" s="169" t="s">
        <v>2299</v>
      </c>
      <c r="E768" s="172" t="s">
        <v>2300</v>
      </c>
    </row>
    <row r="769" spans="1:5">
      <c r="A769" s="1" t="s">
        <v>10</v>
      </c>
      <c r="B769" s="43">
        <v>740417</v>
      </c>
      <c r="C769" s="168" t="s">
        <v>83</v>
      </c>
      <c r="D769" s="169" t="s">
        <v>2013</v>
      </c>
      <c r="E769" s="170" t="s">
        <v>2301</v>
      </c>
    </row>
    <row r="770" spans="1:5">
      <c r="A770" s="1" t="s">
        <v>10</v>
      </c>
      <c r="B770" s="43">
        <v>2876323</v>
      </c>
      <c r="C770" s="168" t="s">
        <v>1593</v>
      </c>
      <c r="D770" s="169" t="s">
        <v>2302</v>
      </c>
      <c r="E770" s="170" t="s">
        <v>2303</v>
      </c>
    </row>
    <row r="771" spans="1:5">
      <c r="A771" s="1" t="s">
        <v>10</v>
      </c>
      <c r="B771" s="43">
        <v>3129466</v>
      </c>
      <c r="C771" s="168" t="s">
        <v>71</v>
      </c>
      <c r="D771" s="169" t="s">
        <v>2304</v>
      </c>
      <c r="E771" s="170" t="s">
        <v>2305</v>
      </c>
    </row>
    <row r="772" spans="1:5">
      <c r="A772" s="1" t="s">
        <v>10</v>
      </c>
      <c r="B772" s="43">
        <v>2881215</v>
      </c>
      <c r="C772" s="168" t="s">
        <v>71</v>
      </c>
      <c r="D772" s="169" t="s">
        <v>2306</v>
      </c>
      <c r="E772" s="170" t="s">
        <v>2307</v>
      </c>
    </row>
    <row r="773" spans="1:5">
      <c r="A773" s="1" t="s">
        <v>10</v>
      </c>
      <c r="B773" s="43">
        <v>2892049</v>
      </c>
      <c r="C773" s="168" t="s">
        <v>83</v>
      </c>
      <c r="D773" s="169" t="s">
        <v>2308</v>
      </c>
      <c r="E773" s="170" t="s">
        <v>2309</v>
      </c>
    </row>
    <row r="774" spans="1:5">
      <c r="A774" s="1" t="s">
        <v>10</v>
      </c>
      <c r="B774" s="43">
        <v>2861045</v>
      </c>
      <c r="C774" s="168" t="s">
        <v>71</v>
      </c>
      <c r="D774" s="169" t="s">
        <v>2310</v>
      </c>
      <c r="E774" s="170" t="s">
        <v>2311</v>
      </c>
    </row>
    <row r="775" spans="1:5">
      <c r="A775" s="1" t="s">
        <v>10</v>
      </c>
      <c r="B775" s="43">
        <v>2860040</v>
      </c>
      <c r="C775" s="168" t="s">
        <v>71</v>
      </c>
      <c r="D775" s="169" t="s">
        <v>2312</v>
      </c>
      <c r="E775" s="170" t="s">
        <v>2313</v>
      </c>
    </row>
    <row r="776" spans="1:5">
      <c r="A776" s="1" t="s">
        <v>10</v>
      </c>
      <c r="B776" s="43">
        <v>2841395</v>
      </c>
      <c r="C776" s="168" t="s">
        <v>90</v>
      </c>
      <c r="D776" s="169" t="s">
        <v>2314</v>
      </c>
      <c r="E776" s="170" t="s">
        <v>2315</v>
      </c>
    </row>
    <row r="777" spans="1:5">
      <c r="A777" s="1" t="s">
        <v>10</v>
      </c>
      <c r="B777" s="43">
        <v>664827</v>
      </c>
      <c r="C777" s="168" t="s">
        <v>90</v>
      </c>
      <c r="D777" s="169" t="s">
        <v>2316</v>
      </c>
      <c r="E777" s="172" t="s">
        <v>2317</v>
      </c>
    </row>
    <row r="778" spans="1:5">
      <c r="A778" s="1" t="s">
        <v>10</v>
      </c>
      <c r="B778" s="43">
        <v>2806960</v>
      </c>
      <c r="C778" s="168" t="s">
        <v>90</v>
      </c>
      <c r="D778" s="169" t="s">
        <v>2318</v>
      </c>
      <c r="E778" s="172" t="s">
        <v>2319</v>
      </c>
    </row>
    <row r="779" spans="1:5">
      <c r="A779" s="1" t="s">
        <v>10</v>
      </c>
      <c r="B779" s="43">
        <v>531463</v>
      </c>
      <c r="C779" s="168" t="s">
        <v>90</v>
      </c>
      <c r="D779" s="169" t="s">
        <v>2320</v>
      </c>
      <c r="E779" s="170" t="s">
        <v>2321</v>
      </c>
    </row>
    <row r="780" spans="1:5">
      <c r="A780" s="1" t="s">
        <v>10</v>
      </c>
      <c r="B780" s="43">
        <v>5022330</v>
      </c>
      <c r="C780" s="168" t="s">
        <v>90</v>
      </c>
      <c r="D780" s="169" t="s">
        <v>2322</v>
      </c>
      <c r="E780" s="172" t="s">
        <v>2323</v>
      </c>
    </row>
    <row r="781" spans="1:5">
      <c r="A781" s="1" t="s">
        <v>10</v>
      </c>
      <c r="B781" s="43">
        <v>2819145</v>
      </c>
      <c r="C781" s="168" t="s">
        <v>90</v>
      </c>
      <c r="D781" s="169" t="s">
        <v>2324</v>
      </c>
      <c r="E781" s="170" t="s">
        <v>2325</v>
      </c>
    </row>
    <row r="782" spans="1:5">
      <c r="A782" s="1" t="s">
        <v>10</v>
      </c>
      <c r="B782" s="43">
        <v>2825682</v>
      </c>
      <c r="C782" s="168" t="s">
        <v>90</v>
      </c>
      <c r="D782" s="169" t="s">
        <v>2326</v>
      </c>
      <c r="E782" s="170" t="s">
        <v>2327</v>
      </c>
    </row>
    <row r="783" spans="1:5">
      <c r="A783" s="1" t="s">
        <v>10</v>
      </c>
      <c r="B783" s="43">
        <v>490754</v>
      </c>
      <c r="C783" s="168" t="s">
        <v>83</v>
      </c>
      <c r="D783" s="169" t="s">
        <v>2328</v>
      </c>
      <c r="E783" s="178" t="s">
        <v>2329</v>
      </c>
    </row>
    <row r="784" spans="1:5">
      <c r="A784" s="1" t="s">
        <v>10</v>
      </c>
      <c r="B784" s="43">
        <v>601768</v>
      </c>
      <c r="C784" s="168" t="s">
        <v>83</v>
      </c>
      <c r="D784" s="169" t="s">
        <v>2330</v>
      </c>
      <c r="E784" s="177"/>
    </row>
    <row r="785" spans="1:5">
      <c r="A785" s="1" t="s">
        <v>10</v>
      </c>
      <c r="B785" s="43">
        <v>765327</v>
      </c>
      <c r="C785" s="168" t="s">
        <v>83</v>
      </c>
      <c r="D785" s="169" t="s">
        <v>2331</v>
      </c>
      <c r="E785" s="177"/>
    </row>
    <row r="786" spans="1:5">
      <c r="A786" s="1" t="s">
        <v>10</v>
      </c>
      <c r="B786" s="43">
        <v>664826</v>
      </c>
      <c r="C786" s="168" t="s">
        <v>83</v>
      </c>
      <c r="D786" s="169" t="s">
        <v>2332</v>
      </c>
      <c r="E786" s="177"/>
    </row>
    <row r="787" spans="1:5">
      <c r="A787" s="1" t="s">
        <v>10</v>
      </c>
      <c r="B787" s="43">
        <v>806168</v>
      </c>
      <c r="C787" s="168" t="s">
        <v>83</v>
      </c>
      <c r="D787" s="169" t="s">
        <v>2333</v>
      </c>
      <c r="E787" s="173"/>
    </row>
    <row r="788" spans="1:5">
      <c r="A788" s="1" t="s">
        <v>10</v>
      </c>
      <c r="B788" s="43">
        <v>672259</v>
      </c>
      <c r="C788" s="168" t="s">
        <v>83</v>
      </c>
      <c r="D788" s="169" t="s">
        <v>2334</v>
      </c>
      <c r="E788" s="173"/>
    </row>
    <row r="789" spans="1:5">
      <c r="A789" s="1" t="s">
        <v>10</v>
      </c>
      <c r="B789" s="43">
        <v>2811017</v>
      </c>
      <c r="C789" s="168" t="s">
        <v>83</v>
      </c>
      <c r="D789" s="169" t="s">
        <v>2335</v>
      </c>
      <c r="E789" s="173"/>
    </row>
    <row r="790" spans="1:5">
      <c r="A790" s="1" t="s">
        <v>10</v>
      </c>
      <c r="B790" s="43">
        <v>2804664</v>
      </c>
      <c r="C790" s="168" t="s">
        <v>83</v>
      </c>
      <c r="D790" s="169" t="s">
        <v>2336</v>
      </c>
      <c r="E790" s="173"/>
    </row>
    <row r="791" spans="1:5">
      <c r="A791" s="1" t="s">
        <v>10</v>
      </c>
      <c r="B791" s="43">
        <v>2823034</v>
      </c>
      <c r="C791" s="168" t="s">
        <v>83</v>
      </c>
      <c r="D791" s="169" t="s">
        <v>2337</v>
      </c>
      <c r="E791" s="173"/>
    </row>
    <row r="792" spans="1:5">
      <c r="A792" s="1" t="s">
        <v>10</v>
      </c>
      <c r="B792" s="43">
        <v>2822592</v>
      </c>
      <c r="C792" s="168" t="s">
        <v>83</v>
      </c>
      <c r="D792" s="169" t="s">
        <v>2338</v>
      </c>
      <c r="E792" s="173"/>
    </row>
    <row r="793" spans="1:5">
      <c r="A793" s="1" t="s">
        <v>10</v>
      </c>
      <c r="B793" s="43">
        <v>2280170</v>
      </c>
      <c r="C793" s="168" t="s">
        <v>83</v>
      </c>
      <c r="D793" s="169" t="s">
        <v>2339</v>
      </c>
      <c r="E793" s="173"/>
    </row>
    <row r="794" spans="1:5">
      <c r="A794" s="1" t="s">
        <v>10</v>
      </c>
      <c r="B794" s="43">
        <v>2825620</v>
      </c>
      <c r="C794" s="168" t="s">
        <v>83</v>
      </c>
      <c r="D794" s="169" t="s">
        <v>2079</v>
      </c>
      <c r="E794" s="173"/>
    </row>
    <row r="795" spans="1:5">
      <c r="A795" s="1" t="s">
        <v>10</v>
      </c>
      <c r="B795" s="43">
        <v>2823513</v>
      </c>
      <c r="C795" s="168" t="s">
        <v>83</v>
      </c>
      <c r="D795" s="169" t="s">
        <v>2340</v>
      </c>
      <c r="E795" s="173"/>
    </row>
    <row r="796" spans="1:5">
      <c r="A796" s="1" t="s">
        <v>10</v>
      </c>
      <c r="B796" s="43">
        <v>5035820</v>
      </c>
      <c r="C796" s="168" t="s">
        <v>83</v>
      </c>
      <c r="D796" s="169" t="s">
        <v>2341</v>
      </c>
      <c r="E796" s="173"/>
    </row>
    <row r="797" spans="1:5">
      <c r="A797" s="1" t="s">
        <v>10</v>
      </c>
      <c r="B797" s="43">
        <v>2841519</v>
      </c>
      <c r="C797" s="168" t="s">
        <v>83</v>
      </c>
      <c r="D797" s="169" t="s">
        <v>2342</v>
      </c>
      <c r="E797" s="173"/>
    </row>
    <row r="798" spans="1:5">
      <c r="A798" s="1" t="s">
        <v>10</v>
      </c>
      <c r="B798" s="43">
        <v>2857067</v>
      </c>
      <c r="C798" s="168" t="s">
        <v>83</v>
      </c>
      <c r="D798" s="169" t="s">
        <v>2343</v>
      </c>
      <c r="E798" s="173"/>
    </row>
    <row r="799" spans="1:5">
      <c r="A799" s="1" t="s">
        <v>10</v>
      </c>
      <c r="B799" s="43">
        <v>2881017</v>
      </c>
      <c r="C799" s="168" t="s">
        <v>83</v>
      </c>
      <c r="D799" s="169" t="s">
        <v>2231</v>
      </c>
      <c r="E799" s="173"/>
    </row>
    <row r="800" spans="1:5">
      <c r="A800" s="1" t="s">
        <v>10</v>
      </c>
      <c r="B800" s="43">
        <v>2894125</v>
      </c>
      <c r="C800" s="168" t="s">
        <v>83</v>
      </c>
      <c r="D800" s="169" t="s">
        <v>2344</v>
      </c>
      <c r="E800" s="173"/>
    </row>
    <row r="801" spans="1:5">
      <c r="A801" s="1" t="s">
        <v>10</v>
      </c>
      <c r="B801" s="43">
        <v>2890129</v>
      </c>
      <c r="C801" s="168" t="s">
        <v>83</v>
      </c>
      <c r="D801" s="169" t="s">
        <v>2345</v>
      </c>
      <c r="E801" s="173"/>
    </row>
    <row r="802" spans="1:5">
      <c r="A802" s="1" t="s">
        <v>10</v>
      </c>
      <c r="B802" s="43">
        <v>2424659</v>
      </c>
      <c r="C802" s="168" t="s">
        <v>83</v>
      </c>
      <c r="D802" s="169" t="s">
        <v>2346</v>
      </c>
      <c r="E802" s="173"/>
    </row>
    <row r="803" spans="1:5">
      <c r="A803" s="1" t="s">
        <v>10</v>
      </c>
      <c r="B803" s="43">
        <v>2805908</v>
      </c>
      <c r="C803" s="168" t="s">
        <v>773</v>
      </c>
      <c r="D803" s="175" t="s">
        <v>2347</v>
      </c>
      <c r="E803" s="173"/>
    </row>
    <row r="804" spans="1:5">
      <c r="A804" s="1" t="s">
        <v>10</v>
      </c>
      <c r="B804" s="43">
        <v>5026557</v>
      </c>
      <c r="C804" s="168" t="s">
        <v>773</v>
      </c>
      <c r="D804" s="169" t="s">
        <v>2348</v>
      </c>
      <c r="E804" s="173"/>
    </row>
    <row r="805" spans="1:5">
      <c r="A805" s="1" t="s">
        <v>10</v>
      </c>
      <c r="B805" s="43">
        <v>5005071</v>
      </c>
      <c r="C805" s="168" t="s">
        <v>773</v>
      </c>
      <c r="D805" s="169" t="s">
        <v>2349</v>
      </c>
      <c r="E805" s="173"/>
    </row>
    <row r="806" spans="1:5">
      <c r="A806" s="1" t="s">
        <v>10</v>
      </c>
      <c r="B806" s="43">
        <v>2810169</v>
      </c>
      <c r="C806" s="168" t="s">
        <v>773</v>
      </c>
      <c r="D806" s="169" t="s">
        <v>2350</v>
      </c>
      <c r="E806" s="173"/>
    </row>
    <row r="807" spans="1:5">
      <c r="A807" s="1" t="s">
        <v>10</v>
      </c>
      <c r="B807" s="43">
        <v>5034173</v>
      </c>
      <c r="C807" s="168" t="s">
        <v>773</v>
      </c>
      <c r="D807" s="169" t="s">
        <v>2351</v>
      </c>
      <c r="E807" s="173"/>
    </row>
    <row r="808" spans="1:5">
      <c r="A808" s="1" t="s">
        <v>10</v>
      </c>
      <c r="B808" s="43">
        <v>2822057</v>
      </c>
      <c r="C808" s="168" t="s">
        <v>773</v>
      </c>
      <c r="D808" s="169" t="s">
        <v>2352</v>
      </c>
      <c r="E808" s="173"/>
    </row>
    <row r="809" spans="1:5">
      <c r="A809" s="1" t="s">
        <v>10</v>
      </c>
      <c r="B809" s="43">
        <v>2825498</v>
      </c>
      <c r="C809" s="168" t="s">
        <v>773</v>
      </c>
      <c r="D809" s="169" t="s">
        <v>2353</v>
      </c>
      <c r="E809" s="173"/>
    </row>
    <row r="810" spans="1:5">
      <c r="A810" s="1" t="s">
        <v>10</v>
      </c>
      <c r="B810" s="43">
        <v>2817066</v>
      </c>
      <c r="C810" s="168" t="s">
        <v>773</v>
      </c>
      <c r="D810" s="169" t="s">
        <v>2354</v>
      </c>
      <c r="E810" s="173"/>
    </row>
    <row r="811" spans="1:5">
      <c r="A811" s="1" t="s">
        <v>10</v>
      </c>
      <c r="B811" s="43">
        <v>2822406</v>
      </c>
      <c r="C811" s="168" t="s">
        <v>773</v>
      </c>
      <c r="D811" s="169" t="s">
        <v>2355</v>
      </c>
      <c r="E811" s="173"/>
    </row>
    <row r="812" spans="1:5">
      <c r="A812" s="1" t="s">
        <v>10</v>
      </c>
      <c r="B812" s="43">
        <v>2824299</v>
      </c>
      <c r="C812" s="168" t="s">
        <v>773</v>
      </c>
      <c r="D812" s="169" t="s">
        <v>2356</v>
      </c>
      <c r="E812" s="173"/>
    </row>
    <row r="813" spans="1:5">
      <c r="A813" s="1" t="s">
        <v>10</v>
      </c>
      <c r="B813" s="43">
        <v>2822641</v>
      </c>
      <c r="C813" s="168" t="s">
        <v>773</v>
      </c>
      <c r="D813" s="169" t="s">
        <v>2357</v>
      </c>
      <c r="E813" s="173"/>
    </row>
    <row r="814" spans="1:5">
      <c r="A814" s="1" t="s">
        <v>10</v>
      </c>
      <c r="B814" s="43">
        <v>2938118</v>
      </c>
      <c r="C814" s="168" t="s">
        <v>1593</v>
      </c>
      <c r="D814" s="169" t="s">
        <v>2358</v>
      </c>
      <c r="E814" s="173"/>
    </row>
    <row r="815" spans="1:5">
      <c r="A815" s="1" t="s">
        <v>10</v>
      </c>
      <c r="B815" s="43">
        <v>2823140</v>
      </c>
      <c r="C815" s="168" t="s">
        <v>1593</v>
      </c>
      <c r="D815" s="169" t="s">
        <v>2359</v>
      </c>
      <c r="E815" s="173"/>
    </row>
    <row r="816" spans="1:5">
      <c r="A816" s="1" t="s">
        <v>10</v>
      </c>
      <c r="B816" s="43">
        <v>573131</v>
      </c>
      <c r="C816" s="168" t="s">
        <v>1593</v>
      </c>
      <c r="D816" s="169" t="s">
        <v>2360</v>
      </c>
      <c r="E816" s="173"/>
    </row>
    <row r="817" spans="1:5">
      <c r="A817" s="1" t="s">
        <v>10</v>
      </c>
      <c r="B817" s="43">
        <v>630612</v>
      </c>
      <c r="C817" s="168" t="s">
        <v>1593</v>
      </c>
      <c r="D817" s="169" t="s">
        <v>2361</v>
      </c>
      <c r="E817" s="173"/>
    </row>
    <row r="818" spans="1:5">
      <c r="A818" s="1" t="s">
        <v>10</v>
      </c>
      <c r="B818" s="43">
        <v>573130</v>
      </c>
      <c r="C818" s="168" t="s">
        <v>1593</v>
      </c>
      <c r="D818" s="169" t="s">
        <v>2362</v>
      </c>
      <c r="E818" s="173"/>
    </row>
    <row r="819" spans="1:5">
      <c r="A819" s="1" t="s">
        <v>10</v>
      </c>
      <c r="B819" s="43">
        <v>3009707</v>
      </c>
      <c r="C819" s="168" t="s">
        <v>1593</v>
      </c>
      <c r="D819" s="169" t="s">
        <v>2363</v>
      </c>
      <c r="E819" s="173"/>
    </row>
    <row r="820" spans="1:5">
      <c r="A820" s="1" t="s">
        <v>10</v>
      </c>
      <c r="B820" s="43">
        <v>3010693</v>
      </c>
      <c r="C820" s="168" t="s">
        <v>1593</v>
      </c>
      <c r="D820" s="169" t="s">
        <v>2364</v>
      </c>
      <c r="E820" s="173"/>
    </row>
    <row r="821" spans="1:5">
      <c r="A821" s="1" t="s">
        <v>10</v>
      </c>
      <c r="B821" s="43">
        <v>3013245</v>
      </c>
      <c r="C821" s="168" t="s">
        <v>1593</v>
      </c>
      <c r="D821" s="169" t="s">
        <v>2365</v>
      </c>
      <c r="E821" s="173"/>
    </row>
    <row r="822" spans="1:5">
      <c r="A822" s="1" t="s">
        <v>10</v>
      </c>
      <c r="B822" s="43">
        <v>3008694</v>
      </c>
      <c r="C822" s="168" t="s">
        <v>1593</v>
      </c>
      <c r="D822" s="169" t="s">
        <v>2366</v>
      </c>
      <c r="E822" s="173"/>
    </row>
    <row r="823" spans="1:5">
      <c r="A823" s="1" t="s">
        <v>10</v>
      </c>
      <c r="B823" s="43">
        <v>5028661</v>
      </c>
      <c r="C823" s="168" t="s">
        <v>71</v>
      </c>
      <c r="D823" s="169" t="s">
        <v>2367</v>
      </c>
      <c r="E823" s="173"/>
    </row>
    <row r="824" spans="1:5">
      <c r="A824" s="1" t="s">
        <v>10</v>
      </c>
      <c r="B824" s="43">
        <v>647676</v>
      </c>
      <c r="C824" s="168" t="s">
        <v>71</v>
      </c>
      <c r="D824" s="169" t="s">
        <v>2368</v>
      </c>
      <c r="E824" s="173"/>
    </row>
    <row r="825" spans="1:5">
      <c r="A825" s="1" t="s">
        <v>10</v>
      </c>
      <c r="B825" s="43">
        <v>647677</v>
      </c>
      <c r="C825" s="168" t="s">
        <v>71</v>
      </c>
      <c r="D825" s="169" t="s">
        <v>2369</v>
      </c>
      <c r="E825" s="173"/>
    </row>
    <row r="826" spans="1:5">
      <c r="A826" s="1" t="s">
        <v>10</v>
      </c>
      <c r="B826" s="43">
        <v>618718</v>
      </c>
      <c r="C826" s="168" t="s">
        <v>71</v>
      </c>
      <c r="D826" s="169" t="s">
        <v>2370</v>
      </c>
      <c r="E826" s="173"/>
    </row>
    <row r="827" spans="1:5">
      <c r="A827" s="1" t="s">
        <v>10</v>
      </c>
      <c r="B827" s="43">
        <v>2814138</v>
      </c>
      <c r="C827" s="168" t="s">
        <v>71</v>
      </c>
      <c r="D827" s="169" t="s">
        <v>2371</v>
      </c>
      <c r="E827" s="173"/>
    </row>
    <row r="828" spans="1:5">
      <c r="A828" s="1" t="s">
        <v>10</v>
      </c>
      <c r="B828" s="43">
        <v>2825411</v>
      </c>
      <c r="C828" s="168" t="s">
        <v>71</v>
      </c>
      <c r="D828" s="169" t="s">
        <v>2372</v>
      </c>
      <c r="E828" s="173"/>
    </row>
    <row r="829" spans="1:5">
      <c r="A829" s="1" t="s">
        <v>10</v>
      </c>
      <c r="B829" s="43">
        <v>2863046</v>
      </c>
      <c r="C829" s="168" t="s">
        <v>71</v>
      </c>
      <c r="D829" s="169" t="s">
        <v>2373</v>
      </c>
      <c r="E829" s="173"/>
    </row>
    <row r="830" spans="1:5">
      <c r="A830" s="1" t="s">
        <v>10</v>
      </c>
      <c r="B830" s="179">
        <v>2856077</v>
      </c>
      <c r="C830" s="180" t="s">
        <v>71</v>
      </c>
      <c r="D830" s="169" t="s">
        <v>2374</v>
      </c>
      <c r="E830" s="173"/>
    </row>
    <row r="831" spans="1:5">
      <c r="A831" s="1" t="s">
        <v>10</v>
      </c>
      <c r="B831" s="43">
        <v>667381</v>
      </c>
      <c r="C831" s="168" t="s">
        <v>71</v>
      </c>
      <c r="D831" s="169" t="s">
        <v>2375</v>
      </c>
      <c r="E831" s="173"/>
    </row>
    <row r="832" spans="1:5">
      <c r="A832" s="1" t="s">
        <v>10</v>
      </c>
      <c r="B832" s="43">
        <v>777348</v>
      </c>
      <c r="C832" s="168" t="s">
        <v>71</v>
      </c>
      <c r="D832" s="169" t="s">
        <v>2376</v>
      </c>
      <c r="E832" s="173"/>
    </row>
    <row r="833" spans="1:5">
      <c r="A833" s="1" t="s">
        <v>10</v>
      </c>
      <c r="B833" s="43">
        <v>5040395</v>
      </c>
      <c r="C833" s="168" t="s">
        <v>71</v>
      </c>
      <c r="D833" s="169" t="s">
        <v>2377</v>
      </c>
      <c r="E833" s="173"/>
    </row>
    <row r="834" spans="1:5">
      <c r="A834" s="1" t="s">
        <v>10</v>
      </c>
      <c r="B834" s="43">
        <v>2813260</v>
      </c>
      <c r="C834" s="168" t="s">
        <v>71</v>
      </c>
      <c r="D834" s="169" t="s">
        <v>2378</v>
      </c>
      <c r="E834" s="173"/>
    </row>
    <row r="835" spans="1:5">
      <c r="A835" s="1" t="s">
        <v>10</v>
      </c>
      <c r="B835" s="43">
        <v>786423</v>
      </c>
      <c r="C835" s="168" t="s">
        <v>71</v>
      </c>
      <c r="D835" s="169" t="s">
        <v>2379</v>
      </c>
      <c r="E835" s="173"/>
    </row>
    <row r="836" spans="1:5">
      <c r="A836" s="1" t="s">
        <v>10</v>
      </c>
      <c r="B836" s="43">
        <v>2211317</v>
      </c>
      <c r="C836" s="168" t="s">
        <v>71</v>
      </c>
      <c r="D836" s="169" t="s">
        <v>2380</v>
      </c>
      <c r="E836" s="173"/>
    </row>
    <row r="837" spans="1:5">
      <c r="A837" s="1" t="s">
        <v>10</v>
      </c>
      <c r="B837" s="43">
        <v>2211318</v>
      </c>
      <c r="C837" s="168" t="s">
        <v>71</v>
      </c>
      <c r="D837" s="169" t="s">
        <v>2381</v>
      </c>
      <c r="E837" s="173"/>
    </row>
    <row r="838" spans="1:5">
      <c r="A838" s="1" t="s">
        <v>10</v>
      </c>
      <c r="B838" s="43">
        <v>2243053</v>
      </c>
      <c r="C838" s="168" t="s">
        <v>71</v>
      </c>
      <c r="D838" s="169" t="s">
        <v>2382</v>
      </c>
      <c r="E838" s="173"/>
    </row>
    <row r="839" spans="1:5">
      <c r="A839" s="1" t="s">
        <v>10</v>
      </c>
      <c r="B839" s="43">
        <v>2243054</v>
      </c>
      <c r="C839" s="168" t="s">
        <v>71</v>
      </c>
      <c r="D839" s="169" t="s">
        <v>2383</v>
      </c>
      <c r="E839" s="173"/>
    </row>
    <row r="840" spans="1:5">
      <c r="A840" s="1" t="s">
        <v>10</v>
      </c>
      <c r="B840" s="43">
        <v>2817027</v>
      </c>
      <c r="C840" s="168" t="s">
        <v>71</v>
      </c>
      <c r="D840" s="169" t="s">
        <v>2384</v>
      </c>
      <c r="E840" s="173"/>
    </row>
    <row r="841" spans="1:5">
      <c r="A841" s="1" t="s">
        <v>10</v>
      </c>
      <c r="B841" s="43">
        <v>2819185</v>
      </c>
      <c r="C841" s="168" t="s">
        <v>71</v>
      </c>
      <c r="D841" s="169" t="s">
        <v>2385</v>
      </c>
      <c r="E841" s="173"/>
    </row>
    <row r="842" spans="1:5">
      <c r="A842" s="1" t="s">
        <v>10</v>
      </c>
      <c r="B842" s="43">
        <v>2823043</v>
      </c>
      <c r="C842" s="168" t="s">
        <v>71</v>
      </c>
      <c r="D842" s="169" t="s">
        <v>2386</v>
      </c>
      <c r="E842" s="173"/>
    </row>
    <row r="843" spans="1:5">
      <c r="A843" s="1" t="s">
        <v>10</v>
      </c>
      <c r="B843" s="43">
        <v>2823072</v>
      </c>
      <c r="C843" s="168" t="s">
        <v>71</v>
      </c>
      <c r="D843" s="169" t="s">
        <v>2387</v>
      </c>
      <c r="E843" s="173"/>
    </row>
    <row r="844" spans="1:5">
      <c r="A844" s="1" t="s">
        <v>10</v>
      </c>
      <c r="B844" s="43">
        <v>2823097</v>
      </c>
      <c r="C844" s="168" t="s">
        <v>71</v>
      </c>
      <c r="D844" s="169" t="s">
        <v>2388</v>
      </c>
      <c r="E844" s="173"/>
    </row>
    <row r="845" spans="1:5">
      <c r="A845" s="1" t="s">
        <v>10</v>
      </c>
      <c r="B845" s="43">
        <v>2823098</v>
      </c>
      <c r="C845" s="168" t="s">
        <v>71</v>
      </c>
      <c r="D845" s="169" t="s">
        <v>2389</v>
      </c>
      <c r="E845" s="173"/>
    </row>
    <row r="846" spans="1:5">
      <c r="A846" s="1" t="s">
        <v>10</v>
      </c>
      <c r="B846" s="43">
        <v>5019812</v>
      </c>
      <c r="C846" s="168" t="s">
        <v>71</v>
      </c>
      <c r="D846" s="169" t="s">
        <v>2390</v>
      </c>
      <c r="E846" s="173"/>
    </row>
    <row r="847" spans="1:5">
      <c r="A847" s="1" t="s">
        <v>10</v>
      </c>
      <c r="B847" s="43">
        <v>5019813</v>
      </c>
      <c r="C847" s="168" t="s">
        <v>71</v>
      </c>
      <c r="D847" s="169" t="s">
        <v>2391</v>
      </c>
      <c r="E847" s="173"/>
    </row>
    <row r="848" spans="1:5">
      <c r="A848" s="1" t="s">
        <v>10</v>
      </c>
      <c r="B848" s="43">
        <v>2823564</v>
      </c>
      <c r="C848" s="168" t="s">
        <v>71</v>
      </c>
      <c r="D848" s="169" t="s">
        <v>2392</v>
      </c>
      <c r="E848" s="173"/>
    </row>
    <row r="849" spans="1:5">
      <c r="A849" s="1" t="s">
        <v>10</v>
      </c>
      <c r="B849" s="43">
        <v>2817226</v>
      </c>
      <c r="C849" s="168" t="s">
        <v>71</v>
      </c>
      <c r="D849" s="169" t="s">
        <v>2393</v>
      </c>
      <c r="E849" s="173"/>
    </row>
    <row r="850" spans="1:5">
      <c r="A850" s="1" t="s">
        <v>10</v>
      </c>
      <c r="B850" s="43">
        <v>2822461</v>
      </c>
      <c r="C850" s="168" t="s">
        <v>71</v>
      </c>
      <c r="D850" s="169" t="s">
        <v>2394</v>
      </c>
      <c r="E850" s="173"/>
    </row>
    <row r="851" spans="1:5">
      <c r="A851" s="1" t="s">
        <v>10</v>
      </c>
      <c r="B851" s="43">
        <v>2828018</v>
      </c>
      <c r="C851" s="168" t="s">
        <v>71</v>
      </c>
      <c r="D851" s="169" t="s">
        <v>2395</v>
      </c>
      <c r="E851" s="173"/>
    </row>
    <row r="852" spans="1:5">
      <c r="A852" s="1" t="s">
        <v>10</v>
      </c>
      <c r="B852" s="43">
        <v>2825746</v>
      </c>
      <c r="C852" s="168" t="s">
        <v>71</v>
      </c>
      <c r="D852" s="169" t="s">
        <v>2396</v>
      </c>
      <c r="E852" s="173"/>
    </row>
    <row r="853" spans="1:5">
      <c r="A853" s="1" t="s">
        <v>10</v>
      </c>
      <c r="B853" s="43">
        <v>699332</v>
      </c>
      <c r="C853" s="180" t="s">
        <v>71</v>
      </c>
      <c r="D853" s="175" t="s">
        <v>2397</v>
      </c>
      <c r="E853" s="173"/>
    </row>
    <row r="854" spans="1:5">
      <c r="A854" s="1" t="s">
        <v>10</v>
      </c>
      <c r="B854" s="43">
        <v>721913</v>
      </c>
      <c r="C854" s="168" t="s">
        <v>71</v>
      </c>
      <c r="D854" s="169" t="s">
        <v>2398</v>
      </c>
      <c r="E854" s="173"/>
    </row>
    <row r="855" spans="1:5">
      <c r="A855" s="1" t="s">
        <v>10</v>
      </c>
      <c r="B855" s="43">
        <v>761931</v>
      </c>
      <c r="C855" s="168" t="s">
        <v>71</v>
      </c>
      <c r="D855" s="169" t="s">
        <v>2399</v>
      </c>
      <c r="E855" s="173"/>
    </row>
    <row r="856" spans="1:5">
      <c r="A856" s="1" t="s">
        <v>10</v>
      </c>
      <c r="B856" s="43">
        <v>601772</v>
      </c>
      <c r="C856" s="168" t="s">
        <v>71</v>
      </c>
      <c r="D856" s="169" t="s">
        <v>2400</v>
      </c>
      <c r="E856" s="173"/>
    </row>
    <row r="857" spans="1:5">
      <c r="A857" s="1" t="s">
        <v>10</v>
      </c>
      <c r="B857" s="43">
        <v>2887178</v>
      </c>
      <c r="C857" s="168" t="s">
        <v>71</v>
      </c>
      <c r="D857" s="169" t="s">
        <v>2401</v>
      </c>
      <c r="E857" s="173"/>
    </row>
    <row r="858" spans="1:5">
      <c r="A858" s="1" t="s">
        <v>2402</v>
      </c>
      <c r="B858" s="165" t="s">
        <v>68</v>
      </c>
      <c r="C858" s="166" t="s">
        <v>62</v>
      </c>
      <c r="D858" s="176" t="s">
        <v>69</v>
      </c>
      <c r="E858" s="166" t="s">
        <v>70</v>
      </c>
    </row>
    <row r="859" spans="1:5">
      <c r="A859" s="1" t="s">
        <v>2402</v>
      </c>
      <c r="B859" s="43">
        <v>2864005</v>
      </c>
      <c r="C859" s="168" t="s">
        <v>773</v>
      </c>
      <c r="D859" s="169" t="s">
        <v>2403</v>
      </c>
      <c r="E859" s="172" t="s">
        <v>2404</v>
      </c>
    </row>
    <row r="860" spans="1:5">
      <c r="A860" s="1" t="s">
        <v>2402</v>
      </c>
      <c r="B860" s="43">
        <v>2423553</v>
      </c>
      <c r="C860" s="168" t="s">
        <v>71</v>
      </c>
      <c r="D860" s="169" t="s">
        <v>2405</v>
      </c>
      <c r="E860" s="181" t="s">
        <v>2406</v>
      </c>
    </row>
    <row r="861" spans="1:5">
      <c r="A861" s="1" t="s">
        <v>2402</v>
      </c>
      <c r="B861" s="43">
        <v>3123063</v>
      </c>
      <c r="C861" s="168" t="s">
        <v>71</v>
      </c>
      <c r="D861" s="169" t="s">
        <v>2407</v>
      </c>
      <c r="E861" s="170" t="s">
        <v>2408</v>
      </c>
    </row>
    <row r="862" spans="1:5">
      <c r="A862" s="1" t="s">
        <v>2402</v>
      </c>
      <c r="B862" s="43">
        <v>2424408</v>
      </c>
      <c r="C862" s="168" t="s">
        <v>71</v>
      </c>
      <c r="D862" s="169" t="s">
        <v>2409</v>
      </c>
      <c r="E862" s="181" t="s">
        <v>2410</v>
      </c>
    </row>
    <row r="863" spans="1:5">
      <c r="A863" s="1" t="s">
        <v>2402</v>
      </c>
      <c r="B863" s="43">
        <v>777390</v>
      </c>
      <c r="C863" s="168" t="s">
        <v>83</v>
      </c>
      <c r="D863" s="169" t="s">
        <v>2411</v>
      </c>
      <c r="E863" s="170" t="s">
        <v>2412</v>
      </c>
    </row>
    <row r="864" spans="1:5">
      <c r="A864" s="1" t="s">
        <v>2402</v>
      </c>
      <c r="B864" s="43">
        <v>2807860</v>
      </c>
      <c r="C864" s="168" t="s">
        <v>83</v>
      </c>
      <c r="D864" s="169" t="s">
        <v>2413</v>
      </c>
      <c r="E864" s="170" t="s">
        <v>2414</v>
      </c>
    </row>
    <row r="865" spans="1:5">
      <c r="A865" s="1" t="s">
        <v>2402</v>
      </c>
      <c r="B865" s="43">
        <v>5035811</v>
      </c>
      <c r="C865" s="168" t="s">
        <v>83</v>
      </c>
      <c r="D865" s="169" t="s">
        <v>2415</v>
      </c>
      <c r="E865" s="182" t="s">
        <v>2416</v>
      </c>
    </row>
    <row r="866" spans="1:5">
      <c r="A866" s="1" t="s">
        <v>2402</v>
      </c>
      <c r="B866" s="43">
        <v>765323</v>
      </c>
      <c r="C866" s="168" t="s">
        <v>83</v>
      </c>
      <c r="D866" s="169" t="s">
        <v>2417</v>
      </c>
      <c r="E866" s="182" t="s">
        <v>2418</v>
      </c>
    </row>
    <row r="867" spans="1:5">
      <c r="A867" s="1" t="s">
        <v>2402</v>
      </c>
      <c r="B867" s="43">
        <v>782136</v>
      </c>
      <c r="C867" s="168" t="s">
        <v>83</v>
      </c>
      <c r="D867" s="169" t="s">
        <v>2419</v>
      </c>
      <c r="E867" s="170" t="s">
        <v>2420</v>
      </c>
    </row>
    <row r="868" spans="1:5">
      <c r="A868" s="1" t="s">
        <v>2402</v>
      </c>
      <c r="B868" s="43">
        <v>721895</v>
      </c>
      <c r="C868" s="168" t="s">
        <v>83</v>
      </c>
      <c r="D868" s="169" t="s">
        <v>2421</v>
      </c>
      <c r="E868" s="182" t="s">
        <v>2422</v>
      </c>
    </row>
    <row r="869" spans="1:5">
      <c r="A869" s="1" t="s">
        <v>2402</v>
      </c>
      <c r="B869" s="43">
        <v>2212265</v>
      </c>
      <c r="C869" s="168" t="s">
        <v>83</v>
      </c>
      <c r="D869" s="169" t="s">
        <v>2423</v>
      </c>
      <c r="E869" s="172" t="s">
        <v>2424</v>
      </c>
    </row>
    <row r="870" spans="1:5">
      <c r="A870" s="1" t="s">
        <v>2402</v>
      </c>
      <c r="B870" s="43">
        <v>2213242</v>
      </c>
      <c r="C870" s="168" t="s">
        <v>83</v>
      </c>
      <c r="D870" s="169" t="s">
        <v>2053</v>
      </c>
      <c r="E870" s="170" t="s">
        <v>2164</v>
      </c>
    </row>
    <row r="871" spans="1:5">
      <c r="A871" s="1" t="s">
        <v>2402</v>
      </c>
      <c r="B871" s="43">
        <v>2804067</v>
      </c>
      <c r="C871" s="168" t="s">
        <v>83</v>
      </c>
      <c r="D871" s="169" t="s">
        <v>2425</v>
      </c>
      <c r="E871" s="170" t="s">
        <v>1894</v>
      </c>
    </row>
    <row r="872" spans="1:5">
      <c r="A872" s="1" t="s">
        <v>2402</v>
      </c>
      <c r="B872" s="43">
        <v>2810627</v>
      </c>
      <c r="C872" s="168" t="s">
        <v>83</v>
      </c>
      <c r="D872" s="169" t="s">
        <v>2426</v>
      </c>
      <c r="E872" s="177"/>
    </row>
    <row r="873" spans="1:5">
      <c r="A873" s="1" t="s">
        <v>2402</v>
      </c>
      <c r="B873" s="43">
        <v>2811711</v>
      </c>
      <c r="C873" s="168" t="s">
        <v>83</v>
      </c>
      <c r="D873" s="169" t="s">
        <v>2427</v>
      </c>
      <c r="E873" s="177"/>
    </row>
    <row r="874" spans="1:5">
      <c r="A874" s="1" t="s">
        <v>2402</v>
      </c>
      <c r="B874" s="43">
        <v>2813284</v>
      </c>
      <c r="C874" s="168" t="s">
        <v>83</v>
      </c>
      <c r="D874" s="169" t="s">
        <v>2428</v>
      </c>
      <c r="E874" s="177"/>
    </row>
    <row r="875" spans="1:5">
      <c r="A875" s="1" t="s">
        <v>2402</v>
      </c>
      <c r="B875" s="43">
        <v>2814098</v>
      </c>
      <c r="C875" s="168" t="s">
        <v>83</v>
      </c>
      <c r="D875" s="169" t="s">
        <v>2429</v>
      </c>
      <c r="E875" s="173"/>
    </row>
    <row r="876" spans="1:5">
      <c r="A876" s="1" t="s">
        <v>2402</v>
      </c>
      <c r="B876" s="43">
        <v>2818145</v>
      </c>
      <c r="C876" s="168" t="s">
        <v>83</v>
      </c>
      <c r="D876" s="169" t="s">
        <v>2430</v>
      </c>
      <c r="E876" s="173"/>
    </row>
    <row r="877" spans="1:5">
      <c r="A877" s="1" t="s">
        <v>2402</v>
      </c>
      <c r="B877" s="43">
        <v>2822593</v>
      </c>
      <c r="C877" s="168" t="s">
        <v>83</v>
      </c>
      <c r="D877" s="169" t="s">
        <v>2431</v>
      </c>
      <c r="E877" s="173"/>
    </row>
    <row r="878" spans="1:5">
      <c r="A878" s="1" t="s">
        <v>2402</v>
      </c>
      <c r="B878" s="43">
        <v>2823568</v>
      </c>
      <c r="C878" s="168" t="s">
        <v>83</v>
      </c>
      <c r="D878" s="169" t="s">
        <v>2432</v>
      </c>
      <c r="E878" s="173"/>
    </row>
    <row r="879" spans="1:5">
      <c r="A879" s="1" t="s">
        <v>2402</v>
      </c>
      <c r="B879" s="43">
        <v>2853001</v>
      </c>
      <c r="C879" s="168" t="s">
        <v>83</v>
      </c>
      <c r="D879" s="169" t="s">
        <v>2433</v>
      </c>
      <c r="E879" s="173"/>
    </row>
    <row r="880" spans="1:5">
      <c r="A880" s="1" t="s">
        <v>2402</v>
      </c>
      <c r="B880" s="43">
        <v>2864218</v>
      </c>
      <c r="C880" s="168" t="s">
        <v>83</v>
      </c>
      <c r="D880" s="169" t="s">
        <v>2434</v>
      </c>
      <c r="E880" s="173"/>
    </row>
    <row r="881" spans="1:5">
      <c r="A881" s="1" t="s">
        <v>2402</v>
      </c>
      <c r="B881" s="179">
        <v>2822030</v>
      </c>
      <c r="C881" s="180" t="s">
        <v>83</v>
      </c>
      <c r="D881" s="169" t="s">
        <v>1636</v>
      </c>
      <c r="E881" s="173"/>
    </row>
    <row r="882" spans="1:5">
      <c r="A882" s="1" t="s">
        <v>2402</v>
      </c>
      <c r="B882" s="43">
        <v>2887137</v>
      </c>
      <c r="C882" s="168" t="s">
        <v>83</v>
      </c>
      <c r="D882" s="169" t="s">
        <v>2435</v>
      </c>
      <c r="E882" s="173"/>
    </row>
    <row r="883" spans="1:5">
      <c r="A883" s="1" t="s">
        <v>2402</v>
      </c>
      <c r="B883" s="43">
        <v>2428537</v>
      </c>
      <c r="C883" s="168" t="s">
        <v>83</v>
      </c>
      <c r="D883" s="169" t="s">
        <v>2436</v>
      </c>
      <c r="E883" s="173"/>
    </row>
    <row r="884" spans="1:5">
      <c r="A884" s="1" t="s">
        <v>2402</v>
      </c>
      <c r="B884" s="43">
        <v>2895590</v>
      </c>
      <c r="C884" s="168" t="s">
        <v>83</v>
      </c>
      <c r="D884" s="169" t="s">
        <v>2437</v>
      </c>
      <c r="E884" s="173"/>
    </row>
    <row r="885" spans="1:5">
      <c r="A885" s="1" t="s">
        <v>2402</v>
      </c>
      <c r="B885" s="43">
        <v>5035801</v>
      </c>
      <c r="C885" s="168" t="s">
        <v>773</v>
      </c>
      <c r="D885" s="169" t="s">
        <v>2438</v>
      </c>
      <c r="E885" s="173"/>
    </row>
    <row r="886" spans="1:5">
      <c r="A886" s="1" t="s">
        <v>2402</v>
      </c>
      <c r="B886" s="43">
        <v>5030976</v>
      </c>
      <c r="C886" s="168" t="s">
        <v>773</v>
      </c>
      <c r="D886" s="169" t="s">
        <v>2191</v>
      </c>
      <c r="E886" s="173"/>
    </row>
    <row r="887" spans="1:5">
      <c r="A887" s="1" t="s">
        <v>2402</v>
      </c>
      <c r="B887" s="43">
        <v>2840016</v>
      </c>
      <c r="C887" s="168" t="s">
        <v>773</v>
      </c>
      <c r="D887" s="169" t="s">
        <v>2188</v>
      </c>
      <c r="E887" s="173"/>
    </row>
    <row r="888" spans="1:5">
      <c r="A888" s="1" t="s">
        <v>2402</v>
      </c>
      <c r="B888" s="43">
        <v>667377</v>
      </c>
      <c r="C888" s="168" t="s">
        <v>71</v>
      </c>
      <c r="D888" s="169" t="s">
        <v>2439</v>
      </c>
      <c r="E888" s="173"/>
    </row>
    <row r="889" spans="1:5">
      <c r="A889" s="1" t="s">
        <v>2402</v>
      </c>
      <c r="B889" s="43">
        <v>647671</v>
      </c>
      <c r="C889" s="168" t="s">
        <v>71</v>
      </c>
      <c r="D889" s="169" t="s">
        <v>2440</v>
      </c>
      <c r="E889" s="173"/>
    </row>
    <row r="890" spans="1:5">
      <c r="A890" s="1" t="s">
        <v>2402</v>
      </c>
      <c r="B890" s="43">
        <v>2823559</v>
      </c>
      <c r="C890" s="168" t="s">
        <v>71</v>
      </c>
      <c r="D890" s="169" t="s">
        <v>2441</v>
      </c>
      <c r="E890" s="173"/>
    </row>
    <row r="891" spans="1:5">
      <c r="A891" s="1" t="s">
        <v>2402</v>
      </c>
      <c r="B891" s="43">
        <v>2841547</v>
      </c>
      <c r="C891" s="168" t="s">
        <v>71</v>
      </c>
      <c r="D891" s="169" t="s">
        <v>2209</v>
      </c>
      <c r="E891" s="173"/>
    </row>
    <row r="892" spans="1:5">
      <c r="A892" s="1" t="s">
        <v>2402</v>
      </c>
      <c r="B892" s="43">
        <v>2841392</v>
      </c>
      <c r="C892" s="168" t="s">
        <v>71</v>
      </c>
      <c r="D892" s="169" t="s">
        <v>2442</v>
      </c>
      <c r="E892" s="173"/>
    </row>
    <row r="893" spans="1:5">
      <c r="A893" s="1" t="s">
        <v>2402</v>
      </c>
      <c r="B893" s="43">
        <v>2809590</v>
      </c>
      <c r="C893" s="168" t="s">
        <v>71</v>
      </c>
      <c r="D893" s="169" t="s">
        <v>2443</v>
      </c>
      <c r="E893" s="173"/>
    </row>
    <row r="894" spans="1:5">
      <c r="A894" s="1" t="s">
        <v>2402</v>
      </c>
      <c r="B894" s="43">
        <v>2229236</v>
      </c>
      <c r="C894" s="168" t="s">
        <v>71</v>
      </c>
      <c r="D894" s="169" t="s">
        <v>2444</v>
      </c>
      <c r="E894" s="173"/>
    </row>
    <row r="895" spans="1:5">
      <c r="A895" s="1" t="s">
        <v>2402</v>
      </c>
      <c r="B895" s="43">
        <v>2820018</v>
      </c>
      <c r="C895" s="168" t="s">
        <v>71</v>
      </c>
      <c r="D895" s="169" t="s">
        <v>2445</v>
      </c>
      <c r="E895" s="173"/>
    </row>
    <row r="896" spans="1:5">
      <c r="A896" s="1" t="s">
        <v>2402</v>
      </c>
      <c r="B896" s="43">
        <v>2811351</v>
      </c>
      <c r="C896" s="168" t="s">
        <v>71</v>
      </c>
      <c r="D896" s="169" t="s">
        <v>2446</v>
      </c>
      <c r="E896" s="173"/>
    </row>
    <row r="897" spans="1:5">
      <c r="A897" s="1" t="s">
        <v>2402</v>
      </c>
      <c r="B897" s="43">
        <v>2822411</v>
      </c>
      <c r="C897" s="168" t="s">
        <v>71</v>
      </c>
      <c r="D897" s="169" t="s">
        <v>2447</v>
      </c>
      <c r="E897" s="173"/>
    </row>
    <row r="898" spans="1:5">
      <c r="A898" s="1" t="s">
        <v>2402</v>
      </c>
      <c r="B898" s="43">
        <v>2822428</v>
      </c>
      <c r="C898" s="168" t="s">
        <v>71</v>
      </c>
      <c r="D898" s="169" t="s">
        <v>2448</v>
      </c>
      <c r="E898" s="173"/>
    </row>
    <row r="899" spans="1:5">
      <c r="A899" s="1" t="s">
        <v>2402</v>
      </c>
      <c r="B899" s="43">
        <v>2825605</v>
      </c>
      <c r="C899" s="168" t="s">
        <v>71</v>
      </c>
      <c r="D899" s="169" t="s">
        <v>2449</v>
      </c>
      <c r="E899" s="173"/>
    </row>
    <row r="900" spans="1:5">
      <c r="A900" s="1" t="s">
        <v>2402</v>
      </c>
      <c r="B900" s="43">
        <v>2976142</v>
      </c>
      <c r="C900" s="168" t="s">
        <v>71</v>
      </c>
      <c r="D900" s="169" t="s">
        <v>2450</v>
      </c>
      <c r="E900" s="173"/>
    </row>
    <row r="901" spans="1:5">
      <c r="A901" s="1" t="s">
        <v>2402</v>
      </c>
      <c r="B901" s="43">
        <v>2825438</v>
      </c>
      <c r="C901" s="168" t="s">
        <v>71</v>
      </c>
      <c r="D901" s="169" t="s">
        <v>2451</v>
      </c>
      <c r="E901" s="173"/>
    </row>
    <row r="902" spans="1:5">
      <c r="A902" s="1" t="s">
        <v>2402</v>
      </c>
      <c r="B902" s="43">
        <v>2975172</v>
      </c>
      <c r="C902" s="168" t="s">
        <v>71</v>
      </c>
      <c r="D902" s="169" t="s">
        <v>2452</v>
      </c>
      <c r="E902" s="173"/>
    </row>
    <row r="903" spans="1:5">
      <c r="A903" s="1" t="s">
        <v>2402</v>
      </c>
      <c r="B903" s="43">
        <v>772321</v>
      </c>
      <c r="C903" s="180" t="s">
        <v>90</v>
      </c>
      <c r="D903" s="169" t="s">
        <v>2453</v>
      </c>
      <c r="E903" s="173"/>
    </row>
    <row r="904" spans="1:5">
      <c r="A904" s="1" t="s">
        <v>2402</v>
      </c>
      <c r="B904" s="43">
        <v>5022325</v>
      </c>
      <c r="C904" s="168" t="s">
        <v>90</v>
      </c>
      <c r="D904" s="169" t="s">
        <v>2454</v>
      </c>
      <c r="E904" s="173"/>
    </row>
    <row r="905" spans="1:5">
      <c r="A905" s="1" t="s">
        <v>2402</v>
      </c>
      <c r="B905" s="43">
        <v>2812133</v>
      </c>
      <c r="C905" s="168" t="s">
        <v>90</v>
      </c>
      <c r="D905" s="169" t="s">
        <v>2455</v>
      </c>
      <c r="E905" s="173"/>
    </row>
    <row r="906" spans="1:5">
      <c r="A906" s="1" t="s">
        <v>2402</v>
      </c>
      <c r="B906" s="43">
        <v>2825682</v>
      </c>
      <c r="C906" s="168" t="s">
        <v>90</v>
      </c>
      <c r="D906" s="169" t="s">
        <v>2326</v>
      </c>
      <c r="E906" s="173"/>
    </row>
    <row r="907" spans="1:5">
      <c r="A907" s="1" t="s">
        <v>2402</v>
      </c>
      <c r="B907" s="43">
        <v>2242040</v>
      </c>
      <c r="C907" s="168" t="s">
        <v>1593</v>
      </c>
      <c r="D907" s="169" t="s">
        <v>2456</v>
      </c>
      <c r="E907" s="173"/>
    </row>
    <row r="908" spans="1:5">
      <c r="A908" s="1" t="s">
        <v>2402</v>
      </c>
      <c r="B908" s="43">
        <v>2825437</v>
      </c>
      <c r="C908" s="168" t="s">
        <v>1593</v>
      </c>
      <c r="D908" s="169" t="s">
        <v>2457</v>
      </c>
      <c r="E908" s="173"/>
    </row>
    <row r="909" spans="1:5">
      <c r="A909" s="1" t="s">
        <v>2402</v>
      </c>
      <c r="B909" s="43">
        <v>2818050</v>
      </c>
      <c r="C909" s="168" t="s">
        <v>1593</v>
      </c>
      <c r="D909" s="169" t="s">
        <v>2458</v>
      </c>
      <c r="E909" s="173"/>
    </row>
    <row r="910" spans="1:5">
      <c r="A910" s="1" t="s">
        <v>2402</v>
      </c>
      <c r="B910" s="43">
        <v>2800332</v>
      </c>
      <c r="C910" s="168" t="s">
        <v>1593</v>
      </c>
      <c r="D910" s="169" t="s">
        <v>2459</v>
      </c>
      <c r="E910" s="173"/>
    </row>
    <row r="911" spans="1:5">
      <c r="A911" s="1" t="s">
        <v>2402</v>
      </c>
      <c r="B911" s="43">
        <v>2841399</v>
      </c>
      <c r="C911" s="168" t="s">
        <v>1593</v>
      </c>
      <c r="D911" s="169" t="s">
        <v>2201</v>
      </c>
      <c r="E911" s="173"/>
    </row>
    <row r="912" spans="1:5">
      <c r="A912" s="1" t="s">
        <v>11</v>
      </c>
      <c r="B912" s="165" t="s">
        <v>68</v>
      </c>
      <c r="C912" s="166" t="s">
        <v>62</v>
      </c>
      <c r="D912" s="176" t="s">
        <v>69</v>
      </c>
      <c r="E912" s="166" t="s">
        <v>70</v>
      </c>
    </row>
    <row r="913" spans="1:5">
      <c r="A913" s="1" t="s">
        <v>11</v>
      </c>
      <c r="B913" s="43">
        <v>2974327</v>
      </c>
      <c r="C913" s="168" t="s">
        <v>71</v>
      </c>
      <c r="D913" s="169" t="s">
        <v>2460</v>
      </c>
      <c r="E913" s="170" t="s">
        <v>2461</v>
      </c>
    </row>
    <row r="914" spans="1:5">
      <c r="A914" s="1" t="s">
        <v>11</v>
      </c>
      <c r="B914" s="43">
        <v>2819144</v>
      </c>
      <c r="C914" s="168" t="s">
        <v>71</v>
      </c>
      <c r="D914" s="169" t="s">
        <v>2462</v>
      </c>
      <c r="E914" s="170" t="s">
        <v>2463</v>
      </c>
    </row>
    <row r="915" spans="1:5">
      <c r="A915" s="1" t="s">
        <v>11</v>
      </c>
      <c r="B915" s="43">
        <v>184803</v>
      </c>
      <c r="C915" s="168" t="s">
        <v>83</v>
      </c>
      <c r="D915" s="169" t="s">
        <v>2464</v>
      </c>
      <c r="E915" s="170" t="s">
        <v>2465</v>
      </c>
    </row>
    <row r="916" spans="1:5">
      <c r="A916" s="1" t="s">
        <v>11</v>
      </c>
      <c r="B916" s="43">
        <v>2806199</v>
      </c>
      <c r="C916" s="168" t="s">
        <v>83</v>
      </c>
      <c r="D916" s="169" t="s">
        <v>2466</v>
      </c>
      <c r="E916" s="172" t="s">
        <v>2467</v>
      </c>
    </row>
    <row r="917" spans="1:5">
      <c r="A917" s="1" t="s">
        <v>11</v>
      </c>
      <c r="B917" s="43">
        <v>2849192</v>
      </c>
      <c r="C917" s="168" t="s">
        <v>83</v>
      </c>
      <c r="D917" s="169" t="s">
        <v>2468</v>
      </c>
      <c r="E917" s="170" t="s">
        <v>2469</v>
      </c>
    </row>
    <row r="918" spans="1:5">
      <c r="A918" s="1" t="s">
        <v>11</v>
      </c>
      <c r="B918" s="43">
        <v>2884193</v>
      </c>
      <c r="C918" s="168" t="s">
        <v>71</v>
      </c>
      <c r="D918" s="169" t="s">
        <v>2470</v>
      </c>
      <c r="E918" s="170" t="s">
        <v>2471</v>
      </c>
    </row>
    <row r="919" spans="1:5">
      <c r="A919" s="1" t="s">
        <v>11</v>
      </c>
      <c r="B919" s="43">
        <v>2887257</v>
      </c>
      <c r="C919" s="168" t="s">
        <v>71</v>
      </c>
      <c r="D919" s="169" t="s">
        <v>2472</v>
      </c>
      <c r="E919" s="170" t="s">
        <v>2473</v>
      </c>
    </row>
    <row r="920" spans="1:5">
      <c r="A920" s="1" t="s">
        <v>11</v>
      </c>
      <c r="B920" s="43">
        <v>3129469</v>
      </c>
      <c r="C920" s="168" t="s">
        <v>71</v>
      </c>
      <c r="D920" s="169" t="s">
        <v>2474</v>
      </c>
      <c r="E920" s="170" t="s">
        <v>2475</v>
      </c>
    </row>
    <row r="921" spans="1:5">
      <c r="A921" s="1" t="s">
        <v>11</v>
      </c>
      <c r="B921" s="43">
        <v>765310</v>
      </c>
      <c r="C921" s="168" t="s">
        <v>1593</v>
      </c>
      <c r="D921" s="169" t="s">
        <v>2476</v>
      </c>
      <c r="E921" s="170" t="s">
        <v>2477</v>
      </c>
    </row>
    <row r="922" spans="1:5">
      <c r="A922" s="1" t="s">
        <v>11</v>
      </c>
      <c r="B922" s="43">
        <v>664827</v>
      </c>
      <c r="C922" s="168" t="s">
        <v>90</v>
      </c>
      <c r="D922" s="169" t="s">
        <v>2316</v>
      </c>
      <c r="E922" s="173"/>
    </row>
    <row r="923" spans="1:5">
      <c r="A923" s="1" t="s">
        <v>11</v>
      </c>
      <c r="B923" s="43">
        <v>728402</v>
      </c>
      <c r="C923" s="168" t="s">
        <v>90</v>
      </c>
      <c r="D923" s="169" t="s">
        <v>2478</v>
      </c>
      <c r="E923" s="173"/>
    </row>
    <row r="924" spans="1:5">
      <c r="A924" s="1" t="s">
        <v>11</v>
      </c>
      <c r="B924" s="43">
        <v>728374</v>
      </c>
      <c r="C924" s="168" t="s">
        <v>90</v>
      </c>
      <c r="D924" s="169" t="s">
        <v>2479</v>
      </c>
      <c r="E924" s="173"/>
    </row>
    <row r="925" spans="1:5">
      <c r="A925" s="1" t="s">
        <v>11</v>
      </c>
      <c r="B925" s="43">
        <v>2823067</v>
      </c>
      <c r="C925" s="168" t="s">
        <v>90</v>
      </c>
      <c r="D925" s="169" t="s">
        <v>2480</v>
      </c>
      <c r="E925" s="173"/>
    </row>
    <row r="926" spans="1:5">
      <c r="A926" s="1" t="s">
        <v>11</v>
      </c>
      <c r="B926" s="43">
        <v>2848324</v>
      </c>
      <c r="C926" s="168" t="s">
        <v>83</v>
      </c>
      <c r="D926" s="169" t="s">
        <v>2481</v>
      </c>
      <c r="E926" s="173"/>
    </row>
    <row r="927" spans="1:5">
      <c r="A927" s="1" t="s">
        <v>11</v>
      </c>
      <c r="B927" s="43">
        <v>2849263</v>
      </c>
      <c r="C927" s="168" t="s">
        <v>83</v>
      </c>
      <c r="D927" s="169" t="s">
        <v>2482</v>
      </c>
      <c r="E927" s="173"/>
    </row>
    <row r="928" spans="1:5">
      <c r="A928" s="1" t="s">
        <v>11</v>
      </c>
      <c r="B928" s="43">
        <v>777378</v>
      </c>
      <c r="C928" s="168" t="s">
        <v>83</v>
      </c>
      <c r="D928" s="169" t="s">
        <v>2483</v>
      </c>
      <c r="E928" s="173"/>
    </row>
    <row r="929" spans="1:5">
      <c r="A929" s="1" t="s">
        <v>11</v>
      </c>
      <c r="B929" s="43">
        <v>779741</v>
      </c>
      <c r="C929" s="168" t="s">
        <v>83</v>
      </c>
      <c r="D929" s="169" t="s">
        <v>2484</v>
      </c>
      <c r="E929" s="173"/>
    </row>
    <row r="930" spans="1:5">
      <c r="A930" s="1" t="s">
        <v>11</v>
      </c>
      <c r="B930" s="43">
        <v>779742</v>
      </c>
      <c r="C930" s="168" t="s">
        <v>83</v>
      </c>
      <c r="D930" s="169" t="s">
        <v>2485</v>
      </c>
      <c r="E930" s="173"/>
    </row>
    <row r="931" spans="1:5">
      <c r="A931" s="1" t="s">
        <v>11</v>
      </c>
      <c r="B931" s="43">
        <v>699335</v>
      </c>
      <c r="C931" s="168" t="s">
        <v>83</v>
      </c>
      <c r="D931" s="169" t="s">
        <v>2486</v>
      </c>
      <c r="E931" s="173"/>
    </row>
    <row r="932" spans="1:5">
      <c r="A932" s="1" t="s">
        <v>11</v>
      </c>
      <c r="B932" s="43">
        <v>786356</v>
      </c>
      <c r="C932" s="168" t="s">
        <v>83</v>
      </c>
      <c r="D932" s="169" t="s">
        <v>2487</v>
      </c>
      <c r="E932" s="173"/>
    </row>
    <row r="933" spans="1:5">
      <c r="A933" s="1" t="s">
        <v>11</v>
      </c>
      <c r="B933" s="43">
        <v>777379</v>
      </c>
      <c r="C933" s="168" t="s">
        <v>83</v>
      </c>
      <c r="D933" s="169" t="s">
        <v>2488</v>
      </c>
      <c r="E933" s="173"/>
    </row>
    <row r="934" spans="1:5">
      <c r="A934" s="1" t="s">
        <v>11</v>
      </c>
      <c r="B934" s="43">
        <v>779740</v>
      </c>
      <c r="C934" s="168" t="s">
        <v>83</v>
      </c>
      <c r="D934" s="169" t="s">
        <v>2489</v>
      </c>
      <c r="E934" s="173"/>
    </row>
    <row r="935" spans="1:5">
      <c r="A935" s="1" t="s">
        <v>11</v>
      </c>
      <c r="B935" s="43">
        <v>174916</v>
      </c>
      <c r="C935" s="168" t="s">
        <v>83</v>
      </c>
      <c r="D935" s="169" t="s">
        <v>2490</v>
      </c>
      <c r="E935" s="173"/>
    </row>
    <row r="936" spans="1:5">
      <c r="A936" s="1" t="s">
        <v>11</v>
      </c>
      <c r="B936" s="43">
        <v>5038201</v>
      </c>
      <c r="C936" s="168" t="s">
        <v>83</v>
      </c>
      <c r="D936" s="169" t="s">
        <v>2491</v>
      </c>
      <c r="E936" s="173"/>
    </row>
    <row r="937" spans="1:5">
      <c r="A937" s="1" t="s">
        <v>11</v>
      </c>
      <c r="B937" s="43">
        <v>5038202</v>
      </c>
      <c r="C937" s="168" t="s">
        <v>83</v>
      </c>
      <c r="D937" s="169" t="s">
        <v>2492</v>
      </c>
      <c r="E937" s="173"/>
    </row>
    <row r="938" spans="1:5">
      <c r="A938" s="1" t="s">
        <v>11</v>
      </c>
      <c r="B938" s="43">
        <v>5043070</v>
      </c>
      <c r="C938" s="168" t="s">
        <v>83</v>
      </c>
      <c r="D938" s="169" t="s">
        <v>2493</v>
      </c>
      <c r="E938" s="173"/>
    </row>
    <row r="939" spans="1:5">
      <c r="A939" s="1" t="s">
        <v>11</v>
      </c>
      <c r="B939" s="43">
        <v>5040386</v>
      </c>
      <c r="C939" s="168" t="s">
        <v>83</v>
      </c>
      <c r="D939" s="169" t="s">
        <v>2494</v>
      </c>
      <c r="E939" s="173"/>
    </row>
    <row r="940" spans="1:5">
      <c r="A940" s="1" t="s">
        <v>11</v>
      </c>
      <c r="B940" s="43">
        <v>599602</v>
      </c>
      <c r="C940" s="168" t="s">
        <v>83</v>
      </c>
      <c r="D940" s="169" t="s">
        <v>2495</v>
      </c>
      <c r="E940" s="173"/>
    </row>
    <row r="941" spans="1:5">
      <c r="A941" s="1" t="s">
        <v>11</v>
      </c>
      <c r="B941" s="43">
        <v>718626</v>
      </c>
      <c r="C941" s="168" t="s">
        <v>83</v>
      </c>
      <c r="D941" s="169" t="s">
        <v>2496</v>
      </c>
      <c r="E941" s="173"/>
    </row>
    <row r="942" spans="1:5">
      <c r="A942" s="1" t="s">
        <v>11</v>
      </c>
      <c r="B942" s="43">
        <v>630615</v>
      </c>
      <c r="C942" s="168" t="s">
        <v>83</v>
      </c>
      <c r="D942" s="169" t="s">
        <v>2497</v>
      </c>
      <c r="E942" s="173"/>
    </row>
    <row r="943" spans="1:5">
      <c r="A943" s="1" t="s">
        <v>11</v>
      </c>
      <c r="B943" s="43">
        <v>2800330</v>
      </c>
      <c r="C943" s="168" t="s">
        <v>83</v>
      </c>
      <c r="D943" s="169" t="s">
        <v>2498</v>
      </c>
      <c r="E943" s="173"/>
    </row>
    <row r="944" spans="1:5">
      <c r="A944" s="1" t="s">
        <v>11</v>
      </c>
      <c r="B944" s="43">
        <v>2812490</v>
      </c>
      <c r="C944" s="168" t="s">
        <v>83</v>
      </c>
      <c r="D944" s="169" t="s">
        <v>2499</v>
      </c>
      <c r="E944" s="173"/>
    </row>
    <row r="945" spans="1:5">
      <c r="A945" s="1" t="s">
        <v>11</v>
      </c>
      <c r="B945" s="43">
        <v>2815106</v>
      </c>
      <c r="C945" s="168" t="s">
        <v>83</v>
      </c>
      <c r="D945" s="169" t="s">
        <v>2500</v>
      </c>
      <c r="E945" s="173"/>
    </row>
    <row r="946" spans="1:5">
      <c r="A946" s="1" t="s">
        <v>11</v>
      </c>
      <c r="B946" s="43">
        <v>5043068</v>
      </c>
      <c r="C946" s="168" t="s">
        <v>83</v>
      </c>
      <c r="D946" s="169" t="s">
        <v>2501</v>
      </c>
      <c r="E946" s="173"/>
    </row>
    <row r="947" spans="1:5">
      <c r="A947" s="1" t="s">
        <v>11</v>
      </c>
      <c r="B947" s="43">
        <v>2832047</v>
      </c>
      <c r="C947" s="168" t="s">
        <v>83</v>
      </c>
      <c r="D947" s="169" t="s">
        <v>2502</v>
      </c>
      <c r="E947" s="173"/>
    </row>
    <row r="948" spans="1:5">
      <c r="A948" s="1" t="s">
        <v>11</v>
      </c>
      <c r="B948" s="43">
        <v>188211</v>
      </c>
      <c r="C948" s="168" t="s">
        <v>83</v>
      </c>
      <c r="D948" s="169" t="s">
        <v>2503</v>
      </c>
      <c r="E948" s="173"/>
    </row>
    <row r="949" spans="1:5">
      <c r="A949" s="1" t="s">
        <v>11</v>
      </c>
      <c r="B949" s="43">
        <v>2886049</v>
      </c>
      <c r="C949" s="168" t="s">
        <v>83</v>
      </c>
      <c r="D949" s="169" t="s">
        <v>2504</v>
      </c>
      <c r="E949" s="173"/>
    </row>
    <row r="950" spans="1:5">
      <c r="A950" s="1" t="s">
        <v>11</v>
      </c>
      <c r="B950" s="43">
        <v>2881068</v>
      </c>
      <c r="C950" s="168" t="s">
        <v>83</v>
      </c>
      <c r="D950" s="169" t="s">
        <v>2505</v>
      </c>
      <c r="E950" s="173"/>
    </row>
    <row r="951" spans="1:5">
      <c r="A951" s="1" t="s">
        <v>11</v>
      </c>
      <c r="B951" s="43">
        <v>2421750</v>
      </c>
      <c r="C951" s="168" t="s">
        <v>83</v>
      </c>
      <c r="D951" s="169" t="s">
        <v>2506</v>
      </c>
      <c r="E951" s="173"/>
    </row>
    <row r="952" spans="1:5">
      <c r="A952" s="1" t="s">
        <v>11</v>
      </c>
      <c r="B952" s="43">
        <v>2887313</v>
      </c>
      <c r="C952" s="168" t="s">
        <v>83</v>
      </c>
      <c r="D952" s="175" t="s">
        <v>2507</v>
      </c>
      <c r="E952" s="173"/>
    </row>
    <row r="953" spans="1:5">
      <c r="A953" s="1" t="s">
        <v>11</v>
      </c>
      <c r="B953" s="43">
        <v>2889063</v>
      </c>
      <c r="C953" s="168" t="s">
        <v>83</v>
      </c>
      <c r="D953" s="169" t="s">
        <v>2508</v>
      </c>
      <c r="E953" s="173"/>
    </row>
    <row r="954" spans="1:5">
      <c r="A954" s="1" t="s">
        <v>11</v>
      </c>
      <c r="B954" s="43">
        <v>2878200</v>
      </c>
      <c r="C954" s="168" t="s">
        <v>773</v>
      </c>
      <c r="D954" s="169" t="s">
        <v>2509</v>
      </c>
      <c r="E954" s="173"/>
    </row>
    <row r="955" spans="1:5">
      <c r="A955" s="1" t="s">
        <v>11</v>
      </c>
      <c r="B955" s="43">
        <v>786351</v>
      </c>
      <c r="C955" s="168" t="s">
        <v>773</v>
      </c>
      <c r="D955" s="169" t="s">
        <v>2510</v>
      </c>
      <c r="E955" s="173"/>
    </row>
    <row r="956" spans="1:5">
      <c r="A956" s="1" t="s">
        <v>11</v>
      </c>
      <c r="B956" s="43">
        <v>713376</v>
      </c>
      <c r="C956" s="168" t="s">
        <v>773</v>
      </c>
      <c r="D956" s="169" t="s">
        <v>2511</v>
      </c>
      <c r="E956" s="173"/>
    </row>
    <row r="957" spans="1:5">
      <c r="A957" s="1" t="s">
        <v>11</v>
      </c>
      <c r="B957" s="43">
        <v>608996</v>
      </c>
      <c r="C957" s="168" t="s">
        <v>773</v>
      </c>
      <c r="D957" s="169" t="s">
        <v>2512</v>
      </c>
      <c r="E957" s="173"/>
    </row>
    <row r="958" spans="1:5">
      <c r="A958" s="1" t="s">
        <v>11</v>
      </c>
      <c r="B958" s="43">
        <v>713377</v>
      </c>
      <c r="C958" s="168" t="s">
        <v>773</v>
      </c>
      <c r="D958" s="169" t="s">
        <v>2513</v>
      </c>
      <c r="E958" s="173"/>
    </row>
    <row r="959" spans="1:5">
      <c r="A959" s="1" t="s">
        <v>11</v>
      </c>
      <c r="B959" s="43">
        <v>2863039</v>
      </c>
      <c r="C959" s="168" t="s">
        <v>773</v>
      </c>
      <c r="D959" s="169" t="s">
        <v>2514</v>
      </c>
      <c r="E959" s="173"/>
    </row>
    <row r="960" spans="1:5">
      <c r="A960" s="1" t="s">
        <v>11</v>
      </c>
      <c r="B960" s="43">
        <v>2837224</v>
      </c>
      <c r="C960" s="168" t="s">
        <v>773</v>
      </c>
      <c r="D960" s="169" t="s">
        <v>2515</v>
      </c>
      <c r="E960" s="173"/>
    </row>
    <row r="961" spans="1:5">
      <c r="A961" s="1" t="s">
        <v>11</v>
      </c>
      <c r="B961" s="43">
        <v>765313</v>
      </c>
      <c r="C961" s="168" t="s">
        <v>773</v>
      </c>
      <c r="D961" s="169" t="s">
        <v>2516</v>
      </c>
      <c r="E961" s="173"/>
    </row>
    <row r="962" spans="1:5">
      <c r="A962" s="1" t="s">
        <v>11</v>
      </c>
      <c r="B962" s="43">
        <v>565365</v>
      </c>
      <c r="C962" s="168" t="s">
        <v>773</v>
      </c>
      <c r="D962" s="169" t="s">
        <v>2517</v>
      </c>
      <c r="E962" s="173"/>
    </row>
    <row r="963" spans="1:5">
      <c r="A963" s="1" t="s">
        <v>11</v>
      </c>
      <c r="B963" s="43">
        <v>639059</v>
      </c>
      <c r="C963" s="168" t="s">
        <v>773</v>
      </c>
      <c r="D963" s="169" t="s">
        <v>2518</v>
      </c>
      <c r="E963" s="173"/>
    </row>
    <row r="964" spans="1:5">
      <c r="A964" s="1" t="s">
        <v>11</v>
      </c>
      <c r="B964" s="43">
        <v>697709</v>
      </c>
      <c r="C964" s="168" t="s">
        <v>773</v>
      </c>
      <c r="D964" s="169" t="s">
        <v>2519</v>
      </c>
      <c r="E964" s="173"/>
    </row>
    <row r="965" spans="1:5">
      <c r="A965" s="1" t="s">
        <v>11</v>
      </c>
      <c r="B965" s="43">
        <v>495322</v>
      </c>
      <c r="C965" s="168" t="s">
        <v>773</v>
      </c>
      <c r="D965" s="169" t="s">
        <v>2520</v>
      </c>
      <c r="E965" s="173"/>
    </row>
    <row r="966" spans="1:5">
      <c r="A966" s="1" t="s">
        <v>11</v>
      </c>
      <c r="B966" s="43">
        <v>5005044</v>
      </c>
      <c r="C966" s="168" t="s">
        <v>71</v>
      </c>
      <c r="D966" s="169" t="s">
        <v>2521</v>
      </c>
      <c r="E966" s="173"/>
    </row>
    <row r="967" spans="1:5">
      <c r="A967" s="1" t="s">
        <v>11</v>
      </c>
      <c r="B967" s="43">
        <v>5043069</v>
      </c>
      <c r="C967" s="168" t="s">
        <v>71</v>
      </c>
      <c r="D967" s="169" t="s">
        <v>2522</v>
      </c>
      <c r="E967" s="173"/>
    </row>
    <row r="968" spans="1:5">
      <c r="A968" s="1" t="s">
        <v>11</v>
      </c>
      <c r="B968" s="43">
        <v>2825616</v>
      </c>
      <c r="C968" s="168" t="s">
        <v>71</v>
      </c>
      <c r="D968" s="169" t="s">
        <v>2523</v>
      </c>
      <c r="E968" s="173"/>
    </row>
    <row r="969" spans="1:5">
      <c r="A969" s="1" t="s">
        <v>11</v>
      </c>
      <c r="B969" s="43">
        <v>2852000</v>
      </c>
      <c r="C969" s="168" t="s">
        <v>71</v>
      </c>
      <c r="D969" s="169" t="s">
        <v>2524</v>
      </c>
      <c r="E969" s="173"/>
    </row>
    <row r="970" spans="1:5">
      <c r="A970" s="1" t="s">
        <v>11</v>
      </c>
      <c r="B970" s="43">
        <v>368915</v>
      </c>
      <c r="C970" s="168" t="s">
        <v>71</v>
      </c>
      <c r="D970" s="169" t="s">
        <v>2525</v>
      </c>
      <c r="E970" s="173"/>
    </row>
    <row r="971" spans="1:5">
      <c r="A971" s="1" t="s">
        <v>11</v>
      </c>
      <c r="B971" s="43">
        <v>569337</v>
      </c>
      <c r="C971" s="168" t="s">
        <v>71</v>
      </c>
      <c r="D971" s="169" t="s">
        <v>2526</v>
      </c>
      <c r="E971" s="173"/>
    </row>
    <row r="972" spans="1:5">
      <c r="A972" s="1" t="s">
        <v>11</v>
      </c>
      <c r="B972" s="43">
        <v>608997</v>
      </c>
      <c r="C972" s="168" t="s">
        <v>71</v>
      </c>
      <c r="D972" s="169" t="s">
        <v>2527</v>
      </c>
      <c r="E972" s="173"/>
    </row>
    <row r="973" spans="1:5">
      <c r="A973" s="1" t="s">
        <v>11</v>
      </c>
      <c r="B973" s="179">
        <v>696865</v>
      </c>
      <c r="C973" s="180" t="s">
        <v>71</v>
      </c>
      <c r="D973" s="169" t="s">
        <v>2528</v>
      </c>
      <c r="E973" s="173"/>
    </row>
    <row r="974" spans="1:5">
      <c r="A974" s="1" t="s">
        <v>11</v>
      </c>
      <c r="B974" s="43">
        <v>2804051</v>
      </c>
      <c r="C974" s="168" t="s">
        <v>71</v>
      </c>
      <c r="D974" s="169" t="s">
        <v>2529</v>
      </c>
      <c r="E974" s="173"/>
    </row>
    <row r="975" spans="1:5">
      <c r="A975" s="1" t="s">
        <v>11</v>
      </c>
      <c r="B975" s="43">
        <v>569336</v>
      </c>
      <c r="C975" s="168" t="s">
        <v>71</v>
      </c>
      <c r="D975" s="169" t="s">
        <v>2530</v>
      </c>
      <c r="E975" s="173"/>
    </row>
    <row r="976" spans="1:5">
      <c r="A976" s="1" t="s">
        <v>11</v>
      </c>
      <c r="B976" s="43">
        <v>599601</v>
      </c>
      <c r="C976" s="168" t="s">
        <v>71</v>
      </c>
      <c r="D976" s="169" t="s">
        <v>2531</v>
      </c>
      <c r="E976" s="173"/>
    </row>
    <row r="977" spans="1:5">
      <c r="A977" s="1" t="s">
        <v>11</v>
      </c>
      <c r="B977" s="43">
        <v>746307</v>
      </c>
      <c r="C977" s="168" t="s">
        <v>71</v>
      </c>
      <c r="D977" s="169" t="s">
        <v>2532</v>
      </c>
      <c r="E977" s="173"/>
    </row>
    <row r="978" spans="1:5">
      <c r="A978" s="1" t="s">
        <v>11</v>
      </c>
      <c r="B978" s="43">
        <v>758618</v>
      </c>
      <c r="C978" s="168" t="s">
        <v>71</v>
      </c>
      <c r="D978" s="169" t="s">
        <v>2533</v>
      </c>
      <c r="E978" s="173"/>
    </row>
    <row r="979" spans="1:5">
      <c r="A979" s="1" t="s">
        <v>11</v>
      </c>
      <c r="B979" s="43">
        <v>784276</v>
      </c>
      <c r="C979" s="168" t="s">
        <v>71</v>
      </c>
      <c r="D979" s="169" t="s">
        <v>2534</v>
      </c>
      <c r="E979" s="173"/>
    </row>
    <row r="980" spans="1:5">
      <c r="A980" s="1" t="s">
        <v>11</v>
      </c>
      <c r="B980" s="43">
        <v>504663</v>
      </c>
      <c r="C980" s="168" t="s">
        <v>71</v>
      </c>
      <c r="D980" s="169" t="s">
        <v>2535</v>
      </c>
      <c r="E980" s="173"/>
    </row>
    <row r="981" spans="1:5">
      <c r="A981" s="1" t="s">
        <v>11</v>
      </c>
      <c r="B981" s="43">
        <v>697706</v>
      </c>
      <c r="C981" s="168" t="s">
        <v>71</v>
      </c>
      <c r="D981" s="169" t="s">
        <v>2536</v>
      </c>
      <c r="E981" s="173"/>
    </row>
    <row r="982" spans="1:5">
      <c r="A982" s="1" t="s">
        <v>11</v>
      </c>
      <c r="B982" s="43">
        <v>5015860</v>
      </c>
      <c r="C982" s="168" t="s">
        <v>71</v>
      </c>
      <c r="D982" s="169" t="s">
        <v>2537</v>
      </c>
      <c r="E982" s="173"/>
    </row>
    <row r="983" spans="1:5">
      <c r="A983" s="1" t="s">
        <v>11</v>
      </c>
      <c r="B983" s="43">
        <v>699343</v>
      </c>
      <c r="C983" s="168" t="s">
        <v>71</v>
      </c>
      <c r="D983" s="169" t="s">
        <v>2538</v>
      </c>
      <c r="E983" s="173"/>
    </row>
    <row r="984" spans="1:5">
      <c r="A984" s="1" t="s">
        <v>11</v>
      </c>
      <c r="B984" s="43">
        <v>609019</v>
      </c>
      <c r="C984" s="168" t="s">
        <v>71</v>
      </c>
      <c r="D984" s="169" t="s">
        <v>2539</v>
      </c>
      <c r="E984" s="173"/>
    </row>
    <row r="985" spans="1:5">
      <c r="A985" s="1" t="s">
        <v>11</v>
      </c>
      <c r="B985" s="179">
        <v>622076</v>
      </c>
      <c r="C985" s="180" t="s">
        <v>71</v>
      </c>
      <c r="D985" s="169" t="s">
        <v>2540</v>
      </c>
      <c r="E985" s="173"/>
    </row>
    <row r="986" spans="1:5">
      <c r="A986" s="1" t="s">
        <v>11</v>
      </c>
      <c r="B986" s="43">
        <v>622077</v>
      </c>
      <c r="C986" s="168" t="s">
        <v>71</v>
      </c>
      <c r="D986" s="169" t="s">
        <v>2541</v>
      </c>
      <c r="E986" s="173"/>
    </row>
    <row r="987" spans="1:5">
      <c r="A987" s="1" t="s">
        <v>11</v>
      </c>
      <c r="B987" s="43">
        <v>672260</v>
      </c>
      <c r="C987" s="168" t="s">
        <v>71</v>
      </c>
      <c r="D987" s="169" t="s">
        <v>2542</v>
      </c>
      <c r="E987" s="173"/>
    </row>
    <row r="988" spans="1:5">
      <c r="A988" s="1" t="s">
        <v>11</v>
      </c>
      <c r="B988" s="43">
        <v>2805906</v>
      </c>
      <c r="C988" s="168" t="s">
        <v>71</v>
      </c>
      <c r="D988" s="169" t="s">
        <v>2543</v>
      </c>
      <c r="E988" s="173"/>
    </row>
    <row r="989" spans="1:5">
      <c r="A989" s="1" t="s">
        <v>11</v>
      </c>
      <c r="B989" s="43">
        <v>2815054</v>
      </c>
      <c r="C989" s="168" t="s">
        <v>71</v>
      </c>
      <c r="D989" s="169" t="s">
        <v>2544</v>
      </c>
      <c r="E989" s="173"/>
    </row>
    <row r="990" spans="1:5">
      <c r="A990" s="1" t="s">
        <v>11</v>
      </c>
      <c r="B990" s="43">
        <v>2823100</v>
      </c>
      <c r="C990" s="168" t="s">
        <v>71</v>
      </c>
      <c r="D990" s="169" t="s">
        <v>2545</v>
      </c>
      <c r="E990" s="173"/>
    </row>
    <row r="991" spans="1:5">
      <c r="A991" s="1" t="s">
        <v>11</v>
      </c>
      <c r="B991" s="43">
        <v>2825033</v>
      </c>
      <c r="C991" s="168" t="s">
        <v>71</v>
      </c>
      <c r="D991" s="169" t="s">
        <v>2546</v>
      </c>
      <c r="E991" s="173"/>
    </row>
    <row r="992" spans="1:5">
      <c r="A992" s="1" t="s">
        <v>11</v>
      </c>
      <c r="B992" s="43">
        <v>2805121</v>
      </c>
      <c r="C992" s="168" t="s">
        <v>71</v>
      </c>
      <c r="D992" s="169" t="s">
        <v>2547</v>
      </c>
      <c r="E992" s="173"/>
    </row>
    <row r="993" spans="1:5">
      <c r="A993" s="1" t="s">
        <v>11</v>
      </c>
      <c r="B993" s="43">
        <v>5019813</v>
      </c>
      <c r="C993" s="168" t="s">
        <v>71</v>
      </c>
      <c r="D993" s="169" t="s">
        <v>2391</v>
      </c>
      <c r="E993" s="173"/>
    </row>
    <row r="994" spans="1:5">
      <c r="A994" s="1" t="s">
        <v>11</v>
      </c>
      <c r="B994" s="43">
        <v>2823136</v>
      </c>
      <c r="C994" s="168" t="s">
        <v>71</v>
      </c>
      <c r="D994" s="169" t="s">
        <v>2548</v>
      </c>
      <c r="E994" s="173"/>
    </row>
    <row r="995" spans="1:5">
      <c r="A995" s="1" t="s">
        <v>11</v>
      </c>
      <c r="B995" s="43">
        <v>2823389</v>
      </c>
      <c r="C995" s="168" t="s">
        <v>71</v>
      </c>
      <c r="D995" s="169" t="s">
        <v>2549</v>
      </c>
      <c r="E995" s="173"/>
    </row>
    <row r="996" spans="1:5">
      <c r="A996" s="1" t="s">
        <v>11</v>
      </c>
      <c r="B996" s="43">
        <v>2873324</v>
      </c>
      <c r="C996" s="168" t="s">
        <v>71</v>
      </c>
      <c r="D996" s="169" t="s">
        <v>2550</v>
      </c>
      <c r="E996" s="173"/>
    </row>
    <row r="997" spans="1:5">
      <c r="A997" s="1" t="s">
        <v>11</v>
      </c>
      <c r="B997" s="43">
        <v>2882184</v>
      </c>
      <c r="C997" s="168" t="s">
        <v>71</v>
      </c>
      <c r="D997" s="169" t="s">
        <v>2551</v>
      </c>
      <c r="E997" s="173"/>
    </row>
    <row r="998" spans="1:5">
      <c r="A998" s="1" t="s">
        <v>11</v>
      </c>
      <c r="B998" s="43">
        <v>2880137</v>
      </c>
      <c r="C998" s="168" t="s">
        <v>71</v>
      </c>
      <c r="D998" s="169" t="s">
        <v>2552</v>
      </c>
      <c r="E998" s="173"/>
    </row>
    <row r="999" spans="1:5">
      <c r="A999" s="1" t="s">
        <v>11</v>
      </c>
      <c r="B999" s="43">
        <v>2885198</v>
      </c>
      <c r="C999" s="168" t="s">
        <v>71</v>
      </c>
      <c r="D999" s="169" t="s">
        <v>2553</v>
      </c>
      <c r="E999" s="173"/>
    </row>
    <row r="1000" spans="1:5">
      <c r="A1000" s="1" t="s">
        <v>11</v>
      </c>
      <c r="B1000" s="43">
        <v>2878184</v>
      </c>
      <c r="C1000" s="168" t="s">
        <v>71</v>
      </c>
      <c r="D1000" s="169" t="s">
        <v>2554</v>
      </c>
      <c r="E1000" s="173"/>
    </row>
    <row r="1001" spans="1:5">
      <c r="A1001" s="1" t="s">
        <v>11</v>
      </c>
      <c r="B1001" s="43">
        <v>2835070</v>
      </c>
      <c r="C1001" s="168" t="s">
        <v>71</v>
      </c>
      <c r="D1001" s="169" t="s">
        <v>2555</v>
      </c>
      <c r="E1001" s="173"/>
    </row>
    <row r="1002" spans="1:5">
      <c r="A1002" s="1" t="s">
        <v>11</v>
      </c>
      <c r="B1002" s="43">
        <v>2885259</v>
      </c>
      <c r="C1002" s="168" t="s">
        <v>71</v>
      </c>
      <c r="D1002" s="169" t="s">
        <v>2556</v>
      </c>
      <c r="E1002" s="173"/>
    </row>
    <row r="1003" spans="1:5">
      <c r="A1003" s="1" t="s">
        <v>11</v>
      </c>
      <c r="B1003" s="43">
        <v>3156783</v>
      </c>
      <c r="C1003" s="168" t="s">
        <v>71</v>
      </c>
      <c r="D1003" s="169" t="s">
        <v>2557</v>
      </c>
      <c r="E1003" s="173"/>
    </row>
    <row r="1004" spans="1:5">
      <c r="A1004" s="1" t="s">
        <v>11</v>
      </c>
      <c r="B1004" s="43">
        <v>2881214</v>
      </c>
      <c r="C1004" s="168" t="s">
        <v>1593</v>
      </c>
      <c r="D1004" s="169" t="s">
        <v>2558</v>
      </c>
      <c r="E1004" s="173"/>
    </row>
    <row r="1005" spans="1:5">
      <c r="A1005" s="1" t="s">
        <v>11</v>
      </c>
      <c r="B1005" s="43">
        <v>2888050</v>
      </c>
      <c r="C1005" s="168" t="s">
        <v>1593</v>
      </c>
      <c r="D1005" s="169" t="s">
        <v>2559</v>
      </c>
      <c r="E1005" s="173"/>
    </row>
    <row r="1006" spans="1:5">
      <c r="A1006" s="1" t="s">
        <v>11</v>
      </c>
      <c r="B1006" s="43">
        <v>2880062</v>
      </c>
      <c r="C1006" s="168" t="s">
        <v>1593</v>
      </c>
      <c r="D1006" s="169" t="s">
        <v>2560</v>
      </c>
      <c r="E1006" s="173"/>
    </row>
    <row r="1007" spans="1:5">
      <c r="A1007" s="1" t="s">
        <v>11</v>
      </c>
      <c r="B1007" s="43">
        <v>630613</v>
      </c>
      <c r="C1007" s="168" t="s">
        <v>1593</v>
      </c>
      <c r="D1007" s="169" t="s">
        <v>2561</v>
      </c>
      <c r="E1007" s="173"/>
    </row>
    <row r="1008" spans="1:5">
      <c r="A1008" s="1" t="s">
        <v>11</v>
      </c>
      <c r="B1008" s="43">
        <v>761929</v>
      </c>
      <c r="C1008" s="168" t="s">
        <v>1593</v>
      </c>
      <c r="D1008" s="169" t="s">
        <v>2562</v>
      </c>
      <c r="E1008" s="173"/>
    </row>
    <row r="1009" spans="1:5">
      <c r="A1009" s="1" t="s">
        <v>11</v>
      </c>
      <c r="B1009" s="43">
        <v>777380</v>
      </c>
      <c r="C1009" s="180" t="s">
        <v>1593</v>
      </c>
      <c r="D1009" s="169" t="s">
        <v>2563</v>
      </c>
      <c r="E1009" s="173"/>
    </row>
    <row r="1010" spans="1:5">
      <c r="A1010" s="1" t="s">
        <v>11</v>
      </c>
      <c r="B1010" s="43">
        <v>2975162</v>
      </c>
      <c r="C1010" s="168" t="s">
        <v>1593</v>
      </c>
      <c r="D1010" s="169" t="s">
        <v>2564</v>
      </c>
      <c r="E1010" s="173"/>
    </row>
    <row r="1011" spans="1:5">
      <c r="A1011" s="1" t="s">
        <v>11</v>
      </c>
      <c r="B1011" s="43">
        <v>786357</v>
      </c>
      <c r="C1011" s="168" t="s">
        <v>1593</v>
      </c>
      <c r="D1011" s="169" t="s">
        <v>2565</v>
      </c>
      <c r="E1011" s="173"/>
    </row>
    <row r="1012" spans="1:5">
      <c r="A1012" s="1" t="s">
        <v>11</v>
      </c>
      <c r="B1012" s="43">
        <v>2873100</v>
      </c>
      <c r="C1012" s="168" t="s">
        <v>1593</v>
      </c>
      <c r="D1012" s="169" t="s">
        <v>2566</v>
      </c>
      <c r="E1012" s="173"/>
    </row>
    <row r="1013" spans="1:5">
      <c r="A1013" s="1" t="s">
        <v>11</v>
      </c>
      <c r="B1013" s="43">
        <v>2869051</v>
      </c>
      <c r="C1013" s="168" t="s">
        <v>1593</v>
      </c>
      <c r="D1013" s="169" t="s">
        <v>2567</v>
      </c>
      <c r="E1013" s="173"/>
    </row>
    <row r="1014" spans="1:5">
      <c r="A1014" s="1" t="s">
        <v>12</v>
      </c>
      <c r="B1014" s="165" t="s">
        <v>68</v>
      </c>
      <c r="C1014" s="166" t="s">
        <v>62</v>
      </c>
      <c r="D1014" s="176" t="s">
        <v>69</v>
      </c>
      <c r="E1014" s="166" t="s">
        <v>70</v>
      </c>
    </row>
    <row r="1015" spans="1:5">
      <c r="A1015" s="1" t="s">
        <v>12</v>
      </c>
      <c r="B1015" s="43">
        <v>688515</v>
      </c>
      <c r="C1015" s="168" t="s">
        <v>90</v>
      </c>
      <c r="D1015" s="169" t="s">
        <v>2568</v>
      </c>
      <c r="E1015" s="172" t="s">
        <v>1740</v>
      </c>
    </row>
    <row r="1016" spans="1:5">
      <c r="A1016" s="1" t="s">
        <v>12</v>
      </c>
      <c r="B1016" s="43">
        <v>656782</v>
      </c>
      <c r="C1016" s="168" t="s">
        <v>83</v>
      </c>
      <c r="D1016" s="169" t="s">
        <v>2569</v>
      </c>
      <c r="E1016" s="170" t="s">
        <v>2570</v>
      </c>
    </row>
    <row r="1017" spans="1:5">
      <c r="A1017" s="1" t="s">
        <v>12</v>
      </c>
      <c r="B1017" s="43">
        <v>661748</v>
      </c>
      <c r="C1017" s="168" t="s">
        <v>773</v>
      </c>
      <c r="D1017" s="169" t="s">
        <v>1750</v>
      </c>
      <c r="E1017" s="170" t="s">
        <v>2571</v>
      </c>
    </row>
    <row r="1018" spans="1:5">
      <c r="A1018" s="1" t="s">
        <v>12</v>
      </c>
      <c r="B1018" s="43">
        <v>599603</v>
      </c>
      <c r="C1018" s="168" t="s">
        <v>71</v>
      </c>
      <c r="D1018" s="169" t="s">
        <v>2572</v>
      </c>
      <c r="E1018" s="170" t="s">
        <v>2573</v>
      </c>
    </row>
    <row r="1019" spans="1:5">
      <c r="A1019" s="1" t="s">
        <v>12</v>
      </c>
      <c r="B1019" s="43">
        <v>700792</v>
      </c>
      <c r="C1019" s="168" t="s">
        <v>71</v>
      </c>
      <c r="D1019" s="169" t="s">
        <v>1820</v>
      </c>
      <c r="E1019" s="170" t="s">
        <v>2574</v>
      </c>
    </row>
    <row r="1020" spans="1:5">
      <c r="A1020" s="1" t="s">
        <v>12</v>
      </c>
      <c r="B1020" s="43">
        <v>612175</v>
      </c>
      <c r="C1020" s="168" t="s">
        <v>71</v>
      </c>
      <c r="D1020" s="169" t="s">
        <v>2575</v>
      </c>
      <c r="E1020" s="172" t="s">
        <v>2576</v>
      </c>
    </row>
    <row r="1021" spans="1:5">
      <c r="A1021" s="1" t="s">
        <v>12</v>
      </c>
      <c r="B1021" s="43">
        <v>520220</v>
      </c>
      <c r="C1021" s="168" t="s">
        <v>71</v>
      </c>
      <c r="D1021" s="169" t="s">
        <v>1692</v>
      </c>
      <c r="E1021" s="172" t="s">
        <v>2577</v>
      </c>
    </row>
    <row r="1022" spans="1:5">
      <c r="A1022" s="1" t="s">
        <v>12</v>
      </c>
      <c r="B1022" s="43">
        <v>659268</v>
      </c>
      <c r="C1022" s="168" t="s">
        <v>71</v>
      </c>
      <c r="D1022" s="169" t="s">
        <v>2578</v>
      </c>
      <c r="E1022" s="170" t="s">
        <v>2579</v>
      </c>
    </row>
    <row r="1023" spans="1:5">
      <c r="A1023" s="1" t="s">
        <v>12</v>
      </c>
      <c r="B1023" s="43">
        <v>625916</v>
      </c>
      <c r="C1023" s="180" t="s">
        <v>71</v>
      </c>
      <c r="D1023" s="169" t="s">
        <v>2580</v>
      </c>
      <c r="E1023" s="170" t="s">
        <v>2581</v>
      </c>
    </row>
    <row r="1024" spans="1:5">
      <c r="A1024" s="1" t="s">
        <v>12</v>
      </c>
      <c r="B1024" s="43">
        <v>756286</v>
      </c>
      <c r="C1024" s="168" t="s">
        <v>71</v>
      </c>
      <c r="D1024" s="169" t="s">
        <v>2582</v>
      </c>
      <c r="E1024" s="170" t="s">
        <v>2583</v>
      </c>
    </row>
    <row r="1025" spans="1:5">
      <c r="A1025" s="1" t="s">
        <v>12</v>
      </c>
      <c r="B1025" s="43">
        <v>592486</v>
      </c>
      <c r="C1025" s="168" t="s">
        <v>71</v>
      </c>
      <c r="D1025" s="169" t="s">
        <v>2584</v>
      </c>
      <c r="E1025" s="170"/>
    </row>
    <row r="1026" spans="1:5">
      <c r="A1026" s="1" t="s">
        <v>12</v>
      </c>
      <c r="B1026" s="43">
        <v>565364</v>
      </c>
      <c r="C1026" s="168" t="s">
        <v>71</v>
      </c>
      <c r="D1026" s="169" t="s">
        <v>1752</v>
      </c>
      <c r="E1026" s="170"/>
    </row>
    <row r="1027" spans="1:5">
      <c r="A1027" s="1" t="s">
        <v>12</v>
      </c>
      <c r="B1027" s="43">
        <v>2893047</v>
      </c>
      <c r="C1027" s="168" t="s">
        <v>71</v>
      </c>
      <c r="D1027" s="169" t="s">
        <v>2585</v>
      </c>
      <c r="E1027" s="170"/>
    </row>
    <row r="1028" spans="1:5">
      <c r="A1028" s="1" t="s">
        <v>12</v>
      </c>
      <c r="B1028" s="43">
        <v>2881199</v>
      </c>
      <c r="C1028" s="168" t="s">
        <v>71</v>
      </c>
      <c r="D1028" s="169" t="s">
        <v>2586</v>
      </c>
      <c r="E1028" s="170"/>
    </row>
    <row r="1029" spans="1:5">
      <c r="A1029" s="1" t="s">
        <v>12</v>
      </c>
      <c r="B1029" s="43">
        <v>2891028</v>
      </c>
      <c r="C1029" s="168" t="s">
        <v>71</v>
      </c>
      <c r="D1029" s="169" t="s">
        <v>2587</v>
      </c>
      <c r="E1029" s="170"/>
    </row>
    <row r="1030" spans="1:5">
      <c r="A1030" s="1" t="s">
        <v>12</v>
      </c>
      <c r="B1030" s="43">
        <v>570964</v>
      </c>
      <c r="C1030" s="168" t="s">
        <v>90</v>
      </c>
      <c r="D1030" s="169" t="s">
        <v>2588</v>
      </c>
      <c r="E1030" s="170"/>
    </row>
    <row r="1031" spans="1:5">
      <c r="A1031" s="1" t="s">
        <v>12</v>
      </c>
      <c r="B1031" s="43">
        <v>659275</v>
      </c>
      <c r="C1031" s="168" t="s">
        <v>90</v>
      </c>
      <c r="D1031" s="169" t="s">
        <v>2589</v>
      </c>
      <c r="E1031" s="172"/>
    </row>
    <row r="1032" spans="1:5">
      <c r="A1032" s="1" t="s">
        <v>12</v>
      </c>
      <c r="B1032" s="43">
        <v>2975163</v>
      </c>
      <c r="C1032" s="168" t="s">
        <v>90</v>
      </c>
      <c r="D1032" s="169" t="s">
        <v>1880</v>
      </c>
      <c r="E1032" s="173"/>
    </row>
    <row r="1033" spans="1:5">
      <c r="A1033" s="1" t="s">
        <v>12</v>
      </c>
      <c r="B1033" s="43">
        <v>2887263</v>
      </c>
      <c r="C1033" s="168" t="s">
        <v>90</v>
      </c>
      <c r="D1033" s="169" t="s">
        <v>2590</v>
      </c>
      <c r="E1033" s="173"/>
    </row>
    <row r="1034" spans="1:5">
      <c r="A1034" s="1" t="s">
        <v>12</v>
      </c>
      <c r="B1034" s="43">
        <v>577354</v>
      </c>
      <c r="C1034" s="168" t="s">
        <v>90</v>
      </c>
      <c r="D1034" s="169" t="s">
        <v>2591</v>
      </c>
      <c r="E1034" s="173"/>
    </row>
    <row r="1035" spans="1:5">
      <c r="A1035" s="1" t="s">
        <v>12</v>
      </c>
      <c r="B1035" s="43">
        <v>2819029</v>
      </c>
      <c r="C1035" s="168" t="s">
        <v>83</v>
      </c>
      <c r="D1035" s="169" t="s">
        <v>2592</v>
      </c>
      <c r="E1035" s="173"/>
    </row>
    <row r="1036" spans="1:5">
      <c r="A1036" s="1" t="s">
        <v>12</v>
      </c>
      <c r="B1036" s="43">
        <v>184803</v>
      </c>
      <c r="C1036" s="168" t="s">
        <v>83</v>
      </c>
      <c r="D1036" s="169" t="s">
        <v>2464</v>
      </c>
      <c r="E1036" s="173"/>
    </row>
    <row r="1037" spans="1:5">
      <c r="A1037" s="1" t="s">
        <v>12</v>
      </c>
      <c r="B1037" s="43">
        <v>5034159</v>
      </c>
      <c r="C1037" s="168" t="s">
        <v>773</v>
      </c>
      <c r="D1037" s="169" t="s">
        <v>1761</v>
      </c>
      <c r="E1037" s="173"/>
    </row>
    <row r="1038" spans="1:5">
      <c r="A1038" s="1" t="s">
        <v>12</v>
      </c>
      <c r="B1038" s="43">
        <v>664803</v>
      </c>
      <c r="C1038" s="168" t="s">
        <v>773</v>
      </c>
      <c r="D1038" s="169" t="s">
        <v>2593</v>
      </c>
      <c r="E1038" s="173"/>
    </row>
    <row r="1039" spans="1:5">
      <c r="A1039" s="1" t="s">
        <v>12</v>
      </c>
      <c r="B1039" s="43">
        <v>2841297</v>
      </c>
      <c r="C1039" s="168" t="s">
        <v>71</v>
      </c>
      <c r="D1039" s="169" t="s">
        <v>2594</v>
      </c>
      <c r="E1039" s="173"/>
    </row>
    <row r="1040" spans="1:5">
      <c r="A1040" s="1" t="s">
        <v>12</v>
      </c>
      <c r="B1040" s="43">
        <v>601769</v>
      </c>
      <c r="C1040" s="168" t="s">
        <v>71</v>
      </c>
      <c r="D1040" s="169" t="s">
        <v>1989</v>
      </c>
      <c r="E1040" s="173"/>
    </row>
    <row r="1041" spans="1:5">
      <c r="A1041" s="1" t="s">
        <v>12</v>
      </c>
      <c r="B1041" s="43">
        <v>466170</v>
      </c>
      <c r="C1041" s="168" t="s">
        <v>71</v>
      </c>
      <c r="D1041" s="169" t="s">
        <v>2595</v>
      </c>
      <c r="E1041" s="173"/>
    </row>
    <row r="1042" spans="1:5">
      <c r="A1042" s="1" t="s">
        <v>12</v>
      </c>
      <c r="B1042" s="43">
        <v>628692</v>
      </c>
      <c r="C1042" s="168" t="s">
        <v>71</v>
      </c>
      <c r="D1042" s="169" t="s">
        <v>2596</v>
      </c>
      <c r="E1042" s="173"/>
    </row>
    <row r="1043" spans="1:5">
      <c r="A1043" s="1" t="s">
        <v>12</v>
      </c>
      <c r="B1043" s="43">
        <v>2878236</v>
      </c>
      <c r="C1043" s="168" t="s">
        <v>71</v>
      </c>
      <c r="D1043" s="169" t="s">
        <v>2597</v>
      </c>
      <c r="E1043" s="173"/>
    </row>
    <row r="1044" spans="1:5">
      <c r="A1044" s="1" t="s">
        <v>12</v>
      </c>
      <c r="B1044" s="43">
        <v>2894043</v>
      </c>
      <c r="C1044" s="168" t="s">
        <v>71</v>
      </c>
      <c r="D1044" s="175" t="s">
        <v>2598</v>
      </c>
      <c r="E1044" s="173"/>
    </row>
    <row r="1045" spans="1:5">
      <c r="A1045" s="1" t="s">
        <v>12</v>
      </c>
      <c r="B1045" s="43">
        <v>3013243</v>
      </c>
      <c r="C1045" s="168" t="s">
        <v>71</v>
      </c>
      <c r="D1045" s="169" t="s">
        <v>2599</v>
      </c>
      <c r="E1045" s="173"/>
    </row>
    <row r="1046" spans="1:5">
      <c r="A1046" s="1" t="s">
        <v>12</v>
      </c>
      <c r="B1046" s="43">
        <v>2424655</v>
      </c>
      <c r="C1046" s="168" t="s">
        <v>71</v>
      </c>
      <c r="D1046" s="169" t="s">
        <v>2600</v>
      </c>
      <c r="E1046" s="173"/>
    </row>
    <row r="1047" spans="1:5">
      <c r="A1047" s="1" t="s">
        <v>12</v>
      </c>
      <c r="B1047" s="43">
        <v>2895002</v>
      </c>
      <c r="C1047" s="168" t="s">
        <v>90</v>
      </c>
      <c r="D1047" s="169" t="s">
        <v>2601</v>
      </c>
      <c r="E1047" s="173"/>
    </row>
    <row r="1048" spans="1:5">
      <c r="A1048" s="1" t="s">
        <v>12</v>
      </c>
      <c r="B1048" s="43">
        <v>2817013</v>
      </c>
      <c r="C1048" s="168" t="s">
        <v>1593</v>
      </c>
      <c r="D1048" s="169" t="s">
        <v>2602</v>
      </c>
      <c r="E1048" s="173"/>
    </row>
    <row r="1049" spans="1:5">
      <c r="A1049" s="1" t="s">
        <v>12</v>
      </c>
      <c r="B1049" s="43">
        <v>2832011</v>
      </c>
      <c r="C1049" s="168" t="s">
        <v>1593</v>
      </c>
      <c r="D1049" s="169" t="s">
        <v>2603</v>
      </c>
      <c r="E1049" s="173"/>
    </row>
    <row r="1050" spans="1:5">
      <c r="A1050" s="1" t="s">
        <v>12</v>
      </c>
      <c r="B1050" s="43">
        <v>2880281</v>
      </c>
      <c r="C1050" s="168" t="s">
        <v>83</v>
      </c>
      <c r="D1050" s="169" t="s">
        <v>2604</v>
      </c>
      <c r="E1050" s="173"/>
    </row>
    <row r="1051" spans="1:5">
      <c r="A1051" s="1" t="s">
        <v>12</v>
      </c>
      <c r="B1051" s="43">
        <v>2886307</v>
      </c>
      <c r="C1051" s="168" t="s">
        <v>83</v>
      </c>
      <c r="D1051" s="169" t="s">
        <v>2605</v>
      </c>
      <c r="E1051" s="173"/>
    </row>
    <row r="1052" spans="1:5">
      <c r="A1052" s="1" t="s">
        <v>12</v>
      </c>
      <c r="B1052" s="179">
        <v>802827</v>
      </c>
      <c r="C1052" s="180" t="s">
        <v>83</v>
      </c>
      <c r="D1052" s="169" t="s">
        <v>2606</v>
      </c>
      <c r="E1052" s="173"/>
    </row>
    <row r="1053" spans="1:5">
      <c r="A1053" s="1" t="s">
        <v>12</v>
      </c>
      <c r="B1053" s="43">
        <v>572890</v>
      </c>
      <c r="C1053" s="168" t="s">
        <v>83</v>
      </c>
      <c r="D1053" s="169" t="s">
        <v>2607</v>
      </c>
      <c r="E1053" s="173"/>
    </row>
    <row r="1054" spans="1:5">
      <c r="A1054" s="1" t="s">
        <v>12</v>
      </c>
      <c r="B1054" s="43">
        <v>191268</v>
      </c>
      <c r="C1054" s="168" t="s">
        <v>83</v>
      </c>
      <c r="D1054" s="169" t="s">
        <v>2608</v>
      </c>
      <c r="E1054" s="173"/>
    </row>
    <row r="1055" spans="1:5">
      <c r="A1055" s="1" t="s">
        <v>12</v>
      </c>
      <c r="B1055" s="43">
        <v>721920</v>
      </c>
      <c r="C1055" s="168" t="s">
        <v>83</v>
      </c>
      <c r="D1055" s="169" t="s">
        <v>2609</v>
      </c>
      <c r="E1055" s="173"/>
    </row>
    <row r="1056" spans="1:5">
      <c r="A1056" s="1" t="s">
        <v>12</v>
      </c>
      <c r="B1056" s="43">
        <v>794118</v>
      </c>
      <c r="C1056" s="168" t="s">
        <v>83</v>
      </c>
      <c r="D1056" s="169" t="s">
        <v>2610</v>
      </c>
      <c r="E1056" s="173"/>
    </row>
    <row r="1057" spans="1:5">
      <c r="A1057" s="1" t="s">
        <v>12</v>
      </c>
      <c r="B1057" s="43">
        <v>2805907</v>
      </c>
      <c r="C1057" s="168" t="s">
        <v>83</v>
      </c>
      <c r="D1057" s="169" t="s">
        <v>1914</v>
      </c>
      <c r="E1057" s="173"/>
    </row>
    <row r="1058" spans="1:5">
      <c r="A1058" s="1" t="s">
        <v>12</v>
      </c>
      <c r="B1058" s="43">
        <v>2813256</v>
      </c>
      <c r="C1058" s="168" t="s">
        <v>83</v>
      </c>
      <c r="D1058" s="169" t="s">
        <v>2611</v>
      </c>
      <c r="E1058" s="173"/>
    </row>
    <row r="1059" spans="1:5">
      <c r="A1059" s="1" t="s">
        <v>12</v>
      </c>
      <c r="B1059" s="43">
        <v>2823248</v>
      </c>
      <c r="C1059" s="168" t="s">
        <v>83</v>
      </c>
      <c r="D1059" s="169" t="s">
        <v>2612</v>
      </c>
      <c r="E1059" s="173"/>
    </row>
    <row r="1060" spans="1:5">
      <c r="A1060" s="1" t="s">
        <v>12</v>
      </c>
      <c r="B1060" s="43">
        <v>2823138</v>
      </c>
      <c r="C1060" s="168" t="s">
        <v>83</v>
      </c>
      <c r="D1060" s="169" t="s">
        <v>2613</v>
      </c>
      <c r="E1060" s="173"/>
    </row>
    <row r="1061" spans="1:5">
      <c r="A1061" s="1" t="s">
        <v>12</v>
      </c>
      <c r="B1061" s="43">
        <v>2824268</v>
      </c>
      <c r="C1061" s="168" t="s">
        <v>83</v>
      </c>
      <c r="D1061" s="169" t="s">
        <v>2614</v>
      </c>
      <c r="E1061" s="173"/>
    </row>
    <row r="1062" spans="1:5">
      <c r="A1062" s="1" t="s">
        <v>12</v>
      </c>
      <c r="B1062" s="43">
        <v>2825494</v>
      </c>
      <c r="C1062" s="168" t="s">
        <v>83</v>
      </c>
      <c r="D1062" s="169" t="s">
        <v>1792</v>
      </c>
      <c r="E1062" s="173"/>
    </row>
    <row r="1063" spans="1:5">
      <c r="A1063" s="1" t="s">
        <v>12</v>
      </c>
      <c r="B1063" s="43">
        <v>2841554</v>
      </c>
      <c r="C1063" s="168" t="s">
        <v>83</v>
      </c>
      <c r="D1063" s="169" t="s">
        <v>2615</v>
      </c>
      <c r="E1063" s="173"/>
    </row>
    <row r="1064" spans="1:5">
      <c r="A1064" s="1" t="s">
        <v>12</v>
      </c>
      <c r="B1064" s="43">
        <v>2833040</v>
      </c>
      <c r="C1064" s="168" t="s">
        <v>83</v>
      </c>
      <c r="D1064" s="169" t="s">
        <v>2616</v>
      </c>
      <c r="E1064" s="173"/>
    </row>
    <row r="1065" spans="1:5">
      <c r="A1065" s="1" t="s">
        <v>12</v>
      </c>
      <c r="B1065" s="43">
        <v>5022328</v>
      </c>
      <c r="C1065" s="168" t="s">
        <v>83</v>
      </c>
      <c r="D1065" s="169" t="s">
        <v>2617</v>
      </c>
      <c r="E1065" s="173"/>
    </row>
    <row r="1066" spans="1:5">
      <c r="A1066" s="1" t="s">
        <v>12</v>
      </c>
      <c r="B1066" s="43">
        <v>2882044</v>
      </c>
      <c r="C1066" s="168" t="s">
        <v>83</v>
      </c>
      <c r="D1066" s="169" t="s">
        <v>2618</v>
      </c>
      <c r="E1066" s="173"/>
    </row>
    <row r="1067" spans="1:5">
      <c r="A1067" s="1" t="s">
        <v>12</v>
      </c>
      <c r="B1067" s="43">
        <v>2893008</v>
      </c>
      <c r="C1067" s="168" t="s">
        <v>83</v>
      </c>
      <c r="D1067" s="169" t="s">
        <v>2619</v>
      </c>
      <c r="E1067" s="173"/>
    </row>
    <row r="1068" spans="1:5">
      <c r="A1068" s="1" t="s">
        <v>12</v>
      </c>
      <c r="B1068" s="43">
        <v>2881152</v>
      </c>
      <c r="C1068" s="168" t="s">
        <v>83</v>
      </c>
      <c r="D1068" s="169" t="s">
        <v>2620</v>
      </c>
      <c r="E1068" s="173"/>
    </row>
    <row r="1069" spans="1:5">
      <c r="A1069" s="1" t="s">
        <v>12</v>
      </c>
      <c r="B1069" s="43">
        <v>3007572</v>
      </c>
      <c r="C1069" s="168" t="s">
        <v>83</v>
      </c>
      <c r="D1069" s="169" t="s">
        <v>2621</v>
      </c>
      <c r="E1069" s="173"/>
    </row>
    <row r="1070" spans="1:5">
      <c r="A1070" s="1" t="s">
        <v>12</v>
      </c>
      <c r="B1070" s="43">
        <v>2428537</v>
      </c>
      <c r="C1070" s="168" t="s">
        <v>83</v>
      </c>
      <c r="D1070" s="169" t="s">
        <v>2436</v>
      </c>
      <c r="E1070" s="173"/>
    </row>
    <row r="1071" spans="1:5">
      <c r="A1071" s="1" t="s">
        <v>12</v>
      </c>
      <c r="B1071" s="43">
        <v>3013248</v>
      </c>
      <c r="C1071" s="168" t="s">
        <v>83</v>
      </c>
      <c r="D1071" s="169" t="s">
        <v>2622</v>
      </c>
      <c r="E1071" s="173"/>
    </row>
    <row r="1072" spans="1:5">
      <c r="A1072" s="1" t="s">
        <v>12</v>
      </c>
      <c r="B1072" s="43">
        <v>5034182</v>
      </c>
      <c r="C1072" s="168" t="s">
        <v>773</v>
      </c>
      <c r="D1072" s="169" t="s">
        <v>2623</v>
      </c>
      <c r="E1072" s="173"/>
    </row>
    <row r="1073" spans="1:5">
      <c r="A1073" s="1" t="s">
        <v>12</v>
      </c>
      <c r="B1073" s="43">
        <v>2823250</v>
      </c>
      <c r="C1073" s="168" t="s">
        <v>773</v>
      </c>
      <c r="D1073" s="169" t="s">
        <v>2624</v>
      </c>
      <c r="E1073" s="173"/>
    </row>
    <row r="1074" spans="1:5">
      <c r="A1074" s="1" t="s">
        <v>12</v>
      </c>
      <c r="B1074" s="43">
        <v>724786</v>
      </c>
      <c r="C1074" s="168" t="s">
        <v>773</v>
      </c>
      <c r="D1074" s="174" t="s">
        <v>2625</v>
      </c>
      <c r="E1074" s="173"/>
    </row>
    <row r="1075" spans="1:5">
      <c r="A1075" s="1" t="s">
        <v>12</v>
      </c>
      <c r="B1075" s="43">
        <v>704123</v>
      </c>
      <c r="C1075" s="168" t="s">
        <v>773</v>
      </c>
      <c r="D1075" s="169" t="s">
        <v>2626</v>
      </c>
      <c r="E1075" s="173"/>
    </row>
    <row r="1076" spans="1:5">
      <c r="A1076" s="1" t="s">
        <v>12</v>
      </c>
      <c r="B1076" s="43">
        <v>628688</v>
      </c>
      <c r="C1076" s="168" t="s">
        <v>71</v>
      </c>
      <c r="D1076" s="169" t="s">
        <v>2627</v>
      </c>
      <c r="E1076" s="173"/>
    </row>
    <row r="1077" spans="1:5">
      <c r="A1077" s="1" t="s">
        <v>12</v>
      </c>
      <c r="B1077" s="43">
        <v>601770</v>
      </c>
      <c r="C1077" s="168" t="s">
        <v>71</v>
      </c>
      <c r="D1077" s="169" t="s">
        <v>2628</v>
      </c>
      <c r="E1077" s="173"/>
    </row>
    <row r="1078" spans="1:5">
      <c r="A1078" s="1" t="s">
        <v>12</v>
      </c>
      <c r="B1078" s="43">
        <v>769279</v>
      </c>
      <c r="C1078" s="168" t="s">
        <v>71</v>
      </c>
      <c r="D1078" s="169" t="s">
        <v>2629</v>
      </c>
      <c r="E1078" s="173"/>
    </row>
    <row r="1079" spans="1:5">
      <c r="A1079" s="1" t="s">
        <v>12</v>
      </c>
      <c r="B1079" s="43">
        <v>567787</v>
      </c>
      <c r="C1079" s="168" t="s">
        <v>71</v>
      </c>
      <c r="D1079" s="169" t="s">
        <v>2630</v>
      </c>
      <c r="E1079" s="173"/>
    </row>
    <row r="1080" spans="1:5">
      <c r="A1080" s="1" t="s">
        <v>12</v>
      </c>
      <c r="B1080" s="43">
        <v>628689</v>
      </c>
      <c r="C1080" s="168" t="s">
        <v>71</v>
      </c>
      <c r="D1080" s="169" t="s">
        <v>2631</v>
      </c>
      <c r="E1080" s="173"/>
    </row>
    <row r="1081" spans="1:5">
      <c r="A1081" s="1" t="s">
        <v>12</v>
      </c>
      <c r="B1081" s="43">
        <v>612174</v>
      </c>
      <c r="C1081" s="168" t="s">
        <v>71</v>
      </c>
      <c r="D1081" s="169" t="s">
        <v>2632</v>
      </c>
      <c r="E1081" s="173"/>
    </row>
    <row r="1082" spans="1:5">
      <c r="A1082" s="1" t="s">
        <v>12</v>
      </c>
      <c r="B1082" s="43">
        <v>587597</v>
      </c>
      <c r="C1082" s="168" t="s">
        <v>83</v>
      </c>
      <c r="D1082" s="169" t="s">
        <v>2633</v>
      </c>
      <c r="E1082" s="173"/>
    </row>
    <row r="1083" spans="1:5">
      <c r="A1083" s="1" t="s">
        <v>12</v>
      </c>
      <c r="B1083" s="43">
        <v>592493</v>
      </c>
      <c r="C1083" s="168" t="s">
        <v>71</v>
      </c>
      <c r="D1083" s="169" t="s">
        <v>2634</v>
      </c>
      <c r="E1083" s="173"/>
    </row>
    <row r="1084" spans="1:5">
      <c r="A1084" s="1" t="s">
        <v>12</v>
      </c>
      <c r="B1084" s="179">
        <v>669537</v>
      </c>
      <c r="C1084" s="180" t="s">
        <v>71</v>
      </c>
      <c r="D1084" s="169" t="s">
        <v>2635</v>
      </c>
      <c r="E1084" s="173"/>
    </row>
    <row r="1085" spans="1:5">
      <c r="A1085" s="1" t="s">
        <v>12</v>
      </c>
      <c r="B1085" s="43">
        <v>616662</v>
      </c>
      <c r="C1085" s="168" t="s">
        <v>71</v>
      </c>
      <c r="D1085" s="169" t="s">
        <v>2636</v>
      </c>
      <c r="E1085" s="173"/>
    </row>
    <row r="1086" spans="1:5">
      <c r="A1086" s="1" t="s">
        <v>12</v>
      </c>
      <c r="B1086" s="43">
        <v>429635</v>
      </c>
      <c r="C1086" s="168" t="s">
        <v>71</v>
      </c>
      <c r="D1086" s="169" t="s">
        <v>2637</v>
      </c>
      <c r="E1086" s="173"/>
    </row>
    <row r="1087" spans="1:5">
      <c r="A1087" s="1" t="s">
        <v>12</v>
      </c>
      <c r="B1087" s="43">
        <v>434461</v>
      </c>
      <c r="C1087" s="168" t="s">
        <v>71</v>
      </c>
      <c r="D1087" s="169" t="s">
        <v>2638</v>
      </c>
      <c r="E1087" s="173"/>
    </row>
    <row r="1088" spans="1:5">
      <c r="A1088" s="1" t="s">
        <v>12</v>
      </c>
      <c r="B1088" s="43">
        <v>2228265</v>
      </c>
      <c r="C1088" s="168" t="s">
        <v>71</v>
      </c>
      <c r="D1088" s="169" t="s">
        <v>2639</v>
      </c>
      <c r="E1088" s="173"/>
    </row>
    <row r="1089" spans="1:5">
      <c r="A1089" s="1" t="s">
        <v>12</v>
      </c>
      <c r="B1089" s="43">
        <v>2811351</v>
      </c>
      <c r="C1089" s="168" t="s">
        <v>71</v>
      </c>
      <c r="D1089" s="169" t="s">
        <v>2446</v>
      </c>
      <c r="E1089" s="173"/>
    </row>
    <row r="1090" spans="1:5">
      <c r="A1090" s="1" t="s">
        <v>12</v>
      </c>
      <c r="B1090" s="43">
        <v>2818079</v>
      </c>
      <c r="C1090" s="168" t="s">
        <v>71</v>
      </c>
      <c r="D1090" s="169" t="s">
        <v>2640</v>
      </c>
      <c r="E1090" s="173"/>
    </row>
    <row r="1091" spans="1:5">
      <c r="A1091" s="1" t="s">
        <v>12</v>
      </c>
      <c r="B1091" s="43">
        <v>2820166</v>
      </c>
      <c r="C1091" s="168" t="s">
        <v>71</v>
      </c>
      <c r="D1091" s="169" t="s">
        <v>2641</v>
      </c>
      <c r="E1091" s="173"/>
    </row>
    <row r="1092" spans="1:5">
      <c r="A1092" s="1" t="s">
        <v>12</v>
      </c>
      <c r="B1092" s="43">
        <v>2822371</v>
      </c>
      <c r="C1092" s="168" t="s">
        <v>71</v>
      </c>
      <c r="D1092" s="169" t="s">
        <v>2642</v>
      </c>
      <c r="E1092" s="173"/>
    </row>
    <row r="1093" spans="1:5">
      <c r="A1093" s="1" t="s">
        <v>12</v>
      </c>
      <c r="B1093" s="43">
        <v>2823546</v>
      </c>
      <c r="C1093" s="168" t="s">
        <v>71</v>
      </c>
      <c r="D1093" s="169" t="s">
        <v>2643</v>
      </c>
      <c r="E1093" s="173"/>
    </row>
    <row r="1094" spans="1:5">
      <c r="A1094" s="1" t="s">
        <v>12</v>
      </c>
      <c r="B1094" s="43">
        <v>2823547</v>
      </c>
      <c r="C1094" s="168" t="s">
        <v>71</v>
      </c>
      <c r="D1094" s="169" t="s">
        <v>2009</v>
      </c>
      <c r="E1094" s="173"/>
    </row>
    <row r="1095" spans="1:5">
      <c r="A1095" s="1" t="s">
        <v>12</v>
      </c>
      <c r="B1095" s="43">
        <v>2976142</v>
      </c>
      <c r="C1095" s="168" t="s">
        <v>71</v>
      </c>
      <c r="D1095" s="169" t="s">
        <v>2450</v>
      </c>
      <c r="E1095" s="173"/>
    </row>
    <row r="1096" spans="1:5">
      <c r="A1096" s="1" t="s">
        <v>12</v>
      </c>
      <c r="B1096" s="43">
        <v>2822642</v>
      </c>
      <c r="C1096" s="168" t="s">
        <v>71</v>
      </c>
      <c r="D1096" s="169" t="s">
        <v>2644</v>
      </c>
      <c r="E1096" s="173"/>
    </row>
    <row r="1097" spans="1:5">
      <c r="A1097" s="1" t="s">
        <v>12</v>
      </c>
      <c r="B1097" s="43">
        <v>2832050</v>
      </c>
      <c r="C1097" s="168" t="s">
        <v>71</v>
      </c>
      <c r="D1097" s="169" t="s">
        <v>2645</v>
      </c>
      <c r="E1097" s="173"/>
    </row>
    <row r="1098" spans="1:5">
      <c r="A1098" s="1" t="s">
        <v>12</v>
      </c>
      <c r="B1098" s="43">
        <v>548771</v>
      </c>
      <c r="C1098" s="168" t="s">
        <v>90</v>
      </c>
      <c r="D1098" s="169" t="s">
        <v>2646</v>
      </c>
      <c r="E1098" s="173"/>
    </row>
    <row r="1099" spans="1:5">
      <c r="A1099" s="1" t="s">
        <v>12</v>
      </c>
      <c r="B1099" s="43">
        <v>651190</v>
      </c>
      <c r="C1099" s="168" t="s">
        <v>90</v>
      </c>
      <c r="D1099" s="169" t="s">
        <v>2647</v>
      </c>
      <c r="E1099" s="173"/>
    </row>
    <row r="1100" spans="1:5">
      <c r="A1100" s="1" t="s">
        <v>12</v>
      </c>
      <c r="B1100" s="43">
        <v>639058</v>
      </c>
      <c r="C1100" s="168" t="s">
        <v>90</v>
      </c>
      <c r="D1100" s="169" t="s">
        <v>2648</v>
      </c>
      <c r="E1100" s="173"/>
    </row>
    <row r="1101" spans="1:5">
      <c r="A1101" s="1" t="s">
        <v>12</v>
      </c>
      <c r="B1101" s="43">
        <v>669536</v>
      </c>
      <c r="C1101" s="168" t="s">
        <v>90</v>
      </c>
      <c r="D1101" s="169" t="s">
        <v>2649</v>
      </c>
      <c r="E1101" s="173"/>
    </row>
    <row r="1102" spans="1:5">
      <c r="A1102" s="1" t="s">
        <v>12</v>
      </c>
      <c r="B1102" s="43">
        <v>639057</v>
      </c>
      <c r="C1102" s="168" t="s">
        <v>90</v>
      </c>
      <c r="D1102" s="169" t="s">
        <v>2650</v>
      </c>
      <c r="E1102" s="173"/>
    </row>
    <row r="1103" spans="1:5">
      <c r="A1103" s="1" t="s">
        <v>12</v>
      </c>
      <c r="B1103" s="43">
        <v>5022330</v>
      </c>
      <c r="C1103" s="168" t="s">
        <v>90</v>
      </c>
      <c r="D1103" s="169" t="s">
        <v>2322</v>
      </c>
      <c r="E1103" s="173"/>
    </row>
    <row r="1104" spans="1:5">
      <c r="A1104" s="1" t="s">
        <v>12</v>
      </c>
      <c r="B1104" s="43">
        <v>2812133</v>
      </c>
      <c r="C1104" s="168" t="s">
        <v>90</v>
      </c>
      <c r="D1104" s="169" t="s">
        <v>2455</v>
      </c>
      <c r="E1104" s="173"/>
    </row>
    <row r="1105" spans="1:5">
      <c r="A1105" s="1" t="s">
        <v>12</v>
      </c>
      <c r="B1105" s="43">
        <v>2820164</v>
      </c>
      <c r="C1105" s="168" t="s">
        <v>90</v>
      </c>
      <c r="D1105" s="169" t="s">
        <v>2651</v>
      </c>
      <c r="E1105" s="173"/>
    </row>
    <row r="1106" spans="1:5">
      <c r="A1106" s="1" t="s">
        <v>12</v>
      </c>
      <c r="B1106" s="43">
        <v>2851002</v>
      </c>
      <c r="C1106" s="168" t="s">
        <v>90</v>
      </c>
      <c r="D1106" s="169" t="s">
        <v>2224</v>
      </c>
      <c r="E1106" s="173"/>
    </row>
    <row r="1107" spans="1:5">
      <c r="A1107" s="1" t="s">
        <v>12</v>
      </c>
      <c r="B1107" s="43">
        <v>5028612</v>
      </c>
      <c r="C1107" s="168" t="s">
        <v>1593</v>
      </c>
      <c r="D1107" s="169" t="s">
        <v>2652</v>
      </c>
      <c r="E1107" s="173"/>
    </row>
    <row r="1108" spans="1:5">
      <c r="A1108" s="1" t="s">
        <v>12</v>
      </c>
      <c r="B1108" s="43">
        <v>716048</v>
      </c>
      <c r="C1108" s="168" t="s">
        <v>1593</v>
      </c>
      <c r="D1108" s="169" t="s">
        <v>2653</v>
      </c>
      <c r="E1108" s="173"/>
    </row>
    <row r="1109" spans="1:5">
      <c r="A1109" s="1" t="s">
        <v>12</v>
      </c>
      <c r="B1109" s="43">
        <v>2860033</v>
      </c>
      <c r="C1109" s="168" t="s">
        <v>1593</v>
      </c>
      <c r="D1109" s="169" t="s">
        <v>2654</v>
      </c>
      <c r="E1109" s="173"/>
    </row>
    <row r="1110" spans="1:5">
      <c r="A1110" s="1" t="s">
        <v>12</v>
      </c>
      <c r="B1110" s="43">
        <v>2824355</v>
      </c>
      <c r="C1110" s="168" t="s">
        <v>1593</v>
      </c>
      <c r="D1110" s="169" t="s">
        <v>2655</v>
      </c>
      <c r="E1110" s="173"/>
    </row>
    <row r="1111" spans="1:5">
      <c r="A1111" s="1" t="s">
        <v>2656</v>
      </c>
      <c r="B1111" s="165" t="s">
        <v>68</v>
      </c>
      <c r="C1111" s="166" t="s">
        <v>62</v>
      </c>
      <c r="D1111" s="176" t="s">
        <v>69</v>
      </c>
      <c r="E1111" s="166" t="s">
        <v>70</v>
      </c>
    </row>
    <row r="1112" spans="1:5">
      <c r="A1112" s="1" t="s">
        <v>2656</v>
      </c>
      <c r="B1112" s="43">
        <v>786415</v>
      </c>
      <c r="C1112" s="168" t="s">
        <v>83</v>
      </c>
      <c r="D1112" s="169" t="s">
        <v>2657</v>
      </c>
      <c r="E1112" s="170" t="s">
        <v>2658</v>
      </c>
    </row>
    <row r="1113" spans="1:5">
      <c r="A1113" s="1" t="s">
        <v>2656</v>
      </c>
      <c r="B1113" s="43">
        <v>601798</v>
      </c>
      <c r="C1113" s="168" t="s">
        <v>83</v>
      </c>
      <c r="D1113" s="169" t="s">
        <v>2659</v>
      </c>
      <c r="E1113" s="170" t="s">
        <v>2660</v>
      </c>
    </row>
    <row r="1114" spans="1:5">
      <c r="A1114" s="1" t="s">
        <v>2656</v>
      </c>
      <c r="B1114" s="43">
        <v>601797</v>
      </c>
      <c r="C1114" s="168" t="s">
        <v>83</v>
      </c>
      <c r="D1114" s="169" t="s">
        <v>2661</v>
      </c>
      <c r="E1114" s="170" t="s">
        <v>2662</v>
      </c>
    </row>
    <row r="1115" spans="1:5">
      <c r="A1115" s="1" t="s">
        <v>2656</v>
      </c>
      <c r="B1115" s="43">
        <v>601799</v>
      </c>
      <c r="C1115" s="168" t="s">
        <v>83</v>
      </c>
      <c r="D1115" s="169" t="s">
        <v>2663</v>
      </c>
      <c r="E1115" s="170" t="s">
        <v>2664</v>
      </c>
    </row>
    <row r="1116" spans="1:5">
      <c r="A1116" s="1" t="s">
        <v>2656</v>
      </c>
      <c r="B1116" s="43">
        <v>5016719</v>
      </c>
      <c r="C1116" s="168" t="s">
        <v>83</v>
      </c>
      <c r="D1116" s="169" t="s">
        <v>2665</v>
      </c>
      <c r="E1116" s="170" t="s">
        <v>2666</v>
      </c>
    </row>
    <row r="1117" spans="1:5">
      <c r="A1117" s="1" t="s">
        <v>2656</v>
      </c>
      <c r="B1117" s="43">
        <v>2890005</v>
      </c>
      <c r="C1117" s="168" t="s">
        <v>83</v>
      </c>
      <c r="D1117" s="169" t="s">
        <v>2667</v>
      </c>
      <c r="E1117" s="170" t="s">
        <v>2668</v>
      </c>
    </row>
    <row r="1118" spans="1:5">
      <c r="A1118" s="1" t="s">
        <v>2656</v>
      </c>
      <c r="B1118" s="43">
        <v>743170</v>
      </c>
      <c r="C1118" s="168" t="s">
        <v>773</v>
      </c>
      <c r="D1118" s="169" t="s">
        <v>2669</v>
      </c>
      <c r="E1118" s="170" t="s">
        <v>2670</v>
      </c>
    </row>
    <row r="1119" spans="1:5">
      <c r="A1119" s="1" t="s">
        <v>2656</v>
      </c>
      <c r="B1119" s="43">
        <v>2818081</v>
      </c>
      <c r="C1119" s="168" t="s">
        <v>71</v>
      </c>
      <c r="D1119" s="169" t="s">
        <v>2167</v>
      </c>
      <c r="E1119" s="170" t="s">
        <v>2671</v>
      </c>
    </row>
    <row r="1120" spans="1:5">
      <c r="A1120" s="1" t="s">
        <v>2656</v>
      </c>
      <c r="B1120" s="43">
        <v>2810628</v>
      </c>
      <c r="C1120" s="168" t="s">
        <v>71</v>
      </c>
      <c r="D1120" s="169" t="s">
        <v>2672</v>
      </c>
      <c r="E1120" s="170" t="s">
        <v>2673</v>
      </c>
    </row>
    <row r="1121" spans="1:5">
      <c r="A1121" s="1" t="s">
        <v>2656</v>
      </c>
      <c r="B1121" s="43">
        <v>546059</v>
      </c>
      <c r="C1121" s="168" t="s">
        <v>71</v>
      </c>
      <c r="D1121" s="169" t="s">
        <v>2674</v>
      </c>
      <c r="E1121" s="170" t="s">
        <v>2675</v>
      </c>
    </row>
    <row r="1122" spans="1:5">
      <c r="A1122" s="1" t="s">
        <v>2656</v>
      </c>
      <c r="B1122" s="43">
        <v>598478</v>
      </c>
      <c r="C1122" s="168" t="s">
        <v>90</v>
      </c>
      <c r="D1122" s="169" t="s">
        <v>2676</v>
      </c>
      <c r="E1122" s="170" t="s">
        <v>2677</v>
      </c>
    </row>
    <row r="1123" spans="1:5">
      <c r="A1123" s="1" t="s">
        <v>2656</v>
      </c>
      <c r="B1123" s="43">
        <v>418270</v>
      </c>
      <c r="C1123" s="168" t="s">
        <v>90</v>
      </c>
      <c r="D1123" s="169" t="s">
        <v>2678</v>
      </c>
      <c r="E1123" s="170" t="s">
        <v>2679</v>
      </c>
    </row>
    <row r="1124" spans="1:5">
      <c r="A1124" s="1" t="s">
        <v>2656</v>
      </c>
      <c r="B1124" s="43">
        <v>772319</v>
      </c>
      <c r="C1124" s="168" t="s">
        <v>90</v>
      </c>
      <c r="D1124" s="169" t="s">
        <v>2680</v>
      </c>
      <c r="E1124" s="170" t="s">
        <v>2681</v>
      </c>
    </row>
    <row r="1125" spans="1:5">
      <c r="A1125" s="1" t="s">
        <v>2656</v>
      </c>
      <c r="B1125" s="43">
        <v>734650</v>
      </c>
      <c r="C1125" s="168" t="s">
        <v>1593</v>
      </c>
      <c r="D1125" s="169" t="s">
        <v>2682</v>
      </c>
      <c r="E1125" s="170" t="s">
        <v>2683</v>
      </c>
    </row>
    <row r="1126" spans="1:5">
      <c r="A1126" s="1" t="s">
        <v>2656</v>
      </c>
      <c r="B1126" s="43">
        <v>602523</v>
      </c>
      <c r="C1126" s="168" t="s">
        <v>1593</v>
      </c>
      <c r="D1126" s="169" t="s">
        <v>2684</v>
      </c>
      <c r="E1126" s="170" t="s">
        <v>2685</v>
      </c>
    </row>
    <row r="1127" spans="1:5">
      <c r="A1127" s="1" t="s">
        <v>2656</v>
      </c>
      <c r="B1127" s="43">
        <v>5034171</v>
      </c>
      <c r="C1127" s="168" t="s">
        <v>1593</v>
      </c>
      <c r="D1127" s="169" t="s">
        <v>2686</v>
      </c>
      <c r="E1127" s="170" t="s">
        <v>2687</v>
      </c>
    </row>
    <row r="1128" spans="1:5">
      <c r="A1128" s="1" t="s">
        <v>2656</v>
      </c>
      <c r="B1128" s="43">
        <v>2814099</v>
      </c>
      <c r="C1128" s="168" t="s">
        <v>1593</v>
      </c>
      <c r="D1128" s="169" t="s">
        <v>2688</v>
      </c>
      <c r="E1128" s="170" t="s">
        <v>2689</v>
      </c>
    </row>
    <row r="1129" spans="1:5">
      <c r="A1129" s="1" t="s">
        <v>2656</v>
      </c>
      <c r="B1129" s="43">
        <v>599600</v>
      </c>
      <c r="C1129" s="168" t="s">
        <v>71</v>
      </c>
      <c r="D1129" s="169" t="s">
        <v>2246</v>
      </c>
      <c r="E1129" s="170" t="s">
        <v>2690</v>
      </c>
    </row>
    <row r="1130" spans="1:5">
      <c r="A1130" s="1" t="s">
        <v>2656</v>
      </c>
      <c r="B1130" s="43">
        <v>520232</v>
      </c>
      <c r="C1130" s="168" t="s">
        <v>1593</v>
      </c>
      <c r="D1130" s="169" t="s">
        <v>2691</v>
      </c>
      <c r="E1130" s="170" t="s">
        <v>2692</v>
      </c>
    </row>
    <row r="1131" spans="1:5">
      <c r="A1131" s="1" t="s">
        <v>2656</v>
      </c>
      <c r="B1131" s="43">
        <v>574703</v>
      </c>
      <c r="C1131" s="168" t="s">
        <v>83</v>
      </c>
      <c r="D1131" s="169" t="s">
        <v>2693</v>
      </c>
      <c r="E1131" s="170" t="s">
        <v>2694</v>
      </c>
    </row>
    <row r="1132" spans="1:5">
      <c r="A1132" s="1" t="s">
        <v>2656</v>
      </c>
      <c r="B1132" s="43">
        <v>2866030</v>
      </c>
      <c r="C1132" s="180" t="s">
        <v>83</v>
      </c>
      <c r="D1132" s="169" t="s">
        <v>2695</v>
      </c>
      <c r="E1132" s="170" t="s">
        <v>2696</v>
      </c>
    </row>
    <row r="1133" spans="1:5">
      <c r="A1133" s="1" t="s">
        <v>2656</v>
      </c>
      <c r="B1133" s="43">
        <v>628687</v>
      </c>
      <c r="C1133" s="168" t="s">
        <v>83</v>
      </c>
      <c r="D1133" s="169" t="s">
        <v>2697</v>
      </c>
      <c r="E1133" s="170" t="s">
        <v>2698</v>
      </c>
    </row>
    <row r="1134" spans="1:5">
      <c r="A1134" s="1" t="s">
        <v>2656</v>
      </c>
      <c r="B1134" s="43">
        <v>2873256</v>
      </c>
      <c r="C1134" s="168" t="s">
        <v>83</v>
      </c>
      <c r="D1134" s="169" t="s">
        <v>2699</v>
      </c>
      <c r="E1134" s="170" t="s">
        <v>2700</v>
      </c>
    </row>
    <row r="1135" spans="1:5">
      <c r="A1135" s="1" t="s">
        <v>2656</v>
      </c>
      <c r="B1135" s="43">
        <v>628686</v>
      </c>
      <c r="C1135" s="168" t="s">
        <v>773</v>
      </c>
      <c r="D1135" s="169" t="s">
        <v>2701</v>
      </c>
      <c r="E1135" s="170" t="s">
        <v>2702</v>
      </c>
    </row>
    <row r="1136" spans="1:5">
      <c r="A1136" s="1" t="s">
        <v>2656</v>
      </c>
      <c r="B1136" s="43">
        <v>737753</v>
      </c>
      <c r="C1136" s="168" t="s">
        <v>773</v>
      </c>
      <c r="D1136" s="169" t="s">
        <v>2703</v>
      </c>
      <c r="E1136" s="170" t="s">
        <v>2704</v>
      </c>
    </row>
    <row r="1137" spans="1:5">
      <c r="A1137" s="1" t="s">
        <v>2656</v>
      </c>
      <c r="B1137" s="43">
        <v>5025099</v>
      </c>
      <c r="C1137" s="180" t="s">
        <v>71</v>
      </c>
      <c r="D1137" s="169" t="s">
        <v>2705</v>
      </c>
      <c r="E1137" s="170" t="s">
        <v>2706</v>
      </c>
    </row>
    <row r="1138" spans="1:5">
      <c r="A1138" s="1" t="s">
        <v>2656</v>
      </c>
      <c r="B1138" s="43">
        <v>2814134</v>
      </c>
      <c r="C1138" s="168" t="s">
        <v>71</v>
      </c>
      <c r="D1138" s="169" t="s">
        <v>2707</v>
      </c>
      <c r="E1138" s="170" t="s">
        <v>2708</v>
      </c>
    </row>
    <row r="1139" spans="1:5">
      <c r="A1139" s="1" t="s">
        <v>2656</v>
      </c>
      <c r="B1139" s="43">
        <v>2865040</v>
      </c>
      <c r="C1139" s="168" t="s">
        <v>71</v>
      </c>
      <c r="D1139" s="169" t="s">
        <v>2709</v>
      </c>
      <c r="E1139" s="170" t="s">
        <v>2710</v>
      </c>
    </row>
    <row r="1140" spans="1:5">
      <c r="A1140" s="1" t="s">
        <v>2656</v>
      </c>
      <c r="B1140" s="43">
        <v>2835020</v>
      </c>
      <c r="C1140" s="168" t="s">
        <v>71</v>
      </c>
      <c r="D1140" s="169" t="s">
        <v>2711</v>
      </c>
      <c r="E1140" s="170" t="s">
        <v>2712</v>
      </c>
    </row>
    <row r="1141" spans="1:5">
      <c r="A1141" s="1" t="s">
        <v>2656</v>
      </c>
      <c r="B1141" s="43">
        <v>784278</v>
      </c>
      <c r="C1141" s="168" t="s">
        <v>1593</v>
      </c>
      <c r="D1141" s="169" t="s">
        <v>1826</v>
      </c>
      <c r="E1141" s="170" t="s">
        <v>2713</v>
      </c>
    </row>
    <row r="1142" spans="1:5">
      <c r="A1142" s="1" t="s">
        <v>2656</v>
      </c>
      <c r="B1142" s="43">
        <v>2864002</v>
      </c>
      <c r="C1142" s="168" t="s">
        <v>83</v>
      </c>
      <c r="D1142" s="169" t="s">
        <v>2714</v>
      </c>
      <c r="E1142" s="170" t="s">
        <v>2715</v>
      </c>
    </row>
    <row r="1143" spans="1:5">
      <c r="A1143" s="1" t="s">
        <v>2656</v>
      </c>
      <c r="B1143" s="43">
        <v>2877130</v>
      </c>
      <c r="C1143" s="168" t="s">
        <v>83</v>
      </c>
      <c r="D1143" s="169" t="s">
        <v>2716</v>
      </c>
      <c r="E1143" s="170" t="s">
        <v>2717</v>
      </c>
    </row>
    <row r="1144" spans="1:5">
      <c r="A1144" s="1" t="s">
        <v>2656</v>
      </c>
      <c r="B1144" s="43">
        <v>2886012</v>
      </c>
      <c r="C1144" s="168" t="s">
        <v>83</v>
      </c>
      <c r="D1144" s="169" t="s">
        <v>2718</v>
      </c>
      <c r="E1144" s="170" t="s">
        <v>2719</v>
      </c>
    </row>
    <row r="1145" spans="1:5">
      <c r="A1145" s="1" t="s">
        <v>2656</v>
      </c>
      <c r="B1145" s="43">
        <v>2424328</v>
      </c>
      <c r="C1145" s="168" t="s">
        <v>83</v>
      </c>
      <c r="D1145" s="169" t="s">
        <v>2720</v>
      </c>
      <c r="E1145" s="170" t="s">
        <v>2721</v>
      </c>
    </row>
    <row r="1146" spans="1:5">
      <c r="A1146" s="1" t="s">
        <v>2656</v>
      </c>
      <c r="B1146" s="43">
        <v>2428500</v>
      </c>
      <c r="C1146" s="168" t="s">
        <v>83</v>
      </c>
      <c r="D1146" s="169" t="s">
        <v>2722</v>
      </c>
      <c r="E1146" s="170" t="s">
        <v>2723</v>
      </c>
    </row>
    <row r="1147" spans="1:5">
      <c r="A1147" s="1" t="s">
        <v>2656</v>
      </c>
      <c r="B1147" s="43">
        <v>2422669</v>
      </c>
      <c r="C1147" s="168" t="s">
        <v>773</v>
      </c>
      <c r="D1147" s="169" t="s">
        <v>2724</v>
      </c>
      <c r="E1147" s="170" t="s">
        <v>2725</v>
      </c>
    </row>
    <row r="1148" spans="1:5">
      <c r="A1148" s="1" t="s">
        <v>2656</v>
      </c>
      <c r="B1148" s="43">
        <v>2422824</v>
      </c>
      <c r="C1148" s="168" t="s">
        <v>71</v>
      </c>
      <c r="D1148" s="169" t="s">
        <v>2726</v>
      </c>
      <c r="E1148" s="170" t="s">
        <v>2727</v>
      </c>
    </row>
    <row r="1149" spans="1:5">
      <c r="A1149" s="1" t="s">
        <v>2656</v>
      </c>
      <c r="B1149" s="43">
        <v>2883181</v>
      </c>
      <c r="C1149" s="168" t="s">
        <v>71</v>
      </c>
      <c r="D1149" s="169" t="s">
        <v>2728</v>
      </c>
      <c r="E1149" s="170" t="s">
        <v>2729</v>
      </c>
    </row>
    <row r="1150" spans="1:5">
      <c r="A1150" s="1" t="s">
        <v>2656</v>
      </c>
      <c r="B1150" s="43">
        <v>2886217</v>
      </c>
      <c r="C1150" s="168" t="s">
        <v>71</v>
      </c>
      <c r="D1150" s="169" t="s">
        <v>2730</v>
      </c>
      <c r="E1150" s="170" t="s">
        <v>2731</v>
      </c>
    </row>
    <row r="1151" spans="1:5">
      <c r="A1151" s="1" t="s">
        <v>2656</v>
      </c>
      <c r="B1151" s="43">
        <v>2881243</v>
      </c>
      <c r="C1151" s="168" t="s">
        <v>71</v>
      </c>
      <c r="D1151" s="169" t="s">
        <v>2732</v>
      </c>
      <c r="E1151" s="170" t="s">
        <v>2733</v>
      </c>
    </row>
    <row r="1152" spans="1:5">
      <c r="A1152" s="1" t="s">
        <v>2656</v>
      </c>
      <c r="B1152" s="43">
        <v>2887235</v>
      </c>
      <c r="C1152" s="168" t="s">
        <v>71</v>
      </c>
      <c r="D1152" s="169" t="s">
        <v>2734</v>
      </c>
      <c r="E1152" s="170" t="s">
        <v>2735</v>
      </c>
    </row>
    <row r="1153" spans="1:5">
      <c r="A1153" s="1" t="s">
        <v>2656</v>
      </c>
      <c r="B1153" s="43">
        <v>2893067</v>
      </c>
      <c r="C1153" s="168" t="s">
        <v>71</v>
      </c>
      <c r="D1153" s="169" t="s">
        <v>2736</v>
      </c>
      <c r="E1153" s="170"/>
    </row>
    <row r="1154" spans="1:5">
      <c r="A1154" s="1" t="s">
        <v>2656</v>
      </c>
      <c r="B1154" s="43">
        <v>2881062</v>
      </c>
      <c r="C1154" s="168" t="s">
        <v>71</v>
      </c>
      <c r="D1154" s="169" t="s">
        <v>2737</v>
      </c>
      <c r="E1154" s="170"/>
    </row>
    <row r="1155" spans="1:5">
      <c r="A1155" s="1" t="s">
        <v>2656</v>
      </c>
      <c r="B1155" s="43">
        <v>2878108</v>
      </c>
      <c r="C1155" s="168" t="s">
        <v>71</v>
      </c>
      <c r="D1155" s="169" t="s">
        <v>2738</v>
      </c>
      <c r="E1155" s="170"/>
    </row>
    <row r="1156" spans="1:5">
      <c r="A1156" s="1" t="s">
        <v>2656</v>
      </c>
      <c r="B1156" s="43">
        <v>2883179</v>
      </c>
      <c r="C1156" s="168" t="s">
        <v>71</v>
      </c>
      <c r="D1156" s="169" t="s">
        <v>2739</v>
      </c>
      <c r="E1156" s="170"/>
    </row>
    <row r="1157" spans="1:5">
      <c r="A1157" s="1" t="s">
        <v>2656</v>
      </c>
      <c r="B1157" s="43">
        <v>2807864</v>
      </c>
      <c r="C1157" s="168" t="s">
        <v>83</v>
      </c>
      <c r="D1157" s="169" t="s">
        <v>2740</v>
      </c>
      <c r="E1157" s="173"/>
    </row>
    <row r="1158" spans="1:5">
      <c r="A1158" s="1" t="s">
        <v>2656</v>
      </c>
      <c r="B1158" s="43">
        <v>772323</v>
      </c>
      <c r="C1158" s="168" t="s">
        <v>83</v>
      </c>
      <c r="D1158" s="169" t="s">
        <v>2741</v>
      </c>
      <c r="E1158" s="173"/>
    </row>
    <row r="1159" spans="1:5">
      <c r="A1159" s="1" t="s">
        <v>2656</v>
      </c>
      <c r="B1159" s="43">
        <v>728391</v>
      </c>
      <c r="C1159" s="168" t="s">
        <v>83</v>
      </c>
      <c r="D1159" s="169" t="s">
        <v>2742</v>
      </c>
      <c r="E1159" s="173"/>
    </row>
    <row r="1160" spans="1:5">
      <c r="A1160" s="1" t="s">
        <v>2656</v>
      </c>
      <c r="B1160" s="43">
        <v>746311</v>
      </c>
      <c r="C1160" s="168" t="s">
        <v>83</v>
      </c>
      <c r="D1160" s="169" t="s">
        <v>2743</v>
      </c>
      <c r="E1160" s="173"/>
    </row>
    <row r="1161" spans="1:5">
      <c r="A1161" s="1" t="s">
        <v>2656</v>
      </c>
      <c r="B1161" s="43">
        <v>5025102</v>
      </c>
      <c r="C1161" s="168" t="s">
        <v>83</v>
      </c>
      <c r="D1161" s="169" t="s">
        <v>2744</v>
      </c>
      <c r="E1161" s="173"/>
    </row>
    <row r="1162" spans="1:5">
      <c r="A1162" s="1" t="s">
        <v>2656</v>
      </c>
      <c r="B1162" s="43">
        <v>806167</v>
      </c>
      <c r="C1162" s="168" t="s">
        <v>83</v>
      </c>
      <c r="D1162" s="175" t="s">
        <v>2745</v>
      </c>
      <c r="E1162" s="173"/>
    </row>
    <row r="1163" spans="1:5">
      <c r="A1163" s="1" t="s">
        <v>2656</v>
      </c>
      <c r="B1163" s="43">
        <v>791354</v>
      </c>
      <c r="C1163" s="168" t="s">
        <v>83</v>
      </c>
      <c r="D1163" s="169" t="s">
        <v>2746</v>
      </c>
      <c r="E1163" s="173"/>
    </row>
    <row r="1164" spans="1:5">
      <c r="A1164" s="1" t="s">
        <v>2656</v>
      </c>
      <c r="B1164" s="43">
        <v>743171</v>
      </c>
      <c r="C1164" s="168" t="s">
        <v>83</v>
      </c>
      <c r="D1164" s="169" t="s">
        <v>2747</v>
      </c>
      <c r="E1164" s="173"/>
    </row>
    <row r="1165" spans="1:5">
      <c r="A1165" s="1" t="s">
        <v>2656</v>
      </c>
      <c r="B1165" s="43">
        <v>2804664</v>
      </c>
      <c r="C1165" s="168" t="s">
        <v>83</v>
      </c>
      <c r="D1165" s="169" t="s">
        <v>2336</v>
      </c>
      <c r="E1165" s="173"/>
    </row>
    <row r="1166" spans="1:5">
      <c r="A1166" s="1" t="s">
        <v>2656</v>
      </c>
      <c r="B1166" s="43">
        <v>2805571</v>
      </c>
      <c r="C1166" s="168" t="s">
        <v>83</v>
      </c>
      <c r="D1166" s="169" t="s">
        <v>2748</v>
      </c>
      <c r="E1166" s="173"/>
    </row>
    <row r="1167" spans="1:5">
      <c r="A1167" s="1" t="s">
        <v>2656</v>
      </c>
      <c r="B1167" s="43">
        <v>5030981</v>
      </c>
      <c r="C1167" s="168" t="s">
        <v>83</v>
      </c>
      <c r="D1167" s="169" t="s">
        <v>2749</v>
      </c>
      <c r="E1167" s="173"/>
    </row>
    <row r="1168" spans="1:5">
      <c r="A1168" s="1" t="s">
        <v>2656</v>
      </c>
      <c r="B1168" s="43">
        <v>2822655</v>
      </c>
      <c r="C1168" s="168" t="s">
        <v>83</v>
      </c>
      <c r="D1168" s="169" t="s">
        <v>2750</v>
      </c>
      <c r="E1168" s="173"/>
    </row>
    <row r="1169" spans="1:5">
      <c r="A1169" s="1" t="s">
        <v>2656</v>
      </c>
      <c r="B1169" s="43">
        <v>2822654</v>
      </c>
      <c r="C1169" s="168" t="s">
        <v>83</v>
      </c>
      <c r="D1169" s="169" t="s">
        <v>2751</v>
      </c>
      <c r="E1169" s="173"/>
    </row>
    <row r="1170" spans="1:5">
      <c r="A1170" s="1" t="s">
        <v>2656</v>
      </c>
      <c r="B1170" s="43">
        <v>2862037</v>
      </c>
      <c r="C1170" s="168" t="s">
        <v>83</v>
      </c>
      <c r="D1170" s="169" t="s">
        <v>2752</v>
      </c>
      <c r="E1170" s="173"/>
    </row>
    <row r="1171" spans="1:5">
      <c r="A1171" s="1" t="s">
        <v>2656</v>
      </c>
      <c r="B1171" s="43">
        <v>2859040</v>
      </c>
      <c r="C1171" s="168" t="s">
        <v>83</v>
      </c>
      <c r="D1171" s="169" t="s">
        <v>2753</v>
      </c>
      <c r="E1171" s="173"/>
    </row>
    <row r="1172" spans="1:5">
      <c r="A1172" s="1" t="s">
        <v>2656</v>
      </c>
      <c r="B1172" s="43">
        <v>2873072</v>
      </c>
      <c r="C1172" s="168" t="s">
        <v>83</v>
      </c>
      <c r="D1172" s="169" t="s">
        <v>2754</v>
      </c>
      <c r="E1172" s="173"/>
    </row>
    <row r="1173" spans="1:5">
      <c r="A1173" s="1" t="s">
        <v>2656</v>
      </c>
      <c r="B1173" s="43">
        <v>2822202</v>
      </c>
      <c r="C1173" s="168" t="s">
        <v>83</v>
      </c>
      <c r="D1173" s="169" t="s">
        <v>2755</v>
      </c>
      <c r="E1173" s="173"/>
    </row>
    <row r="1174" spans="1:5">
      <c r="A1174" s="1" t="s">
        <v>2656</v>
      </c>
      <c r="B1174" s="43">
        <v>3107161</v>
      </c>
      <c r="C1174" s="168" t="s">
        <v>83</v>
      </c>
      <c r="D1174" s="169" t="s">
        <v>2756</v>
      </c>
      <c r="E1174" s="173"/>
    </row>
    <row r="1175" spans="1:5">
      <c r="A1175" s="1" t="s">
        <v>2656</v>
      </c>
      <c r="B1175" s="43">
        <v>2885049</v>
      </c>
      <c r="C1175" s="168" t="s">
        <v>83</v>
      </c>
      <c r="D1175" s="169" t="s">
        <v>2757</v>
      </c>
      <c r="E1175" s="173"/>
    </row>
    <row r="1176" spans="1:5">
      <c r="A1176" s="1" t="s">
        <v>2656</v>
      </c>
      <c r="B1176" s="43">
        <v>2874214</v>
      </c>
      <c r="C1176" s="168" t="s">
        <v>83</v>
      </c>
      <c r="D1176" s="169" t="s">
        <v>2758</v>
      </c>
      <c r="E1176" s="173"/>
    </row>
    <row r="1177" spans="1:5">
      <c r="A1177" s="1" t="s">
        <v>2656</v>
      </c>
      <c r="B1177" s="43">
        <v>2881212</v>
      </c>
      <c r="C1177" s="168" t="s">
        <v>83</v>
      </c>
      <c r="D1177" s="169" t="s">
        <v>2759</v>
      </c>
      <c r="E1177" s="173"/>
    </row>
    <row r="1178" spans="1:5">
      <c r="A1178" s="1" t="s">
        <v>2656</v>
      </c>
      <c r="B1178" s="43">
        <v>2883180</v>
      </c>
      <c r="C1178" s="168" t="s">
        <v>83</v>
      </c>
      <c r="D1178" s="169" t="s">
        <v>2760</v>
      </c>
      <c r="E1178" s="173"/>
    </row>
    <row r="1179" spans="1:5">
      <c r="A1179" s="1" t="s">
        <v>2656</v>
      </c>
      <c r="B1179" s="43">
        <v>2880244</v>
      </c>
      <c r="C1179" s="168" t="s">
        <v>83</v>
      </c>
      <c r="D1179" s="169" t="s">
        <v>2761</v>
      </c>
      <c r="E1179" s="173"/>
    </row>
    <row r="1180" spans="1:5">
      <c r="A1180" s="1" t="s">
        <v>2656</v>
      </c>
      <c r="B1180" s="43">
        <v>2881068</v>
      </c>
      <c r="C1180" s="168" t="s">
        <v>83</v>
      </c>
      <c r="D1180" s="169" t="s">
        <v>2505</v>
      </c>
      <c r="E1180" s="173"/>
    </row>
    <row r="1181" spans="1:5">
      <c r="A1181" s="1" t="s">
        <v>2656</v>
      </c>
      <c r="B1181" s="43">
        <v>2424659</v>
      </c>
      <c r="C1181" s="168" t="s">
        <v>83</v>
      </c>
      <c r="D1181" s="169" t="s">
        <v>2346</v>
      </c>
      <c r="E1181" s="173"/>
    </row>
    <row r="1182" spans="1:5">
      <c r="A1182" s="1" t="s">
        <v>2656</v>
      </c>
      <c r="B1182" s="43">
        <v>2883162</v>
      </c>
      <c r="C1182" s="168" t="s">
        <v>773</v>
      </c>
      <c r="D1182" s="169" t="s">
        <v>2762</v>
      </c>
      <c r="E1182" s="173"/>
    </row>
    <row r="1183" spans="1:5">
      <c r="A1183" s="1" t="s">
        <v>2656</v>
      </c>
      <c r="B1183" s="43">
        <v>772329</v>
      </c>
      <c r="C1183" s="168" t="s">
        <v>773</v>
      </c>
      <c r="D1183" s="169" t="s">
        <v>2763</v>
      </c>
      <c r="E1183" s="173"/>
    </row>
    <row r="1184" spans="1:5">
      <c r="A1184" s="1" t="s">
        <v>2656</v>
      </c>
      <c r="B1184" s="43">
        <v>751335</v>
      </c>
      <c r="C1184" s="168" t="s">
        <v>773</v>
      </c>
      <c r="D1184" s="169" t="s">
        <v>2764</v>
      </c>
      <c r="E1184" s="173"/>
    </row>
    <row r="1185" spans="1:5">
      <c r="A1185" s="1" t="s">
        <v>2656</v>
      </c>
      <c r="B1185" s="43">
        <v>5028662</v>
      </c>
      <c r="C1185" s="168" t="s">
        <v>773</v>
      </c>
      <c r="D1185" s="169" t="s">
        <v>2765</v>
      </c>
      <c r="E1185" s="173"/>
    </row>
    <row r="1186" spans="1:5">
      <c r="A1186" s="1" t="s">
        <v>2656</v>
      </c>
      <c r="B1186" s="43">
        <v>5034175</v>
      </c>
      <c r="C1186" s="168" t="s">
        <v>773</v>
      </c>
      <c r="D1186" s="169" t="s">
        <v>2766</v>
      </c>
      <c r="E1186" s="173"/>
    </row>
    <row r="1187" spans="1:5">
      <c r="A1187" s="1" t="s">
        <v>2656</v>
      </c>
      <c r="B1187" s="43">
        <v>2833044</v>
      </c>
      <c r="C1187" s="168" t="s">
        <v>773</v>
      </c>
      <c r="D1187" s="169" t="s">
        <v>2186</v>
      </c>
      <c r="E1187" s="173"/>
    </row>
    <row r="1188" spans="1:5">
      <c r="A1188" s="1" t="s">
        <v>2656</v>
      </c>
      <c r="B1188" s="43">
        <v>2886252</v>
      </c>
      <c r="C1188" s="168" t="s">
        <v>773</v>
      </c>
      <c r="D1188" s="169" t="s">
        <v>1860</v>
      </c>
      <c r="E1188" s="173"/>
    </row>
    <row r="1189" spans="1:5">
      <c r="A1189" s="1" t="s">
        <v>2656</v>
      </c>
      <c r="B1189" s="43">
        <v>2878200</v>
      </c>
      <c r="C1189" s="168" t="s">
        <v>773</v>
      </c>
      <c r="D1189" s="169" t="s">
        <v>2509</v>
      </c>
      <c r="E1189" s="173"/>
    </row>
    <row r="1190" spans="1:5">
      <c r="A1190" s="1" t="s">
        <v>2656</v>
      </c>
      <c r="B1190" s="43">
        <v>2874324</v>
      </c>
      <c r="C1190" s="168" t="s">
        <v>773</v>
      </c>
      <c r="D1190" s="169" t="s">
        <v>2767</v>
      </c>
      <c r="E1190" s="173"/>
    </row>
    <row r="1191" spans="1:5">
      <c r="A1191" s="1" t="s">
        <v>2656</v>
      </c>
      <c r="B1191" s="43">
        <v>2893129</v>
      </c>
      <c r="C1191" s="168" t="s">
        <v>773</v>
      </c>
      <c r="D1191" s="169" t="s">
        <v>2768</v>
      </c>
      <c r="E1191" s="173"/>
    </row>
    <row r="1192" spans="1:5">
      <c r="A1192" s="1" t="s">
        <v>2656</v>
      </c>
      <c r="B1192" s="43">
        <v>3129473</v>
      </c>
      <c r="C1192" s="168" t="s">
        <v>773</v>
      </c>
      <c r="D1192" s="169" t="s">
        <v>2769</v>
      </c>
      <c r="E1192" s="173"/>
    </row>
    <row r="1193" spans="1:5">
      <c r="A1193" s="1" t="s">
        <v>2656</v>
      </c>
      <c r="B1193" s="43">
        <v>2421421</v>
      </c>
      <c r="C1193" s="168" t="s">
        <v>71</v>
      </c>
      <c r="D1193" s="169" t="s">
        <v>2770</v>
      </c>
      <c r="E1193" s="173"/>
    </row>
    <row r="1194" spans="1:5">
      <c r="A1194" s="1" t="s">
        <v>2656</v>
      </c>
      <c r="B1194" s="43">
        <v>2422522</v>
      </c>
      <c r="C1194" s="168" t="s">
        <v>71</v>
      </c>
      <c r="D1194" s="169" t="s">
        <v>2771</v>
      </c>
      <c r="E1194" s="173"/>
    </row>
    <row r="1195" spans="1:5">
      <c r="A1195" s="1" t="s">
        <v>2656</v>
      </c>
      <c r="B1195" s="43">
        <v>2425358</v>
      </c>
      <c r="C1195" s="168" t="s">
        <v>71</v>
      </c>
      <c r="D1195" s="169" t="s">
        <v>2772</v>
      </c>
      <c r="E1195" s="173"/>
    </row>
    <row r="1196" spans="1:5">
      <c r="A1196" s="1" t="s">
        <v>2656</v>
      </c>
      <c r="B1196" s="43">
        <v>2808537</v>
      </c>
      <c r="C1196" s="168" t="s">
        <v>71</v>
      </c>
      <c r="D1196" s="169" t="s">
        <v>2773</v>
      </c>
      <c r="E1196" s="173"/>
    </row>
    <row r="1197" spans="1:5">
      <c r="A1197" s="1" t="s">
        <v>2656</v>
      </c>
      <c r="B1197" s="43">
        <v>2809586</v>
      </c>
      <c r="C1197" s="168" t="s">
        <v>71</v>
      </c>
      <c r="D1197" s="169" t="s">
        <v>2774</v>
      </c>
      <c r="E1197" s="173"/>
    </row>
    <row r="1198" spans="1:5">
      <c r="A1198" s="1" t="s">
        <v>2656</v>
      </c>
      <c r="B1198" s="43">
        <v>2809587</v>
      </c>
      <c r="C1198" s="168" t="s">
        <v>71</v>
      </c>
      <c r="D1198" s="169" t="s">
        <v>2775</v>
      </c>
      <c r="E1198" s="173"/>
    </row>
    <row r="1199" spans="1:5">
      <c r="A1199" s="1" t="s">
        <v>2656</v>
      </c>
      <c r="B1199" s="43">
        <v>782130</v>
      </c>
      <c r="C1199" s="168" t="s">
        <v>71</v>
      </c>
      <c r="D1199" s="169" t="s">
        <v>2776</v>
      </c>
      <c r="E1199" s="173"/>
    </row>
    <row r="1200" spans="1:5">
      <c r="A1200" s="1" t="s">
        <v>2656</v>
      </c>
      <c r="B1200" s="43">
        <v>2853006</v>
      </c>
      <c r="C1200" s="168" t="s">
        <v>71</v>
      </c>
      <c r="D1200" s="169" t="s">
        <v>2777</v>
      </c>
      <c r="E1200" s="173"/>
    </row>
    <row r="1201" spans="1:5">
      <c r="A1201" s="1" t="s">
        <v>2656</v>
      </c>
      <c r="B1201" s="43">
        <v>2814070</v>
      </c>
      <c r="C1201" s="168" t="s">
        <v>71</v>
      </c>
      <c r="D1201" s="169" t="s">
        <v>2778</v>
      </c>
      <c r="E1201" s="173"/>
    </row>
    <row r="1202" spans="1:5">
      <c r="A1202" s="1" t="s">
        <v>2656</v>
      </c>
      <c r="B1202" s="43">
        <v>2849034</v>
      </c>
      <c r="C1202" s="168" t="s">
        <v>71</v>
      </c>
      <c r="D1202" s="169" t="s">
        <v>1680</v>
      </c>
      <c r="E1202" s="173"/>
    </row>
    <row r="1203" spans="1:5">
      <c r="A1203" s="1" t="s">
        <v>2656</v>
      </c>
      <c r="B1203" s="43">
        <v>656788</v>
      </c>
      <c r="C1203" s="168" t="s">
        <v>71</v>
      </c>
      <c r="D1203" s="169" t="s">
        <v>2779</v>
      </c>
      <c r="E1203" s="173"/>
    </row>
    <row r="1204" spans="1:5">
      <c r="A1204" s="1" t="s">
        <v>2656</v>
      </c>
      <c r="B1204" s="43">
        <v>2814069</v>
      </c>
      <c r="C1204" s="168" t="s">
        <v>71</v>
      </c>
      <c r="D1204" s="169" t="s">
        <v>2780</v>
      </c>
      <c r="E1204" s="173"/>
    </row>
    <row r="1205" spans="1:5">
      <c r="A1205" s="1" t="s">
        <v>2656</v>
      </c>
      <c r="B1205" s="43">
        <v>731739</v>
      </c>
      <c r="C1205" s="168" t="s">
        <v>71</v>
      </c>
      <c r="D1205" s="169" t="s">
        <v>2781</v>
      </c>
      <c r="E1205" s="173"/>
    </row>
    <row r="1206" spans="1:5">
      <c r="A1206" s="1" t="s">
        <v>2656</v>
      </c>
      <c r="B1206" s="43">
        <v>645057</v>
      </c>
      <c r="C1206" s="168" t="s">
        <v>71</v>
      </c>
      <c r="D1206" s="169" t="s">
        <v>2782</v>
      </c>
      <c r="E1206" s="173"/>
    </row>
    <row r="1207" spans="1:5">
      <c r="A1207" s="1" t="s">
        <v>2656</v>
      </c>
      <c r="B1207" s="43">
        <v>751334</v>
      </c>
      <c r="C1207" s="168" t="s">
        <v>71</v>
      </c>
      <c r="D1207" s="169" t="s">
        <v>2783</v>
      </c>
      <c r="E1207" s="173"/>
    </row>
    <row r="1208" spans="1:5">
      <c r="A1208" s="1" t="s">
        <v>2656</v>
      </c>
      <c r="B1208" s="43">
        <v>5016717</v>
      </c>
      <c r="C1208" s="168" t="s">
        <v>71</v>
      </c>
      <c r="D1208" s="169" t="s">
        <v>2784</v>
      </c>
      <c r="E1208" s="173"/>
    </row>
    <row r="1209" spans="1:5">
      <c r="A1209" s="1" t="s">
        <v>2656</v>
      </c>
      <c r="B1209" s="43">
        <v>651196</v>
      </c>
      <c r="C1209" s="168" t="s">
        <v>71</v>
      </c>
      <c r="D1209" s="169" t="s">
        <v>2785</v>
      </c>
      <c r="E1209" s="173"/>
    </row>
    <row r="1210" spans="1:5">
      <c r="A1210" s="1" t="s">
        <v>2656</v>
      </c>
      <c r="B1210" s="43">
        <v>713394</v>
      </c>
      <c r="C1210" s="168" t="s">
        <v>71</v>
      </c>
      <c r="D1210" s="169" t="s">
        <v>2786</v>
      </c>
      <c r="E1210" s="173"/>
    </row>
    <row r="1211" spans="1:5">
      <c r="A1211" s="1" t="s">
        <v>2656</v>
      </c>
      <c r="B1211" s="43">
        <v>802866</v>
      </c>
      <c r="C1211" s="168" t="s">
        <v>71</v>
      </c>
      <c r="D1211" s="169" t="s">
        <v>2787</v>
      </c>
      <c r="E1211" s="173"/>
    </row>
    <row r="1212" spans="1:5">
      <c r="A1212" s="1" t="s">
        <v>2656</v>
      </c>
      <c r="B1212" s="43">
        <v>791360</v>
      </c>
      <c r="C1212" s="168" t="s">
        <v>71</v>
      </c>
      <c r="D1212" s="169" t="s">
        <v>2788</v>
      </c>
      <c r="E1212" s="173"/>
    </row>
    <row r="1213" spans="1:5">
      <c r="A1213" s="1" t="s">
        <v>2656</v>
      </c>
      <c r="B1213" s="43">
        <v>667384</v>
      </c>
      <c r="C1213" s="168" t="s">
        <v>71</v>
      </c>
      <c r="D1213" s="169" t="s">
        <v>2789</v>
      </c>
      <c r="E1213" s="173"/>
    </row>
    <row r="1214" spans="1:5">
      <c r="A1214" s="1" t="s">
        <v>2656</v>
      </c>
      <c r="B1214" s="43">
        <v>731741</v>
      </c>
      <c r="C1214" s="168" t="s">
        <v>71</v>
      </c>
      <c r="D1214" s="169" t="s">
        <v>2790</v>
      </c>
      <c r="E1214" s="173"/>
    </row>
    <row r="1215" spans="1:5">
      <c r="A1215" s="1" t="s">
        <v>2656</v>
      </c>
      <c r="B1215" s="43">
        <v>753910</v>
      </c>
      <c r="C1215" s="168" t="s">
        <v>71</v>
      </c>
      <c r="D1215" s="169" t="s">
        <v>2791</v>
      </c>
      <c r="E1215" s="173"/>
    </row>
    <row r="1216" spans="1:5">
      <c r="A1216" s="1" t="s">
        <v>2656</v>
      </c>
      <c r="B1216" s="43">
        <v>782139</v>
      </c>
      <c r="C1216" s="168" t="s">
        <v>71</v>
      </c>
      <c r="D1216" s="169" t="s">
        <v>2792</v>
      </c>
      <c r="E1216" s="173"/>
    </row>
    <row r="1217" spans="1:5">
      <c r="A1217" s="1" t="s">
        <v>2656</v>
      </c>
      <c r="B1217" s="43">
        <v>5019808</v>
      </c>
      <c r="C1217" s="168" t="s">
        <v>71</v>
      </c>
      <c r="D1217" s="169" t="s">
        <v>2793</v>
      </c>
      <c r="E1217" s="173"/>
    </row>
    <row r="1218" spans="1:5">
      <c r="A1218" s="1" t="s">
        <v>2656</v>
      </c>
      <c r="B1218" s="43">
        <v>786421</v>
      </c>
      <c r="C1218" s="168" t="s">
        <v>71</v>
      </c>
      <c r="D1218" s="169" t="s">
        <v>2794</v>
      </c>
      <c r="E1218" s="173"/>
    </row>
    <row r="1219" spans="1:5">
      <c r="A1219" s="1" t="s">
        <v>2656</v>
      </c>
      <c r="B1219" s="43">
        <v>765326</v>
      </c>
      <c r="C1219" s="168" t="s">
        <v>71</v>
      </c>
      <c r="D1219" s="169" t="s">
        <v>2795</v>
      </c>
      <c r="E1219" s="173"/>
    </row>
    <row r="1220" spans="1:5">
      <c r="A1220" s="1" t="s">
        <v>2656</v>
      </c>
      <c r="B1220" s="43">
        <v>628707</v>
      </c>
      <c r="C1220" s="168" t="s">
        <v>71</v>
      </c>
      <c r="D1220" s="169" t="s">
        <v>2796</v>
      </c>
      <c r="E1220" s="173"/>
    </row>
    <row r="1221" spans="1:5">
      <c r="A1221" s="1" t="s">
        <v>2656</v>
      </c>
      <c r="B1221" s="43">
        <v>628706</v>
      </c>
      <c r="C1221" s="168" t="s">
        <v>71</v>
      </c>
      <c r="D1221" s="169" t="s">
        <v>2797</v>
      </c>
      <c r="E1221" s="173"/>
    </row>
    <row r="1222" spans="1:5">
      <c r="A1222" s="1" t="s">
        <v>2656</v>
      </c>
      <c r="B1222" s="43">
        <v>5022347</v>
      </c>
      <c r="C1222" s="168" t="s">
        <v>71</v>
      </c>
      <c r="D1222" s="169" t="s">
        <v>2798</v>
      </c>
      <c r="E1222" s="173"/>
    </row>
    <row r="1223" spans="1:5">
      <c r="A1223" s="1" t="s">
        <v>2656</v>
      </c>
      <c r="B1223" s="43">
        <v>5040395</v>
      </c>
      <c r="C1223" s="168" t="s">
        <v>71</v>
      </c>
      <c r="D1223" s="169" t="s">
        <v>2377</v>
      </c>
      <c r="E1223" s="173"/>
    </row>
    <row r="1224" spans="1:5">
      <c r="A1224" s="1" t="s">
        <v>2656</v>
      </c>
      <c r="B1224" s="43">
        <v>2824427</v>
      </c>
      <c r="C1224" s="168" t="s">
        <v>71</v>
      </c>
      <c r="D1224" s="169" t="s">
        <v>2799</v>
      </c>
      <c r="E1224" s="173"/>
    </row>
    <row r="1225" spans="1:5">
      <c r="A1225" s="1" t="s">
        <v>2656</v>
      </c>
      <c r="B1225" s="43">
        <v>704144</v>
      </c>
      <c r="C1225" s="168" t="s">
        <v>71</v>
      </c>
      <c r="D1225" s="169" t="s">
        <v>2800</v>
      </c>
      <c r="E1225" s="173"/>
    </row>
    <row r="1226" spans="1:5">
      <c r="A1226" s="1" t="s">
        <v>2656</v>
      </c>
      <c r="B1226" s="43">
        <v>2828008</v>
      </c>
      <c r="C1226" s="168" t="s">
        <v>71</v>
      </c>
      <c r="D1226" s="169" t="s">
        <v>1812</v>
      </c>
      <c r="E1226" s="173"/>
    </row>
    <row r="1227" spans="1:5">
      <c r="A1227" s="1" t="s">
        <v>2656</v>
      </c>
      <c r="B1227" s="43">
        <v>2878184</v>
      </c>
      <c r="C1227" s="168" t="s">
        <v>71</v>
      </c>
      <c r="D1227" s="169" t="s">
        <v>2554</v>
      </c>
      <c r="E1227" s="173"/>
    </row>
    <row r="1228" spans="1:5">
      <c r="A1228" s="1" t="s">
        <v>2656</v>
      </c>
      <c r="B1228" s="43">
        <v>2881150</v>
      </c>
      <c r="C1228" s="168" t="s">
        <v>71</v>
      </c>
      <c r="D1228" s="169" t="s">
        <v>2801</v>
      </c>
      <c r="E1228" s="173"/>
    </row>
    <row r="1229" spans="1:5">
      <c r="A1229" s="1" t="s">
        <v>2656</v>
      </c>
      <c r="B1229" s="43">
        <v>2886048</v>
      </c>
      <c r="C1229" s="168" t="s">
        <v>71</v>
      </c>
      <c r="D1229" s="169" t="s">
        <v>2802</v>
      </c>
      <c r="E1229" s="173"/>
    </row>
    <row r="1230" spans="1:5">
      <c r="A1230" s="1" t="s">
        <v>2656</v>
      </c>
      <c r="B1230" s="43">
        <v>2880138</v>
      </c>
      <c r="C1230" s="168" t="s">
        <v>71</v>
      </c>
      <c r="D1230" s="175" t="s">
        <v>2803</v>
      </c>
      <c r="E1230" s="173"/>
    </row>
    <row r="1231" spans="1:5">
      <c r="A1231" s="1" t="s">
        <v>2656</v>
      </c>
      <c r="B1231" s="43">
        <v>751330</v>
      </c>
      <c r="C1231" s="168" t="s">
        <v>90</v>
      </c>
      <c r="D1231" s="169" t="s">
        <v>2804</v>
      </c>
      <c r="E1231" s="173"/>
    </row>
    <row r="1232" spans="1:5">
      <c r="A1232" s="1" t="s">
        <v>2656</v>
      </c>
      <c r="B1232" s="43">
        <v>2822405</v>
      </c>
      <c r="C1232" s="168" t="s">
        <v>90</v>
      </c>
      <c r="D1232" s="169" t="s">
        <v>2805</v>
      </c>
      <c r="E1232" s="173"/>
    </row>
    <row r="1233" spans="1:5">
      <c r="A1233" s="1" t="s">
        <v>2656</v>
      </c>
      <c r="B1233" s="43">
        <v>2834021</v>
      </c>
      <c r="C1233" s="168" t="s">
        <v>90</v>
      </c>
      <c r="D1233" s="169" t="s">
        <v>2806</v>
      </c>
      <c r="E1233" s="173"/>
    </row>
    <row r="1234" spans="1:5">
      <c r="A1234" s="1" t="s">
        <v>2656</v>
      </c>
      <c r="B1234" s="43">
        <v>3008694</v>
      </c>
      <c r="C1234" s="168" t="s">
        <v>1593</v>
      </c>
      <c r="D1234" s="169" t="s">
        <v>2366</v>
      </c>
      <c r="E1234" s="173"/>
    </row>
    <row r="1235" spans="1:5">
      <c r="A1235" s="1" t="s">
        <v>2656</v>
      </c>
      <c r="B1235" s="43">
        <v>3157769</v>
      </c>
      <c r="C1235" s="168" t="s">
        <v>1593</v>
      </c>
      <c r="D1235" s="169" t="s">
        <v>2807</v>
      </c>
      <c r="E1235" s="173"/>
    </row>
    <row r="1236" spans="1:5">
      <c r="A1236" s="1" t="s">
        <v>2656</v>
      </c>
      <c r="B1236" s="43">
        <v>3107157</v>
      </c>
      <c r="C1236" s="168" t="s">
        <v>1593</v>
      </c>
      <c r="D1236" s="169" t="s">
        <v>2808</v>
      </c>
      <c r="E1236" s="173"/>
    </row>
    <row r="1237" spans="1:5">
      <c r="A1237" s="1" t="s">
        <v>2656</v>
      </c>
      <c r="B1237" s="43">
        <v>2891048</v>
      </c>
      <c r="C1237" s="168" t="s">
        <v>1593</v>
      </c>
      <c r="D1237" s="169" t="s">
        <v>2809</v>
      </c>
      <c r="E1237" s="173"/>
    </row>
    <row r="1238" spans="1:5">
      <c r="A1238" s="1" t="s">
        <v>2656</v>
      </c>
      <c r="B1238" s="43">
        <v>2884096</v>
      </c>
      <c r="C1238" s="168" t="s">
        <v>1593</v>
      </c>
      <c r="D1238" s="169" t="s">
        <v>2810</v>
      </c>
      <c r="E1238" s="173"/>
    </row>
    <row r="1239" spans="1:5">
      <c r="A1239" s="1" t="s">
        <v>2656</v>
      </c>
      <c r="B1239" s="43">
        <v>2898245</v>
      </c>
      <c r="C1239" s="168" t="s">
        <v>1593</v>
      </c>
      <c r="D1239" s="169" t="s">
        <v>2811</v>
      </c>
      <c r="E1239" s="173"/>
    </row>
    <row r="1240" spans="1:5">
      <c r="A1240" s="1" t="s">
        <v>13</v>
      </c>
      <c r="B1240" s="165" t="s">
        <v>68</v>
      </c>
      <c r="C1240" s="166" t="s">
        <v>62</v>
      </c>
      <c r="D1240" s="176" t="s">
        <v>69</v>
      </c>
      <c r="E1240" s="166" t="s">
        <v>70</v>
      </c>
    </row>
    <row r="1241" spans="1:5">
      <c r="A1241" s="1" t="s">
        <v>13</v>
      </c>
      <c r="B1241" s="43">
        <v>608995</v>
      </c>
      <c r="C1241" s="168" t="s">
        <v>1593</v>
      </c>
      <c r="D1241" s="169" t="s">
        <v>2161</v>
      </c>
      <c r="E1241" s="171" t="s">
        <v>2812</v>
      </c>
    </row>
    <row r="1242" spans="1:5">
      <c r="A1242" s="1" t="s">
        <v>13</v>
      </c>
      <c r="B1242" s="43">
        <v>585010</v>
      </c>
      <c r="C1242" s="168" t="s">
        <v>773</v>
      </c>
      <c r="D1242" s="169" t="s">
        <v>2159</v>
      </c>
      <c r="E1242" s="170" t="s">
        <v>2813</v>
      </c>
    </row>
    <row r="1243" spans="1:5">
      <c r="A1243" s="1" t="s">
        <v>13</v>
      </c>
      <c r="B1243" s="43">
        <v>5015872</v>
      </c>
      <c r="C1243" s="168" t="s">
        <v>71</v>
      </c>
      <c r="D1243" s="169" t="s">
        <v>2165</v>
      </c>
      <c r="E1243" s="170" t="s">
        <v>2814</v>
      </c>
    </row>
    <row r="1244" spans="1:5">
      <c r="A1244" s="1" t="s">
        <v>13</v>
      </c>
      <c r="B1244" s="43">
        <v>431182</v>
      </c>
      <c r="C1244" s="168" t="s">
        <v>71</v>
      </c>
      <c r="D1244" s="169" t="s">
        <v>2815</v>
      </c>
      <c r="E1244" s="171" t="s">
        <v>2816</v>
      </c>
    </row>
    <row r="1245" spans="1:5">
      <c r="A1245" s="1" t="s">
        <v>13</v>
      </c>
      <c r="B1245" s="43">
        <v>689761</v>
      </c>
      <c r="C1245" s="168" t="s">
        <v>90</v>
      </c>
      <c r="D1245" s="169" t="s">
        <v>1681</v>
      </c>
      <c r="E1245" s="171" t="s">
        <v>2817</v>
      </c>
    </row>
    <row r="1246" spans="1:5">
      <c r="A1246" s="1" t="s">
        <v>13</v>
      </c>
      <c r="B1246" s="43">
        <v>758617</v>
      </c>
      <c r="C1246" s="168" t="s">
        <v>90</v>
      </c>
      <c r="D1246" s="169" t="s">
        <v>13</v>
      </c>
      <c r="E1246" s="170" t="s">
        <v>1686</v>
      </c>
    </row>
    <row r="1247" spans="1:5">
      <c r="A1247" s="1" t="s">
        <v>13</v>
      </c>
      <c r="B1247" s="43">
        <v>772319</v>
      </c>
      <c r="C1247" s="168" t="s">
        <v>90</v>
      </c>
      <c r="D1247" s="169" t="s">
        <v>2680</v>
      </c>
      <c r="E1247" s="170" t="s">
        <v>2818</v>
      </c>
    </row>
    <row r="1248" spans="1:5">
      <c r="A1248" s="1" t="s">
        <v>13</v>
      </c>
      <c r="B1248" s="43">
        <v>2806194</v>
      </c>
      <c r="C1248" s="168" t="s">
        <v>90</v>
      </c>
      <c r="D1248" s="169" t="s">
        <v>2819</v>
      </c>
      <c r="E1248" s="173"/>
    </row>
    <row r="1249" spans="1:5">
      <c r="A1249" s="1" t="s">
        <v>13</v>
      </c>
      <c r="B1249" s="43">
        <v>2811712</v>
      </c>
      <c r="C1249" s="168" t="s">
        <v>1593</v>
      </c>
      <c r="D1249" s="169" t="s">
        <v>1687</v>
      </c>
      <c r="E1249" s="173"/>
    </row>
    <row r="1250" spans="1:5">
      <c r="A1250" s="1" t="s">
        <v>13</v>
      </c>
      <c r="B1250" s="43">
        <v>2241053</v>
      </c>
      <c r="C1250" s="168" t="s">
        <v>1593</v>
      </c>
      <c r="D1250" s="169" t="s">
        <v>2820</v>
      </c>
      <c r="E1250" s="173"/>
    </row>
    <row r="1251" spans="1:5">
      <c r="A1251" s="1" t="s">
        <v>13</v>
      </c>
      <c r="B1251" s="43">
        <v>602861</v>
      </c>
      <c r="C1251" s="168" t="s">
        <v>90</v>
      </c>
      <c r="D1251" s="169" t="s">
        <v>2821</v>
      </c>
      <c r="E1251" s="173"/>
    </row>
    <row r="1252" spans="1:5">
      <c r="A1252" s="1" t="s">
        <v>13</v>
      </c>
      <c r="B1252" s="43">
        <v>2833088</v>
      </c>
      <c r="C1252" s="168" t="s">
        <v>90</v>
      </c>
      <c r="D1252" s="169" t="s">
        <v>2822</v>
      </c>
      <c r="E1252" s="173"/>
    </row>
    <row r="1253" spans="1:5">
      <c r="A1253" s="1" t="s">
        <v>13</v>
      </c>
      <c r="B1253" s="43">
        <v>2881200</v>
      </c>
      <c r="C1253" s="168" t="s">
        <v>90</v>
      </c>
      <c r="D1253" s="169" t="s">
        <v>1691</v>
      </c>
      <c r="E1253" s="173"/>
    </row>
    <row r="1254" spans="1:5">
      <c r="A1254" s="1" t="s">
        <v>13</v>
      </c>
      <c r="B1254" s="43">
        <v>2426605</v>
      </c>
      <c r="C1254" s="168" t="s">
        <v>83</v>
      </c>
      <c r="D1254" s="169" t="s">
        <v>2823</v>
      </c>
      <c r="E1254" s="173"/>
    </row>
    <row r="1255" spans="1:5">
      <c r="A1255" s="1" t="s">
        <v>13</v>
      </c>
      <c r="B1255" s="43">
        <v>2819181</v>
      </c>
      <c r="C1255" s="168" t="s">
        <v>83</v>
      </c>
      <c r="D1255" s="169" t="s">
        <v>2824</v>
      </c>
      <c r="E1255" s="173"/>
    </row>
    <row r="1256" spans="1:5">
      <c r="A1256" s="1" t="s">
        <v>13</v>
      </c>
      <c r="B1256" s="43">
        <v>370569</v>
      </c>
      <c r="C1256" s="168" t="s">
        <v>1593</v>
      </c>
      <c r="D1256" s="169" t="s">
        <v>1885</v>
      </c>
      <c r="E1256" s="173"/>
    </row>
    <row r="1257" spans="1:5">
      <c r="A1257" s="1" t="s">
        <v>13</v>
      </c>
      <c r="B1257" s="43">
        <v>2242045</v>
      </c>
      <c r="C1257" s="168" t="s">
        <v>1593</v>
      </c>
      <c r="D1257" s="169" t="s">
        <v>2825</v>
      </c>
      <c r="E1257" s="173"/>
    </row>
    <row r="1258" spans="1:5">
      <c r="A1258" s="1" t="s">
        <v>13</v>
      </c>
      <c r="B1258" s="43">
        <v>2813223</v>
      </c>
      <c r="C1258" s="168" t="s">
        <v>1593</v>
      </c>
      <c r="D1258" s="169" t="s">
        <v>2171</v>
      </c>
      <c r="E1258" s="173"/>
    </row>
    <row r="1259" spans="1:5">
      <c r="A1259" s="1" t="s">
        <v>13</v>
      </c>
      <c r="B1259" s="43">
        <v>2300012</v>
      </c>
      <c r="C1259" s="168" t="s">
        <v>1593</v>
      </c>
      <c r="D1259" s="169" t="s">
        <v>2826</v>
      </c>
      <c r="E1259" s="173"/>
    </row>
    <row r="1260" spans="1:5">
      <c r="A1260" s="1" t="s">
        <v>13</v>
      </c>
      <c r="B1260" s="43">
        <v>5010646</v>
      </c>
      <c r="C1260" s="168" t="s">
        <v>71</v>
      </c>
      <c r="D1260" s="169" t="s">
        <v>1596</v>
      </c>
      <c r="E1260" s="173"/>
    </row>
    <row r="1261" spans="1:5">
      <c r="A1261" s="1" t="s">
        <v>13</v>
      </c>
      <c r="B1261" s="43">
        <v>520220</v>
      </c>
      <c r="C1261" s="168" t="s">
        <v>71</v>
      </c>
      <c r="D1261" s="169" t="s">
        <v>1692</v>
      </c>
      <c r="E1261" s="173"/>
    </row>
    <row r="1262" spans="1:5">
      <c r="A1262" s="1" t="s">
        <v>13</v>
      </c>
      <c r="B1262" s="43">
        <v>580624</v>
      </c>
      <c r="C1262" s="168" t="s">
        <v>71</v>
      </c>
      <c r="D1262" s="169" t="s">
        <v>1693</v>
      </c>
      <c r="E1262" s="173"/>
    </row>
    <row r="1263" spans="1:5">
      <c r="A1263" s="1" t="s">
        <v>13</v>
      </c>
      <c r="B1263" s="43">
        <v>2813183</v>
      </c>
      <c r="C1263" s="168" t="s">
        <v>71</v>
      </c>
      <c r="D1263" s="169" t="s">
        <v>2827</v>
      </c>
      <c r="E1263" s="173"/>
    </row>
    <row r="1264" spans="1:5">
      <c r="A1264" s="1" t="s">
        <v>13</v>
      </c>
      <c r="B1264" s="43">
        <v>2876230</v>
      </c>
      <c r="C1264" s="168" t="s">
        <v>71</v>
      </c>
      <c r="D1264" s="169" t="s">
        <v>2828</v>
      </c>
      <c r="E1264" s="173"/>
    </row>
    <row r="1265" spans="1:5">
      <c r="A1265" s="1" t="s">
        <v>13</v>
      </c>
      <c r="B1265" s="43">
        <v>2869096</v>
      </c>
      <c r="C1265" s="168" t="s">
        <v>71</v>
      </c>
      <c r="D1265" s="169" t="s">
        <v>2829</v>
      </c>
      <c r="E1265" s="173"/>
    </row>
    <row r="1266" spans="1:5">
      <c r="A1266" s="1" t="s">
        <v>13</v>
      </c>
      <c r="B1266" s="43">
        <v>5015873</v>
      </c>
      <c r="C1266" s="168" t="s">
        <v>71</v>
      </c>
      <c r="D1266" s="169" t="s">
        <v>2217</v>
      </c>
      <c r="E1266" s="173"/>
    </row>
    <row r="1267" spans="1:5">
      <c r="A1267" s="1" t="s">
        <v>13</v>
      </c>
      <c r="B1267" s="43">
        <v>2890106</v>
      </c>
      <c r="C1267" s="168" t="s">
        <v>71</v>
      </c>
      <c r="D1267" s="169" t="s">
        <v>2830</v>
      </c>
      <c r="E1267" s="173"/>
    </row>
    <row r="1268" spans="1:5">
      <c r="A1268" s="1" t="s">
        <v>13</v>
      </c>
      <c r="B1268" s="43">
        <v>2825404</v>
      </c>
      <c r="C1268" s="168" t="s">
        <v>83</v>
      </c>
      <c r="D1268" s="169" t="s">
        <v>2831</v>
      </c>
      <c r="E1268" s="173"/>
    </row>
    <row r="1269" spans="1:5">
      <c r="A1269" s="1" t="s">
        <v>13</v>
      </c>
      <c r="B1269" s="43">
        <v>2875338</v>
      </c>
      <c r="C1269" s="168" t="s">
        <v>83</v>
      </c>
      <c r="D1269" s="169" t="s">
        <v>2832</v>
      </c>
      <c r="E1269" s="173"/>
    </row>
    <row r="1270" spans="1:5">
      <c r="A1270" s="1" t="s">
        <v>13</v>
      </c>
      <c r="B1270" s="43">
        <v>2835013</v>
      </c>
      <c r="C1270" s="168" t="s">
        <v>773</v>
      </c>
      <c r="D1270" s="169" t="s">
        <v>2833</v>
      </c>
      <c r="E1270" s="173"/>
    </row>
    <row r="1271" spans="1:5">
      <c r="A1271" s="1" t="s">
        <v>13</v>
      </c>
      <c r="B1271" s="43">
        <v>2809355</v>
      </c>
      <c r="C1271" s="168" t="s">
        <v>1593</v>
      </c>
      <c r="D1271" s="169" t="s">
        <v>1901</v>
      </c>
      <c r="E1271" s="173"/>
    </row>
    <row r="1272" spans="1:5">
      <c r="A1272" s="1" t="s">
        <v>13</v>
      </c>
      <c r="B1272" s="43">
        <v>5022327</v>
      </c>
      <c r="C1272" s="168" t="s">
        <v>71</v>
      </c>
      <c r="D1272" s="169" t="s">
        <v>1699</v>
      </c>
      <c r="E1272" s="173"/>
    </row>
    <row r="1273" spans="1:5">
      <c r="A1273" s="1" t="s">
        <v>13</v>
      </c>
      <c r="B1273" s="43">
        <v>711796</v>
      </c>
      <c r="C1273" s="168" t="s">
        <v>71</v>
      </c>
      <c r="D1273" s="169" t="s">
        <v>1697</v>
      </c>
      <c r="E1273" s="173"/>
    </row>
    <row r="1274" spans="1:5">
      <c r="A1274" s="1" t="s">
        <v>13</v>
      </c>
      <c r="B1274" s="43">
        <v>2875378</v>
      </c>
      <c r="C1274" s="168" t="s">
        <v>71</v>
      </c>
      <c r="D1274" s="169" t="s">
        <v>2834</v>
      </c>
      <c r="E1274" s="173"/>
    </row>
    <row r="1275" spans="1:5">
      <c r="A1275" s="1" t="s">
        <v>13</v>
      </c>
      <c r="B1275" s="43">
        <v>2894117</v>
      </c>
      <c r="C1275" s="168" t="s">
        <v>71</v>
      </c>
      <c r="D1275" s="169" t="s">
        <v>2835</v>
      </c>
      <c r="E1275" s="173"/>
    </row>
    <row r="1276" spans="1:5">
      <c r="A1276" s="1" t="s">
        <v>13</v>
      </c>
      <c r="B1276" s="43">
        <v>718628</v>
      </c>
      <c r="C1276" s="168" t="s">
        <v>1593</v>
      </c>
      <c r="D1276" s="169" t="s">
        <v>1727</v>
      </c>
      <c r="E1276" s="173"/>
    </row>
    <row r="1277" spans="1:5">
      <c r="A1277" s="1" t="s">
        <v>13</v>
      </c>
      <c r="B1277" s="43">
        <v>661751</v>
      </c>
      <c r="C1277" s="168" t="s">
        <v>83</v>
      </c>
      <c r="D1277" s="169" t="s">
        <v>1602</v>
      </c>
      <c r="E1277" s="173"/>
    </row>
    <row r="1278" spans="1:5">
      <c r="A1278" s="1" t="s">
        <v>13</v>
      </c>
      <c r="B1278" s="43">
        <v>5015862</v>
      </c>
      <c r="C1278" s="168" t="s">
        <v>1593</v>
      </c>
      <c r="D1278" s="169" t="s">
        <v>1728</v>
      </c>
      <c r="E1278" s="173"/>
    </row>
    <row r="1279" spans="1:5">
      <c r="A1279" s="1" t="s">
        <v>13</v>
      </c>
      <c r="B1279" s="43">
        <v>616671</v>
      </c>
      <c r="C1279" s="168" t="s">
        <v>1593</v>
      </c>
      <c r="D1279" s="169" t="s">
        <v>2836</v>
      </c>
      <c r="E1279" s="173"/>
    </row>
    <row r="1280" spans="1:5">
      <c r="A1280" s="1" t="s">
        <v>13</v>
      </c>
      <c r="B1280" s="43">
        <v>599597</v>
      </c>
      <c r="C1280" s="168" t="s">
        <v>83</v>
      </c>
      <c r="D1280" s="169" t="s">
        <v>1606</v>
      </c>
      <c r="E1280" s="173"/>
    </row>
    <row r="1281" spans="1:5">
      <c r="A1281" s="1" t="s">
        <v>13</v>
      </c>
      <c r="B1281" s="43">
        <v>2807858</v>
      </c>
      <c r="C1281" s="168" t="s">
        <v>83</v>
      </c>
      <c r="D1281" s="169" t="s">
        <v>1915</v>
      </c>
      <c r="E1281" s="173"/>
    </row>
    <row r="1282" spans="1:5">
      <c r="A1282" s="1" t="s">
        <v>13</v>
      </c>
      <c r="B1282" s="43">
        <v>2810166</v>
      </c>
      <c r="C1282" s="168" t="s">
        <v>83</v>
      </c>
      <c r="D1282" s="169" t="s">
        <v>2837</v>
      </c>
      <c r="E1282" s="173"/>
    </row>
    <row r="1283" spans="1:5">
      <c r="A1283" s="1" t="s">
        <v>13</v>
      </c>
      <c r="B1283" s="43">
        <v>2825405</v>
      </c>
      <c r="C1283" s="168" t="s">
        <v>83</v>
      </c>
      <c r="D1283" s="169" t="s">
        <v>2838</v>
      </c>
      <c r="E1283" s="173"/>
    </row>
    <row r="1284" spans="1:5">
      <c r="A1284" s="1" t="s">
        <v>13</v>
      </c>
      <c r="B1284" s="43">
        <v>2848273</v>
      </c>
      <c r="C1284" s="168" t="s">
        <v>83</v>
      </c>
      <c r="D1284" s="169" t="s">
        <v>2839</v>
      </c>
      <c r="E1284" s="173"/>
    </row>
    <row r="1285" spans="1:5">
      <c r="A1285" s="1" t="s">
        <v>13</v>
      </c>
      <c r="B1285" s="43">
        <v>2893008</v>
      </c>
      <c r="C1285" s="168" t="s">
        <v>83</v>
      </c>
      <c r="D1285" s="169" t="s">
        <v>2619</v>
      </c>
      <c r="E1285" s="173"/>
    </row>
    <row r="1286" spans="1:5">
      <c r="A1286" s="1" t="s">
        <v>13</v>
      </c>
      <c r="B1286" s="43">
        <v>2877283</v>
      </c>
      <c r="C1286" s="168" t="s">
        <v>83</v>
      </c>
      <c r="D1286" s="169" t="s">
        <v>2840</v>
      </c>
      <c r="E1286" s="173"/>
    </row>
    <row r="1287" spans="1:5">
      <c r="A1287" s="1" t="s">
        <v>13</v>
      </c>
      <c r="B1287" s="43">
        <v>2893113</v>
      </c>
      <c r="C1287" s="168" t="s">
        <v>83</v>
      </c>
      <c r="D1287" s="169" t="s">
        <v>2841</v>
      </c>
      <c r="E1287" s="173"/>
    </row>
    <row r="1288" spans="1:5">
      <c r="A1288" s="1" t="s">
        <v>13</v>
      </c>
      <c r="B1288" s="43">
        <v>2422661</v>
      </c>
      <c r="C1288" s="168" t="s">
        <v>83</v>
      </c>
      <c r="D1288" s="169" t="s">
        <v>2842</v>
      </c>
      <c r="E1288" s="173"/>
    </row>
    <row r="1289" spans="1:5">
      <c r="A1289" s="1" t="s">
        <v>13</v>
      </c>
      <c r="B1289" s="43">
        <v>3013036</v>
      </c>
      <c r="C1289" s="168" t="s">
        <v>83</v>
      </c>
      <c r="D1289" s="169" t="s">
        <v>2843</v>
      </c>
      <c r="E1289" s="173"/>
    </row>
    <row r="1290" spans="1:5">
      <c r="A1290" s="1" t="s">
        <v>13</v>
      </c>
      <c r="B1290" s="43">
        <v>3008555</v>
      </c>
      <c r="C1290" s="168" t="s">
        <v>83</v>
      </c>
      <c r="D1290" s="169" t="s">
        <v>2844</v>
      </c>
      <c r="E1290" s="173"/>
    </row>
    <row r="1291" spans="1:5">
      <c r="A1291" s="1" t="s">
        <v>13</v>
      </c>
      <c r="B1291" s="43">
        <v>2815033</v>
      </c>
      <c r="C1291" s="168" t="s">
        <v>773</v>
      </c>
      <c r="D1291" s="169" t="s">
        <v>1723</v>
      </c>
      <c r="E1291" s="173"/>
    </row>
    <row r="1292" spans="1:5">
      <c r="A1292" s="1" t="s">
        <v>13</v>
      </c>
      <c r="B1292" s="43">
        <v>2808538</v>
      </c>
      <c r="C1292" s="168" t="s">
        <v>773</v>
      </c>
      <c r="D1292" s="169" t="s">
        <v>2845</v>
      </c>
      <c r="E1292" s="173"/>
    </row>
    <row r="1293" spans="1:5">
      <c r="A1293" s="1" t="s">
        <v>13</v>
      </c>
      <c r="B1293" s="43">
        <v>659269</v>
      </c>
      <c r="C1293" s="168" t="s">
        <v>773</v>
      </c>
      <c r="D1293" s="169" t="s">
        <v>1724</v>
      </c>
      <c r="E1293" s="173"/>
    </row>
    <row r="1294" spans="1:5">
      <c r="A1294" s="1" t="s">
        <v>13</v>
      </c>
      <c r="B1294" s="43">
        <v>699331</v>
      </c>
      <c r="C1294" s="168" t="s">
        <v>71</v>
      </c>
      <c r="D1294" s="169" t="s">
        <v>1736</v>
      </c>
      <c r="E1294" s="173"/>
    </row>
    <row r="1295" spans="1:5">
      <c r="A1295" s="1" t="s">
        <v>13</v>
      </c>
      <c r="B1295" s="43">
        <v>718627</v>
      </c>
      <c r="C1295" s="168" t="s">
        <v>71</v>
      </c>
      <c r="D1295" s="169" t="s">
        <v>1806</v>
      </c>
      <c r="E1295" s="173"/>
    </row>
    <row r="1296" spans="1:5">
      <c r="A1296" s="1" t="s">
        <v>13</v>
      </c>
      <c r="B1296" s="43">
        <v>2814066</v>
      </c>
      <c r="C1296" s="168" t="s">
        <v>71</v>
      </c>
      <c r="D1296" s="169" t="s">
        <v>1949</v>
      </c>
      <c r="E1296" s="173"/>
    </row>
    <row r="1297" spans="1:5">
      <c r="A1297" s="1" t="s">
        <v>13</v>
      </c>
      <c r="B1297" s="43">
        <v>2823041</v>
      </c>
      <c r="C1297" s="168" t="s">
        <v>71</v>
      </c>
      <c r="D1297" s="169" t="s">
        <v>2846</v>
      </c>
      <c r="E1297" s="173"/>
    </row>
    <row r="1298" spans="1:5">
      <c r="A1298" s="1" t="s">
        <v>13</v>
      </c>
      <c r="B1298" s="43">
        <v>2836015</v>
      </c>
      <c r="C1298" s="168" t="s">
        <v>71</v>
      </c>
      <c r="D1298" s="169" t="s">
        <v>2847</v>
      </c>
      <c r="E1298" s="173"/>
    </row>
    <row r="1299" spans="1:5">
      <c r="A1299" s="1" t="s">
        <v>13</v>
      </c>
      <c r="B1299" s="43">
        <v>2838146</v>
      </c>
      <c r="C1299" s="168" t="s">
        <v>71</v>
      </c>
      <c r="D1299" s="169" t="s">
        <v>2848</v>
      </c>
      <c r="E1299" s="173"/>
    </row>
    <row r="1300" spans="1:5">
      <c r="A1300" s="1" t="s">
        <v>13</v>
      </c>
      <c r="B1300" s="43">
        <v>2825691</v>
      </c>
      <c r="C1300" s="168" t="s">
        <v>1593</v>
      </c>
      <c r="D1300" s="169" t="s">
        <v>2849</v>
      </c>
      <c r="E1300" s="173"/>
    </row>
    <row r="1301" spans="1:5">
      <c r="A1301" s="1" t="s">
        <v>13</v>
      </c>
      <c r="B1301" s="43">
        <v>2825458</v>
      </c>
      <c r="C1301" s="168" t="s">
        <v>1593</v>
      </c>
      <c r="D1301" s="169" t="s">
        <v>2850</v>
      </c>
      <c r="E1301" s="173"/>
    </row>
    <row r="1302" spans="1:5">
      <c r="A1302" s="1" t="s">
        <v>13</v>
      </c>
      <c r="B1302" s="43">
        <v>2839077</v>
      </c>
      <c r="C1302" s="168" t="s">
        <v>1593</v>
      </c>
      <c r="D1302" s="169" t="s">
        <v>2851</v>
      </c>
      <c r="E1302" s="173"/>
    </row>
    <row r="1303" spans="1:5">
      <c r="A1303" s="1" t="s">
        <v>13</v>
      </c>
      <c r="B1303" s="43">
        <v>2864030</v>
      </c>
      <c r="C1303" s="168" t="s">
        <v>1593</v>
      </c>
      <c r="D1303" s="169" t="s">
        <v>2852</v>
      </c>
      <c r="E1303" s="173"/>
    </row>
    <row r="1304" spans="1:5">
      <c r="A1304" s="1" t="s">
        <v>13</v>
      </c>
      <c r="B1304" s="43">
        <v>2833004</v>
      </c>
      <c r="C1304" s="168" t="s">
        <v>1593</v>
      </c>
      <c r="D1304" s="169" t="s">
        <v>1670</v>
      </c>
      <c r="E1304" s="173"/>
    </row>
    <row r="1305" spans="1:5">
      <c r="A1305" s="1" t="s">
        <v>13</v>
      </c>
      <c r="B1305" s="43">
        <v>2825721</v>
      </c>
      <c r="C1305" s="168" t="s">
        <v>1593</v>
      </c>
      <c r="D1305" s="169" t="s">
        <v>2853</v>
      </c>
      <c r="E1305" s="173"/>
    </row>
    <row r="1306" spans="1:5">
      <c r="A1306" s="1" t="s">
        <v>13</v>
      </c>
      <c r="B1306" s="43">
        <v>2877280</v>
      </c>
      <c r="C1306" s="168" t="s">
        <v>1593</v>
      </c>
      <c r="D1306" s="169" t="s">
        <v>2854</v>
      </c>
      <c r="E1306" s="173"/>
    </row>
    <row r="1307" spans="1:5">
      <c r="A1307" s="1" t="s">
        <v>13</v>
      </c>
      <c r="B1307" s="43">
        <v>2876246</v>
      </c>
      <c r="C1307" s="168" t="s">
        <v>1593</v>
      </c>
      <c r="D1307" s="169" t="s">
        <v>2855</v>
      </c>
      <c r="E1307" s="173"/>
    </row>
    <row r="1308" spans="1:5">
      <c r="A1308" s="1" t="s">
        <v>13</v>
      </c>
      <c r="B1308" s="43">
        <v>2883104</v>
      </c>
      <c r="C1308" s="168" t="s">
        <v>1593</v>
      </c>
      <c r="D1308" s="169" t="s">
        <v>2856</v>
      </c>
      <c r="E1308" s="173"/>
    </row>
    <row r="1309" spans="1:5">
      <c r="A1309" s="1" t="s">
        <v>14</v>
      </c>
      <c r="B1309" s="165" t="s">
        <v>68</v>
      </c>
      <c r="C1309" s="166" t="s">
        <v>62</v>
      </c>
      <c r="D1309" s="176" t="s">
        <v>69</v>
      </c>
      <c r="E1309" s="166" t="s">
        <v>70</v>
      </c>
    </row>
    <row r="1310" spans="1:5">
      <c r="A1310" s="1" t="s">
        <v>14</v>
      </c>
      <c r="B1310" s="43">
        <v>2846000</v>
      </c>
      <c r="C1310" s="168" t="s">
        <v>83</v>
      </c>
      <c r="D1310" s="169" t="s">
        <v>2857</v>
      </c>
      <c r="E1310" s="172" t="s">
        <v>1740</v>
      </c>
    </row>
    <row r="1311" spans="1:5">
      <c r="A1311" s="1" t="s">
        <v>14</v>
      </c>
      <c r="B1311" s="43">
        <v>645018</v>
      </c>
      <c r="C1311" s="168" t="s">
        <v>1593</v>
      </c>
      <c r="D1311" s="169" t="s">
        <v>2858</v>
      </c>
      <c r="E1311" s="170" t="s">
        <v>1818</v>
      </c>
    </row>
    <row r="1312" spans="1:5">
      <c r="A1312" s="1" t="s">
        <v>14</v>
      </c>
      <c r="B1312" s="43">
        <v>689764</v>
      </c>
      <c r="C1312" s="168" t="s">
        <v>1593</v>
      </c>
      <c r="D1312" s="169" t="s">
        <v>2859</v>
      </c>
      <c r="E1312" s="170" t="s">
        <v>2860</v>
      </c>
    </row>
    <row r="1313" spans="1:5">
      <c r="A1313" s="1" t="s">
        <v>14</v>
      </c>
      <c r="B1313" s="43">
        <v>585010</v>
      </c>
      <c r="C1313" s="168" t="s">
        <v>773</v>
      </c>
      <c r="D1313" s="169" t="s">
        <v>2159</v>
      </c>
      <c r="E1313" s="170" t="s">
        <v>2812</v>
      </c>
    </row>
    <row r="1314" spans="1:5">
      <c r="A1314" s="1" t="s">
        <v>14</v>
      </c>
      <c r="B1314" s="43">
        <v>645013</v>
      </c>
      <c r="C1314" s="168" t="s">
        <v>71</v>
      </c>
      <c r="D1314" s="169" t="s">
        <v>1815</v>
      </c>
      <c r="E1314" s="170" t="s">
        <v>2861</v>
      </c>
    </row>
    <row r="1315" spans="1:5">
      <c r="A1315" s="1" t="s">
        <v>14</v>
      </c>
      <c r="B1315" s="43">
        <v>797722</v>
      </c>
      <c r="C1315" s="168" t="s">
        <v>71</v>
      </c>
      <c r="D1315" s="169" t="s">
        <v>1744</v>
      </c>
      <c r="E1315" s="170" t="s">
        <v>2862</v>
      </c>
    </row>
    <row r="1316" spans="1:5">
      <c r="A1316" s="1" t="s">
        <v>14</v>
      </c>
      <c r="B1316" s="43">
        <v>5015886</v>
      </c>
      <c r="C1316" s="168" t="s">
        <v>71</v>
      </c>
      <c r="D1316" s="169" t="s">
        <v>1583</v>
      </c>
      <c r="E1316" s="170" t="s">
        <v>2863</v>
      </c>
    </row>
    <row r="1317" spans="1:5">
      <c r="A1317" s="1" t="s">
        <v>14</v>
      </c>
      <c r="B1317" s="43">
        <v>2817144</v>
      </c>
      <c r="C1317" s="168" t="s">
        <v>71</v>
      </c>
      <c r="D1317" s="169" t="s">
        <v>2864</v>
      </c>
      <c r="E1317" s="170" t="s">
        <v>2865</v>
      </c>
    </row>
    <row r="1318" spans="1:5">
      <c r="A1318" s="1" t="s">
        <v>14</v>
      </c>
      <c r="B1318" s="43">
        <v>2806194</v>
      </c>
      <c r="C1318" s="168" t="s">
        <v>90</v>
      </c>
      <c r="D1318" s="169" t="s">
        <v>2819</v>
      </c>
      <c r="E1318" s="170" t="s">
        <v>1592</v>
      </c>
    </row>
    <row r="1319" spans="1:5">
      <c r="A1319" s="1" t="s">
        <v>14</v>
      </c>
      <c r="B1319" s="43">
        <v>758617</v>
      </c>
      <c r="C1319" s="168" t="s">
        <v>90</v>
      </c>
      <c r="D1319" s="169" t="s">
        <v>13</v>
      </c>
      <c r="E1319" s="173"/>
    </row>
    <row r="1320" spans="1:5">
      <c r="A1320" s="1" t="s">
        <v>14</v>
      </c>
      <c r="B1320" s="43">
        <v>2822090</v>
      </c>
      <c r="C1320" s="168" t="s">
        <v>90</v>
      </c>
      <c r="D1320" s="169" t="s">
        <v>2866</v>
      </c>
      <c r="E1320" s="173"/>
    </row>
    <row r="1321" spans="1:5">
      <c r="A1321" s="1" t="s">
        <v>14</v>
      </c>
      <c r="B1321" s="43">
        <v>772318</v>
      </c>
      <c r="C1321" s="168" t="s">
        <v>90</v>
      </c>
      <c r="D1321" s="169" t="s">
        <v>2867</v>
      </c>
      <c r="E1321" s="173"/>
    </row>
    <row r="1322" spans="1:5">
      <c r="A1322" s="1" t="s">
        <v>14</v>
      </c>
      <c r="B1322" s="43">
        <v>693107</v>
      </c>
      <c r="C1322" s="168" t="s">
        <v>90</v>
      </c>
      <c r="D1322" s="169" t="s">
        <v>1878</v>
      </c>
      <c r="E1322" s="173"/>
    </row>
    <row r="1323" spans="1:5">
      <c r="A1323" s="1" t="s">
        <v>14</v>
      </c>
      <c r="B1323" s="43">
        <v>2241053</v>
      </c>
      <c r="C1323" s="168" t="s">
        <v>1593</v>
      </c>
      <c r="D1323" s="169" t="s">
        <v>2820</v>
      </c>
      <c r="E1323" s="173"/>
    </row>
    <row r="1324" spans="1:5">
      <c r="A1324" s="1" t="s">
        <v>14</v>
      </c>
      <c r="B1324" s="43">
        <v>2425608</v>
      </c>
      <c r="C1324" s="168" t="s">
        <v>83</v>
      </c>
      <c r="D1324" s="169" t="s">
        <v>2868</v>
      </c>
      <c r="E1324" s="173"/>
    </row>
    <row r="1325" spans="1:5">
      <c r="A1325" s="1" t="s">
        <v>14</v>
      </c>
      <c r="B1325" s="43">
        <v>518758</v>
      </c>
      <c r="C1325" s="168" t="s">
        <v>773</v>
      </c>
      <c r="D1325" s="169" t="s">
        <v>2869</v>
      </c>
      <c r="E1325" s="173"/>
    </row>
    <row r="1326" spans="1:5">
      <c r="A1326" s="1" t="s">
        <v>14</v>
      </c>
      <c r="B1326" s="43">
        <v>777382</v>
      </c>
      <c r="C1326" s="168" t="s">
        <v>773</v>
      </c>
      <c r="D1326" s="169" t="s">
        <v>2870</v>
      </c>
      <c r="E1326" s="173"/>
    </row>
    <row r="1327" spans="1:5">
      <c r="A1327" s="1" t="s">
        <v>14</v>
      </c>
      <c r="B1327" s="43">
        <v>565363</v>
      </c>
      <c r="C1327" s="168" t="s">
        <v>71</v>
      </c>
      <c r="D1327" s="169" t="s">
        <v>2871</v>
      </c>
      <c r="E1327" s="173"/>
    </row>
    <row r="1328" spans="1:5">
      <c r="A1328" s="1" t="s">
        <v>14</v>
      </c>
      <c r="B1328" s="43">
        <v>592486</v>
      </c>
      <c r="C1328" s="168" t="s">
        <v>71</v>
      </c>
      <c r="D1328" s="169" t="s">
        <v>2584</v>
      </c>
      <c r="E1328" s="173"/>
    </row>
    <row r="1329" spans="1:5">
      <c r="A1329" s="1" t="s">
        <v>14</v>
      </c>
      <c r="B1329" s="43">
        <v>625916</v>
      </c>
      <c r="C1329" s="168" t="s">
        <v>71</v>
      </c>
      <c r="D1329" s="169" t="s">
        <v>2580</v>
      </c>
      <c r="E1329" s="173"/>
    </row>
    <row r="1330" spans="1:5">
      <c r="A1330" s="1" t="s">
        <v>14</v>
      </c>
      <c r="B1330" s="43">
        <v>756286</v>
      </c>
      <c r="C1330" s="168" t="s">
        <v>71</v>
      </c>
      <c r="D1330" s="169" t="s">
        <v>2582</v>
      </c>
      <c r="E1330" s="173"/>
    </row>
    <row r="1331" spans="1:5">
      <c r="A1331" s="1" t="s">
        <v>14</v>
      </c>
      <c r="B1331" s="43">
        <v>5022331</v>
      </c>
      <c r="C1331" s="168" t="s">
        <v>71</v>
      </c>
      <c r="D1331" s="169" t="s">
        <v>2872</v>
      </c>
      <c r="E1331" s="173"/>
    </row>
    <row r="1332" spans="1:5">
      <c r="A1332" s="1" t="s">
        <v>14</v>
      </c>
      <c r="B1332" s="43">
        <v>160362</v>
      </c>
      <c r="C1332" s="168" t="s">
        <v>71</v>
      </c>
      <c r="D1332" s="169" t="s">
        <v>2873</v>
      </c>
      <c r="E1332" s="173"/>
    </row>
    <row r="1333" spans="1:5">
      <c r="A1333" s="1" t="s">
        <v>14</v>
      </c>
      <c r="B1333" s="43">
        <v>373992</v>
      </c>
      <c r="C1333" s="168" t="s">
        <v>71</v>
      </c>
      <c r="D1333" s="169" t="s">
        <v>2216</v>
      </c>
      <c r="E1333" s="173"/>
    </row>
    <row r="1334" spans="1:5">
      <c r="A1334" s="1" t="s">
        <v>14</v>
      </c>
      <c r="B1334" s="43">
        <v>167027</v>
      </c>
      <c r="C1334" s="168" t="s">
        <v>71</v>
      </c>
      <c r="D1334" s="169" t="s">
        <v>2874</v>
      </c>
      <c r="E1334" s="173"/>
    </row>
    <row r="1335" spans="1:5">
      <c r="A1335" s="1" t="s">
        <v>14</v>
      </c>
      <c r="B1335" s="43">
        <v>2806197</v>
      </c>
      <c r="C1335" s="168" t="s">
        <v>71</v>
      </c>
      <c r="D1335" s="169" t="s">
        <v>2875</v>
      </c>
      <c r="E1335" s="173"/>
    </row>
    <row r="1336" spans="1:5">
      <c r="A1336" s="1" t="s">
        <v>14</v>
      </c>
      <c r="B1336" s="43">
        <v>5010646</v>
      </c>
      <c r="C1336" s="168" t="s">
        <v>71</v>
      </c>
      <c r="D1336" s="169" t="s">
        <v>1596</v>
      </c>
      <c r="E1336" s="173"/>
    </row>
    <row r="1337" spans="1:5">
      <c r="A1337" s="1" t="s">
        <v>14</v>
      </c>
      <c r="B1337" s="43">
        <v>756285</v>
      </c>
      <c r="C1337" s="168" t="s">
        <v>71</v>
      </c>
      <c r="D1337" s="169" t="s">
        <v>2876</v>
      </c>
      <c r="E1337" s="173"/>
    </row>
    <row r="1338" spans="1:5">
      <c r="A1338" s="1" t="s">
        <v>14</v>
      </c>
      <c r="B1338" s="43">
        <v>2811020</v>
      </c>
      <c r="C1338" s="168" t="s">
        <v>71</v>
      </c>
      <c r="D1338" s="169" t="s">
        <v>1888</v>
      </c>
      <c r="E1338" s="173"/>
    </row>
    <row r="1339" spans="1:5">
      <c r="A1339" s="1" t="s">
        <v>14</v>
      </c>
      <c r="B1339" s="43">
        <v>2813183</v>
      </c>
      <c r="C1339" s="168" t="s">
        <v>71</v>
      </c>
      <c r="D1339" s="169" t="s">
        <v>2827</v>
      </c>
      <c r="E1339" s="173"/>
    </row>
    <row r="1340" spans="1:5">
      <c r="A1340" s="1" t="s">
        <v>14</v>
      </c>
      <c r="B1340" s="43">
        <v>2875304</v>
      </c>
      <c r="C1340" s="168" t="s">
        <v>71</v>
      </c>
      <c r="D1340" s="169" t="s">
        <v>1897</v>
      </c>
      <c r="E1340" s="173"/>
    </row>
    <row r="1341" spans="1:5">
      <c r="A1341" s="1" t="s">
        <v>14</v>
      </c>
      <c r="B1341" s="43">
        <v>2878066</v>
      </c>
      <c r="C1341" s="168" t="s">
        <v>90</v>
      </c>
      <c r="D1341" s="169" t="s">
        <v>2877</v>
      </c>
      <c r="E1341" s="173"/>
    </row>
    <row r="1342" spans="1:5">
      <c r="A1342" s="1" t="s">
        <v>14</v>
      </c>
      <c r="B1342" s="43">
        <v>685023</v>
      </c>
      <c r="C1342" s="168" t="s">
        <v>90</v>
      </c>
      <c r="D1342" s="169" t="s">
        <v>2878</v>
      </c>
      <c r="E1342" s="173"/>
    </row>
    <row r="1343" spans="1:5">
      <c r="A1343" s="1" t="s">
        <v>14</v>
      </c>
      <c r="B1343" s="43">
        <v>2809356</v>
      </c>
      <c r="C1343" s="168" t="s">
        <v>90</v>
      </c>
      <c r="D1343" s="169" t="s">
        <v>2879</v>
      </c>
      <c r="E1343" s="173"/>
    </row>
    <row r="1344" spans="1:5">
      <c r="A1344" s="1" t="s">
        <v>14</v>
      </c>
      <c r="B1344" s="43">
        <v>2833088</v>
      </c>
      <c r="C1344" s="168" t="s">
        <v>90</v>
      </c>
      <c r="D1344" s="169" t="s">
        <v>2822</v>
      </c>
      <c r="E1344" s="173"/>
    </row>
    <row r="1345" spans="1:5">
      <c r="A1345" s="1" t="s">
        <v>14</v>
      </c>
      <c r="B1345" s="43">
        <v>696872</v>
      </c>
      <c r="C1345" s="168" t="s">
        <v>1593</v>
      </c>
      <c r="D1345" s="169" t="s">
        <v>2880</v>
      </c>
      <c r="E1345" s="173"/>
    </row>
    <row r="1346" spans="1:5">
      <c r="A1346" s="1" t="s">
        <v>14</v>
      </c>
      <c r="B1346" s="43">
        <v>651185</v>
      </c>
      <c r="C1346" s="168" t="s">
        <v>83</v>
      </c>
      <c r="D1346" s="169" t="s">
        <v>2881</v>
      </c>
      <c r="E1346" s="173"/>
    </row>
    <row r="1347" spans="1:5">
      <c r="A1347" s="1" t="s">
        <v>14</v>
      </c>
      <c r="B1347" s="43">
        <v>802830</v>
      </c>
      <c r="C1347" s="168" t="s">
        <v>83</v>
      </c>
      <c r="D1347" s="169" t="s">
        <v>2882</v>
      </c>
      <c r="E1347" s="173"/>
    </row>
    <row r="1348" spans="1:5">
      <c r="A1348" s="1" t="s">
        <v>14</v>
      </c>
      <c r="B1348" s="43">
        <v>721910</v>
      </c>
      <c r="C1348" s="168" t="s">
        <v>83</v>
      </c>
      <c r="D1348" s="169" t="s">
        <v>2883</v>
      </c>
      <c r="E1348" s="173"/>
    </row>
    <row r="1349" spans="1:5">
      <c r="A1349" s="1" t="s">
        <v>14</v>
      </c>
      <c r="B1349" s="43">
        <v>2813255</v>
      </c>
      <c r="C1349" s="168" t="s">
        <v>83</v>
      </c>
      <c r="D1349" s="169" t="s">
        <v>2884</v>
      </c>
      <c r="E1349" s="173"/>
    </row>
    <row r="1350" spans="1:5">
      <c r="A1350" s="1" t="s">
        <v>14</v>
      </c>
      <c r="B1350" s="43">
        <v>2820052</v>
      </c>
      <c r="C1350" s="168" t="s">
        <v>83</v>
      </c>
      <c r="D1350" s="175" t="s">
        <v>2885</v>
      </c>
      <c r="E1350" s="173"/>
    </row>
    <row r="1351" spans="1:5">
      <c r="A1351" s="1" t="s">
        <v>14</v>
      </c>
      <c r="B1351" s="43">
        <v>2823296</v>
      </c>
      <c r="C1351" s="168" t="s">
        <v>83</v>
      </c>
      <c r="D1351" s="169" t="s">
        <v>2886</v>
      </c>
      <c r="E1351" s="173"/>
    </row>
    <row r="1352" spans="1:5">
      <c r="A1352" s="1" t="s">
        <v>14</v>
      </c>
      <c r="B1352" s="43">
        <v>2823297</v>
      </c>
      <c r="C1352" s="168" t="s">
        <v>83</v>
      </c>
      <c r="D1352" s="169" t="s">
        <v>1755</v>
      </c>
      <c r="E1352" s="173"/>
    </row>
    <row r="1353" spans="1:5">
      <c r="A1353" s="1" t="s">
        <v>14</v>
      </c>
      <c r="B1353" s="43">
        <v>2822456</v>
      </c>
      <c r="C1353" s="168" t="s">
        <v>83</v>
      </c>
      <c r="D1353" s="169" t="s">
        <v>2887</v>
      </c>
      <c r="E1353" s="173"/>
    </row>
    <row r="1354" spans="1:5">
      <c r="A1354" s="1" t="s">
        <v>14</v>
      </c>
      <c r="B1354" s="43">
        <v>2974166</v>
      </c>
      <c r="C1354" s="168" t="s">
        <v>83</v>
      </c>
      <c r="D1354" s="169" t="s">
        <v>2888</v>
      </c>
      <c r="E1354" s="173"/>
    </row>
    <row r="1355" spans="1:5">
      <c r="A1355" s="1" t="s">
        <v>14</v>
      </c>
      <c r="B1355" s="43">
        <v>2877031</v>
      </c>
      <c r="C1355" s="168" t="s">
        <v>83</v>
      </c>
      <c r="D1355" s="169" t="s">
        <v>2889</v>
      </c>
      <c r="E1355" s="173"/>
    </row>
    <row r="1356" spans="1:5">
      <c r="A1356" s="1" t="s">
        <v>14</v>
      </c>
      <c r="B1356" s="43">
        <v>2428601</v>
      </c>
      <c r="C1356" s="168" t="s">
        <v>83</v>
      </c>
      <c r="D1356" s="169" t="s">
        <v>1899</v>
      </c>
      <c r="E1356" s="173"/>
    </row>
    <row r="1357" spans="1:5">
      <c r="A1357" s="1" t="s">
        <v>14</v>
      </c>
      <c r="B1357" s="43">
        <v>5034158</v>
      </c>
      <c r="C1357" s="168" t="s">
        <v>773</v>
      </c>
      <c r="D1357" s="169" t="s">
        <v>2890</v>
      </c>
      <c r="E1357" s="173"/>
    </row>
    <row r="1358" spans="1:5">
      <c r="A1358" s="1" t="s">
        <v>14</v>
      </c>
      <c r="B1358" s="43">
        <v>797724</v>
      </c>
      <c r="C1358" s="168" t="s">
        <v>773</v>
      </c>
      <c r="D1358" s="169" t="s">
        <v>2891</v>
      </c>
      <c r="E1358" s="173"/>
    </row>
    <row r="1359" spans="1:5">
      <c r="A1359" s="1" t="s">
        <v>14</v>
      </c>
      <c r="B1359" s="43">
        <v>628686</v>
      </c>
      <c r="C1359" s="168" t="s">
        <v>773</v>
      </c>
      <c r="D1359" s="169" t="s">
        <v>2701</v>
      </c>
      <c r="E1359" s="173"/>
    </row>
    <row r="1360" spans="1:5">
      <c r="A1360" s="1" t="s">
        <v>14</v>
      </c>
      <c r="B1360" s="43">
        <v>756283</v>
      </c>
      <c r="C1360" s="168" t="s">
        <v>773</v>
      </c>
      <c r="D1360" s="169" t="s">
        <v>2892</v>
      </c>
      <c r="E1360" s="173"/>
    </row>
    <row r="1361" spans="1:5">
      <c r="A1361" s="1" t="s">
        <v>14</v>
      </c>
      <c r="B1361" s="43">
        <v>5022323</v>
      </c>
      <c r="C1361" s="168" t="s">
        <v>71</v>
      </c>
      <c r="D1361" s="169" t="s">
        <v>2893</v>
      </c>
      <c r="E1361" s="173"/>
    </row>
    <row r="1362" spans="1:5">
      <c r="A1362" s="1" t="s">
        <v>14</v>
      </c>
      <c r="B1362" s="43">
        <v>713373</v>
      </c>
      <c r="C1362" s="168" t="s">
        <v>71</v>
      </c>
      <c r="D1362" s="169" t="s">
        <v>2894</v>
      </c>
      <c r="E1362" s="173"/>
    </row>
    <row r="1363" spans="1:5">
      <c r="A1363" s="1" t="s">
        <v>14</v>
      </c>
      <c r="B1363" s="43">
        <v>672869</v>
      </c>
      <c r="C1363" s="168" t="s">
        <v>71</v>
      </c>
      <c r="D1363" s="169" t="s">
        <v>2895</v>
      </c>
      <c r="E1363" s="173"/>
    </row>
    <row r="1364" spans="1:5">
      <c r="A1364" s="1" t="s">
        <v>14</v>
      </c>
      <c r="B1364" s="43">
        <v>175129</v>
      </c>
      <c r="C1364" s="168" t="s">
        <v>71</v>
      </c>
      <c r="D1364" s="169" t="s">
        <v>1773</v>
      </c>
      <c r="E1364" s="173"/>
    </row>
    <row r="1365" spans="1:5">
      <c r="A1365" s="1" t="s">
        <v>14</v>
      </c>
      <c r="B1365" s="43">
        <v>647651</v>
      </c>
      <c r="C1365" s="168" t="s">
        <v>71</v>
      </c>
      <c r="D1365" s="169" t="s">
        <v>2896</v>
      </c>
      <c r="E1365" s="173"/>
    </row>
    <row r="1366" spans="1:5">
      <c r="A1366" s="1" t="s">
        <v>14</v>
      </c>
      <c r="B1366" s="43">
        <v>447322</v>
      </c>
      <c r="C1366" s="168" t="s">
        <v>71</v>
      </c>
      <c r="D1366" s="169" t="s">
        <v>2019</v>
      </c>
      <c r="E1366" s="173"/>
    </row>
    <row r="1367" spans="1:5">
      <c r="A1367" s="1" t="s">
        <v>14</v>
      </c>
      <c r="B1367" s="43">
        <v>808670</v>
      </c>
      <c r="C1367" s="168" t="s">
        <v>71</v>
      </c>
      <c r="D1367" s="169" t="s">
        <v>1990</v>
      </c>
      <c r="E1367" s="173"/>
    </row>
    <row r="1368" spans="1:5">
      <c r="A1368" s="1" t="s">
        <v>14</v>
      </c>
      <c r="B1368" s="43">
        <v>2802024</v>
      </c>
      <c r="C1368" s="168" t="s">
        <v>71</v>
      </c>
      <c r="D1368" s="169" t="s">
        <v>2897</v>
      </c>
      <c r="E1368" s="173"/>
    </row>
    <row r="1369" spans="1:5">
      <c r="A1369" s="1" t="s">
        <v>14</v>
      </c>
      <c r="B1369" s="43">
        <v>2812534</v>
      </c>
      <c r="C1369" s="168" t="s">
        <v>71</v>
      </c>
      <c r="D1369" s="169" t="s">
        <v>2898</v>
      </c>
      <c r="E1369" s="173"/>
    </row>
    <row r="1370" spans="1:5">
      <c r="A1370" s="1" t="s">
        <v>14</v>
      </c>
      <c r="B1370" s="43">
        <v>2228264</v>
      </c>
      <c r="C1370" s="168" t="s">
        <v>71</v>
      </c>
      <c r="D1370" s="169" t="s">
        <v>1778</v>
      </c>
      <c r="E1370" s="173"/>
    </row>
    <row r="1371" spans="1:5">
      <c r="A1371" s="1" t="s">
        <v>14</v>
      </c>
      <c r="B1371" s="43">
        <v>2893004</v>
      </c>
      <c r="C1371" s="168" t="s">
        <v>71</v>
      </c>
      <c r="D1371" s="169" t="s">
        <v>1907</v>
      </c>
      <c r="E1371" s="173"/>
    </row>
    <row r="1372" spans="1:5">
      <c r="A1372" s="1" t="s">
        <v>14</v>
      </c>
      <c r="B1372" s="43">
        <v>2888004</v>
      </c>
      <c r="C1372" s="168" t="s">
        <v>71</v>
      </c>
      <c r="D1372" s="169" t="s">
        <v>2175</v>
      </c>
      <c r="E1372" s="173"/>
    </row>
    <row r="1373" spans="1:5">
      <c r="A1373" s="1" t="s">
        <v>14</v>
      </c>
      <c r="B1373" s="43">
        <v>2822677</v>
      </c>
      <c r="C1373" s="168" t="s">
        <v>71</v>
      </c>
      <c r="D1373" s="169" t="s">
        <v>2899</v>
      </c>
      <c r="E1373" s="173"/>
    </row>
    <row r="1374" spans="1:5">
      <c r="A1374" s="1" t="s">
        <v>14</v>
      </c>
      <c r="B1374" s="43">
        <v>2421749</v>
      </c>
      <c r="C1374" s="168" t="s">
        <v>71</v>
      </c>
      <c r="D1374" s="169" t="s">
        <v>1700</v>
      </c>
      <c r="E1374" s="173"/>
    </row>
    <row r="1375" spans="1:5">
      <c r="A1375" s="1" t="s">
        <v>14</v>
      </c>
      <c r="B1375" s="43">
        <v>2427563</v>
      </c>
      <c r="C1375" s="168" t="s">
        <v>71</v>
      </c>
      <c r="D1375" s="169" t="s">
        <v>2900</v>
      </c>
      <c r="E1375" s="173"/>
    </row>
    <row r="1376" spans="1:5">
      <c r="A1376" s="1" t="s">
        <v>14</v>
      </c>
      <c r="B1376" s="43">
        <v>2809355</v>
      </c>
      <c r="C1376" s="168" t="s">
        <v>1593</v>
      </c>
      <c r="D1376" s="169" t="s">
        <v>1901</v>
      </c>
      <c r="E1376" s="173"/>
    </row>
    <row r="1377" spans="1:5">
      <c r="A1377" s="1" t="s">
        <v>14</v>
      </c>
      <c r="B1377" s="43">
        <v>564548</v>
      </c>
      <c r="C1377" s="168" t="s">
        <v>1593</v>
      </c>
      <c r="D1377" s="169" t="s">
        <v>1987</v>
      </c>
      <c r="E1377" s="173"/>
    </row>
    <row r="1378" spans="1:5">
      <c r="A1378" s="1" t="s">
        <v>14</v>
      </c>
      <c r="B1378" s="43">
        <v>2243043</v>
      </c>
      <c r="C1378" s="168" t="s">
        <v>1593</v>
      </c>
      <c r="D1378" s="169" t="s">
        <v>2901</v>
      </c>
      <c r="E1378" s="173"/>
    </row>
    <row r="1379" spans="1:5">
      <c r="A1379" s="1" t="s">
        <v>14</v>
      </c>
      <c r="B1379" s="43">
        <v>2832011</v>
      </c>
      <c r="C1379" s="168" t="s">
        <v>1593</v>
      </c>
      <c r="D1379" s="169" t="s">
        <v>2603</v>
      </c>
      <c r="E1379" s="173"/>
    </row>
    <row r="1380" spans="1:5">
      <c r="A1380" s="1" t="s">
        <v>14</v>
      </c>
      <c r="B1380" s="43">
        <v>2820012</v>
      </c>
      <c r="C1380" s="168" t="s">
        <v>1593</v>
      </c>
      <c r="D1380" s="169" t="s">
        <v>2902</v>
      </c>
      <c r="E1380" s="173"/>
    </row>
    <row r="1381" spans="1:5">
      <c r="A1381" s="1" t="s">
        <v>14</v>
      </c>
      <c r="B1381" s="43">
        <v>2834033</v>
      </c>
      <c r="C1381" s="168" t="s">
        <v>1593</v>
      </c>
      <c r="D1381" s="169" t="s">
        <v>2903</v>
      </c>
      <c r="E1381" s="173"/>
    </row>
    <row r="1382" spans="1:5">
      <c r="A1382" s="1" t="s">
        <v>14</v>
      </c>
      <c r="B1382" s="43">
        <v>2877028</v>
      </c>
      <c r="C1382" s="168" t="s">
        <v>1593</v>
      </c>
      <c r="D1382" s="169" t="s">
        <v>1769</v>
      </c>
      <c r="E1382" s="173"/>
    </row>
    <row r="1383" spans="1:5">
      <c r="A1383" s="1" t="s">
        <v>14</v>
      </c>
      <c r="B1383" s="43">
        <v>2242044</v>
      </c>
      <c r="C1383" s="168" t="s">
        <v>1593</v>
      </c>
      <c r="D1383" s="169" t="s">
        <v>2904</v>
      </c>
      <c r="E1383" s="173"/>
    </row>
    <row r="1384" spans="1:5">
      <c r="A1384" s="1" t="s">
        <v>14</v>
      </c>
      <c r="B1384" s="43">
        <v>2892082</v>
      </c>
      <c r="C1384" s="168" t="s">
        <v>1593</v>
      </c>
      <c r="D1384" s="169" t="s">
        <v>2905</v>
      </c>
      <c r="E1384" s="173"/>
    </row>
    <row r="1385" spans="1:5">
      <c r="A1385" s="1" t="s">
        <v>14</v>
      </c>
      <c r="B1385" s="43">
        <v>2974329</v>
      </c>
      <c r="C1385" s="168" t="s">
        <v>83</v>
      </c>
      <c r="D1385" s="169" t="s">
        <v>1927</v>
      </c>
      <c r="E1385" s="173"/>
    </row>
    <row r="1386" spans="1:5">
      <c r="A1386" s="1" t="s">
        <v>14</v>
      </c>
      <c r="B1386" s="43">
        <v>585228</v>
      </c>
      <c r="C1386" s="168" t="s">
        <v>83</v>
      </c>
      <c r="D1386" s="169" t="s">
        <v>2906</v>
      </c>
      <c r="E1386" s="173"/>
    </row>
    <row r="1387" spans="1:5">
      <c r="A1387" s="1" t="s">
        <v>14</v>
      </c>
      <c r="B1387" s="43">
        <v>2805907</v>
      </c>
      <c r="C1387" s="168" t="s">
        <v>83</v>
      </c>
      <c r="D1387" s="169" t="s">
        <v>1914</v>
      </c>
      <c r="E1387" s="173"/>
    </row>
    <row r="1388" spans="1:5">
      <c r="A1388" s="1" t="s">
        <v>14</v>
      </c>
      <c r="B1388" s="43">
        <v>2807859</v>
      </c>
      <c r="C1388" s="168" t="s">
        <v>83</v>
      </c>
      <c r="D1388" s="169" t="s">
        <v>1916</v>
      </c>
      <c r="E1388" s="173"/>
    </row>
    <row r="1389" spans="1:5">
      <c r="A1389" s="1" t="s">
        <v>14</v>
      </c>
      <c r="B1389" s="43">
        <v>2297061</v>
      </c>
      <c r="C1389" s="168" t="s">
        <v>83</v>
      </c>
      <c r="D1389" s="169" t="s">
        <v>2907</v>
      </c>
      <c r="E1389" s="173"/>
    </row>
    <row r="1390" spans="1:5">
      <c r="A1390" s="1" t="s">
        <v>14</v>
      </c>
      <c r="B1390" s="43">
        <v>2974167</v>
      </c>
      <c r="C1390" s="168" t="s">
        <v>83</v>
      </c>
      <c r="D1390" s="169" t="s">
        <v>1786</v>
      </c>
      <c r="E1390" s="173"/>
    </row>
    <row r="1391" spans="1:5">
      <c r="A1391" s="1" t="s">
        <v>14</v>
      </c>
      <c r="B1391" s="43">
        <v>2864190</v>
      </c>
      <c r="C1391" s="168" t="s">
        <v>83</v>
      </c>
      <c r="D1391" s="169" t="s">
        <v>2908</v>
      </c>
      <c r="E1391" s="173"/>
    </row>
    <row r="1392" spans="1:5">
      <c r="A1392" s="1" t="s">
        <v>14</v>
      </c>
      <c r="B1392" s="43">
        <v>2825698</v>
      </c>
      <c r="C1392" s="168" t="s">
        <v>83</v>
      </c>
      <c r="D1392" s="169" t="s">
        <v>2909</v>
      </c>
      <c r="E1392" s="173"/>
    </row>
    <row r="1393" spans="1:5">
      <c r="A1393" s="1" t="s">
        <v>14</v>
      </c>
      <c r="B1393" s="43">
        <v>2834000</v>
      </c>
      <c r="C1393" s="168" t="s">
        <v>83</v>
      </c>
      <c r="D1393" s="169" t="s">
        <v>2910</v>
      </c>
      <c r="E1393" s="173"/>
    </row>
    <row r="1394" spans="1:5">
      <c r="A1394" s="1" t="s">
        <v>14</v>
      </c>
      <c r="B1394" s="43">
        <v>2883010</v>
      </c>
      <c r="C1394" s="168" t="s">
        <v>83</v>
      </c>
      <c r="D1394" s="169" t="s">
        <v>2911</v>
      </c>
      <c r="E1394" s="173"/>
    </row>
    <row r="1395" spans="1:5">
      <c r="A1395" s="1" t="s">
        <v>14</v>
      </c>
      <c r="B1395" s="43">
        <v>2884171</v>
      </c>
      <c r="C1395" s="168" t="s">
        <v>83</v>
      </c>
      <c r="D1395" s="169" t="s">
        <v>1795</v>
      </c>
      <c r="E1395" s="173"/>
    </row>
    <row r="1396" spans="1:5">
      <c r="A1396" s="1" t="s">
        <v>14</v>
      </c>
      <c r="B1396" s="43">
        <v>3006176</v>
      </c>
      <c r="C1396" s="168" t="s">
        <v>83</v>
      </c>
      <c r="D1396" s="169" t="s">
        <v>2912</v>
      </c>
      <c r="E1396" s="173"/>
    </row>
    <row r="1397" spans="1:5">
      <c r="A1397" s="1" t="s">
        <v>14</v>
      </c>
      <c r="B1397" s="43">
        <v>3010103</v>
      </c>
      <c r="C1397" s="168" t="s">
        <v>83</v>
      </c>
      <c r="D1397" s="169" t="s">
        <v>2913</v>
      </c>
      <c r="E1397" s="173"/>
    </row>
    <row r="1398" spans="1:5">
      <c r="A1398" s="1" t="s">
        <v>14</v>
      </c>
      <c r="B1398" s="43">
        <v>3007731</v>
      </c>
      <c r="C1398" s="168" t="s">
        <v>83</v>
      </c>
      <c r="D1398" s="169" t="s">
        <v>2914</v>
      </c>
      <c r="E1398" s="173"/>
    </row>
    <row r="1399" spans="1:5">
      <c r="A1399" s="1" t="s">
        <v>14</v>
      </c>
      <c r="B1399" s="43">
        <v>2865087</v>
      </c>
      <c r="C1399" s="168" t="s">
        <v>71</v>
      </c>
      <c r="D1399" s="169" t="s">
        <v>2915</v>
      </c>
      <c r="E1399" s="173"/>
    </row>
    <row r="1400" spans="1:5">
      <c r="A1400" s="1" t="s">
        <v>14</v>
      </c>
      <c r="B1400" s="43">
        <v>2822683</v>
      </c>
      <c r="C1400" s="168" t="s">
        <v>71</v>
      </c>
      <c r="D1400" s="169" t="s">
        <v>1679</v>
      </c>
      <c r="E1400" s="173"/>
    </row>
    <row r="1401" spans="1:5">
      <c r="A1401" s="1" t="s">
        <v>14</v>
      </c>
      <c r="B1401" s="43">
        <v>2824379</v>
      </c>
      <c r="C1401" s="168" t="s">
        <v>71</v>
      </c>
      <c r="D1401" s="169" t="s">
        <v>2916</v>
      </c>
      <c r="E1401" s="173"/>
    </row>
    <row r="1402" spans="1:5">
      <c r="A1402" s="1" t="s">
        <v>14</v>
      </c>
      <c r="B1402" s="43">
        <v>2836021</v>
      </c>
      <c r="C1402" s="168" t="s">
        <v>71</v>
      </c>
      <c r="D1402" s="169" t="s">
        <v>2917</v>
      </c>
      <c r="E1402" s="173"/>
    </row>
    <row r="1403" spans="1:5">
      <c r="A1403" s="1" t="s">
        <v>14</v>
      </c>
      <c r="B1403" s="43">
        <v>2822422</v>
      </c>
      <c r="C1403" s="168" t="s">
        <v>71</v>
      </c>
      <c r="D1403" s="169" t="s">
        <v>2918</v>
      </c>
      <c r="E1403" s="173"/>
    </row>
    <row r="1404" spans="1:5">
      <c r="A1404" s="1" t="s">
        <v>14</v>
      </c>
      <c r="B1404" s="43">
        <v>483102</v>
      </c>
      <c r="C1404" s="168" t="s">
        <v>71</v>
      </c>
      <c r="D1404" s="169" t="s">
        <v>2919</v>
      </c>
      <c r="E1404" s="173"/>
    </row>
    <row r="1405" spans="1:5">
      <c r="A1405" s="1" t="s">
        <v>14</v>
      </c>
      <c r="B1405" s="43">
        <v>2814066</v>
      </c>
      <c r="C1405" s="168" t="s">
        <v>71</v>
      </c>
      <c r="D1405" s="169" t="s">
        <v>1949</v>
      </c>
      <c r="E1405" s="173"/>
    </row>
    <row r="1406" spans="1:5">
      <c r="A1406" s="1" t="s">
        <v>14</v>
      </c>
      <c r="B1406" s="43">
        <v>553472</v>
      </c>
      <c r="C1406" s="168" t="s">
        <v>71</v>
      </c>
      <c r="D1406" s="169" t="s">
        <v>2920</v>
      </c>
      <c r="E1406" s="173"/>
    </row>
    <row r="1407" spans="1:5">
      <c r="A1407" s="1" t="s">
        <v>14</v>
      </c>
      <c r="B1407" s="43">
        <v>387349</v>
      </c>
      <c r="C1407" s="168" t="s">
        <v>1593</v>
      </c>
      <c r="D1407" s="169" t="s">
        <v>1658</v>
      </c>
      <c r="E1407" s="173"/>
    </row>
    <row r="1408" spans="1:5">
      <c r="A1408" s="1" t="s">
        <v>14</v>
      </c>
      <c r="B1408" s="43">
        <v>2825124</v>
      </c>
      <c r="C1408" s="168" t="s">
        <v>71</v>
      </c>
      <c r="D1408" s="169" t="s">
        <v>1807</v>
      </c>
      <c r="E1408" s="173"/>
    </row>
    <row r="1409" spans="1:5">
      <c r="A1409" s="1" t="s">
        <v>14</v>
      </c>
      <c r="B1409" s="43">
        <v>2825499</v>
      </c>
      <c r="C1409" s="168" t="s">
        <v>71</v>
      </c>
      <c r="D1409" s="169" t="s">
        <v>2921</v>
      </c>
      <c r="E1409" s="173"/>
    </row>
    <row r="1410" spans="1:5">
      <c r="A1410" s="1" t="s">
        <v>14</v>
      </c>
      <c r="B1410" s="43">
        <v>2822642</v>
      </c>
      <c r="C1410" s="168" t="s">
        <v>71</v>
      </c>
      <c r="D1410" s="169" t="s">
        <v>2644</v>
      </c>
      <c r="E1410" s="173"/>
    </row>
    <row r="1411" spans="1:5">
      <c r="A1411" s="1" t="s">
        <v>14</v>
      </c>
      <c r="B1411" s="43">
        <v>2824374</v>
      </c>
      <c r="C1411" s="168" t="s">
        <v>71</v>
      </c>
      <c r="D1411" s="169" t="s">
        <v>2922</v>
      </c>
      <c r="E1411" s="173"/>
    </row>
    <row r="1412" spans="1:5">
      <c r="A1412" s="1" t="s">
        <v>14</v>
      </c>
      <c r="B1412" s="43">
        <v>2836015</v>
      </c>
      <c r="C1412" s="168" t="s">
        <v>71</v>
      </c>
      <c r="D1412" s="169" t="s">
        <v>2847</v>
      </c>
      <c r="E1412" s="173"/>
    </row>
    <row r="1413" spans="1:5">
      <c r="A1413" s="1" t="s">
        <v>14</v>
      </c>
      <c r="B1413" s="43">
        <v>2838146</v>
      </c>
      <c r="C1413" s="168" t="s">
        <v>71</v>
      </c>
      <c r="D1413" s="169" t="s">
        <v>2848</v>
      </c>
      <c r="E1413" s="173"/>
    </row>
    <row r="1414" spans="1:5">
      <c r="A1414" s="1" t="s">
        <v>14</v>
      </c>
      <c r="B1414" s="43">
        <v>2837260</v>
      </c>
      <c r="C1414" s="168" t="s">
        <v>71</v>
      </c>
      <c r="D1414" s="169" t="s">
        <v>2212</v>
      </c>
      <c r="E1414" s="173"/>
    </row>
    <row r="1415" spans="1:5">
      <c r="A1415" s="1" t="s">
        <v>14</v>
      </c>
      <c r="B1415" s="43">
        <v>2823579</v>
      </c>
      <c r="C1415" s="168" t="s">
        <v>90</v>
      </c>
      <c r="D1415" s="169" t="s">
        <v>1705</v>
      </c>
      <c r="E1415" s="173"/>
    </row>
    <row r="1416" spans="1:5">
      <c r="A1416" s="1" t="s">
        <v>14</v>
      </c>
      <c r="B1416" s="43">
        <v>2831004</v>
      </c>
      <c r="C1416" s="168" t="s">
        <v>90</v>
      </c>
      <c r="D1416" s="169" t="s">
        <v>2923</v>
      </c>
      <c r="E1416" s="173"/>
    </row>
    <row r="1417" spans="1:5">
      <c r="A1417" s="1" t="s">
        <v>14</v>
      </c>
      <c r="B1417" s="43">
        <v>512773</v>
      </c>
      <c r="C1417" s="168" t="s">
        <v>1593</v>
      </c>
      <c r="D1417" s="169" t="s">
        <v>2924</v>
      </c>
      <c r="E1417" s="173"/>
    </row>
    <row r="1418" spans="1:5">
      <c r="A1418" s="1" t="s">
        <v>14</v>
      </c>
      <c r="B1418" s="43">
        <v>458640</v>
      </c>
      <c r="C1418" s="168" t="s">
        <v>1593</v>
      </c>
      <c r="D1418" s="169" t="s">
        <v>1650</v>
      </c>
      <c r="E1418" s="173"/>
    </row>
    <row r="1419" spans="1:5">
      <c r="A1419" s="1" t="s">
        <v>14</v>
      </c>
      <c r="B1419" s="43">
        <v>2832037</v>
      </c>
      <c r="C1419" s="168" t="s">
        <v>1593</v>
      </c>
      <c r="D1419" s="169" t="s">
        <v>2006</v>
      </c>
      <c r="E1419" s="173"/>
    </row>
    <row r="1420" spans="1:5">
      <c r="A1420" s="1" t="s">
        <v>14</v>
      </c>
      <c r="B1420" s="43">
        <v>2839075</v>
      </c>
      <c r="C1420" s="168" t="s">
        <v>1593</v>
      </c>
      <c r="D1420" s="169" t="s">
        <v>2925</v>
      </c>
      <c r="E1420" s="173"/>
    </row>
    <row r="1421" spans="1:5">
      <c r="A1421" s="1" t="s">
        <v>14</v>
      </c>
      <c r="B1421" s="43">
        <v>2849031</v>
      </c>
      <c r="C1421" s="168" t="s">
        <v>1593</v>
      </c>
      <c r="D1421" s="169" t="s">
        <v>2926</v>
      </c>
      <c r="E1421" s="173"/>
    </row>
    <row r="1422" spans="1:5">
      <c r="A1422" s="1" t="s">
        <v>14</v>
      </c>
      <c r="B1422" s="43">
        <v>2837192</v>
      </c>
      <c r="C1422" s="168" t="s">
        <v>1593</v>
      </c>
      <c r="D1422" s="169" t="s">
        <v>2927</v>
      </c>
      <c r="E1422" s="173"/>
    </row>
    <row r="1423" spans="1:5">
      <c r="A1423" s="1" t="s">
        <v>14</v>
      </c>
      <c r="B1423" s="43">
        <v>2800408</v>
      </c>
      <c r="C1423" s="168" t="s">
        <v>1593</v>
      </c>
      <c r="D1423" s="169" t="s">
        <v>2928</v>
      </c>
      <c r="E1423" s="173"/>
    </row>
    <row r="1424" spans="1:5">
      <c r="A1424" s="1" t="s">
        <v>14</v>
      </c>
      <c r="B1424" s="43">
        <v>2841066</v>
      </c>
      <c r="C1424" s="168" t="s">
        <v>1593</v>
      </c>
      <c r="D1424" s="169" t="s">
        <v>1902</v>
      </c>
      <c r="E1424" s="173"/>
    </row>
    <row r="1425" spans="1:5">
      <c r="A1425" s="1" t="s">
        <v>14</v>
      </c>
      <c r="B1425" s="43">
        <v>2894042</v>
      </c>
      <c r="C1425" s="168" t="s">
        <v>1593</v>
      </c>
      <c r="D1425" s="169" t="s">
        <v>1869</v>
      </c>
      <c r="E1425" s="173"/>
    </row>
    <row r="1426" spans="1:5">
      <c r="A1426" s="1" t="s">
        <v>14</v>
      </c>
      <c r="B1426" s="43">
        <v>2883251</v>
      </c>
      <c r="C1426" s="168" t="s">
        <v>1593</v>
      </c>
      <c r="D1426" s="169" t="s">
        <v>2929</v>
      </c>
      <c r="E1426" s="173"/>
    </row>
    <row r="1427" spans="1:5">
      <c r="A1427" s="1" t="s">
        <v>15</v>
      </c>
      <c r="B1427" s="165" t="s">
        <v>68</v>
      </c>
      <c r="C1427" s="166" t="s">
        <v>62</v>
      </c>
      <c r="D1427" s="176" t="s">
        <v>69</v>
      </c>
      <c r="E1427" s="166" t="s">
        <v>70</v>
      </c>
    </row>
    <row r="1428" spans="1:5">
      <c r="A1428" s="1" t="s">
        <v>15</v>
      </c>
      <c r="B1428" s="43">
        <v>772318</v>
      </c>
      <c r="C1428" s="168" t="s">
        <v>90</v>
      </c>
      <c r="D1428" s="169" t="s">
        <v>2867</v>
      </c>
      <c r="E1428" s="170" t="s">
        <v>2930</v>
      </c>
    </row>
    <row r="1429" spans="1:5">
      <c r="A1429" s="1" t="s">
        <v>15</v>
      </c>
      <c r="B1429" s="43">
        <v>580628</v>
      </c>
      <c r="C1429" s="168" t="s">
        <v>83</v>
      </c>
      <c r="D1429" s="169" t="s">
        <v>1683</v>
      </c>
      <c r="E1429" s="170" t="s">
        <v>2931</v>
      </c>
    </row>
    <row r="1430" spans="1:5">
      <c r="A1430" s="1" t="s">
        <v>15</v>
      </c>
      <c r="B1430" s="43">
        <v>664805</v>
      </c>
      <c r="C1430" s="168" t="s">
        <v>71</v>
      </c>
      <c r="D1430" s="169" t="s">
        <v>1689</v>
      </c>
      <c r="E1430" s="170" t="s">
        <v>2932</v>
      </c>
    </row>
    <row r="1431" spans="1:5">
      <c r="A1431" s="1" t="s">
        <v>15</v>
      </c>
      <c r="B1431" s="43">
        <v>574670</v>
      </c>
      <c r="C1431" s="168" t="s">
        <v>90</v>
      </c>
      <c r="D1431" s="169" t="s">
        <v>1746</v>
      </c>
      <c r="E1431" s="172" t="s">
        <v>1883</v>
      </c>
    </row>
    <row r="1432" spans="1:5">
      <c r="A1432" s="1" t="s">
        <v>15</v>
      </c>
      <c r="B1432" s="43">
        <v>536419</v>
      </c>
      <c r="C1432" s="168" t="s">
        <v>83</v>
      </c>
      <c r="D1432" s="169" t="s">
        <v>22</v>
      </c>
      <c r="E1432" s="172" t="s">
        <v>2933</v>
      </c>
    </row>
    <row r="1433" spans="1:5">
      <c r="A1433" s="1" t="s">
        <v>15</v>
      </c>
      <c r="B1433" s="43">
        <v>2825161</v>
      </c>
      <c r="C1433" s="168" t="s">
        <v>773</v>
      </c>
      <c r="D1433" s="169" t="s">
        <v>1591</v>
      </c>
      <c r="E1433" s="170" t="s">
        <v>1745</v>
      </c>
    </row>
    <row r="1434" spans="1:5">
      <c r="A1434" s="1" t="s">
        <v>15</v>
      </c>
      <c r="B1434" s="43">
        <v>672234</v>
      </c>
      <c r="C1434" s="168" t="s">
        <v>71</v>
      </c>
      <c r="D1434" s="169" t="s">
        <v>2934</v>
      </c>
      <c r="E1434" s="170" t="s">
        <v>2935</v>
      </c>
    </row>
    <row r="1435" spans="1:5">
      <c r="A1435" s="1" t="s">
        <v>15</v>
      </c>
      <c r="B1435" s="43">
        <v>700792</v>
      </c>
      <c r="C1435" s="168" t="s">
        <v>71</v>
      </c>
      <c r="D1435" s="169" t="s">
        <v>1820</v>
      </c>
      <c r="E1435" s="170" t="s">
        <v>2936</v>
      </c>
    </row>
    <row r="1436" spans="1:5">
      <c r="A1436" s="1" t="s">
        <v>15</v>
      </c>
      <c r="B1436" s="43">
        <v>585227</v>
      </c>
      <c r="C1436" s="168" t="s">
        <v>71</v>
      </c>
      <c r="D1436" s="169" t="s">
        <v>1751</v>
      </c>
      <c r="E1436" s="170" t="s">
        <v>1747</v>
      </c>
    </row>
    <row r="1437" spans="1:5">
      <c r="A1437" s="1" t="s">
        <v>15</v>
      </c>
      <c r="B1437" s="43">
        <v>565364</v>
      </c>
      <c r="C1437" s="168" t="s">
        <v>71</v>
      </c>
      <c r="D1437" s="169" t="s">
        <v>1752</v>
      </c>
      <c r="E1437" s="170" t="s">
        <v>1688</v>
      </c>
    </row>
    <row r="1438" spans="1:5">
      <c r="A1438" s="1" t="s">
        <v>15</v>
      </c>
      <c r="B1438" s="43">
        <v>3107154</v>
      </c>
      <c r="C1438" s="168" t="s">
        <v>71</v>
      </c>
      <c r="D1438" s="169" t="s">
        <v>2937</v>
      </c>
      <c r="E1438" s="173"/>
    </row>
    <row r="1439" spans="1:5">
      <c r="A1439" s="1" t="s">
        <v>15</v>
      </c>
      <c r="B1439" s="43">
        <v>604211</v>
      </c>
      <c r="C1439" s="168" t="s">
        <v>83</v>
      </c>
      <c r="D1439" s="169" t="s">
        <v>2938</v>
      </c>
      <c r="E1439" s="173"/>
    </row>
    <row r="1440" spans="1:5">
      <c r="A1440" s="1" t="s">
        <v>15</v>
      </c>
      <c r="B1440" s="43">
        <v>604213</v>
      </c>
      <c r="C1440" s="168" t="s">
        <v>83</v>
      </c>
      <c r="D1440" s="169" t="s">
        <v>2939</v>
      </c>
      <c r="E1440" s="173"/>
    </row>
    <row r="1441" spans="1:5">
      <c r="A1441" s="1" t="s">
        <v>15</v>
      </c>
      <c r="B1441" s="43">
        <v>456353</v>
      </c>
      <c r="C1441" s="168" t="s">
        <v>83</v>
      </c>
      <c r="D1441" s="169" t="s">
        <v>1754</v>
      </c>
      <c r="E1441" s="173"/>
    </row>
    <row r="1442" spans="1:5">
      <c r="A1442" s="1" t="s">
        <v>15</v>
      </c>
      <c r="B1442" s="43">
        <v>2822314</v>
      </c>
      <c r="C1442" s="168" t="s">
        <v>83</v>
      </c>
      <c r="D1442" s="169" t="s">
        <v>1757</v>
      </c>
      <c r="E1442" s="173"/>
    </row>
    <row r="1443" spans="1:5">
      <c r="A1443" s="1" t="s">
        <v>15</v>
      </c>
      <c r="B1443" s="43">
        <v>2824174</v>
      </c>
      <c r="C1443" s="168" t="s">
        <v>83</v>
      </c>
      <c r="D1443" s="169" t="s">
        <v>2940</v>
      </c>
      <c r="E1443" s="173"/>
    </row>
    <row r="1444" spans="1:5">
      <c r="A1444" s="1" t="s">
        <v>15</v>
      </c>
      <c r="B1444" s="43">
        <v>2824202</v>
      </c>
      <c r="C1444" s="168" t="s">
        <v>83</v>
      </c>
      <c r="D1444" s="169" t="s">
        <v>2941</v>
      </c>
      <c r="E1444" s="173"/>
    </row>
    <row r="1445" spans="1:5">
      <c r="A1445" s="1" t="s">
        <v>15</v>
      </c>
      <c r="B1445" s="43">
        <v>2823296</v>
      </c>
      <c r="C1445" s="168" t="s">
        <v>83</v>
      </c>
      <c r="D1445" s="169" t="s">
        <v>2886</v>
      </c>
      <c r="E1445" s="173"/>
    </row>
    <row r="1446" spans="1:5">
      <c r="A1446" s="1" t="s">
        <v>15</v>
      </c>
      <c r="B1446" s="43">
        <v>2823297</v>
      </c>
      <c r="C1446" s="168" t="s">
        <v>83</v>
      </c>
      <c r="D1446" s="169" t="s">
        <v>1755</v>
      </c>
      <c r="E1446" s="173"/>
    </row>
    <row r="1447" spans="1:5">
      <c r="A1447" s="1" t="s">
        <v>15</v>
      </c>
      <c r="B1447" s="43">
        <v>2880017</v>
      </c>
      <c r="C1447" s="168" t="s">
        <v>83</v>
      </c>
      <c r="D1447" s="169" t="s">
        <v>2942</v>
      </c>
      <c r="E1447" s="173"/>
    </row>
    <row r="1448" spans="1:5">
      <c r="A1448" s="1" t="s">
        <v>15</v>
      </c>
      <c r="B1448" s="43">
        <v>3155788</v>
      </c>
      <c r="C1448" s="168" t="s">
        <v>83</v>
      </c>
      <c r="D1448" s="169" t="s">
        <v>2943</v>
      </c>
      <c r="E1448" s="173"/>
    </row>
    <row r="1449" spans="1:5">
      <c r="A1449" s="1" t="s">
        <v>15</v>
      </c>
      <c r="B1449" s="43">
        <v>2424735</v>
      </c>
      <c r="C1449" s="168" t="s">
        <v>83</v>
      </c>
      <c r="D1449" s="169" t="s">
        <v>1759</v>
      </c>
      <c r="E1449" s="173"/>
    </row>
    <row r="1450" spans="1:5">
      <c r="A1450" s="1" t="s">
        <v>15</v>
      </c>
      <c r="B1450" s="43">
        <v>696328</v>
      </c>
      <c r="C1450" s="168" t="s">
        <v>773</v>
      </c>
      <c r="D1450" s="169" t="s">
        <v>2944</v>
      </c>
      <c r="E1450" s="173"/>
    </row>
    <row r="1451" spans="1:5">
      <c r="A1451" s="1" t="s">
        <v>15</v>
      </c>
      <c r="B1451" s="43">
        <v>5015865</v>
      </c>
      <c r="C1451" s="168" t="s">
        <v>773</v>
      </c>
      <c r="D1451" s="169" t="s">
        <v>2945</v>
      </c>
      <c r="E1451" s="173"/>
    </row>
    <row r="1452" spans="1:5">
      <c r="A1452" s="1" t="s">
        <v>15</v>
      </c>
      <c r="B1452" s="43">
        <v>2825332</v>
      </c>
      <c r="C1452" s="168" t="s">
        <v>773</v>
      </c>
      <c r="D1452" s="169" t="s">
        <v>1762</v>
      </c>
      <c r="E1452" s="173"/>
    </row>
    <row r="1453" spans="1:5">
      <c r="A1453" s="1" t="s">
        <v>15</v>
      </c>
      <c r="B1453" s="43">
        <v>802842</v>
      </c>
      <c r="C1453" s="168" t="s">
        <v>773</v>
      </c>
      <c r="D1453" s="169" t="s">
        <v>1763</v>
      </c>
      <c r="E1453" s="173"/>
    </row>
    <row r="1454" spans="1:5">
      <c r="A1454" s="1" t="s">
        <v>15</v>
      </c>
      <c r="B1454" s="43">
        <v>661750</v>
      </c>
      <c r="C1454" s="168" t="s">
        <v>773</v>
      </c>
      <c r="D1454" s="169" t="s">
        <v>1764</v>
      </c>
      <c r="E1454" s="173"/>
    </row>
    <row r="1455" spans="1:5">
      <c r="A1455" s="1" t="s">
        <v>15</v>
      </c>
      <c r="B1455" s="43">
        <v>721911</v>
      </c>
      <c r="C1455" s="168" t="s">
        <v>773</v>
      </c>
      <c r="D1455" s="169" t="s">
        <v>2946</v>
      </c>
      <c r="E1455" s="173"/>
    </row>
    <row r="1456" spans="1:5">
      <c r="A1456" s="1" t="s">
        <v>15</v>
      </c>
      <c r="B1456" s="43">
        <v>746304</v>
      </c>
      <c r="C1456" s="168" t="s">
        <v>773</v>
      </c>
      <c r="D1456" s="169" t="s">
        <v>1765</v>
      </c>
      <c r="E1456" s="173"/>
    </row>
    <row r="1457" spans="1:5">
      <c r="A1457" s="1" t="s">
        <v>15</v>
      </c>
      <c r="B1457" s="43">
        <v>664803</v>
      </c>
      <c r="C1457" s="168" t="s">
        <v>773</v>
      </c>
      <c r="D1457" s="169" t="s">
        <v>2593</v>
      </c>
      <c r="E1457" s="173"/>
    </row>
    <row r="1458" spans="1:5">
      <c r="A1458" s="1" t="s">
        <v>15</v>
      </c>
      <c r="B1458" s="43">
        <v>688508</v>
      </c>
      <c r="C1458" s="168" t="s">
        <v>773</v>
      </c>
      <c r="D1458" s="169" t="s">
        <v>1767</v>
      </c>
      <c r="E1458" s="173"/>
    </row>
    <row r="1459" spans="1:5">
      <c r="A1459" s="1" t="s">
        <v>15</v>
      </c>
      <c r="B1459" s="43">
        <v>2835013</v>
      </c>
      <c r="C1459" s="168" t="s">
        <v>773</v>
      </c>
      <c r="D1459" s="169" t="s">
        <v>2833</v>
      </c>
      <c r="E1459" s="173"/>
    </row>
    <row r="1460" spans="1:5">
      <c r="A1460" s="1" t="s">
        <v>15</v>
      </c>
      <c r="B1460" s="43">
        <v>3107153</v>
      </c>
      <c r="C1460" s="168" t="s">
        <v>773</v>
      </c>
      <c r="D1460" s="169" t="s">
        <v>2947</v>
      </c>
      <c r="E1460" s="173"/>
    </row>
    <row r="1461" spans="1:5">
      <c r="A1461" s="1" t="s">
        <v>15</v>
      </c>
      <c r="B1461" s="43">
        <v>3107152</v>
      </c>
      <c r="C1461" s="168" t="s">
        <v>773</v>
      </c>
      <c r="D1461" s="169" t="s">
        <v>2948</v>
      </c>
      <c r="E1461" s="173"/>
    </row>
    <row r="1462" spans="1:5">
      <c r="A1462" s="1" t="s">
        <v>15</v>
      </c>
      <c r="B1462" s="43">
        <v>2896916</v>
      </c>
      <c r="C1462" s="168" t="s">
        <v>773</v>
      </c>
      <c r="D1462" s="169" t="s">
        <v>2949</v>
      </c>
      <c r="E1462" s="173"/>
    </row>
    <row r="1463" spans="1:5">
      <c r="A1463" s="1" t="s">
        <v>15</v>
      </c>
      <c r="B1463" s="43">
        <v>2423650</v>
      </c>
      <c r="C1463" s="168" t="s">
        <v>773</v>
      </c>
      <c r="D1463" s="169" t="s">
        <v>2950</v>
      </c>
      <c r="E1463" s="173"/>
    </row>
    <row r="1464" spans="1:5">
      <c r="A1464" s="1" t="s">
        <v>15</v>
      </c>
      <c r="B1464" s="43">
        <v>693069</v>
      </c>
      <c r="C1464" s="168" t="s">
        <v>1593</v>
      </c>
      <c r="D1464" s="169" t="s">
        <v>2951</v>
      </c>
      <c r="E1464" s="173"/>
    </row>
    <row r="1465" spans="1:5">
      <c r="A1465" s="1" t="s">
        <v>15</v>
      </c>
      <c r="B1465" s="43">
        <v>564551</v>
      </c>
      <c r="C1465" s="168" t="s">
        <v>1593</v>
      </c>
      <c r="D1465" s="175" t="s">
        <v>1598</v>
      </c>
      <c r="E1465" s="173"/>
    </row>
    <row r="1466" spans="1:5">
      <c r="A1466" s="1" t="s">
        <v>15</v>
      </c>
      <c r="B1466" s="43">
        <v>5038200</v>
      </c>
      <c r="C1466" s="168" t="s">
        <v>1593</v>
      </c>
      <c r="D1466" s="169" t="s">
        <v>2952</v>
      </c>
      <c r="E1466" s="173"/>
    </row>
    <row r="1467" spans="1:5">
      <c r="A1467" s="1" t="s">
        <v>15</v>
      </c>
      <c r="B1467" s="43">
        <v>645011</v>
      </c>
      <c r="C1467" s="168" t="s">
        <v>71</v>
      </c>
      <c r="D1467" s="169" t="s">
        <v>2953</v>
      </c>
      <c r="E1467" s="173"/>
    </row>
    <row r="1468" spans="1:5">
      <c r="A1468" s="1" t="s">
        <v>15</v>
      </c>
      <c r="B1468" s="43">
        <v>197201</v>
      </c>
      <c r="C1468" s="168" t="s">
        <v>71</v>
      </c>
      <c r="D1468" s="169" t="s">
        <v>2954</v>
      </c>
      <c r="E1468" s="173"/>
    </row>
    <row r="1469" spans="1:5">
      <c r="A1469" s="1" t="s">
        <v>15</v>
      </c>
      <c r="B1469" s="43">
        <v>737756</v>
      </c>
      <c r="C1469" s="168" t="s">
        <v>71</v>
      </c>
      <c r="D1469" s="169" t="s">
        <v>1771</v>
      </c>
      <c r="E1469" s="173"/>
    </row>
    <row r="1470" spans="1:5">
      <c r="A1470" s="1" t="s">
        <v>15</v>
      </c>
      <c r="B1470" s="43">
        <v>656781</v>
      </c>
      <c r="C1470" s="168" t="s">
        <v>71</v>
      </c>
      <c r="D1470" s="169" t="s">
        <v>1772</v>
      </c>
      <c r="E1470" s="173"/>
    </row>
    <row r="1471" spans="1:5">
      <c r="A1471" s="1" t="s">
        <v>15</v>
      </c>
      <c r="B1471" s="43">
        <v>175129</v>
      </c>
      <c r="C1471" s="168" t="s">
        <v>71</v>
      </c>
      <c r="D1471" s="169" t="s">
        <v>1773</v>
      </c>
      <c r="E1471" s="173"/>
    </row>
    <row r="1472" spans="1:5">
      <c r="A1472" s="1" t="s">
        <v>15</v>
      </c>
      <c r="B1472" s="43">
        <v>746305</v>
      </c>
      <c r="C1472" s="168" t="s">
        <v>71</v>
      </c>
      <c r="D1472" s="169" t="s">
        <v>1991</v>
      </c>
      <c r="E1472" s="173"/>
    </row>
    <row r="1473" spans="1:5">
      <c r="A1473" s="1" t="s">
        <v>15</v>
      </c>
      <c r="B1473" s="43">
        <v>2802024</v>
      </c>
      <c r="C1473" s="168" t="s">
        <v>71</v>
      </c>
      <c r="D1473" s="169" t="s">
        <v>2897</v>
      </c>
      <c r="E1473" s="173"/>
    </row>
    <row r="1474" spans="1:5">
      <c r="A1474" s="1" t="s">
        <v>15</v>
      </c>
      <c r="B1474" s="43">
        <v>2822159</v>
      </c>
      <c r="C1474" s="168" t="s">
        <v>71</v>
      </c>
      <c r="D1474" s="169" t="s">
        <v>1779</v>
      </c>
      <c r="E1474" s="173"/>
    </row>
    <row r="1475" spans="1:5">
      <c r="A1475" s="1" t="s">
        <v>15</v>
      </c>
      <c r="B1475" s="43">
        <v>2228264</v>
      </c>
      <c r="C1475" s="168" t="s">
        <v>71</v>
      </c>
      <c r="D1475" s="169" t="s">
        <v>1778</v>
      </c>
      <c r="E1475" s="173"/>
    </row>
    <row r="1476" spans="1:5">
      <c r="A1476" s="1" t="s">
        <v>15</v>
      </c>
      <c r="B1476" s="43">
        <v>2820016</v>
      </c>
      <c r="C1476" s="168" t="s">
        <v>71</v>
      </c>
      <c r="D1476" s="169" t="s">
        <v>1780</v>
      </c>
      <c r="E1476" s="173"/>
    </row>
    <row r="1477" spans="1:5">
      <c r="A1477" s="1" t="s">
        <v>15</v>
      </c>
      <c r="B1477" s="43">
        <v>2885092</v>
      </c>
      <c r="C1477" s="168" t="s">
        <v>71</v>
      </c>
      <c r="D1477" s="169" t="s">
        <v>2955</v>
      </c>
      <c r="E1477" s="173"/>
    </row>
    <row r="1478" spans="1:5">
      <c r="A1478" s="1" t="s">
        <v>15</v>
      </c>
      <c r="B1478" s="43">
        <v>2882043</v>
      </c>
      <c r="C1478" s="168" t="s">
        <v>71</v>
      </c>
      <c r="D1478" s="169" t="s">
        <v>2956</v>
      </c>
      <c r="E1478" s="173"/>
    </row>
    <row r="1479" spans="1:5">
      <c r="A1479" s="1" t="s">
        <v>15</v>
      </c>
      <c r="B1479" s="43">
        <v>126132</v>
      </c>
      <c r="C1479" s="168" t="s">
        <v>71</v>
      </c>
      <c r="D1479" s="169" t="s">
        <v>1781</v>
      </c>
      <c r="E1479" s="173"/>
    </row>
    <row r="1480" spans="1:5">
      <c r="A1480" s="1" t="s">
        <v>15</v>
      </c>
      <c r="B1480" s="43">
        <v>2889112</v>
      </c>
      <c r="C1480" s="168" t="s">
        <v>71</v>
      </c>
      <c r="D1480" s="169" t="s">
        <v>2957</v>
      </c>
      <c r="E1480" s="173"/>
    </row>
    <row r="1481" spans="1:5">
      <c r="A1481" s="1" t="s">
        <v>15</v>
      </c>
      <c r="B1481" s="43">
        <v>2888109</v>
      </c>
      <c r="C1481" s="168" t="s">
        <v>71</v>
      </c>
      <c r="D1481" s="169" t="s">
        <v>1599</v>
      </c>
      <c r="E1481" s="173"/>
    </row>
    <row r="1482" spans="1:5">
      <c r="A1482" s="1" t="s">
        <v>15</v>
      </c>
      <c r="B1482" s="43">
        <v>2423648</v>
      </c>
      <c r="C1482" s="168" t="s">
        <v>71</v>
      </c>
      <c r="D1482" s="169" t="s">
        <v>2958</v>
      </c>
      <c r="E1482" s="173"/>
    </row>
    <row r="1483" spans="1:5">
      <c r="A1483" s="1" t="s">
        <v>15</v>
      </c>
      <c r="B1483" s="43">
        <v>2880061</v>
      </c>
      <c r="C1483" s="168" t="s">
        <v>71</v>
      </c>
      <c r="D1483" s="169" t="s">
        <v>2959</v>
      </c>
      <c r="E1483" s="173"/>
    </row>
    <row r="1484" spans="1:5">
      <c r="A1484" s="1" t="s">
        <v>15</v>
      </c>
      <c r="B1484" s="43">
        <v>647657</v>
      </c>
      <c r="C1484" s="168" t="s">
        <v>1593</v>
      </c>
      <c r="D1484" s="169" t="s">
        <v>1799</v>
      </c>
      <c r="E1484" s="173"/>
    </row>
    <row r="1485" spans="1:5">
      <c r="A1485" s="1" t="s">
        <v>15</v>
      </c>
      <c r="B1485" s="43">
        <v>746303</v>
      </c>
      <c r="C1485" s="168" t="s">
        <v>1593</v>
      </c>
      <c r="D1485" s="169" t="s">
        <v>2004</v>
      </c>
      <c r="E1485" s="173"/>
    </row>
    <row r="1486" spans="1:5">
      <c r="A1486" s="1" t="s">
        <v>15</v>
      </c>
      <c r="B1486" s="43">
        <v>2825706</v>
      </c>
      <c r="C1486" s="168" t="s">
        <v>83</v>
      </c>
      <c r="D1486" s="169" t="s">
        <v>2960</v>
      </c>
      <c r="E1486" s="173"/>
    </row>
    <row r="1487" spans="1:5">
      <c r="A1487" s="1" t="s">
        <v>15</v>
      </c>
      <c r="B1487" s="43">
        <v>2824268</v>
      </c>
      <c r="C1487" s="168" t="s">
        <v>83</v>
      </c>
      <c r="D1487" s="169" t="s">
        <v>2614</v>
      </c>
      <c r="E1487" s="173"/>
    </row>
    <row r="1488" spans="1:5">
      <c r="A1488" s="1" t="s">
        <v>15</v>
      </c>
      <c r="B1488" s="43">
        <v>2834000</v>
      </c>
      <c r="C1488" s="168" t="s">
        <v>83</v>
      </c>
      <c r="D1488" s="169" t="s">
        <v>2910</v>
      </c>
      <c r="E1488" s="173"/>
    </row>
    <row r="1489" spans="1:5">
      <c r="A1489" s="1" t="s">
        <v>15</v>
      </c>
      <c r="B1489" s="43">
        <v>2839044</v>
      </c>
      <c r="C1489" s="168" t="s">
        <v>83</v>
      </c>
      <c r="D1489" s="169" t="s">
        <v>1629</v>
      </c>
      <c r="E1489" s="173"/>
    </row>
    <row r="1490" spans="1:5">
      <c r="A1490" s="1" t="s">
        <v>15</v>
      </c>
      <c r="B1490" s="43">
        <v>2874216</v>
      </c>
      <c r="C1490" s="168" t="s">
        <v>83</v>
      </c>
      <c r="D1490" s="169" t="s">
        <v>2961</v>
      </c>
      <c r="E1490" s="173"/>
    </row>
    <row r="1491" spans="1:5">
      <c r="A1491" s="1" t="s">
        <v>15</v>
      </c>
      <c r="B1491" s="43">
        <v>2426609</v>
      </c>
      <c r="C1491" s="168" t="s">
        <v>83</v>
      </c>
      <c r="D1491" s="169" t="s">
        <v>1798</v>
      </c>
      <c r="E1491" s="173"/>
    </row>
    <row r="1492" spans="1:5">
      <c r="A1492" s="1" t="s">
        <v>15</v>
      </c>
      <c r="B1492" s="43">
        <v>2888118</v>
      </c>
      <c r="C1492" s="168" t="s">
        <v>83</v>
      </c>
      <c r="D1492" s="169" t="s">
        <v>1797</v>
      </c>
      <c r="E1492" s="173"/>
    </row>
    <row r="1493" spans="1:5">
      <c r="A1493" s="1" t="s">
        <v>15</v>
      </c>
      <c r="B1493" s="43">
        <v>2822414</v>
      </c>
      <c r="C1493" s="168" t="s">
        <v>773</v>
      </c>
      <c r="D1493" s="169" t="s">
        <v>2962</v>
      </c>
      <c r="E1493" s="173"/>
    </row>
    <row r="1494" spans="1:5">
      <c r="A1494" s="1" t="s">
        <v>15</v>
      </c>
      <c r="B1494" s="43">
        <v>2825489</v>
      </c>
      <c r="C1494" s="168" t="s">
        <v>773</v>
      </c>
      <c r="D1494" s="169" t="s">
        <v>2963</v>
      </c>
      <c r="E1494" s="173"/>
    </row>
    <row r="1495" spans="1:5">
      <c r="A1495" s="1" t="s">
        <v>15</v>
      </c>
      <c r="B1495" s="43">
        <v>808667</v>
      </c>
      <c r="C1495" s="168" t="s">
        <v>71</v>
      </c>
      <c r="D1495" s="169" t="s">
        <v>2964</v>
      </c>
      <c r="E1495" s="173"/>
    </row>
    <row r="1496" spans="1:5">
      <c r="A1496" s="1" t="s">
        <v>15</v>
      </c>
      <c r="B1496" s="43">
        <v>2824374</v>
      </c>
      <c r="C1496" s="168" t="s">
        <v>71</v>
      </c>
      <c r="D1496" s="169" t="s">
        <v>2922</v>
      </c>
      <c r="E1496" s="173"/>
    </row>
    <row r="1497" spans="1:5">
      <c r="A1497" s="1" t="s">
        <v>15</v>
      </c>
      <c r="B1497" s="43">
        <v>2837260</v>
      </c>
      <c r="C1497" s="168" t="s">
        <v>71</v>
      </c>
      <c r="D1497" s="169" t="s">
        <v>2212</v>
      </c>
      <c r="E1497" s="173"/>
    </row>
    <row r="1498" spans="1:5">
      <c r="A1498" s="1" t="s">
        <v>15</v>
      </c>
      <c r="B1498" s="43">
        <v>2972406</v>
      </c>
      <c r="C1498" s="168" t="s">
        <v>71</v>
      </c>
      <c r="D1498" s="169" t="s">
        <v>1808</v>
      </c>
      <c r="E1498" s="173"/>
    </row>
    <row r="1499" spans="1:5">
      <c r="A1499" s="1" t="s">
        <v>15</v>
      </c>
      <c r="B1499" s="43">
        <v>2974330</v>
      </c>
      <c r="C1499" s="168" t="s">
        <v>71</v>
      </c>
      <c r="D1499" s="169" t="s">
        <v>1809</v>
      </c>
      <c r="E1499" s="173"/>
    </row>
    <row r="1500" spans="1:5">
      <c r="A1500" s="1" t="s">
        <v>15</v>
      </c>
      <c r="B1500" s="43">
        <v>2819209</v>
      </c>
      <c r="C1500" s="168" t="s">
        <v>71</v>
      </c>
      <c r="D1500" s="169" t="s">
        <v>2965</v>
      </c>
      <c r="E1500" s="173"/>
    </row>
    <row r="1501" spans="1:5">
      <c r="A1501" s="1" t="s">
        <v>15</v>
      </c>
      <c r="B1501" s="43">
        <v>2825695</v>
      </c>
      <c r="C1501" s="168" t="s">
        <v>71</v>
      </c>
      <c r="D1501" s="169" t="s">
        <v>1813</v>
      </c>
      <c r="E1501" s="173"/>
    </row>
    <row r="1502" spans="1:5">
      <c r="A1502" s="1" t="s">
        <v>15</v>
      </c>
      <c r="B1502" s="43">
        <v>2823247</v>
      </c>
      <c r="C1502" s="168" t="s">
        <v>90</v>
      </c>
      <c r="D1502" s="169" t="s">
        <v>2966</v>
      </c>
      <c r="E1502" s="173"/>
    </row>
    <row r="1503" spans="1:5">
      <c r="A1503" s="1" t="s">
        <v>15</v>
      </c>
      <c r="B1503" s="43">
        <v>2837192</v>
      </c>
      <c r="C1503" s="168" t="s">
        <v>1593</v>
      </c>
      <c r="D1503" s="169" t="s">
        <v>2927</v>
      </c>
      <c r="E1503" s="173"/>
    </row>
    <row r="1504" spans="1:5">
      <c r="A1504" s="1" t="s">
        <v>15</v>
      </c>
      <c r="B1504" s="43">
        <v>2837265</v>
      </c>
      <c r="C1504" s="168" t="s">
        <v>1593</v>
      </c>
      <c r="D1504" s="169" t="s">
        <v>2967</v>
      </c>
      <c r="E1504" s="173"/>
    </row>
    <row r="1505" spans="1:5">
      <c r="A1505" s="1" t="s">
        <v>15</v>
      </c>
      <c r="B1505" s="43">
        <v>2884198</v>
      </c>
      <c r="C1505" s="168" t="s">
        <v>1593</v>
      </c>
      <c r="D1505" s="169" t="s">
        <v>1805</v>
      </c>
      <c r="E1505" s="173"/>
    </row>
    <row r="1506" spans="1:5">
      <c r="A1506" s="1" t="s">
        <v>16</v>
      </c>
      <c r="B1506" s="165" t="s">
        <v>68</v>
      </c>
      <c r="C1506" s="166" t="s">
        <v>62</v>
      </c>
      <c r="D1506" s="176" t="s">
        <v>69</v>
      </c>
      <c r="E1506" s="166" t="s">
        <v>70</v>
      </c>
    </row>
    <row r="1507" spans="1:5">
      <c r="A1507" s="1" t="s">
        <v>16</v>
      </c>
      <c r="B1507" s="43">
        <v>2815157</v>
      </c>
      <c r="C1507" s="168" t="s">
        <v>83</v>
      </c>
      <c r="D1507" s="169" t="s">
        <v>1685</v>
      </c>
      <c r="E1507" s="170" t="s">
        <v>2968</v>
      </c>
    </row>
    <row r="1508" spans="1:5">
      <c r="A1508" s="1" t="s">
        <v>16</v>
      </c>
      <c r="B1508" s="43">
        <v>737754</v>
      </c>
      <c r="C1508" s="168" t="s">
        <v>83</v>
      </c>
      <c r="D1508" s="169" t="s">
        <v>2969</v>
      </c>
      <c r="E1508" s="170" t="s">
        <v>2970</v>
      </c>
    </row>
    <row r="1509" spans="1:5">
      <c r="A1509" s="1" t="s">
        <v>16</v>
      </c>
      <c r="B1509" s="43">
        <v>431182</v>
      </c>
      <c r="C1509" s="168" t="s">
        <v>71</v>
      </c>
      <c r="D1509" s="169" t="s">
        <v>2815</v>
      </c>
      <c r="E1509" s="170" t="s">
        <v>2971</v>
      </c>
    </row>
    <row r="1510" spans="1:5">
      <c r="A1510" s="1" t="s">
        <v>16</v>
      </c>
      <c r="B1510" s="43">
        <v>2817144</v>
      </c>
      <c r="C1510" s="168" t="s">
        <v>71</v>
      </c>
      <c r="D1510" s="169" t="s">
        <v>2864</v>
      </c>
      <c r="E1510" s="170" t="s">
        <v>2972</v>
      </c>
    </row>
    <row r="1511" spans="1:5">
      <c r="A1511" s="1" t="s">
        <v>16</v>
      </c>
      <c r="B1511" s="43">
        <v>2819144</v>
      </c>
      <c r="C1511" s="168" t="s">
        <v>71</v>
      </c>
      <c r="D1511" s="169" t="s">
        <v>2462</v>
      </c>
      <c r="E1511" s="170" t="s">
        <v>2973</v>
      </c>
    </row>
    <row r="1512" spans="1:5">
      <c r="A1512" s="1" t="s">
        <v>16</v>
      </c>
      <c r="B1512" s="43">
        <v>667354</v>
      </c>
      <c r="C1512" s="168" t="s">
        <v>90</v>
      </c>
      <c r="D1512" s="169" t="s">
        <v>2974</v>
      </c>
      <c r="E1512" s="170" t="s">
        <v>2975</v>
      </c>
    </row>
    <row r="1513" spans="1:5">
      <c r="A1513" s="1" t="s">
        <v>16</v>
      </c>
      <c r="B1513" s="43">
        <v>786355</v>
      </c>
      <c r="C1513" s="168" t="s">
        <v>90</v>
      </c>
      <c r="D1513" s="169" t="s">
        <v>2976</v>
      </c>
      <c r="E1513" s="172" t="s">
        <v>2708</v>
      </c>
    </row>
    <row r="1514" spans="1:5">
      <c r="A1514" s="1" t="s">
        <v>16</v>
      </c>
      <c r="B1514" s="43">
        <v>734650</v>
      </c>
      <c r="C1514" s="168" t="s">
        <v>1593</v>
      </c>
      <c r="D1514" s="169" t="s">
        <v>2682</v>
      </c>
      <c r="E1514" s="172" t="s">
        <v>2977</v>
      </c>
    </row>
    <row r="1515" spans="1:5">
      <c r="A1515" s="1" t="s">
        <v>16</v>
      </c>
      <c r="B1515" s="43">
        <v>782126</v>
      </c>
      <c r="C1515" s="168" t="s">
        <v>1593</v>
      </c>
      <c r="D1515" s="169" t="s">
        <v>2214</v>
      </c>
      <c r="E1515" s="170" t="s">
        <v>2164</v>
      </c>
    </row>
    <row r="1516" spans="1:5">
      <c r="A1516" s="1" t="s">
        <v>16</v>
      </c>
      <c r="B1516" s="43">
        <v>2819026</v>
      </c>
      <c r="C1516" s="168" t="s">
        <v>71</v>
      </c>
      <c r="D1516" s="169" t="s">
        <v>2978</v>
      </c>
      <c r="E1516" s="172" t="s">
        <v>2979</v>
      </c>
    </row>
    <row r="1517" spans="1:5">
      <c r="A1517" s="1" t="s">
        <v>16</v>
      </c>
      <c r="B1517" s="43">
        <v>599600</v>
      </c>
      <c r="C1517" s="168" t="s">
        <v>71</v>
      </c>
      <c r="D1517" s="169" t="s">
        <v>2246</v>
      </c>
      <c r="E1517" s="173"/>
    </row>
    <row r="1518" spans="1:5">
      <c r="A1518" s="1" t="s">
        <v>16</v>
      </c>
      <c r="B1518" s="43">
        <v>5015884</v>
      </c>
      <c r="C1518" s="168" t="s">
        <v>71</v>
      </c>
      <c r="D1518" s="169" t="s">
        <v>2980</v>
      </c>
      <c r="E1518" s="173"/>
    </row>
    <row r="1519" spans="1:5">
      <c r="A1519" s="1" t="s">
        <v>16</v>
      </c>
      <c r="B1519" s="43">
        <v>616665</v>
      </c>
      <c r="C1519" s="168" t="s">
        <v>90</v>
      </c>
      <c r="D1519" s="169" t="s">
        <v>1585</v>
      </c>
      <c r="E1519" s="173"/>
    </row>
    <row r="1520" spans="1:5">
      <c r="A1520" s="1" t="s">
        <v>16</v>
      </c>
      <c r="B1520" s="43">
        <v>5028627</v>
      </c>
      <c r="C1520" s="168" t="s">
        <v>90</v>
      </c>
      <c r="D1520" s="169" t="s">
        <v>1882</v>
      </c>
      <c r="E1520" s="173"/>
    </row>
    <row r="1521" spans="1:5">
      <c r="A1521" s="1" t="s">
        <v>16</v>
      </c>
      <c r="B1521" s="43">
        <v>520232</v>
      </c>
      <c r="C1521" s="168" t="s">
        <v>1593</v>
      </c>
      <c r="D1521" s="169" t="s">
        <v>2691</v>
      </c>
      <c r="E1521" s="173"/>
    </row>
    <row r="1522" spans="1:5">
      <c r="A1522" s="1" t="s">
        <v>16</v>
      </c>
      <c r="B1522" s="43">
        <v>2823293</v>
      </c>
      <c r="C1522" s="168" t="s">
        <v>83</v>
      </c>
      <c r="D1522" s="169" t="s">
        <v>2981</v>
      </c>
      <c r="E1522" s="173"/>
    </row>
    <row r="1523" spans="1:5">
      <c r="A1523" s="1" t="s">
        <v>16</v>
      </c>
      <c r="B1523" s="43">
        <v>2823296</v>
      </c>
      <c r="C1523" s="168" t="s">
        <v>83</v>
      </c>
      <c r="D1523" s="169" t="s">
        <v>2886</v>
      </c>
      <c r="E1523" s="173"/>
    </row>
    <row r="1524" spans="1:5">
      <c r="A1524" s="1" t="s">
        <v>16</v>
      </c>
      <c r="B1524" s="43">
        <v>622078</v>
      </c>
      <c r="C1524" s="168" t="s">
        <v>71</v>
      </c>
      <c r="D1524" s="169" t="s">
        <v>2982</v>
      </c>
      <c r="E1524" s="173"/>
    </row>
    <row r="1525" spans="1:5">
      <c r="A1525" s="1" t="s">
        <v>16</v>
      </c>
      <c r="B1525" s="43">
        <v>2825263</v>
      </c>
      <c r="C1525" s="168" t="s">
        <v>71</v>
      </c>
      <c r="D1525" s="169" t="s">
        <v>2983</v>
      </c>
      <c r="E1525" s="173"/>
    </row>
    <row r="1526" spans="1:5">
      <c r="A1526" s="1" t="s">
        <v>16</v>
      </c>
      <c r="B1526" s="43">
        <v>2244038</v>
      </c>
      <c r="C1526" s="168" t="s">
        <v>90</v>
      </c>
      <c r="D1526" s="169" t="s">
        <v>2984</v>
      </c>
      <c r="E1526" s="173"/>
    </row>
    <row r="1527" spans="1:5">
      <c r="A1527" s="1" t="s">
        <v>16</v>
      </c>
      <c r="B1527" s="43">
        <v>2831004</v>
      </c>
      <c r="C1527" s="168" t="s">
        <v>90</v>
      </c>
      <c r="D1527" s="169" t="s">
        <v>2923</v>
      </c>
      <c r="E1527" s="173"/>
    </row>
    <row r="1528" spans="1:5">
      <c r="A1528" s="1" t="s">
        <v>16</v>
      </c>
      <c r="B1528" s="43">
        <v>2801188</v>
      </c>
      <c r="C1528" s="168" t="s">
        <v>83</v>
      </c>
      <c r="D1528" s="169" t="s">
        <v>2985</v>
      </c>
      <c r="E1528" s="173"/>
    </row>
    <row r="1529" spans="1:5">
      <c r="A1529" s="1" t="s">
        <v>16</v>
      </c>
      <c r="B1529" s="43">
        <v>2811714</v>
      </c>
      <c r="C1529" s="168" t="s">
        <v>83</v>
      </c>
      <c r="D1529" s="169" t="s">
        <v>2986</v>
      </c>
      <c r="E1529" s="173"/>
    </row>
    <row r="1530" spans="1:5">
      <c r="A1530" s="1" t="s">
        <v>16</v>
      </c>
      <c r="B1530" s="43">
        <v>508618</v>
      </c>
      <c r="C1530" s="168" t="s">
        <v>83</v>
      </c>
      <c r="D1530" s="169" t="s">
        <v>2987</v>
      </c>
      <c r="E1530" s="173"/>
    </row>
    <row r="1531" spans="1:5">
      <c r="A1531" s="1" t="s">
        <v>16</v>
      </c>
      <c r="B1531" s="43">
        <v>731733</v>
      </c>
      <c r="C1531" s="168" t="s">
        <v>83</v>
      </c>
      <c r="D1531" s="169" t="s">
        <v>2988</v>
      </c>
      <c r="E1531" s="173"/>
    </row>
    <row r="1532" spans="1:5">
      <c r="A1532" s="1" t="s">
        <v>16</v>
      </c>
      <c r="B1532" s="43">
        <v>774896</v>
      </c>
      <c r="C1532" s="168" t="s">
        <v>83</v>
      </c>
      <c r="D1532" s="169" t="s">
        <v>2989</v>
      </c>
      <c r="E1532" s="173"/>
    </row>
    <row r="1533" spans="1:5">
      <c r="A1533" s="1" t="s">
        <v>16</v>
      </c>
      <c r="B1533" s="43">
        <v>590824</v>
      </c>
      <c r="C1533" s="168" t="s">
        <v>83</v>
      </c>
      <c r="D1533" s="169" t="s">
        <v>2990</v>
      </c>
      <c r="E1533" s="173"/>
    </row>
    <row r="1534" spans="1:5">
      <c r="A1534" s="1" t="s">
        <v>16</v>
      </c>
      <c r="B1534" s="43">
        <v>731734</v>
      </c>
      <c r="C1534" s="168" t="s">
        <v>83</v>
      </c>
      <c r="D1534" s="169" t="s">
        <v>2991</v>
      </c>
      <c r="E1534" s="173"/>
    </row>
    <row r="1535" spans="1:5">
      <c r="A1535" s="1" t="s">
        <v>16</v>
      </c>
      <c r="B1535" s="43">
        <v>386880</v>
      </c>
      <c r="C1535" s="168" t="s">
        <v>83</v>
      </c>
      <c r="D1535" s="169" t="s">
        <v>2992</v>
      </c>
      <c r="E1535" s="173"/>
    </row>
    <row r="1536" spans="1:5">
      <c r="A1536" s="1" t="s">
        <v>16</v>
      </c>
      <c r="B1536" s="43">
        <v>196589</v>
      </c>
      <c r="C1536" s="168" t="s">
        <v>83</v>
      </c>
      <c r="D1536" s="169" t="s">
        <v>2993</v>
      </c>
      <c r="E1536" s="173"/>
    </row>
    <row r="1537" spans="1:5">
      <c r="A1537" s="1" t="s">
        <v>16</v>
      </c>
      <c r="B1537" s="43">
        <v>365729</v>
      </c>
      <c r="C1537" s="168" t="s">
        <v>83</v>
      </c>
      <c r="D1537" s="169" t="s">
        <v>2226</v>
      </c>
      <c r="E1537" s="173"/>
    </row>
    <row r="1538" spans="1:5">
      <c r="A1538" s="1" t="s">
        <v>16</v>
      </c>
      <c r="B1538" s="43">
        <v>181730</v>
      </c>
      <c r="C1538" s="168" t="s">
        <v>83</v>
      </c>
      <c r="D1538" s="169" t="s">
        <v>2994</v>
      </c>
      <c r="E1538" s="173"/>
    </row>
    <row r="1539" spans="1:5">
      <c r="A1539" s="1" t="s">
        <v>16</v>
      </c>
      <c r="B1539" s="43">
        <v>2804664</v>
      </c>
      <c r="C1539" s="168" t="s">
        <v>83</v>
      </c>
      <c r="D1539" s="169" t="s">
        <v>2336</v>
      </c>
      <c r="E1539" s="173"/>
    </row>
    <row r="1540" spans="1:5">
      <c r="A1540" s="1" t="s">
        <v>16</v>
      </c>
      <c r="B1540" s="43">
        <v>2813303</v>
      </c>
      <c r="C1540" s="168" t="s">
        <v>83</v>
      </c>
      <c r="D1540" s="169" t="s">
        <v>2995</v>
      </c>
      <c r="E1540" s="173"/>
    </row>
    <row r="1541" spans="1:5">
      <c r="A1541" s="1" t="s">
        <v>16</v>
      </c>
      <c r="B1541" s="43">
        <v>2822352</v>
      </c>
      <c r="C1541" s="168" t="s">
        <v>83</v>
      </c>
      <c r="D1541" s="169" t="s">
        <v>2996</v>
      </c>
      <c r="E1541" s="173"/>
    </row>
    <row r="1542" spans="1:5">
      <c r="A1542" s="1" t="s">
        <v>16</v>
      </c>
      <c r="B1542" s="43">
        <v>2823298</v>
      </c>
      <c r="C1542" s="168" t="s">
        <v>83</v>
      </c>
      <c r="D1542" s="169" t="s">
        <v>2997</v>
      </c>
      <c r="E1542" s="173"/>
    </row>
    <row r="1543" spans="1:5">
      <c r="A1543" s="1" t="s">
        <v>16</v>
      </c>
      <c r="B1543" s="43">
        <v>2824205</v>
      </c>
      <c r="C1543" s="168" t="s">
        <v>83</v>
      </c>
      <c r="D1543" s="169" t="s">
        <v>2998</v>
      </c>
      <c r="E1543" s="173"/>
    </row>
    <row r="1544" spans="1:5">
      <c r="A1544" s="1" t="s">
        <v>16</v>
      </c>
      <c r="B1544" s="43">
        <v>2825379</v>
      </c>
      <c r="C1544" s="168" t="s">
        <v>83</v>
      </c>
      <c r="D1544" s="169" t="s">
        <v>2999</v>
      </c>
      <c r="E1544" s="173"/>
    </row>
    <row r="1545" spans="1:5">
      <c r="A1545" s="1" t="s">
        <v>16</v>
      </c>
      <c r="B1545" s="43">
        <v>2875323</v>
      </c>
      <c r="C1545" s="168" t="s">
        <v>83</v>
      </c>
      <c r="D1545" s="175" t="s">
        <v>3000</v>
      </c>
      <c r="E1545" s="173"/>
    </row>
    <row r="1546" spans="1:5">
      <c r="A1546" s="1" t="s">
        <v>16</v>
      </c>
      <c r="B1546" s="43">
        <v>2874277</v>
      </c>
      <c r="C1546" s="168" t="s">
        <v>83</v>
      </c>
      <c r="D1546" s="169" t="s">
        <v>3001</v>
      </c>
      <c r="E1546" s="173"/>
    </row>
    <row r="1547" spans="1:5">
      <c r="A1547" s="1" t="s">
        <v>16</v>
      </c>
      <c r="B1547" s="43">
        <v>2885054</v>
      </c>
      <c r="C1547" s="168" t="s">
        <v>83</v>
      </c>
      <c r="D1547" s="169" t="s">
        <v>3002</v>
      </c>
      <c r="E1547" s="173"/>
    </row>
    <row r="1548" spans="1:5">
      <c r="A1548" s="1" t="s">
        <v>16</v>
      </c>
      <c r="B1548" s="43">
        <v>2813257</v>
      </c>
      <c r="C1548" s="168" t="s">
        <v>773</v>
      </c>
      <c r="D1548" s="169" t="s">
        <v>3003</v>
      </c>
      <c r="E1548" s="173"/>
    </row>
    <row r="1549" spans="1:5">
      <c r="A1549" s="1" t="s">
        <v>16</v>
      </c>
      <c r="B1549" s="43">
        <v>2813258</v>
      </c>
      <c r="C1549" s="168" t="s">
        <v>773</v>
      </c>
      <c r="D1549" s="169" t="s">
        <v>3004</v>
      </c>
      <c r="E1549" s="173"/>
    </row>
    <row r="1550" spans="1:5">
      <c r="A1550" s="1" t="s">
        <v>16</v>
      </c>
      <c r="B1550" s="43">
        <v>2823199</v>
      </c>
      <c r="C1550" s="168" t="s">
        <v>773</v>
      </c>
      <c r="D1550" s="169" t="s">
        <v>2272</v>
      </c>
      <c r="E1550" s="173"/>
    </row>
    <row r="1551" spans="1:5">
      <c r="A1551" s="1" t="s">
        <v>16</v>
      </c>
      <c r="B1551" s="43">
        <v>5005054</v>
      </c>
      <c r="C1551" s="168" t="s">
        <v>773</v>
      </c>
      <c r="D1551" s="169" t="s">
        <v>3005</v>
      </c>
      <c r="E1551" s="173"/>
    </row>
    <row r="1552" spans="1:5">
      <c r="A1552" s="1" t="s">
        <v>16</v>
      </c>
      <c r="B1552" s="43">
        <v>672235</v>
      </c>
      <c r="C1552" s="168" t="s">
        <v>773</v>
      </c>
      <c r="D1552" s="169" t="s">
        <v>3006</v>
      </c>
      <c r="E1552" s="173"/>
    </row>
    <row r="1553" spans="1:5">
      <c r="A1553" s="1" t="s">
        <v>16</v>
      </c>
      <c r="B1553" s="43">
        <v>2833091</v>
      </c>
      <c r="C1553" s="168" t="s">
        <v>773</v>
      </c>
      <c r="D1553" s="169" t="s">
        <v>2187</v>
      </c>
      <c r="E1553" s="173"/>
    </row>
    <row r="1554" spans="1:5">
      <c r="A1554" s="1" t="s">
        <v>16</v>
      </c>
      <c r="B1554" s="43">
        <v>2840016</v>
      </c>
      <c r="C1554" s="168" t="s">
        <v>773</v>
      </c>
      <c r="D1554" s="169" t="s">
        <v>2188</v>
      </c>
      <c r="E1554" s="173"/>
    </row>
    <row r="1555" spans="1:5">
      <c r="A1555" s="1" t="s">
        <v>16</v>
      </c>
      <c r="B1555" s="43">
        <v>2833092</v>
      </c>
      <c r="C1555" s="168" t="s">
        <v>773</v>
      </c>
      <c r="D1555" s="169" t="s">
        <v>3007</v>
      </c>
      <c r="E1555" s="173"/>
    </row>
    <row r="1556" spans="1:5">
      <c r="A1556" s="1" t="s">
        <v>16</v>
      </c>
      <c r="B1556" s="43">
        <v>2822695</v>
      </c>
      <c r="C1556" s="168" t="s">
        <v>71</v>
      </c>
      <c r="D1556" s="169" t="s">
        <v>3008</v>
      </c>
      <c r="E1556" s="173"/>
    </row>
    <row r="1557" spans="1:5">
      <c r="A1557" s="1" t="s">
        <v>16</v>
      </c>
      <c r="B1557" s="43">
        <v>786354</v>
      </c>
      <c r="C1557" s="168" t="s">
        <v>71</v>
      </c>
      <c r="D1557" s="169" t="s">
        <v>3009</v>
      </c>
      <c r="E1557" s="173"/>
    </row>
    <row r="1558" spans="1:5">
      <c r="A1558" s="1" t="s">
        <v>16</v>
      </c>
      <c r="B1558" s="43">
        <v>2841547</v>
      </c>
      <c r="C1558" s="168" t="s">
        <v>71</v>
      </c>
      <c r="D1558" s="169" t="s">
        <v>2209</v>
      </c>
      <c r="E1558" s="173"/>
    </row>
    <row r="1559" spans="1:5">
      <c r="A1559" s="1" t="s">
        <v>16</v>
      </c>
      <c r="B1559" s="43">
        <v>2856077</v>
      </c>
      <c r="C1559" s="168" t="s">
        <v>71</v>
      </c>
      <c r="D1559" s="169" t="s">
        <v>2374</v>
      </c>
      <c r="E1559" s="173"/>
    </row>
    <row r="1560" spans="1:5">
      <c r="A1560" s="1" t="s">
        <v>16</v>
      </c>
      <c r="B1560" s="43">
        <v>560126</v>
      </c>
      <c r="C1560" s="168" t="s">
        <v>71</v>
      </c>
      <c r="D1560" s="169" t="s">
        <v>3010</v>
      </c>
      <c r="E1560" s="173"/>
    </row>
    <row r="1561" spans="1:5">
      <c r="A1561" s="1" t="s">
        <v>16</v>
      </c>
      <c r="B1561" s="43">
        <v>724788</v>
      </c>
      <c r="C1561" s="168" t="s">
        <v>71</v>
      </c>
      <c r="D1561" s="169" t="s">
        <v>3011</v>
      </c>
      <c r="E1561" s="173"/>
    </row>
    <row r="1562" spans="1:5">
      <c r="A1562" s="1" t="s">
        <v>16</v>
      </c>
      <c r="B1562" s="43">
        <v>721924</v>
      </c>
      <c r="C1562" s="168" t="s">
        <v>71</v>
      </c>
      <c r="D1562" s="169" t="s">
        <v>3012</v>
      </c>
      <c r="E1562" s="173"/>
    </row>
    <row r="1563" spans="1:5">
      <c r="A1563" s="1" t="s">
        <v>16</v>
      </c>
      <c r="B1563" s="43">
        <v>721919</v>
      </c>
      <c r="C1563" s="168" t="s">
        <v>71</v>
      </c>
      <c r="D1563" s="169" t="s">
        <v>3013</v>
      </c>
      <c r="E1563" s="173"/>
    </row>
    <row r="1564" spans="1:5">
      <c r="A1564" s="1" t="s">
        <v>16</v>
      </c>
      <c r="B1564" s="43">
        <v>737769</v>
      </c>
      <c r="C1564" s="168" t="s">
        <v>71</v>
      </c>
      <c r="D1564" s="169" t="s">
        <v>3014</v>
      </c>
      <c r="E1564" s="173"/>
    </row>
    <row r="1565" spans="1:5">
      <c r="A1565" s="1" t="s">
        <v>16</v>
      </c>
      <c r="B1565" s="43">
        <v>774892</v>
      </c>
      <c r="C1565" s="168" t="s">
        <v>71</v>
      </c>
      <c r="D1565" s="169" t="s">
        <v>3015</v>
      </c>
      <c r="E1565" s="173"/>
    </row>
    <row r="1566" spans="1:5">
      <c r="A1566" s="1" t="s">
        <v>16</v>
      </c>
      <c r="B1566" s="43">
        <v>628691</v>
      </c>
      <c r="C1566" s="168" t="s">
        <v>71</v>
      </c>
      <c r="D1566" s="169" t="s">
        <v>3016</v>
      </c>
      <c r="E1566" s="173"/>
    </row>
    <row r="1567" spans="1:5">
      <c r="A1567" s="1" t="s">
        <v>16</v>
      </c>
      <c r="B1567" s="43">
        <v>396669</v>
      </c>
      <c r="C1567" s="168" t="s">
        <v>71</v>
      </c>
      <c r="D1567" s="169" t="s">
        <v>3017</v>
      </c>
      <c r="E1567" s="173"/>
    </row>
    <row r="1568" spans="1:5">
      <c r="A1568" s="1" t="s">
        <v>16</v>
      </c>
      <c r="B1568" s="43">
        <v>550748</v>
      </c>
      <c r="C1568" s="168" t="s">
        <v>71</v>
      </c>
      <c r="D1568" s="169" t="s">
        <v>3018</v>
      </c>
      <c r="E1568" s="173"/>
    </row>
    <row r="1569" spans="1:5">
      <c r="A1569" s="1" t="s">
        <v>16</v>
      </c>
      <c r="B1569" s="43">
        <v>550747</v>
      </c>
      <c r="C1569" s="168" t="s">
        <v>71</v>
      </c>
      <c r="D1569" s="169" t="s">
        <v>3019</v>
      </c>
      <c r="E1569" s="173"/>
    </row>
    <row r="1570" spans="1:5">
      <c r="A1570" s="1" t="s">
        <v>16</v>
      </c>
      <c r="B1570" s="43">
        <v>2805121</v>
      </c>
      <c r="C1570" s="168" t="s">
        <v>71</v>
      </c>
      <c r="D1570" s="169" t="s">
        <v>2547</v>
      </c>
      <c r="E1570" s="173"/>
    </row>
    <row r="1571" spans="1:5">
      <c r="A1571" s="1" t="s">
        <v>16</v>
      </c>
      <c r="B1571" s="43">
        <v>2816033</v>
      </c>
      <c r="C1571" s="168" t="s">
        <v>71</v>
      </c>
      <c r="D1571" s="169" t="s">
        <v>3020</v>
      </c>
      <c r="E1571" s="173"/>
    </row>
    <row r="1572" spans="1:5">
      <c r="A1572" s="1" t="s">
        <v>16</v>
      </c>
      <c r="B1572" s="43">
        <v>2823100</v>
      </c>
      <c r="C1572" s="168" t="s">
        <v>71</v>
      </c>
      <c r="D1572" s="169" t="s">
        <v>2545</v>
      </c>
      <c r="E1572" s="173"/>
    </row>
    <row r="1573" spans="1:5">
      <c r="A1573" s="1" t="s">
        <v>16</v>
      </c>
      <c r="B1573" s="43">
        <v>2813150</v>
      </c>
      <c r="C1573" s="168" t="s">
        <v>71</v>
      </c>
      <c r="D1573" s="169" t="s">
        <v>3021</v>
      </c>
      <c r="E1573" s="173"/>
    </row>
    <row r="1574" spans="1:5">
      <c r="A1574" s="1" t="s">
        <v>16</v>
      </c>
      <c r="B1574" s="43">
        <v>2825499</v>
      </c>
      <c r="C1574" s="168" t="s">
        <v>71</v>
      </c>
      <c r="D1574" s="169" t="s">
        <v>2921</v>
      </c>
      <c r="E1574" s="173"/>
    </row>
    <row r="1575" spans="1:5">
      <c r="A1575" s="1" t="s">
        <v>16</v>
      </c>
      <c r="B1575" s="43">
        <v>2824053</v>
      </c>
      <c r="C1575" s="168" t="s">
        <v>71</v>
      </c>
      <c r="D1575" s="169" t="s">
        <v>3022</v>
      </c>
      <c r="E1575" s="173"/>
    </row>
    <row r="1576" spans="1:5">
      <c r="A1576" s="1" t="s">
        <v>16</v>
      </c>
      <c r="B1576" s="43">
        <v>5019813</v>
      </c>
      <c r="C1576" s="168" t="s">
        <v>71</v>
      </c>
      <c r="D1576" s="169" t="s">
        <v>2391</v>
      </c>
      <c r="E1576" s="173"/>
    </row>
    <row r="1577" spans="1:5">
      <c r="A1577" s="1" t="s">
        <v>16</v>
      </c>
      <c r="B1577" s="43">
        <v>2832012</v>
      </c>
      <c r="C1577" s="168" t="s">
        <v>71</v>
      </c>
      <c r="D1577" s="169" t="s">
        <v>3023</v>
      </c>
      <c r="E1577" s="173"/>
    </row>
    <row r="1578" spans="1:5">
      <c r="A1578" s="1" t="s">
        <v>16</v>
      </c>
      <c r="B1578" s="43">
        <v>2832013</v>
      </c>
      <c r="C1578" s="168" t="s">
        <v>71</v>
      </c>
      <c r="D1578" s="169" t="s">
        <v>3024</v>
      </c>
      <c r="E1578" s="173"/>
    </row>
    <row r="1579" spans="1:5">
      <c r="A1579" s="1" t="s">
        <v>16</v>
      </c>
      <c r="B1579" s="43">
        <v>2809588</v>
      </c>
      <c r="C1579" s="168" t="s">
        <v>1593</v>
      </c>
      <c r="D1579" s="169" t="s">
        <v>3025</v>
      </c>
      <c r="E1579" s="173"/>
    </row>
    <row r="1580" spans="1:5">
      <c r="A1580" s="1" t="s">
        <v>16</v>
      </c>
      <c r="B1580" s="43">
        <v>2839009</v>
      </c>
      <c r="C1580" s="168" t="s">
        <v>1593</v>
      </c>
      <c r="D1580" s="169" t="s">
        <v>3026</v>
      </c>
      <c r="E1580" s="173"/>
    </row>
    <row r="1581" spans="1:5">
      <c r="A1581" s="1" t="s">
        <v>16</v>
      </c>
      <c r="B1581" s="43">
        <v>647659</v>
      </c>
      <c r="C1581" s="168" t="s">
        <v>1593</v>
      </c>
      <c r="D1581" s="169" t="s">
        <v>3027</v>
      </c>
      <c r="E1581" s="173"/>
    </row>
    <row r="1582" spans="1:5">
      <c r="A1582" s="1" t="s">
        <v>16</v>
      </c>
      <c r="B1582" s="43">
        <v>2807102</v>
      </c>
      <c r="C1582" s="168" t="s">
        <v>1593</v>
      </c>
      <c r="D1582" s="169" t="s">
        <v>3028</v>
      </c>
      <c r="E1582" s="173"/>
    </row>
    <row r="1583" spans="1:5">
      <c r="A1583" s="1" t="s">
        <v>16</v>
      </c>
      <c r="B1583" s="43">
        <v>2835087</v>
      </c>
      <c r="C1583" s="168" t="s">
        <v>1593</v>
      </c>
      <c r="D1583" s="169" t="s">
        <v>3029</v>
      </c>
      <c r="E1583" s="173"/>
    </row>
    <row r="1584" spans="1:5">
      <c r="A1584" s="1" t="s">
        <v>16</v>
      </c>
      <c r="B1584" s="43">
        <v>2841399</v>
      </c>
      <c r="C1584" s="168" t="s">
        <v>1593</v>
      </c>
      <c r="D1584" s="169" t="s">
        <v>2201</v>
      </c>
      <c r="E1584" s="173"/>
    </row>
    <row r="1585" spans="1:5">
      <c r="A1585" s="1" t="s">
        <v>16</v>
      </c>
      <c r="B1585" s="43">
        <v>2874274</v>
      </c>
      <c r="C1585" s="168" t="s">
        <v>1593</v>
      </c>
      <c r="D1585" s="169" t="s">
        <v>3030</v>
      </c>
      <c r="E1585" s="173"/>
    </row>
    <row r="1586" spans="1:5">
      <c r="A1586" s="1" t="s">
        <v>16</v>
      </c>
      <c r="B1586" s="43">
        <v>2874275</v>
      </c>
      <c r="C1586" s="168" t="s">
        <v>1593</v>
      </c>
      <c r="D1586" s="169" t="s">
        <v>3031</v>
      </c>
      <c r="E1586" s="173"/>
    </row>
    <row r="1587" spans="1:5">
      <c r="A1587" s="1" t="s">
        <v>17</v>
      </c>
      <c r="B1587" s="165" t="s">
        <v>68</v>
      </c>
      <c r="C1587" s="166" t="s">
        <v>62</v>
      </c>
      <c r="D1587" s="176" t="s">
        <v>69</v>
      </c>
      <c r="E1587" s="166" t="s">
        <v>70</v>
      </c>
    </row>
    <row r="1588" spans="1:5">
      <c r="A1588" s="1" t="s">
        <v>17</v>
      </c>
      <c r="B1588" s="43">
        <v>2813181</v>
      </c>
      <c r="C1588" s="168" t="s">
        <v>83</v>
      </c>
      <c r="D1588" s="169" t="s">
        <v>3032</v>
      </c>
      <c r="E1588" s="172" t="s">
        <v>1877</v>
      </c>
    </row>
    <row r="1589" spans="1:5">
      <c r="A1589" s="1" t="s">
        <v>17</v>
      </c>
      <c r="B1589" s="43">
        <v>612163</v>
      </c>
      <c r="C1589" s="168" t="s">
        <v>83</v>
      </c>
      <c r="D1589" s="169" t="s">
        <v>3033</v>
      </c>
      <c r="E1589" s="172" t="s">
        <v>1879</v>
      </c>
    </row>
    <row r="1590" spans="1:5">
      <c r="A1590" s="1" t="s">
        <v>17</v>
      </c>
      <c r="B1590" s="43">
        <v>612161</v>
      </c>
      <c r="C1590" s="168" t="s">
        <v>83</v>
      </c>
      <c r="D1590" s="169" t="s">
        <v>3034</v>
      </c>
      <c r="E1590" s="172" t="s">
        <v>3035</v>
      </c>
    </row>
    <row r="1591" spans="1:5">
      <c r="A1591" s="1" t="s">
        <v>17</v>
      </c>
      <c r="B1591" s="43">
        <v>693078</v>
      </c>
      <c r="C1591" s="168" t="s">
        <v>773</v>
      </c>
      <c r="D1591" s="169" t="s">
        <v>3036</v>
      </c>
      <c r="E1591" s="170" t="s">
        <v>3037</v>
      </c>
    </row>
    <row r="1592" spans="1:5">
      <c r="A1592" s="1" t="s">
        <v>17</v>
      </c>
      <c r="B1592" s="43">
        <v>656781</v>
      </c>
      <c r="C1592" s="168" t="s">
        <v>71</v>
      </c>
      <c r="D1592" s="169" t="s">
        <v>1772</v>
      </c>
      <c r="E1592" s="170" t="s">
        <v>3038</v>
      </c>
    </row>
    <row r="1593" spans="1:5">
      <c r="A1593" s="1" t="s">
        <v>17</v>
      </c>
      <c r="B1593" s="43">
        <v>2811019</v>
      </c>
      <c r="C1593" s="168" t="s">
        <v>71</v>
      </c>
      <c r="D1593" s="169" t="s">
        <v>3039</v>
      </c>
      <c r="E1593" s="170" t="s">
        <v>3040</v>
      </c>
    </row>
    <row r="1594" spans="1:5">
      <c r="A1594" s="1" t="s">
        <v>17</v>
      </c>
      <c r="B1594" s="43">
        <v>797723</v>
      </c>
      <c r="C1594" s="168" t="s">
        <v>71</v>
      </c>
      <c r="D1594" s="169" t="s">
        <v>1905</v>
      </c>
      <c r="E1594" s="170" t="s">
        <v>1894</v>
      </c>
    </row>
    <row r="1595" spans="1:5">
      <c r="A1595" s="1" t="s">
        <v>17</v>
      </c>
      <c r="B1595" s="43">
        <v>706912</v>
      </c>
      <c r="C1595" s="168" t="s">
        <v>83</v>
      </c>
      <c r="D1595" s="169" t="s">
        <v>3041</v>
      </c>
      <c r="E1595" s="173"/>
    </row>
    <row r="1596" spans="1:5">
      <c r="A1596" s="1" t="s">
        <v>17</v>
      </c>
      <c r="B1596" s="43">
        <v>748565</v>
      </c>
      <c r="C1596" s="168" t="s">
        <v>83</v>
      </c>
      <c r="D1596" s="169" t="s">
        <v>3042</v>
      </c>
      <c r="E1596" s="173"/>
    </row>
    <row r="1597" spans="1:5">
      <c r="A1597" s="1" t="s">
        <v>17</v>
      </c>
      <c r="B1597" s="43">
        <v>512778</v>
      </c>
      <c r="C1597" s="168" t="s">
        <v>83</v>
      </c>
      <c r="D1597" s="169" t="s">
        <v>3043</v>
      </c>
      <c r="E1597" s="173"/>
    </row>
    <row r="1598" spans="1:5">
      <c r="A1598" s="1" t="s">
        <v>17</v>
      </c>
      <c r="B1598" s="43">
        <v>5016700</v>
      </c>
      <c r="C1598" s="168" t="s">
        <v>83</v>
      </c>
      <c r="D1598" s="169" t="s">
        <v>3044</v>
      </c>
      <c r="E1598" s="173"/>
    </row>
    <row r="1599" spans="1:5">
      <c r="A1599" s="1" t="s">
        <v>17</v>
      </c>
      <c r="B1599" s="43">
        <v>706911</v>
      </c>
      <c r="C1599" s="168" t="s">
        <v>83</v>
      </c>
      <c r="D1599" s="169" t="s">
        <v>3045</v>
      </c>
      <c r="E1599" s="173"/>
    </row>
    <row r="1600" spans="1:5">
      <c r="A1600" s="1" t="s">
        <v>17</v>
      </c>
      <c r="B1600" s="43">
        <v>2812533</v>
      </c>
      <c r="C1600" s="168" t="s">
        <v>83</v>
      </c>
      <c r="D1600" s="169" t="s">
        <v>1917</v>
      </c>
      <c r="E1600" s="173"/>
    </row>
    <row r="1601" spans="1:5">
      <c r="A1601" s="1" t="s">
        <v>17</v>
      </c>
      <c r="B1601" s="43">
        <v>2817015</v>
      </c>
      <c r="C1601" s="168" t="s">
        <v>83</v>
      </c>
      <c r="D1601" s="169" t="s">
        <v>3046</v>
      </c>
      <c r="E1601" s="173"/>
    </row>
    <row r="1602" spans="1:5">
      <c r="A1602" s="1" t="s">
        <v>17</v>
      </c>
      <c r="B1602" s="43">
        <v>2819070</v>
      </c>
      <c r="C1602" s="168" t="s">
        <v>83</v>
      </c>
      <c r="D1602" s="169" t="s">
        <v>3047</v>
      </c>
      <c r="E1602" s="173"/>
    </row>
    <row r="1603" spans="1:5">
      <c r="A1603" s="1" t="s">
        <v>17</v>
      </c>
      <c r="B1603" s="43">
        <v>2824177</v>
      </c>
      <c r="C1603" s="168" t="s">
        <v>83</v>
      </c>
      <c r="D1603" s="169" t="s">
        <v>3048</v>
      </c>
      <c r="E1603" s="173"/>
    </row>
    <row r="1604" spans="1:5">
      <c r="A1604" s="1" t="s">
        <v>17</v>
      </c>
      <c r="B1604" s="43">
        <v>2823568</v>
      </c>
      <c r="C1604" s="168" t="s">
        <v>83</v>
      </c>
      <c r="D1604" s="169" t="s">
        <v>2432</v>
      </c>
      <c r="E1604" s="173"/>
    </row>
    <row r="1605" spans="1:5">
      <c r="A1605" s="1" t="s">
        <v>17</v>
      </c>
      <c r="B1605" s="43">
        <v>2875044</v>
      </c>
      <c r="C1605" s="168" t="s">
        <v>83</v>
      </c>
      <c r="D1605" s="169" t="s">
        <v>3049</v>
      </c>
      <c r="E1605" s="173"/>
    </row>
    <row r="1606" spans="1:5">
      <c r="A1606" s="1" t="s">
        <v>17</v>
      </c>
      <c r="B1606" s="43">
        <v>2869052</v>
      </c>
      <c r="C1606" s="168" t="s">
        <v>83</v>
      </c>
      <c r="D1606" s="169" t="s">
        <v>3050</v>
      </c>
      <c r="E1606" s="173"/>
    </row>
    <row r="1607" spans="1:5">
      <c r="A1607" s="1" t="s">
        <v>17</v>
      </c>
      <c r="B1607" s="43">
        <v>3119090</v>
      </c>
      <c r="C1607" s="168" t="s">
        <v>83</v>
      </c>
      <c r="D1607" s="169" t="s">
        <v>3051</v>
      </c>
      <c r="E1607" s="173"/>
    </row>
    <row r="1608" spans="1:5">
      <c r="A1608" s="1" t="s">
        <v>17</v>
      </c>
      <c r="B1608" s="43">
        <v>2885049</v>
      </c>
      <c r="C1608" s="168" t="s">
        <v>83</v>
      </c>
      <c r="D1608" s="169" t="s">
        <v>2757</v>
      </c>
      <c r="E1608" s="173"/>
    </row>
    <row r="1609" spans="1:5">
      <c r="A1609" s="1" t="s">
        <v>17</v>
      </c>
      <c r="B1609" s="43">
        <v>2887137</v>
      </c>
      <c r="C1609" s="168" t="s">
        <v>83</v>
      </c>
      <c r="D1609" s="169" t="s">
        <v>2435</v>
      </c>
      <c r="E1609" s="173"/>
    </row>
    <row r="1610" spans="1:5">
      <c r="A1610" s="1" t="s">
        <v>17</v>
      </c>
      <c r="B1610" s="43">
        <v>2887216</v>
      </c>
      <c r="C1610" s="168" t="s">
        <v>773</v>
      </c>
      <c r="D1610" s="169" t="s">
        <v>3052</v>
      </c>
      <c r="E1610" s="173"/>
    </row>
    <row r="1611" spans="1:5">
      <c r="A1611" s="1" t="s">
        <v>17</v>
      </c>
      <c r="B1611" s="43">
        <v>2875303</v>
      </c>
      <c r="C1611" s="168" t="s">
        <v>773</v>
      </c>
      <c r="D1611" s="169" t="s">
        <v>3053</v>
      </c>
      <c r="E1611" s="173"/>
    </row>
    <row r="1612" spans="1:5">
      <c r="A1612" s="1" t="s">
        <v>17</v>
      </c>
      <c r="B1612" s="43">
        <v>2816032</v>
      </c>
      <c r="C1612" s="168" t="s">
        <v>773</v>
      </c>
      <c r="D1612" s="169" t="s">
        <v>1945</v>
      </c>
      <c r="E1612" s="173"/>
    </row>
    <row r="1613" spans="1:5">
      <c r="A1613" s="1" t="s">
        <v>17</v>
      </c>
      <c r="B1613" s="43">
        <v>740357</v>
      </c>
      <c r="C1613" s="168" t="s">
        <v>773</v>
      </c>
      <c r="D1613" s="169" t="s">
        <v>3054</v>
      </c>
      <c r="E1613" s="173"/>
    </row>
    <row r="1614" spans="1:5">
      <c r="A1614" s="1" t="s">
        <v>17</v>
      </c>
      <c r="B1614" s="43">
        <v>696325</v>
      </c>
      <c r="C1614" s="168" t="s">
        <v>773</v>
      </c>
      <c r="D1614" s="169" t="s">
        <v>3055</v>
      </c>
      <c r="E1614" s="173"/>
    </row>
    <row r="1615" spans="1:5">
      <c r="A1615" s="1" t="s">
        <v>17</v>
      </c>
      <c r="B1615" s="43">
        <v>2853006</v>
      </c>
      <c r="C1615" s="168" t="s">
        <v>71</v>
      </c>
      <c r="D1615" s="169" t="s">
        <v>2777</v>
      </c>
      <c r="E1615" s="173"/>
    </row>
    <row r="1616" spans="1:5">
      <c r="A1616" s="1" t="s">
        <v>17</v>
      </c>
      <c r="B1616" s="43">
        <v>2841294</v>
      </c>
      <c r="C1616" s="168" t="s">
        <v>71</v>
      </c>
      <c r="D1616" s="169" t="s">
        <v>3056</v>
      </c>
      <c r="E1616" s="173"/>
    </row>
    <row r="1617" spans="1:5">
      <c r="A1617" s="1" t="s">
        <v>17</v>
      </c>
      <c r="B1617" s="43">
        <v>151544</v>
      </c>
      <c r="C1617" s="168" t="s">
        <v>71</v>
      </c>
      <c r="D1617" s="169" t="s">
        <v>3057</v>
      </c>
      <c r="E1617" s="173"/>
    </row>
    <row r="1618" spans="1:5">
      <c r="A1618" s="1" t="s">
        <v>17</v>
      </c>
      <c r="B1618" s="43">
        <v>415362</v>
      </c>
      <c r="C1618" s="168" t="s">
        <v>71</v>
      </c>
      <c r="D1618" s="169" t="s">
        <v>3058</v>
      </c>
      <c r="E1618" s="173"/>
    </row>
    <row r="1619" spans="1:5">
      <c r="A1619" s="1" t="s">
        <v>17</v>
      </c>
      <c r="B1619" s="43">
        <v>758613</v>
      </c>
      <c r="C1619" s="168" t="s">
        <v>71</v>
      </c>
      <c r="D1619" s="169" t="s">
        <v>3059</v>
      </c>
      <c r="E1619" s="173"/>
    </row>
    <row r="1620" spans="1:5">
      <c r="A1620" s="1" t="s">
        <v>17</v>
      </c>
      <c r="B1620" s="43">
        <v>743144</v>
      </c>
      <c r="C1620" s="168" t="s">
        <v>71</v>
      </c>
      <c r="D1620" s="169" t="s">
        <v>1948</v>
      </c>
      <c r="E1620" s="173"/>
    </row>
    <row r="1621" spans="1:5">
      <c r="A1621" s="1" t="s">
        <v>17</v>
      </c>
      <c r="B1621" s="43">
        <v>599599</v>
      </c>
      <c r="C1621" s="168" t="s">
        <v>71</v>
      </c>
      <c r="D1621" s="169" t="s">
        <v>3060</v>
      </c>
      <c r="E1621" s="173"/>
    </row>
    <row r="1622" spans="1:5">
      <c r="A1622" s="1" t="s">
        <v>17</v>
      </c>
      <c r="B1622" s="43">
        <v>2822089</v>
      </c>
      <c r="C1622" s="168" t="s">
        <v>1593</v>
      </c>
      <c r="D1622" s="169" t="s">
        <v>3061</v>
      </c>
      <c r="E1622" s="173"/>
    </row>
    <row r="1623" spans="1:5">
      <c r="A1623" s="1" t="s">
        <v>17</v>
      </c>
      <c r="B1623" s="43">
        <v>2818087</v>
      </c>
      <c r="C1623" s="168" t="s">
        <v>1593</v>
      </c>
      <c r="D1623" s="169" t="s">
        <v>3062</v>
      </c>
      <c r="E1623" s="173"/>
    </row>
    <row r="1624" spans="1:5">
      <c r="A1624" s="1" t="s">
        <v>17</v>
      </c>
      <c r="B1624" s="43">
        <v>2836016</v>
      </c>
      <c r="C1624" s="168" t="s">
        <v>1593</v>
      </c>
      <c r="D1624" s="169" t="s">
        <v>1958</v>
      </c>
      <c r="E1624" s="173"/>
    </row>
    <row r="1625" spans="1:5">
      <c r="A1625" s="1" t="s">
        <v>17</v>
      </c>
      <c r="B1625" s="43">
        <v>359601</v>
      </c>
      <c r="C1625" s="168" t="s">
        <v>1593</v>
      </c>
      <c r="D1625" s="169" t="s">
        <v>1955</v>
      </c>
      <c r="E1625" s="173"/>
    </row>
    <row r="1626" spans="1:5">
      <c r="A1626" s="1" t="s">
        <v>17</v>
      </c>
      <c r="B1626" s="43">
        <v>2857061</v>
      </c>
      <c r="C1626" s="168" t="s">
        <v>1593</v>
      </c>
      <c r="D1626" s="169" t="s">
        <v>1966</v>
      </c>
      <c r="E1626" s="173"/>
    </row>
    <row r="1627" spans="1:5">
      <c r="A1627" s="1" t="s">
        <v>17</v>
      </c>
      <c r="B1627" s="43">
        <v>2832065</v>
      </c>
      <c r="C1627" s="168" t="s">
        <v>1593</v>
      </c>
      <c r="D1627" s="169" t="s">
        <v>3063</v>
      </c>
      <c r="E1627" s="173"/>
    </row>
    <row r="1628" spans="1:5">
      <c r="A1628" s="1" t="s">
        <v>17</v>
      </c>
      <c r="B1628" s="43">
        <v>2825741</v>
      </c>
      <c r="C1628" s="168" t="s">
        <v>1593</v>
      </c>
      <c r="D1628" s="175" t="s">
        <v>3064</v>
      </c>
      <c r="E1628" s="173"/>
    </row>
    <row r="1629" spans="1:5">
      <c r="A1629" s="1" t="s">
        <v>17</v>
      </c>
      <c r="B1629" s="43">
        <v>2353949</v>
      </c>
      <c r="C1629" s="168" t="s">
        <v>1593</v>
      </c>
      <c r="D1629" s="169" t="s">
        <v>1962</v>
      </c>
      <c r="E1629" s="173"/>
    </row>
    <row r="1630" spans="1:5">
      <c r="A1630" s="1" t="s">
        <v>17</v>
      </c>
      <c r="B1630" s="43">
        <v>786358</v>
      </c>
      <c r="C1630" s="168" t="s">
        <v>1593</v>
      </c>
      <c r="D1630" s="169" t="s">
        <v>3065</v>
      </c>
      <c r="E1630" s="173"/>
    </row>
    <row r="1631" spans="1:5">
      <c r="A1631" s="1" t="s">
        <v>17</v>
      </c>
      <c r="B1631" s="43">
        <v>580630</v>
      </c>
      <c r="C1631" s="168" t="s">
        <v>1593</v>
      </c>
      <c r="D1631" s="169" t="s">
        <v>3066</v>
      </c>
      <c r="E1631" s="173"/>
    </row>
    <row r="1632" spans="1:5">
      <c r="A1632" s="1" t="s">
        <v>17</v>
      </c>
      <c r="B1632" s="43">
        <v>491532</v>
      </c>
      <c r="C1632" s="168" t="s">
        <v>1593</v>
      </c>
      <c r="D1632" s="169" t="s">
        <v>3067</v>
      </c>
      <c r="E1632" s="173"/>
    </row>
    <row r="1633" spans="1:5">
      <c r="A1633" s="1" t="s">
        <v>17</v>
      </c>
      <c r="B1633" s="43">
        <v>2805116</v>
      </c>
      <c r="C1633" s="168" t="s">
        <v>1593</v>
      </c>
      <c r="D1633" s="169" t="s">
        <v>3068</v>
      </c>
      <c r="E1633" s="173"/>
    </row>
    <row r="1634" spans="1:5">
      <c r="A1634" s="1" t="s">
        <v>17</v>
      </c>
      <c r="B1634" s="43">
        <v>5030964</v>
      </c>
      <c r="C1634" s="168" t="s">
        <v>1593</v>
      </c>
      <c r="D1634" s="169" t="s">
        <v>3069</v>
      </c>
      <c r="E1634" s="173"/>
    </row>
    <row r="1635" spans="1:5">
      <c r="A1635" s="1" t="s">
        <v>17</v>
      </c>
      <c r="B1635" s="43">
        <v>2894005</v>
      </c>
      <c r="C1635" s="168" t="s">
        <v>1593</v>
      </c>
      <c r="D1635" s="169" t="s">
        <v>1975</v>
      </c>
      <c r="E1635" s="173"/>
    </row>
    <row r="1636" spans="1:5">
      <c r="A1636" s="1" t="s">
        <v>18</v>
      </c>
      <c r="B1636" s="165" t="s">
        <v>68</v>
      </c>
      <c r="C1636" s="166" t="s">
        <v>62</v>
      </c>
      <c r="D1636" s="176" t="s">
        <v>69</v>
      </c>
      <c r="E1636" s="166" t="s">
        <v>70</v>
      </c>
    </row>
    <row r="1637" spans="1:5">
      <c r="A1637" s="1" t="s">
        <v>18</v>
      </c>
      <c r="B1637" s="43">
        <v>2818082</v>
      </c>
      <c r="C1637" s="168" t="s">
        <v>71</v>
      </c>
      <c r="D1637" s="169" t="s">
        <v>3070</v>
      </c>
      <c r="E1637" s="170" t="s">
        <v>3071</v>
      </c>
    </row>
    <row r="1638" spans="1:5">
      <c r="A1638" s="1" t="s">
        <v>18</v>
      </c>
      <c r="B1638" s="43">
        <v>2889004</v>
      </c>
      <c r="C1638" s="168" t="s">
        <v>83</v>
      </c>
      <c r="D1638" s="169" t="s">
        <v>3072</v>
      </c>
      <c r="E1638" s="170" t="s">
        <v>2303</v>
      </c>
    </row>
    <row r="1639" spans="1:5">
      <c r="A1639" s="1" t="s">
        <v>18</v>
      </c>
      <c r="B1639" s="43">
        <v>704118</v>
      </c>
      <c r="C1639" s="168" t="s">
        <v>773</v>
      </c>
      <c r="D1639" s="169" t="s">
        <v>3073</v>
      </c>
      <c r="E1639" s="172" t="s">
        <v>2319</v>
      </c>
    </row>
    <row r="1640" spans="1:5">
      <c r="A1640" s="1" t="s">
        <v>18</v>
      </c>
      <c r="B1640" s="43">
        <v>647653</v>
      </c>
      <c r="C1640" s="168" t="s">
        <v>90</v>
      </c>
      <c r="D1640" s="169" t="s">
        <v>3074</v>
      </c>
      <c r="E1640" s="170" t="s">
        <v>3075</v>
      </c>
    </row>
    <row r="1641" spans="1:5">
      <c r="A1641" s="1" t="s">
        <v>18</v>
      </c>
      <c r="B1641" s="43">
        <v>2846053</v>
      </c>
      <c r="C1641" s="168" t="s">
        <v>83</v>
      </c>
      <c r="D1641" s="169" t="s">
        <v>1793</v>
      </c>
      <c r="E1641" s="170" t="s">
        <v>3076</v>
      </c>
    </row>
    <row r="1642" spans="1:5">
      <c r="A1642" s="1" t="s">
        <v>18</v>
      </c>
      <c r="B1642" s="43">
        <v>784283</v>
      </c>
      <c r="C1642" s="168" t="s">
        <v>71</v>
      </c>
      <c r="D1642" s="169" t="s">
        <v>1829</v>
      </c>
      <c r="E1642" s="170" t="s">
        <v>3077</v>
      </c>
    </row>
    <row r="1643" spans="1:5">
      <c r="A1643" s="1" t="s">
        <v>18</v>
      </c>
      <c r="B1643" s="43">
        <v>126132</v>
      </c>
      <c r="C1643" s="168" t="s">
        <v>71</v>
      </c>
      <c r="D1643" s="169" t="s">
        <v>1781</v>
      </c>
      <c r="E1643" s="182" t="s">
        <v>3078</v>
      </c>
    </row>
    <row r="1644" spans="1:5">
      <c r="A1644" s="1" t="s">
        <v>18</v>
      </c>
      <c r="B1644" s="43">
        <v>2874153</v>
      </c>
      <c r="C1644" s="168" t="s">
        <v>71</v>
      </c>
      <c r="D1644" s="169" t="s">
        <v>3079</v>
      </c>
      <c r="E1644" s="172" t="s">
        <v>3080</v>
      </c>
    </row>
    <row r="1645" spans="1:5">
      <c r="A1645" s="1" t="s">
        <v>18</v>
      </c>
      <c r="B1645" s="43">
        <v>784278</v>
      </c>
      <c r="C1645" s="168" t="s">
        <v>1593</v>
      </c>
      <c r="D1645" s="169" t="s">
        <v>1826</v>
      </c>
      <c r="E1645" s="170" t="s">
        <v>3081</v>
      </c>
    </row>
    <row r="1646" spans="1:5">
      <c r="A1646" s="1" t="s">
        <v>18</v>
      </c>
      <c r="B1646" s="43">
        <v>2313157</v>
      </c>
      <c r="C1646" s="168" t="s">
        <v>83</v>
      </c>
      <c r="D1646" s="169" t="s">
        <v>3082</v>
      </c>
      <c r="E1646" s="170" t="s">
        <v>3083</v>
      </c>
    </row>
    <row r="1647" spans="1:5">
      <c r="A1647" s="1" t="s">
        <v>18</v>
      </c>
      <c r="B1647" s="43">
        <v>2875380</v>
      </c>
      <c r="C1647" s="168" t="s">
        <v>83</v>
      </c>
      <c r="D1647" s="169" t="s">
        <v>3084</v>
      </c>
      <c r="E1647" s="170" t="s">
        <v>3085</v>
      </c>
    </row>
    <row r="1648" spans="1:5">
      <c r="A1648" s="1" t="s">
        <v>18</v>
      </c>
      <c r="B1648" s="43">
        <v>2841523</v>
      </c>
      <c r="C1648" s="168" t="s">
        <v>83</v>
      </c>
      <c r="D1648" s="169" t="s">
        <v>3086</v>
      </c>
      <c r="E1648" s="170" t="s">
        <v>3087</v>
      </c>
    </row>
    <row r="1649" spans="1:5">
      <c r="A1649" s="1" t="s">
        <v>18</v>
      </c>
      <c r="B1649" s="43">
        <v>2806962</v>
      </c>
      <c r="C1649" s="168" t="s">
        <v>90</v>
      </c>
      <c r="D1649" s="169" t="s">
        <v>3088</v>
      </c>
      <c r="E1649" s="170" t="s">
        <v>3089</v>
      </c>
    </row>
    <row r="1650" spans="1:5">
      <c r="A1650" s="1" t="s">
        <v>18</v>
      </c>
      <c r="B1650" s="43">
        <v>2824370</v>
      </c>
      <c r="C1650" s="168" t="s">
        <v>90</v>
      </c>
      <c r="D1650" s="169" t="s">
        <v>3090</v>
      </c>
      <c r="E1650" s="170" t="s">
        <v>3091</v>
      </c>
    </row>
    <row r="1651" spans="1:5">
      <c r="A1651" s="1" t="s">
        <v>18</v>
      </c>
      <c r="B1651" s="43">
        <v>2825403</v>
      </c>
      <c r="C1651" s="168" t="s">
        <v>90</v>
      </c>
      <c r="D1651" s="169" t="s">
        <v>3092</v>
      </c>
      <c r="E1651" s="170" t="s">
        <v>2972</v>
      </c>
    </row>
    <row r="1652" spans="1:5">
      <c r="A1652" s="1" t="s">
        <v>18</v>
      </c>
      <c r="B1652" s="43">
        <v>756288</v>
      </c>
      <c r="C1652" s="168" t="s">
        <v>83</v>
      </c>
      <c r="D1652" s="169" t="s">
        <v>3093</v>
      </c>
      <c r="E1652" s="170" t="s">
        <v>3094</v>
      </c>
    </row>
    <row r="1653" spans="1:5">
      <c r="A1653" s="1" t="s">
        <v>18</v>
      </c>
      <c r="B1653" s="43">
        <v>612167</v>
      </c>
      <c r="C1653" s="168" t="s">
        <v>83</v>
      </c>
      <c r="D1653" s="169" t="s">
        <v>3095</v>
      </c>
      <c r="E1653" s="172" t="s">
        <v>3096</v>
      </c>
    </row>
    <row r="1654" spans="1:5">
      <c r="A1654" s="1" t="s">
        <v>18</v>
      </c>
      <c r="B1654" s="43">
        <v>724785</v>
      </c>
      <c r="C1654" s="168" t="s">
        <v>83</v>
      </c>
      <c r="D1654" s="169" t="s">
        <v>3097</v>
      </c>
      <c r="E1654" s="170" t="s">
        <v>3098</v>
      </c>
    </row>
    <row r="1655" spans="1:5">
      <c r="A1655" s="1" t="s">
        <v>18</v>
      </c>
      <c r="B1655" s="43">
        <v>5034166</v>
      </c>
      <c r="C1655" s="168" t="s">
        <v>83</v>
      </c>
      <c r="D1655" s="169" t="s">
        <v>3099</v>
      </c>
      <c r="E1655" s="170" t="s">
        <v>3100</v>
      </c>
    </row>
    <row r="1656" spans="1:5">
      <c r="A1656" s="1" t="s">
        <v>18</v>
      </c>
      <c r="B1656" s="43">
        <v>5043072</v>
      </c>
      <c r="C1656" s="168" t="s">
        <v>83</v>
      </c>
      <c r="D1656" s="169" t="s">
        <v>3101</v>
      </c>
      <c r="E1656" s="172" t="s">
        <v>3102</v>
      </c>
    </row>
    <row r="1657" spans="1:5">
      <c r="A1657" s="1" t="s">
        <v>18</v>
      </c>
      <c r="B1657" s="43">
        <v>2253159</v>
      </c>
      <c r="C1657" s="168" t="s">
        <v>83</v>
      </c>
      <c r="D1657" s="169" t="s">
        <v>3103</v>
      </c>
      <c r="E1657" s="170" t="s">
        <v>3104</v>
      </c>
    </row>
    <row r="1658" spans="1:5">
      <c r="A1658" s="1" t="s">
        <v>18</v>
      </c>
      <c r="B1658" s="43">
        <v>2254037</v>
      </c>
      <c r="C1658" s="168" t="s">
        <v>83</v>
      </c>
      <c r="D1658" s="169" t="s">
        <v>3105</v>
      </c>
      <c r="E1658" s="172" t="s">
        <v>3106</v>
      </c>
    </row>
    <row r="1659" spans="1:5">
      <c r="A1659" s="1" t="s">
        <v>18</v>
      </c>
      <c r="B1659" s="43">
        <v>2813141</v>
      </c>
      <c r="C1659" s="168" t="s">
        <v>83</v>
      </c>
      <c r="D1659" s="169" t="s">
        <v>3107</v>
      </c>
      <c r="E1659" s="170"/>
    </row>
    <row r="1660" spans="1:5">
      <c r="A1660" s="1" t="s">
        <v>18</v>
      </c>
      <c r="B1660" s="43">
        <v>2814140</v>
      </c>
      <c r="C1660" s="168" t="s">
        <v>83</v>
      </c>
      <c r="D1660" s="169" t="s">
        <v>3108</v>
      </c>
      <c r="E1660" s="170"/>
    </row>
    <row r="1661" spans="1:5">
      <c r="A1661" s="1" t="s">
        <v>18</v>
      </c>
      <c r="B1661" s="43">
        <v>2823295</v>
      </c>
      <c r="C1661" s="168" t="s">
        <v>83</v>
      </c>
      <c r="D1661" s="169" t="s">
        <v>3109</v>
      </c>
      <c r="E1661" s="172"/>
    </row>
    <row r="1662" spans="1:5">
      <c r="A1662" s="1" t="s">
        <v>18</v>
      </c>
      <c r="B1662" s="43">
        <v>2823298</v>
      </c>
      <c r="C1662" s="168" t="s">
        <v>83</v>
      </c>
      <c r="D1662" s="169" t="s">
        <v>2997</v>
      </c>
      <c r="E1662" s="170"/>
    </row>
    <row r="1663" spans="1:5">
      <c r="A1663" s="1" t="s">
        <v>18</v>
      </c>
      <c r="B1663" s="43">
        <v>2824205</v>
      </c>
      <c r="C1663" s="168" t="s">
        <v>83</v>
      </c>
      <c r="D1663" s="169" t="s">
        <v>2998</v>
      </c>
      <c r="E1663" s="172"/>
    </row>
    <row r="1664" spans="1:5">
      <c r="A1664" s="1" t="s">
        <v>18</v>
      </c>
      <c r="B1664" s="43">
        <v>2825034</v>
      </c>
      <c r="C1664" s="168" t="s">
        <v>83</v>
      </c>
      <c r="D1664" s="169" t="s">
        <v>3110</v>
      </c>
      <c r="E1664" s="173"/>
    </row>
    <row r="1665" spans="1:5">
      <c r="A1665" s="1" t="s">
        <v>18</v>
      </c>
      <c r="B1665" s="43">
        <v>2825379</v>
      </c>
      <c r="C1665" s="168" t="s">
        <v>83</v>
      </c>
      <c r="D1665" s="169" t="s">
        <v>2999</v>
      </c>
      <c r="E1665" s="173"/>
    </row>
    <row r="1666" spans="1:5">
      <c r="A1666" s="1" t="s">
        <v>18</v>
      </c>
      <c r="B1666" s="43">
        <v>2813184</v>
      </c>
      <c r="C1666" s="168" t="s">
        <v>83</v>
      </c>
      <c r="D1666" s="169" t="s">
        <v>1610</v>
      </c>
      <c r="E1666" s="173"/>
    </row>
    <row r="1667" spans="1:5">
      <c r="A1667" s="1" t="s">
        <v>18</v>
      </c>
      <c r="B1667" s="43">
        <v>2813277</v>
      </c>
      <c r="C1667" s="168" t="s">
        <v>83</v>
      </c>
      <c r="D1667" s="169" t="s">
        <v>1611</v>
      </c>
      <c r="E1667" s="173"/>
    </row>
    <row r="1668" spans="1:5">
      <c r="A1668" s="1" t="s">
        <v>18</v>
      </c>
      <c r="B1668" s="43">
        <v>2831005</v>
      </c>
      <c r="C1668" s="168" t="s">
        <v>83</v>
      </c>
      <c r="D1668" s="169" t="s">
        <v>3111</v>
      </c>
      <c r="E1668" s="173"/>
    </row>
    <row r="1669" spans="1:5">
      <c r="A1669" s="1" t="s">
        <v>18</v>
      </c>
      <c r="B1669" s="43">
        <v>2823512</v>
      </c>
      <c r="C1669" s="168" t="s">
        <v>83</v>
      </c>
      <c r="D1669" s="169" t="s">
        <v>1625</v>
      </c>
      <c r="E1669" s="173"/>
    </row>
    <row r="1670" spans="1:5">
      <c r="A1670" s="1" t="s">
        <v>18</v>
      </c>
      <c r="B1670" s="43">
        <v>2834000</v>
      </c>
      <c r="C1670" s="168" t="s">
        <v>83</v>
      </c>
      <c r="D1670" s="169" t="s">
        <v>2910</v>
      </c>
      <c r="E1670" s="173"/>
    </row>
    <row r="1671" spans="1:5">
      <c r="A1671" s="1" t="s">
        <v>18</v>
      </c>
      <c r="B1671" s="43">
        <v>2822640</v>
      </c>
      <c r="C1671" s="168" t="s">
        <v>83</v>
      </c>
      <c r="D1671" s="169" t="s">
        <v>3112</v>
      </c>
      <c r="E1671" s="173"/>
    </row>
    <row r="1672" spans="1:5">
      <c r="A1672" s="1" t="s">
        <v>18</v>
      </c>
      <c r="B1672" s="43">
        <v>2885197</v>
      </c>
      <c r="C1672" s="168" t="s">
        <v>83</v>
      </c>
      <c r="D1672" s="169" t="s">
        <v>3113</v>
      </c>
      <c r="E1672" s="173"/>
    </row>
    <row r="1673" spans="1:5">
      <c r="A1673" s="1" t="s">
        <v>18</v>
      </c>
      <c r="B1673" s="43">
        <v>2880278</v>
      </c>
      <c r="C1673" s="168" t="s">
        <v>83</v>
      </c>
      <c r="D1673" s="169" t="s">
        <v>3114</v>
      </c>
      <c r="E1673" s="173"/>
    </row>
    <row r="1674" spans="1:5">
      <c r="A1674" s="1" t="s">
        <v>18</v>
      </c>
      <c r="B1674" s="43">
        <v>2880241</v>
      </c>
      <c r="C1674" s="168" t="s">
        <v>83</v>
      </c>
      <c r="D1674" s="169" t="s">
        <v>3115</v>
      </c>
      <c r="E1674" s="173"/>
    </row>
    <row r="1675" spans="1:5">
      <c r="A1675" s="1" t="s">
        <v>18</v>
      </c>
      <c r="B1675" s="43">
        <v>3158741</v>
      </c>
      <c r="C1675" s="168" t="s">
        <v>83</v>
      </c>
      <c r="D1675" s="169" t="s">
        <v>3116</v>
      </c>
      <c r="E1675" s="173"/>
    </row>
    <row r="1676" spans="1:5">
      <c r="A1676" s="1" t="s">
        <v>18</v>
      </c>
      <c r="B1676" s="43">
        <v>2424510</v>
      </c>
      <c r="C1676" s="168" t="s">
        <v>83</v>
      </c>
      <c r="D1676" s="169" t="s">
        <v>3117</v>
      </c>
      <c r="E1676" s="173"/>
    </row>
    <row r="1677" spans="1:5">
      <c r="A1677" s="1" t="s">
        <v>18</v>
      </c>
      <c r="B1677" s="43">
        <v>2886284</v>
      </c>
      <c r="C1677" s="168" t="s">
        <v>83</v>
      </c>
      <c r="D1677" s="175" t="s">
        <v>3118</v>
      </c>
      <c r="E1677" s="173"/>
    </row>
    <row r="1678" spans="1:5">
      <c r="A1678" s="1" t="s">
        <v>18</v>
      </c>
      <c r="B1678" s="43">
        <v>2833007</v>
      </c>
      <c r="C1678" s="168" t="s">
        <v>773</v>
      </c>
      <c r="D1678" s="169" t="s">
        <v>3119</v>
      </c>
      <c r="E1678" s="173"/>
    </row>
    <row r="1679" spans="1:5">
      <c r="A1679" s="1" t="s">
        <v>18</v>
      </c>
      <c r="B1679" s="43">
        <v>765311</v>
      </c>
      <c r="C1679" s="168" t="s">
        <v>773</v>
      </c>
      <c r="D1679" s="169" t="s">
        <v>3120</v>
      </c>
      <c r="E1679" s="173"/>
    </row>
    <row r="1680" spans="1:5">
      <c r="A1680" s="1" t="s">
        <v>18</v>
      </c>
      <c r="B1680" s="43">
        <v>648914</v>
      </c>
      <c r="C1680" s="168" t="s">
        <v>773</v>
      </c>
      <c r="D1680" s="169" t="s">
        <v>3121</v>
      </c>
      <c r="E1680" s="173"/>
    </row>
    <row r="1681" spans="1:5">
      <c r="A1681" s="1" t="s">
        <v>18</v>
      </c>
      <c r="B1681" s="43">
        <v>2806198</v>
      </c>
      <c r="C1681" s="168" t="s">
        <v>773</v>
      </c>
      <c r="D1681" s="169" t="s">
        <v>3122</v>
      </c>
      <c r="E1681" s="173"/>
    </row>
    <row r="1682" spans="1:5">
      <c r="A1682" s="1" t="s">
        <v>18</v>
      </c>
      <c r="B1682" s="43">
        <v>2813142</v>
      </c>
      <c r="C1682" s="168" t="s">
        <v>773</v>
      </c>
      <c r="D1682" s="169" t="s">
        <v>3123</v>
      </c>
      <c r="E1682" s="173"/>
    </row>
    <row r="1683" spans="1:5">
      <c r="A1683" s="1" t="s">
        <v>18</v>
      </c>
      <c r="B1683" s="43">
        <v>2823553</v>
      </c>
      <c r="C1683" s="168" t="s">
        <v>773</v>
      </c>
      <c r="D1683" s="169" t="s">
        <v>3124</v>
      </c>
      <c r="E1683" s="173"/>
    </row>
    <row r="1684" spans="1:5">
      <c r="A1684" s="1" t="s">
        <v>18</v>
      </c>
      <c r="B1684" s="43">
        <v>3129470</v>
      </c>
      <c r="C1684" s="168" t="s">
        <v>773</v>
      </c>
      <c r="D1684" s="169" t="s">
        <v>3125</v>
      </c>
      <c r="E1684" s="173"/>
    </row>
    <row r="1685" spans="1:5">
      <c r="A1685" s="1" t="s">
        <v>18</v>
      </c>
      <c r="B1685" s="43">
        <v>774893</v>
      </c>
      <c r="C1685" s="168" t="s">
        <v>1593</v>
      </c>
      <c r="D1685" s="169" t="s">
        <v>3126</v>
      </c>
      <c r="E1685" s="173"/>
    </row>
    <row r="1686" spans="1:5">
      <c r="A1686" s="1" t="s">
        <v>18</v>
      </c>
      <c r="B1686" s="43">
        <v>2824220</v>
      </c>
      <c r="C1686" s="168" t="s">
        <v>1593</v>
      </c>
      <c r="D1686" s="169" t="s">
        <v>3127</v>
      </c>
      <c r="E1686" s="173"/>
    </row>
    <row r="1687" spans="1:5">
      <c r="A1687" s="1" t="s">
        <v>18</v>
      </c>
      <c r="B1687" s="43">
        <v>2824219</v>
      </c>
      <c r="C1687" s="168" t="s">
        <v>1593</v>
      </c>
      <c r="D1687" s="169" t="s">
        <v>1730</v>
      </c>
      <c r="E1687" s="173"/>
    </row>
    <row r="1688" spans="1:5">
      <c r="A1688" s="1" t="s">
        <v>18</v>
      </c>
      <c r="B1688" s="43">
        <v>2836016</v>
      </c>
      <c r="C1688" s="168" t="s">
        <v>1593</v>
      </c>
      <c r="D1688" s="169" t="s">
        <v>1958</v>
      </c>
      <c r="E1688" s="173"/>
    </row>
    <row r="1689" spans="1:5">
      <c r="A1689" s="1" t="s">
        <v>18</v>
      </c>
      <c r="B1689" s="43">
        <v>2820009</v>
      </c>
      <c r="C1689" s="168" t="s">
        <v>1593</v>
      </c>
      <c r="D1689" s="169" t="s">
        <v>3128</v>
      </c>
      <c r="E1689" s="173"/>
    </row>
    <row r="1690" spans="1:5">
      <c r="A1690" s="1" t="s">
        <v>18</v>
      </c>
      <c r="B1690" s="43">
        <v>2822042</v>
      </c>
      <c r="C1690" s="168" t="s">
        <v>1593</v>
      </c>
      <c r="D1690" s="169" t="s">
        <v>3129</v>
      </c>
      <c r="E1690" s="173"/>
    </row>
    <row r="1691" spans="1:5">
      <c r="A1691" s="1" t="s">
        <v>18</v>
      </c>
      <c r="B1691" s="43">
        <v>2837263</v>
      </c>
      <c r="C1691" s="168" t="s">
        <v>1593</v>
      </c>
      <c r="D1691" s="169" t="s">
        <v>3130</v>
      </c>
      <c r="E1691" s="173"/>
    </row>
    <row r="1692" spans="1:5">
      <c r="A1692" s="1" t="s">
        <v>18</v>
      </c>
      <c r="B1692" s="43">
        <v>2839078</v>
      </c>
      <c r="C1692" s="168" t="s">
        <v>1593</v>
      </c>
      <c r="D1692" s="169" t="s">
        <v>3131</v>
      </c>
      <c r="E1692" s="173"/>
    </row>
    <row r="1693" spans="1:5">
      <c r="A1693" s="1" t="s">
        <v>18</v>
      </c>
      <c r="B1693" s="43">
        <v>3129471</v>
      </c>
      <c r="C1693" s="168" t="s">
        <v>1593</v>
      </c>
      <c r="D1693" s="169" t="s">
        <v>3132</v>
      </c>
      <c r="E1693" s="173"/>
    </row>
    <row r="1694" spans="1:5">
      <c r="A1694" s="1" t="s">
        <v>18</v>
      </c>
      <c r="B1694" s="43">
        <v>2875306</v>
      </c>
      <c r="C1694" s="168" t="s">
        <v>1593</v>
      </c>
      <c r="D1694" s="169" t="s">
        <v>3133</v>
      </c>
      <c r="E1694" s="173"/>
    </row>
    <row r="1695" spans="1:5">
      <c r="A1695" s="1" t="s">
        <v>18</v>
      </c>
      <c r="B1695" s="43">
        <v>2422738</v>
      </c>
      <c r="C1695" s="168" t="s">
        <v>1593</v>
      </c>
      <c r="D1695" s="169" t="s">
        <v>3134</v>
      </c>
      <c r="E1695" s="173"/>
    </row>
    <row r="1696" spans="1:5">
      <c r="A1696" s="1" t="s">
        <v>18</v>
      </c>
      <c r="B1696" s="43">
        <v>2423501</v>
      </c>
      <c r="C1696" s="168" t="s">
        <v>1593</v>
      </c>
      <c r="D1696" s="169" t="s">
        <v>3135</v>
      </c>
      <c r="E1696" s="173"/>
    </row>
    <row r="1697" spans="1:5">
      <c r="A1697" s="1" t="s">
        <v>18</v>
      </c>
      <c r="B1697" s="43">
        <v>2427503</v>
      </c>
      <c r="C1697" s="168" t="s">
        <v>71</v>
      </c>
      <c r="D1697" s="169" t="s">
        <v>3136</v>
      </c>
      <c r="E1697" s="173"/>
    </row>
    <row r="1698" spans="1:5">
      <c r="A1698" s="1" t="s">
        <v>18</v>
      </c>
      <c r="B1698" s="43">
        <v>2822422</v>
      </c>
      <c r="C1698" s="168" t="s">
        <v>71</v>
      </c>
      <c r="D1698" s="169" t="s">
        <v>2918</v>
      </c>
      <c r="E1698" s="173"/>
    </row>
    <row r="1699" spans="1:5">
      <c r="A1699" s="1" t="s">
        <v>18</v>
      </c>
      <c r="B1699" s="43">
        <v>2800329</v>
      </c>
      <c r="C1699" s="168" t="s">
        <v>71</v>
      </c>
      <c r="D1699" s="169" t="s">
        <v>3137</v>
      </c>
      <c r="E1699" s="173"/>
    </row>
    <row r="1700" spans="1:5">
      <c r="A1700" s="1" t="s">
        <v>18</v>
      </c>
      <c r="B1700" s="43">
        <v>699331</v>
      </c>
      <c r="C1700" s="168" t="s">
        <v>71</v>
      </c>
      <c r="D1700" s="169" t="s">
        <v>1736</v>
      </c>
      <c r="E1700" s="173"/>
    </row>
    <row r="1701" spans="1:5">
      <c r="A1701" s="1" t="s">
        <v>18</v>
      </c>
      <c r="B1701" s="43">
        <v>5019797</v>
      </c>
      <c r="C1701" s="168" t="s">
        <v>71</v>
      </c>
      <c r="D1701" s="169" t="s">
        <v>3138</v>
      </c>
      <c r="E1701" s="173"/>
    </row>
    <row r="1702" spans="1:5">
      <c r="A1702" s="1" t="s">
        <v>18</v>
      </c>
      <c r="B1702" s="43">
        <v>604222</v>
      </c>
      <c r="C1702" s="168" t="s">
        <v>71</v>
      </c>
      <c r="D1702" s="169" t="s">
        <v>3139</v>
      </c>
      <c r="E1702" s="173"/>
    </row>
    <row r="1703" spans="1:5">
      <c r="A1703" s="1" t="s">
        <v>18</v>
      </c>
      <c r="B1703" s="43">
        <v>483102</v>
      </c>
      <c r="C1703" s="168" t="s">
        <v>71</v>
      </c>
      <c r="D1703" s="169" t="s">
        <v>2919</v>
      </c>
      <c r="E1703" s="173"/>
    </row>
    <row r="1704" spans="1:5">
      <c r="A1704" s="1" t="s">
        <v>18</v>
      </c>
      <c r="B1704" s="43">
        <v>630598</v>
      </c>
      <c r="C1704" s="168" t="s">
        <v>71</v>
      </c>
      <c r="D1704" s="169" t="s">
        <v>3140</v>
      </c>
      <c r="E1704" s="173"/>
    </row>
    <row r="1705" spans="1:5">
      <c r="A1705" s="1" t="s">
        <v>18</v>
      </c>
      <c r="B1705" s="43">
        <v>580636</v>
      </c>
      <c r="C1705" s="168" t="s">
        <v>71</v>
      </c>
      <c r="D1705" s="169" t="s">
        <v>3141</v>
      </c>
      <c r="E1705" s="173"/>
    </row>
    <row r="1706" spans="1:5">
      <c r="A1706" s="1" t="s">
        <v>18</v>
      </c>
      <c r="B1706" s="43">
        <v>761930</v>
      </c>
      <c r="C1706" s="168" t="s">
        <v>71</v>
      </c>
      <c r="D1706" s="169" t="s">
        <v>3142</v>
      </c>
      <c r="E1706" s="173"/>
    </row>
    <row r="1707" spans="1:5">
      <c r="A1707" s="1" t="s">
        <v>18</v>
      </c>
      <c r="B1707" s="43">
        <v>761927</v>
      </c>
      <c r="C1707" s="168" t="s">
        <v>71</v>
      </c>
      <c r="D1707" s="169" t="s">
        <v>3143</v>
      </c>
      <c r="E1707" s="173"/>
    </row>
    <row r="1708" spans="1:5">
      <c r="A1708" s="1" t="s">
        <v>18</v>
      </c>
      <c r="B1708" s="43">
        <v>761928</v>
      </c>
      <c r="C1708" s="168" t="s">
        <v>71</v>
      </c>
      <c r="D1708" s="169" t="s">
        <v>3144</v>
      </c>
      <c r="E1708" s="173"/>
    </row>
    <row r="1709" spans="1:5">
      <c r="A1709" s="1" t="s">
        <v>18</v>
      </c>
      <c r="B1709" s="43">
        <v>2823322</v>
      </c>
      <c r="C1709" s="168" t="s">
        <v>71</v>
      </c>
      <c r="D1709" s="169" t="s">
        <v>3145</v>
      </c>
      <c r="E1709" s="173"/>
    </row>
    <row r="1710" spans="1:5">
      <c r="A1710" s="1" t="s">
        <v>18</v>
      </c>
      <c r="B1710" s="43">
        <v>2824377</v>
      </c>
      <c r="C1710" s="168" t="s">
        <v>71</v>
      </c>
      <c r="D1710" s="169" t="s">
        <v>3146</v>
      </c>
      <c r="E1710" s="173"/>
    </row>
    <row r="1711" spans="1:5">
      <c r="A1711" s="1" t="s">
        <v>18</v>
      </c>
      <c r="B1711" s="43">
        <v>2825693</v>
      </c>
      <c r="C1711" s="168" t="s">
        <v>71</v>
      </c>
      <c r="D1711" s="169" t="s">
        <v>3147</v>
      </c>
      <c r="E1711" s="173"/>
    </row>
    <row r="1712" spans="1:5">
      <c r="A1712" s="1" t="s">
        <v>18</v>
      </c>
      <c r="B1712" s="43">
        <v>2822664</v>
      </c>
      <c r="C1712" s="168" t="s">
        <v>71</v>
      </c>
      <c r="D1712" s="169" t="s">
        <v>3148</v>
      </c>
      <c r="E1712" s="173"/>
    </row>
    <row r="1713" spans="1:5">
      <c r="A1713" s="1" t="s">
        <v>18</v>
      </c>
      <c r="B1713" s="43">
        <v>2824427</v>
      </c>
      <c r="C1713" s="168" t="s">
        <v>71</v>
      </c>
      <c r="D1713" s="169" t="s">
        <v>2799</v>
      </c>
      <c r="E1713" s="173"/>
    </row>
    <row r="1714" spans="1:5">
      <c r="A1714" s="1" t="s">
        <v>18</v>
      </c>
      <c r="B1714" s="43">
        <v>2876175</v>
      </c>
      <c r="C1714" s="168" t="s">
        <v>71</v>
      </c>
      <c r="D1714" s="169" t="s">
        <v>2242</v>
      </c>
      <c r="E1714" s="173"/>
    </row>
    <row r="1715" spans="1:5">
      <c r="A1715" s="1" t="s">
        <v>18</v>
      </c>
      <c r="B1715" s="43">
        <v>2856038</v>
      </c>
      <c r="C1715" s="168" t="s">
        <v>71</v>
      </c>
      <c r="D1715" s="169" t="s">
        <v>3149</v>
      </c>
      <c r="E1715" s="173"/>
    </row>
    <row r="1716" spans="1:5">
      <c r="A1716" s="1" t="s">
        <v>18</v>
      </c>
      <c r="B1716" s="43">
        <v>2396687</v>
      </c>
      <c r="C1716" s="168" t="s">
        <v>71</v>
      </c>
      <c r="D1716" s="169" t="s">
        <v>3150</v>
      </c>
      <c r="E1716" s="173"/>
    </row>
    <row r="1717" spans="1:5">
      <c r="A1717" s="1" t="s">
        <v>18</v>
      </c>
      <c r="B1717" s="43">
        <v>2822590</v>
      </c>
      <c r="C1717" s="168" t="s">
        <v>71</v>
      </c>
      <c r="D1717" s="169" t="s">
        <v>3151</v>
      </c>
      <c r="E1717" s="173"/>
    </row>
    <row r="1718" spans="1:5">
      <c r="A1718" s="1" t="s">
        <v>18</v>
      </c>
      <c r="B1718" s="43">
        <v>2893046</v>
      </c>
      <c r="C1718" s="168" t="s">
        <v>71</v>
      </c>
      <c r="D1718" s="169" t="s">
        <v>3152</v>
      </c>
      <c r="E1718" s="173"/>
    </row>
    <row r="1719" spans="1:5">
      <c r="A1719" s="1" t="s">
        <v>18</v>
      </c>
      <c r="B1719" s="43">
        <v>2874109</v>
      </c>
      <c r="C1719" s="168" t="s">
        <v>71</v>
      </c>
      <c r="D1719" s="169" t="s">
        <v>3153</v>
      </c>
      <c r="E1719" s="173"/>
    </row>
    <row r="1720" spans="1:5">
      <c r="A1720" s="1" t="s">
        <v>18</v>
      </c>
      <c r="B1720" s="43">
        <v>2426686</v>
      </c>
      <c r="C1720" s="168" t="s">
        <v>71</v>
      </c>
      <c r="D1720" s="169" t="s">
        <v>3154</v>
      </c>
      <c r="E1720" s="173"/>
    </row>
    <row r="1721" spans="1:5">
      <c r="A1721" s="1" t="s">
        <v>18</v>
      </c>
      <c r="B1721" s="43">
        <v>2430044</v>
      </c>
      <c r="C1721" s="168" t="s">
        <v>71</v>
      </c>
      <c r="D1721" s="169" t="s">
        <v>3155</v>
      </c>
      <c r="E1721" s="173"/>
    </row>
    <row r="1722" spans="1:5">
      <c r="A1722" s="1" t="s">
        <v>18</v>
      </c>
      <c r="B1722" s="43">
        <v>2888136</v>
      </c>
      <c r="C1722" s="168" t="s">
        <v>71</v>
      </c>
      <c r="D1722" s="169" t="s">
        <v>3156</v>
      </c>
      <c r="E1722" s="173"/>
    </row>
    <row r="1723" spans="1:5">
      <c r="A1723" s="1" t="s">
        <v>18</v>
      </c>
      <c r="B1723" s="43">
        <v>2891047</v>
      </c>
      <c r="C1723" s="168" t="s">
        <v>71</v>
      </c>
      <c r="D1723" s="169" t="s">
        <v>3157</v>
      </c>
      <c r="E1723" s="173"/>
    </row>
    <row r="1724" spans="1:5">
      <c r="A1724" s="1" t="s">
        <v>18</v>
      </c>
      <c r="B1724" s="43">
        <v>2893046</v>
      </c>
      <c r="C1724" s="168" t="s">
        <v>71</v>
      </c>
      <c r="D1724" s="169" t="s">
        <v>3152</v>
      </c>
      <c r="E1724" s="173"/>
    </row>
    <row r="1725" spans="1:5">
      <c r="A1725" s="1" t="s">
        <v>18</v>
      </c>
      <c r="B1725" s="43">
        <v>3013249</v>
      </c>
      <c r="C1725" s="168" t="s">
        <v>71</v>
      </c>
      <c r="D1725" s="169" t="s">
        <v>3158</v>
      </c>
      <c r="E1725" s="173"/>
    </row>
    <row r="1726" spans="1:5">
      <c r="A1726" s="1" t="s">
        <v>18</v>
      </c>
      <c r="B1726" s="43">
        <v>3158742</v>
      </c>
      <c r="C1726" s="168" t="s">
        <v>71</v>
      </c>
      <c r="D1726" s="169" t="s">
        <v>3159</v>
      </c>
      <c r="E1726" s="173"/>
    </row>
    <row r="1727" spans="1:5">
      <c r="A1727" s="1" t="s">
        <v>19</v>
      </c>
      <c r="B1727" s="165" t="s">
        <v>68</v>
      </c>
      <c r="C1727" s="166" t="s">
        <v>62</v>
      </c>
      <c r="D1727" s="176" t="s">
        <v>69</v>
      </c>
      <c r="E1727" s="166" t="s">
        <v>70</v>
      </c>
    </row>
    <row r="1728" spans="1:5">
      <c r="A1728" s="1" t="s">
        <v>19</v>
      </c>
      <c r="B1728" s="43">
        <v>740417</v>
      </c>
      <c r="C1728" s="168" t="s">
        <v>83</v>
      </c>
      <c r="D1728" s="169" t="s">
        <v>2013</v>
      </c>
      <c r="E1728" s="170" t="s">
        <v>3160</v>
      </c>
    </row>
    <row r="1729" spans="1:5">
      <c r="A1729" s="1" t="s">
        <v>19</v>
      </c>
      <c r="B1729" s="43">
        <v>2825603</v>
      </c>
      <c r="C1729" s="168" t="s">
        <v>83</v>
      </c>
      <c r="D1729" s="169" t="s">
        <v>2248</v>
      </c>
      <c r="E1729" s="170" t="s">
        <v>3161</v>
      </c>
    </row>
    <row r="1730" spans="1:5">
      <c r="A1730" s="1" t="s">
        <v>19</v>
      </c>
      <c r="B1730" s="43">
        <v>693074</v>
      </c>
      <c r="C1730" s="168" t="s">
        <v>71</v>
      </c>
      <c r="D1730" s="169" t="s">
        <v>3162</v>
      </c>
      <c r="E1730" s="172" t="s">
        <v>3163</v>
      </c>
    </row>
    <row r="1731" spans="1:5">
      <c r="A1731" s="1" t="s">
        <v>19</v>
      </c>
      <c r="B1731" s="43">
        <v>2887215</v>
      </c>
      <c r="C1731" s="168" t="s">
        <v>71</v>
      </c>
      <c r="D1731" s="169" t="s">
        <v>3164</v>
      </c>
      <c r="E1731" s="172" t="s">
        <v>3165</v>
      </c>
    </row>
    <row r="1732" spans="1:5">
      <c r="A1732" s="1" t="s">
        <v>19</v>
      </c>
      <c r="B1732" s="43">
        <v>2422520</v>
      </c>
      <c r="C1732" s="168" t="s">
        <v>71</v>
      </c>
      <c r="D1732" s="169" t="s">
        <v>3166</v>
      </c>
      <c r="E1732" s="172" t="s">
        <v>3167</v>
      </c>
    </row>
    <row r="1733" spans="1:5">
      <c r="A1733" s="1" t="s">
        <v>19</v>
      </c>
      <c r="B1733" s="43">
        <v>2424509</v>
      </c>
      <c r="C1733" s="168" t="s">
        <v>90</v>
      </c>
      <c r="D1733" s="169" t="s">
        <v>3168</v>
      </c>
      <c r="E1733" s="172" t="s">
        <v>1877</v>
      </c>
    </row>
    <row r="1734" spans="1:5">
      <c r="A1734" s="1" t="s">
        <v>19</v>
      </c>
      <c r="B1734" s="43">
        <v>2881016</v>
      </c>
      <c r="C1734" s="168" t="s">
        <v>90</v>
      </c>
      <c r="D1734" s="169" t="s">
        <v>3169</v>
      </c>
      <c r="E1734" s="172" t="s">
        <v>3170</v>
      </c>
    </row>
    <row r="1735" spans="1:5">
      <c r="A1735" s="1" t="s">
        <v>19</v>
      </c>
      <c r="B1735" s="43">
        <v>2886012</v>
      </c>
      <c r="C1735" s="168" t="s">
        <v>83</v>
      </c>
      <c r="D1735" s="169" t="s">
        <v>2718</v>
      </c>
      <c r="E1735" s="170" t="s">
        <v>3171</v>
      </c>
    </row>
    <row r="1736" spans="1:5">
      <c r="A1736" s="1" t="s">
        <v>19</v>
      </c>
      <c r="B1736" s="43">
        <v>2870132</v>
      </c>
      <c r="C1736" s="168" t="s">
        <v>83</v>
      </c>
      <c r="D1736" s="169" t="s">
        <v>3172</v>
      </c>
      <c r="E1736" s="170" t="s">
        <v>1985</v>
      </c>
    </row>
    <row r="1737" spans="1:5">
      <c r="A1737" s="1" t="s">
        <v>19</v>
      </c>
      <c r="B1737" s="43">
        <v>2427402</v>
      </c>
      <c r="C1737" s="168" t="s">
        <v>83</v>
      </c>
      <c r="D1737" s="169" t="s">
        <v>3173</v>
      </c>
      <c r="E1737" s="170"/>
    </row>
    <row r="1738" spans="1:5">
      <c r="A1738" s="1" t="s">
        <v>19</v>
      </c>
      <c r="B1738" s="43">
        <v>2880279</v>
      </c>
      <c r="C1738" s="168" t="s">
        <v>71</v>
      </c>
      <c r="D1738" s="169" t="s">
        <v>3174</v>
      </c>
      <c r="E1738" s="173"/>
    </row>
    <row r="1739" spans="1:5">
      <c r="A1739" s="1" t="s">
        <v>19</v>
      </c>
      <c r="B1739" s="43">
        <v>2825692</v>
      </c>
      <c r="C1739" s="168" t="s">
        <v>71</v>
      </c>
      <c r="D1739" s="169" t="s">
        <v>3175</v>
      </c>
      <c r="E1739" s="173"/>
    </row>
    <row r="1740" spans="1:5">
      <c r="A1740" s="1" t="s">
        <v>19</v>
      </c>
      <c r="B1740" s="43">
        <v>2422439</v>
      </c>
      <c r="C1740" s="168" t="s">
        <v>71</v>
      </c>
      <c r="D1740" s="169" t="s">
        <v>3176</v>
      </c>
      <c r="E1740" s="173"/>
    </row>
    <row r="1741" spans="1:5">
      <c r="A1741" s="1" t="s">
        <v>19</v>
      </c>
      <c r="B1741" s="43">
        <v>193708</v>
      </c>
      <c r="C1741" s="168" t="s">
        <v>83</v>
      </c>
      <c r="D1741" s="169" t="s">
        <v>3177</v>
      </c>
      <c r="E1741" s="173"/>
    </row>
    <row r="1742" spans="1:5">
      <c r="A1742" s="1" t="s">
        <v>19</v>
      </c>
      <c r="B1742" s="43">
        <v>371322</v>
      </c>
      <c r="C1742" s="168" t="s">
        <v>83</v>
      </c>
      <c r="D1742" s="169" t="s">
        <v>3178</v>
      </c>
      <c r="E1742" s="173"/>
    </row>
    <row r="1743" spans="1:5">
      <c r="A1743" s="1" t="s">
        <v>19</v>
      </c>
      <c r="B1743" s="43">
        <v>651189</v>
      </c>
      <c r="C1743" s="168" t="s">
        <v>83</v>
      </c>
      <c r="D1743" s="169" t="s">
        <v>3179</v>
      </c>
      <c r="E1743" s="173"/>
    </row>
    <row r="1744" spans="1:5">
      <c r="A1744" s="1" t="s">
        <v>19</v>
      </c>
      <c r="B1744" s="43">
        <v>802826</v>
      </c>
      <c r="C1744" s="168" t="s">
        <v>83</v>
      </c>
      <c r="D1744" s="169" t="s">
        <v>3180</v>
      </c>
      <c r="E1744" s="173"/>
    </row>
    <row r="1745" spans="1:5">
      <c r="A1745" s="1" t="s">
        <v>19</v>
      </c>
      <c r="B1745" s="43">
        <v>2807101</v>
      </c>
      <c r="C1745" s="168" t="s">
        <v>83</v>
      </c>
      <c r="D1745" s="169" t="s">
        <v>3181</v>
      </c>
      <c r="E1745" s="173"/>
    </row>
    <row r="1746" spans="1:5">
      <c r="A1746" s="1" t="s">
        <v>19</v>
      </c>
      <c r="B1746" s="43">
        <v>2815116</v>
      </c>
      <c r="C1746" s="168" t="s">
        <v>83</v>
      </c>
      <c r="D1746" s="169" t="s">
        <v>3182</v>
      </c>
      <c r="E1746" s="173"/>
    </row>
    <row r="1747" spans="1:5">
      <c r="A1747" s="1" t="s">
        <v>19</v>
      </c>
      <c r="B1747" s="43">
        <v>2822580</v>
      </c>
      <c r="C1747" s="168" t="s">
        <v>83</v>
      </c>
      <c r="D1747" s="169" t="s">
        <v>2264</v>
      </c>
      <c r="E1747" s="173"/>
    </row>
    <row r="1748" spans="1:5">
      <c r="A1748" s="1" t="s">
        <v>19</v>
      </c>
      <c r="B1748" s="43">
        <v>2822581</v>
      </c>
      <c r="C1748" s="168" t="s">
        <v>83</v>
      </c>
      <c r="D1748" s="169" t="s">
        <v>2265</v>
      </c>
      <c r="E1748" s="173"/>
    </row>
    <row r="1749" spans="1:5">
      <c r="A1749" s="1" t="s">
        <v>19</v>
      </c>
      <c r="B1749" s="43">
        <v>2822582</v>
      </c>
      <c r="C1749" s="168" t="s">
        <v>83</v>
      </c>
      <c r="D1749" s="169" t="s">
        <v>2266</v>
      </c>
      <c r="E1749" s="173"/>
    </row>
    <row r="1750" spans="1:5">
      <c r="A1750" s="1" t="s">
        <v>19</v>
      </c>
      <c r="B1750" s="43">
        <v>2823488</v>
      </c>
      <c r="C1750" s="168" t="s">
        <v>83</v>
      </c>
      <c r="D1750" s="169" t="s">
        <v>2267</v>
      </c>
      <c r="E1750" s="173"/>
    </row>
    <row r="1751" spans="1:5">
      <c r="A1751" s="1" t="s">
        <v>19</v>
      </c>
      <c r="B1751" s="43">
        <v>2823513</v>
      </c>
      <c r="C1751" s="168" t="s">
        <v>83</v>
      </c>
      <c r="D1751" s="169" t="s">
        <v>2340</v>
      </c>
      <c r="E1751" s="173"/>
    </row>
    <row r="1752" spans="1:5">
      <c r="A1752" s="1" t="s">
        <v>19</v>
      </c>
      <c r="B1752" s="43">
        <v>2824204</v>
      </c>
      <c r="C1752" s="168" t="s">
        <v>83</v>
      </c>
      <c r="D1752" s="169" t="s">
        <v>3183</v>
      </c>
      <c r="E1752" s="173"/>
    </row>
    <row r="1753" spans="1:5">
      <c r="A1753" s="1" t="s">
        <v>19</v>
      </c>
      <c r="B1753" s="43">
        <v>2824265</v>
      </c>
      <c r="C1753" s="168" t="s">
        <v>83</v>
      </c>
      <c r="D1753" s="169" t="s">
        <v>3184</v>
      </c>
      <c r="E1753" s="173"/>
    </row>
    <row r="1754" spans="1:5">
      <c r="A1754" s="1" t="s">
        <v>19</v>
      </c>
      <c r="B1754" s="43">
        <v>2824356</v>
      </c>
      <c r="C1754" s="168" t="s">
        <v>83</v>
      </c>
      <c r="D1754" s="169" t="s">
        <v>2268</v>
      </c>
      <c r="E1754" s="173"/>
    </row>
    <row r="1755" spans="1:5">
      <c r="A1755" s="1" t="s">
        <v>19</v>
      </c>
      <c r="B1755" s="43">
        <v>2825375</v>
      </c>
      <c r="C1755" s="168" t="s">
        <v>83</v>
      </c>
      <c r="D1755" s="175" t="s">
        <v>3185</v>
      </c>
      <c r="E1755" s="173"/>
    </row>
    <row r="1756" spans="1:5">
      <c r="A1756" s="1" t="s">
        <v>19</v>
      </c>
      <c r="B1756" s="43">
        <v>2972232</v>
      </c>
      <c r="C1756" s="168" t="s">
        <v>83</v>
      </c>
      <c r="D1756" s="169" t="s">
        <v>3186</v>
      </c>
      <c r="E1756" s="173"/>
    </row>
    <row r="1757" spans="1:5">
      <c r="A1757" s="1" t="s">
        <v>19</v>
      </c>
      <c r="B1757" s="43">
        <v>2974328</v>
      </c>
      <c r="C1757" s="168" t="s">
        <v>83</v>
      </c>
      <c r="D1757" s="169" t="s">
        <v>3187</v>
      </c>
      <c r="E1757" s="173"/>
    </row>
    <row r="1758" spans="1:5">
      <c r="A1758" s="1" t="s">
        <v>19</v>
      </c>
      <c r="B1758" s="43">
        <v>5016707</v>
      </c>
      <c r="C1758" s="168" t="s">
        <v>83</v>
      </c>
      <c r="D1758" s="169" t="s">
        <v>3188</v>
      </c>
      <c r="E1758" s="173"/>
    </row>
    <row r="1759" spans="1:5">
      <c r="A1759" s="1" t="s">
        <v>19</v>
      </c>
      <c r="B1759" s="43">
        <v>2837268</v>
      </c>
      <c r="C1759" s="168" t="s">
        <v>83</v>
      </c>
      <c r="D1759" s="169" t="s">
        <v>1920</v>
      </c>
      <c r="E1759" s="173"/>
    </row>
    <row r="1760" spans="1:5">
      <c r="A1760" s="1" t="s">
        <v>19</v>
      </c>
      <c r="B1760" s="43">
        <v>2848077</v>
      </c>
      <c r="C1760" s="168" t="s">
        <v>83</v>
      </c>
      <c r="D1760" s="169" t="s">
        <v>3189</v>
      </c>
      <c r="E1760" s="173"/>
    </row>
    <row r="1761" spans="1:5">
      <c r="A1761" s="1" t="s">
        <v>19</v>
      </c>
      <c r="B1761" s="43">
        <v>2882089</v>
      </c>
      <c r="C1761" s="168" t="s">
        <v>83</v>
      </c>
      <c r="D1761" s="169" t="s">
        <v>3190</v>
      </c>
      <c r="E1761" s="173"/>
    </row>
    <row r="1762" spans="1:5">
      <c r="A1762" s="1" t="s">
        <v>19</v>
      </c>
      <c r="B1762" s="43">
        <v>2367359</v>
      </c>
      <c r="C1762" s="168" t="s">
        <v>83</v>
      </c>
      <c r="D1762" s="169" t="s">
        <v>3191</v>
      </c>
      <c r="E1762" s="173"/>
    </row>
    <row r="1763" spans="1:5">
      <c r="A1763" s="1" t="s">
        <v>19</v>
      </c>
      <c r="B1763" s="43">
        <v>2878127</v>
      </c>
      <c r="C1763" s="168" t="s">
        <v>83</v>
      </c>
      <c r="D1763" s="169" t="s">
        <v>3192</v>
      </c>
      <c r="E1763" s="173"/>
    </row>
    <row r="1764" spans="1:5">
      <c r="A1764" s="1" t="s">
        <v>19</v>
      </c>
      <c r="B1764" s="43">
        <v>2874215</v>
      </c>
      <c r="C1764" s="168" t="s">
        <v>83</v>
      </c>
      <c r="D1764" s="169" t="s">
        <v>3193</v>
      </c>
      <c r="E1764" s="173"/>
    </row>
    <row r="1765" spans="1:5">
      <c r="A1765" s="1" t="s">
        <v>19</v>
      </c>
      <c r="B1765" s="43">
        <v>2875261</v>
      </c>
      <c r="C1765" s="168" t="s">
        <v>83</v>
      </c>
      <c r="D1765" s="169" t="s">
        <v>3194</v>
      </c>
      <c r="E1765" s="173"/>
    </row>
    <row r="1766" spans="1:5">
      <c r="A1766" s="1" t="s">
        <v>19</v>
      </c>
      <c r="B1766" s="43">
        <v>2875262</v>
      </c>
      <c r="C1766" s="168" t="s">
        <v>83</v>
      </c>
      <c r="D1766" s="169" t="s">
        <v>3195</v>
      </c>
      <c r="E1766" s="173"/>
    </row>
    <row r="1767" spans="1:5">
      <c r="A1767" s="1" t="s">
        <v>19</v>
      </c>
      <c r="B1767" s="43">
        <v>2875381</v>
      </c>
      <c r="C1767" s="168" t="s">
        <v>83</v>
      </c>
      <c r="D1767" s="169" t="s">
        <v>3196</v>
      </c>
      <c r="E1767" s="173"/>
    </row>
    <row r="1768" spans="1:5">
      <c r="A1768" s="1" t="s">
        <v>19</v>
      </c>
      <c r="B1768" s="43">
        <v>2875382</v>
      </c>
      <c r="C1768" s="168" t="s">
        <v>83</v>
      </c>
      <c r="D1768" s="169" t="s">
        <v>3197</v>
      </c>
      <c r="E1768" s="173"/>
    </row>
    <row r="1769" spans="1:5">
      <c r="A1769" s="1" t="s">
        <v>19</v>
      </c>
      <c r="B1769" s="43">
        <v>2876325</v>
      </c>
      <c r="C1769" s="168" t="s">
        <v>83</v>
      </c>
      <c r="D1769" s="169" t="s">
        <v>3198</v>
      </c>
      <c r="E1769" s="173"/>
    </row>
    <row r="1770" spans="1:5">
      <c r="A1770" s="1" t="s">
        <v>19</v>
      </c>
      <c r="B1770" s="43">
        <v>2876326</v>
      </c>
      <c r="C1770" s="168" t="s">
        <v>83</v>
      </c>
      <c r="D1770" s="169" t="s">
        <v>3199</v>
      </c>
      <c r="E1770" s="173"/>
    </row>
    <row r="1771" spans="1:5">
      <c r="A1771" s="1" t="s">
        <v>19</v>
      </c>
      <c r="B1771" s="43">
        <v>2877360</v>
      </c>
      <c r="C1771" s="168" t="s">
        <v>83</v>
      </c>
      <c r="D1771" s="169" t="s">
        <v>3200</v>
      </c>
      <c r="E1771" s="173"/>
    </row>
    <row r="1772" spans="1:5">
      <c r="A1772" s="1" t="s">
        <v>19</v>
      </c>
      <c r="B1772" s="43">
        <v>2874216</v>
      </c>
      <c r="C1772" s="168" t="s">
        <v>83</v>
      </c>
      <c r="D1772" s="169" t="s">
        <v>2961</v>
      </c>
      <c r="E1772" s="173"/>
    </row>
    <row r="1773" spans="1:5">
      <c r="A1773" s="1" t="s">
        <v>19</v>
      </c>
      <c r="B1773" s="43">
        <v>2885014</v>
      </c>
      <c r="C1773" s="168" t="s">
        <v>83</v>
      </c>
      <c r="D1773" s="169" t="s">
        <v>1713</v>
      </c>
      <c r="E1773" s="173"/>
    </row>
    <row r="1774" spans="1:5">
      <c r="A1774" s="1" t="s">
        <v>19</v>
      </c>
      <c r="B1774" s="43">
        <v>2878239</v>
      </c>
      <c r="C1774" s="168" t="s">
        <v>83</v>
      </c>
      <c r="D1774" s="169" t="s">
        <v>3201</v>
      </c>
      <c r="E1774" s="173"/>
    </row>
    <row r="1775" spans="1:5">
      <c r="A1775" s="1" t="s">
        <v>19</v>
      </c>
      <c r="B1775" s="43">
        <v>2880193</v>
      </c>
      <c r="C1775" s="168" t="s">
        <v>83</v>
      </c>
      <c r="D1775" s="169" t="s">
        <v>3202</v>
      </c>
      <c r="E1775" s="173"/>
    </row>
    <row r="1776" spans="1:5">
      <c r="A1776" s="1" t="s">
        <v>19</v>
      </c>
      <c r="B1776" s="43">
        <v>2886192</v>
      </c>
      <c r="C1776" s="168" t="s">
        <v>83</v>
      </c>
      <c r="D1776" s="169" t="s">
        <v>3203</v>
      </c>
      <c r="E1776" s="173"/>
    </row>
    <row r="1777" spans="1:5">
      <c r="A1777" s="1" t="s">
        <v>19</v>
      </c>
      <c r="B1777" s="43">
        <v>2883252</v>
      </c>
      <c r="C1777" s="168" t="s">
        <v>83</v>
      </c>
      <c r="D1777" s="169" t="s">
        <v>3204</v>
      </c>
      <c r="E1777" s="173"/>
    </row>
    <row r="1778" spans="1:5">
      <c r="A1778" s="1" t="s">
        <v>19</v>
      </c>
      <c r="B1778" s="43">
        <v>2883253</v>
      </c>
      <c r="C1778" s="168" t="s">
        <v>83</v>
      </c>
      <c r="D1778" s="169" t="s">
        <v>3205</v>
      </c>
      <c r="E1778" s="173"/>
    </row>
    <row r="1779" spans="1:5">
      <c r="A1779" s="1" t="s">
        <v>19</v>
      </c>
      <c r="B1779" s="43">
        <v>2886306</v>
      </c>
      <c r="C1779" s="168" t="s">
        <v>83</v>
      </c>
      <c r="D1779" s="169" t="s">
        <v>3206</v>
      </c>
      <c r="E1779" s="173"/>
    </row>
    <row r="1780" spans="1:5">
      <c r="A1780" s="1" t="s">
        <v>19</v>
      </c>
      <c r="B1780" s="43">
        <v>2887333</v>
      </c>
      <c r="C1780" s="168" t="s">
        <v>83</v>
      </c>
      <c r="D1780" s="169" t="s">
        <v>3207</v>
      </c>
      <c r="E1780" s="173"/>
    </row>
    <row r="1781" spans="1:5">
      <c r="A1781" s="1" t="s">
        <v>19</v>
      </c>
      <c r="B1781" s="43">
        <v>2887334</v>
      </c>
      <c r="C1781" s="168" t="s">
        <v>83</v>
      </c>
      <c r="D1781" s="169" t="s">
        <v>3208</v>
      </c>
      <c r="E1781" s="173"/>
    </row>
    <row r="1782" spans="1:5">
      <c r="A1782" s="1" t="s">
        <v>19</v>
      </c>
      <c r="B1782" s="43">
        <v>2890117</v>
      </c>
      <c r="C1782" s="168" t="s">
        <v>83</v>
      </c>
      <c r="D1782" s="169" t="s">
        <v>3209</v>
      </c>
      <c r="E1782" s="173"/>
    </row>
    <row r="1783" spans="1:5">
      <c r="A1783" s="1" t="s">
        <v>19</v>
      </c>
      <c r="B1783" s="43">
        <v>2421703</v>
      </c>
      <c r="C1783" s="168" t="s">
        <v>83</v>
      </c>
      <c r="D1783" s="169" t="s">
        <v>3210</v>
      </c>
      <c r="E1783" s="173"/>
    </row>
    <row r="1784" spans="1:5">
      <c r="A1784" s="1" t="s">
        <v>19</v>
      </c>
      <c r="B1784" s="43">
        <v>3157766</v>
      </c>
      <c r="C1784" s="168" t="s">
        <v>83</v>
      </c>
      <c r="D1784" s="169" t="s">
        <v>2271</v>
      </c>
      <c r="E1784" s="173"/>
    </row>
    <row r="1785" spans="1:5">
      <c r="A1785" s="1" t="s">
        <v>19</v>
      </c>
      <c r="B1785" s="43">
        <v>2896814</v>
      </c>
      <c r="C1785" s="168" t="s">
        <v>83</v>
      </c>
      <c r="D1785" s="169" t="s">
        <v>3211</v>
      </c>
      <c r="E1785" s="173"/>
    </row>
    <row r="1786" spans="1:5">
      <c r="A1786" s="1" t="s">
        <v>19</v>
      </c>
      <c r="B1786" s="43">
        <v>3002670</v>
      </c>
      <c r="C1786" s="168" t="s">
        <v>83</v>
      </c>
      <c r="D1786" s="169" t="s">
        <v>3212</v>
      </c>
      <c r="E1786" s="173"/>
    </row>
    <row r="1787" spans="1:5">
      <c r="A1787" s="1" t="s">
        <v>19</v>
      </c>
      <c r="B1787" s="43">
        <v>2863038</v>
      </c>
      <c r="C1787" s="168" t="s">
        <v>773</v>
      </c>
      <c r="D1787" s="169" t="s">
        <v>3213</v>
      </c>
      <c r="E1787" s="173"/>
    </row>
    <row r="1788" spans="1:5">
      <c r="A1788" s="1" t="s">
        <v>19</v>
      </c>
      <c r="B1788" s="43">
        <v>520214</v>
      </c>
      <c r="C1788" s="168" t="s">
        <v>773</v>
      </c>
      <c r="D1788" s="169" t="s">
        <v>3214</v>
      </c>
      <c r="E1788" s="173"/>
    </row>
    <row r="1789" spans="1:5">
      <c r="A1789" s="1" t="s">
        <v>19</v>
      </c>
      <c r="B1789" s="43">
        <v>574679</v>
      </c>
      <c r="C1789" s="168" t="s">
        <v>773</v>
      </c>
      <c r="D1789" s="169" t="s">
        <v>3215</v>
      </c>
      <c r="E1789" s="173"/>
    </row>
    <row r="1790" spans="1:5">
      <c r="A1790" s="1" t="s">
        <v>19</v>
      </c>
      <c r="B1790" s="43">
        <v>602885</v>
      </c>
      <c r="C1790" s="168" t="s">
        <v>773</v>
      </c>
      <c r="D1790" s="169" t="s">
        <v>3216</v>
      </c>
      <c r="E1790" s="173"/>
    </row>
    <row r="1791" spans="1:5">
      <c r="A1791" s="1" t="s">
        <v>19</v>
      </c>
      <c r="B1791" s="43">
        <v>612173</v>
      </c>
      <c r="C1791" s="168" t="s">
        <v>773</v>
      </c>
      <c r="D1791" s="169" t="s">
        <v>1947</v>
      </c>
      <c r="E1791" s="173"/>
    </row>
    <row r="1792" spans="1:5">
      <c r="A1792" s="1" t="s">
        <v>19</v>
      </c>
      <c r="B1792" s="43">
        <v>193711</v>
      </c>
      <c r="C1792" s="168" t="s">
        <v>71</v>
      </c>
      <c r="D1792" s="169" t="s">
        <v>3217</v>
      </c>
      <c r="E1792" s="173"/>
    </row>
    <row r="1793" spans="1:5">
      <c r="A1793" s="1" t="s">
        <v>19</v>
      </c>
      <c r="B1793" s="43">
        <v>415358</v>
      </c>
      <c r="C1793" s="168" t="s">
        <v>71</v>
      </c>
      <c r="D1793" s="169" t="s">
        <v>3218</v>
      </c>
      <c r="E1793" s="173"/>
    </row>
    <row r="1794" spans="1:5">
      <c r="A1794" s="1" t="s">
        <v>19</v>
      </c>
      <c r="B1794" s="43">
        <v>415362</v>
      </c>
      <c r="C1794" s="168" t="s">
        <v>71</v>
      </c>
      <c r="D1794" s="169" t="s">
        <v>3058</v>
      </c>
      <c r="E1794" s="173"/>
    </row>
    <row r="1795" spans="1:5">
      <c r="A1795" s="1" t="s">
        <v>19</v>
      </c>
      <c r="B1795" s="43">
        <v>460440</v>
      </c>
      <c r="C1795" s="168" t="s">
        <v>71</v>
      </c>
      <c r="D1795" s="169" t="s">
        <v>3219</v>
      </c>
      <c r="E1795" s="173"/>
    </row>
    <row r="1796" spans="1:5">
      <c r="A1796" s="1" t="s">
        <v>19</v>
      </c>
      <c r="B1796" s="43">
        <v>461911</v>
      </c>
      <c r="C1796" s="168" t="s">
        <v>71</v>
      </c>
      <c r="D1796" s="169" t="s">
        <v>3220</v>
      </c>
      <c r="E1796" s="173"/>
    </row>
    <row r="1797" spans="1:5">
      <c r="A1797" s="1" t="s">
        <v>19</v>
      </c>
      <c r="B1797" s="43">
        <v>504664</v>
      </c>
      <c r="C1797" s="168" t="s">
        <v>71</v>
      </c>
      <c r="D1797" s="169" t="s">
        <v>3221</v>
      </c>
      <c r="E1797" s="173"/>
    </row>
    <row r="1798" spans="1:5">
      <c r="A1798" s="1" t="s">
        <v>19</v>
      </c>
      <c r="B1798" s="43">
        <v>548711</v>
      </c>
      <c r="C1798" s="168" t="s">
        <v>71</v>
      </c>
      <c r="D1798" s="169" t="s">
        <v>3222</v>
      </c>
      <c r="E1798" s="173"/>
    </row>
    <row r="1799" spans="1:5">
      <c r="A1799" s="1" t="s">
        <v>19</v>
      </c>
      <c r="B1799" s="43">
        <v>548713</v>
      </c>
      <c r="C1799" s="168" t="s">
        <v>71</v>
      </c>
      <c r="D1799" s="169" t="s">
        <v>3223</v>
      </c>
      <c r="E1799" s="173"/>
    </row>
    <row r="1800" spans="1:5">
      <c r="A1800" s="1" t="s">
        <v>19</v>
      </c>
      <c r="B1800" s="43">
        <v>560125</v>
      </c>
      <c r="C1800" s="168" t="s">
        <v>71</v>
      </c>
      <c r="D1800" s="169" t="s">
        <v>3224</v>
      </c>
      <c r="E1800" s="173"/>
    </row>
    <row r="1801" spans="1:5">
      <c r="A1801" s="1" t="s">
        <v>19</v>
      </c>
      <c r="B1801" s="43">
        <v>587596</v>
      </c>
      <c r="C1801" s="168" t="s">
        <v>71</v>
      </c>
      <c r="D1801" s="169" t="s">
        <v>3225</v>
      </c>
      <c r="E1801" s="173"/>
    </row>
    <row r="1802" spans="1:5">
      <c r="A1802" s="1" t="s">
        <v>19</v>
      </c>
      <c r="B1802" s="43">
        <v>602886</v>
      </c>
      <c r="C1802" s="168" t="s">
        <v>71</v>
      </c>
      <c r="D1802" s="169" t="s">
        <v>3226</v>
      </c>
      <c r="E1802" s="173"/>
    </row>
    <row r="1803" spans="1:5">
      <c r="A1803" s="1" t="s">
        <v>19</v>
      </c>
      <c r="B1803" s="43">
        <v>602887</v>
      </c>
      <c r="C1803" s="168" t="s">
        <v>71</v>
      </c>
      <c r="D1803" s="169" t="s">
        <v>3227</v>
      </c>
      <c r="E1803" s="173"/>
    </row>
    <row r="1804" spans="1:5">
      <c r="A1804" s="1" t="s">
        <v>19</v>
      </c>
      <c r="B1804" s="43">
        <v>624264</v>
      </c>
      <c r="C1804" s="168" t="s">
        <v>71</v>
      </c>
      <c r="D1804" s="169" t="s">
        <v>3228</v>
      </c>
      <c r="E1804" s="173"/>
    </row>
    <row r="1805" spans="1:5">
      <c r="A1805" s="1" t="s">
        <v>19</v>
      </c>
      <c r="B1805" s="43">
        <v>633847</v>
      </c>
      <c r="C1805" s="168" t="s">
        <v>71</v>
      </c>
      <c r="D1805" s="169" t="s">
        <v>3229</v>
      </c>
      <c r="E1805" s="173"/>
    </row>
    <row r="1806" spans="1:5">
      <c r="A1806" s="1" t="s">
        <v>19</v>
      </c>
      <c r="B1806" s="43">
        <v>667359</v>
      </c>
      <c r="C1806" s="168" t="s">
        <v>71</v>
      </c>
      <c r="D1806" s="169" t="s">
        <v>3230</v>
      </c>
      <c r="E1806" s="173"/>
    </row>
    <row r="1807" spans="1:5">
      <c r="A1807" s="1" t="s">
        <v>19</v>
      </c>
      <c r="B1807" s="43">
        <v>758619</v>
      </c>
      <c r="C1807" s="168" t="s">
        <v>71</v>
      </c>
      <c r="D1807" s="169" t="s">
        <v>3231</v>
      </c>
      <c r="E1807" s="173"/>
    </row>
    <row r="1808" spans="1:5">
      <c r="A1808" s="1" t="s">
        <v>19</v>
      </c>
      <c r="B1808" s="43">
        <v>769275</v>
      </c>
      <c r="C1808" s="168" t="s">
        <v>71</v>
      </c>
      <c r="D1808" s="169" t="s">
        <v>3232</v>
      </c>
      <c r="E1808" s="173"/>
    </row>
    <row r="1809" spans="1:5">
      <c r="A1809" s="1" t="s">
        <v>19</v>
      </c>
      <c r="B1809" s="43">
        <v>772320</v>
      </c>
      <c r="C1809" s="168" t="s">
        <v>71</v>
      </c>
      <c r="D1809" s="169" t="s">
        <v>3233</v>
      </c>
      <c r="E1809" s="173"/>
    </row>
    <row r="1810" spans="1:5">
      <c r="A1810" s="1" t="s">
        <v>19</v>
      </c>
      <c r="B1810" s="43">
        <v>2226728</v>
      </c>
      <c r="C1810" s="168" t="s">
        <v>71</v>
      </c>
      <c r="D1810" s="169" t="s">
        <v>2140</v>
      </c>
      <c r="E1810" s="173"/>
    </row>
    <row r="1811" spans="1:5">
      <c r="A1811" s="1" t="s">
        <v>19</v>
      </c>
      <c r="B1811" s="43">
        <v>2814164</v>
      </c>
      <c r="C1811" s="168" t="s">
        <v>71</v>
      </c>
      <c r="D1811" s="169" t="s">
        <v>3234</v>
      </c>
      <c r="E1811" s="173"/>
    </row>
    <row r="1812" spans="1:5">
      <c r="A1812" s="1" t="s">
        <v>19</v>
      </c>
      <c r="B1812" s="43">
        <v>2822055</v>
      </c>
      <c r="C1812" s="168" t="s">
        <v>71</v>
      </c>
      <c r="D1812" s="169" t="s">
        <v>3235</v>
      </c>
      <c r="E1812" s="173"/>
    </row>
    <row r="1813" spans="1:5">
      <c r="A1813" s="1" t="s">
        <v>19</v>
      </c>
      <c r="B1813" s="43">
        <v>5035799</v>
      </c>
      <c r="C1813" s="168" t="s">
        <v>71</v>
      </c>
      <c r="D1813" s="169" t="s">
        <v>3236</v>
      </c>
      <c r="E1813" s="173"/>
    </row>
    <row r="1814" spans="1:5">
      <c r="A1814" s="1" t="s">
        <v>19</v>
      </c>
      <c r="B1814" s="43">
        <v>2846052</v>
      </c>
      <c r="C1814" s="168" t="s">
        <v>71</v>
      </c>
      <c r="D1814" s="169" t="s">
        <v>3237</v>
      </c>
      <c r="E1814" s="173"/>
    </row>
    <row r="1815" spans="1:5">
      <c r="A1815" s="1" t="s">
        <v>19</v>
      </c>
      <c r="B1815" s="43">
        <v>2834042</v>
      </c>
      <c r="C1815" s="168" t="s">
        <v>71</v>
      </c>
      <c r="D1815" s="169" t="s">
        <v>2146</v>
      </c>
      <c r="E1815" s="173"/>
    </row>
    <row r="1816" spans="1:5">
      <c r="A1816" s="1" t="s">
        <v>19</v>
      </c>
      <c r="B1816" s="43">
        <v>2888117</v>
      </c>
      <c r="C1816" s="168" t="s">
        <v>71</v>
      </c>
      <c r="D1816" s="169" t="s">
        <v>3238</v>
      </c>
      <c r="E1816" s="173"/>
    </row>
    <row r="1817" spans="1:5">
      <c r="A1817" s="1" t="s">
        <v>19</v>
      </c>
      <c r="B1817" s="43">
        <v>2282148</v>
      </c>
      <c r="C1817" s="168" t="s">
        <v>71</v>
      </c>
      <c r="D1817" s="169" t="s">
        <v>3239</v>
      </c>
      <c r="E1817" s="173"/>
    </row>
    <row r="1818" spans="1:5">
      <c r="A1818" s="1" t="s">
        <v>19</v>
      </c>
      <c r="B1818" s="43">
        <v>2825697</v>
      </c>
      <c r="C1818" s="168" t="s">
        <v>71</v>
      </c>
      <c r="D1818" s="169" t="s">
        <v>3240</v>
      </c>
      <c r="E1818" s="173"/>
    </row>
    <row r="1819" spans="1:5">
      <c r="A1819" s="1" t="s">
        <v>19</v>
      </c>
      <c r="B1819" s="43">
        <v>777346</v>
      </c>
      <c r="C1819" s="168" t="s">
        <v>90</v>
      </c>
      <c r="D1819" s="169" t="s">
        <v>3241</v>
      </c>
      <c r="E1819" s="173"/>
    </row>
    <row r="1820" spans="1:5">
      <c r="A1820" s="1" t="s">
        <v>19</v>
      </c>
      <c r="B1820" s="43">
        <v>797727</v>
      </c>
      <c r="C1820" s="168" t="s">
        <v>90</v>
      </c>
      <c r="D1820" s="169" t="s">
        <v>3242</v>
      </c>
      <c r="E1820" s="173"/>
    </row>
    <row r="1821" spans="1:5">
      <c r="A1821" s="1" t="s">
        <v>19</v>
      </c>
      <c r="B1821" s="43">
        <v>2811346</v>
      </c>
      <c r="C1821" s="168" t="s">
        <v>90</v>
      </c>
      <c r="D1821" s="169" t="s">
        <v>3243</v>
      </c>
      <c r="E1821" s="173"/>
    </row>
    <row r="1822" spans="1:5">
      <c r="A1822" s="1" t="s">
        <v>19</v>
      </c>
      <c r="B1822" s="43">
        <v>5016699</v>
      </c>
      <c r="C1822" s="168" t="s">
        <v>90</v>
      </c>
      <c r="D1822" s="169" t="s">
        <v>3244</v>
      </c>
      <c r="E1822" s="173"/>
    </row>
    <row r="1823" spans="1:5">
      <c r="A1823" s="1" t="s">
        <v>19</v>
      </c>
      <c r="B1823" s="43">
        <v>2854002</v>
      </c>
      <c r="C1823" s="168" t="s">
        <v>90</v>
      </c>
      <c r="D1823" s="169" t="s">
        <v>3245</v>
      </c>
      <c r="E1823" s="173"/>
    </row>
    <row r="1824" spans="1:5">
      <c r="A1824" s="1" t="s">
        <v>19</v>
      </c>
      <c r="B1824" s="43">
        <v>148625</v>
      </c>
      <c r="C1824" s="168" t="s">
        <v>1593</v>
      </c>
      <c r="D1824" s="169" t="s">
        <v>1978</v>
      </c>
      <c r="E1824" s="173"/>
    </row>
    <row r="1825" spans="1:5">
      <c r="A1825" s="1" t="s">
        <v>19</v>
      </c>
      <c r="B1825" s="43">
        <v>2800332</v>
      </c>
      <c r="C1825" s="168" t="s">
        <v>1593</v>
      </c>
      <c r="D1825" s="169" t="s">
        <v>2459</v>
      </c>
      <c r="E1825" s="173"/>
    </row>
    <row r="1826" spans="1:5">
      <c r="A1826" s="1" t="s">
        <v>19</v>
      </c>
      <c r="B1826" s="43">
        <v>2822652</v>
      </c>
      <c r="C1826" s="168" t="s">
        <v>1593</v>
      </c>
      <c r="D1826" s="169" t="s">
        <v>2282</v>
      </c>
      <c r="E1826" s="173"/>
    </row>
    <row r="1827" spans="1:5">
      <c r="A1827" s="1" t="s">
        <v>19</v>
      </c>
      <c r="B1827" s="43">
        <v>2837265</v>
      </c>
      <c r="C1827" s="168" t="s">
        <v>1593</v>
      </c>
      <c r="D1827" s="169" t="s">
        <v>2967</v>
      </c>
      <c r="E1827" s="173"/>
    </row>
    <row r="1828" spans="1:5">
      <c r="A1828" s="1" t="s">
        <v>19</v>
      </c>
      <c r="B1828" s="43">
        <v>2839081</v>
      </c>
      <c r="C1828" s="168" t="s">
        <v>1593</v>
      </c>
      <c r="D1828" s="169" t="s">
        <v>3246</v>
      </c>
      <c r="E1828" s="173"/>
    </row>
    <row r="1829" spans="1:5">
      <c r="A1829" s="1" t="s">
        <v>19</v>
      </c>
      <c r="B1829" s="43">
        <v>3114007</v>
      </c>
      <c r="C1829" s="168" t="s">
        <v>1593</v>
      </c>
      <c r="D1829" s="169" t="s">
        <v>3247</v>
      </c>
      <c r="E1829" s="173"/>
    </row>
    <row r="1830" spans="1:5">
      <c r="A1830" s="1" t="s">
        <v>20</v>
      </c>
      <c r="B1830" s="165" t="s">
        <v>68</v>
      </c>
      <c r="C1830" s="166" t="s">
        <v>62</v>
      </c>
      <c r="D1830" s="176" t="s">
        <v>69</v>
      </c>
      <c r="E1830" s="166" t="s">
        <v>70</v>
      </c>
    </row>
    <row r="1831" spans="1:5">
      <c r="A1831" s="1" t="s">
        <v>20</v>
      </c>
      <c r="B1831" s="43">
        <v>689761</v>
      </c>
      <c r="C1831" s="168" t="s">
        <v>90</v>
      </c>
      <c r="D1831" s="169" t="s">
        <v>1681</v>
      </c>
      <c r="E1831" s="170" t="s">
        <v>3248</v>
      </c>
    </row>
    <row r="1832" spans="1:5">
      <c r="A1832" s="1" t="s">
        <v>20</v>
      </c>
      <c r="B1832" s="43">
        <v>592487</v>
      </c>
      <c r="C1832" s="168" t="s">
        <v>90</v>
      </c>
      <c r="D1832" s="169" t="s">
        <v>3249</v>
      </c>
      <c r="E1832" s="170" t="s">
        <v>2303</v>
      </c>
    </row>
    <row r="1833" spans="1:5">
      <c r="A1833" s="1" t="s">
        <v>20</v>
      </c>
      <c r="B1833" s="43">
        <v>373562</v>
      </c>
      <c r="C1833" s="168" t="s">
        <v>90</v>
      </c>
      <c r="D1833" s="169" t="s">
        <v>3250</v>
      </c>
      <c r="E1833" s="170" t="s">
        <v>2968</v>
      </c>
    </row>
    <row r="1834" spans="1:5">
      <c r="A1834" s="1" t="s">
        <v>20</v>
      </c>
      <c r="B1834" s="43">
        <v>2817142</v>
      </c>
      <c r="C1834" s="168" t="s">
        <v>90</v>
      </c>
      <c r="D1834" s="169" t="s">
        <v>3251</v>
      </c>
      <c r="E1834" s="170" t="s">
        <v>3252</v>
      </c>
    </row>
    <row r="1835" spans="1:5">
      <c r="A1835" s="1" t="s">
        <v>20</v>
      </c>
      <c r="B1835" s="43">
        <v>418270</v>
      </c>
      <c r="C1835" s="168" t="s">
        <v>90</v>
      </c>
      <c r="D1835" s="169" t="s">
        <v>2678</v>
      </c>
      <c r="E1835" s="170" t="s">
        <v>2465</v>
      </c>
    </row>
    <row r="1836" spans="1:5">
      <c r="A1836" s="1" t="s">
        <v>20</v>
      </c>
      <c r="B1836" s="43">
        <v>598478</v>
      </c>
      <c r="C1836" s="168" t="s">
        <v>90</v>
      </c>
      <c r="D1836" s="169" t="s">
        <v>2676</v>
      </c>
      <c r="E1836" s="170" t="s">
        <v>2012</v>
      </c>
    </row>
    <row r="1837" spans="1:5">
      <c r="A1837" s="1" t="s">
        <v>20</v>
      </c>
      <c r="B1837" s="43">
        <v>667354</v>
      </c>
      <c r="C1837" s="168" t="s">
        <v>90</v>
      </c>
      <c r="D1837" s="169" t="s">
        <v>2974</v>
      </c>
      <c r="E1837" s="172" t="s">
        <v>2317</v>
      </c>
    </row>
    <row r="1838" spans="1:5">
      <c r="A1838" s="1" t="s">
        <v>20</v>
      </c>
      <c r="B1838" s="43">
        <v>772319</v>
      </c>
      <c r="C1838" s="168" t="s">
        <v>90</v>
      </c>
      <c r="D1838" s="169" t="s">
        <v>2680</v>
      </c>
      <c r="E1838" s="170" t="s">
        <v>3253</v>
      </c>
    </row>
    <row r="1839" spans="1:5">
      <c r="A1839" s="1" t="s">
        <v>20</v>
      </c>
      <c r="B1839" s="43">
        <v>2895588</v>
      </c>
      <c r="C1839" s="168" t="s">
        <v>90</v>
      </c>
      <c r="D1839" s="169" t="s">
        <v>2299</v>
      </c>
      <c r="E1839" s="170" t="s">
        <v>2813</v>
      </c>
    </row>
    <row r="1840" spans="1:5">
      <c r="A1840" s="1" t="s">
        <v>20</v>
      </c>
      <c r="B1840" s="43">
        <v>2846000</v>
      </c>
      <c r="C1840" s="168" t="s">
        <v>83</v>
      </c>
      <c r="D1840" s="169" t="s">
        <v>2857</v>
      </c>
      <c r="E1840" s="170" t="s">
        <v>2817</v>
      </c>
    </row>
    <row r="1841" spans="1:5">
      <c r="A1841" s="1" t="s">
        <v>20</v>
      </c>
      <c r="B1841" s="43">
        <v>737754</v>
      </c>
      <c r="C1841" s="168" t="s">
        <v>83</v>
      </c>
      <c r="D1841" s="169" t="s">
        <v>2969</v>
      </c>
      <c r="E1841" s="170"/>
    </row>
    <row r="1842" spans="1:5">
      <c r="A1842" s="1" t="s">
        <v>20</v>
      </c>
      <c r="B1842" s="43">
        <v>182403</v>
      </c>
      <c r="C1842" s="168" t="s">
        <v>71</v>
      </c>
      <c r="D1842" s="169" t="s">
        <v>3254</v>
      </c>
      <c r="E1842" s="170"/>
    </row>
    <row r="1843" spans="1:5">
      <c r="A1843" s="1" t="s">
        <v>20</v>
      </c>
      <c r="B1843" s="43">
        <v>373563</v>
      </c>
      <c r="C1843" s="168" t="s">
        <v>71</v>
      </c>
      <c r="D1843" s="169" t="s">
        <v>3255</v>
      </c>
      <c r="E1843" s="170"/>
    </row>
    <row r="1844" spans="1:5">
      <c r="A1844" s="1" t="s">
        <v>20</v>
      </c>
      <c r="B1844" s="43">
        <v>431182</v>
      </c>
      <c r="C1844" s="168" t="s">
        <v>71</v>
      </c>
      <c r="D1844" s="169" t="s">
        <v>2815</v>
      </c>
      <c r="E1844" s="170"/>
    </row>
    <row r="1845" spans="1:5">
      <c r="A1845" s="1" t="s">
        <v>20</v>
      </c>
      <c r="B1845" s="43">
        <v>2811712</v>
      </c>
      <c r="C1845" s="168" t="s">
        <v>1593</v>
      </c>
      <c r="D1845" s="169" t="s">
        <v>1687</v>
      </c>
      <c r="E1845" s="172"/>
    </row>
    <row r="1846" spans="1:5">
      <c r="A1846" s="1" t="s">
        <v>20</v>
      </c>
      <c r="B1846" s="43">
        <v>782126</v>
      </c>
      <c r="C1846" s="168" t="s">
        <v>1593</v>
      </c>
      <c r="D1846" s="169" t="s">
        <v>2214</v>
      </c>
      <c r="E1846" s="170"/>
    </row>
    <row r="1847" spans="1:5">
      <c r="A1847" s="1" t="s">
        <v>20</v>
      </c>
      <c r="B1847" s="43">
        <v>685023</v>
      </c>
      <c r="C1847" s="168" t="s">
        <v>90</v>
      </c>
      <c r="D1847" s="169" t="s">
        <v>2878</v>
      </c>
      <c r="E1847" s="170"/>
    </row>
    <row r="1848" spans="1:5">
      <c r="A1848" s="1" t="s">
        <v>20</v>
      </c>
      <c r="B1848" s="43">
        <v>602861</v>
      </c>
      <c r="C1848" s="168" t="s">
        <v>90</v>
      </c>
      <c r="D1848" s="169" t="s">
        <v>2821</v>
      </c>
      <c r="E1848" s="170"/>
    </row>
    <row r="1849" spans="1:5">
      <c r="A1849" s="1" t="s">
        <v>20</v>
      </c>
      <c r="B1849" s="43">
        <v>5028616</v>
      </c>
      <c r="C1849" s="168" t="s">
        <v>90</v>
      </c>
      <c r="D1849" s="169" t="s">
        <v>3256</v>
      </c>
      <c r="E1849" s="173"/>
    </row>
    <row r="1850" spans="1:5">
      <c r="A1850" s="1" t="s">
        <v>20</v>
      </c>
      <c r="B1850" s="43">
        <v>2822054</v>
      </c>
      <c r="C1850" s="168" t="s">
        <v>90</v>
      </c>
      <c r="D1850" s="169" t="s">
        <v>3257</v>
      </c>
      <c r="E1850" s="173"/>
    </row>
    <row r="1851" spans="1:5">
      <c r="A1851" s="1" t="s">
        <v>20</v>
      </c>
      <c r="B1851" s="43">
        <v>5028627</v>
      </c>
      <c r="C1851" s="168" t="s">
        <v>90</v>
      </c>
      <c r="D1851" s="169" t="s">
        <v>1882</v>
      </c>
      <c r="E1851" s="173"/>
    </row>
    <row r="1852" spans="1:5">
      <c r="A1852" s="1" t="s">
        <v>20</v>
      </c>
      <c r="B1852" s="43">
        <v>2825161</v>
      </c>
      <c r="C1852" s="168" t="s">
        <v>773</v>
      </c>
      <c r="D1852" s="169" t="s">
        <v>1591</v>
      </c>
      <c r="E1852" s="173"/>
    </row>
    <row r="1853" spans="1:5">
      <c r="A1853" s="1" t="s">
        <v>20</v>
      </c>
      <c r="B1853" s="43">
        <v>696327</v>
      </c>
      <c r="C1853" s="168" t="s">
        <v>773</v>
      </c>
      <c r="D1853" s="169" t="s">
        <v>3258</v>
      </c>
      <c r="E1853" s="173"/>
    </row>
    <row r="1854" spans="1:5">
      <c r="A1854" s="1" t="s">
        <v>20</v>
      </c>
      <c r="B1854" s="43">
        <v>599596</v>
      </c>
      <c r="C1854" s="168" t="s">
        <v>71</v>
      </c>
      <c r="D1854" s="175" t="s">
        <v>3259</v>
      </c>
      <c r="E1854" s="173"/>
    </row>
    <row r="1855" spans="1:5">
      <c r="A1855" s="1" t="s">
        <v>20</v>
      </c>
      <c r="B1855" s="43">
        <v>373992</v>
      </c>
      <c r="C1855" s="168" t="s">
        <v>71</v>
      </c>
      <c r="D1855" s="169" t="s">
        <v>2216</v>
      </c>
      <c r="E1855" s="173"/>
    </row>
    <row r="1856" spans="1:5">
      <c r="A1856" s="1" t="s">
        <v>20</v>
      </c>
      <c r="B1856" s="43">
        <v>167027</v>
      </c>
      <c r="C1856" s="168" t="s">
        <v>71</v>
      </c>
      <c r="D1856" s="169" t="s">
        <v>2874</v>
      </c>
      <c r="E1856" s="173"/>
    </row>
    <row r="1857" spans="1:5">
      <c r="A1857" s="1" t="s">
        <v>20</v>
      </c>
      <c r="B1857" s="43">
        <v>520220</v>
      </c>
      <c r="C1857" s="168" t="s">
        <v>71</v>
      </c>
      <c r="D1857" s="169" t="s">
        <v>1692</v>
      </c>
      <c r="E1857" s="173"/>
    </row>
    <row r="1858" spans="1:5">
      <c r="A1858" s="1" t="s">
        <v>20</v>
      </c>
      <c r="B1858" s="43">
        <v>599594</v>
      </c>
      <c r="C1858" s="168" t="s">
        <v>71</v>
      </c>
      <c r="D1858" s="169" t="s">
        <v>3260</v>
      </c>
      <c r="E1858" s="173"/>
    </row>
    <row r="1859" spans="1:5">
      <c r="A1859" s="1" t="s">
        <v>20</v>
      </c>
      <c r="B1859" s="43">
        <v>183682</v>
      </c>
      <c r="C1859" s="168" t="s">
        <v>71</v>
      </c>
      <c r="D1859" s="169" t="s">
        <v>3261</v>
      </c>
      <c r="E1859" s="173"/>
    </row>
    <row r="1860" spans="1:5">
      <c r="A1860" s="1" t="s">
        <v>20</v>
      </c>
      <c r="B1860" s="43">
        <v>2252216</v>
      </c>
      <c r="C1860" s="168" t="s">
        <v>71</v>
      </c>
      <c r="D1860" s="169" t="s">
        <v>1890</v>
      </c>
      <c r="E1860" s="173"/>
    </row>
    <row r="1861" spans="1:5">
      <c r="A1861" s="1" t="s">
        <v>20</v>
      </c>
      <c r="B1861" s="43">
        <v>2823038</v>
      </c>
      <c r="C1861" s="168" t="s">
        <v>71</v>
      </c>
      <c r="D1861" s="169" t="s">
        <v>3262</v>
      </c>
      <c r="E1861" s="173"/>
    </row>
    <row r="1862" spans="1:5">
      <c r="A1862" s="1" t="s">
        <v>20</v>
      </c>
      <c r="B1862" s="43">
        <v>2825455</v>
      </c>
      <c r="C1862" s="168" t="s">
        <v>71</v>
      </c>
      <c r="D1862" s="169" t="s">
        <v>2172</v>
      </c>
      <c r="E1862" s="173"/>
    </row>
    <row r="1863" spans="1:5">
      <c r="A1863" s="1" t="s">
        <v>20</v>
      </c>
      <c r="B1863" s="43">
        <v>592486</v>
      </c>
      <c r="C1863" s="168" t="s">
        <v>71</v>
      </c>
      <c r="D1863" s="169" t="s">
        <v>2584</v>
      </c>
      <c r="E1863" s="173"/>
    </row>
    <row r="1864" spans="1:5">
      <c r="A1864" s="1" t="s">
        <v>20</v>
      </c>
      <c r="B1864" s="43">
        <v>599600</v>
      </c>
      <c r="C1864" s="168" t="s">
        <v>71</v>
      </c>
      <c r="D1864" s="169" t="s">
        <v>2246</v>
      </c>
      <c r="E1864" s="173"/>
    </row>
    <row r="1865" spans="1:5">
      <c r="A1865" s="1" t="s">
        <v>20</v>
      </c>
      <c r="B1865" s="43">
        <v>5015884</v>
      </c>
      <c r="C1865" s="168" t="s">
        <v>71</v>
      </c>
      <c r="D1865" s="169" t="s">
        <v>2980</v>
      </c>
      <c r="E1865" s="173"/>
    </row>
    <row r="1866" spans="1:5">
      <c r="A1866" s="1" t="s">
        <v>20</v>
      </c>
      <c r="B1866" s="43">
        <v>784282</v>
      </c>
      <c r="C1866" s="168" t="s">
        <v>71</v>
      </c>
      <c r="D1866" s="169" t="s">
        <v>1595</v>
      </c>
      <c r="E1866" s="173"/>
    </row>
    <row r="1867" spans="1:5">
      <c r="A1867" s="1" t="s">
        <v>20</v>
      </c>
      <c r="B1867" s="43">
        <v>5015866</v>
      </c>
      <c r="C1867" s="168" t="s">
        <v>71</v>
      </c>
      <c r="D1867" s="169" t="s">
        <v>2015</v>
      </c>
      <c r="E1867" s="173"/>
    </row>
    <row r="1868" spans="1:5">
      <c r="A1868" s="1" t="s">
        <v>20</v>
      </c>
      <c r="B1868" s="43">
        <v>791342</v>
      </c>
      <c r="C1868" s="168" t="s">
        <v>71</v>
      </c>
      <c r="D1868" s="169" t="s">
        <v>1893</v>
      </c>
      <c r="E1868" s="173"/>
    </row>
    <row r="1869" spans="1:5">
      <c r="A1869" s="1" t="s">
        <v>20</v>
      </c>
      <c r="B1869" s="43">
        <v>2876118</v>
      </c>
      <c r="C1869" s="168" t="s">
        <v>71</v>
      </c>
      <c r="D1869" s="169" t="s">
        <v>3263</v>
      </c>
      <c r="E1869" s="173"/>
    </row>
    <row r="1870" spans="1:5">
      <c r="A1870" s="1" t="s">
        <v>20</v>
      </c>
      <c r="B1870" s="43">
        <v>2890073</v>
      </c>
      <c r="C1870" s="168" t="s">
        <v>71</v>
      </c>
      <c r="D1870" s="169" t="s">
        <v>3264</v>
      </c>
      <c r="E1870" s="173"/>
    </row>
    <row r="1871" spans="1:5">
      <c r="A1871" s="1" t="s">
        <v>20</v>
      </c>
      <c r="B1871" s="43">
        <v>688507</v>
      </c>
      <c r="C1871" s="168" t="s">
        <v>1593</v>
      </c>
      <c r="D1871" s="169" t="s">
        <v>3265</v>
      </c>
      <c r="E1871" s="173"/>
    </row>
    <row r="1872" spans="1:5">
      <c r="A1872" s="1" t="s">
        <v>20</v>
      </c>
      <c r="B1872" s="43">
        <v>3004946</v>
      </c>
      <c r="C1872" s="168" t="s">
        <v>83</v>
      </c>
      <c r="D1872" s="169" t="s">
        <v>3266</v>
      </c>
      <c r="E1872" s="173"/>
    </row>
    <row r="1873" spans="1:5">
      <c r="A1873" s="1" t="s">
        <v>20</v>
      </c>
      <c r="B1873" s="43">
        <v>698662</v>
      </c>
      <c r="C1873" s="168" t="s">
        <v>773</v>
      </c>
      <c r="D1873" s="169" t="s">
        <v>3267</v>
      </c>
      <c r="E1873" s="173"/>
    </row>
    <row r="1874" spans="1:5">
      <c r="A1874" s="1" t="s">
        <v>20</v>
      </c>
      <c r="B1874" s="43">
        <v>2848048</v>
      </c>
      <c r="C1874" s="168" t="s">
        <v>71</v>
      </c>
      <c r="D1874" s="169" t="s">
        <v>3268</v>
      </c>
      <c r="E1874" s="173"/>
    </row>
    <row r="1875" spans="1:5">
      <c r="A1875" s="1" t="s">
        <v>20</v>
      </c>
      <c r="B1875" s="43">
        <v>5015876</v>
      </c>
      <c r="C1875" s="168" t="s">
        <v>71</v>
      </c>
      <c r="D1875" s="169" t="s">
        <v>3269</v>
      </c>
      <c r="E1875" s="173"/>
    </row>
    <row r="1876" spans="1:5">
      <c r="A1876" s="1" t="s">
        <v>20</v>
      </c>
      <c r="B1876" s="43">
        <v>693074</v>
      </c>
      <c r="C1876" s="168" t="s">
        <v>71</v>
      </c>
      <c r="D1876" s="169" t="s">
        <v>3162</v>
      </c>
      <c r="E1876" s="173"/>
    </row>
    <row r="1877" spans="1:5">
      <c r="A1877" s="1" t="s">
        <v>20</v>
      </c>
      <c r="B1877" s="43">
        <v>592485</v>
      </c>
      <c r="C1877" s="168" t="s">
        <v>71</v>
      </c>
      <c r="D1877" s="169" t="s">
        <v>3270</v>
      </c>
      <c r="E1877" s="173"/>
    </row>
    <row r="1878" spans="1:5">
      <c r="A1878" s="1" t="s">
        <v>20</v>
      </c>
      <c r="B1878" s="43">
        <v>197201</v>
      </c>
      <c r="C1878" s="168" t="s">
        <v>71</v>
      </c>
      <c r="D1878" s="169" t="s">
        <v>2954</v>
      </c>
      <c r="E1878" s="173"/>
    </row>
    <row r="1879" spans="1:5">
      <c r="A1879" s="1" t="s">
        <v>20</v>
      </c>
      <c r="B1879" s="43">
        <v>2894117</v>
      </c>
      <c r="C1879" s="168" t="s">
        <v>71</v>
      </c>
      <c r="D1879" s="169" t="s">
        <v>2835</v>
      </c>
      <c r="E1879" s="173"/>
    </row>
    <row r="1880" spans="1:5">
      <c r="A1880" s="1" t="s">
        <v>20</v>
      </c>
      <c r="B1880" s="43">
        <v>2243043</v>
      </c>
      <c r="C1880" s="168" t="s">
        <v>1593</v>
      </c>
      <c r="D1880" s="169" t="s">
        <v>2901</v>
      </c>
      <c r="E1880" s="173"/>
    </row>
    <row r="1881" spans="1:5">
      <c r="A1881" s="1" t="s">
        <v>20</v>
      </c>
      <c r="B1881" s="43">
        <v>2876322</v>
      </c>
      <c r="C1881" s="168" t="s">
        <v>1593</v>
      </c>
      <c r="D1881" s="169" t="s">
        <v>3271</v>
      </c>
      <c r="E1881" s="173"/>
    </row>
    <row r="1882" spans="1:5">
      <c r="A1882" s="1" t="s">
        <v>20</v>
      </c>
      <c r="B1882" s="43">
        <v>794116</v>
      </c>
      <c r="C1882" s="168" t="s">
        <v>90</v>
      </c>
      <c r="D1882" s="169" t="s">
        <v>3272</v>
      </c>
      <c r="E1882" s="173"/>
    </row>
    <row r="1883" spans="1:5">
      <c r="A1883" s="1" t="s">
        <v>20</v>
      </c>
      <c r="B1883" s="43">
        <v>2823579</v>
      </c>
      <c r="C1883" s="168" t="s">
        <v>90</v>
      </c>
      <c r="D1883" s="169" t="s">
        <v>1705</v>
      </c>
      <c r="E1883" s="173"/>
    </row>
    <row r="1884" spans="1:5">
      <c r="A1884" s="1" t="s">
        <v>20</v>
      </c>
      <c r="B1884" s="43">
        <v>2841614</v>
      </c>
      <c r="C1884" s="168" t="s">
        <v>83</v>
      </c>
      <c r="D1884" s="169" t="s">
        <v>2088</v>
      </c>
      <c r="E1884" s="173"/>
    </row>
    <row r="1885" spans="1:5">
      <c r="A1885" s="1" t="s">
        <v>20</v>
      </c>
      <c r="B1885" s="43">
        <v>2849263</v>
      </c>
      <c r="C1885" s="168" t="s">
        <v>83</v>
      </c>
      <c r="D1885" s="169" t="s">
        <v>2482</v>
      </c>
      <c r="E1885" s="173"/>
    </row>
    <row r="1886" spans="1:5">
      <c r="A1886" s="1" t="s">
        <v>20</v>
      </c>
      <c r="B1886" s="43">
        <v>2841524</v>
      </c>
      <c r="C1886" s="168" t="s">
        <v>83</v>
      </c>
      <c r="D1886" s="169" t="s">
        <v>2091</v>
      </c>
      <c r="E1886" s="173"/>
    </row>
    <row r="1887" spans="1:5">
      <c r="A1887" s="1" t="s">
        <v>20</v>
      </c>
      <c r="B1887" s="43">
        <v>630592</v>
      </c>
      <c r="C1887" s="168" t="s">
        <v>83</v>
      </c>
      <c r="D1887" s="169" t="s">
        <v>3273</v>
      </c>
      <c r="E1887" s="173"/>
    </row>
    <row r="1888" spans="1:5">
      <c r="A1888" s="1" t="s">
        <v>20</v>
      </c>
      <c r="B1888" s="43">
        <v>2814144</v>
      </c>
      <c r="C1888" s="168" t="s">
        <v>83</v>
      </c>
      <c r="D1888" s="169" t="s">
        <v>3274</v>
      </c>
      <c r="E1888" s="173"/>
    </row>
    <row r="1889" spans="1:5">
      <c r="A1889" s="1" t="s">
        <v>20</v>
      </c>
      <c r="B1889" s="43">
        <v>2814147</v>
      </c>
      <c r="C1889" s="168" t="s">
        <v>83</v>
      </c>
      <c r="D1889" s="169" t="s">
        <v>3275</v>
      </c>
      <c r="E1889" s="173"/>
    </row>
    <row r="1890" spans="1:5">
      <c r="A1890" s="1" t="s">
        <v>20</v>
      </c>
      <c r="B1890" s="43">
        <v>2825726</v>
      </c>
      <c r="C1890" s="168" t="s">
        <v>83</v>
      </c>
      <c r="D1890" s="169" t="s">
        <v>3276</v>
      </c>
      <c r="E1890" s="173"/>
    </row>
    <row r="1891" spans="1:5">
      <c r="A1891" s="1" t="s">
        <v>20</v>
      </c>
      <c r="B1891" s="43">
        <v>2822592</v>
      </c>
      <c r="C1891" s="168" t="s">
        <v>83</v>
      </c>
      <c r="D1891" s="169" t="s">
        <v>2338</v>
      </c>
      <c r="E1891" s="173"/>
    </row>
    <row r="1892" spans="1:5">
      <c r="A1892" s="1" t="s">
        <v>20</v>
      </c>
      <c r="B1892" s="43">
        <v>2874277</v>
      </c>
      <c r="C1892" s="168" t="s">
        <v>83</v>
      </c>
      <c r="D1892" s="169" t="s">
        <v>3001</v>
      </c>
      <c r="E1892" s="173"/>
    </row>
    <row r="1893" spans="1:5">
      <c r="A1893" s="1" t="s">
        <v>20</v>
      </c>
      <c r="B1893" s="43">
        <v>2893113</v>
      </c>
      <c r="C1893" s="168" t="s">
        <v>83</v>
      </c>
      <c r="D1893" s="169" t="s">
        <v>2841</v>
      </c>
      <c r="E1893" s="173"/>
    </row>
    <row r="1894" spans="1:5">
      <c r="A1894" s="1" t="s">
        <v>20</v>
      </c>
      <c r="B1894" s="43">
        <v>3009567</v>
      </c>
      <c r="C1894" s="168" t="s">
        <v>83</v>
      </c>
      <c r="D1894" s="169" t="s">
        <v>3277</v>
      </c>
      <c r="E1894" s="173"/>
    </row>
    <row r="1895" spans="1:5">
      <c r="A1895" s="1" t="s">
        <v>20</v>
      </c>
      <c r="B1895" s="43">
        <v>3155789</v>
      </c>
      <c r="C1895" s="168" t="s">
        <v>83</v>
      </c>
      <c r="D1895" s="169" t="s">
        <v>3278</v>
      </c>
      <c r="E1895" s="173"/>
    </row>
    <row r="1896" spans="1:5">
      <c r="A1896" s="1" t="s">
        <v>20</v>
      </c>
      <c r="B1896" s="43">
        <v>2833086</v>
      </c>
      <c r="C1896" s="168" t="s">
        <v>83</v>
      </c>
      <c r="D1896" s="169" t="s">
        <v>2185</v>
      </c>
      <c r="E1896" s="173"/>
    </row>
    <row r="1897" spans="1:5">
      <c r="A1897" s="1" t="s">
        <v>20</v>
      </c>
      <c r="B1897" s="43">
        <v>2831006</v>
      </c>
      <c r="C1897" s="168" t="s">
        <v>773</v>
      </c>
      <c r="D1897" s="169" t="s">
        <v>3279</v>
      </c>
      <c r="E1897" s="173"/>
    </row>
    <row r="1898" spans="1:5">
      <c r="A1898" s="1" t="s">
        <v>20</v>
      </c>
      <c r="B1898" s="43">
        <v>2824021</v>
      </c>
      <c r="C1898" s="168" t="s">
        <v>773</v>
      </c>
      <c r="D1898" s="169" t="s">
        <v>3280</v>
      </c>
      <c r="E1898" s="173"/>
    </row>
    <row r="1899" spans="1:5">
      <c r="A1899" s="1" t="s">
        <v>20</v>
      </c>
      <c r="B1899" s="43">
        <v>2848327</v>
      </c>
      <c r="C1899" s="168" t="s">
        <v>773</v>
      </c>
      <c r="D1899" s="169" t="s">
        <v>3281</v>
      </c>
      <c r="E1899" s="173"/>
    </row>
    <row r="1900" spans="1:5">
      <c r="A1900" s="1" t="s">
        <v>20</v>
      </c>
      <c r="B1900" s="43">
        <v>3001270</v>
      </c>
      <c r="C1900" s="168" t="s">
        <v>773</v>
      </c>
      <c r="D1900" s="169" t="s">
        <v>3282</v>
      </c>
      <c r="E1900" s="173"/>
    </row>
    <row r="1901" spans="1:5">
      <c r="A1901" s="1" t="s">
        <v>20</v>
      </c>
      <c r="B1901" s="43">
        <v>2895101</v>
      </c>
      <c r="C1901" s="168" t="s">
        <v>71</v>
      </c>
      <c r="D1901" s="169" t="s">
        <v>1875</v>
      </c>
      <c r="E1901" s="173"/>
    </row>
    <row r="1902" spans="1:5">
      <c r="A1902" s="1" t="s">
        <v>20</v>
      </c>
      <c r="B1902" s="43">
        <v>2427401</v>
      </c>
      <c r="C1902" s="168" t="s">
        <v>1593</v>
      </c>
      <c r="D1902" s="169" t="s">
        <v>3283</v>
      </c>
      <c r="E1902" s="173"/>
    </row>
    <row r="1903" spans="1:5">
      <c r="A1903" s="1" t="s">
        <v>20</v>
      </c>
      <c r="B1903" s="43">
        <v>2887259</v>
      </c>
      <c r="C1903" s="168" t="s">
        <v>1593</v>
      </c>
      <c r="D1903" s="169" t="s">
        <v>2203</v>
      </c>
      <c r="E1903" s="173"/>
    </row>
    <row r="1904" spans="1:5">
      <c r="A1904" s="1" t="s">
        <v>20</v>
      </c>
      <c r="B1904" s="43">
        <v>765312</v>
      </c>
      <c r="C1904" s="168" t="s">
        <v>1593</v>
      </c>
      <c r="D1904" s="169" t="s">
        <v>3284</v>
      </c>
      <c r="E1904" s="173"/>
    </row>
    <row r="1905" spans="1:5">
      <c r="A1905" s="1" t="s">
        <v>20</v>
      </c>
      <c r="B1905" s="43">
        <v>2825458</v>
      </c>
      <c r="C1905" s="168" t="s">
        <v>1593</v>
      </c>
      <c r="D1905" s="169" t="s">
        <v>2850</v>
      </c>
      <c r="E1905" s="173"/>
    </row>
    <row r="1906" spans="1:5">
      <c r="A1906" s="1" t="s">
        <v>20</v>
      </c>
      <c r="B1906" s="43">
        <v>2835087</v>
      </c>
      <c r="C1906" s="168" t="s">
        <v>1593</v>
      </c>
      <c r="D1906" s="169" t="s">
        <v>3029</v>
      </c>
      <c r="E1906" s="173"/>
    </row>
    <row r="1907" spans="1:5">
      <c r="A1907" s="1" t="s">
        <v>20</v>
      </c>
      <c r="B1907" s="43">
        <v>2817223</v>
      </c>
      <c r="C1907" s="168" t="s">
        <v>1593</v>
      </c>
      <c r="D1907" s="169" t="s">
        <v>3285</v>
      </c>
      <c r="E1907" s="173"/>
    </row>
    <row r="1908" spans="1:5">
      <c r="A1908" s="1" t="s">
        <v>20</v>
      </c>
      <c r="B1908" s="43">
        <v>2818050</v>
      </c>
      <c r="C1908" s="168" t="s">
        <v>1593</v>
      </c>
      <c r="D1908" s="169" t="s">
        <v>2458</v>
      </c>
      <c r="E1908" s="173"/>
    </row>
    <row r="1909" spans="1:5">
      <c r="A1909" s="1" t="s">
        <v>20</v>
      </c>
      <c r="B1909" s="43">
        <v>2809588</v>
      </c>
      <c r="C1909" s="168" t="s">
        <v>1593</v>
      </c>
      <c r="D1909" s="169" t="s">
        <v>3025</v>
      </c>
      <c r="E1909" s="173"/>
    </row>
    <row r="1910" spans="1:5">
      <c r="A1910" s="1" t="s">
        <v>20</v>
      </c>
      <c r="B1910" s="43">
        <v>2874274</v>
      </c>
      <c r="C1910" s="168" t="s">
        <v>1593</v>
      </c>
      <c r="D1910" s="169" t="s">
        <v>3030</v>
      </c>
      <c r="E1910" s="173"/>
    </row>
    <row r="1911" spans="1:5">
      <c r="A1911" s="1" t="s">
        <v>20</v>
      </c>
      <c r="B1911" s="43">
        <v>2874275</v>
      </c>
      <c r="C1911" s="168" t="s">
        <v>1593</v>
      </c>
      <c r="D1911" s="169" t="s">
        <v>3031</v>
      </c>
      <c r="E1911" s="173"/>
    </row>
    <row r="1912" spans="1:5">
      <c r="A1912" s="1" t="s">
        <v>20</v>
      </c>
      <c r="B1912" s="43">
        <v>2833101</v>
      </c>
      <c r="C1912" s="168" t="s">
        <v>71</v>
      </c>
      <c r="D1912" s="169" t="s">
        <v>2131</v>
      </c>
      <c r="E1912" s="173"/>
    </row>
    <row r="1913" spans="1:5">
      <c r="A1913" s="1" t="s">
        <v>20</v>
      </c>
      <c r="B1913" s="43">
        <v>2825616</v>
      </c>
      <c r="C1913" s="168" t="s">
        <v>71</v>
      </c>
      <c r="D1913" s="169" t="s">
        <v>2523</v>
      </c>
      <c r="E1913" s="173"/>
    </row>
    <row r="1914" spans="1:5">
      <c r="A1914" s="1" t="s">
        <v>20</v>
      </c>
      <c r="B1914" s="43">
        <v>2833073</v>
      </c>
      <c r="C1914" s="168" t="s">
        <v>71</v>
      </c>
      <c r="D1914" s="169" t="s">
        <v>2134</v>
      </c>
      <c r="E1914" s="173"/>
    </row>
    <row r="1915" spans="1:5">
      <c r="A1915" s="1" t="s">
        <v>20</v>
      </c>
      <c r="B1915" s="43">
        <v>434461</v>
      </c>
      <c r="C1915" s="168" t="s">
        <v>71</v>
      </c>
      <c r="D1915" s="169" t="s">
        <v>2638</v>
      </c>
      <c r="E1915" s="173"/>
    </row>
    <row r="1916" spans="1:5">
      <c r="A1916" s="1" t="s">
        <v>20</v>
      </c>
      <c r="B1916" s="43">
        <v>2823041</v>
      </c>
      <c r="C1916" s="168" t="s">
        <v>71</v>
      </c>
      <c r="D1916" s="169" t="s">
        <v>2846</v>
      </c>
      <c r="E1916" s="173"/>
    </row>
    <row r="1917" spans="1:5">
      <c r="A1917" s="1" t="s">
        <v>20</v>
      </c>
      <c r="B1917" s="43">
        <v>2213244</v>
      </c>
      <c r="C1917" s="168" t="s">
        <v>71</v>
      </c>
      <c r="D1917" s="169" t="s">
        <v>3286</v>
      </c>
      <c r="E1917" s="173"/>
    </row>
    <row r="1918" spans="1:5">
      <c r="A1918" s="1" t="s">
        <v>20</v>
      </c>
      <c r="B1918" s="43">
        <v>2813285</v>
      </c>
      <c r="C1918" s="168" t="s">
        <v>71</v>
      </c>
      <c r="D1918" s="169" t="s">
        <v>3287</v>
      </c>
      <c r="E1918" s="173"/>
    </row>
    <row r="1919" spans="1:5">
      <c r="A1919" s="1" t="s">
        <v>20</v>
      </c>
      <c r="B1919" s="43">
        <v>2822056</v>
      </c>
      <c r="C1919" s="168" t="s">
        <v>71</v>
      </c>
      <c r="D1919" s="169" t="s">
        <v>3288</v>
      </c>
      <c r="E1919" s="173"/>
    </row>
    <row r="1920" spans="1:5">
      <c r="A1920" s="1" t="s">
        <v>20</v>
      </c>
      <c r="B1920" s="43">
        <v>2825373</v>
      </c>
      <c r="C1920" s="168" t="s">
        <v>71</v>
      </c>
      <c r="D1920" s="169" t="s">
        <v>3289</v>
      </c>
      <c r="E1920" s="173"/>
    </row>
    <row r="1921" spans="1:5">
      <c r="A1921" s="1" t="s">
        <v>21</v>
      </c>
      <c r="B1921" s="165" t="s">
        <v>68</v>
      </c>
      <c r="C1921" s="166" t="s">
        <v>62</v>
      </c>
      <c r="D1921" s="176" t="s">
        <v>69</v>
      </c>
      <c r="E1921" s="166" t="s">
        <v>70</v>
      </c>
    </row>
    <row r="1922" spans="1:5">
      <c r="A1922" s="1" t="s">
        <v>21</v>
      </c>
      <c r="B1922" s="43">
        <v>3022076</v>
      </c>
      <c r="C1922" s="168" t="s">
        <v>90</v>
      </c>
      <c r="D1922" s="169" t="s">
        <v>3290</v>
      </c>
      <c r="E1922" s="170" t="s">
        <v>2930</v>
      </c>
    </row>
    <row r="1923" spans="1:5">
      <c r="A1923" s="1" t="s">
        <v>21</v>
      </c>
      <c r="B1923" s="43">
        <v>5015872</v>
      </c>
      <c r="C1923" s="168" t="s">
        <v>71</v>
      </c>
      <c r="D1923" s="169" t="s">
        <v>2165</v>
      </c>
      <c r="E1923" s="172" t="s">
        <v>3291</v>
      </c>
    </row>
    <row r="1924" spans="1:5">
      <c r="A1924" s="1" t="s">
        <v>21</v>
      </c>
      <c r="B1924" s="43">
        <v>5015886</v>
      </c>
      <c r="C1924" s="168" t="s">
        <v>71</v>
      </c>
      <c r="D1924" s="169" t="s">
        <v>1583</v>
      </c>
      <c r="E1924" s="170" t="s">
        <v>2406</v>
      </c>
    </row>
    <row r="1925" spans="1:5">
      <c r="A1925" s="1" t="s">
        <v>21</v>
      </c>
      <c r="B1925" s="43">
        <v>688515</v>
      </c>
      <c r="C1925" s="168" t="s">
        <v>90</v>
      </c>
      <c r="D1925" s="169" t="s">
        <v>2568</v>
      </c>
      <c r="E1925" s="170" t="s">
        <v>2932</v>
      </c>
    </row>
    <row r="1926" spans="1:5">
      <c r="A1926" s="1" t="s">
        <v>21</v>
      </c>
      <c r="B1926" s="43">
        <v>570964</v>
      </c>
      <c r="C1926" s="168" t="s">
        <v>90</v>
      </c>
      <c r="D1926" s="169" t="s">
        <v>2588</v>
      </c>
      <c r="E1926" s="170" t="s">
        <v>3292</v>
      </c>
    </row>
    <row r="1927" spans="1:5">
      <c r="A1927" s="1" t="s">
        <v>21</v>
      </c>
      <c r="B1927" s="43">
        <v>574670</v>
      </c>
      <c r="C1927" s="168" t="s">
        <v>90</v>
      </c>
      <c r="D1927" s="169" t="s">
        <v>1746</v>
      </c>
      <c r="E1927" s="170" t="s">
        <v>3293</v>
      </c>
    </row>
    <row r="1928" spans="1:5">
      <c r="A1928" s="1" t="s">
        <v>21</v>
      </c>
      <c r="B1928" s="43">
        <v>624208</v>
      </c>
      <c r="C1928" s="168" t="s">
        <v>90</v>
      </c>
      <c r="D1928" s="169" t="s">
        <v>3294</v>
      </c>
      <c r="E1928" s="170" t="s">
        <v>2583</v>
      </c>
    </row>
    <row r="1929" spans="1:5">
      <c r="A1929" s="1" t="s">
        <v>21</v>
      </c>
      <c r="B1929" s="43">
        <v>536419</v>
      </c>
      <c r="C1929" s="168" t="s">
        <v>83</v>
      </c>
      <c r="D1929" s="169" t="s">
        <v>22</v>
      </c>
      <c r="E1929" s="170" t="s">
        <v>1745</v>
      </c>
    </row>
    <row r="1930" spans="1:5">
      <c r="A1930" s="1" t="s">
        <v>21</v>
      </c>
      <c r="B1930" s="43">
        <v>2825161</v>
      </c>
      <c r="C1930" s="168" t="s">
        <v>773</v>
      </c>
      <c r="D1930" s="169" t="s">
        <v>1591</v>
      </c>
      <c r="E1930" s="170"/>
    </row>
    <row r="1931" spans="1:5">
      <c r="A1931" s="1" t="s">
        <v>21</v>
      </c>
      <c r="B1931" s="43">
        <v>661748</v>
      </c>
      <c r="C1931" s="168" t="s">
        <v>773</v>
      </c>
      <c r="D1931" s="169" t="s">
        <v>1750</v>
      </c>
      <c r="E1931" s="173"/>
    </row>
    <row r="1932" spans="1:5">
      <c r="A1932" s="1" t="s">
        <v>21</v>
      </c>
      <c r="B1932" s="43">
        <v>672246</v>
      </c>
      <c r="C1932" s="168" t="s">
        <v>1593</v>
      </c>
      <c r="D1932" s="169" t="s">
        <v>3295</v>
      </c>
      <c r="E1932" s="173"/>
    </row>
    <row r="1933" spans="1:5">
      <c r="A1933" s="1" t="s">
        <v>21</v>
      </c>
      <c r="B1933" s="43">
        <v>2242045</v>
      </c>
      <c r="C1933" s="168" t="s">
        <v>1593</v>
      </c>
      <c r="D1933" s="169" t="s">
        <v>2825</v>
      </c>
      <c r="E1933" s="173"/>
    </row>
    <row r="1934" spans="1:5">
      <c r="A1934" s="1" t="s">
        <v>21</v>
      </c>
      <c r="B1934" s="43">
        <v>612175</v>
      </c>
      <c r="C1934" s="168" t="s">
        <v>71</v>
      </c>
      <c r="D1934" s="169" t="s">
        <v>2575</v>
      </c>
      <c r="E1934" s="173"/>
    </row>
    <row r="1935" spans="1:5">
      <c r="A1935" s="1" t="s">
        <v>21</v>
      </c>
      <c r="B1935" s="43">
        <v>622051</v>
      </c>
      <c r="C1935" s="168" t="s">
        <v>71</v>
      </c>
      <c r="D1935" s="169" t="s">
        <v>1694</v>
      </c>
      <c r="E1935" s="173"/>
    </row>
    <row r="1936" spans="1:5">
      <c r="A1936" s="1" t="s">
        <v>21</v>
      </c>
      <c r="B1936" s="43">
        <v>585227</v>
      </c>
      <c r="C1936" s="168" t="s">
        <v>71</v>
      </c>
      <c r="D1936" s="169" t="s">
        <v>1751</v>
      </c>
      <c r="E1936" s="173"/>
    </row>
    <row r="1937" spans="1:5">
      <c r="A1937" s="1" t="s">
        <v>21</v>
      </c>
      <c r="B1937" s="43">
        <v>672234</v>
      </c>
      <c r="C1937" s="168" t="s">
        <v>71</v>
      </c>
      <c r="D1937" s="169" t="s">
        <v>2934</v>
      </c>
      <c r="E1937" s="173"/>
    </row>
    <row r="1938" spans="1:5">
      <c r="A1938" s="1" t="s">
        <v>21</v>
      </c>
      <c r="B1938" s="43">
        <v>700792</v>
      </c>
      <c r="C1938" s="168" t="s">
        <v>71</v>
      </c>
      <c r="D1938" s="169" t="s">
        <v>1820</v>
      </c>
      <c r="E1938" s="173"/>
    </row>
    <row r="1939" spans="1:5">
      <c r="A1939" s="1" t="s">
        <v>21</v>
      </c>
      <c r="B1939" s="43">
        <v>2252217</v>
      </c>
      <c r="C1939" s="168" t="s">
        <v>71</v>
      </c>
      <c r="D1939" s="169" t="s">
        <v>3296</v>
      </c>
      <c r="E1939" s="173"/>
    </row>
    <row r="1940" spans="1:5">
      <c r="A1940" s="1" t="s">
        <v>21</v>
      </c>
      <c r="B1940" s="43">
        <v>2806197</v>
      </c>
      <c r="C1940" s="168" t="s">
        <v>71</v>
      </c>
      <c r="D1940" s="169" t="s">
        <v>2875</v>
      </c>
      <c r="E1940" s="173"/>
    </row>
    <row r="1941" spans="1:5">
      <c r="A1941" s="1" t="s">
        <v>21</v>
      </c>
      <c r="B1941" s="43">
        <v>625916</v>
      </c>
      <c r="C1941" s="168" t="s">
        <v>71</v>
      </c>
      <c r="D1941" s="175" t="s">
        <v>2580</v>
      </c>
      <c r="E1941" s="173"/>
    </row>
    <row r="1942" spans="1:5">
      <c r="A1942" s="1" t="s">
        <v>21</v>
      </c>
      <c r="B1942" s="43">
        <v>659268</v>
      </c>
      <c r="C1942" s="168" t="s">
        <v>71</v>
      </c>
      <c r="D1942" s="169" t="s">
        <v>2578</v>
      </c>
      <c r="E1942" s="173"/>
    </row>
    <row r="1943" spans="1:5">
      <c r="A1943" s="1" t="s">
        <v>21</v>
      </c>
      <c r="B1943" s="43">
        <v>706913</v>
      </c>
      <c r="C1943" s="168" t="s">
        <v>71</v>
      </c>
      <c r="D1943" s="169" t="s">
        <v>3297</v>
      </c>
      <c r="E1943" s="173"/>
    </row>
    <row r="1944" spans="1:5">
      <c r="A1944" s="1" t="s">
        <v>21</v>
      </c>
      <c r="B1944" s="43">
        <v>696326</v>
      </c>
      <c r="C1944" s="168" t="s">
        <v>71</v>
      </c>
      <c r="D1944" s="169" t="s">
        <v>1896</v>
      </c>
      <c r="E1944" s="173"/>
    </row>
    <row r="1945" spans="1:5">
      <c r="A1945" s="1" t="s">
        <v>21</v>
      </c>
      <c r="B1945" s="43">
        <v>578061</v>
      </c>
      <c r="C1945" s="168" t="s">
        <v>71</v>
      </c>
      <c r="D1945" s="169" t="s">
        <v>3298</v>
      </c>
      <c r="E1945" s="173"/>
    </row>
    <row r="1946" spans="1:5">
      <c r="A1946" s="1" t="s">
        <v>21</v>
      </c>
      <c r="B1946" s="43">
        <v>3107154</v>
      </c>
      <c r="C1946" s="168" t="s">
        <v>71</v>
      </c>
      <c r="D1946" s="169" t="s">
        <v>2937</v>
      </c>
      <c r="E1946" s="173"/>
    </row>
    <row r="1947" spans="1:5">
      <c r="A1947" s="1" t="s">
        <v>21</v>
      </c>
      <c r="B1947" s="43">
        <v>427474</v>
      </c>
      <c r="C1947" s="168" t="s">
        <v>83</v>
      </c>
      <c r="D1947" s="169" t="s">
        <v>1753</v>
      </c>
      <c r="E1947" s="173"/>
    </row>
    <row r="1948" spans="1:5">
      <c r="A1948" s="1" t="s">
        <v>21</v>
      </c>
      <c r="B1948" s="43">
        <v>456353</v>
      </c>
      <c r="C1948" s="168" t="s">
        <v>83</v>
      </c>
      <c r="D1948" s="169" t="s">
        <v>1754</v>
      </c>
      <c r="E1948" s="173"/>
    </row>
    <row r="1949" spans="1:5">
      <c r="A1949" s="1" t="s">
        <v>21</v>
      </c>
      <c r="B1949" s="43">
        <v>604211</v>
      </c>
      <c r="C1949" s="168" t="s">
        <v>83</v>
      </c>
      <c r="D1949" s="169" t="s">
        <v>2938</v>
      </c>
      <c r="E1949" s="173"/>
    </row>
    <row r="1950" spans="1:5">
      <c r="A1950" s="1" t="s">
        <v>21</v>
      </c>
      <c r="B1950" s="43">
        <v>604213</v>
      </c>
      <c r="C1950" s="168" t="s">
        <v>83</v>
      </c>
      <c r="D1950" s="169" t="s">
        <v>2939</v>
      </c>
      <c r="E1950" s="173"/>
    </row>
    <row r="1951" spans="1:5">
      <c r="A1951" s="1" t="s">
        <v>21</v>
      </c>
      <c r="B1951" s="43">
        <v>2876075</v>
      </c>
      <c r="C1951" s="168" t="s">
        <v>83</v>
      </c>
      <c r="D1951" s="169" t="s">
        <v>3299</v>
      </c>
      <c r="E1951" s="173"/>
    </row>
    <row r="1952" spans="1:5">
      <c r="A1952" s="1" t="s">
        <v>21</v>
      </c>
      <c r="B1952" s="43">
        <v>737767</v>
      </c>
      <c r="C1952" s="168" t="s">
        <v>83</v>
      </c>
      <c r="D1952" s="169" t="s">
        <v>3300</v>
      </c>
      <c r="E1952" s="173"/>
    </row>
    <row r="1953" spans="1:5">
      <c r="A1953" s="1" t="s">
        <v>21</v>
      </c>
      <c r="B1953" s="43">
        <v>628687</v>
      </c>
      <c r="C1953" s="168" t="s">
        <v>83</v>
      </c>
      <c r="D1953" s="169" t="s">
        <v>2697</v>
      </c>
      <c r="E1953" s="173"/>
    </row>
    <row r="1954" spans="1:5">
      <c r="A1954" s="1" t="s">
        <v>21</v>
      </c>
      <c r="B1954" s="43">
        <v>622050</v>
      </c>
      <c r="C1954" s="168" t="s">
        <v>773</v>
      </c>
      <c r="D1954" s="169" t="s">
        <v>1695</v>
      </c>
      <c r="E1954" s="173"/>
    </row>
    <row r="1955" spans="1:5">
      <c r="A1955" s="1" t="s">
        <v>21</v>
      </c>
      <c r="B1955" s="43">
        <v>661750</v>
      </c>
      <c r="C1955" s="168" t="s">
        <v>773</v>
      </c>
      <c r="D1955" s="169" t="s">
        <v>1764</v>
      </c>
      <c r="E1955" s="173"/>
    </row>
    <row r="1956" spans="1:5">
      <c r="A1956" s="1" t="s">
        <v>21</v>
      </c>
      <c r="B1956" s="43">
        <v>688508</v>
      </c>
      <c r="C1956" s="168" t="s">
        <v>773</v>
      </c>
      <c r="D1956" s="169" t="s">
        <v>1767</v>
      </c>
      <c r="E1956" s="173"/>
    </row>
    <row r="1957" spans="1:5">
      <c r="A1957" s="1" t="s">
        <v>21</v>
      </c>
      <c r="B1957" s="43">
        <v>802842</v>
      </c>
      <c r="C1957" s="168" t="s">
        <v>773</v>
      </c>
      <c r="D1957" s="169" t="s">
        <v>1763</v>
      </c>
      <c r="E1957" s="173"/>
    </row>
    <row r="1958" spans="1:5">
      <c r="A1958" s="1" t="s">
        <v>21</v>
      </c>
      <c r="B1958" s="43">
        <v>5015861</v>
      </c>
      <c r="C1958" s="168" t="s">
        <v>773</v>
      </c>
      <c r="D1958" s="169" t="s">
        <v>3301</v>
      </c>
      <c r="E1958" s="173"/>
    </row>
    <row r="1959" spans="1:5">
      <c r="A1959" s="1" t="s">
        <v>21</v>
      </c>
      <c r="B1959" s="43">
        <v>3107152</v>
      </c>
      <c r="C1959" s="168" t="s">
        <v>773</v>
      </c>
      <c r="D1959" s="169" t="s">
        <v>2948</v>
      </c>
      <c r="E1959" s="173"/>
    </row>
    <row r="1960" spans="1:5">
      <c r="A1960" s="1" t="s">
        <v>21</v>
      </c>
      <c r="B1960" s="43">
        <v>693069</v>
      </c>
      <c r="C1960" s="168" t="s">
        <v>1593</v>
      </c>
      <c r="D1960" s="169" t="s">
        <v>2951</v>
      </c>
      <c r="E1960" s="173"/>
    </row>
    <row r="1961" spans="1:5">
      <c r="A1961" s="1" t="s">
        <v>21</v>
      </c>
      <c r="B1961" s="43">
        <v>167028</v>
      </c>
      <c r="C1961" s="168" t="s">
        <v>71</v>
      </c>
      <c r="D1961" s="169" t="s">
        <v>1770</v>
      </c>
      <c r="E1961" s="173"/>
    </row>
    <row r="1962" spans="1:5">
      <c r="A1962" s="1" t="s">
        <v>21</v>
      </c>
      <c r="B1962" s="43">
        <v>592488</v>
      </c>
      <c r="C1962" s="168" t="s">
        <v>71</v>
      </c>
      <c r="D1962" s="169" t="s">
        <v>3302</v>
      </c>
      <c r="E1962" s="173"/>
    </row>
    <row r="1963" spans="1:5">
      <c r="A1963" s="1" t="s">
        <v>21</v>
      </c>
      <c r="B1963" s="43">
        <v>645011</v>
      </c>
      <c r="C1963" s="168" t="s">
        <v>71</v>
      </c>
      <c r="D1963" s="169" t="s">
        <v>2953</v>
      </c>
      <c r="E1963" s="173"/>
    </row>
    <row r="1964" spans="1:5">
      <c r="A1964" s="1" t="s">
        <v>21</v>
      </c>
      <c r="B1964" s="43">
        <v>713373</v>
      </c>
      <c r="C1964" s="168" t="s">
        <v>71</v>
      </c>
      <c r="D1964" s="169" t="s">
        <v>2894</v>
      </c>
      <c r="E1964" s="173"/>
    </row>
    <row r="1965" spans="1:5">
      <c r="A1965" s="1" t="s">
        <v>21</v>
      </c>
      <c r="B1965" s="43">
        <v>737756</v>
      </c>
      <c r="C1965" s="168" t="s">
        <v>71</v>
      </c>
      <c r="D1965" s="169" t="s">
        <v>1771</v>
      </c>
      <c r="E1965" s="173"/>
    </row>
    <row r="1966" spans="1:5">
      <c r="A1966" s="1" t="s">
        <v>21</v>
      </c>
      <c r="B1966" s="43">
        <v>746305</v>
      </c>
      <c r="C1966" s="168" t="s">
        <v>71</v>
      </c>
      <c r="D1966" s="169" t="s">
        <v>1991</v>
      </c>
      <c r="E1966" s="173"/>
    </row>
    <row r="1967" spans="1:5">
      <c r="A1967" s="1" t="s">
        <v>21</v>
      </c>
      <c r="B1967" s="43">
        <v>758620</v>
      </c>
      <c r="C1967" s="168" t="s">
        <v>71</v>
      </c>
      <c r="D1967" s="169" t="s">
        <v>3303</v>
      </c>
      <c r="E1967" s="173"/>
    </row>
    <row r="1968" spans="1:5">
      <c r="A1968" s="1" t="s">
        <v>21</v>
      </c>
      <c r="B1968" s="43">
        <v>711794</v>
      </c>
      <c r="C1968" s="168" t="s">
        <v>71</v>
      </c>
      <c r="D1968" s="169" t="s">
        <v>1828</v>
      </c>
      <c r="E1968" s="173"/>
    </row>
    <row r="1969" spans="1:5">
      <c r="A1969" s="1" t="s">
        <v>21</v>
      </c>
      <c r="B1969" s="43">
        <v>2887215</v>
      </c>
      <c r="C1969" s="168" t="s">
        <v>71</v>
      </c>
      <c r="D1969" s="169" t="s">
        <v>3164</v>
      </c>
      <c r="E1969" s="173"/>
    </row>
    <row r="1970" spans="1:5">
      <c r="A1970" s="1" t="s">
        <v>21</v>
      </c>
      <c r="B1970" s="43">
        <v>2825160</v>
      </c>
      <c r="C1970" s="168" t="s">
        <v>83</v>
      </c>
      <c r="D1970" s="169" t="s">
        <v>3304</v>
      </c>
      <c r="E1970" s="173"/>
    </row>
    <row r="1971" spans="1:5">
      <c r="A1971" s="1" t="s">
        <v>21</v>
      </c>
      <c r="B1971" s="43">
        <v>2880061</v>
      </c>
      <c r="C1971" s="168" t="s">
        <v>71</v>
      </c>
      <c r="D1971" s="169" t="s">
        <v>2959</v>
      </c>
      <c r="E1971" s="173"/>
    </row>
    <row r="1972" spans="1:5">
      <c r="A1972" s="1" t="s">
        <v>21</v>
      </c>
      <c r="B1972" s="43">
        <v>2812133</v>
      </c>
      <c r="C1972" s="168" t="s">
        <v>90</v>
      </c>
      <c r="D1972" s="169" t="s">
        <v>2455</v>
      </c>
      <c r="E1972" s="173"/>
    </row>
    <row r="1973" spans="1:5">
      <c r="A1973" s="1" t="s">
        <v>21</v>
      </c>
      <c r="B1973" s="43">
        <v>2829005</v>
      </c>
      <c r="C1973" s="168" t="s">
        <v>90</v>
      </c>
      <c r="D1973" s="169" t="s">
        <v>2258</v>
      </c>
      <c r="E1973" s="173"/>
    </row>
    <row r="1974" spans="1:5">
      <c r="A1974" s="1" t="s">
        <v>21</v>
      </c>
      <c r="B1974" s="43">
        <v>2825747</v>
      </c>
      <c r="C1974" s="168" t="s">
        <v>83</v>
      </c>
      <c r="D1974" s="169" t="s">
        <v>3305</v>
      </c>
      <c r="E1974" s="173"/>
    </row>
    <row r="1975" spans="1:5">
      <c r="A1975" s="1" t="s">
        <v>21</v>
      </c>
      <c r="B1975" s="43">
        <v>721895</v>
      </c>
      <c r="C1975" s="168" t="s">
        <v>83</v>
      </c>
      <c r="D1975" s="169" t="s">
        <v>2421</v>
      </c>
      <c r="E1975" s="173"/>
    </row>
    <row r="1976" spans="1:5">
      <c r="A1976" s="1" t="s">
        <v>21</v>
      </c>
      <c r="B1976" s="43">
        <v>2805907</v>
      </c>
      <c r="C1976" s="168" t="s">
        <v>83</v>
      </c>
      <c r="D1976" s="169" t="s">
        <v>1914</v>
      </c>
      <c r="E1976" s="173"/>
    </row>
    <row r="1977" spans="1:5">
      <c r="A1977" s="1" t="s">
        <v>21</v>
      </c>
      <c r="B1977" s="43">
        <v>2807858</v>
      </c>
      <c r="C1977" s="168" t="s">
        <v>83</v>
      </c>
      <c r="D1977" s="169" t="s">
        <v>1915</v>
      </c>
      <c r="E1977" s="173"/>
    </row>
    <row r="1978" spans="1:5">
      <c r="A1978" s="1" t="s">
        <v>21</v>
      </c>
      <c r="B1978" s="43">
        <v>3011646</v>
      </c>
      <c r="C1978" s="168" t="s">
        <v>83</v>
      </c>
      <c r="D1978" s="169" t="s">
        <v>3306</v>
      </c>
      <c r="E1978" s="173"/>
    </row>
    <row r="1979" spans="1:5">
      <c r="A1979" s="1" t="s">
        <v>21</v>
      </c>
      <c r="B1979" s="43">
        <v>2822308</v>
      </c>
      <c r="C1979" s="168" t="s">
        <v>773</v>
      </c>
      <c r="D1979" s="169" t="s">
        <v>3307</v>
      </c>
      <c r="E1979" s="173"/>
    </row>
    <row r="1980" spans="1:5">
      <c r="A1980" s="1" t="s">
        <v>21</v>
      </c>
      <c r="B1980" s="43">
        <v>2825489</v>
      </c>
      <c r="C1980" s="168" t="s">
        <v>773</v>
      </c>
      <c r="D1980" s="169" t="s">
        <v>2963</v>
      </c>
      <c r="E1980" s="173"/>
    </row>
    <row r="1981" spans="1:5">
      <c r="A1981" s="1" t="s">
        <v>21</v>
      </c>
      <c r="B1981" s="43">
        <v>2825600</v>
      </c>
      <c r="C1981" s="168" t="s">
        <v>773</v>
      </c>
      <c r="D1981" s="169" t="s">
        <v>3308</v>
      </c>
      <c r="E1981" s="173"/>
    </row>
    <row r="1982" spans="1:5">
      <c r="A1982" s="1" t="s">
        <v>21</v>
      </c>
      <c r="B1982" s="43">
        <v>622053</v>
      </c>
      <c r="C1982" s="168" t="s">
        <v>773</v>
      </c>
      <c r="D1982" s="169" t="s">
        <v>1858</v>
      </c>
      <c r="E1982" s="173"/>
    </row>
    <row r="1983" spans="1:5">
      <c r="A1983" s="1" t="s">
        <v>21</v>
      </c>
      <c r="B1983" s="43">
        <v>2824254</v>
      </c>
      <c r="C1983" s="168" t="s">
        <v>773</v>
      </c>
      <c r="D1983" s="169" t="s">
        <v>3309</v>
      </c>
      <c r="E1983" s="173"/>
    </row>
    <row r="1984" spans="1:5">
      <c r="A1984" s="1" t="s">
        <v>21</v>
      </c>
      <c r="B1984" s="43">
        <v>647657</v>
      </c>
      <c r="C1984" s="168" t="s">
        <v>1593</v>
      </c>
      <c r="D1984" s="169" t="s">
        <v>1799</v>
      </c>
      <c r="E1984" s="173"/>
    </row>
    <row r="1985" spans="1:5">
      <c r="A1985" s="1" t="s">
        <v>21</v>
      </c>
      <c r="B1985" s="43">
        <v>656791</v>
      </c>
      <c r="C1985" s="168" t="s">
        <v>1593</v>
      </c>
      <c r="D1985" s="169" t="s">
        <v>3310</v>
      </c>
      <c r="E1985" s="173"/>
    </row>
    <row r="1986" spans="1:5">
      <c r="A1986" s="1" t="s">
        <v>21</v>
      </c>
      <c r="B1986" s="43">
        <v>2819211</v>
      </c>
      <c r="C1986" s="168" t="s">
        <v>1593</v>
      </c>
      <c r="D1986" s="169" t="s">
        <v>3311</v>
      </c>
      <c r="E1986" s="173"/>
    </row>
    <row r="1987" spans="1:5">
      <c r="A1987" s="1" t="s">
        <v>21</v>
      </c>
      <c r="B1987" s="43">
        <v>2822163</v>
      </c>
      <c r="C1987" s="168" t="s">
        <v>1593</v>
      </c>
      <c r="D1987" s="169" t="s">
        <v>3312</v>
      </c>
      <c r="E1987" s="173"/>
    </row>
    <row r="1988" spans="1:5">
      <c r="A1988" s="1" t="s">
        <v>21</v>
      </c>
      <c r="B1988" s="43">
        <v>2887218</v>
      </c>
      <c r="C1988" s="168" t="s">
        <v>1593</v>
      </c>
      <c r="D1988" s="169" t="s">
        <v>1672</v>
      </c>
      <c r="E1988" s="173"/>
    </row>
    <row r="1989" spans="1:5">
      <c r="A1989" s="1" t="s">
        <v>21</v>
      </c>
      <c r="B1989" s="43">
        <v>2823559</v>
      </c>
      <c r="C1989" s="168" t="s">
        <v>71</v>
      </c>
      <c r="D1989" s="169" t="s">
        <v>2441</v>
      </c>
      <c r="E1989" s="173"/>
    </row>
    <row r="1990" spans="1:5">
      <c r="A1990" s="1" t="s">
        <v>21</v>
      </c>
      <c r="B1990" s="43">
        <v>718627</v>
      </c>
      <c r="C1990" s="168" t="s">
        <v>71</v>
      </c>
      <c r="D1990" s="169" t="s">
        <v>1806</v>
      </c>
      <c r="E1990" s="173"/>
    </row>
    <row r="1991" spans="1:5">
      <c r="A1991" s="1" t="s">
        <v>21</v>
      </c>
      <c r="B1991" s="43">
        <v>808667</v>
      </c>
      <c r="C1991" s="168" t="s">
        <v>71</v>
      </c>
      <c r="D1991" s="169" t="s">
        <v>2964</v>
      </c>
      <c r="E1991" s="173"/>
    </row>
    <row r="1992" spans="1:5">
      <c r="A1992" s="1" t="s">
        <v>21</v>
      </c>
      <c r="B1992" s="43">
        <v>2802467</v>
      </c>
      <c r="C1992" s="168" t="s">
        <v>71</v>
      </c>
      <c r="D1992" s="169" t="s">
        <v>3313</v>
      </c>
      <c r="E1992" s="173"/>
    </row>
    <row r="1993" spans="1:5">
      <c r="A1993" s="1" t="s">
        <v>22</v>
      </c>
      <c r="B1993" s="165" t="s">
        <v>68</v>
      </c>
      <c r="C1993" s="166" t="s">
        <v>62</v>
      </c>
      <c r="D1993" s="176" t="s">
        <v>69</v>
      </c>
      <c r="E1993" s="166" t="s">
        <v>70</v>
      </c>
    </row>
    <row r="1994" spans="1:5">
      <c r="A1994" s="1" t="s">
        <v>22</v>
      </c>
      <c r="B1994" s="43">
        <v>564547</v>
      </c>
      <c r="C1994" s="168" t="s">
        <v>1593</v>
      </c>
      <c r="D1994" s="169" t="s">
        <v>3314</v>
      </c>
      <c r="E1994" s="170" t="s">
        <v>2930</v>
      </c>
    </row>
    <row r="1995" spans="1:5">
      <c r="A1995" s="1" t="s">
        <v>22</v>
      </c>
      <c r="B1995" s="43">
        <v>574670</v>
      </c>
      <c r="C1995" s="168" t="s">
        <v>90</v>
      </c>
      <c r="D1995" s="169" t="s">
        <v>1746</v>
      </c>
      <c r="E1995" s="170" t="s">
        <v>1818</v>
      </c>
    </row>
    <row r="1996" spans="1:5">
      <c r="A1996" s="1" t="s">
        <v>22</v>
      </c>
      <c r="B1996" s="43">
        <v>624208</v>
      </c>
      <c r="C1996" s="168" t="s">
        <v>90</v>
      </c>
      <c r="D1996" s="169" t="s">
        <v>3294</v>
      </c>
      <c r="E1996" s="170" t="s">
        <v>2932</v>
      </c>
    </row>
    <row r="1997" spans="1:5">
      <c r="A1997" s="1" t="s">
        <v>22</v>
      </c>
      <c r="B1997" s="43">
        <v>2812491</v>
      </c>
      <c r="C1997" s="168" t="s">
        <v>90</v>
      </c>
      <c r="D1997" s="169" t="s">
        <v>3315</v>
      </c>
      <c r="E1997" s="170" t="s">
        <v>2583</v>
      </c>
    </row>
    <row r="1998" spans="1:5">
      <c r="A1998" s="1" t="s">
        <v>22</v>
      </c>
      <c r="B1998" s="43">
        <v>577354</v>
      </c>
      <c r="C1998" s="168" t="s">
        <v>90</v>
      </c>
      <c r="D1998" s="169" t="s">
        <v>2591</v>
      </c>
      <c r="E1998" s="170" t="s">
        <v>1745</v>
      </c>
    </row>
    <row r="1999" spans="1:5">
      <c r="A1999" s="1" t="s">
        <v>22</v>
      </c>
      <c r="B1999" s="43">
        <v>536419</v>
      </c>
      <c r="C1999" s="168" t="s">
        <v>83</v>
      </c>
      <c r="D1999" s="169" t="s">
        <v>22</v>
      </c>
      <c r="E1999" s="170" t="s">
        <v>1747</v>
      </c>
    </row>
    <row r="2000" spans="1:5">
      <c r="A2000" s="1" t="s">
        <v>22</v>
      </c>
      <c r="B2000" s="43">
        <v>661748</v>
      </c>
      <c r="C2000" s="168" t="s">
        <v>773</v>
      </c>
      <c r="D2000" s="169" t="s">
        <v>1750</v>
      </c>
      <c r="E2000" s="170" t="s">
        <v>3316</v>
      </c>
    </row>
    <row r="2001" spans="1:5">
      <c r="A2001" s="1" t="s">
        <v>22</v>
      </c>
      <c r="B2001" s="43">
        <v>700792</v>
      </c>
      <c r="C2001" s="168" t="s">
        <v>71</v>
      </c>
      <c r="D2001" s="169" t="s">
        <v>1820</v>
      </c>
      <c r="E2001" s="173"/>
    </row>
    <row r="2002" spans="1:5">
      <c r="A2002" s="1" t="s">
        <v>22</v>
      </c>
      <c r="B2002" s="43">
        <v>585227</v>
      </c>
      <c r="C2002" s="168" t="s">
        <v>71</v>
      </c>
      <c r="D2002" s="169" t="s">
        <v>1751</v>
      </c>
      <c r="E2002" s="173"/>
    </row>
    <row r="2003" spans="1:5">
      <c r="A2003" s="1" t="s">
        <v>22</v>
      </c>
      <c r="B2003" s="43">
        <v>565363</v>
      </c>
      <c r="C2003" s="168" t="s">
        <v>71</v>
      </c>
      <c r="D2003" s="169" t="s">
        <v>2871</v>
      </c>
      <c r="E2003" s="173"/>
    </row>
    <row r="2004" spans="1:5">
      <c r="A2004" s="1" t="s">
        <v>22</v>
      </c>
      <c r="B2004" s="43">
        <v>578061</v>
      </c>
      <c r="C2004" s="168" t="s">
        <v>71</v>
      </c>
      <c r="D2004" s="169" t="s">
        <v>3298</v>
      </c>
      <c r="E2004" s="173"/>
    </row>
    <row r="2005" spans="1:5">
      <c r="A2005" s="1" t="s">
        <v>22</v>
      </c>
      <c r="B2005" s="43">
        <v>756286</v>
      </c>
      <c r="C2005" s="168" t="s">
        <v>71</v>
      </c>
      <c r="D2005" s="169" t="s">
        <v>2582</v>
      </c>
      <c r="E2005" s="173"/>
    </row>
    <row r="2006" spans="1:5">
      <c r="A2006" s="1" t="s">
        <v>22</v>
      </c>
      <c r="B2006" s="43">
        <v>2881199</v>
      </c>
      <c r="C2006" s="168" t="s">
        <v>71</v>
      </c>
      <c r="D2006" s="169" t="s">
        <v>2586</v>
      </c>
      <c r="E2006" s="173"/>
    </row>
    <row r="2007" spans="1:5">
      <c r="A2007" s="1" t="s">
        <v>22</v>
      </c>
      <c r="B2007" s="43">
        <v>2895002</v>
      </c>
      <c r="C2007" s="168" t="s">
        <v>90</v>
      </c>
      <c r="D2007" s="169" t="s">
        <v>2601</v>
      </c>
      <c r="E2007" s="173"/>
    </row>
    <row r="2008" spans="1:5">
      <c r="A2008" s="1" t="s">
        <v>22</v>
      </c>
      <c r="B2008" s="43">
        <v>604212</v>
      </c>
      <c r="C2008" s="168" t="s">
        <v>83</v>
      </c>
      <c r="D2008" s="169" t="s">
        <v>3317</v>
      </c>
      <c r="E2008" s="173"/>
    </row>
    <row r="2009" spans="1:5">
      <c r="A2009" s="1" t="s">
        <v>22</v>
      </c>
      <c r="B2009" s="43">
        <v>604211</v>
      </c>
      <c r="C2009" s="168" t="s">
        <v>83</v>
      </c>
      <c r="D2009" s="169" t="s">
        <v>2938</v>
      </c>
      <c r="E2009" s="173"/>
    </row>
    <row r="2010" spans="1:5">
      <c r="A2010" s="1" t="s">
        <v>22</v>
      </c>
      <c r="B2010" s="43">
        <v>604213</v>
      </c>
      <c r="C2010" s="168" t="s">
        <v>83</v>
      </c>
      <c r="D2010" s="169" t="s">
        <v>2939</v>
      </c>
      <c r="E2010" s="173"/>
    </row>
    <row r="2011" spans="1:5">
      <c r="A2011" s="1" t="s">
        <v>22</v>
      </c>
      <c r="B2011" s="43">
        <v>456353</v>
      </c>
      <c r="C2011" s="168" t="s">
        <v>83</v>
      </c>
      <c r="D2011" s="169" t="s">
        <v>1754</v>
      </c>
      <c r="E2011" s="173"/>
    </row>
    <row r="2012" spans="1:5">
      <c r="A2012" s="1" t="s">
        <v>22</v>
      </c>
      <c r="B2012" s="43">
        <v>2876075</v>
      </c>
      <c r="C2012" s="168" t="s">
        <v>83</v>
      </c>
      <c r="D2012" s="169" t="s">
        <v>3299</v>
      </c>
      <c r="E2012" s="173"/>
    </row>
    <row r="2013" spans="1:5">
      <c r="A2013" s="1" t="s">
        <v>22</v>
      </c>
      <c r="B2013" s="43">
        <v>2880017</v>
      </c>
      <c r="C2013" s="168" t="s">
        <v>83</v>
      </c>
      <c r="D2013" s="169" t="s">
        <v>2942</v>
      </c>
      <c r="E2013" s="173"/>
    </row>
    <row r="2014" spans="1:5">
      <c r="A2014" s="1" t="s">
        <v>22</v>
      </c>
      <c r="B2014" s="43">
        <v>2882010</v>
      </c>
      <c r="C2014" s="168" t="s">
        <v>773</v>
      </c>
      <c r="D2014" s="169" t="s">
        <v>3318</v>
      </c>
      <c r="E2014" s="173"/>
    </row>
    <row r="2015" spans="1:5">
      <c r="A2015" s="1" t="s">
        <v>22</v>
      </c>
      <c r="B2015" s="43">
        <v>5015864</v>
      </c>
      <c r="C2015" s="168" t="s">
        <v>773</v>
      </c>
      <c r="D2015" s="169" t="s">
        <v>3319</v>
      </c>
      <c r="E2015" s="173"/>
    </row>
    <row r="2016" spans="1:5">
      <c r="A2016" s="1" t="s">
        <v>22</v>
      </c>
      <c r="B2016" s="43">
        <v>5015865</v>
      </c>
      <c r="C2016" s="168" t="s">
        <v>773</v>
      </c>
      <c r="D2016" s="169" t="s">
        <v>2945</v>
      </c>
      <c r="E2016" s="173"/>
    </row>
    <row r="2017" spans="1:5">
      <c r="A2017" s="1" t="s">
        <v>22</v>
      </c>
      <c r="B2017" s="43">
        <v>5034159</v>
      </c>
      <c r="C2017" s="168" t="s">
        <v>773</v>
      </c>
      <c r="D2017" s="169" t="s">
        <v>1761</v>
      </c>
      <c r="E2017" s="173"/>
    </row>
    <row r="2018" spans="1:5">
      <c r="A2018" s="1" t="s">
        <v>22</v>
      </c>
      <c r="B2018" s="43">
        <v>802842</v>
      </c>
      <c r="C2018" s="168" t="s">
        <v>773</v>
      </c>
      <c r="D2018" s="169" t="s">
        <v>1763</v>
      </c>
      <c r="E2018" s="173"/>
    </row>
    <row r="2019" spans="1:5">
      <c r="A2019" s="1" t="s">
        <v>22</v>
      </c>
      <c r="B2019" s="43">
        <v>661750</v>
      </c>
      <c r="C2019" s="168" t="s">
        <v>773</v>
      </c>
      <c r="D2019" s="169" t="s">
        <v>1764</v>
      </c>
      <c r="E2019" s="173"/>
    </row>
    <row r="2020" spans="1:5">
      <c r="A2020" s="1" t="s">
        <v>22</v>
      </c>
      <c r="B2020" s="43">
        <v>5028615</v>
      </c>
      <c r="C2020" s="168" t="s">
        <v>773</v>
      </c>
      <c r="D2020" s="169" t="s">
        <v>1766</v>
      </c>
      <c r="E2020" s="173"/>
    </row>
    <row r="2021" spans="1:5">
      <c r="A2021" s="1" t="s">
        <v>22</v>
      </c>
      <c r="B2021" s="43">
        <v>688508</v>
      </c>
      <c r="C2021" s="168" t="s">
        <v>773</v>
      </c>
      <c r="D2021" s="169" t="s">
        <v>1767</v>
      </c>
      <c r="E2021" s="173"/>
    </row>
    <row r="2022" spans="1:5">
      <c r="A2022" s="1" t="s">
        <v>22</v>
      </c>
      <c r="B2022" s="43">
        <v>693069</v>
      </c>
      <c r="C2022" s="168" t="s">
        <v>1593</v>
      </c>
      <c r="D2022" s="169" t="s">
        <v>2951</v>
      </c>
      <c r="E2022" s="173"/>
    </row>
    <row r="2023" spans="1:5">
      <c r="A2023" s="1" t="s">
        <v>22</v>
      </c>
      <c r="B2023" s="43">
        <v>2367363</v>
      </c>
      <c r="C2023" s="168" t="s">
        <v>1593</v>
      </c>
      <c r="D2023" s="169" t="s">
        <v>3320</v>
      </c>
      <c r="E2023" s="173"/>
    </row>
    <row r="2024" spans="1:5">
      <c r="A2024" s="1" t="s">
        <v>22</v>
      </c>
      <c r="B2024" s="43">
        <v>2424655</v>
      </c>
      <c r="C2024" s="168" t="s">
        <v>71</v>
      </c>
      <c r="D2024" s="169" t="s">
        <v>2600</v>
      </c>
      <c r="E2024" s="173"/>
    </row>
    <row r="2025" spans="1:5">
      <c r="A2025" s="1" t="s">
        <v>22</v>
      </c>
      <c r="B2025" s="43">
        <v>2833052</v>
      </c>
      <c r="C2025" s="168" t="s">
        <v>71</v>
      </c>
      <c r="D2025" s="169" t="s">
        <v>3321</v>
      </c>
      <c r="E2025" s="173"/>
    </row>
    <row r="2026" spans="1:5">
      <c r="A2026" s="1" t="s">
        <v>22</v>
      </c>
      <c r="B2026" s="43">
        <v>645011</v>
      </c>
      <c r="C2026" s="168" t="s">
        <v>71</v>
      </c>
      <c r="D2026" s="169" t="s">
        <v>2953</v>
      </c>
      <c r="E2026" s="173"/>
    </row>
    <row r="2027" spans="1:5">
      <c r="A2027" s="1" t="s">
        <v>22</v>
      </c>
      <c r="B2027" s="43">
        <v>592488</v>
      </c>
      <c r="C2027" s="168" t="s">
        <v>71</v>
      </c>
      <c r="D2027" s="169" t="s">
        <v>3302</v>
      </c>
      <c r="E2027" s="173"/>
    </row>
    <row r="2028" spans="1:5">
      <c r="A2028" s="1" t="s">
        <v>22</v>
      </c>
      <c r="B2028" s="43">
        <v>746305</v>
      </c>
      <c r="C2028" s="168" t="s">
        <v>71</v>
      </c>
      <c r="D2028" s="169" t="s">
        <v>1991</v>
      </c>
      <c r="E2028" s="173"/>
    </row>
    <row r="2029" spans="1:5">
      <c r="A2029" s="1" t="s">
        <v>22</v>
      </c>
      <c r="B2029" s="43">
        <v>126132</v>
      </c>
      <c r="C2029" s="168" t="s">
        <v>71</v>
      </c>
      <c r="D2029" s="169" t="s">
        <v>1781</v>
      </c>
      <c r="E2029" s="173"/>
    </row>
    <row r="2030" spans="1:5">
      <c r="A2030" s="1" t="s">
        <v>22</v>
      </c>
      <c r="B2030" s="43">
        <v>3013243</v>
      </c>
      <c r="C2030" s="168" t="s">
        <v>71</v>
      </c>
      <c r="D2030" s="169" t="s">
        <v>2599</v>
      </c>
      <c r="E2030" s="173"/>
    </row>
    <row r="2031" spans="1:5">
      <c r="A2031" s="1" t="s">
        <v>22</v>
      </c>
      <c r="B2031" s="43">
        <v>2823247</v>
      </c>
      <c r="C2031" s="168" t="s">
        <v>90</v>
      </c>
      <c r="D2031" s="169" t="s">
        <v>2966</v>
      </c>
      <c r="E2031" s="173"/>
    </row>
    <row r="2032" spans="1:5">
      <c r="A2032" s="1" t="s">
        <v>22</v>
      </c>
      <c r="B2032" s="43">
        <v>2823138</v>
      </c>
      <c r="C2032" s="168" t="s">
        <v>83</v>
      </c>
      <c r="D2032" s="169" t="s">
        <v>2613</v>
      </c>
      <c r="E2032" s="173"/>
    </row>
    <row r="2033" spans="1:5">
      <c r="A2033" s="1" t="s">
        <v>22</v>
      </c>
      <c r="B2033" s="43">
        <v>647657</v>
      </c>
      <c r="C2033" s="168" t="s">
        <v>1593</v>
      </c>
      <c r="D2033" s="169" t="s">
        <v>1799</v>
      </c>
      <c r="E2033" s="173"/>
    </row>
    <row r="2034" spans="1:5">
      <c r="A2034" s="1" t="s">
        <v>22</v>
      </c>
      <c r="B2034" s="43">
        <v>3006178</v>
      </c>
      <c r="C2034" s="168" t="s">
        <v>1593</v>
      </c>
      <c r="D2034" s="169" t="s">
        <v>3322</v>
      </c>
      <c r="E2034" s="173"/>
    </row>
    <row r="2035" spans="1:5">
      <c r="A2035" s="1" t="s">
        <v>22</v>
      </c>
      <c r="B2035" s="43">
        <v>808667</v>
      </c>
      <c r="C2035" s="168" t="s">
        <v>71</v>
      </c>
      <c r="D2035" s="169" t="s">
        <v>2964</v>
      </c>
      <c r="E2035" s="173"/>
    </row>
    <row r="2036" spans="1:5">
      <c r="A2036" s="1" t="s">
        <v>22</v>
      </c>
      <c r="B2036" s="43">
        <v>769279</v>
      </c>
      <c r="C2036" s="168" t="s">
        <v>71</v>
      </c>
      <c r="D2036" s="169" t="s">
        <v>2629</v>
      </c>
      <c r="E2036" s="173"/>
    </row>
    <row r="2037" spans="1:5">
      <c r="A2037" s="1" t="s">
        <v>22</v>
      </c>
      <c r="B2037" s="43">
        <v>2228265</v>
      </c>
      <c r="C2037" s="168" t="s">
        <v>71</v>
      </c>
      <c r="D2037" s="169" t="s">
        <v>2639</v>
      </c>
      <c r="E2037" s="173"/>
    </row>
    <row r="2038" spans="1:5">
      <c r="A2038" s="1" t="s">
        <v>22</v>
      </c>
      <c r="B2038" s="43">
        <v>2825499</v>
      </c>
      <c r="C2038" s="168" t="s">
        <v>71</v>
      </c>
      <c r="D2038" s="169" t="s">
        <v>2921</v>
      </c>
      <c r="E2038" s="173"/>
    </row>
    <row r="2039" spans="1:5">
      <c r="A2039" s="1" t="s">
        <v>22</v>
      </c>
      <c r="B2039" s="43">
        <v>2832050</v>
      </c>
      <c r="C2039" s="168" t="s">
        <v>71</v>
      </c>
      <c r="D2039" s="169" t="s">
        <v>2645</v>
      </c>
      <c r="E2039" s="173"/>
    </row>
    <row r="2040" spans="1:5">
      <c r="A2040" s="1" t="s">
        <v>22</v>
      </c>
      <c r="B2040" s="43">
        <v>2823546</v>
      </c>
      <c r="C2040" s="168" t="s">
        <v>71</v>
      </c>
      <c r="D2040" s="169" t="s">
        <v>2643</v>
      </c>
      <c r="E2040" s="173"/>
    </row>
    <row r="2041" spans="1:5">
      <c r="A2041" s="1" t="s">
        <v>23</v>
      </c>
      <c r="B2041" s="165" t="s">
        <v>68</v>
      </c>
      <c r="C2041" s="166" t="s">
        <v>62</v>
      </c>
      <c r="D2041" s="176" t="s">
        <v>69</v>
      </c>
      <c r="E2041" s="166" t="s">
        <v>70</v>
      </c>
    </row>
    <row r="2042" spans="1:5">
      <c r="A2042" s="1" t="s">
        <v>23</v>
      </c>
      <c r="B2042" s="43">
        <v>373562</v>
      </c>
      <c r="C2042" s="168" t="s">
        <v>90</v>
      </c>
      <c r="D2042" s="169" t="s">
        <v>3250</v>
      </c>
      <c r="E2042" s="170" t="s">
        <v>1818</v>
      </c>
    </row>
    <row r="2043" spans="1:5">
      <c r="A2043" s="1" t="s">
        <v>23</v>
      </c>
      <c r="B2043" s="43">
        <v>706917</v>
      </c>
      <c r="C2043" s="168" t="s">
        <v>90</v>
      </c>
      <c r="D2043" s="169" t="s">
        <v>3323</v>
      </c>
      <c r="E2043" s="170" t="s">
        <v>2812</v>
      </c>
    </row>
    <row r="2044" spans="1:5">
      <c r="A2044" s="1" t="s">
        <v>23</v>
      </c>
      <c r="B2044" s="43">
        <v>664805</v>
      </c>
      <c r="C2044" s="168" t="s">
        <v>71</v>
      </c>
      <c r="D2044" s="169" t="s">
        <v>1689</v>
      </c>
      <c r="E2044" s="183" t="s">
        <v>2576</v>
      </c>
    </row>
    <row r="2045" spans="1:5">
      <c r="A2045" s="1" t="s">
        <v>23</v>
      </c>
      <c r="B2045" s="43">
        <v>645013</v>
      </c>
      <c r="C2045" s="168" t="s">
        <v>71</v>
      </c>
      <c r="D2045" s="169" t="s">
        <v>1815</v>
      </c>
      <c r="E2045" s="170" t="s">
        <v>3324</v>
      </c>
    </row>
    <row r="2046" spans="1:5">
      <c r="A2046" s="1" t="s">
        <v>23</v>
      </c>
      <c r="B2046" s="43">
        <v>2426605</v>
      </c>
      <c r="C2046" s="168" t="s">
        <v>83</v>
      </c>
      <c r="D2046" s="169" t="s">
        <v>2823</v>
      </c>
      <c r="E2046" s="170" t="s">
        <v>3293</v>
      </c>
    </row>
    <row r="2047" spans="1:5">
      <c r="A2047" s="1" t="s">
        <v>23</v>
      </c>
      <c r="B2047" s="43">
        <v>5028617</v>
      </c>
      <c r="C2047" s="168" t="s">
        <v>71</v>
      </c>
      <c r="D2047" s="169" t="s">
        <v>1821</v>
      </c>
      <c r="E2047" s="172" t="s">
        <v>1887</v>
      </c>
    </row>
    <row r="2048" spans="1:5">
      <c r="A2048" s="1" t="s">
        <v>23</v>
      </c>
      <c r="B2048" s="43">
        <v>2252217</v>
      </c>
      <c r="C2048" s="168" t="s">
        <v>71</v>
      </c>
      <c r="D2048" s="169" t="s">
        <v>3296</v>
      </c>
      <c r="E2048" s="170" t="s">
        <v>1745</v>
      </c>
    </row>
    <row r="2049" spans="1:5">
      <c r="A2049" s="1" t="s">
        <v>23</v>
      </c>
      <c r="B2049" s="43">
        <v>625917</v>
      </c>
      <c r="C2049" s="168" t="s">
        <v>71</v>
      </c>
      <c r="D2049" s="169" t="s">
        <v>3325</v>
      </c>
      <c r="E2049" s="170" t="s">
        <v>3326</v>
      </c>
    </row>
    <row r="2050" spans="1:5">
      <c r="A2050" s="1" t="s">
        <v>23</v>
      </c>
      <c r="B2050" s="43">
        <v>5022331</v>
      </c>
      <c r="C2050" s="168" t="s">
        <v>71</v>
      </c>
      <c r="D2050" s="169" t="s">
        <v>2872</v>
      </c>
      <c r="E2050" s="170" t="s">
        <v>3327</v>
      </c>
    </row>
    <row r="2051" spans="1:5">
      <c r="A2051" s="1" t="s">
        <v>23</v>
      </c>
      <c r="B2051" s="43">
        <v>2819137</v>
      </c>
      <c r="C2051" s="168" t="s">
        <v>71</v>
      </c>
      <c r="D2051" s="169" t="s">
        <v>3328</v>
      </c>
      <c r="E2051" s="170" t="s">
        <v>3329</v>
      </c>
    </row>
    <row r="2052" spans="1:5">
      <c r="A2052" s="1" t="s">
        <v>23</v>
      </c>
      <c r="B2052" s="43">
        <v>2886218</v>
      </c>
      <c r="C2052" s="168" t="s">
        <v>71</v>
      </c>
      <c r="D2052" s="169" t="s">
        <v>3330</v>
      </c>
      <c r="E2052" s="170" t="s">
        <v>2818</v>
      </c>
    </row>
    <row r="2053" spans="1:5">
      <c r="A2053" s="1" t="s">
        <v>23</v>
      </c>
      <c r="B2053" s="43">
        <v>3004558</v>
      </c>
      <c r="C2053" s="168" t="s">
        <v>71</v>
      </c>
      <c r="D2053" s="169" t="s">
        <v>3331</v>
      </c>
      <c r="E2053" s="170" t="s">
        <v>3332</v>
      </c>
    </row>
    <row r="2054" spans="1:5">
      <c r="A2054" s="1" t="s">
        <v>23</v>
      </c>
      <c r="B2054" s="43">
        <v>2874004</v>
      </c>
      <c r="C2054" s="168" t="s">
        <v>83</v>
      </c>
      <c r="D2054" s="175" t="s">
        <v>3333</v>
      </c>
      <c r="E2054" s="183"/>
    </row>
    <row r="2055" spans="1:5">
      <c r="A2055" s="1" t="s">
        <v>23</v>
      </c>
      <c r="B2055" s="43">
        <v>797725</v>
      </c>
      <c r="C2055" s="168" t="s">
        <v>83</v>
      </c>
      <c r="D2055" s="169" t="s">
        <v>3334</v>
      </c>
      <c r="E2055" s="171"/>
    </row>
    <row r="2056" spans="1:5">
      <c r="A2056" s="1" t="s">
        <v>23</v>
      </c>
      <c r="B2056" s="43">
        <v>2875338</v>
      </c>
      <c r="C2056" s="168" t="s">
        <v>83</v>
      </c>
      <c r="D2056" s="169" t="s">
        <v>2832</v>
      </c>
      <c r="E2056" s="170"/>
    </row>
    <row r="2057" spans="1:5">
      <c r="A2057" s="1" t="s">
        <v>23</v>
      </c>
      <c r="B2057" s="43">
        <v>2873256</v>
      </c>
      <c r="C2057" s="168" t="s">
        <v>83</v>
      </c>
      <c r="D2057" s="169" t="s">
        <v>2699</v>
      </c>
      <c r="E2057" s="172"/>
    </row>
    <row r="2058" spans="1:5">
      <c r="A2058" s="1" t="s">
        <v>23</v>
      </c>
      <c r="B2058" s="43">
        <v>2882010</v>
      </c>
      <c r="C2058" s="168" t="s">
        <v>773</v>
      </c>
      <c r="D2058" s="169" t="s">
        <v>3318</v>
      </c>
      <c r="E2058" s="170"/>
    </row>
    <row r="2059" spans="1:5">
      <c r="A2059" s="1" t="s">
        <v>23</v>
      </c>
      <c r="B2059" s="43">
        <v>696328</v>
      </c>
      <c r="C2059" s="168" t="s">
        <v>773</v>
      </c>
      <c r="D2059" s="169" t="s">
        <v>2944</v>
      </c>
      <c r="E2059" s="170"/>
    </row>
    <row r="2060" spans="1:5">
      <c r="A2060" s="1" t="s">
        <v>23</v>
      </c>
      <c r="B2060" s="43">
        <v>698662</v>
      </c>
      <c r="C2060" s="168" t="s">
        <v>773</v>
      </c>
      <c r="D2060" s="169" t="s">
        <v>3267</v>
      </c>
      <c r="E2060" s="170"/>
    </row>
    <row r="2061" spans="1:5">
      <c r="A2061" s="1" t="s">
        <v>23</v>
      </c>
      <c r="B2061" s="43">
        <v>5038200</v>
      </c>
      <c r="C2061" s="168" t="s">
        <v>1593</v>
      </c>
      <c r="D2061" s="169" t="s">
        <v>2952</v>
      </c>
      <c r="E2061" s="170"/>
    </row>
    <row r="2062" spans="1:5">
      <c r="A2062" s="1" t="s">
        <v>23</v>
      </c>
      <c r="B2062" s="43">
        <v>784280</v>
      </c>
      <c r="C2062" s="168" t="s">
        <v>1593</v>
      </c>
      <c r="D2062" s="169" t="s">
        <v>1768</v>
      </c>
      <c r="E2062" s="170"/>
    </row>
    <row r="2063" spans="1:5">
      <c r="A2063" s="1" t="s">
        <v>23</v>
      </c>
      <c r="B2063" s="43">
        <v>656779</v>
      </c>
      <c r="C2063" s="168" t="s">
        <v>71</v>
      </c>
      <c r="D2063" s="169" t="s">
        <v>1775</v>
      </c>
      <c r="E2063" s="170"/>
    </row>
    <row r="2064" spans="1:5">
      <c r="A2064" s="1" t="s">
        <v>23</v>
      </c>
      <c r="B2064" s="43">
        <v>647652</v>
      </c>
      <c r="C2064" s="168" t="s">
        <v>71</v>
      </c>
      <c r="D2064" s="169" t="s">
        <v>1827</v>
      </c>
      <c r="E2064" s="173"/>
    </row>
    <row r="2065" spans="1:5">
      <c r="A2065" s="1" t="s">
        <v>23</v>
      </c>
      <c r="B2065" s="43">
        <v>2878236</v>
      </c>
      <c r="C2065" s="168" t="s">
        <v>71</v>
      </c>
      <c r="D2065" s="169" t="s">
        <v>2597</v>
      </c>
      <c r="E2065" s="173"/>
    </row>
    <row r="2066" spans="1:5">
      <c r="A2066" s="1" t="s">
        <v>23</v>
      </c>
      <c r="B2066" s="43">
        <v>2892004</v>
      </c>
      <c r="C2066" s="168" t="s">
        <v>71</v>
      </c>
      <c r="D2066" s="169" t="s">
        <v>3335</v>
      </c>
      <c r="E2066" s="173"/>
    </row>
    <row r="2067" spans="1:5">
      <c r="A2067" s="1" t="s">
        <v>23</v>
      </c>
      <c r="B2067" s="43">
        <v>2875305</v>
      </c>
      <c r="C2067" s="168" t="s">
        <v>773</v>
      </c>
      <c r="D2067" s="169" t="s">
        <v>3336</v>
      </c>
      <c r="E2067" s="173"/>
    </row>
    <row r="2068" spans="1:5">
      <c r="A2068" s="1" t="s">
        <v>23</v>
      </c>
      <c r="B2068" s="43">
        <v>2825692</v>
      </c>
      <c r="C2068" s="168" t="s">
        <v>71</v>
      </c>
      <c r="D2068" s="169" t="s">
        <v>3175</v>
      </c>
      <c r="E2068" s="173"/>
    </row>
    <row r="2069" spans="1:5">
      <c r="A2069" s="1" t="s">
        <v>23</v>
      </c>
      <c r="B2069" s="43">
        <v>2424408</v>
      </c>
      <c r="C2069" s="168" t="s">
        <v>71</v>
      </c>
      <c r="D2069" s="169" t="s">
        <v>2409</v>
      </c>
      <c r="E2069" s="173"/>
    </row>
    <row r="2070" spans="1:5">
      <c r="A2070" s="1" t="s">
        <v>23</v>
      </c>
      <c r="B2070" s="43">
        <v>2875147</v>
      </c>
      <c r="C2070" s="168" t="s">
        <v>1593</v>
      </c>
      <c r="D2070" s="169" t="s">
        <v>1909</v>
      </c>
      <c r="E2070" s="173"/>
    </row>
    <row r="2071" spans="1:5">
      <c r="A2071" s="1" t="s">
        <v>23</v>
      </c>
      <c r="B2071" s="43">
        <v>2878007</v>
      </c>
      <c r="C2071" s="168" t="s">
        <v>1593</v>
      </c>
      <c r="D2071" s="169" t="s">
        <v>3337</v>
      </c>
      <c r="E2071" s="173"/>
    </row>
    <row r="2072" spans="1:5">
      <c r="A2072" s="1" t="s">
        <v>23</v>
      </c>
      <c r="B2072" s="43">
        <v>2886117</v>
      </c>
      <c r="C2072" s="168" t="s">
        <v>1593</v>
      </c>
      <c r="D2072" s="169" t="s">
        <v>1832</v>
      </c>
      <c r="E2072" s="173"/>
    </row>
    <row r="2073" spans="1:5">
      <c r="A2073" s="1" t="s">
        <v>23</v>
      </c>
      <c r="B2073" s="43">
        <v>664811</v>
      </c>
      <c r="C2073" s="168" t="s">
        <v>90</v>
      </c>
      <c r="D2073" s="169" t="s">
        <v>3338</v>
      </c>
      <c r="E2073" s="173"/>
    </row>
    <row r="2074" spans="1:5">
      <c r="A2074" s="1" t="s">
        <v>23</v>
      </c>
      <c r="B2074" s="43">
        <v>5022325</v>
      </c>
      <c r="C2074" s="168" t="s">
        <v>90</v>
      </c>
      <c r="D2074" s="169" t="s">
        <v>2454</v>
      </c>
      <c r="E2074" s="173"/>
    </row>
    <row r="2075" spans="1:5">
      <c r="A2075" s="1" t="s">
        <v>23</v>
      </c>
      <c r="B2075" s="43">
        <v>2877283</v>
      </c>
      <c r="C2075" s="168" t="s">
        <v>83</v>
      </c>
      <c r="D2075" s="169" t="s">
        <v>2840</v>
      </c>
      <c r="E2075" s="173"/>
    </row>
    <row r="2076" spans="1:5">
      <c r="A2076" s="1" t="s">
        <v>23</v>
      </c>
      <c r="B2076" s="43">
        <v>2837225</v>
      </c>
      <c r="C2076" s="168" t="s">
        <v>83</v>
      </c>
      <c r="D2076" s="169" t="s">
        <v>3339</v>
      </c>
      <c r="E2076" s="173"/>
    </row>
    <row r="2077" spans="1:5">
      <c r="A2077" s="1" t="s">
        <v>23</v>
      </c>
      <c r="B2077" s="43">
        <v>2819028</v>
      </c>
      <c r="C2077" s="168" t="s">
        <v>83</v>
      </c>
      <c r="D2077" s="169" t="s">
        <v>3340</v>
      </c>
      <c r="E2077" s="173"/>
    </row>
    <row r="2078" spans="1:5">
      <c r="A2078" s="1" t="s">
        <v>23</v>
      </c>
      <c r="B2078" s="43">
        <v>794118</v>
      </c>
      <c r="C2078" s="168" t="s">
        <v>83</v>
      </c>
      <c r="D2078" s="169" t="s">
        <v>2610</v>
      </c>
      <c r="E2078" s="173"/>
    </row>
    <row r="2079" spans="1:5">
      <c r="A2079" s="1" t="s">
        <v>23</v>
      </c>
      <c r="B2079" s="43">
        <v>2807859</v>
      </c>
      <c r="C2079" s="168" t="s">
        <v>83</v>
      </c>
      <c r="D2079" s="169" t="s">
        <v>1916</v>
      </c>
      <c r="E2079" s="173"/>
    </row>
    <row r="2080" spans="1:5">
      <c r="A2080" s="1" t="s">
        <v>23</v>
      </c>
      <c r="B2080" s="43">
        <v>2810166</v>
      </c>
      <c r="C2080" s="168" t="s">
        <v>83</v>
      </c>
      <c r="D2080" s="169" t="s">
        <v>2837</v>
      </c>
      <c r="E2080" s="173"/>
    </row>
    <row r="2081" spans="1:5">
      <c r="A2081" s="1" t="s">
        <v>23</v>
      </c>
      <c r="B2081" s="43">
        <v>765323</v>
      </c>
      <c r="C2081" s="168" t="s">
        <v>83</v>
      </c>
      <c r="D2081" s="169" t="s">
        <v>2417</v>
      </c>
      <c r="E2081" s="173"/>
    </row>
    <row r="2082" spans="1:5">
      <c r="A2082" s="1" t="s">
        <v>23</v>
      </c>
      <c r="B2082" s="43">
        <v>797726</v>
      </c>
      <c r="C2082" s="168" t="s">
        <v>83</v>
      </c>
      <c r="D2082" s="169" t="s">
        <v>3341</v>
      </c>
      <c r="E2082" s="173"/>
    </row>
    <row r="2083" spans="1:5">
      <c r="A2083" s="1" t="s">
        <v>23</v>
      </c>
      <c r="B2083" s="43">
        <v>2812492</v>
      </c>
      <c r="C2083" s="168" t="s">
        <v>83</v>
      </c>
      <c r="D2083" s="169" t="s">
        <v>3342</v>
      </c>
      <c r="E2083" s="173"/>
    </row>
    <row r="2084" spans="1:5">
      <c r="A2084" s="1" t="s">
        <v>23</v>
      </c>
      <c r="B2084" s="43">
        <v>2811024</v>
      </c>
      <c r="C2084" s="168" t="s">
        <v>83</v>
      </c>
      <c r="D2084" s="169" t="s">
        <v>3343</v>
      </c>
      <c r="E2084" s="173"/>
    </row>
    <row r="2085" spans="1:5">
      <c r="A2085" s="1" t="s">
        <v>23</v>
      </c>
      <c r="B2085" s="43">
        <v>2805907</v>
      </c>
      <c r="C2085" s="168" t="s">
        <v>83</v>
      </c>
      <c r="D2085" s="169" t="s">
        <v>1914</v>
      </c>
      <c r="E2085" s="173"/>
    </row>
    <row r="2086" spans="1:5">
      <c r="A2086" s="1" t="s">
        <v>23</v>
      </c>
      <c r="B2086" s="43">
        <v>2807858</v>
      </c>
      <c r="C2086" s="168" t="s">
        <v>83</v>
      </c>
      <c r="D2086" s="169" t="s">
        <v>1915</v>
      </c>
      <c r="E2086" s="173"/>
    </row>
    <row r="2087" spans="1:5">
      <c r="A2087" s="1" t="s">
        <v>23</v>
      </c>
      <c r="B2087" s="43">
        <v>2808545</v>
      </c>
      <c r="C2087" s="168" t="s">
        <v>83</v>
      </c>
      <c r="D2087" s="169" t="s">
        <v>1843</v>
      </c>
      <c r="E2087" s="173"/>
    </row>
    <row r="2088" spans="1:5">
      <c r="A2088" s="1" t="s">
        <v>23</v>
      </c>
      <c r="B2088" s="43">
        <v>2825335</v>
      </c>
      <c r="C2088" s="168" t="s">
        <v>83</v>
      </c>
      <c r="D2088" s="169" t="s">
        <v>3344</v>
      </c>
      <c r="E2088" s="173"/>
    </row>
    <row r="2089" spans="1:5">
      <c r="A2089" s="1" t="s">
        <v>23</v>
      </c>
      <c r="B2089" s="43">
        <v>2813256</v>
      </c>
      <c r="C2089" s="168" t="s">
        <v>83</v>
      </c>
      <c r="D2089" s="169" t="s">
        <v>2611</v>
      </c>
      <c r="E2089" s="173"/>
    </row>
    <row r="2090" spans="1:5">
      <c r="A2090" s="1" t="s">
        <v>23</v>
      </c>
      <c r="B2090" s="43">
        <v>2841554</v>
      </c>
      <c r="C2090" s="168" t="s">
        <v>83</v>
      </c>
      <c r="D2090" s="169" t="s">
        <v>2615</v>
      </c>
      <c r="E2090" s="173"/>
    </row>
    <row r="2091" spans="1:5">
      <c r="A2091" s="1" t="s">
        <v>23</v>
      </c>
      <c r="B2091" s="43">
        <v>2818142</v>
      </c>
      <c r="C2091" s="168" t="s">
        <v>83</v>
      </c>
      <c r="D2091" s="169" t="s">
        <v>3345</v>
      </c>
      <c r="E2091" s="173"/>
    </row>
    <row r="2092" spans="1:5">
      <c r="A2092" s="1" t="s">
        <v>23</v>
      </c>
      <c r="B2092" s="43">
        <v>2848272</v>
      </c>
      <c r="C2092" s="168" t="s">
        <v>83</v>
      </c>
      <c r="D2092" s="169" t="s">
        <v>1846</v>
      </c>
      <c r="E2092" s="173"/>
    </row>
    <row r="2093" spans="1:5">
      <c r="A2093" s="1" t="s">
        <v>23</v>
      </c>
      <c r="B2093" s="43">
        <v>2825698</v>
      </c>
      <c r="C2093" s="168" t="s">
        <v>83</v>
      </c>
      <c r="D2093" s="169" t="s">
        <v>2909</v>
      </c>
      <c r="E2093" s="173"/>
    </row>
    <row r="2094" spans="1:5">
      <c r="A2094" s="1" t="s">
        <v>23</v>
      </c>
      <c r="B2094" s="43">
        <v>2853001</v>
      </c>
      <c r="C2094" s="168" t="s">
        <v>83</v>
      </c>
      <c r="D2094" s="169" t="s">
        <v>2433</v>
      </c>
      <c r="E2094" s="173"/>
    </row>
    <row r="2095" spans="1:5">
      <c r="A2095" s="1" t="s">
        <v>23</v>
      </c>
      <c r="B2095" s="43">
        <v>2865036</v>
      </c>
      <c r="C2095" s="168" t="s">
        <v>83</v>
      </c>
      <c r="D2095" s="169" t="s">
        <v>1924</v>
      </c>
      <c r="E2095" s="173"/>
    </row>
    <row r="2096" spans="1:5">
      <c r="A2096" s="1" t="s">
        <v>23</v>
      </c>
      <c r="B2096" s="43">
        <v>2877077</v>
      </c>
      <c r="C2096" s="168" t="s">
        <v>83</v>
      </c>
      <c r="D2096" s="169" t="s">
        <v>1926</v>
      </c>
      <c r="E2096" s="173"/>
    </row>
    <row r="2097" spans="1:5">
      <c r="A2097" s="1" t="s">
        <v>23</v>
      </c>
      <c r="B2097" s="43">
        <v>2877078</v>
      </c>
      <c r="C2097" s="168" t="s">
        <v>83</v>
      </c>
      <c r="D2097" s="169" t="s">
        <v>1925</v>
      </c>
      <c r="E2097" s="173"/>
    </row>
    <row r="2098" spans="1:5">
      <c r="A2098" s="1" t="s">
        <v>23</v>
      </c>
      <c r="B2098" s="43">
        <v>2874328</v>
      </c>
      <c r="C2098" s="168" t="s">
        <v>83</v>
      </c>
      <c r="D2098" s="169" t="s">
        <v>3346</v>
      </c>
      <c r="E2098" s="173"/>
    </row>
    <row r="2099" spans="1:5">
      <c r="A2099" s="1" t="s">
        <v>23</v>
      </c>
      <c r="B2099" s="43">
        <v>2876327</v>
      </c>
      <c r="C2099" s="168" t="s">
        <v>83</v>
      </c>
      <c r="D2099" s="169" t="s">
        <v>3347</v>
      </c>
      <c r="E2099" s="173"/>
    </row>
    <row r="2100" spans="1:5">
      <c r="A2100" s="1" t="s">
        <v>23</v>
      </c>
      <c r="B2100" s="43">
        <v>758621</v>
      </c>
      <c r="C2100" s="168" t="s">
        <v>83</v>
      </c>
      <c r="D2100" s="169" t="s">
        <v>3348</v>
      </c>
      <c r="E2100" s="173"/>
    </row>
    <row r="2101" spans="1:5">
      <c r="A2101" s="1" t="s">
        <v>23</v>
      </c>
      <c r="B2101" s="43">
        <v>515183</v>
      </c>
      <c r="C2101" s="168" t="s">
        <v>83</v>
      </c>
      <c r="D2101" s="169" t="s">
        <v>3349</v>
      </c>
      <c r="E2101" s="173"/>
    </row>
    <row r="2102" spans="1:5">
      <c r="A2102" s="1" t="s">
        <v>23</v>
      </c>
      <c r="B2102" s="43">
        <v>2874250</v>
      </c>
      <c r="C2102" s="168" t="s">
        <v>83</v>
      </c>
      <c r="D2102" s="169" t="s">
        <v>3350</v>
      </c>
      <c r="E2102" s="173"/>
    </row>
    <row r="2103" spans="1:5">
      <c r="A2103" s="1" t="s">
        <v>23</v>
      </c>
      <c r="B2103" s="43">
        <v>2421702</v>
      </c>
      <c r="C2103" s="168" t="s">
        <v>83</v>
      </c>
      <c r="D2103" s="169" t="s">
        <v>3351</v>
      </c>
      <c r="E2103" s="173"/>
    </row>
    <row r="2104" spans="1:5">
      <c r="A2104" s="1" t="s">
        <v>23</v>
      </c>
      <c r="B2104" s="43">
        <v>2427504</v>
      </c>
      <c r="C2104" s="168" t="s">
        <v>83</v>
      </c>
      <c r="D2104" s="169" t="s">
        <v>1852</v>
      </c>
      <c r="E2104" s="173"/>
    </row>
    <row r="2105" spans="1:5">
      <c r="A2105" s="1" t="s">
        <v>23</v>
      </c>
      <c r="B2105" s="43">
        <v>2427506</v>
      </c>
      <c r="C2105" s="168" t="s">
        <v>83</v>
      </c>
      <c r="D2105" s="169" t="s">
        <v>2232</v>
      </c>
      <c r="E2105" s="173"/>
    </row>
    <row r="2106" spans="1:5">
      <c r="A2106" s="1" t="s">
        <v>23</v>
      </c>
      <c r="B2106" s="43">
        <v>2427505</v>
      </c>
      <c r="C2106" s="168" t="s">
        <v>83</v>
      </c>
      <c r="D2106" s="169" t="s">
        <v>3352</v>
      </c>
      <c r="E2106" s="173"/>
    </row>
    <row r="2107" spans="1:5">
      <c r="A2107" s="1" t="s">
        <v>23</v>
      </c>
      <c r="B2107" s="43">
        <v>3154786</v>
      </c>
      <c r="C2107" s="168" t="s">
        <v>83</v>
      </c>
      <c r="D2107" s="169" t="s">
        <v>3353</v>
      </c>
      <c r="E2107" s="173"/>
    </row>
    <row r="2108" spans="1:5">
      <c r="A2108" s="1" t="s">
        <v>23</v>
      </c>
      <c r="B2108" s="43">
        <v>3007730</v>
      </c>
      <c r="C2108" s="168" t="s">
        <v>83</v>
      </c>
      <c r="D2108" s="169" t="s">
        <v>1942</v>
      </c>
      <c r="E2108" s="173"/>
    </row>
    <row r="2109" spans="1:5">
      <c r="A2109" s="1" t="s">
        <v>23</v>
      </c>
      <c r="B2109" s="43">
        <v>3009566</v>
      </c>
      <c r="C2109" s="168" t="s">
        <v>83</v>
      </c>
      <c r="D2109" s="169" t="s">
        <v>1943</v>
      </c>
      <c r="E2109" s="173"/>
    </row>
    <row r="2110" spans="1:5">
      <c r="A2110" s="1" t="s">
        <v>23</v>
      </c>
      <c r="B2110" s="43">
        <v>3010525</v>
      </c>
      <c r="C2110" s="168" t="s">
        <v>83</v>
      </c>
      <c r="D2110" s="169" t="s">
        <v>3354</v>
      </c>
      <c r="E2110" s="173"/>
    </row>
    <row r="2111" spans="1:5">
      <c r="A2111" s="1" t="s">
        <v>23</v>
      </c>
      <c r="B2111" s="43">
        <v>3011516</v>
      </c>
      <c r="C2111" s="168" t="s">
        <v>83</v>
      </c>
      <c r="D2111" s="169" t="s">
        <v>3355</v>
      </c>
      <c r="E2111" s="173"/>
    </row>
    <row r="2112" spans="1:5">
      <c r="A2112" s="1" t="s">
        <v>23</v>
      </c>
      <c r="B2112" s="43">
        <v>3013248</v>
      </c>
      <c r="C2112" s="168" t="s">
        <v>83</v>
      </c>
      <c r="D2112" s="169" t="s">
        <v>2622</v>
      </c>
      <c r="E2112" s="173"/>
    </row>
    <row r="2113" spans="1:5">
      <c r="A2113" s="1" t="s">
        <v>23</v>
      </c>
      <c r="B2113" s="43">
        <v>3003657</v>
      </c>
      <c r="C2113" s="168" t="s">
        <v>83</v>
      </c>
      <c r="D2113" s="169" t="s">
        <v>2108</v>
      </c>
      <c r="E2113" s="173"/>
    </row>
    <row r="2114" spans="1:5">
      <c r="A2114" s="1" t="s">
        <v>23</v>
      </c>
      <c r="B2114" s="43">
        <v>3013036</v>
      </c>
      <c r="C2114" s="168" t="s">
        <v>83</v>
      </c>
      <c r="D2114" s="169" t="s">
        <v>2843</v>
      </c>
      <c r="E2114" s="173"/>
    </row>
    <row r="2115" spans="1:5">
      <c r="A2115" s="1" t="s">
        <v>23</v>
      </c>
      <c r="B2115" s="43">
        <v>3008555</v>
      </c>
      <c r="C2115" s="168" t="s">
        <v>83</v>
      </c>
      <c r="D2115" s="169" t="s">
        <v>2844</v>
      </c>
      <c r="E2115" s="173"/>
    </row>
    <row r="2116" spans="1:5">
      <c r="A2116" s="1" t="s">
        <v>23</v>
      </c>
      <c r="B2116" s="43">
        <v>2835086</v>
      </c>
      <c r="C2116" s="168" t="s">
        <v>773</v>
      </c>
      <c r="D2116" s="169" t="s">
        <v>3356</v>
      </c>
      <c r="E2116" s="173"/>
    </row>
    <row r="2117" spans="1:5">
      <c r="A2117" s="1" t="s">
        <v>23</v>
      </c>
      <c r="B2117" s="43">
        <v>625918</v>
      </c>
      <c r="C2117" s="168" t="s">
        <v>773</v>
      </c>
      <c r="D2117" s="169" t="s">
        <v>3357</v>
      </c>
      <c r="E2117" s="173"/>
    </row>
    <row r="2118" spans="1:5">
      <c r="A2118" s="1" t="s">
        <v>23</v>
      </c>
      <c r="B2118" s="43">
        <v>2824254</v>
      </c>
      <c r="C2118" s="168" t="s">
        <v>773</v>
      </c>
      <c r="D2118" s="169" t="s">
        <v>3309</v>
      </c>
      <c r="E2118" s="173"/>
    </row>
    <row r="2119" spans="1:5">
      <c r="A2119" s="1" t="s">
        <v>23</v>
      </c>
      <c r="B2119" s="43">
        <v>2835068</v>
      </c>
      <c r="C2119" s="168" t="s">
        <v>773</v>
      </c>
      <c r="D2119" s="169" t="s">
        <v>1721</v>
      </c>
      <c r="E2119" s="173"/>
    </row>
    <row r="2120" spans="1:5">
      <c r="A2120" s="1" t="s">
        <v>23</v>
      </c>
      <c r="B2120" s="43">
        <v>664802</v>
      </c>
      <c r="C2120" s="168" t="s">
        <v>773</v>
      </c>
      <c r="D2120" s="169" t="s">
        <v>3358</v>
      </c>
      <c r="E2120" s="173"/>
    </row>
    <row r="2121" spans="1:5">
      <c r="A2121" s="1" t="s">
        <v>23</v>
      </c>
      <c r="B2121" s="43">
        <v>2892592</v>
      </c>
      <c r="C2121" s="168" t="s">
        <v>1593</v>
      </c>
      <c r="D2121" s="169" t="s">
        <v>3359</v>
      </c>
      <c r="E2121" s="173"/>
    </row>
    <row r="2122" spans="1:5">
      <c r="A2122" s="1" t="s">
        <v>23</v>
      </c>
      <c r="B2122" s="43">
        <v>746261</v>
      </c>
      <c r="C2122" s="168" t="s">
        <v>1593</v>
      </c>
      <c r="D2122" s="169" t="s">
        <v>3360</v>
      </c>
      <c r="E2122" s="173"/>
    </row>
    <row r="2123" spans="1:5">
      <c r="A2123" s="1" t="s">
        <v>23</v>
      </c>
      <c r="B2123" s="43">
        <v>704110</v>
      </c>
      <c r="C2123" s="168" t="s">
        <v>1593</v>
      </c>
      <c r="D2123" s="175" t="s">
        <v>3361</v>
      </c>
      <c r="E2123" s="173"/>
    </row>
    <row r="2124" spans="1:5">
      <c r="A2124" s="1" t="s">
        <v>23</v>
      </c>
      <c r="B2124" s="43">
        <v>642484</v>
      </c>
      <c r="C2124" s="168" t="s">
        <v>1593</v>
      </c>
      <c r="D2124" s="169" t="s">
        <v>3362</v>
      </c>
      <c r="E2124" s="173"/>
    </row>
    <row r="2125" spans="1:5">
      <c r="A2125" s="1" t="s">
        <v>23</v>
      </c>
      <c r="B2125" s="43">
        <v>373788</v>
      </c>
      <c r="C2125" s="168" t="s">
        <v>1593</v>
      </c>
      <c r="D2125" s="169" t="s">
        <v>3363</v>
      </c>
      <c r="E2125" s="173"/>
    </row>
    <row r="2126" spans="1:5">
      <c r="A2126" s="1" t="s">
        <v>23</v>
      </c>
      <c r="B2126" s="43">
        <v>756276</v>
      </c>
      <c r="C2126" s="168" t="s">
        <v>1593</v>
      </c>
      <c r="D2126" s="169" t="s">
        <v>3364</v>
      </c>
      <c r="E2126" s="173"/>
    </row>
    <row r="2127" spans="1:5">
      <c r="A2127" s="1" t="s">
        <v>23</v>
      </c>
      <c r="B2127" s="43">
        <v>779733</v>
      </c>
      <c r="C2127" s="168" t="s">
        <v>1593</v>
      </c>
      <c r="D2127" s="169" t="s">
        <v>3365</v>
      </c>
      <c r="E2127" s="173"/>
    </row>
    <row r="2128" spans="1:5">
      <c r="A2128" s="1" t="s">
        <v>23</v>
      </c>
      <c r="B2128" s="43">
        <v>5040392</v>
      </c>
      <c r="C2128" s="168" t="s">
        <v>1593</v>
      </c>
      <c r="D2128" s="169" t="s">
        <v>3366</v>
      </c>
      <c r="E2128" s="173"/>
    </row>
    <row r="2129" spans="1:5">
      <c r="A2129" s="1" t="s">
        <v>23</v>
      </c>
      <c r="B2129" s="43">
        <v>716048</v>
      </c>
      <c r="C2129" s="168" t="s">
        <v>1593</v>
      </c>
      <c r="D2129" s="169" t="s">
        <v>2653</v>
      </c>
      <c r="E2129" s="173"/>
    </row>
    <row r="2130" spans="1:5">
      <c r="A2130" s="1" t="s">
        <v>23</v>
      </c>
      <c r="B2130" s="43">
        <v>5025098</v>
      </c>
      <c r="C2130" s="168" t="s">
        <v>1593</v>
      </c>
      <c r="D2130" s="169" t="s">
        <v>1867</v>
      </c>
      <c r="E2130" s="173"/>
    </row>
    <row r="2131" spans="1:5">
      <c r="A2131" s="1" t="s">
        <v>23</v>
      </c>
      <c r="B2131" s="43">
        <v>2800408</v>
      </c>
      <c r="C2131" s="168" t="s">
        <v>1593</v>
      </c>
      <c r="D2131" s="169" t="s">
        <v>2928</v>
      </c>
      <c r="E2131" s="173"/>
    </row>
    <row r="2132" spans="1:5">
      <c r="A2132" s="1" t="s">
        <v>23</v>
      </c>
      <c r="B2132" s="43">
        <v>2839076</v>
      </c>
      <c r="C2132" s="168" t="s">
        <v>1593</v>
      </c>
      <c r="D2132" s="169" t="s">
        <v>3367</v>
      </c>
      <c r="E2132" s="173"/>
    </row>
    <row r="2133" spans="1:5">
      <c r="A2133" s="1" t="s">
        <v>23</v>
      </c>
      <c r="B2133" s="43">
        <v>2864030</v>
      </c>
      <c r="C2133" s="168" t="s">
        <v>1593</v>
      </c>
      <c r="D2133" s="169" t="s">
        <v>2852</v>
      </c>
      <c r="E2133" s="173"/>
    </row>
    <row r="2134" spans="1:5">
      <c r="A2134" s="1" t="s">
        <v>23</v>
      </c>
      <c r="B2134" s="43">
        <v>2848321</v>
      </c>
      <c r="C2134" s="168" t="s">
        <v>1593</v>
      </c>
      <c r="D2134" s="169" t="s">
        <v>1963</v>
      </c>
      <c r="E2134" s="173"/>
    </row>
    <row r="2135" spans="1:5">
      <c r="A2135" s="1" t="s">
        <v>23</v>
      </c>
      <c r="B2135" s="43">
        <v>2866005</v>
      </c>
      <c r="C2135" s="168" t="s">
        <v>1593</v>
      </c>
      <c r="D2135" s="169" t="s">
        <v>3368</v>
      </c>
      <c r="E2135" s="173"/>
    </row>
    <row r="2136" spans="1:5">
      <c r="A2136" s="1" t="s">
        <v>23</v>
      </c>
      <c r="B2136" s="43">
        <v>2864299</v>
      </c>
      <c r="C2136" s="168" t="s">
        <v>1593</v>
      </c>
      <c r="D2136" s="169" t="s">
        <v>3369</v>
      </c>
      <c r="E2136" s="173"/>
    </row>
    <row r="2137" spans="1:5">
      <c r="A2137" s="1" t="s">
        <v>23</v>
      </c>
      <c r="B2137" s="43">
        <v>5002835</v>
      </c>
      <c r="C2137" s="168" t="s">
        <v>1593</v>
      </c>
      <c r="D2137" s="169" t="s">
        <v>3370</v>
      </c>
      <c r="E2137" s="173"/>
    </row>
    <row r="2138" spans="1:5">
      <c r="A2138" s="1" t="s">
        <v>23</v>
      </c>
      <c r="B2138" s="43">
        <v>543904</v>
      </c>
      <c r="C2138" s="168" t="s">
        <v>1593</v>
      </c>
      <c r="D2138" s="169" t="s">
        <v>3371</v>
      </c>
      <c r="E2138" s="173"/>
    </row>
    <row r="2139" spans="1:5">
      <c r="A2139" s="1" t="s">
        <v>23</v>
      </c>
      <c r="B2139" s="43">
        <v>758616</v>
      </c>
      <c r="C2139" s="168" t="s">
        <v>1593</v>
      </c>
      <c r="D2139" s="169" t="s">
        <v>1800</v>
      </c>
      <c r="E2139" s="173"/>
    </row>
    <row r="2140" spans="1:5">
      <c r="A2140" s="1" t="s">
        <v>23</v>
      </c>
      <c r="B2140" s="43">
        <v>2825696</v>
      </c>
      <c r="C2140" s="168" t="s">
        <v>1593</v>
      </c>
      <c r="D2140" s="169" t="s">
        <v>1964</v>
      </c>
      <c r="E2140" s="173"/>
    </row>
    <row r="2141" spans="1:5">
      <c r="A2141" s="1" t="s">
        <v>23</v>
      </c>
      <c r="B2141" s="43">
        <v>5028612</v>
      </c>
      <c r="C2141" s="168" t="s">
        <v>1593</v>
      </c>
      <c r="D2141" s="169" t="s">
        <v>2652</v>
      </c>
      <c r="E2141" s="173"/>
    </row>
    <row r="2142" spans="1:5">
      <c r="A2142" s="1" t="s">
        <v>23</v>
      </c>
      <c r="B2142" s="43">
        <v>2883104</v>
      </c>
      <c r="C2142" s="168" t="s">
        <v>1593</v>
      </c>
      <c r="D2142" s="169" t="s">
        <v>2856</v>
      </c>
      <c r="E2142" s="173"/>
    </row>
    <row r="2143" spans="1:5">
      <c r="A2143" s="1" t="s">
        <v>23</v>
      </c>
      <c r="B2143" s="43">
        <v>2428262</v>
      </c>
      <c r="C2143" s="168" t="s">
        <v>1593</v>
      </c>
      <c r="D2143" s="169" t="s">
        <v>3372</v>
      </c>
      <c r="E2143" s="173"/>
    </row>
    <row r="2144" spans="1:5">
      <c r="A2144" s="1" t="s">
        <v>23</v>
      </c>
      <c r="B2144" s="43">
        <v>2873211</v>
      </c>
      <c r="C2144" s="168" t="s">
        <v>1593</v>
      </c>
      <c r="D2144" s="169" t="s">
        <v>3373</v>
      </c>
      <c r="E2144" s="173"/>
    </row>
    <row r="2145" spans="1:5">
      <c r="A2145" s="1" t="s">
        <v>23</v>
      </c>
      <c r="B2145" s="43">
        <v>2886191</v>
      </c>
      <c r="C2145" s="168" t="s">
        <v>1593</v>
      </c>
      <c r="D2145" s="169" t="s">
        <v>3374</v>
      </c>
      <c r="E2145" s="173"/>
    </row>
    <row r="2146" spans="1:5">
      <c r="A2146" s="1" t="s">
        <v>23</v>
      </c>
      <c r="B2146" s="43">
        <v>2833038</v>
      </c>
      <c r="C2146" s="168" t="s">
        <v>1593</v>
      </c>
      <c r="D2146" s="169" t="s">
        <v>3375</v>
      </c>
      <c r="E2146" s="173"/>
    </row>
    <row r="2147" spans="1:5">
      <c r="A2147" s="1" t="s">
        <v>23</v>
      </c>
      <c r="B2147" s="43">
        <v>2877284</v>
      </c>
      <c r="C2147" s="168" t="s">
        <v>1593</v>
      </c>
      <c r="D2147" s="169" t="s">
        <v>3376</v>
      </c>
      <c r="E2147" s="173"/>
    </row>
    <row r="2148" spans="1:5">
      <c r="A2148" s="1" t="s">
        <v>23</v>
      </c>
      <c r="B2148" s="43">
        <v>2835067</v>
      </c>
      <c r="C2148" s="168" t="s">
        <v>1593</v>
      </c>
      <c r="D2148" s="169" t="s">
        <v>1977</v>
      </c>
      <c r="E2148" s="173"/>
    </row>
    <row r="2149" spans="1:5">
      <c r="A2149" s="1" t="s">
        <v>23</v>
      </c>
      <c r="B2149" s="43">
        <v>2896887</v>
      </c>
      <c r="C2149" s="168" t="s">
        <v>1593</v>
      </c>
      <c r="D2149" s="169" t="s">
        <v>1734</v>
      </c>
      <c r="E2149" s="173"/>
    </row>
    <row r="2150" spans="1:5">
      <c r="A2150" s="1" t="s">
        <v>23</v>
      </c>
      <c r="B2150" s="43">
        <v>2424508</v>
      </c>
      <c r="C2150" s="168" t="s">
        <v>1593</v>
      </c>
      <c r="D2150" s="169" t="s">
        <v>1979</v>
      </c>
      <c r="E2150" s="173"/>
    </row>
    <row r="2151" spans="1:5">
      <c r="A2151" s="1" t="s">
        <v>23</v>
      </c>
      <c r="B2151" s="43">
        <v>2425282</v>
      </c>
      <c r="C2151" s="168" t="s">
        <v>1593</v>
      </c>
      <c r="D2151" s="169" t="s">
        <v>1980</v>
      </c>
      <c r="E2151" s="173"/>
    </row>
    <row r="2152" spans="1:5">
      <c r="A2152" s="1" t="s">
        <v>23</v>
      </c>
      <c r="B2152" s="43">
        <v>2426448</v>
      </c>
      <c r="C2152" s="168" t="s">
        <v>1593</v>
      </c>
      <c r="D2152" s="169" t="s">
        <v>3377</v>
      </c>
      <c r="E2152" s="173"/>
    </row>
    <row r="2153" spans="1:5">
      <c r="A2153" s="1" t="s">
        <v>23</v>
      </c>
      <c r="B2153" s="43">
        <v>2825601</v>
      </c>
      <c r="C2153" s="168" t="s">
        <v>71</v>
      </c>
      <c r="D2153" s="169" t="s">
        <v>1870</v>
      </c>
      <c r="E2153" s="173"/>
    </row>
    <row r="2154" spans="1:5">
      <c r="A2154" s="1" t="s">
        <v>23</v>
      </c>
      <c r="B2154" s="43">
        <v>2824379</v>
      </c>
      <c r="C2154" s="168" t="s">
        <v>71</v>
      </c>
      <c r="D2154" s="169" t="s">
        <v>2916</v>
      </c>
      <c r="E2154" s="173"/>
    </row>
    <row r="2155" spans="1:5">
      <c r="A2155" s="1" t="s">
        <v>23</v>
      </c>
      <c r="B2155" s="43">
        <v>800197</v>
      </c>
      <c r="C2155" s="168" t="s">
        <v>71</v>
      </c>
      <c r="D2155" s="169" t="s">
        <v>3378</v>
      </c>
      <c r="E2155" s="173"/>
    </row>
    <row r="2156" spans="1:5">
      <c r="A2156" s="1" t="s">
        <v>23</v>
      </c>
      <c r="B2156" s="43">
        <v>441831</v>
      </c>
      <c r="C2156" s="168" t="s">
        <v>71</v>
      </c>
      <c r="D2156" s="169" t="s">
        <v>3379</v>
      </c>
      <c r="E2156" s="173"/>
    </row>
    <row r="2157" spans="1:5">
      <c r="A2157" s="1" t="s">
        <v>23</v>
      </c>
      <c r="B2157" s="43">
        <v>2822684</v>
      </c>
      <c r="C2157" s="168" t="s">
        <v>1593</v>
      </c>
      <c r="D2157" s="169" t="s">
        <v>1874</v>
      </c>
      <c r="E2157" s="173"/>
    </row>
    <row r="2158" spans="1:5">
      <c r="A2158" s="1" t="s">
        <v>23</v>
      </c>
      <c r="B2158" s="43">
        <v>2823580</v>
      </c>
      <c r="C2158" s="168" t="s">
        <v>71</v>
      </c>
      <c r="D2158" s="169" t="s">
        <v>3380</v>
      </c>
      <c r="E2158" s="173"/>
    </row>
    <row r="2159" spans="1:5">
      <c r="A2159" s="1" t="s">
        <v>24</v>
      </c>
      <c r="B2159" s="165" t="s">
        <v>68</v>
      </c>
      <c r="C2159" s="166" t="s">
        <v>62</v>
      </c>
      <c r="D2159" s="176" t="s">
        <v>69</v>
      </c>
      <c r="E2159" s="166" t="s">
        <v>70</v>
      </c>
    </row>
    <row r="2160" spans="1:5">
      <c r="A2160" s="1" t="s">
        <v>24</v>
      </c>
      <c r="B2160" s="43">
        <v>373556</v>
      </c>
      <c r="C2160" s="168" t="s">
        <v>90</v>
      </c>
      <c r="D2160" s="169" t="s">
        <v>3381</v>
      </c>
      <c r="E2160" s="170" t="s">
        <v>2012</v>
      </c>
    </row>
    <row r="2161" spans="1:5">
      <c r="A2161" s="1" t="s">
        <v>24</v>
      </c>
      <c r="B2161" s="43">
        <v>721925</v>
      </c>
      <c r="C2161" s="168" t="s">
        <v>90</v>
      </c>
      <c r="D2161" s="169" t="s">
        <v>3382</v>
      </c>
      <c r="E2161" s="170" t="s">
        <v>3383</v>
      </c>
    </row>
    <row r="2162" spans="1:5">
      <c r="A2162" s="1" t="s">
        <v>24</v>
      </c>
      <c r="B2162" s="43">
        <v>699320</v>
      </c>
      <c r="C2162" s="168" t="s">
        <v>83</v>
      </c>
      <c r="D2162" s="169" t="s">
        <v>3384</v>
      </c>
      <c r="E2162" s="173"/>
    </row>
    <row r="2163" spans="1:5">
      <c r="A2163" s="1" t="s">
        <v>24</v>
      </c>
      <c r="B2163" s="43">
        <v>699319</v>
      </c>
      <c r="C2163" s="168" t="s">
        <v>83</v>
      </c>
      <c r="D2163" s="169" t="s">
        <v>3385</v>
      </c>
      <c r="E2163" s="173"/>
    </row>
    <row r="2164" spans="1:5">
      <c r="A2164" s="1" t="s">
        <v>24</v>
      </c>
      <c r="B2164" s="43">
        <v>2811710</v>
      </c>
      <c r="C2164" s="168" t="s">
        <v>83</v>
      </c>
      <c r="D2164" s="169" t="s">
        <v>3386</v>
      </c>
      <c r="E2164" s="173"/>
    </row>
    <row r="2165" spans="1:5">
      <c r="A2165" s="1" t="s">
        <v>24</v>
      </c>
      <c r="B2165" s="43">
        <v>2819138</v>
      </c>
      <c r="C2165" s="168" t="s">
        <v>83</v>
      </c>
      <c r="D2165" s="169" t="s">
        <v>3387</v>
      </c>
      <c r="E2165" s="173"/>
    </row>
    <row r="2166" spans="1:5">
      <c r="A2166" s="1" t="s">
        <v>24</v>
      </c>
      <c r="B2166" s="43">
        <v>2819187</v>
      </c>
      <c r="C2166" s="168" t="s">
        <v>83</v>
      </c>
      <c r="D2166" s="169" t="s">
        <v>3388</v>
      </c>
      <c r="E2166" s="173"/>
    </row>
    <row r="2167" spans="1:5">
      <c r="A2167" s="1" t="s">
        <v>24</v>
      </c>
      <c r="B2167" s="43">
        <v>2876264</v>
      </c>
      <c r="C2167" s="168" t="s">
        <v>83</v>
      </c>
      <c r="D2167" s="169" t="s">
        <v>3389</v>
      </c>
      <c r="E2167" s="173"/>
    </row>
    <row r="2168" spans="1:5">
      <c r="A2168" s="1" t="s">
        <v>24</v>
      </c>
      <c r="B2168" s="43">
        <v>3011515</v>
      </c>
      <c r="C2168" s="168" t="s">
        <v>83</v>
      </c>
      <c r="D2168" s="175" t="s">
        <v>3390</v>
      </c>
      <c r="E2168" s="173"/>
    </row>
    <row r="2169" spans="1:5">
      <c r="A2169" s="1" t="s">
        <v>24</v>
      </c>
      <c r="B2169" s="43">
        <v>661747</v>
      </c>
      <c r="C2169" s="168" t="s">
        <v>773</v>
      </c>
      <c r="D2169" s="169" t="s">
        <v>3391</v>
      </c>
      <c r="E2169" s="173"/>
    </row>
    <row r="2170" spans="1:5">
      <c r="A2170" s="1" t="s">
        <v>24</v>
      </c>
      <c r="B2170" s="43">
        <v>2823292</v>
      </c>
      <c r="C2170" s="168" t="s">
        <v>1593</v>
      </c>
      <c r="D2170" s="169" t="s">
        <v>3392</v>
      </c>
      <c r="E2170" s="173"/>
    </row>
    <row r="2171" spans="1:5">
      <c r="A2171" s="1" t="s">
        <v>24</v>
      </c>
      <c r="B2171" s="43">
        <v>2254042</v>
      </c>
      <c r="C2171" s="168" t="s">
        <v>1593</v>
      </c>
      <c r="D2171" s="169" t="s">
        <v>3393</v>
      </c>
      <c r="E2171" s="173"/>
    </row>
    <row r="2172" spans="1:5">
      <c r="A2172" s="1" t="s">
        <v>24</v>
      </c>
      <c r="B2172" s="43">
        <v>2824200</v>
      </c>
      <c r="C2172" s="168" t="s">
        <v>1593</v>
      </c>
      <c r="D2172" s="169" t="s">
        <v>3394</v>
      </c>
      <c r="E2172" s="173"/>
    </row>
    <row r="2173" spans="1:5">
      <c r="A2173" s="1" t="s">
        <v>24</v>
      </c>
      <c r="B2173" s="43">
        <v>791333</v>
      </c>
      <c r="C2173" s="168" t="s">
        <v>1593</v>
      </c>
      <c r="D2173" s="169" t="s">
        <v>3395</v>
      </c>
      <c r="E2173" s="173"/>
    </row>
    <row r="2174" spans="1:5">
      <c r="A2174" s="1" t="s">
        <v>24</v>
      </c>
      <c r="B2174" s="43">
        <v>580625</v>
      </c>
      <c r="C2174" s="168" t="s">
        <v>1593</v>
      </c>
      <c r="D2174" s="169" t="s">
        <v>3396</v>
      </c>
      <c r="E2174" s="173"/>
    </row>
    <row r="2175" spans="1:5">
      <c r="A2175" s="1" t="s">
        <v>24</v>
      </c>
      <c r="B2175" s="43">
        <v>642461</v>
      </c>
      <c r="C2175" s="168" t="s">
        <v>1593</v>
      </c>
      <c r="D2175" s="169" t="s">
        <v>3397</v>
      </c>
      <c r="E2175" s="173"/>
    </row>
    <row r="2176" spans="1:5">
      <c r="A2176" s="1" t="s">
        <v>24</v>
      </c>
      <c r="B2176" s="43">
        <v>608988</v>
      </c>
      <c r="C2176" s="168" t="s">
        <v>1593</v>
      </c>
      <c r="D2176" s="169" t="s">
        <v>3398</v>
      </c>
      <c r="E2176" s="173"/>
    </row>
    <row r="2177" spans="1:5">
      <c r="A2177" s="1" t="s">
        <v>24</v>
      </c>
      <c r="B2177" s="43">
        <v>373555</v>
      </c>
      <c r="C2177" s="168" t="s">
        <v>1593</v>
      </c>
      <c r="D2177" s="169" t="s">
        <v>3399</v>
      </c>
      <c r="E2177" s="173"/>
    </row>
    <row r="2178" spans="1:5">
      <c r="A2178" s="1" t="s">
        <v>24</v>
      </c>
      <c r="B2178" s="43">
        <v>574671</v>
      </c>
      <c r="C2178" s="168" t="s">
        <v>1593</v>
      </c>
      <c r="D2178" s="169" t="s">
        <v>3400</v>
      </c>
      <c r="E2178" s="173"/>
    </row>
    <row r="2179" spans="1:5">
      <c r="A2179" s="1" t="s">
        <v>24</v>
      </c>
      <c r="B2179" s="43">
        <v>721923</v>
      </c>
      <c r="C2179" s="168" t="s">
        <v>1593</v>
      </c>
      <c r="D2179" s="169" t="s">
        <v>3401</v>
      </c>
      <c r="E2179" s="173"/>
    </row>
    <row r="2180" spans="1:5">
      <c r="A2180" s="1" t="s">
        <v>24</v>
      </c>
      <c r="B2180" s="43">
        <v>699321</v>
      </c>
      <c r="C2180" s="168" t="s">
        <v>1593</v>
      </c>
      <c r="D2180" s="169" t="s">
        <v>3402</v>
      </c>
      <c r="E2180" s="173"/>
    </row>
    <row r="2181" spans="1:5">
      <c r="A2181" s="1" t="s">
        <v>24</v>
      </c>
      <c r="B2181" s="43">
        <v>89962</v>
      </c>
      <c r="C2181" s="168" t="s">
        <v>1593</v>
      </c>
      <c r="D2181" s="169" t="s">
        <v>3403</v>
      </c>
      <c r="E2181" s="173"/>
    </row>
    <row r="2182" spans="1:5">
      <c r="A2182" s="1" t="s">
        <v>24</v>
      </c>
      <c r="B2182" s="43">
        <v>2227598</v>
      </c>
      <c r="C2182" s="168" t="s">
        <v>1593</v>
      </c>
      <c r="D2182" s="169" t="s">
        <v>3404</v>
      </c>
      <c r="E2182" s="173"/>
    </row>
    <row r="2183" spans="1:5">
      <c r="A2183" s="1" t="s">
        <v>24</v>
      </c>
      <c r="B2183" s="43">
        <v>2800332</v>
      </c>
      <c r="C2183" s="168" t="s">
        <v>1593</v>
      </c>
      <c r="D2183" s="169" t="s">
        <v>2459</v>
      </c>
      <c r="E2183" s="173"/>
    </row>
    <row r="2184" spans="1:5">
      <c r="A2184" s="1" t="s">
        <v>24</v>
      </c>
      <c r="B2184" s="43">
        <v>2806193</v>
      </c>
      <c r="C2184" s="168" t="s">
        <v>1593</v>
      </c>
      <c r="D2184" s="169" t="s">
        <v>3405</v>
      </c>
      <c r="E2184" s="173"/>
    </row>
    <row r="2185" spans="1:5">
      <c r="A2185" s="1" t="s">
        <v>24</v>
      </c>
      <c r="B2185" s="43">
        <v>2835072</v>
      </c>
      <c r="C2185" s="168" t="s">
        <v>1593</v>
      </c>
      <c r="D2185" s="169" t="s">
        <v>3406</v>
      </c>
      <c r="E2185" s="173"/>
    </row>
    <row r="2186" spans="1:5">
      <c r="A2186" s="1" t="s">
        <v>24</v>
      </c>
      <c r="B2186" s="43">
        <v>791334</v>
      </c>
      <c r="C2186" s="168" t="s">
        <v>1593</v>
      </c>
      <c r="D2186" s="169" t="s">
        <v>3407</v>
      </c>
      <c r="E2186" s="173"/>
    </row>
    <row r="2187" spans="1:5">
      <c r="A2187" s="1" t="s">
        <v>24</v>
      </c>
      <c r="B2187" s="43">
        <v>802833</v>
      </c>
      <c r="C2187" s="168" t="s">
        <v>1593</v>
      </c>
      <c r="D2187" s="169" t="s">
        <v>3408</v>
      </c>
      <c r="E2187" s="173"/>
    </row>
    <row r="2188" spans="1:5">
      <c r="A2188" s="1" t="s">
        <v>24</v>
      </c>
      <c r="B2188" s="43">
        <v>2825739</v>
      </c>
      <c r="C2188" s="168" t="s">
        <v>1593</v>
      </c>
      <c r="D2188" s="169" t="s">
        <v>1974</v>
      </c>
      <c r="E2188" s="173"/>
    </row>
    <row r="2189" spans="1:5">
      <c r="A2189" s="1" t="s">
        <v>24</v>
      </c>
      <c r="B2189" s="43">
        <v>2888117</v>
      </c>
      <c r="C2189" s="168" t="s">
        <v>71</v>
      </c>
      <c r="D2189" s="169" t="s">
        <v>3238</v>
      </c>
      <c r="E2189" s="173"/>
    </row>
    <row r="2190" spans="1:5">
      <c r="A2190" s="1" t="s">
        <v>24</v>
      </c>
      <c r="B2190" s="43">
        <v>721926</v>
      </c>
      <c r="C2190" s="168" t="s">
        <v>71</v>
      </c>
      <c r="D2190" s="169" t="s">
        <v>3409</v>
      </c>
      <c r="E2190" s="173"/>
    </row>
    <row r="2191" spans="1:5">
      <c r="A2191" s="1" t="s">
        <v>24</v>
      </c>
      <c r="B2191" s="43">
        <v>461915</v>
      </c>
      <c r="C2191" s="168" t="s">
        <v>71</v>
      </c>
      <c r="D2191" s="169" t="s">
        <v>3410</v>
      </c>
      <c r="E2191" s="173"/>
    </row>
    <row r="2192" spans="1:5">
      <c r="A2192" s="1" t="s">
        <v>25</v>
      </c>
      <c r="B2192" s="165" t="s">
        <v>68</v>
      </c>
      <c r="C2192" s="166" t="s">
        <v>62</v>
      </c>
      <c r="D2192" s="176" t="s">
        <v>69</v>
      </c>
      <c r="E2192" s="166" t="s">
        <v>70</v>
      </c>
    </row>
    <row r="2193" spans="1:5">
      <c r="A2193" s="1" t="s">
        <v>25</v>
      </c>
      <c r="B2193" s="43">
        <v>624208</v>
      </c>
      <c r="C2193" s="168" t="s">
        <v>90</v>
      </c>
      <c r="D2193" s="169" t="s">
        <v>3294</v>
      </c>
      <c r="E2193" s="170" t="s">
        <v>1686</v>
      </c>
    </row>
    <row r="2194" spans="1:5">
      <c r="A2194" s="1" t="s">
        <v>25</v>
      </c>
      <c r="B2194" s="43">
        <v>2823579</v>
      </c>
      <c r="C2194" s="168" t="s">
        <v>90</v>
      </c>
      <c r="D2194" s="169" t="s">
        <v>1705</v>
      </c>
      <c r="E2194" s="170" t="s">
        <v>1592</v>
      </c>
    </row>
    <row r="2195" spans="1:5">
      <c r="A2195" s="1" t="s">
        <v>25</v>
      </c>
      <c r="B2195" s="43">
        <v>2825404</v>
      </c>
      <c r="C2195" s="168" t="s">
        <v>83</v>
      </c>
      <c r="D2195" s="169" t="s">
        <v>2831</v>
      </c>
      <c r="E2195" s="170" t="s">
        <v>3411</v>
      </c>
    </row>
    <row r="2196" spans="1:5">
      <c r="A2196" s="1" t="s">
        <v>25</v>
      </c>
      <c r="B2196" s="43">
        <v>2443016</v>
      </c>
      <c r="C2196" s="168" t="s">
        <v>83</v>
      </c>
      <c r="D2196" s="169" t="s">
        <v>3412</v>
      </c>
      <c r="E2196" s="170" t="s">
        <v>3413</v>
      </c>
    </row>
    <row r="2197" spans="1:5">
      <c r="A2197" s="1" t="s">
        <v>25</v>
      </c>
      <c r="B2197" s="43">
        <v>2823257</v>
      </c>
      <c r="C2197" s="168" t="s">
        <v>83</v>
      </c>
      <c r="D2197" s="169" t="s">
        <v>3414</v>
      </c>
      <c r="E2197" s="170" t="s">
        <v>3415</v>
      </c>
    </row>
    <row r="2198" spans="1:5">
      <c r="A2198" s="1" t="s">
        <v>25</v>
      </c>
      <c r="B2198" s="43">
        <v>2825335</v>
      </c>
      <c r="C2198" s="168" t="s">
        <v>83</v>
      </c>
      <c r="D2198" s="169" t="s">
        <v>3344</v>
      </c>
      <c r="E2198" s="181" t="s">
        <v>1682</v>
      </c>
    </row>
    <row r="2199" spans="1:5">
      <c r="A2199" s="1" t="s">
        <v>25</v>
      </c>
      <c r="B2199" s="43">
        <v>585224</v>
      </c>
      <c r="C2199" s="168" t="s">
        <v>83</v>
      </c>
      <c r="D2199" s="169" t="s">
        <v>3416</v>
      </c>
      <c r="E2199" s="173"/>
    </row>
    <row r="2200" spans="1:5">
      <c r="A2200" s="1" t="s">
        <v>25</v>
      </c>
      <c r="B2200" s="43">
        <v>2822454</v>
      </c>
      <c r="C2200" s="168" t="s">
        <v>83</v>
      </c>
      <c r="D2200" s="169" t="s">
        <v>1626</v>
      </c>
      <c r="E2200" s="173"/>
    </row>
    <row r="2201" spans="1:5">
      <c r="A2201" s="1" t="s">
        <v>25</v>
      </c>
      <c r="B2201" s="43">
        <v>2870085</v>
      </c>
      <c r="C2201" s="168" t="s">
        <v>83</v>
      </c>
      <c r="D2201" s="169" t="s">
        <v>3417</v>
      </c>
      <c r="E2201" s="173"/>
    </row>
    <row r="2202" spans="1:5">
      <c r="A2202" s="1" t="s">
        <v>25</v>
      </c>
      <c r="B2202" s="43">
        <v>2823252</v>
      </c>
      <c r="C2202" s="168" t="s">
        <v>83</v>
      </c>
      <c r="D2202" s="169" t="s">
        <v>1712</v>
      </c>
      <c r="E2202" s="173"/>
    </row>
    <row r="2203" spans="1:5">
      <c r="A2203" s="1" t="s">
        <v>25</v>
      </c>
      <c r="B2203" s="43">
        <v>2833041</v>
      </c>
      <c r="C2203" s="168" t="s">
        <v>83</v>
      </c>
      <c r="D2203" s="169" t="s">
        <v>3418</v>
      </c>
      <c r="E2203" s="173"/>
    </row>
    <row r="2204" spans="1:5">
      <c r="A2204" s="1" t="s">
        <v>25</v>
      </c>
      <c r="B2204" s="43">
        <v>2803042</v>
      </c>
      <c r="C2204" s="168" t="s">
        <v>83</v>
      </c>
      <c r="D2204" s="169" t="s">
        <v>3419</v>
      </c>
      <c r="E2204" s="173"/>
    </row>
    <row r="2205" spans="1:5">
      <c r="A2205" s="1" t="s">
        <v>25</v>
      </c>
      <c r="B2205" s="43">
        <v>2876024</v>
      </c>
      <c r="C2205" s="168" t="s">
        <v>83</v>
      </c>
      <c r="D2205" s="169" t="s">
        <v>1707</v>
      </c>
      <c r="E2205" s="173"/>
    </row>
    <row r="2206" spans="1:5">
      <c r="A2206" s="1" t="s">
        <v>25</v>
      </c>
      <c r="B2206" s="43">
        <v>2825479</v>
      </c>
      <c r="C2206" s="168" t="s">
        <v>83</v>
      </c>
      <c r="D2206" s="169" t="s">
        <v>1627</v>
      </c>
      <c r="E2206" s="173"/>
    </row>
    <row r="2207" spans="1:5">
      <c r="A2207" s="1" t="s">
        <v>25</v>
      </c>
      <c r="B2207" s="43">
        <v>794118</v>
      </c>
      <c r="C2207" s="168" t="s">
        <v>83</v>
      </c>
      <c r="D2207" s="169" t="s">
        <v>2610</v>
      </c>
      <c r="E2207" s="173"/>
    </row>
    <row r="2208" spans="1:5">
      <c r="A2208" s="1" t="s">
        <v>25</v>
      </c>
      <c r="B2208" s="43">
        <v>2803040</v>
      </c>
      <c r="C2208" s="168" t="s">
        <v>83</v>
      </c>
      <c r="D2208" s="169" t="s">
        <v>3420</v>
      </c>
      <c r="E2208" s="173"/>
    </row>
    <row r="2209" spans="1:5">
      <c r="A2209" s="1" t="s">
        <v>25</v>
      </c>
      <c r="B2209" s="43">
        <v>2812492</v>
      </c>
      <c r="C2209" s="168" t="s">
        <v>83</v>
      </c>
      <c r="D2209" s="169" t="s">
        <v>3342</v>
      </c>
      <c r="E2209" s="173"/>
    </row>
    <row r="2210" spans="1:5">
      <c r="A2210" s="1" t="s">
        <v>25</v>
      </c>
      <c r="B2210" s="43">
        <v>2825340</v>
      </c>
      <c r="C2210" s="168" t="s">
        <v>83</v>
      </c>
      <c r="D2210" s="169" t="s">
        <v>3421</v>
      </c>
      <c r="E2210" s="173"/>
    </row>
    <row r="2211" spans="1:5">
      <c r="A2211" s="1" t="s">
        <v>25</v>
      </c>
      <c r="B2211" s="43">
        <v>592484</v>
      </c>
      <c r="C2211" s="168" t="s">
        <v>83</v>
      </c>
      <c r="D2211" s="169" t="s">
        <v>3422</v>
      </c>
      <c r="E2211" s="173"/>
    </row>
    <row r="2212" spans="1:5">
      <c r="A2212" s="1" t="s">
        <v>25</v>
      </c>
      <c r="B2212" s="43">
        <v>2873102</v>
      </c>
      <c r="C2212" s="168" t="s">
        <v>83</v>
      </c>
      <c r="D2212" s="169" t="s">
        <v>3423</v>
      </c>
      <c r="E2212" s="173"/>
    </row>
    <row r="2213" spans="1:5">
      <c r="A2213" s="1" t="s">
        <v>25</v>
      </c>
      <c r="B2213" s="43">
        <v>2833042</v>
      </c>
      <c r="C2213" s="168" t="s">
        <v>83</v>
      </c>
      <c r="D2213" s="169" t="s">
        <v>3424</v>
      </c>
      <c r="E2213" s="173"/>
    </row>
    <row r="2214" spans="1:5">
      <c r="A2214" s="1" t="s">
        <v>25</v>
      </c>
      <c r="B2214" s="43">
        <v>2804062</v>
      </c>
      <c r="C2214" s="168" t="s">
        <v>83</v>
      </c>
      <c r="D2214" s="169" t="s">
        <v>3425</v>
      </c>
      <c r="E2214" s="173"/>
    </row>
    <row r="2215" spans="1:5">
      <c r="A2215" s="1" t="s">
        <v>25</v>
      </c>
      <c r="B2215" s="43">
        <v>2802031</v>
      </c>
      <c r="C2215" s="168" t="s">
        <v>83</v>
      </c>
      <c r="D2215" s="169" t="s">
        <v>3426</v>
      </c>
      <c r="E2215" s="173"/>
    </row>
    <row r="2216" spans="1:5">
      <c r="A2216" s="1" t="s">
        <v>25</v>
      </c>
      <c r="B2216" s="43">
        <v>2823287</v>
      </c>
      <c r="C2216" s="168" t="s">
        <v>83</v>
      </c>
      <c r="D2216" s="169" t="s">
        <v>3427</v>
      </c>
      <c r="E2216" s="173"/>
    </row>
    <row r="2217" spans="1:5">
      <c r="A2217" s="1" t="s">
        <v>25</v>
      </c>
      <c r="B2217" s="43">
        <v>2802032</v>
      </c>
      <c r="C2217" s="168" t="s">
        <v>83</v>
      </c>
      <c r="D2217" s="169" t="s">
        <v>3428</v>
      </c>
      <c r="E2217" s="173"/>
    </row>
    <row r="2218" spans="1:5">
      <c r="A2218" s="1" t="s">
        <v>25</v>
      </c>
      <c r="B2218" s="43">
        <v>570966</v>
      </c>
      <c r="C2218" s="168" t="s">
        <v>83</v>
      </c>
      <c r="D2218" s="169" t="s">
        <v>1840</v>
      </c>
      <c r="E2218" s="173"/>
    </row>
    <row r="2219" spans="1:5">
      <c r="A2219" s="1" t="s">
        <v>25</v>
      </c>
      <c r="B2219" s="43">
        <v>2835073</v>
      </c>
      <c r="C2219" s="168" t="s">
        <v>83</v>
      </c>
      <c r="D2219" s="169" t="s">
        <v>3429</v>
      </c>
      <c r="E2219" s="173"/>
    </row>
    <row r="2220" spans="1:5">
      <c r="A2220" s="1" t="s">
        <v>25</v>
      </c>
      <c r="B2220" s="43">
        <v>622054</v>
      </c>
      <c r="C2220" s="168" t="s">
        <v>83</v>
      </c>
      <c r="D2220" s="169" t="s">
        <v>1839</v>
      </c>
      <c r="E2220" s="173"/>
    </row>
    <row r="2221" spans="1:5">
      <c r="A2221" s="1" t="s">
        <v>25</v>
      </c>
      <c r="B2221" s="43">
        <v>2811713</v>
      </c>
      <c r="C2221" s="168" t="s">
        <v>83</v>
      </c>
      <c r="D2221" s="169" t="s">
        <v>1710</v>
      </c>
      <c r="E2221" s="173"/>
    </row>
    <row r="2222" spans="1:5">
      <c r="A2222" s="1" t="s">
        <v>25</v>
      </c>
      <c r="B2222" s="43">
        <v>2832004</v>
      </c>
      <c r="C2222" s="168" t="s">
        <v>83</v>
      </c>
      <c r="D2222" s="169" t="s">
        <v>3430</v>
      </c>
      <c r="E2222" s="173"/>
    </row>
    <row r="2223" spans="1:5">
      <c r="A2223" s="1" t="s">
        <v>25</v>
      </c>
      <c r="B2223" s="43">
        <v>2864355</v>
      </c>
      <c r="C2223" s="168" t="s">
        <v>83</v>
      </c>
      <c r="D2223" s="169" t="s">
        <v>3431</v>
      </c>
      <c r="E2223" s="173"/>
    </row>
    <row r="2224" spans="1:5">
      <c r="A2224" s="1" t="s">
        <v>25</v>
      </c>
      <c r="B2224" s="43">
        <v>2810626</v>
      </c>
      <c r="C2224" s="168" t="s">
        <v>83</v>
      </c>
      <c r="D2224" s="169" t="s">
        <v>1709</v>
      </c>
      <c r="E2224" s="173"/>
    </row>
    <row r="2225" spans="1:5">
      <c r="A2225" s="1" t="s">
        <v>25</v>
      </c>
      <c r="B2225" s="43">
        <v>599593</v>
      </c>
      <c r="C2225" s="168" t="s">
        <v>83</v>
      </c>
      <c r="D2225" s="169" t="s">
        <v>3432</v>
      </c>
      <c r="E2225" s="173"/>
    </row>
    <row r="2226" spans="1:5">
      <c r="A2226" s="1" t="s">
        <v>25</v>
      </c>
      <c r="B2226" s="43">
        <v>2367359</v>
      </c>
      <c r="C2226" s="168" t="s">
        <v>83</v>
      </c>
      <c r="D2226" s="169" t="s">
        <v>3191</v>
      </c>
      <c r="E2226" s="173"/>
    </row>
    <row r="2227" spans="1:5">
      <c r="A2227" s="1" t="s">
        <v>25</v>
      </c>
      <c r="B2227" s="43">
        <v>2878127</v>
      </c>
      <c r="C2227" s="168" t="s">
        <v>83</v>
      </c>
      <c r="D2227" s="169" t="s">
        <v>3192</v>
      </c>
      <c r="E2227" s="173"/>
    </row>
    <row r="2228" spans="1:5">
      <c r="A2228" s="1" t="s">
        <v>25</v>
      </c>
      <c r="B2228" s="43">
        <v>2874215</v>
      </c>
      <c r="C2228" s="168" t="s">
        <v>83</v>
      </c>
      <c r="D2228" s="169" t="s">
        <v>3193</v>
      </c>
      <c r="E2228" s="173"/>
    </row>
    <row r="2229" spans="1:5">
      <c r="A2229" s="1" t="s">
        <v>25</v>
      </c>
      <c r="B2229" s="43">
        <v>2875261</v>
      </c>
      <c r="C2229" s="168" t="s">
        <v>83</v>
      </c>
      <c r="D2229" s="169" t="s">
        <v>3194</v>
      </c>
      <c r="E2229" s="173"/>
    </row>
    <row r="2230" spans="1:5">
      <c r="A2230" s="1" t="s">
        <v>25</v>
      </c>
      <c r="B2230" s="43">
        <v>2875262</v>
      </c>
      <c r="C2230" s="168" t="s">
        <v>83</v>
      </c>
      <c r="D2230" s="169" t="s">
        <v>3195</v>
      </c>
      <c r="E2230" s="173"/>
    </row>
    <row r="2231" spans="1:5">
      <c r="A2231" s="1" t="s">
        <v>25</v>
      </c>
      <c r="B2231" s="43">
        <v>2875381</v>
      </c>
      <c r="C2231" s="168" t="s">
        <v>83</v>
      </c>
      <c r="D2231" s="169" t="s">
        <v>3196</v>
      </c>
      <c r="E2231" s="173"/>
    </row>
    <row r="2232" spans="1:5">
      <c r="A2232" s="1" t="s">
        <v>25</v>
      </c>
      <c r="B2232" s="43">
        <v>2875382</v>
      </c>
      <c r="C2232" s="168" t="s">
        <v>83</v>
      </c>
      <c r="D2232" s="169" t="s">
        <v>3197</v>
      </c>
      <c r="E2232" s="173"/>
    </row>
    <row r="2233" spans="1:5">
      <c r="A2233" s="1" t="s">
        <v>25</v>
      </c>
      <c r="B2233" s="43">
        <v>2876325</v>
      </c>
      <c r="C2233" s="168" t="s">
        <v>83</v>
      </c>
      <c r="D2233" s="169" t="s">
        <v>3198</v>
      </c>
      <c r="E2233" s="173"/>
    </row>
    <row r="2234" spans="1:5">
      <c r="A2234" s="1" t="s">
        <v>25</v>
      </c>
      <c r="B2234" s="43">
        <v>2876326</v>
      </c>
      <c r="C2234" s="168" t="s">
        <v>83</v>
      </c>
      <c r="D2234" s="169" t="s">
        <v>3199</v>
      </c>
      <c r="E2234" s="173"/>
    </row>
    <row r="2235" spans="1:5">
      <c r="A2235" s="1" t="s">
        <v>25</v>
      </c>
      <c r="B2235" s="43">
        <v>2877360</v>
      </c>
      <c r="C2235" s="168" t="s">
        <v>83</v>
      </c>
      <c r="D2235" s="169" t="s">
        <v>3200</v>
      </c>
      <c r="E2235" s="173"/>
    </row>
    <row r="2236" spans="1:5">
      <c r="A2236" s="1" t="s">
        <v>25</v>
      </c>
      <c r="B2236" s="43">
        <v>2874216</v>
      </c>
      <c r="C2236" s="168" t="s">
        <v>83</v>
      </c>
      <c r="D2236" s="169" t="s">
        <v>2961</v>
      </c>
      <c r="E2236" s="173"/>
    </row>
    <row r="2237" spans="1:5">
      <c r="A2237" s="1" t="s">
        <v>25</v>
      </c>
      <c r="B2237" s="43">
        <v>2885014</v>
      </c>
      <c r="C2237" s="168" t="s">
        <v>83</v>
      </c>
      <c r="D2237" s="169" t="s">
        <v>1713</v>
      </c>
      <c r="E2237" s="173"/>
    </row>
    <row r="2238" spans="1:5">
      <c r="A2238" s="1" t="s">
        <v>25</v>
      </c>
      <c r="B2238" s="43">
        <v>2878239</v>
      </c>
      <c r="C2238" s="168" t="s">
        <v>83</v>
      </c>
      <c r="D2238" s="169" t="s">
        <v>3201</v>
      </c>
      <c r="E2238" s="173"/>
    </row>
    <row r="2239" spans="1:5">
      <c r="A2239" s="1" t="s">
        <v>25</v>
      </c>
      <c r="B2239" s="43">
        <v>2887335</v>
      </c>
      <c r="C2239" s="168" t="s">
        <v>83</v>
      </c>
      <c r="D2239" s="169" t="s">
        <v>1935</v>
      </c>
      <c r="E2239" s="173"/>
    </row>
    <row r="2240" spans="1:5">
      <c r="A2240" s="1" t="s">
        <v>25</v>
      </c>
      <c r="B2240" s="43">
        <v>2881185</v>
      </c>
      <c r="C2240" s="168" t="s">
        <v>83</v>
      </c>
      <c r="D2240" s="169" t="s">
        <v>3433</v>
      </c>
      <c r="E2240" s="173"/>
    </row>
    <row r="2241" spans="1:5">
      <c r="A2241" s="1" t="s">
        <v>25</v>
      </c>
      <c r="B2241" s="43">
        <v>2881186</v>
      </c>
      <c r="C2241" s="168" t="s">
        <v>83</v>
      </c>
      <c r="D2241" s="169" t="s">
        <v>3434</v>
      </c>
      <c r="E2241" s="173"/>
    </row>
    <row r="2242" spans="1:5">
      <c r="A2242" s="1" t="s">
        <v>25</v>
      </c>
      <c r="B2242" s="43">
        <v>2883153</v>
      </c>
      <c r="C2242" s="168" t="s">
        <v>83</v>
      </c>
      <c r="D2242" s="169" t="s">
        <v>3435</v>
      </c>
      <c r="E2242" s="173"/>
    </row>
    <row r="2243" spans="1:5">
      <c r="A2243" s="1" t="s">
        <v>25</v>
      </c>
      <c r="B2243" s="43">
        <v>2887230</v>
      </c>
      <c r="C2243" s="168" t="s">
        <v>83</v>
      </c>
      <c r="D2243" s="169" t="s">
        <v>3436</v>
      </c>
      <c r="E2243" s="173"/>
    </row>
    <row r="2244" spans="1:5">
      <c r="A2244" s="1" t="s">
        <v>25</v>
      </c>
      <c r="B2244" s="43">
        <v>2892006</v>
      </c>
      <c r="C2244" s="168" t="s">
        <v>83</v>
      </c>
      <c r="D2244" s="169" t="s">
        <v>3437</v>
      </c>
      <c r="E2244" s="173"/>
    </row>
    <row r="2245" spans="1:5">
      <c r="A2245" s="1" t="s">
        <v>25</v>
      </c>
      <c r="B2245" s="43">
        <v>2895112</v>
      </c>
      <c r="C2245" s="168" t="s">
        <v>83</v>
      </c>
      <c r="D2245" s="169" t="s">
        <v>1638</v>
      </c>
      <c r="E2245" s="173"/>
    </row>
    <row r="2246" spans="1:5">
      <c r="A2246" s="1" t="s">
        <v>25</v>
      </c>
      <c r="B2246" s="43">
        <v>2890117</v>
      </c>
      <c r="C2246" s="168" t="s">
        <v>83</v>
      </c>
      <c r="D2246" s="169" t="s">
        <v>3209</v>
      </c>
      <c r="E2246" s="173"/>
    </row>
    <row r="2247" spans="1:5">
      <c r="A2247" s="1" t="s">
        <v>25</v>
      </c>
      <c r="B2247" s="43">
        <v>2423319</v>
      </c>
      <c r="C2247" s="168" t="s">
        <v>83</v>
      </c>
      <c r="D2247" s="169" t="s">
        <v>3438</v>
      </c>
      <c r="E2247" s="173"/>
    </row>
    <row r="2248" spans="1:5">
      <c r="A2248" s="1" t="s">
        <v>25</v>
      </c>
      <c r="B2248" s="43">
        <v>2424325</v>
      </c>
      <c r="C2248" s="168" t="s">
        <v>83</v>
      </c>
      <c r="D2248" s="169" t="s">
        <v>3439</v>
      </c>
      <c r="E2248" s="173"/>
    </row>
    <row r="2249" spans="1:5">
      <c r="A2249" s="1" t="s">
        <v>25</v>
      </c>
      <c r="B2249" s="43">
        <v>2882183</v>
      </c>
      <c r="C2249" s="168" t="s">
        <v>83</v>
      </c>
      <c r="D2249" s="169" t="s">
        <v>3440</v>
      </c>
      <c r="E2249" s="173"/>
    </row>
    <row r="2250" spans="1:5">
      <c r="A2250" s="1" t="s">
        <v>25</v>
      </c>
      <c r="B2250" s="43">
        <v>2889101</v>
      </c>
      <c r="C2250" s="168" t="s">
        <v>83</v>
      </c>
      <c r="D2250" s="169" t="s">
        <v>3441</v>
      </c>
      <c r="E2250" s="173"/>
    </row>
    <row r="2251" spans="1:5">
      <c r="A2251" s="1" t="s">
        <v>25</v>
      </c>
      <c r="B2251" s="43">
        <v>2424324</v>
      </c>
      <c r="C2251" s="168" t="s">
        <v>83</v>
      </c>
      <c r="D2251" s="169" t="s">
        <v>1717</v>
      </c>
      <c r="E2251" s="173"/>
    </row>
    <row r="2252" spans="1:5">
      <c r="A2252" s="1" t="s">
        <v>25</v>
      </c>
      <c r="B2252" s="43">
        <v>3152728</v>
      </c>
      <c r="C2252" s="168" t="s">
        <v>83</v>
      </c>
      <c r="D2252" s="169" t="s">
        <v>1851</v>
      </c>
      <c r="E2252" s="173"/>
    </row>
    <row r="2253" spans="1:5">
      <c r="A2253" s="1" t="s">
        <v>25</v>
      </c>
      <c r="B2253" s="43">
        <v>3151765</v>
      </c>
      <c r="C2253" s="168" t="s">
        <v>83</v>
      </c>
      <c r="D2253" s="169" t="s">
        <v>3442</v>
      </c>
      <c r="E2253" s="173"/>
    </row>
    <row r="2254" spans="1:5">
      <c r="A2254" s="1" t="s">
        <v>25</v>
      </c>
      <c r="B2254" s="43">
        <v>3155790</v>
      </c>
      <c r="C2254" s="168" t="s">
        <v>83</v>
      </c>
      <c r="D2254" s="169" t="s">
        <v>3443</v>
      </c>
      <c r="E2254" s="173"/>
    </row>
    <row r="2255" spans="1:5">
      <c r="A2255" s="1" t="s">
        <v>25</v>
      </c>
      <c r="B2255" s="43">
        <v>3154786</v>
      </c>
      <c r="C2255" s="168" t="s">
        <v>83</v>
      </c>
      <c r="D2255" s="169" t="s">
        <v>3353</v>
      </c>
      <c r="E2255" s="173"/>
    </row>
    <row r="2256" spans="1:5">
      <c r="A2256" s="1" t="s">
        <v>25</v>
      </c>
      <c r="B2256" s="43">
        <v>2424736</v>
      </c>
      <c r="C2256" s="168" t="s">
        <v>83</v>
      </c>
      <c r="D2256" s="169" t="s">
        <v>3444</v>
      </c>
      <c r="E2256" s="173"/>
    </row>
    <row r="2257" spans="1:5">
      <c r="A2257" s="1" t="s">
        <v>25</v>
      </c>
      <c r="B2257" s="43">
        <v>2425284</v>
      </c>
      <c r="C2257" s="168" t="s">
        <v>83</v>
      </c>
      <c r="D2257" s="169" t="s">
        <v>3445</v>
      </c>
      <c r="E2257" s="173"/>
    </row>
    <row r="2258" spans="1:5">
      <c r="A2258" s="1" t="s">
        <v>25</v>
      </c>
      <c r="B2258" s="43">
        <v>3004700</v>
      </c>
      <c r="C2258" s="168" t="s">
        <v>83</v>
      </c>
      <c r="D2258" s="169" t="s">
        <v>3446</v>
      </c>
      <c r="E2258" s="173"/>
    </row>
    <row r="2259" spans="1:5">
      <c r="A2259" s="1" t="s">
        <v>25</v>
      </c>
      <c r="B2259" s="43">
        <v>3006179</v>
      </c>
      <c r="C2259" s="168" t="s">
        <v>83</v>
      </c>
      <c r="D2259" s="169" t="s">
        <v>3447</v>
      </c>
      <c r="E2259" s="173"/>
    </row>
    <row r="2260" spans="1:5">
      <c r="A2260" s="1" t="s">
        <v>25</v>
      </c>
      <c r="B2260" s="43">
        <v>3007151</v>
      </c>
      <c r="C2260" s="168" t="s">
        <v>83</v>
      </c>
      <c r="D2260" s="169" t="s">
        <v>3448</v>
      </c>
      <c r="E2260" s="173"/>
    </row>
    <row r="2261" spans="1:5">
      <c r="A2261" s="1" t="s">
        <v>25</v>
      </c>
      <c r="B2261" s="43">
        <v>3013333</v>
      </c>
      <c r="C2261" s="168" t="s">
        <v>83</v>
      </c>
      <c r="D2261" s="169" t="s">
        <v>3449</v>
      </c>
      <c r="E2261" s="173"/>
    </row>
    <row r="2262" spans="1:5">
      <c r="A2262" s="1" t="s">
        <v>25</v>
      </c>
      <c r="B2262" s="43">
        <v>3010525</v>
      </c>
      <c r="C2262" s="168" t="s">
        <v>83</v>
      </c>
      <c r="D2262" s="175" t="s">
        <v>3354</v>
      </c>
      <c r="E2262" s="173"/>
    </row>
    <row r="2263" spans="1:5">
      <c r="A2263" s="1" t="s">
        <v>25</v>
      </c>
      <c r="B2263" s="43">
        <v>3010972</v>
      </c>
      <c r="C2263" s="168" t="s">
        <v>83</v>
      </c>
      <c r="D2263" s="169" t="s">
        <v>1720</v>
      </c>
      <c r="E2263" s="173"/>
    </row>
    <row r="2264" spans="1:5">
      <c r="A2264" s="1" t="s">
        <v>25</v>
      </c>
      <c r="B2264" s="43">
        <v>3158741</v>
      </c>
      <c r="C2264" s="168" t="s">
        <v>83</v>
      </c>
      <c r="D2264" s="169" t="s">
        <v>3116</v>
      </c>
      <c r="E2264" s="173"/>
    </row>
    <row r="2265" spans="1:5">
      <c r="A2265" s="1" t="s">
        <v>25</v>
      </c>
      <c r="B2265" s="43">
        <v>3006798</v>
      </c>
      <c r="C2265" s="168" t="s">
        <v>83</v>
      </c>
      <c r="D2265" s="169" t="s">
        <v>3450</v>
      </c>
      <c r="E2265" s="173"/>
    </row>
    <row r="2266" spans="1:5">
      <c r="A2266" s="1" t="s">
        <v>25</v>
      </c>
      <c r="B2266" s="43">
        <v>3010973</v>
      </c>
      <c r="C2266" s="168" t="s">
        <v>83</v>
      </c>
      <c r="D2266" s="169" t="s">
        <v>3451</v>
      </c>
      <c r="E2266" s="173"/>
    </row>
    <row r="2267" spans="1:5">
      <c r="A2267" s="1" t="s">
        <v>25</v>
      </c>
      <c r="B2267" s="43">
        <v>3011747</v>
      </c>
      <c r="C2267" s="168" t="s">
        <v>83</v>
      </c>
      <c r="D2267" s="169" t="s">
        <v>3452</v>
      </c>
      <c r="E2267" s="173"/>
    </row>
    <row r="2268" spans="1:5">
      <c r="A2268" s="1" t="s">
        <v>25</v>
      </c>
      <c r="B2268" s="43">
        <v>2315934</v>
      </c>
      <c r="C2268" s="168" t="s">
        <v>773</v>
      </c>
      <c r="D2268" s="169" t="s">
        <v>1823</v>
      </c>
      <c r="E2268" s="173"/>
    </row>
    <row r="2269" spans="1:5">
      <c r="A2269" s="1" t="s">
        <v>25</v>
      </c>
      <c r="B2269" s="43">
        <v>622050</v>
      </c>
      <c r="C2269" s="168" t="s">
        <v>773</v>
      </c>
      <c r="D2269" s="169" t="s">
        <v>1695</v>
      </c>
      <c r="E2269" s="173"/>
    </row>
    <row r="2270" spans="1:5">
      <c r="A2270" s="1" t="s">
        <v>25</v>
      </c>
      <c r="B2270" s="43">
        <v>2870086</v>
      </c>
      <c r="C2270" s="168" t="s">
        <v>773</v>
      </c>
      <c r="D2270" s="169" t="s">
        <v>3453</v>
      </c>
      <c r="E2270" s="173"/>
    </row>
    <row r="2271" spans="1:5">
      <c r="A2271" s="1" t="s">
        <v>25</v>
      </c>
      <c r="B2271" s="43">
        <v>659269</v>
      </c>
      <c r="C2271" s="168" t="s">
        <v>773</v>
      </c>
      <c r="D2271" s="169" t="s">
        <v>1724</v>
      </c>
      <c r="E2271" s="173"/>
    </row>
    <row r="2272" spans="1:5">
      <c r="A2272" s="1" t="s">
        <v>25</v>
      </c>
      <c r="B2272" s="43">
        <v>2212156</v>
      </c>
      <c r="C2272" s="168" t="s">
        <v>773</v>
      </c>
      <c r="D2272" s="169" t="s">
        <v>3454</v>
      </c>
      <c r="E2272" s="173"/>
    </row>
    <row r="2273" spans="1:5">
      <c r="A2273" s="1" t="s">
        <v>25</v>
      </c>
      <c r="B2273" s="43">
        <v>2848327</v>
      </c>
      <c r="C2273" s="168" t="s">
        <v>773</v>
      </c>
      <c r="D2273" s="169" t="s">
        <v>3281</v>
      </c>
      <c r="E2273" s="173"/>
    </row>
    <row r="2274" spans="1:5">
      <c r="A2274" s="1" t="s">
        <v>25</v>
      </c>
      <c r="B2274" s="43">
        <v>2242044</v>
      </c>
      <c r="C2274" s="168" t="s">
        <v>1593</v>
      </c>
      <c r="D2274" s="169" t="s">
        <v>2904</v>
      </c>
      <c r="E2274" s="173"/>
    </row>
    <row r="2275" spans="1:5">
      <c r="A2275" s="1" t="s">
        <v>25</v>
      </c>
      <c r="B2275" s="43">
        <v>2886118</v>
      </c>
      <c r="C2275" s="168" t="s">
        <v>1593</v>
      </c>
      <c r="D2275" s="169" t="s">
        <v>3455</v>
      </c>
      <c r="E2275" s="173"/>
    </row>
    <row r="2276" spans="1:5">
      <c r="A2276" s="1" t="s">
        <v>25</v>
      </c>
      <c r="B2276" s="43">
        <v>2885000</v>
      </c>
      <c r="C2276" s="168" t="s">
        <v>1593</v>
      </c>
      <c r="D2276" s="169" t="s">
        <v>3456</v>
      </c>
      <c r="E2276" s="173"/>
    </row>
    <row r="2277" spans="1:5">
      <c r="A2277" s="1" t="s">
        <v>25</v>
      </c>
      <c r="B2277" s="43">
        <v>2886000</v>
      </c>
      <c r="C2277" s="168" t="s">
        <v>1593</v>
      </c>
      <c r="D2277" s="169" t="s">
        <v>3457</v>
      </c>
      <c r="E2277" s="173"/>
    </row>
    <row r="2278" spans="1:5">
      <c r="A2278" s="1" t="s">
        <v>25</v>
      </c>
      <c r="B2278" s="43">
        <v>2880016</v>
      </c>
      <c r="C2278" s="168" t="s">
        <v>1593</v>
      </c>
      <c r="D2278" s="169" t="s">
        <v>1703</v>
      </c>
      <c r="E2278" s="173"/>
    </row>
    <row r="2279" spans="1:5">
      <c r="A2279" s="1" t="s">
        <v>25</v>
      </c>
      <c r="B2279" s="43">
        <v>2893007</v>
      </c>
      <c r="C2279" s="168" t="s">
        <v>1593</v>
      </c>
      <c r="D2279" s="169" t="s">
        <v>3458</v>
      </c>
      <c r="E2279" s="173"/>
    </row>
    <row r="2280" spans="1:5">
      <c r="A2280" s="1" t="s">
        <v>25</v>
      </c>
      <c r="B2280" s="43">
        <v>444524</v>
      </c>
      <c r="C2280" s="168" t="s">
        <v>1593</v>
      </c>
      <c r="D2280" s="169" t="s">
        <v>3459</v>
      </c>
      <c r="E2280" s="173"/>
    </row>
    <row r="2281" spans="1:5">
      <c r="A2281" s="1" t="s">
        <v>25</v>
      </c>
      <c r="B2281" s="43">
        <v>604203</v>
      </c>
      <c r="C2281" s="168" t="s">
        <v>1593</v>
      </c>
      <c r="D2281" s="169" t="s">
        <v>3460</v>
      </c>
      <c r="E2281" s="173"/>
    </row>
    <row r="2282" spans="1:5">
      <c r="A2282" s="1" t="s">
        <v>25</v>
      </c>
      <c r="B2282" s="43">
        <v>669533</v>
      </c>
      <c r="C2282" s="168" t="s">
        <v>1593</v>
      </c>
      <c r="D2282" s="169" t="s">
        <v>1655</v>
      </c>
      <c r="E2282" s="173"/>
    </row>
    <row r="2283" spans="1:5">
      <c r="A2283" s="1" t="s">
        <v>25</v>
      </c>
      <c r="B2283" s="43">
        <v>604204</v>
      </c>
      <c r="C2283" s="168" t="s">
        <v>1593</v>
      </c>
      <c r="D2283" s="169" t="s">
        <v>3461</v>
      </c>
      <c r="E2283" s="173"/>
    </row>
    <row r="2284" spans="1:5">
      <c r="A2284" s="1" t="s">
        <v>25</v>
      </c>
      <c r="B2284" s="43">
        <v>604207</v>
      </c>
      <c r="C2284" s="168" t="s">
        <v>1593</v>
      </c>
      <c r="D2284" s="169" t="s">
        <v>3462</v>
      </c>
      <c r="E2284" s="173"/>
    </row>
    <row r="2285" spans="1:5">
      <c r="A2285" s="1" t="s">
        <v>25</v>
      </c>
      <c r="B2285" s="43">
        <v>2817014</v>
      </c>
      <c r="C2285" s="168" t="s">
        <v>1593</v>
      </c>
      <c r="D2285" s="169" t="s">
        <v>3463</v>
      </c>
      <c r="E2285" s="173"/>
    </row>
    <row r="2286" spans="1:5">
      <c r="A2286" s="1" t="s">
        <v>25</v>
      </c>
      <c r="B2286" s="43">
        <v>2315933</v>
      </c>
      <c r="C2286" s="168" t="s">
        <v>1593</v>
      </c>
      <c r="D2286" s="169" t="s">
        <v>3464</v>
      </c>
      <c r="E2286" s="173"/>
    </row>
    <row r="2287" spans="1:5">
      <c r="A2287" s="1" t="s">
        <v>25</v>
      </c>
      <c r="B2287" s="43">
        <v>721912</v>
      </c>
      <c r="C2287" s="168" t="s">
        <v>1593</v>
      </c>
      <c r="D2287" s="169" t="s">
        <v>3465</v>
      </c>
      <c r="E2287" s="173"/>
    </row>
    <row r="2288" spans="1:5">
      <c r="A2288" s="1" t="s">
        <v>25</v>
      </c>
      <c r="B2288" s="43">
        <v>604208</v>
      </c>
      <c r="C2288" s="168" t="s">
        <v>1593</v>
      </c>
      <c r="D2288" s="169" t="s">
        <v>3466</v>
      </c>
      <c r="E2288" s="173"/>
    </row>
    <row r="2289" spans="1:5">
      <c r="A2289" s="1" t="s">
        <v>25</v>
      </c>
      <c r="B2289" s="43">
        <v>373786</v>
      </c>
      <c r="C2289" s="168" t="s">
        <v>1593</v>
      </c>
      <c r="D2289" s="169" t="s">
        <v>3467</v>
      </c>
      <c r="E2289" s="173"/>
    </row>
    <row r="2290" spans="1:5">
      <c r="A2290" s="1" t="s">
        <v>25</v>
      </c>
      <c r="B2290" s="43">
        <v>2243046</v>
      </c>
      <c r="C2290" s="168" t="s">
        <v>1593</v>
      </c>
      <c r="D2290" s="169" t="s">
        <v>3468</v>
      </c>
      <c r="E2290" s="173"/>
    </row>
    <row r="2291" spans="1:5">
      <c r="A2291" s="1" t="s">
        <v>25</v>
      </c>
      <c r="B2291" s="43">
        <v>2841516</v>
      </c>
      <c r="C2291" s="168" t="s">
        <v>1593</v>
      </c>
      <c r="D2291" s="169" t="s">
        <v>1663</v>
      </c>
      <c r="E2291" s="173"/>
    </row>
    <row r="2292" spans="1:5">
      <c r="A2292" s="1" t="s">
        <v>25</v>
      </c>
      <c r="B2292" s="43">
        <v>2833081</v>
      </c>
      <c r="C2292" s="168" t="s">
        <v>1593</v>
      </c>
      <c r="D2292" s="169" t="s">
        <v>3469</v>
      </c>
      <c r="E2292" s="173"/>
    </row>
    <row r="2293" spans="1:5">
      <c r="A2293" s="1" t="s">
        <v>25</v>
      </c>
      <c r="B2293" s="43">
        <v>2822423</v>
      </c>
      <c r="C2293" s="168" t="s">
        <v>1593</v>
      </c>
      <c r="D2293" s="169" t="s">
        <v>3470</v>
      </c>
      <c r="E2293" s="173"/>
    </row>
    <row r="2294" spans="1:5">
      <c r="A2294" s="1" t="s">
        <v>25</v>
      </c>
      <c r="B2294" s="43">
        <v>704110</v>
      </c>
      <c r="C2294" s="168" t="s">
        <v>1593</v>
      </c>
      <c r="D2294" s="169" t="s">
        <v>3361</v>
      </c>
      <c r="E2294" s="173"/>
    </row>
    <row r="2295" spans="1:5">
      <c r="A2295" s="1" t="s">
        <v>25</v>
      </c>
      <c r="B2295" s="43">
        <v>604205</v>
      </c>
      <c r="C2295" s="168" t="s">
        <v>1593</v>
      </c>
      <c r="D2295" s="169" t="s">
        <v>3471</v>
      </c>
      <c r="E2295" s="173"/>
    </row>
    <row r="2296" spans="1:5">
      <c r="A2296" s="1" t="s">
        <v>25</v>
      </c>
      <c r="B2296" s="43">
        <v>751311</v>
      </c>
      <c r="C2296" s="168" t="s">
        <v>1593</v>
      </c>
      <c r="D2296" s="169" t="s">
        <v>3472</v>
      </c>
      <c r="E2296" s="173"/>
    </row>
    <row r="2297" spans="1:5">
      <c r="A2297" s="1" t="s">
        <v>25</v>
      </c>
      <c r="B2297" s="43">
        <v>604206</v>
      </c>
      <c r="C2297" s="168" t="s">
        <v>1593</v>
      </c>
      <c r="D2297" s="169" t="s">
        <v>3473</v>
      </c>
      <c r="E2297" s="173"/>
    </row>
    <row r="2298" spans="1:5">
      <c r="A2298" s="1" t="s">
        <v>25</v>
      </c>
      <c r="B2298" s="43">
        <v>786350</v>
      </c>
      <c r="C2298" s="168" t="s">
        <v>1593</v>
      </c>
      <c r="D2298" s="169" t="s">
        <v>3474</v>
      </c>
      <c r="E2298" s="173"/>
    </row>
    <row r="2299" spans="1:5">
      <c r="A2299" s="1" t="s">
        <v>25</v>
      </c>
      <c r="B2299" s="43">
        <v>802831</v>
      </c>
      <c r="C2299" s="168" t="s">
        <v>1593</v>
      </c>
      <c r="D2299" s="169" t="s">
        <v>3475</v>
      </c>
      <c r="E2299" s="173"/>
    </row>
    <row r="2300" spans="1:5">
      <c r="A2300" s="1" t="s">
        <v>25</v>
      </c>
      <c r="B2300" s="43">
        <v>794115</v>
      </c>
      <c r="C2300" s="168" t="s">
        <v>1593</v>
      </c>
      <c r="D2300" s="169" t="s">
        <v>3476</v>
      </c>
      <c r="E2300" s="173"/>
    </row>
    <row r="2301" spans="1:5">
      <c r="A2301" s="1" t="s">
        <v>25</v>
      </c>
      <c r="B2301" s="43">
        <v>3114007</v>
      </c>
      <c r="C2301" s="168" t="s">
        <v>1593</v>
      </c>
      <c r="D2301" s="169" t="s">
        <v>3247</v>
      </c>
      <c r="E2301" s="173"/>
    </row>
    <row r="2302" spans="1:5">
      <c r="A2302" s="1" t="s">
        <v>25</v>
      </c>
      <c r="B2302" s="43">
        <v>2883154</v>
      </c>
      <c r="C2302" s="168" t="s">
        <v>1593</v>
      </c>
      <c r="D2302" s="169" t="s">
        <v>3477</v>
      </c>
      <c r="E2302" s="173"/>
    </row>
    <row r="2303" spans="1:5">
      <c r="A2303" s="1" t="s">
        <v>25</v>
      </c>
      <c r="B2303" s="43">
        <v>2883208</v>
      </c>
      <c r="C2303" s="168" t="s">
        <v>1593</v>
      </c>
      <c r="D2303" s="169" t="s">
        <v>1732</v>
      </c>
      <c r="E2303" s="173"/>
    </row>
    <row r="2304" spans="1:5">
      <c r="A2304" s="1" t="s">
        <v>25</v>
      </c>
      <c r="B2304" s="43">
        <v>2887258</v>
      </c>
      <c r="C2304" s="168" t="s">
        <v>1593</v>
      </c>
      <c r="D2304" s="169" t="s">
        <v>1733</v>
      </c>
      <c r="E2304" s="173"/>
    </row>
    <row r="2305" spans="1:5">
      <c r="A2305" s="1" t="s">
        <v>25</v>
      </c>
      <c r="B2305" s="43">
        <v>2895102</v>
      </c>
      <c r="C2305" s="168" t="s">
        <v>1593</v>
      </c>
      <c r="D2305" s="169" t="s">
        <v>1673</v>
      </c>
      <c r="E2305" s="173"/>
    </row>
    <row r="2306" spans="1:5">
      <c r="A2306" s="1" t="s">
        <v>25</v>
      </c>
      <c r="B2306" s="43">
        <v>2873211</v>
      </c>
      <c r="C2306" s="168" t="s">
        <v>1593</v>
      </c>
      <c r="D2306" s="169" t="s">
        <v>3373</v>
      </c>
      <c r="E2306" s="173"/>
    </row>
    <row r="2307" spans="1:5">
      <c r="A2307" s="1" t="s">
        <v>25</v>
      </c>
      <c r="B2307" s="43">
        <v>2423500</v>
      </c>
      <c r="C2307" s="168" t="s">
        <v>1593</v>
      </c>
      <c r="D2307" s="169" t="s">
        <v>3478</v>
      </c>
      <c r="E2307" s="173"/>
    </row>
    <row r="2308" spans="1:5">
      <c r="A2308" s="1" t="s">
        <v>25</v>
      </c>
      <c r="B2308" s="43">
        <v>2426450</v>
      </c>
      <c r="C2308" s="168" t="s">
        <v>1593</v>
      </c>
      <c r="D2308" s="169" t="s">
        <v>3479</v>
      </c>
      <c r="E2308" s="173"/>
    </row>
    <row r="2309" spans="1:5">
      <c r="A2309" s="1" t="s">
        <v>25</v>
      </c>
      <c r="B2309" s="43">
        <v>2893127</v>
      </c>
      <c r="C2309" s="168" t="s">
        <v>1593</v>
      </c>
      <c r="D2309" s="169" t="s">
        <v>3480</v>
      </c>
      <c r="E2309" s="173"/>
    </row>
    <row r="2310" spans="1:5">
      <c r="A2310" s="1" t="s">
        <v>25</v>
      </c>
      <c r="B2310" s="43">
        <v>2894569</v>
      </c>
      <c r="C2310" s="168" t="s">
        <v>1593</v>
      </c>
      <c r="D2310" s="169" t="s">
        <v>3481</v>
      </c>
      <c r="E2310" s="173"/>
    </row>
    <row r="2311" spans="1:5">
      <c r="A2311" s="1" t="s">
        <v>25</v>
      </c>
      <c r="B2311" s="43">
        <v>3008163</v>
      </c>
      <c r="C2311" s="168" t="s">
        <v>1593</v>
      </c>
      <c r="D2311" s="169" t="s">
        <v>3482</v>
      </c>
      <c r="E2311" s="173"/>
    </row>
    <row r="2312" spans="1:5">
      <c r="A2312" s="1" t="s">
        <v>25</v>
      </c>
      <c r="B2312" s="43">
        <v>3011078</v>
      </c>
      <c r="C2312" s="168" t="s">
        <v>1593</v>
      </c>
      <c r="D2312" s="169" t="s">
        <v>3483</v>
      </c>
      <c r="E2312" s="173"/>
    </row>
    <row r="2313" spans="1:5">
      <c r="A2313" s="1" t="s">
        <v>25</v>
      </c>
      <c r="B2313" s="43">
        <v>713374</v>
      </c>
      <c r="C2313" s="168" t="s">
        <v>71</v>
      </c>
      <c r="D2313" s="169" t="s">
        <v>3484</v>
      </c>
      <c r="E2313" s="173"/>
    </row>
    <row r="2314" spans="1:5">
      <c r="A2314" s="1" t="s">
        <v>25</v>
      </c>
      <c r="B2314" s="43">
        <v>5015874</v>
      </c>
      <c r="C2314" s="168" t="s">
        <v>71</v>
      </c>
      <c r="D2314" s="169" t="s">
        <v>3485</v>
      </c>
      <c r="E2314" s="173"/>
    </row>
    <row r="2315" spans="1:5">
      <c r="A2315" s="1" t="s">
        <v>25</v>
      </c>
      <c r="B2315" s="43">
        <v>5015879</v>
      </c>
      <c r="C2315" s="168" t="s">
        <v>71</v>
      </c>
      <c r="D2315" s="169" t="s">
        <v>3486</v>
      </c>
      <c r="E2315" s="173"/>
    </row>
    <row r="2316" spans="1:5">
      <c r="A2316" s="1" t="s">
        <v>25</v>
      </c>
      <c r="B2316" s="43">
        <v>2875378</v>
      </c>
      <c r="C2316" s="168" t="s">
        <v>71</v>
      </c>
      <c r="D2316" s="169" t="s">
        <v>2834</v>
      </c>
      <c r="E2316" s="173"/>
    </row>
    <row r="2317" spans="1:5">
      <c r="A2317" s="1" t="s">
        <v>25</v>
      </c>
      <c r="B2317" s="43">
        <v>2886206</v>
      </c>
      <c r="C2317" s="168" t="s">
        <v>71</v>
      </c>
      <c r="D2317" s="169" t="s">
        <v>3487</v>
      </c>
      <c r="E2317" s="173"/>
    </row>
    <row r="2318" spans="1:5">
      <c r="A2318" s="1" t="s">
        <v>25</v>
      </c>
      <c r="B2318" s="43">
        <v>2893109</v>
      </c>
      <c r="C2318" s="168" t="s">
        <v>71</v>
      </c>
      <c r="D2318" s="169" t="s">
        <v>3488</v>
      </c>
      <c r="E2318" s="173"/>
    </row>
    <row r="2319" spans="1:5">
      <c r="A2319" s="1" t="s">
        <v>25</v>
      </c>
      <c r="B2319" s="43">
        <v>2865087</v>
      </c>
      <c r="C2319" s="168" t="s">
        <v>71</v>
      </c>
      <c r="D2319" s="169" t="s">
        <v>2915</v>
      </c>
      <c r="E2319" s="173"/>
    </row>
    <row r="2320" spans="1:5">
      <c r="A2320" s="1" t="s">
        <v>25</v>
      </c>
      <c r="B2320" s="43">
        <v>636109</v>
      </c>
      <c r="C2320" s="168" t="s">
        <v>71</v>
      </c>
      <c r="D2320" s="169" t="s">
        <v>3489</v>
      </c>
      <c r="E2320" s="173"/>
    </row>
    <row r="2321" spans="1:5">
      <c r="A2321" s="1" t="s">
        <v>25</v>
      </c>
      <c r="B2321" s="43">
        <v>5015870</v>
      </c>
      <c r="C2321" s="168" t="s">
        <v>71</v>
      </c>
      <c r="D2321" s="169" t="s">
        <v>3490</v>
      </c>
      <c r="E2321" s="173"/>
    </row>
    <row r="2322" spans="1:5">
      <c r="A2322" s="1" t="s">
        <v>25</v>
      </c>
      <c r="B2322" s="43">
        <v>769279</v>
      </c>
      <c r="C2322" s="168" t="s">
        <v>71</v>
      </c>
      <c r="D2322" s="169" t="s">
        <v>2629</v>
      </c>
      <c r="E2322" s="173"/>
    </row>
    <row r="2323" spans="1:5">
      <c r="A2323" s="1" t="s">
        <v>3491</v>
      </c>
      <c r="B2323" s="165" t="s">
        <v>68</v>
      </c>
      <c r="C2323" s="166" t="s">
        <v>62</v>
      </c>
      <c r="D2323" s="176" t="s">
        <v>69</v>
      </c>
      <c r="E2323" s="166" t="s">
        <v>70</v>
      </c>
    </row>
    <row r="2324" spans="1:5">
      <c r="A2324" s="1" t="s">
        <v>3491</v>
      </c>
      <c r="B2324" s="43">
        <v>758617</v>
      </c>
      <c r="C2324" s="168" t="s">
        <v>90</v>
      </c>
      <c r="D2324" s="169" t="s">
        <v>13</v>
      </c>
      <c r="E2324" s="184" t="s">
        <v>2860</v>
      </c>
    </row>
    <row r="2325" spans="1:5">
      <c r="A2325" s="1" t="s">
        <v>3491</v>
      </c>
      <c r="B2325" s="43">
        <v>2806194</v>
      </c>
      <c r="C2325" s="168" t="s">
        <v>90</v>
      </c>
      <c r="D2325" s="169" t="s">
        <v>2819</v>
      </c>
      <c r="E2325" s="170" t="s">
        <v>3492</v>
      </c>
    </row>
    <row r="2326" spans="1:5">
      <c r="A2326" s="1" t="s">
        <v>3491</v>
      </c>
      <c r="B2326" s="43">
        <v>2822090</v>
      </c>
      <c r="C2326" s="168" t="s">
        <v>90</v>
      </c>
      <c r="D2326" s="169" t="s">
        <v>2866</v>
      </c>
      <c r="E2326" s="170" t="s">
        <v>2931</v>
      </c>
    </row>
    <row r="2327" spans="1:5">
      <c r="A2327" s="1" t="s">
        <v>3491</v>
      </c>
      <c r="B2327" s="43">
        <v>772318</v>
      </c>
      <c r="C2327" s="168" t="s">
        <v>90</v>
      </c>
      <c r="D2327" s="169" t="s">
        <v>2867</v>
      </c>
      <c r="E2327" s="170" t="s">
        <v>2812</v>
      </c>
    </row>
    <row r="2328" spans="1:5">
      <c r="A2328" s="1" t="s">
        <v>3491</v>
      </c>
      <c r="B2328" s="43">
        <v>706917</v>
      </c>
      <c r="C2328" s="168" t="s">
        <v>90</v>
      </c>
      <c r="D2328" s="169" t="s">
        <v>3323</v>
      </c>
      <c r="E2328" s="170" t="s">
        <v>1818</v>
      </c>
    </row>
    <row r="2329" spans="1:5">
      <c r="A2329" s="1" t="s">
        <v>3491</v>
      </c>
      <c r="B2329" s="43">
        <v>585010</v>
      </c>
      <c r="C2329" s="168" t="s">
        <v>773</v>
      </c>
      <c r="D2329" s="169" t="s">
        <v>2159</v>
      </c>
      <c r="E2329" s="170" t="s">
        <v>2814</v>
      </c>
    </row>
    <row r="2330" spans="1:5">
      <c r="A2330" s="1" t="s">
        <v>3491</v>
      </c>
      <c r="B2330" s="43">
        <v>645018</v>
      </c>
      <c r="C2330" s="168" t="s">
        <v>1593</v>
      </c>
      <c r="D2330" s="169" t="s">
        <v>2858</v>
      </c>
      <c r="E2330" s="170" t="s">
        <v>2861</v>
      </c>
    </row>
    <row r="2331" spans="1:5">
      <c r="A2331" s="1" t="s">
        <v>3491</v>
      </c>
      <c r="B2331" s="43">
        <v>689764</v>
      </c>
      <c r="C2331" s="168" t="s">
        <v>1593</v>
      </c>
      <c r="D2331" s="169" t="s">
        <v>2859</v>
      </c>
      <c r="E2331" s="170" t="s">
        <v>2157</v>
      </c>
    </row>
    <row r="2332" spans="1:5">
      <c r="A2332" s="1" t="s">
        <v>3491</v>
      </c>
      <c r="B2332" s="43">
        <v>2241053</v>
      </c>
      <c r="C2332" s="168" t="s">
        <v>1593</v>
      </c>
      <c r="D2332" s="169" t="s">
        <v>2820</v>
      </c>
      <c r="E2332" s="170" t="s">
        <v>2862</v>
      </c>
    </row>
    <row r="2333" spans="1:5">
      <c r="A2333" s="1" t="s">
        <v>3491</v>
      </c>
      <c r="B2333" s="43">
        <v>645013</v>
      </c>
      <c r="C2333" s="168" t="s">
        <v>71</v>
      </c>
      <c r="D2333" s="169" t="s">
        <v>1815</v>
      </c>
      <c r="E2333" s="170" t="s">
        <v>2935</v>
      </c>
    </row>
    <row r="2334" spans="1:5">
      <c r="A2334" s="1" t="s">
        <v>3491</v>
      </c>
      <c r="B2334" s="43">
        <v>518758</v>
      </c>
      <c r="C2334" s="168" t="s">
        <v>773</v>
      </c>
      <c r="D2334" s="169" t="s">
        <v>2869</v>
      </c>
      <c r="E2334" s="170" t="s">
        <v>15</v>
      </c>
    </row>
    <row r="2335" spans="1:5">
      <c r="A2335" s="1" t="s">
        <v>3491</v>
      </c>
      <c r="B2335" s="43">
        <v>777382</v>
      </c>
      <c r="C2335" s="168" t="s">
        <v>773</v>
      </c>
      <c r="D2335" s="169" t="s">
        <v>2870</v>
      </c>
      <c r="E2335" s="170" t="s">
        <v>2865</v>
      </c>
    </row>
    <row r="2336" spans="1:5">
      <c r="A2336" s="1" t="s">
        <v>3491</v>
      </c>
      <c r="B2336" s="43">
        <v>565363</v>
      </c>
      <c r="C2336" s="168" t="s">
        <v>71</v>
      </c>
      <c r="D2336" s="169" t="s">
        <v>2871</v>
      </c>
      <c r="E2336" s="170" t="s">
        <v>2818</v>
      </c>
    </row>
    <row r="2337" spans="1:5">
      <c r="A2337" s="1" t="s">
        <v>3491</v>
      </c>
      <c r="B2337" s="43">
        <v>5010646</v>
      </c>
      <c r="C2337" s="168" t="s">
        <v>71</v>
      </c>
      <c r="D2337" s="169" t="s">
        <v>1596</v>
      </c>
      <c r="E2337" s="173"/>
    </row>
    <row r="2338" spans="1:5">
      <c r="A2338" s="1" t="s">
        <v>3491</v>
      </c>
      <c r="B2338" s="43">
        <v>706913</v>
      </c>
      <c r="C2338" s="168" t="s">
        <v>71</v>
      </c>
      <c r="D2338" s="169" t="s">
        <v>3297</v>
      </c>
      <c r="E2338" s="173"/>
    </row>
    <row r="2339" spans="1:5">
      <c r="A2339" s="1" t="s">
        <v>3491</v>
      </c>
      <c r="B2339" s="43">
        <v>565364</v>
      </c>
      <c r="C2339" s="168" t="s">
        <v>71</v>
      </c>
      <c r="D2339" s="169" t="s">
        <v>1752</v>
      </c>
      <c r="E2339" s="173"/>
    </row>
    <row r="2340" spans="1:5">
      <c r="A2340" s="1" t="s">
        <v>3491</v>
      </c>
      <c r="B2340" s="43">
        <v>592486</v>
      </c>
      <c r="C2340" s="168" t="s">
        <v>71</v>
      </c>
      <c r="D2340" s="169" t="s">
        <v>2584</v>
      </c>
      <c r="E2340" s="173"/>
    </row>
    <row r="2341" spans="1:5">
      <c r="A2341" s="1" t="s">
        <v>3491</v>
      </c>
      <c r="B2341" s="43">
        <v>2811020</v>
      </c>
      <c r="C2341" s="168" t="s">
        <v>71</v>
      </c>
      <c r="D2341" s="169" t="s">
        <v>1888</v>
      </c>
      <c r="E2341" s="173"/>
    </row>
    <row r="2342" spans="1:5">
      <c r="A2342" s="1" t="s">
        <v>3491</v>
      </c>
      <c r="B2342" s="43">
        <v>2252216</v>
      </c>
      <c r="C2342" s="168" t="s">
        <v>71</v>
      </c>
      <c r="D2342" s="169" t="s">
        <v>1890</v>
      </c>
      <c r="E2342" s="173"/>
    </row>
    <row r="2343" spans="1:5">
      <c r="A2343" s="1" t="s">
        <v>3491</v>
      </c>
      <c r="B2343" s="43">
        <v>5022326</v>
      </c>
      <c r="C2343" s="168" t="s">
        <v>71</v>
      </c>
      <c r="D2343" s="169" t="s">
        <v>1895</v>
      </c>
      <c r="E2343" s="173"/>
    </row>
    <row r="2344" spans="1:5">
      <c r="A2344" s="1" t="s">
        <v>3491</v>
      </c>
      <c r="B2344" s="43">
        <v>5015873</v>
      </c>
      <c r="C2344" s="168" t="s">
        <v>71</v>
      </c>
      <c r="D2344" s="169" t="s">
        <v>2217</v>
      </c>
      <c r="E2344" s="173"/>
    </row>
    <row r="2345" spans="1:5">
      <c r="A2345" s="1" t="s">
        <v>3491</v>
      </c>
      <c r="B2345" s="43">
        <v>2813183</v>
      </c>
      <c r="C2345" s="168" t="s">
        <v>71</v>
      </c>
      <c r="D2345" s="169" t="s">
        <v>2827</v>
      </c>
      <c r="E2345" s="173"/>
    </row>
    <row r="2346" spans="1:5">
      <c r="A2346" s="1" t="s">
        <v>3491</v>
      </c>
      <c r="B2346" s="43">
        <v>2869096</v>
      </c>
      <c r="C2346" s="168" t="s">
        <v>71</v>
      </c>
      <c r="D2346" s="169" t="s">
        <v>2829</v>
      </c>
      <c r="E2346" s="173"/>
    </row>
    <row r="2347" spans="1:5">
      <c r="A2347" s="1" t="s">
        <v>3491</v>
      </c>
      <c r="B2347" s="43">
        <v>5022331</v>
      </c>
      <c r="C2347" s="168" t="s">
        <v>71</v>
      </c>
      <c r="D2347" s="169" t="s">
        <v>2872</v>
      </c>
      <c r="E2347" s="173"/>
    </row>
    <row r="2348" spans="1:5">
      <c r="A2348" s="1" t="s">
        <v>3491</v>
      </c>
      <c r="B2348" s="43">
        <v>160362</v>
      </c>
      <c r="C2348" s="168" t="s">
        <v>71</v>
      </c>
      <c r="D2348" s="169" t="s">
        <v>2873</v>
      </c>
      <c r="E2348" s="173"/>
    </row>
    <row r="2349" spans="1:5">
      <c r="A2349" s="1" t="s">
        <v>3491</v>
      </c>
      <c r="B2349" s="43">
        <v>167027</v>
      </c>
      <c r="C2349" s="168" t="s">
        <v>71</v>
      </c>
      <c r="D2349" s="169" t="s">
        <v>2874</v>
      </c>
      <c r="E2349" s="173"/>
    </row>
    <row r="2350" spans="1:5">
      <c r="A2350" s="1" t="s">
        <v>3491</v>
      </c>
      <c r="B2350" s="43">
        <v>2806197</v>
      </c>
      <c r="C2350" s="168" t="s">
        <v>71</v>
      </c>
      <c r="D2350" s="169" t="s">
        <v>2875</v>
      </c>
      <c r="E2350" s="173"/>
    </row>
    <row r="2351" spans="1:5">
      <c r="A2351" s="1" t="s">
        <v>3491</v>
      </c>
      <c r="B2351" s="43">
        <v>756285</v>
      </c>
      <c r="C2351" s="168" t="s">
        <v>71</v>
      </c>
      <c r="D2351" s="169" t="s">
        <v>2876</v>
      </c>
      <c r="E2351" s="173"/>
    </row>
    <row r="2352" spans="1:5">
      <c r="A2352" s="1" t="s">
        <v>3491</v>
      </c>
      <c r="B2352" s="43">
        <v>713374</v>
      </c>
      <c r="C2352" s="168" t="s">
        <v>71</v>
      </c>
      <c r="D2352" s="169" t="s">
        <v>3484</v>
      </c>
      <c r="E2352" s="173"/>
    </row>
    <row r="2353" spans="1:5">
      <c r="A2353" s="1" t="s">
        <v>3491</v>
      </c>
      <c r="B2353" s="43">
        <v>2877076</v>
      </c>
      <c r="C2353" s="168" t="s">
        <v>71</v>
      </c>
      <c r="D2353" s="169" t="s">
        <v>3493</v>
      </c>
      <c r="E2353" s="173"/>
    </row>
    <row r="2354" spans="1:5">
      <c r="A2354" s="1" t="s">
        <v>3491</v>
      </c>
      <c r="B2354" s="43">
        <v>2253157</v>
      </c>
      <c r="C2354" s="168" t="s">
        <v>90</v>
      </c>
      <c r="D2354" s="169" t="s">
        <v>3494</v>
      </c>
      <c r="E2354" s="173"/>
    </row>
    <row r="2355" spans="1:5">
      <c r="A2355" s="1" t="s">
        <v>3491</v>
      </c>
      <c r="B2355" s="43">
        <v>647653</v>
      </c>
      <c r="C2355" s="168" t="s">
        <v>90</v>
      </c>
      <c r="D2355" s="169" t="s">
        <v>3074</v>
      </c>
      <c r="E2355" s="173"/>
    </row>
    <row r="2356" spans="1:5">
      <c r="A2356" s="1" t="s">
        <v>3491</v>
      </c>
      <c r="B2356" s="43">
        <v>5028627</v>
      </c>
      <c r="C2356" s="168" t="s">
        <v>90</v>
      </c>
      <c r="D2356" s="169" t="s">
        <v>1882</v>
      </c>
      <c r="E2356" s="173"/>
    </row>
    <row r="2357" spans="1:5">
      <c r="A2357" s="1" t="s">
        <v>3491</v>
      </c>
      <c r="B2357" s="43">
        <v>685023</v>
      </c>
      <c r="C2357" s="168" t="s">
        <v>90</v>
      </c>
      <c r="D2357" s="169" t="s">
        <v>2878</v>
      </c>
      <c r="E2357" s="173"/>
    </row>
    <row r="2358" spans="1:5">
      <c r="A2358" s="1" t="s">
        <v>3491</v>
      </c>
      <c r="B2358" s="43">
        <v>2833088</v>
      </c>
      <c r="C2358" s="168" t="s">
        <v>90</v>
      </c>
      <c r="D2358" s="169" t="s">
        <v>2822</v>
      </c>
      <c r="E2358" s="173"/>
    </row>
    <row r="2359" spans="1:5">
      <c r="A2359" s="1" t="s">
        <v>3491</v>
      </c>
      <c r="B2359" s="43">
        <v>2812491</v>
      </c>
      <c r="C2359" s="168" t="s">
        <v>90</v>
      </c>
      <c r="D2359" s="169" t="s">
        <v>3315</v>
      </c>
      <c r="E2359" s="173"/>
    </row>
    <row r="2360" spans="1:5">
      <c r="A2360" s="1" t="s">
        <v>3491</v>
      </c>
      <c r="B2360" s="43">
        <v>2881200</v>
      </c>
      <c r="C2360" s="168" t="s">
        <v>90</v>
      </c>
      <c r="D2360" s="169" t="s">
        <v>1691</v>
      </c>
      <c r="E2360" s="173"/>
    </row>
    <row r="2361" spans="1:5">
      <c r="A2361" s="1" t="s">
        <v>3491</v>
      </c>
      <c r="B2361" s="43">
        <v>2300012</v>
      </c>
      <c r="C2361" s="168" t="s">
        <v>1593</v>
      </c>
      <c r="D2361" s="169" t="s">
        <v>2826</v>
      </c>
      <c r="E2361" s="173"/>
    </row>
    <row r="2362" spans="1:5">
      <c r="A2362" s="1" t="s">
        <v>3491</v>
      </c>
      <c r="B2362" s="43">
        <v>2242035</v>
      </c>
      <c r="C2362" s="168" t="s">
        <v>1593</v>
      </c>
      <c r="D2362" s="169" t="s">
        <v>1822</v>
      </c>
      <c r="E2362" s="173"/>
    </row>
    <row r="2363" spans="1:5">
      <c r="A2363" s="1" t="s">
        <v>3491</v>
      </c>
      <c r="B2363" s="43">
        <v>2813223</v>
      </c>
      <c r="C2363" s="168" t="s">
        <v>1593</v>
      </c>
      <c r="D2363" s="169" t="s">
        <v>2171</v>
      </c>
      <c r="E2363" s="173"/>
    </row>
    <row r="2364" spans="1:5">
      <c r="A2364" s="1" t="s">
        <v>3491</v>
      </c>
      <c r="B2364" s="43">
        <v>696872</v>
      </c>
      <c r="C2364" s="168" t="s">
        <v>1593</v>
      </c>
      <c r="D2364" s="169" t="s">
        <v>2880</v>
      </c>
      <c r="E2364" s="173"/>
    </row>
    <row r="2365" spans="1:5">
      <c r="A2365" s="1" t="s">
        <v>3491</v>
      </c>
      <c r="B2365" s="43">
        <v>2367358</v>
      </c>
      <c r="C2365" s="168" t="s">
        <v>83</v>
      </c>
      <c r="D2365" s="169" t="s">
        <v>1758</v>
      </c>
      <c r="E2365" s="173"/>
    </row>
    <row r="2366" spans="1:5">
      <c r="A2366" s="1" t="s">
        <v>3491</v>
      </c>
      <c r="B2366" s="43">
        <v>2824175</v>
      </c>
      <c r="C2366" s="168" t="s">
        <v>83</v>
      </c>
      <c r="D2366" s="169" t="s">
        <v>1900</v>
      </c>
      <c r="E2366" s="173"/>
    </row>
    <row r="2367" spans="1:5">
      <c r="A2367" s="1" t="s">
        <v>3491</v>
      </c>
      <c r="B2367" s="43">
        <v>2825404</v>
      </c>
      <c r="C2367" s="168" t="s">
        <v>83</v>
      </c>
      <c r="D2367" s="169" t="s">
        <v>2831</v>
      </c>
      <c r="E2367" s="173"/>
    </row>
    <row r="2368" spans="1:5">
      <c r="A2368" s="1" t="s">
        <v>3491</v>
      </c>
      <c r="B2368" s="43">
        <v>651185</v>
      </c>
      <c r="C2368" s="168" t="s">
        <v>83</v>
      </c>
      <c r="D2368" s="169" t="s">
        <v>2881</v>
      </c>
      <c r="E2368" s="173"/>
    </row>
    <row r="2369" spans="1:5">
      <c r="A2369" s="1" t="s">
        <v>3491</v>
      </c>
      <c r="B2369" s="43">
        <v>802830</v>
      </c>
      <c r="C2369" s="168" t="s">
        <v>83</v>
      </c>
      <c r="D2369" s="169" t="s">
        <v>2882</v>
      </c>
      <c r="E2369" s="173"/>
    </row>
    <row r="2370" spans="1:5">
      <c r="A2370" s="1" t="s">
        <v>3491</v>
      </c>
      <c r="B2370" s="43">
        <v>721910</v>
      </c>
      <c r="C2370" s="168" t="s">
        <v>83</v>
      </c>
      <c r="D2370" s="169" t="s">
        <v>2883</v>
      </c>
      <c r="E2370" s="173"/>
    </row>
    <row r="2371" spans="1:5">
      <c r="A2371" s="1" t="s">
        <v>3491</v>
      </c>
      <c r="B2371" s="43">
        <v>2813255</v>
      </c>
      <c r="C2371" s="168" t="s">
        <v>83</v>
      </c>
      <c r="D2371" s="169" t="s">
        <v>2884</v>
      </c>
      <c r="E2371" s="173"/>
    </row>
    <row r="2372" spans="1:5">
      <c r="A2372" s="1" t="s">
        <v>3491</v>
      </c>
      <c r="B2372" s="43">
        <v>2822456</v>
      </c>
      <c r="C2372" s="168" t="s">
        <v>83</v>
      </c>
      <c r="D2372" s="169" t="s">
        <v>2887</v>
      </c>
      <c r="E2372" s="173"/>
    </row>
    <row r="2373" spans="1:5">
      <c r="A2373" s="1" t="s">
        <v>3491</v>
      </c>
      <c r="B2373" s="43">
        <v>2877031</v>
      </c>
      <c r="C2373" s="168" t="s">
        <v>83</v>
      </c>
      <c r="D2373" s="169" t="s">
        <v>2889</v>
      </c>
      <c r="E2373" s="173"/>
    </row>
    <row r="2374" spans="1:5">
      <c r="A2374" s="1" t="s">
        <v>3491</v>
      </c>
      <c r="B2374" s="43">
        <v>2428602</v>
      </c>
      <c r="C2374" s="168" t="s">
        <v>83</v>
      </c>
      <c r="D2374" s="169" t="s">
        <v>3495</v>
      </c>
      <c r="E2374" s="173"/>
    </row>
    <row r="2375" spans="1:5">
      <c r="A2375" s="1" t="s">
        <v>3491</v>
      </c>
      <c r="B2375" s="43">
        <v>5034158</v>
      </c>
      <c r="C2375" s="168" t="s">
        <v>773</v>
      </c>
      <c r="D2375" s="169" t="s">
        <v>2890</v>
      </c>
      <c r="E2375" s="173"/>
    </row>
    <row r="2376" spans="1:5">
      <c r="A2376" s="1" t="s">
        <v>3491</v>
      </c>
      <c r="B2376" s="43">
        <v>756283</v>
      </c>
      <c r="C2376" s="168" t="s">
        <v>773</v>
      </c>
      <c r="D2376" s="169" t="s">
        <v>2892</v>
      </c>
      <c r="E2376" s="173"/>
    </row>
    <row r="2377" spans="1:5">
      <c r="A2377" s="1" t="s">
        <v>3491</v>
      </c>
      <c r="B2377" s="43">
        <v>797724</v>
      </c>
      <c r="C2377" s="168" t="s">
        <v>773</v>
      </c>
      <c r="D2377" s="169" t="s">
        <v>2891</v>
      </c>
      <c r="E2377" s="173"/>
    </row>
    <row r="2378" spans="1:5">
      <c r="A2378" s="1" t="s">
        <v>3491</v>
      </c>
      <c r="B2378" s="43">
        <v>769274</v>
      </c>
      <c r="C2378" s="168" t="s">
        <v>773</v>
      </c>
      <c r="D2378" s="169" t="s">
        <v>3496</v>
      </c>
      <c r="E2378" s="173"/>
    </row>
    <row r="2379" spans="1:5">
      <c r="A2379" s="1" t="s">
        <v>3491</v>
      </c>
      <c r="B2379" s="43">
        <v>784280</v>
      </c>
      <c r="C2379" s="168" t="s">
        <v>1593</v>
      </c>
      <c r="D2379" s="169" t="s">
        <v>1768</v>
      </c>
      <c r="E2379" s="173"/>
    </row>
    <row r="2380" spans="1:5">
      <c r="A2380" s="1" t="s">
        <v>3491</v>
      </c>
      <c r="B2380" s="43">
        <v>2809355</v>
      </c>
      <c r="C2380" s="168" t="s">
        <v>1593</v>
      </c>
      <c r="D2380" s="169" t="s">
        <v>1901</v>
      </c>
      <c r="E2380" s="173"/>
    </row>
    <row r="2381" spans="1:5">
      <c r="A2381" s="1" t="s">
        <v>3491</v>
      </c>
      <c r="B2381" s="43">
        <v>2877028</v>
      </c>
      <c r="C2381" s="168" t="s">
        <v>1593</v>
      </c>
      <c r="D2381" s="169" t="s">
        <v>1769</v>
      </c>
      <c r="E2381" s="173"/>
    </row>
    <row r="2382" spans="1:5">
      <c r="A2382" s="1" t="s">
        <v>3491</v>
      </c>
      <c r="B2382" s="43">
        <v>2243045</v>
      </c>
      <c r="C2382" s="168" t="s">
        <v>1593</v>
      </c>
      <c r="D2382" s="169" t="s">
        <v>1825</v>
      </c>
      <c r="E2382" s="173"/>
    </row>
    <row r="2383" spans="1:5">
      <c r="A2383" s="1" t="s">
        <v>3491</v>
      </c>
      <c r="B2383" s="43">
        <v>2849190</v>
      </c>
      <c r="C2383" s="168" t="s">
        <v>1593</v>
      </c>
      <c r="D2383" s="169" t="s">
        <v>3497</v>
      </c>
      <c r="E2383" s="173"/>
    </row>
    <row r="2384" spans="1:5">
      <c r="A2384" s="1" t="s">
        <v>3491</v>
      </c>
      <c r="B2384" s="43">
        <v>2242044</v>
      </c>
      <c r="C2384" s="168" t="s">
        <v>1593</v>
      </c>
      <c r="D2384" s="169" t="s">
        <v>2904</v>
      </c>
      <c r="E2384" s="173"/>
    </row>
    <row r="2385" spans="1:5">
      <c r="A2385" s="1" t="s">
        <v>3491</v>
      </c>
      <c r="B2385" s="43">
        <v>2243043</v>
      </c>
      <c r="C2385" s="168" t="s">
        <v>1593</v>
      </c>
      <c r="D2385" s="169" t="s">
        <v>2901</v>
      </c>
      <c r="E2385" s="173"/>
    </row>
    <row r="2386" spans="1:5">
      <c r="A2386" s="1" t="s">
        <v>3491</v>
      </c>
      <c r="B2386" s="43">
        <v>2834033</v>
      </c>
      <c r="C2386" s="168" t="s">
        <v>1593</v>
      </c>
      <c r="D2386" s="169" t="s">
        <v>2903</v>
      </c>
      <c r="E2386" s="173"/>
    </row>
    <row r="2387" spans="1:5">
      <c r="A2387" s="1" t="s">
        <v>3491</v>
      </c>
      <c r="B2387" s="43">
        <v>5022323</v>
      </c>
      <c r="C2387" s="168" t="s">
        <v>71</v>
      </c>
      <c r="D2387" s="169" t="s">
        <v>2893</v>
      </c>
      <c r="E2387" s="173"/>
    </row>
    <row r="2388" spans="1:5">
      <c r="A2388" s="1" t="s">
        <v>3491</v>
      </c>
      <c r="B2388" s="43">
        <v>5015879</v>
      </c>
      <c r="C2388" s="168" t="s">
        <v>71</v>
      </c>
      <c r="D2388" s="169" t="s">
        <v>3486</v>
      </c>
      <c r="E2388" s="173"/>
    </row>
    <row r="2389" spans="1:5">
      <c r="A2389" s="1" t="s">
        <v>3491</v>
      </c>
      <c r="B2389" s="43">
        <v>5015881</v>
      </c>
      <c r="C2389" s="168" t="s">
        <v>71</v>
      </c>
      <c r="D2389" s="169" t="s">
        <v>3498</v>
      </c>
      <c r="E2389" s="173"/>
    </row>
    <row r="2390" spans="1:5">
      <c r="A2390" s="1" t="s">
        <v>3491</v>
      </c>
      <c r="B2390" s="43">
        <v>2802466</v>
      </c>
      <c r="C2390" s="168" t="s">
        <v>71</v>
      </c>
      <c r="D2390" s="169" t="s">
        <v>1782</v>
      </c>
      <c r="E2390" s="173"/>
    </row>
    <row r="2391" spans="1:5">
      <c r="A2391" s="1" t="s">
        <v>3491</v>
      </c>
      <c r="B2391" s="43">
        <v>5022327</v>
      </c>
      <c r="C2391" s="168" t="s">
        <v>71</v>
      </c>
      <c r="D2391" s="169" t="s">
        <v>1699</v>
      </c>
      <c r="E2391" s="173"/>
    </row>
    <row r="2392" spans="1:5">
      <c r="A2392" s="1" t="s">
        <v>3491</v>
      </c>
      <c r="B2392" s="43">
        <v>797723</v>
      </c>
      <c r="C2392" s="168" t="s">
        <v>71</v>
      </c>
      <c r="D2392" s="169" t="s">
        <v>1905</v>
      </c>
      <c r="E2392" s="173"/>
    </row>
    <row r="2393" spans="1:5">
      <c r="A2393" s="1" t="s">
        <v>3491</v>
      </c>
      <c r="B2393" s="43">
        <v>656781</v>
      </c>
      <c r="C2393" s="168" t="s">
        <v>71</v>
      </c>
      <c r="D2393" s="169" t="s">
        <v>1772</v>
      </c>
      <c r="E2393" s="173"/>
    </row>
    <row r="2394" spans="1:5">
      <c r="A2394" s="1" t="s">
        <v>3491</v>
      </c>
      <c r="B2394" s="43">
        <v>175129</v>
      </c>
      <c r="C2394" s="168" t="s">
        <v>71</v>
      </c>
      <c r="D2394" s="169" t="s">
        <v>1773</v>
      </c>
      <c r="E2394" s="173"/>
    </row>
    <row r="2395" spans="1:5">
      <c r="A2395" s="1" t="s">
        <v>3491</v>
      </c>
      <c r="B2395" s="43">
        <v>174923</v>
      </c>
      <c r="C2395" s="168" t="s">
        <v>71</v>
      </c>
      <c r="D2395" s="169" t="s">
        <v>1903</v>
      </c>
      <c r="E2395" s="173"/>
    </row>
    <row r="2396" spans="1:5">
      <c r="A2396" s="1" t="s">
        <v>3491</v>
      </c>
      <c r="B2396" s="43">
        <v>778180</v>
      </c>
      <c r="C2396" s="168" t="s">
        <v>71</v>
      </c>
      <c r="D2396" s="169" t="s">
        <v>1904</v>
      </c>
      <c r="E2396" s="173"/>
    </row>
    <row r="2397" spans="1:5">
      <c r="A2397" s="1" t="s">
        <v>3491</v>
      </c>
      <c r="B2397" s="43">
        <v>808670</v>
      </c>
      <c r="C2397" s="168" t="s">
        <v>71</v>
      </c>
      <c r="D2397" s="169" t="s">
        <v>1990</v>
      </c>
      <c r="E2397" s="173"/>
    </row>
    <row r="2398" spans="1:5">
      <c r="A2398" s="1" t="s">
        <v>3491</v>
      </c>
      <c r="B2398" s="43">
        <v>713373</v>
      </c>
      <c r="C2398" s="168" t="s">
        <v>71</v>
      </c>
      <c r="D2398" s="169" t="s">
        <v>2894</v>
      </c>
      <c r="E2398" s="173"/>
    </row>
    <row r="2399" spans="1:5">
      <c r="A2399" s="1" t="s">
        <v>3491</v>
      </c>
      <c r="B2399" s="43">
        <v>672869</v>
      </c>
      <c r="C2399" s="168" t="s">
        <v>71</v>
      </c>
      <c r="D2399" s="169" t="s">
        <v>2895</v>
      </c>
      <c r="E2399" s="173"/>
    </row>
    <row r="2400" spans="1:5">
      <c r="A2400" s="1" t="s">
        <v>3491</v>
      </c>
      <c r="B2400" s="43">
        <v>647651</v>
      </c>
      <c r="C2400" s="168" t="s">
        <v>71</v>
      </c>
      <c r="D2400" s="169" t="s">
        <v>2896</v>
      </c>
      <c r="E2400" s="173"/>
    </row>
    <row r="2401" spans="1:5">
      <c r="A2401" s="1" t="s">
        <v>3491</v>
      </c>
      <c r="B2401" s="43">
        <v>2802465</v>
      </c>
      <c r="C2401" s="168" t="s">
        <v>71</v>
      </c>
      <c r="D2401" s="169" t="s">
        <v>3499</v>
      </c>
      <c r="E2401" s="173"/>
    </row>
    <row r="2402" spans="1:5">
      <c r="A2402" s="1" t="s">
        <v>3491</v>
      </c>
      <c r="B2402" s="43">
        <v>2802024</v>
      </c>
      <c r="C2402" s="168" t="s">
        <v>71</v>
      </c>
      <c r="D2402" s="169" t="s">
        <v>2897</v>
      </c>
      <c r="E2402" s="173"/>
    </row>
    <row r="2403" spans="1:5">
      <c r="A2403" s="1" t="s">
        <v>3491</v>
      </c>
      <c r="B2403" s="43">
        <v>2812534</v>
      </c>
      <c r="C2403" s="168" t="s">
        <v>71</v>
      </c>
      <c r="D2403" s="169" t="s">
        <v>2898</v>
      </c>
      <c r="E2403" s="173"/>
    </row>
    <row r="2404" spans="1:5">
      <c r="A2404" s="1" t="s">
        <v>3491</v>
      </c>
      <c r="B2404" s="43">
        <v>2885092</v>
      </c>
      <c r="C2404" s="168" t="s">
        <v>71</v>
      </c>
      <c r="D2404" s="169" t="s">
        <v>2955</v>
      </c>
      <c r="E2404" s="173"/>
    </row>
    <row r="2405" spans="1:5">
      <c r="A2405" s="1" t="s">
        <v>3491</v>
      </c>
      <c r="B2405" s="43">
        <v>2882043</v>
      </c>
      <c r="C2405" s="168" t="s">
        <v>71</v>
      </c>
      <c r="D2405" s="169" t="s">
        <v>2956</v>
      </c>
      <c r="E2405" s="173"/>
    </row>
    <row r="2406" spans="1:5">
      <c r="A2406" s="1" t="s">
        <v>3491</v>
      </c>
      <c r="B2406" s="43">
        <v>5015876</v>
      </c>
      <c r="C2406" s="168" t="s">
        <v>71</v>
      </c>
      <c r="D2406" s="169" t="s">
        <v>3269</v>
      </c>
      <c r="E2406" s="173"/>
    </row>
    <row r="2407" spans="1:5">
      <c r="A2407" s="1" t="s">
        <v>3491</v>
      </c>
      <c r="B2407" s="43">
        <v>2822677</v>
      </c>
      <c r="C2407" s="168" t="s">
        <v>71</v>
      </c>
      <c r="D2407" s="169" t="s">
        <v>2899</v>
      </c>
      <c r="E2407" s="173"/>
    </row>
    <row r="2408" spans="1:5">
      <c r="A2408" s="1" t="s">
        <v>3491</v>
      </c>
      <c r="B2408" s="43">
        <v>2890082</v>
      </c>
      <c r="C2408" s="168" t="s">
        <v>71</v>
      </c>
      <c r="D2408" s="169" t="s">
        <v>3500</v>
      </c>
      <c r="E2408" s="173"/>
    </row>
    <row r="2409" spans="1:5">
      <c r="A2409" s="1" t="s">
        <v>3491</v>
      </c>
      <c r="B2409" s="43">
        <v>2893109</v>
      </c>
      <c r="C2409" s="168" t="s">
        <v>71</v>
      </c>
      <c r="D2409" s="169" t="s">
        <v>3488</v>
      </c>
      <c r="E2409" s="173"/>
    </row>
    <row r="2410" spans="1:5">
      <c r="A2410" s="1" t="s">
        <v>3491</v>
      </c>
      <c r="B2410" s="43">
        <v>2424407</v>
      </c>
      <c r="C2410" s="168" t="s">
        <v>71</v>
      </c>
      <c r="D2410" s="169" t="s">
        <v>3501</v>
      </c>
      <c r="E2410" s="173"/>
    </row>
    <row r="2411" spans="1:5">
      <c r="A2411" s="1" t="s">
        <v>3491</v>
      </c>
      <c r="B2411" s="43">
        <v>2874216</v>
      </c>
      <c r="C2411" s="168" t="s">
        <v>83</v>
      </c>
      <c r="D2411" s="169" t="s">
        <v>2961</v>
      </c>
      <c r="E2411" s="173"/>
    </row>
    <row r="2412" spans="1:5">
      <c r="A2412" s="1" t="s">
        <v>3491</v>
      </c>
      <c r="B2412" s="43">
        <v>2846053</v>
      </c>
      <c r="C2412" s="168" t="s">
        <v>83</v>
      </c>
      <c r="D2412" s="169" t="s">
        <v>1793</v>
      </c>
      <c r="E2412" s="173"/>
    </row>
    <row r="2413" spans="1:5">
      <c r="A2413" s="1" t="s">
        <v>3491</v>
      </c>
      <c r="B2413" s="43">
        <v>2877030</v>
      </c>
      <c r="C2413" s="168" t="s">
        <v>83</v>
      </c>
      <c r="D2413" s="169" t="s">
        <v>1923</v>
      </c>
      <c r="E2413" s="173"/>
    </row>
    <row r="2414" spans="1:5">
      <c r="A2414" s="1" t="s">
        <v>3491</v>
      </c>
      <c r="B2414" s="43">
        <v>585228</v>
      </c>
      <c r="C2414" s="168" t="s">
        <v>83</v>
      </c>
      <c r="D2414" s="169" t="s">
        <v>2906</v>
      </c>
      <c r="E2414" s="173"/>
    </row>
    <row r="2415" spans="1:5">
      <c r="A2415" s="1" t="s">
        <v>3491</v>
      </c>
      <c r="B2415" s="43">
        <v>2297061</v>
      </c>
      <c r="C2415" s="168" t="s">
        <v>83</v>
      </c>
      <c r="D2415" s="169" t="s">
        <v>2907</v>
      </c>
      <c r="E2415" s="173"/>
    </row>
    <row r="2416" spans="1:5">
      <c r="A2416" s="1" t="s">
        <v>3491</v>
      </c>
      <c r="B2416" s="43">
        <v>2974166</v>
      </c>
      <c r="C2416" s="168" t="s">
        <v>83</v>
      </c>
      <c r="D2416" s="169" t="s">
        <v>2888</v>
      </c>
      <c r="E2416" s="173"/>
    </row>
    <row r="2417" spans="1:5">
      <c r="A2417" s="1" t="s">
        <v>3491</v>
      </c>
      <c r="B2417" s="43">
        <v>2834000</v>
      </c>
      <c r="C2417" s="168" t="s">
        <v>83</v>
      </c>
      <c r="D2417" s="169" t="s">
        <v>2910</v>
      </c>
      <c r="E2417" s="173"/>
    </row>
    <row r="2418" spans="1:5">
      <c r="A2418" s="1" t="s">
        <v>3491</v>
      </c>
      <c r="B2418" s="43">
        <v>2974329</v>
      </c>
      <c r="C2418" s="168" t="s">
        <v>83</v>
      </c>
      <c r="D2418" s="169" t="s">
        <v>1927</v>
      </c>
      <c r="E2418" s="173"/>
    </row>
    <row r="2419" spans="1:5">
      <c r="A2419" s="1" t="s">
        <v>3491</v>
      </c>
      <c r="B2419" s="43">
        <v>2835068</v>
      </c>
      <c r="C2419" s="168" t="s">
        <v>773</v>
      </c>
      <c r="D2419" s="169" t="s">
        <v>1721</v>
      </c>
      <c r="E2419" s="173"/>
    </row>
    <row r="2420" spans="1:5">
      <c r="A2420" s="1" t="s">
        <v>3491</v>
      </c>
      <c r="B2420" s="43">
        <v>2822414</v>
      </c>
      <c r="C2420" s="168" t="s">
        <v>773</v>
      </c>
      <c r="D2420" s="169" t="s">
        <v>2962</v>
      </c>
      <c r="E2420" s="173"/>
    </row>
    <row r="2421" spans="1:5">
      <c r="A2421" s="1" t="s">
        <v>3491</v>
      </c>
      <c r="B2421" s="43">
        <v>2822683</v>
      </c>
      <c r="C2421" s="168" t="s">
        <v>71</v>
      </c>
      <c r="D2421" s="169" t="s">
        <v>1679</v>
      </c>
      <c r="E2421" s="173"/>
    </row>
    <row r="2422" spans="1:5">
      <c r="A2422" s="1" t="s">
        <v>3491</v>
      </c>
      <c r="B2422" s="43">
        <v>2814066</v>
      </c>
      <c r="C2422" s="168" t="s">
        <v>71</v>
      </c>
      <c r="D2422" s="169" t="s">
        <v>1949</v>
      </c>
      <c r="E2422" s="173"/>
    </row>
    <row r="2423" spans="1:5">
      <c r="A2423" s="1" t="s">
        <v>3491</v>
      </c>
      <c r="B2423" s="43">
        <v>2825490</v>
      </c>
      <c r="C2423" s="168" t="s">
        <v>71</v>
      </c>
      <c r="D2423" s="169" t="s">
        <v>1951</v>
      </c>
      <c r="E2423" s="173"/>
    </row>
    <row r="2424" spans="1:5">
      <c r="A2424" s="1" t="s">
        <v>3491</v>
      </c>
      <c r="B2424" s="43">
        <v>2822642</v>
      </c>
      <c r="C2424" s="168" t="s">
        <v>71</v>
      </c>
      <c r="D2424" s="169" t="s">
        <v>2644</v>
      </c>
      <c r="E2424" s="173"/>
    </row>
    <row r="2425" spans="1:5">
      <c r="A2425" s="1" t="s">
        <v>3491</v>
      </c>
      <c r="B2425" s="43">
        <v>2838146</v>
      </c>
      <c r="C2425" s="168" t="s">
        <v>71</v>
      </c>
      <c r="D2425" s="169" t="s">
        <v>2848</v>
      </c>
      <c r="E2425" s="173"/>
    </row>
    <row r="2426" spans="1:5">
      <c r="A2426" s="1" t="s">
        <v>3491</v>
      </c>
      <c r="B2426" s="43">
        <v>2824379</v>
      </c>
      <c r="C2426" s="168" t="s">
        <v>71</v>
      </c>
      <c r="D2426" s="169" t="s">
        <v>2916</v>
      </c>
      <c r="E2426" s="173"/>
    </row>
    <row r="2427" spans="1:5">
      <c r="A2427" s="1" t="s">
        <v>3491</v>
      </c>
      <c r="B2427" s="43">
        <v>2836021</v>
      </c>
      <c r="C2427" s="168" t="s">
        <v>71</v>
      </c>
      <c r="D2427" s="169" t="s">
        <v>2917</v>
      </c>
      <c r="E2427" s="173"/>
    </row>
    <row r="2428" spans="1:5">
      <c r="A2428" s="1" t="s">
        <v>3491</v>
      </c>
      <c r="B2428" s="43">
        <v>483102</v>
      </c>
      <c r="C2428" s="168" t="s">
        <v>71</v>
      </c>
      <c r="D2428" s="169" t="s">
        <v>2919</v>
      </c>
      <c r="E2428" s="173"/>
    </row>
    <row r="2429" spans="1:5">
      <c r="A2429" s="1" t="s">
        <v>3491</v>
      </c>
      <c r="B2429" s="43">
        <v>553472</v>
      </c>
      <c r="C2429" s="168" t="s">
        <v>71</v>
      </c>
      <c r="D2429" s="169" t="s">
        <v>2920</v>
      </c>
      <c r="E2429" s="173"/>
    </row>
    <row r="2430" spans="1:5">
      <c r="A2430" s="1" t="s">
        <v>3491</v>
      </c>
      <c r="B2430" s="43">
        <v>2824374</v>
      </c>
      <c r="C2430" s="168" t="s">
        <v>71</v>
      </c>
      <c r="D2430" s="169" t="s">
        <v>2922</v>
      </c>
      <c r="E2430" s="173"/>
    </row>
    <row r="2431" spans="1:5">
      <c r="A2431" s="1" t="s">
        <v>3491</v>
      </c>
      <c r="B2431" s="43">
        <v>800197</v>
      </c>
      <c r="C2431" s="168" t="s">
        <v>71</v>
      </c>
      <c r="D2431" s="169" t="s">
        <v>3378</v>
      </c>
      <c r="E2431" s="173"/>
    </row>
    <row r="2432" spans="1:5">
      <c r="A2432" s="1" t="s">
        <v>3491</v>
      </c>
      <c r="B2432" s="43">
        <v>2833004</v>
      </c>
      <c r="C2432" s="168" t="s">
        <v>1593</v>
      </c>
      <c r="D2432" s="169" t="s">
        <v>1670</v>
      </c>
      <c r="E2432" s="173"/>
    </row>
    <row r="2433" spans="1:5">
      <c r="A2433" s="1" t="s">
        <v>3491</v>
      </c>
      <c r="B2433" s="43">
        <v>2874051</v>
      </c>
      <c r="C2433" s="168" t="s">
        <v>1593</v>
      </c>
      <c r="D2433" s="169" t="s">
        <v>1968</v>
      </c>
      <c r="E2433" s="173"/>
    </row>
    <row r="2434" spans="1:5">
      <c r="A2434" s="1" t="s">
        <v>3491</v>
      </c>
      <c r="B2434" s="43">
        <v>2832037</v>
      </c>
      <c r="C2434" s="168" t="s">
        <v>1593</v>
      </c>
      <c r="D2434" s="169" t="s">
        <v>2006</v>
      </c>
      <c r="E2434" s="173"/>
    </row>
    <row r="2435" spans="1:5">
      <c r="A2435" s="1" t="s">
        <v>3491</v>
      </c>
      <c r="B2435" s="43">
        <v>2837192</v>
      </c>
      <c r="C2435" s="168" t="s">
        <v>1593</v>
      </c>
      <c r="D2435" s="169" t="s">
        <v>2927</v>
      </c>
      <c r="E2435" s="173"/>
    </row>
    <row r="2436" spans="1:5">
      <c r="A2436" s="1" t="s">
        <v>3491</v>
      </c>
      <c r="B2436" s="43">
        <v>2800408</v>
      </c>
      <c r="C2436" s="168" t="s">
        <v>1593</v>
      </c>
      <c r="D2436" s="169" t="s">
        <v>2928</v>
      </c>
      <c r="E2436" s="173"/>
    </row>
    <row r="2437" spans="1:5">
      <c r="A2437" s="173"/>
      <c r="B2437" s="173"/>
      <c r="C2437" s="173"/>
      <c r="D2437" s="185"/>
      <c r="E2437" s="173"/>
    </row>
  </sheetData>
  <hyperlinks>
    <hyperlink ref="D3" r:id="rId1" xr:uid="{00000000-0004-0000-0700-000000000000}"/>
    <hyperlink ref="E3" r:id="rId2" xr:uid="{00000000-0004-0000-0700-000001000000}"/>
    <hyperlink ref="D4" r:id="rId3" xr:uid="{00000000-0004-0000-0700-000002000000}"/>
    <hyperlink ref="E4" r:id="rId4" xr:uid="{00000000-0004-0000-0700-000003000000}"/>
    <hyperlink ref="D5" r:id="rId5" xr:uid="{00000000-0004-0000-0700-000004000000}"/>
    <hyperlink ref="E5" r:id="rId6" xr:uid="{00000000-0004-0000-0700-000005000000}"/>
    <hyperlink ref="D6" r:id="rId7" xr:uid="{00000000-0004-0000-0700-000006000000}"/>
    <hyperlink ref="E6" r:id="rId8" xr:uid="{00000000-0004-0000-0700-000007000000}"/>
    <hyperlink ref="D7" r:id="rId9" xr:uid="{00000000-0004-0000-0700-000008000000}"/>
    <hyperlink ref="E7" r:id="rId10" xr:uid="{00000000-0004-0000-0700-000009000000}"/>
    <hyperlink ref="D8" r:id="rId11" xr:uid="{00000000-0004-0000-0700-00000A000000}"/>
    <hyperlink ref="D9" r:id="rId12" xr:uid="{00000000-0004-0000-0700-00000B000000}"/>
    <hyperlink ref="D10" r:id="rId13" xr:uid="{00000000-0004-0000-0700-00000C000000}"/>
    <hyperlink ref="D11" r:id="rId14" xr:uid="{00000000-0004-0000-0700-00000D000000}"/>
    <hyperlink ref="D12" r:id="rId15" xr:uid="{00000000-0004-0000-0700-00000E000000}"/>
    <hyperlink ref="D13" r:id="rId16" xr:uid="{00000000-0004-0000-0700-00000F000000}"/>
    <hyperlink ref="D14" r:id="rId17" xr:uid="{00000000-0004-0000-0700-000010000000}"/>
    <hyperlink ref="D15" r:id="rId18" xr:uid="{00000000-0004-0000-0700-000011000000}"/>
    <hyperlink ref="D16" r:id="rId19" xr:uid="{00000000-0004-0000-0700-000012000000}"/>
    <hyperlink ref="D17" r:id="rId20" xr:uid="{00000000-0004-0000-0700-000013000000}"/>
    <hyperlink ref="D18" r:id="rId21" xr:uid="{00000000-0004-0000-0700-000014000000}"/>
    <hyperlink ref="D19" r:id="rId22" xr:uid="{00000000-0004-0000-0700-000015000000}"/>
    <hyperlink ref="D20" r:id="rId23" xr:uid="{00000000-0004-0000-0700-000016000000}"/>
    <hyperlink ref="D21" r:id="rId24" xr:uid="{00000000-0004-0000-0700-000017000000}"/>
    <hyperlink ref="D22" r:id="rId25" xr:uid="{00000000-0004-0000-0700-000018000000}"/>
    <hyperlink ref="D23" r:id="rId26" xr:uid="{00000000-0004-0000-0700-000019000000}"/>
    <hyperlink ref="D24" r:id="rId27" xr:uid="{00000000-0004-0000-0700-00001A000000}"/>
    <hyperlink ref="D25" r:id="rId28" xr:uid="{00000000-0004-0000-0700-00001B000000}"/>
    <hyperlink ref="D26" r:id="rId29" xr:uid="{00000000-0004-0000-0700-00001C000000}"/>
    <hyperlink ref="D27" r:id="rId30" xr:uid="{00000000-0004-0000-0700-00001D000000}"/>
    <hyperlink ref="D28" r:id="rId31" xr:uid="{00000000-0004-0000-0700-00001E000000}"/>
    <hyperlink ref="D29" r:id="rId32" xr:uid="{00000000-0004-0000-0700-00001F000000}"/>
    <hyperlink ref="D30" r:id="rId33" xr:uid="{00000000-0004-0000-0700-000020000000}"/>
    <hyperlink ref="D31" r:id="rId34" xr:uid="{00000000-0004-0000-0700-000021000000}"/>
    <hyperlink ref="D32" r:id="rId35" xr:uid="{00000000-0004-0000-0700-000022000000}"/>
    <hyperlink ref="D33" r:id="rId36" xr:uid="{00000000-0004-0000-0700-000023000000}"/>
    <hyperlink ref="D34" r:id="rId37" xr:uid="{00000000-0004-0000-0700-000024000000}"/>
    <hyperlink ref="D35" r:id="rId38" xr:uid="{00000000-0004-0000-0700-000025000000}"/>
    <hyperlink ref="D36" r:id="rId39" xr:uid="{00000000-0004-0000-0700-000026000000}"/>
    <hyperlink ref="D37" r:id="rId40" xr:uid="{00000000-0004-0000-0700-000027000000}"/>
    <hyperlink ref="D38" r:id="rId41" xr:uid="{00000000-0004-0000-0700-000028000000}"/>
    <hyperlink ref="D39" r:id="rId42" xr:uid="{00000000-0004-0000-0700-000029000000}"/>
    <hyperlink ref="D40" r:id="rId43" xr:uid="{00000000-0004-0000-0700-00002A000000}"/>
    <hyperlink ref="D41" r:id="rId44" xr:uid="{00000000-0004-0000-0700-00002B000000}"/>
    <hyperlink ref="D42" r:id="rId45" xr:uid="{00000000-0004-0000-0700-00002C000000}"/>
    <hyperlink ref="D43" r:id="rId46" xr:uid="{00000000-0004-0000-0700-00002D000000}"/>
    <hyperlink ref="D44" r:id="rId47" xr:uid="{00000000-0004-0000-0700-00002E000000}"/>
    <hyperlink ref="D45" r:id="rId48" xr:uid="{00000000-0004-0000-0700-00002F000000}"/>
    <hyperlink ref="D46" r:id="rId49" xr:uid="{00000000-0004-0000-0700-000030000000}"/>
    <hyperlink ref="D47" r:id="rId50" xr:uid="{00000000-0004-0000-0700-000031000000}"/>
    <hyperlink ref="D48" r:id="rId51" xr:uid="{00000000-0004-0000-0700-000032000000}"/>
    <hyperlink ref="D49" r:id="rId52" xr:uid="{00000000-0004-0000-0700-000033000000}"/>
    <hyperlink ref="D50" r:id="rId53" xr:uid="{00000000-0004-0000-0700-000034000000}"/>
    <hyperlink ref="D51" r:id="rId54" xr:uid="{00000000-0004-0000-0700-000035000000}"/>
    <hyperlink ref="D52" r:id="rId55" xr:uid="{00000000-0004-0000-0700-000036000000}"/>
    <hyperlink ref="D53" r:id="rId56" xr:uid="{00000000-0004-0000-0700-000037000000}"/>
    <hyperlink ref="D54" r:id="rId57" xr:uid="{00000000-0004-0000-0700-000038000000}"/>
    <hyperlink ref="D55" r:id="rId58" xr:uid="{00000000-0004-0000-0700-000039000000}"/>
    <hyperlink ref="D56" r:id="rId59" xr:uid="{00000000-0004-0000-0700-00003A000000}"/>
    <hyperlink ref="D57" r:id="rId60" xr:uid="{00000000-0004-0000-0700-00003B000000}"/>
    <hyperlink ref="D58" r:id="rId61" xr:uid="{00000000-0004-0000-0700-00003C000000}"/>
    <hyperlink ref="D59" r:id="rId62" xr:uid="{00000000-0004-0000-0700-00003D000000}"/>
    <hyperlink ref="D60" r:id="rId63" xr:uid="{00000000-0004-0000-0700-00003E000000}"/>
    <hyperlink ref="D61" r:id="rId64" xr:uid="{00000000-0004-0000-0700-00003F000000}"/>
    <hyperlink ref="D62" r:id="rId65" xr:uid="{00000000-0004-0000-0700-000040000000}"/>
    <hyperlink ref="D63" r:id="rId66" xr:uid="{00000000-0004-0000-0700-000041000000}"/>
    <hyperlink ref="D64" r:id="rId67" xr:uid="{00000000-0004-0000-0700-000042000000}"/>
    <hyperlink ref="D65" r:id="rId68" xr:uid="{00000000-0004-0000-0700-000043000000}"/>
    <hyperlink ref="D66" r:id="rId69" xr:uid="{00000000-0004-0000-0700-000044000000}"/>
    <hyperlink ref="D67" r:id="rId70" xr:uid="{00000000-0004-0000-0700-000045000000}"/>
    <hyperlink ref="D68" r:id="rId71" xr:uid="{00000000-0004-0000-0700-000046000000}"/>
    <hyperlink ref="D69" r:id="rId72" xr:uid="{00000000-0004-0000-0700-000047000000}"/>
    <hyperlink ref="D70" r:id="rId73" xr:uid="{00000000-0004-0000-0700-000048000000}"/>
    <hyperlink ref="D71" r:id="rId74" xr:uid="{00000000-0004-0000-0700-000049000000}"/>
    <hyperlink ref="D72" r:id="rId75" xr:uid="{00000000-0004-0000-0700-00004A000000}"/>
    <hyperlink ref="D73" r:id="rId76" xr:uid="{00000000-0004-0000-0700-00004B000000}"/>
    <hyperlink ref="D74" r:id="rId77" xr:uid="{00000000-0004-0000-0700-00004C000000}"/>
    <hyperlink ref="D75" r:id="rId78" xr:uid="{00000000-0004-0000-0700-00004D000000}"/>
    <hyperlink ref="D76" r:id="rId79" xr:uid="{00000000-0004-0000-0700-00004E000000}"/>
    <hyperlink ref="D77" r:id="rId80" xr:uid="{00000000-0004-0000-0700-00004F000000}"/>
    <hyperlink ref="D78" r:id="rId81" xr:uid="{00000000-0004-0000-0700-000050000000}"/>
    <hyperlink ref="D79" r:id="rId82" xr:uid="{00000000-0004-0000-0700-000051000000}"/>
    <hyperlink ref="D80" r:id="rId83" xr:uid="{00000000-0004-0000-0700-000052000000}"/>
    <hyperlink ref="D81" r:id="rId84" xr:uid="{00000000-0004-0000-0700-000053000000}"/>
    <hyperlink ref="D82" r:id="rId85" xr:uid="{00000000-0004-0000-0700-000054000000}"/>
    <hyperlink ref="D83" r:id="rId86" xr:uid="{00000000-0004-0000-0700-000055000000}"/>
    <hyperlink ref="D84" r:id="rId87" xr:uid="{00000000-0004-0000-0700-000056000000}"/>
    <hyperlink ref="D85" r:id="rId88" xr:uid="{00000000-0004-0000-0700-000057000000}"/>
    <hyperlink ref="D86" r:id="rId89" xr:uid="{00000000-0004-0000-0700-000058000000}"/>
    <hyperlink ref="D87" r:id="rId90" xr:uid="{00000000-0004-0000-0700-000059000000}"/>
    <hyperlink ref="D88" r:id="rId91" xr:uid="{00000000-0004-0000-0700-00005A000000}"/>
    <hyperlink ref="D89" r:id="rId92" xr:uid="{00000000-0004-0000-0700-00005B000000}"/>
    <hyperlink ref="D90" r:id="rId93" xr:uid="{00000000-0004-0000-0700-00005C000000}"/>
    <hyperlink ref="D91" r:id="rId94" xr:uid="{00000000-0004-0000-0700-00005D000000}"/>
    <hyperlink ref="D92" r:id="rId95" xr:uid="{00000000-0004-0000-0700-00005E000000}"/>
    <hyperlink ref="D93" r:id="rId96" xr:uid="{00000000-0004-0000-0700-00005F000000}"/>
    <hyperlink ref="D94" r:id="rId97" xr:uid="{00000000-0004-0000-0700-000060000000}"/>
    <hyperlink ref="D95" r:id="rId98" xr:uid="{00000000-0004-0000-0700-000061000000}"/>
    <hyperlink ref="D96" r:id="rId99" xr:uid="{00000000-0004-0000-0700-000062000000}"/>
    <hyperlink ref="E96" r:id="rId100" xr:uid="{00000000-0004-0000-0700-000063000000}"/>
    <hyperlink ref="D97" r:id="rId101" xr:uid="{00000000-0004-0000-0700-000064000000}"/>
    <hyperlink ref="E97" r:id="rId102" xr:uid="{00000000-0004-0000-0700-000065000000}"/>
    <hyperlink ref="D98" r:id="rId103" xr:uid="{00000000-0004-0000-0700-000066000000}"/>
    <hyperlink ref="E98" r:id="rId104" xr:uid="{00000000-0004-0000-0700-000067000000}"/>
    <hyperlink ref="D99" r:id="rId105" xr:uid="{00000000-0004-0000-0700-000068000000}"/>
    <hyperlink ref="E99" r:id="rId106" xr:uid="{00000000-0004-0000-0700-000069000000}"/>
    <hyperlink ref="D100" r:id="rId107" xr:uid="{00000000-0004-0000-0700-00006A000000}"/>
    <hyperlink ref="D101" r:id="rId108" xr:uid="{00000000-0004-0000-0700-00006B000000}"/>
    <hyperlink ref="D102" r:id="rId109" xr:uid="{00000000-0004-0000-0700-00006C000000}"/>
    <hyperlink ref="D103" r:id="rId110" xr:uid="{00000000-0004-0000-0700-00006D000000}"/>
    <hyperlink ref="D104" r:id="rId111" xr:uid="{00000000-0004-0000-0700-00006E000000}"/>
    <hyperlink ref="D105" r:id="rId112" xr:uid="{00000000-0004-0000-0700-00006F000000}"/>
    <hyperlink ref="D106" r:id="rId113" xr:uid="{00000000-0004-0000-0700-000070000000}"/>
    <hyperlink ref="D107" r:id="rId114" xr:uid="{00000000-0004-0000-0700-000071000000}"/>
    <hyperlink ref="D108" r:id="rId115" xr:uid="{00000000-0004-0000-0700-000072000000}"/>
    <hyperlink ref="D109" r:id="rId116" xr:uid="{00000000-0004-0000-0700-000073000000}"/>
    <hyperlink ref="D110" r:id="rId117" xr:uid="{00000000-0004-0000-0700-000074000000}"/>
    <hyperlink ref="D111" r:id="rId118" xr:uid="{00000000-0004-0000-0700-000075000000}"/>
    <hyperlink ref="D112" r:id="rId119" xr:uid="{00000000-0004-0000-0700-000076000000}"/>
    <hyperlink ref="D113" r:id="rId120" xr:uid="{00000000-0004-0000-0700-000077000000}"/>
    <hyperlink ref="D114" r:id="rId121" xr:uid="{00000000-0004-0000-0700-000078000000}"/>
    <hyperlink ref="D115" r:id="rId122" xr:uid="{00000000-0004-0000-0700-000079000000}"/>
    <hyperlink ref="D116" r:id="rId123" xr:uid="{00000000-0004-0000-0700-00007A000000}"/>
    <hyperlink ref="D117" r:id="rId124" xr:uid="{00000000-0004-0000-0700-00007B000000}"/>
    <hyperlink ref="D118" r:id="rId125" xr:uid="{00000000-0004-0000-0700-00007C000000}"/>
    <hyperlink ref="D119" r:id="rId126" xr:uid="{00000000-0004-0000-0700-00007D000000}"/>
    <hyperlink ref="D120" r:id="rId127" xr:uid="{00000000-0004-0000-0700-00007E000000}"/>
    <hyperlink ref="D121" r:id="rId128" xr:uid="{00000000-0004-0000-0700-00007F000000}"/>
    <hyperlink ref="D122" r:id="rId129" xr:uid="{00000000-0004-0000-0700-000080000000}"/>
    <hyperlink ref="D123" r:id="rId130" xr:uid="{00000000-0004-0000-0700-000081000000}"/>
    <hyperlink ref="D124" r:id="rId131" xr:uid="{00000000-0004-0000-0700-000082000000}"/>
    <hyperlink ref="D125" r:id="rId132" xr:uid="{00000000-0004-0000-0700-000083000000}"/>
    <hyperlink ref="D126" r:id="rId133" xr:uid="{00000000-0004-0000-0700-000084000000}"/>
    <hyperlink ref="D127" r:id="rId134" xr:uid="{00000000-0004-0000-0700-000085000000}"/>
    <hyperlink ref="D128" r:id="rId135" xr:uid="{00000000-0004-0000-0700-000086000000}"/>
    <hyperlink ref="D129" r:id="rId136" xr:uid="{00000000-0004-0000-0700-000087000000}"/>
    <hyperlink ref="D130" r:id="rId137" xr:uid="{00000000-0004-0000-0700-000088000000}"/>
    <hyperlink ref="D131" r:id="rId138" xr:uid="{00000000-0004-0000-0700-000089000000}"/>
    <hyperlink ref="D132" r:id="rId139" xr:uid="{00000000-0004-0000-0700-00008A000000}"/>
    <hyperlink ref="D133" r:id="rId140" xr:uid="{00000000-0004-0000-0700-00008B000000}"/>
    <hyperlink ref="D134" r:id="rId141" xr:uid="{00000000-0004-0000-0700-00008C000000}"/>
    <hyperlink ref="D135" r:id="rId142" xr:uid="{00000000-0004-0000-0700-00008D000000}"/>
    <hyperlink ref="D136" r:id="rId143" xr:uid="{00000000-0004-0000-0700-00008E000000}"/>
    <hyperlink ref="D137" r:id="rId144" xr:uid="{00000000-0004-0000-0700-00008F000000}"/>
    <hyperlink ref="D138" r:id="rId145" xr:uid="{00000000-0004-0000-0700-000090000000}"/>
    <hyperlink ref="D139" r:id="rId146" xr:uid="{00000000-0004-0000-0700-000091000000}"/>
    <hyperlink ref="D140" r:id="rId147" xr:uid="{00000000-0004-0000-0700-000092000000}"/>
    <hyperlink ref="D141" r:id="rId148" xr:uid="{00000000-0004-0000-0700-000093000000}"/>
    <hyperlink ref="D142" r:id="rId149" xr:uid="{00000000-0004-0000-0700-000094000000}"/>
    <hyperlink ref="D143" r:id="rId150" xr:uid="{00000000-0004-0000-0700-000095000000}"/>
    <hyperlink ref="D144" r:id="rId151" xr:uid="{00000000-0004-0000-0700-000096000000}"/>
    <hyperlink ref="D145" r:id="rId152" xr:uid="{00000000-0004-0000-0700-000097000000}"/>
    <hyperlink ref="D146" r:id="rId153" xr:uid="{00000000-0004-0000-0700-000098000000}"/>
    <hyperlink ref="D147" r:id="rId154" xr:uid="{00000000-0004-0000-0700-000099000000}"/>
    <hyperlink ref="D148" r:id="rId155" xr:uid="{00000000-0004-0000-0700-00009A000000}"/>
    <hyperlink ref="D149" r:id="rId156" xr:uid="{00000000-0004-0000-0700-00009B000000}"/>
    <hyperlink ref="D150" r:id="rId157" xr:uid="{00000000-0004-0000-0700-00009C000000}"/>
    <hyperlink ref="D151" r:id="rId158" xr:uid="{00000000-0004-0000-0700-00009D000000}"/>
    <hyperlink ref="D152" r:id="rId159" xr:uid="{00000000-0004-0000-0700-00009E000000}"/>
    <hyperlink ref="D153" r:id="rId160" xr:uid="{00000000-0004-0000-0700-00009F000000}"/>
    <hyperlink ref="D154" r:id="rId161" xr:uid="{00000000-0004-0000-0700-0000A0000000}"/>
    <hyperlink ref="D155" r:id="rId162" xr:uid="{00000000-0004-0000-0700-0000A1000000}"/>
    <hyperlink ref="D156" r:id="rId163" xr:uid="{00000000-0004-0000-0700-0000A2000000}"/>
    <hyperlink ref="D157" r:id="rId164" xr:uid="{00000000-0004-0000-0700-0000A3000000}"/>
    <hyperlink ref="D158" r:id="rId165" xr:uid="{00000000-0004-0000-0700-0000A4000000}"/>
    <hyperlink ref="D159" r:id="rId166" xr:uid="{00000000-0004-0000-0700-0000A5000000}"/>
    <hyperlink ref="D160" r:id="rId167" xr:uid="{00000000-0004-0000-0700-0000A6000000}"/>
    <hyperlink ref="D161" r:id="rId168" xr:uid="{00000000-0004-0000-0700-0000A7000000}"/>
    <hyperlink ref="D162" r:id="rId169" xr:uid="{00000000-0004-0000-0700-0000A8000000}"/>
    <hyperlink ref="E162" r:id="rId170" xr:uid="{00000000-0004-0000-0700-0000A9000000}"/>
    <hyperlink ref="D163" r:id="rId171" xr:uid="{00000000-0004-0000-0700-0000AA000000}"/>
    <hyperlink ref="E163" r:id="rId172" xr:uid="{00000000-0004-0000-0700-0000AB000000}"/>
    <hyperlink ref="D164" r:id="rId173" xr:uid="{00000000-0004-0000-0700-0000AC000000}"/>
    <hyperlink ref="E164" r:id="rId174" xr:uid="{00000000-0004-0000-0700-0000AD000000}"/>
    <hyperlink ref="D165" r:id="rId175" xr:uid="{00000000-0004-0000-0700-0000AE000000}"/>
    <hyperlink ref="E165" r:id="rId176" xr:uid="{00000000-0004-0000-0700-0000AF000000}"/>
    <hyperlink ref="D166" r:id="rId177" xr:uid="{00000000-0004-0000-0700-0000B0000000}"/>
    <hyperlink ref="E166" r:id="rId178" xr:uid="{00000000-0004-0000-0700-0000B1000000}"/>
    <hyperlink ref="D167" r:id="rId179" xr:uid="{00000000-0004-0000-0700-0000B2000000}"/>
    <hyperlink ref="E167" r:id="rId180" xr:uid="{00000000-0004-0000-0700-0000B3000000}"/>
    <hyperlink ref="D168" r:id="rId181" xr:uid="{00000000-0004-0000-0700-0000B4000000}"/>
    <hyperlink ref="D169" r:id="rId182" xr:uid="{00000000-0004-0000-0700-0000B5000000}"/>
    <hyperlink ref="D170" r:id="rId183" xr:uid="{00000000-0004-0000-0700-0000B6000000}"/>
    <hyperlink ref="D171" r:id="rId184" xr:uid="{00000000-0004-0000-0700-0000B7000000}"/>
    <hyperlink ref="D172" r:id="rId185" xr:uid="{00000000-0004-0000-0700-0000B8000000}"/>
    <hyperlink ref="D173" r:id="rId186" xr:uid="{00000000-0004-0000-0700-0000B9000000}"/>
    <hyperlink ref="D174" r:id="rId187" xr:uid="{00000000-0004-0000-0700-0000BA000000}"/>
    <hyperlink ref="D175" r:id="rId188" xr:uid="{00000000-0004-0000-0700-0000BB000000}"/>
    <hyperlink ref="D176" r:id="rId189" xr:uid="{00000000-0004-0000-0700-0000BC000000}"/>
    <hyperlink ref="D177" r:id="rId190" xr:uid="{00000000-0004-0000-0700-0000BD000000}"/>
    <hyperlink ref="D178" r:id="rId191" xr:uid="{00000000-0004-0000-0700-0000BE000000}"/>
    <hyperlink ref="D179" r:id="rId192" xr:uid="{00000000-0004-0000-0700-0000BF000000}"/>
    <hyperlink ref="D180" r:id="rId193" xr:uid="{00000000-0004-0000-0700-0000C0000000}"/>
    <hyperlink ref="D181" r:id="rId194" xr:uid="{00000000-0004-0000-0700-0000C1000000}"/>
    <hyperlink ref="D182" r:id="rId195" xr:uid="{00000000-0004-0000-0700-0000C2000000}"/>
    <hyperlink ref="D183" r:id="rId196" xr:uid="{00000000-0004-0000-0700-0000C3000000}"/>
    <hyperlink ref="D184" r:id="rId197" xr:uid="{00000000-0004-0000-0700-0000C4000000}"/>
    <hyperlink ref="D185" r:id="rId198" xr:uid="{00000000-0004-0000-0700-0000C5000000}"/>
    <hyperlink ref="D186" r:id="rId199" xr:uid="{00000000-0004-0000-0700-0000C6000000}"/>
    <hyperlink ref="D187" r:id="rId200" xr:uid="{00000000-0004-0000-0700-0000C7000000}"/>
    <hyperlink ref="D188" r:id="rId201" xr:uid="{00000000-0004-0000-0700-0000C8000000}"/>
    <hyperlink ref="D189" r:id="rId202" xr:uid="{00000000-0004-0000-0700-0000C9000000}"/>
    <hyperlink ref="D190" r:id="rId203" xr:uid="{00000000-0004-0000-0700-0000CA000000}"/>
    <hyperlink ref="D191" r:id="rId204" xr:uid="{00000000-0004-0000-0700-0000CB000000}"/>
    <hyperlink ref="D192" r:id="rId205" xr:uid="{00000000-0004-0000-0700-0000CC000000}"/>
    <hyperlink ref="D193" r:id="rId206" xr:uid="{00000000-0004-0000-0700-0000CD000000}"/>
    <hyperlink ref="D194" r:id="rId207" xr:uid="{00000000-0004-0000-0700-0000CE000000}"/>
    <hyperlink ref="D195" r:id="rId208" xr:uid="{00000000-0004-0000-0700-0000CF000000}"/>
    <hyperlink ref="D196" r:id="rId209" xr:uid="{00000000-0004-0000-0700-0000D0000000}"/>
    <hyperlink ref="D197" r:id="rId210" xr:uid="{00000000-0004-0000-0700-0000D1000000}"/>
    <hyperlink ref="D198" r:id="rId211" xr:uid="{00000000-0004-0000-0700-0000D2000000}"/>
    <hyperlink ref="D199" r:id="rId212" xr:uid="{00000000-0004-0000-0700-0000D3000000}"/>
    <hyperlink ref="D200" r:id="rId213" xr:uid="{00000000-0004-0000-0700-0000D4000000}"/>
    <hyperlink ref="D201" r:id="rId214" xr:uid="{00000000-0004-0000-0700-0000D5000000}"/>
    <hyperlink ref="D202" r:id="rId215" xr:uid="{00000000-0004-0000-0700-0000D6000000}"/>
    <hyperlink ref="D203" r:id="rId216" xr:uid="{00000000-0004-0000-0700-0000D7000000}"/>
    <hyperlink ref="D204" r:id="rId217" xr:uid="{00000000-0004-0000-0700-0000D8000000}"/>
    <hyperlink ref="D205" r:id="rId218" xr:uid="{00000000-0004-0000-0700-0000D9000000}"/>
    <hyperlink ref="D206" r:id="rId219" xr:uid="{00000000-0004-0000-0700-0000DA000000}"/>
    <hyperlink ref="D207" r:id="rId220" xr:uid="{00000000-0004-0000-0700-0000DB000000}"/>
    <hyperlink ref="D208" r:id="rId221" xr:uid="{00000000-0004-0000-0700-0000DC000000}"/>
    <hyperlink ref="D209" r:id="rId222" xr:uid="{00000000-0004-0000-0700-0000DD000000}"/>
    <hyperlink ref="D210" r:id="rId223" xr:uid="{00000000-0004-0000-0700-0000DE000000}"/>
    <hyperlink ref="D211" r:id="rId224" xr:uid="{00000000-0004-0000-0700-0000DF000000}"/>
    <hyperlink ref="D212" r:id="rId225" xr:uid="{00000000-0004-0000-0700-0000E0000000}"/>
    <hyperlink ref="D213" r:id="rId226" xr:uid="{00000000-0004-0000-0700-0000E1000000}"/>
    <hyperlink ref="D214" r:id="rId227" xr:uid="{00000000-0004-0000-0700-0000E2000000}"/>
    <hyperlink ref="D215" r:id="rId228" xr:uid="{00000000-0004-0000-0700-0000E3000000}"/>
    <hyperlink ref="D216" r:id="rId229" xr:uid="{00000000-0004-0000-0700-0000E4000000}"/>
    <hyperlink ref="D217" r:id="rId230" xr:uid="{00000000-0004-0000-0700-0000E5000000}"/>
    <hyperlink ref="D218" r:id="rId231" xr:uid="{00000000-0004-0000-0700-0000E6000000}"/>
    <hyperlink ref="D219" r:id="rId232" xr:uid="{00000000-0004-0000-0700-0000E7000000}"/>
    <hyperlink ref="D220" r:id="rId233" xr:uid="{00000000-0004-0000-0700-0000E8000000}"/>
    <hyperlink ref="D221" r:id="rId234" xr:uid="{00000000-0004-0000-0700-0000E9000000}"/>
    <hyperlink ref="D222" r:id="rId235" xr:uid="{00000000-0004-0000-0700-0000EA000000}"/>
    <hyperlink ref="D223" r:id="rId236" xr:uid="{00000000-0004-0000-0700-0000EB000000}"/>
    <hyperlink ref="D224" r:id="rId237" xr:uid="{00000000-0004-0000-0700-0000EC000000}"/>
    <hyperlink ref="D225" r:id="rId238" xr:uid="{00000000-0004-0000-0700-0000ED000000}"/>
    <hyperlink ref="D226" r:id="rId239" xr:uid="{00000000-0004-0000-0700-0000EE000000}"/>
    <hyperlink ref="D227" r:id="rId240" xr:uid="{00000000-0004-0000-0700-0000EF000000}"/>
    <hyperlink ref="D228" r:id="rId241" xr:uid="{00000000-0004-0000-0700-0000F0000000}"/>
    <hyperlink ref="D229" r:id="rId242" xr:uid="{00000000-0004-0000-0700-0000F1000000}"/>
    <hyperlink ref="D230" r:id="rId243" xr:uid="{00000000-0004-0000-0700-0000F2000000}"/>
    <hyperlink ref="D231" r:id="rId244" xr:uid="{00000000-0004-0000-0700-0000F3000000}"/>
    <hyperlink ref="D232" r:id="rId245" xr:uid="{00000000-0004-0000-0700-0000F4000000}"/>
    <hyperlink ref="D233" r:id="rId246" xr:uid="{00000000-0004-0000-0700-0000F5000000}"/>
    <hyperlink ref="D234" r:id="rId247" xr:uid="{00000000-0004-0000-0700-0000F6000000}"/>
    <hyperlink ref="D235" r:id="rId248" xr:uid="{00000000-0004-0000-0700-0000F7000000}"/>
    <hyperlink ref="E235" r:id="rId249" xr:uid="{00000000-0004-0000-0700-0000F8000000}"/>
    <hyperlink ref="D236" r:id="rId250" xr:uid="{00000000-0004-0000-0700-0000F9000000}"/>
    <hyperlink ref="E236" r:id="rId251" xr:uid="{00000000-0004-0000-0700-0000FA000000}"/>
    <hyperlink ref="D237" r:id="rId252" xr:uid="{00000000-0004-0000-0700-0000FB000000}"/>
    <hyperlink ref="E237" r:id="rId253" xr:uid="{00000000-0004-0000-0700-0000FC000000}"/>
    <hyperlink ref="D238" r:id="rId254" xr:uid="{00000000-0004-0000-0700-0000FD000000}"/>
    <hyperlink ref="E238" r:id="rId255" xr:uid="{00000000-0004-0000-0700-0000FE000000}"/>
    <hyperlink ref="D239" r:id="rId256" xr:uid="{00000000-0004-0000-0700-0000FF000000}"/>
    <hyperlink ref="E239" r:id="rId257" xr:uid="{00000000-0004-0000-0700-000000010000}"/>
    <hyperlink ref="D240" r:id="rId258" xr:uid="{00000000-0004-0000-0700-000001010000}"/>
    <hyperlink ref="E240" r:id="rId259" xr:uid="{00000000-0004-0000-0700-000002010000}"/>
    <hyperlink ref="D241" r:id="rId260" xr:uid="{00000000-0004-0000-0700-000003010000}"/>
    <hyperlink ref="D242" r:id="rId261" xr:uid="{00000000-0004-0000-0700-000004010000}"/>
    <hyperlink ref="D243" r:id="rId262" xr:uid="{00000000-0004-0000-0700-000005010000}"/>
    <hyperlink ref="D244" r:id="rId263" xr:uid="{00000000-0004-0000-0700-000006010000}"/>
    <hyperlink ref="D245" r:id="rId264" xr:uid="{00000000-0004-0000-0700-000007010000}"/>
    <hyperlink ref="D246" r:id="rId265" xr:uid="{00000000-0004-0000-0700-000008010000}"/>
    <hyperlink ref="D247" r:id="rId266" xr:uid="{00000000-0004-0000-0700-000009010000}"/>
    <hyperlink ref="D248" r:id="rId267" xr:uid="{00000000-0004-0000-0700-00000A010000}"/>
    <hyperlink ref="D249" r:id="rId268" xr:uid="{00000000-0004-0000-0700-00000B010000}"/>
    <hyperlink ref="D250" r:id="rId269" xr:uid="{00000000-0004-0000-0700-00000C010000}"/>
    <hyperlink ref="D251" r:id="rId270" xr:uid="{00000000-0004-0000-0700-00000D010000}"/>
    <hyperlink ref="D252" r:id="rId271" xr:uid="{00000000-0004-0000-0700-00000E010000}"/>
    <hyperlink ref="D253" r:id="rId272" xr:uid="{00000000-0004-0000-0700-00000F010000}"/>
    <hyperlink ref="D254" r:id="rId273" xr:uid="{00000000-0004-0000-0700-000010010000}"/>
    <hyperlink ref="D255" r:id="rId274" xr:uid="{00000000-0004-0000-0700-000011010000}"/>
    <hyperlink ref="D256" r:id="rId275" xr:uid="{00000000-0004-0000-0700-000012010000}"/>
    <hyperlink ref="D257" r:id="rId276" xr:uid="{00000000-0004-0000-0700-000013010000}"/>
    <hyperlink ref="D258" r:id="rId277" xr:uid="{00000000-0004-0000-0700-000014010000}"/>
    <hyperlink ref="D259" r:id="rId278" xr:uid="{00000000-0004-0000-0700-000015010000}"/>
    <hyperlink ref="D260" r:id="rId279" xr:uid="{00000000-0004-0000-0700-000016010000}"/>
    <hyperlink ref="D261" r:id="rId280" xr:uid="{00000000-0004-0000-0700-000017010000}"/>
    <hyperlink ref="D262" r:id="rId281" xr:uid="{00000000-0004-0000-0700-000018010000}"/>
    <hyperlink ref="D263" r:id="rId282" xr:uid="{00000000-0004-0000-0700-000019010000}"/>
    <hyperlink ref="D264" r:id="rId283" xr:uid="{00000000-0004-0000-0700-00001A010000}"/>
    <hyperlink ref="D265" r:id="rId284" xr:uid="{00000000-0004-0000-0700-00001B010000}"/>
    <hyperlink ref="D266" r:id="rId285" xr:uid="{00000000-0004-0000-0700-00001C010000}"/>
    <hyperlink ref="D267" r:id="rId286" xr:uid="{00000000-0004-0000-0700-00001D010000}"/>
    <hyperlink ref="D268" r:id="rId287" xr:uid="{00000000-0004-0000-0700-00001E010000}"/>
    <hyperlink ref="D269" r:id="rId288" xr:uid="{00000000-0004-0000-0700-00001F010000}"/>
    <hyperlink ref="D270" r:id="rId289" xr:uid="{00000000-0004-0000-0700-000020010000}"/>
    <hyperlink ref="D271" r:id="rId290" xr:uid="{00000000-0004-0000-0700-000021010000}"/>
    <hyperlink ref="D272" r:id="rId291" xr:uid="{00000000-0004-0000-0700-000022010000}"/>
    <hyperlink ref="D273" r:id="rId292" xr:uid="{00000000-0004-0000-0700-000023010000}"/>
    <hyperlink ref="D274" r:id="rId293" xr:uid="{00000000-0004-0000-0700-000024010000}"/>
    <hyperlink ref="D275" r:id="rId294" xr:uid="{00000000-0004-0000-0700-000025010000}"/>
    <hyperlink ref="D276" r:id="rId295" xr:uid="{00000000-0004-0000-0700-000026010000}"/>
    <hyperlink ref="D277" r:id="rId296" xr:uid="{00000000-0004-0000-0700-000027010000}"/>
    <hyperlink ref="D278" r:id="rId297" xr:uid="{00000000-0004-0000-0700-000028010000}"/>
    <hyperlink ref="D279" r:id="rId298" xr:uid="{00000000-0004-0000-0700-000029010000}"/>
    <hyperlink ref="D280" r:id="rId299" xr:uid="{00000000-0004-0000-0700-00002A010000}"/>
    <hyperlink ref="D281" r:id="rId300" xr:uid="{00000000-0004-0000-0700-00002B010000}"/>
    <hyperlink ref="D282" r:id="rId301" xr:uid="{00000000-0004-0000-0700-00002C010000}"/>
    <hyperlink ref="D283" r:id="rId302" xr:uid="{00000000-0004-0000-0700-00002D010000}"/>
    <hyperlink ref="D284" r:id="rId303" xr:uid="{00000000-0004-0000-0700-00002E010000}"/>
    <hyperlink ref="D285" r:id="rId304" xr:uid="{00000000-0004-0000-0700-00002F010000}"/>
    <hyperlink ref="D286" r:id="rId305" xr:uid="{00000000-0004-0000-0700-000030010000}"/>
    <hyperlink ref="D287" r:id="rId306" xr:uid="{00000000-0004-0000-0700-000031010000}"/>
    <hyperlink ref="D288" r:id="rId307" xr:uid="{00000000-0004-0000-0700-000032010000}"/>
    <hyperlink ref="D289" r:id="rId308" xr:uid="{00000000-0004-0000-0700-000033010000}"/>
    <hyperlink ref="D290" r:id="rId309" xr:uid="{00000000-0004-0000-0700-000034010000}"/>
    <hyperlink ref="D291" r:id="rId310" xr:uid="{00000000-0004-0000-0700-000035010000}"/>
    <hyperlink ref="D292" r:id="rId311" xr:uid="{00000000-0004-0000-0700-000036010000}"/>
    <hyperlink ref="D293" r:id="rId312" xr:uid="{00000000-0004-0000-0700-000037010000}"/>
    <hyperlink ref="D294" r:id="rId313" xr:uid="{00000000-0004-0000-0700-000038010000}"/>
    <hyperlink ref="D295" r:id="rId314" xr:uid="{00000000-0004-0000-0700-000039010000}"/>
    <hyperlink ref="D296" r:id="rId315" xr:uid="{00000000-0004-0000-0700-00003A010000}"/>
    <hyperlink ref="D297" r:id="rId316" xr:uid="{00000000-0004-0000-0700-00003B010000}"/>
    <hyperlink ref="D298" r:id="rId317" xr:uid="{00000000-0004-0000-0700-00003C010000}"/>
    <hyperlink ref="D299" r:id="rId318" xr:uid="{00000000-0004-0000-0700-00003D010000}"/>
    <hyperlink ref="D300" r:id="rId319" xr:uid="{00000000-0004-0000-0700-00003E010000}"/>
    <hyperlink ref="D301" r:id="rId320" xr:uid="{00000000-0004-0000-0700-00003F010000}"/>
    <hyperlink ref="D302" r:id="rId321" xr:uid="{00000000-0004-0000-0700-000040010000}"/>
    <hyperlink ref="D303" r:id="rId322" xr:uid="{00000000-0004-0000-0700-000041010000}"/>
    <hyperlink ref="D304" r:id="rId323" xr:uid="{00000000-0004-0000-0700-000042010000}"/>
    <hyperlink ref="D305" r:id="rId324" xr:uid="{00000000-0004-0000-0700-000043010000}"/>
    <hyperlink ref="D306" r:id="rId325" xr:uid="{00000000-0004-0000-0700-000044010000}"/>
    <hyperlink ref="D307" r:id="rId326" xr:uid="{00000000-0004-0000-0700-000045010000}"/>
    <hyperlink ref="E307" r:id="rId327" xr:uid="{00000000-0004-0000-0700-000046010000}"/>
    <hyperlink ref="D308" r:id="rId328" xr:uid="{00000000-0004-0000-0700-000047010000}"/>
    <hyperlink ref="E308" r:id="rId329" xr:uid="{00000000-0004-0000-0700-000048010000}"/>
    <hyperlink ref="D309" r:id="rId330" xr:uid="{00000000-0004-0000-0700-000049010000}"/>
    <hyperlink ref="E309" r:id="rId331" xr:uid="{00000000-0004-0000-0700-00004A010000}"/>
    <hyperlink ref="D310" r:id="rId332" xr:uid="{00000000-0004-0000-0700-00004B010000}"/>
    <hyperlink ref="E310" r:id="rId333" xr:uid="{00000000-0004-0000-0700-00004C010000}"/>
    <hyperlink ref="D311" r:id="rId334" xr:uid="{00000000-0004-0000-0700-00004D010000}"/>
    <hyperlink ref="E311" r:id="rId335" xr:uid="{00000000-0004-0000-0700-00004E010000}"/>
    <hyperlink ref="D312" r:id="rId336" xr:uid="{00000000-0004-0000-0700-00004F010000}"/>
    <hyperlink ref="E312" r:id="rId337" xr:uid="{00000000-0004-0000-0700-000050010000}"/>
    <hyperlink ref="D313" r:id="rId338" xr:uid="{00000000-0004-0000-0700-000051010000}"/>
    <hyperlink ref="E313" r:id="rId339" xr:uid="{00000000-0004-0000-0700-000052010000}"/>
    <hyperlink ref="D314" r:id="rId340" xr:uid="{00000000-0004-0000-0700-000053010000}"/>
    <hyperlink ref="E314" r:id="rId341" xr:uid="{00000000-0004-0000-0700-000054010000}"/>
    <hyperlink ref="D315" r:id="rId342" xr:uid="{00000000-0004-0000-0700-000055010000}"/>
    <hyperlink ref="E315" r:id="rId343" xr:uid="{00000000-0004-0000-0700-000056010000}"/>
    <hyperlink ref="D316" r:id="rId344" xr:uid="{00000000-0004-0000-0700-000057010000}"/>
    <hyperlink ref="E316" r:id="rId345" xr:uid="{00000000-0004-0000-0700-000058010000}"/>
    <hyperlink ref="D317" r:id="rId346" xr:uid="{00000000-0004-0000-0700-000059010000}"/>
    <hyperlink ref="E317" r:id="rId347" xr:uid="{00000000-0004-0000-0700-00005A010000}"/>
    <hyperlink ref="D318" r:id="rId348" xr:uid="{00000000-0004-0000-0700-00005B010000}"/>
    <hyperlink ref="E318" r:id="rId349" xr:uid="{00000000-0004-0000-0700-00005C010000}"/>
    <hyperlink ref="D319" r:id="rId350" xr:uid="{00000000-0004-0000-0700-00005D010000}"/>
    <hyperlink ref="E319" r:id="rId351" xr:uid="{00000000-0004-0000-0700-00005E010000}"/>
    <hyperlink ref="D320" r:id="rId352" xr:uid="{00000000-0004-0000-0700-00005F010000}"/>
    <hyperlink ref="D321" r:id="rId353" xr:uid="{00000000-0004-0000-0700-000060010000}"/>
    <hyperlink ref="D322" r:id="rId354" xr:uid="{00000000-0004-0000-0700-000061010000}"/>
    <hyperlink ref="D323" r:id="rId355" xr:uid="{00000000-0004-0000-0700-000062010000}"/>
    <hyperlink ref="D324" r:id="rId356" xr:uid="{00000000-0004-0000-0700-000063010000}"/>
    <hyperlink ref="D325" r:id="rId357" xr:uid="{00000000-0004-0000-0700-000064010000}"/>
    <hyperlink ref="D326" r:id="rId358" xr:uid="{00000000-0004-0000-0700-000065010000}"/>
    <hyperlink ref="D327" r:id="rId359" xr:uid="{00000000-0004-0000-0700-000066010000}"/>
    <hyperlink ref="D328" r:id="rId360" xr:uid="{00000000-0004-0000-0700-000067010000}"/>
    <hyperlink ref="D329" r:id="rId361" xr:uid="{00000000-0004-0000-0700-000068010000}"/>
    <hyperlink ref="D330" r:id="rId362" xr:uid="{00000000-0004-0000-0700-000069010000}"/>
    <hyperlink ref="D331" r:id="rId363" xr:uid="{00000000-0004-0000-0700-00006A010000}"/>
    <hyperlink ref="D332" r:id="rId364" xr:uid="{00000000-0004-0000-0700-00006B010000}"/>
    <hyperlink ref="D333" r:id="rId365" xr:uid="{00000000-0004-0000-0700-00006C010000}"/>
    <hyperlink ref="D334" r:id="rId366" xr:uid="{00000000-0004-0000-0700-00006D010000}"/>
    <hyperlink ref="D335" r:id="rId367" xr:uid="{00000000-0004-0000-0700-00006E010000}"/>
    <hyperlink ref="D336" r:id="rId368" xr:uid="{00000000-0004-0000-0700-00006F010000}"/>
    <hyperlink ref="D337" r:id="rId369" xr:uid="{00000000-0004-0000-0700-000070010000}"/>
    <hyperlink ref="D338" r:id="rId370" xr:uid="{00000000-0004-0000-0700-000071010000}"/>
    <hyperlink ref="D339" r:id="rId371" xr:uid="{00000000-0004-0000-0700-000072010000}"/>
    <hyperlink ref="D340" r:id="rId372" xr:uid="{00000000-0004-0000-0700-000073010000}"/>
    <hyperlink ref="D341" r:id="rId373" xr:uid="{00000000-0004-0000-0700-000074010000}"/>
    <hyperlink ref="D342" r:id="rId374" xr:uid="{00000000-0004-0000-0700-000075010000}"/>
    <hyperlink ref="D343" r:id="rId375" xr:uid="{00000000-0004-0000-0700-000076010000}"/>
    <hyperlink ref="D344" r:id="rId376" xr:uid="{00000000-0004-0000-0700-000077010000}"/>
    <hyperlink ref="D345" r:id="rId377" xr:uid="{00000000-0004-0000-0700-000078010000}"/>
    <hyperlink ref="D346" r:id="rId378" xr:uid="{00000000-0004-0000-0700-000079010000}"/>
    <hyperlink ref="D347" r:id="rId379" xr:uid="{00000000-0004-0000-0700-00007A010000}"/>
    <hyperlink ref="D348" r:id="rId380" xr:uid="{00000000-0004-0000-0700-00007B010000}"/>
    <hyperlink ref="D349" r:id="rId381" xr:uid="{00000000-0004-0000-0700-00007C010000}"/>
    <hyperlink ref="D350" r:id="rId382" xr:uid="{00000000-0004-0000-0700-00007D010000}"/>
    <hyperlink ref="D351" r:id="rId383" xr:uid="{00000000-0004-0000-0700-00007E010000}"/>
    <hyperlink ref="D352" r:id="rId384" xr:uid="{00000000-0004-0000-0700-00007F010000}"/>
    <hyperlink ref="D353" r:id="rId385" xr:uid="{00000000-0004-0000-0700-000080010000}"/>
    <hyperlink ref="D354" r:id="rId386" xr:uid="{00000000-0004-0000-0700-000081010000}"/>
    <hyperlink ref="D355" r:id="rId387" xr:uid="{00000000-0004-0000-0700-000082010000}"/>
    <hyperlink ref="D356" r:id="rId388" xr:uid="{00000000-0004-0000-0700-000083010000}"/>
    <hyperlink ref="D357" r:id="rId389" xr:uid="{00000000-0004-0000-0700-000084010000}"/>
    <hyperlink ref="D358" r:id="rId390" xr:uid="{00000000-0004-0000-0700-000085010000}"/>
    <hyperlink ref="D359" r:id="rId391" xr:uid="{00000000-0004-0000-0700-000086010000}"/>
    <hyperlink ref="D360" r:id="rId392" xr:uid="{00000000-0004-0000-0700-000087010000}"/>
    <hyperlink ref="D361" r:id="rId393" xr:uid="{00000000-0004-0000-0700-000088010000}"/>
    <hyperlink ref="D362" r:id="rId394" xr:uid="{00000000-0004-0000-0700-000089010000}"/>
    <hyperlink ref="D363" r:id="rId395" xr:uid="{00000000-0004-0000-0700-00008A010000}"/>
    <hyperlink ref="D364" r:id="rId396" xr:uid="{00000000-0004-0000-0700-00008B010000}"/>
    <hyperlink ref="D365" r:id="rId397" xr:uid="{00000000-0004-0000-0700-00008C010000}"/>
    <hyperlink ref="D366" r:id="rId398" xr:uid="{00000000-0004-0000-0700-00008D010000}"/>
    <hyperlink ref="D367" r:id="rId399" xr:uid="{00000000-0004-0000-0700-00008E010000}"/>
    <hyperlink ref="D368" r:id="rId400" xr:uid="{00000000-0004-0000-0700-00008F010000}"/>
    <hyperlink ref="D369" r:id="rId401" xr:uid="{00000000-0004-0000-0700-000090010000}"/>
    <hyperlink ref="D370" r:id="rId402" xr:uid="{00000000-0004-0000-0700-000091010000}"/>
    <hyperlink ref="D371" r:id="rId403" xr:uid="{00000000-0004-0000-0700-000092010000}"/>
    <hyperlink ref="D372" r:id="rId404" xr:uid="{00000000-0004-0000-0700-000093010000}"/>
    <hyperlink ref="D373" r:id="rId405" xr:uid="{00000000-0004-0000-0700-000094010000}"/>
    <hyperlink ref="D374" r:id="rId406" xr:uid="{00000000-0004-0000-0700-000095010000}"/>
    <hyperlink ref="D375" r:id="rId407" xr:uid="{00000000-0004-0000-0700-000096010000}"/>
    <hyperlink ref="D376" r:id="rId408" xr:uid="{00000000-0004-0000-0700-000097010000}"/>
    <hyperlink ref="D377" r:id="rId409" xr:uid="{00000000-0004-0000-0700-000098010000}"/>
    <hyperlink ref="D378" r:id="rId410" xr:uid="{00000000-0004-0000-0700-000099010000}"/>
    <hyperlink ref="D379" r:id="rId411" xr:uid="{00000000-0004-0000-0700-00009A010000}"/>
    <hyperlink ref="D380" r:id="rId412" xr:uid="{00000000-0004-0000-0700-00009B010000}"/>
    <hyperlink ref="D381" r:id="rId413" xr:uid="{00000000-0004-0000-0700-00009C010000}"/>
    <hyperlink ref="D382" r:id="rId414" xr:uid="{00000000-0004-0000-0700-00009D010000}"/>
    <hyperlink ref="D383" r:id="rId415" xr:uid="{00000000-0004-0000-0700-00009E010000}"/>
    <hyperlink ref="D384" r:id="rId416" xr:uid="{00000000-0004-0000-0700-00009F010000}"/>
    <hyperlink ref="D385" r:id="rId417" xr:uid="{00000000-0004-0000-0700-0000A0010000}"/>
    <hyperlink ref="D386" r:id="rId418" xr:uid="{00000000-0004-0000-0700-0000A1010000}"/>
    <hyperlink ref="D387" r:id="rId419" xr:uid="{00000000-0004-0000-0700-0000A2010000}"/>
    <hyperlink ref="D388" r:id="rId420" xr:uid="{00000000-0004-0000-0700-0000A3010000}"/>
    <hyperlink ref="D389" r:id="rId421" xr:uid="{00000000-0004-0000-0700-0000A4010000}"/>
    <hyperlink ref="D390" r:id="rId422" xr:uid="{00000000-0004-0000-0700-0000A5010000}"/>
    <hyperlink ref="D391" r:id="rId423" xr:uid="{00000000-0004-0000-0700-0000A6010000}"/>
    <hyperlink ref="D392" r:id="rId424" xr:uid="{00000000-0004-0000-0700-0000A7010000}"/>
    <hyperlink ref="D393" r:id="rId425" xr:uid="{00000000-0004-0000-0700-0000A8010000}"/>
    <hyperlink ref="D394" r:id="rId426" xr:uid="{00000000-0004-0000-0700-0000A9010000}"/>
    <hyperlink ref="D395" r:id="rId427" xr:uid="{00000000-0004-0000-0700-0000AA010000}"/>
    <hyperlink ref="D396" r:id="rId428" xr:uid="{00000000-0004-0000-0700-0000AB010000}"/>
    <hyperlink ref="D397" r:id="rId429" xr:uid="{00000000-0004-0000-0700-0000AC010000}"/>
    <hyperlink ref="D398" r:id="rId430" xr:uid="{00000000-0004-0000-0700-0000AD010000}"/>
    <hyperlink ref="D399" r:id="rId431" xr:uid="{00000000-0004-0000-0700-0000AE010000}"/>
    <hyperlink ref="D400" r:id="rId432" xr:uid="{00000000-0004-0000-0700-0000AF010000}"/>
    <hyperlink ref="D401" r:id="rId433" xr:uid="{00000000-0004-0000-0700-0000B0010000}"/>
    <hyperlink ref="D402" r:id="rId434" xr:uid="{00000000-0004-0000-0700-0000B1010000}"/>
    <hyperlink ref="D403" r:id="rId435" xr:uid="{00000000-0004-0000-0700-0000B2010000}"/>
    <hyperlink ref="D404" r:id="rId436" xr:uid="{00000000-0004-0000-0700-0000B3010000}"/>
    <hyperlink ref="D405" r:id="rId437" xr:uid="{00000000-0004-0000-0700-0000B4010000}"/>
    <hyperlink ref="D406" r:id="rId438" xr:uid="{00000000-0004-0000-0700-0000B5010000}"/>
    <hyperlink ref="D407" r:id="rId439" xr:uid="{00000000-0004-0000-0700-0000B6010000}"/>
    <hyperlink ref="D408" r:id="rId440" xr:uid="{00000000-0004-0000-0700-0000B7010000}"/>
    <hyperlink ref="D409" r:id="rId441" xr:uid="{00000000-0004-0000-0700-0000B8010000}"/>
    <hyperlink ref="D410" r:id="rId442" xr:uid="{00000000-0004-0000-0700-0000B9010000}"/>
    <hyperlink ref="D411" r:id="rId443" xr:uid="{00000000-0004-0000-0700-0000BA010000}"/>
    <hyperlink ref="D412" r:id="rId444" xr:uid="{00000000-0004-0000-0700-0000BB010000}"/>
    <hyperlink ref="D413" r:id="rId445" xr:uid="{00000000-0004-0000-0700-0000BC010000}"/>
    <hyperlink ref="D414" r:id="rId446" xr:uid="{00000000-0004-0000-0700-0000BD010000}"/>
    <hyperlink ref="D415" r:id="rId447" xr:uid="{00000000-0004-0000-0700-0000BE010000}"/>
    <hyperlink ref="D416" r:id="rId448" xr:uid="{00000000-0004-0000-0700-0000BF010000}"/>
    <hyperlink ref="D417" r:id="rId449" xr:uid="{00000000-0004-0000-0700-0000C0010000}"/>
    <hyperlink ref="D418" r:id="rId450" xr:uid="{00000000-0004-0000-0700-0000C1010000}"/>
    <hyperlink ref="D419" r:id="rId451" xr:uid="{00000000-0004-0000-0700-0000C2010000}"/>
    <hyperlink ref="D420" r:id="rId452" xr:uid="{00000000-0004-0000-0700-0000C3010000}"/>
    <hyperlink ref="D421" r:id="rId453" xr:uid="{00000000-0004-0000-0700-0000C4010000}"/>
    <hyperlink ref="D422" r:id="rId454" xr:uid="{00000000-0004-0000-0700-0000C5010000}"/>
    <hyperlink ref="D423" r:id="rId455" xr:uid="{00000000-0004-0000-0700-0000C6010000}"/>
    <hyperlink ref="D424" r:id="rId456" xr:uid="{00000000-0004-0000-0700-0000C7010000}"/>
    <hyperlink ref="D425" r:id="rId457" xr:uid="{00000000-0004-0000-0700-0000C8010000}"/>
    <hyperlink ref="D426" r:id="rId458" xr:uid="{00000000-0004-0000-0700-0000C9010000}"/>
    <hyperlink ref="D427" r:id="rId459" xr:uid="{00000000-0004-0000-0700-0000CA010000}"/>
    <hyperlink ref="E427" r:id="rId460" xr:uid="{00000000-0004-0000-0700-0000CB010000}"/>
    <hyperlink ref="D428" r:id="rId461" xr:uid="{00000000-0004-0000-0700-0000CC010000}"/>
    <hyperlink ref="E428" r:id="rId462" xr:uid="{00000000-0004-0000-0700-0000CD010000}"/>
    <hyperlink ref="D429" r:id="rId463" xr:uid="{00000000-0004-0000-0700-0000CE010000}"/>
    <hyperlink ref="E429" r:id="rId464" xr:uid="{00000000-0004-0000-0700-0000CF010000}"/>
    <hyperlink ref="D430" r:id="rId465" xr:uid="{00000000-0004-0000-0700-0000D0010000}"/>
    <hyperlink ref="E430" r:id="rId466" xr:uid="{00000000-0004-0000-0700-0000D1010000}"/>
    <hyperlink ref="D431" r:id="rId467" xr:uid="{00000000-0004-0000-0700-0000D2010000}"/>
    <hyperlink ref="D432" r:id="rId468" xr:uid="{00000000-0004-0000-0700-0000D3010000}"/>
    <hyperlink ref="D433" r:id="rId469" xr:uid="{00000000-0004-0000-0700-0000D4010000}"/>
    <hyperlink ref="D434" r:id="rId470" xr:uid="{00000000-0004-0000-0700-0000D5010000}"/>
    <hyperlink ref="D435" r:id="rId471" xr:uid="{00000000-0004-0000-0700-0000D6010000}"/>
    <hyperlink ref="D436" r:id="rId472" xr:uid="{00000000-0004-0000-0700-0000D7010000}"/>
    <hyperlink ref="D437" r:id="rId473" xr:uid="{00000000-0004-0000-0700-0000D8010000}"/>
    <hyperlink ref="D438" r:id="rId474" xr:uid="{00000000-0004-0000-0700-0000D9010000}"/>
    <hyperlink ref="D439" r:id="rId475" xr:uid="{00000000-0004-0000-0700-0000DA010000}"/>
    <hyperlink ref="D440" r:id="rId476" xr:uid="{00000000-0004-0000-0700-0000DB010000}"/>
    <hyperlink ref="D441" r:id="rId477" xr:uid="{00000000-0004-0000-0700-0000DC010000}"/>
    <hyperlink ref="D442" r:id="rId478" xr:uid="{00000000-0004-0000-0700-0000DD010000}"/>
    <hyperlink ref="D443" r:id="rId479" xr:uid="{00000000-0004-0000-0700-0000DE010000}"/>
    <hyperlink ref="D444" r:id="rId480" xr:uid="{00000000-0004-0000-0700-0000DF010000}"/>
    <hyperlink ref="D445" r:id="rId481" xr:uid="{00000000-0004-0000-0700-0000E0010000}"/>
    <hyperlink ref="D446" r:id="rId482" xr:uid="{00000000-0004-0000-0700-0000E1010000}"/>
    <hyperlink ref="D447" r:id="rId483" xr:uid="{00000000-0004-0000-0700-0000E2010000}"/>
    <hyperlink ref="D448" r:id="rId484" xr:uid="{00000000-0004-0000-0700-0000E3010000}"/>
    <hyperlink ref="D449" r:id="rId485" xr:uid="{00000000-0004-0000-0700-0000E4010000}"/>
    <hyperlink ref="D450" r:id="rId486" xr:uid="{00000000-0004-0000-0700-0000E5010000}"/>
    <hyperlink ref="D451" r:id="rId487" xr:uid="{00000000-0004-0000-0700-0000E6010000}"/>
    <hyperlink ref="D452" r:id="rId488" xr:uid="{00000000-0004-0000-0700-0000E7010000}"/>
    <hyperlink ref="D453" r:id="rId489" xr:uid="{00000000-0004-0000-0700-0000E8010000}"/>
    <hyperlink ref="D454" r:id="rId490" xr:uid="{00000000-0004-0000-0700-0000E9010000}"/>
    <hyperlink ref="D455" r:id="rId491" xr:uid="{00000000-0004-0000-0700-0000EA010000}"/>
    <hyperlink ref="D456" r:id="rId492" xr:uid="{00000000-0004-0000-0700-0000EB010000}"/>
    <hyperlink ref="D457" r:id="rId493" xr:uid="{00000000-0004-0000-0700-0000EC010000}"/>
    <hyperlink ref="D458" r:id="rId494" xr:uid="{00000000-0004-0000-0700-0000ED010000}"/>
    <hyperlink ref="D459" r:id="rId495" xr:uid="{00000000-0004-0000-0700-0000EE010000}"/>
    <hyperlink ref="D460" r:id="rId496" xr:uid="{00000000-0004-0000-0700-0000EF010000}"/>
    <hyperlink ref="D461" r:id="rId497" xr:uid="{00000000-0004-0000-0700-0000F0010000}"/>
    <hyperlink ref="D462" r:id="rId498" xr:uid="{00000000-0004-0000-0700-0000F1010000}"/>
    <hyperlink ref="D463" r:id="rId499" xr:uid="{00000000-0004-0000-0700-0000F2010000}"/>
    <hyperlink ref="D464" r:id="rId500" xr:uid="{00000000-0004-0000-0700-0000F3010000}"/>
    <hyperlink ref="D465" r:id="rId501" xr:uid="{00000000-0004-0000-0700-0000F4010000}"/>
    <hyperlink ref="D466" r:id="rId502" xr:uid="{00000000-0004-0000-0700-0000F5010000}"/>
    <hyperlink ref="D467" r:id="rId503" xr:uid="{00000000-0004-0000-0700-0000F6010000}"/>
    <hyperlink ref="E467" r:id="rId504" xr:uid="{00000000-0004-0000-0700-0000F7010000}"/>
    <hyperlink ref="D468" r:id="rId505" xr:uid="{00000000-0004-0000-0700-0000F8010000}"/>
    <hyperlink ref="E468" r:id="rId506" xr:uid="{00000000-0004-0000-0700-0000F9010000}"/>
    <hyperlink ref="D469" r:id="rId507" xr:uid="{00000000-0004-0000-0700-0000FA010000}"/>
    <hyperlink ref="E469" r:id="rId508" xr:uid="{00000000-0004-0000-0700-0000FB010000}"/>
    <hyperlink ref="D470" r:id="rId509" xr:uid="{00000000-0004-0000-0700-0000FC010000}"/>
    <hyperlink ref="E470" r:id="rId510" xr:uid="{00000000-0004-0000-0700-0000FD010000}"/>
    <hyperlink ref="D471" r:id="rId511" xr:uid="{00000000-0004-0000-0700-0000FE010000}"/>
    <hyperlink ref="E471" r:id="rId512" xr:uid="{00000000-0004-0000-0700-0000FF010000}"/>
    <hyperlink ref="D472" r:id="rId513" xr:uid="{00000000-0004-0000-0700-000000020000}"/>
    <hyperlink ref="E472" r:id="rId514" xr:uid="{00000000-0004-0000-0700-000001020000}"/>
    <hyperlink ref="D473" r:id="rId515" xr:uid="{00000000-0004-0000-0700-000002020000}"/>
    <hyperlink ref="E473" r:id="rId516" xr:uid="{00000000-0004-0000-0700-000003020000}"/>
    <hyperlink ref="D474" r:id="rId517" xr:uid="{00000000-0004-0000-0700-000004020000}"/>
    <hyperlink ref="E474" r:id="rId518" xr:uid="{00000000-0004-0000-0700-000005020000}"/>
    <hyperlink ref="D475" r:id="rId519" xr:uid="{00000000-0004-0000-0700-000006020000}"/>
    <hyperlink ref="E475" r:id="rId520" xr:uid="{00000000-0004-0000-0700-000007020000}"/>
    <hyperlink ref="D476" r:id="rId521" xr:uid="{00000000-0004-0000-0700-000008020000}"/>
    <hyperlink ref="E476" r:id="rId522" xr:uid="{00000000-0004-0000-0700-000009020000}"/>
    <hyperlink ref="D477" r:id="rId523" xr:uid="{00000000-0004-0000-0700-00000A020000}"/>
    <hyperlink ref="E477" r:id="rId524" xr:uid="{00000000-0004-0000-0700-00000B020000}"/>
    <hyperlink ref="D478" r:id="rId525" xr:uid="{00000000-0004-0000-0700-00000C020000}"/>
    <hyperlink ref="E478" r:id="rId526" xr:uid="{00000000-0004-0000-0700-00000D020000}"/>
    <hyperlink ref="D479" r:id="rId527" xr:uid="{00000000-0004-0000-0700-00000E020000}"/>
    <hyperlink ref="E479" r:id="rId528" xr:uid="{00000000-0004-0000-0700-00000F020000}"/>
    <hyperlink ref="D480" r:id="rId529" xr:uid="{00000000-0004-0000-0700-000010020000}"/>
    <hyperlink ref="E480" r:id="rId530" xr:uid="{00000000-0004-0000-0700-000011020000}"/>
    <hyperlink ref="D481" r:id="rId531" xr:uid="{00000000-0004-0000-0700-000012020000}"/>
    <hyperlink ref="E481" r:id="rId532" xr:uid="{00000000-0004-0000-0700-000013020000}"/>
    <hyperlink ref="D482" r:id="rId533" xr:uid="{00000000-0004-0000-0700-000014020000}"/>
    <hyperlink ref="D483" r:id="rId534" xr:uid="{00000000-0004-0000-0700-000015020000}"/>
    <hyperlink ref="D484" r:id="rId535" xr:uid="{00000000-0004-0000-0700-000016020000}"/>
    <hyperlink ref="D485" r:id="rId536" xr:uid="{00000000-0004-0000-0700-000017020000}"/>
    <hyperlink ref="D486" r:id="rId537" xr:uid="{00000000-0004-0000-0700-000018020000}"/>
    <hyperlink ref="D487" r:id="rId538" xr:uid="{00000000-0004-0000-0700-000019020000}"/>
    <hyperlink ref="D488" r:id="rId539" xr:uid="{00000000-0004-0000-0700-00001A020000}"/>
    <hyperlink ref="D489" r:id="rId540" xr:uid="{00000000-0004-0000-0700-00001B020000}"/>
    <hyperlink ref="D490" r:id="rId541" xr:uid="{00000000-0004-0000-0700-00001C020000}"/>
    <hyperlink ref="D491" r:id="rId542" xr:uid="{00000000-0004-0000-0700-00001D020000}"/>
    <hyperlink ref="D492" r:id="rId543" xr:uid="{00000000-0004-0000-0700-00001E020000}"/>
    <hyperlink ref="D493" r:id="rId544" xr:uid="{00000000-0004-0000-0700-00001F020000}"/>
    <hyperlink ref="D494" r:id="rId545" xr:uid="{00000000-0004-0000-0700-000020020000}"/>
    <hyperlink ref="D495" r:id="rId546" xr:uid="{00000000-0004-0000-0700-000021020000}"/>
    <hyperlink ref="D496" r:id="rId547" xr:uid="{00000000-0004-0000-0700-000022020000}"/>
    <hyperlink ref="D497" r:id="rId548" xr:uid="{00000000-0004-0000-0700-000023020000}"/>
    <hyperlink ref="D498" r:id="rId549" xr:uid="{00000000-0004-0000-0700-000024020000}"/>
    <hyperlink ref="D499" r:id="rId550" xr:uid="{00000000-0004-0000-0700-000025020000}"/>
    <hyperlink ref="D500" r:id="rId551" xr:uid="{00000000-0004-0000-0700-000026020000}"/>
    <hyperlink ref="D501" r:id="rId552" xr:uid="{00000000-0004-0000-0700-000027020000}"/>
    <hyperlink ref="D502" r:id="rId553" xr:uid="{00000000-0004-0000-0700-000028020000}"/>
    <hyperlink ref="D503" r:id="rId554" xr:uid="{00000000-0004-0000-0700-000029020000}"/>
    <hyperlink ref="D504" r:id="rId555" xr:uid="{00000000-0004-0000-0700-00002A020000}"/>
    <hyperlink ref="D505" r:id="rId556" xr:uid="{00000000-0004-0000-0700-00002B020000}"/>
    <hyperlink ref="D506" r:id="rId557" xr:uid="{00000000-0004-0000-0700-00002C020000}"/>
    <hyperlink ref="D507" r:id="rId558" xr:uid="{00000000-0004-0000-0700-00002D020000}"/>
    <hyperlink ref="D508" r:id="rId559" xr:uid="{00000000-0004-0000-0700-00002E020000}"/>
    <hyperlink ref="D509" r:id="rId560" xr:uid="{00000000-0004-0000-0700-00002F020000}"/>
    <hyperlink ref="D510" r:id="rId561" xr:uid="{00000000-0004-0000-0700-000030020000}"/>
    <hyperlink ref="D511" r:id="rId562" xr:uid="{00000000-0004-0000-0700-000031020000}"/>
    <hyperlink ref="D512" r:id="rId563" xr:uid="{00000000-0004-0000-0700-000032020000}"/>
    <hyperlink ref="D513" r:id="rId564" xr:uid="{00000000-0004-0000-0700-000033020000}"/>
    <hyperlink ref="D514" r:id="rId565" xr:uid="{00000000-0004-0000-0700-000034020000}"/>
    <hyperlink ref="D515" r:id="rId566" xr:uid="{00000000-0004-0000-0700-000035020000}"/>
    <hyperlink ref="D516" r:id="rId567" xr:uid="{00000000-0004-0000-0700-000036020000}"/>
    <hyperlink ref="D517" r:id="rId568" xr:uid="{00000000-0004-0000-0700-000037020000}"/>
    <hyperlink ref="D518" r:id="rId569" xr:uid="{00000000-0004-0000-0700-000038020000}"/>
    <hyperlink ref="D519" r:id="rId570" xr:uid="{00000000-0004-0000-0700-000039020000}"/>
    <hyperlink ref="D520" r:id="rId571" xr:uid="{00000000-0004-0000-0700-00003A020000}"/>
    <hyperlink ref="D521" r:id="rId572" xr:uid="{00000000-0004-0000-0700-00003B020000}"/>
    <hyperlink ref="D522" r:id="rId573" xr:uid="{00000000-0004-0000-0700-00003C020000}"/>
    <hyperlink ref="D523" r:id="rId574" xr:uid="{00000000-0004-0000-0700-00003D020000}"/>
    <hyperlink ref="D524" r:id="rId575" xr:uid="{00000000-0004-0000-0700-00003E020000}"/>
    <hyperlink ref="D525" r:id="rId576" xr:uid="{00000000-0004-0000-0700-00003F020000}"/>
    <hyperlink ref="D526" r:id="rId577" xr:uid="{00000000-0004-0000-0700-000040020000}"/>
    <hyperlink ref="D527" r:id="rId578" xr:uid="{00000000-0004-0000-0700-000041020000}"/>
    <hyperlink ref="D528" r:id="rId579" xr:uid="{00000000-0004-0000-0700-000042020000}"/>
    <hyperlink ref="D529" r:id="rId580" xr:uid="{00000000-0004-0000-0700-000043020000}"/>
    <hyperlink ref="D530" r:id="rId581" xr:uid="{00000000-0004-0000-0700-000044020000}"/>
    <hyperlink ref="D531" r:id="rId582" xr:uid="{00000000-0004-0000-0700-000045020000}"/>
    <hyperlink ref="D532" r:id="rId583" xr:uid="{00000000-0004-0000-0700-000046020000}"/>
    <hyperlink ref="D533" r:id="rId584" xr:uid="{00000000-0004-0000-0700-000047020000}"/>
    <hyperlink ref="D534" r:id="rId585" xr:uid="{00000000-0004-0000-0700-000048020000}"/>
    <hyperlink ref="D535" r:id="rId586" xr:uid="{00000000-0004-0000-0700-000049020000}"/>
    <hyperlink ref="D536" r:id="rId587" xr:uid="{00000000-0004-0000-0700-00004A020000}"/>
    <hyperlink ref="D537" r:id="rId588" xr:uid="{00000000-0004-0000-0700-00004B020000}"/>
    <hyperlink ref="D538" r:id="rId589" xr:uid="{00000000-0004-0000-0700-00004C020000}"/>
    <hyperlink ref="D539" r:id="rId590" xr:uid="{00000000-0004-0000-0700-00004D020000}"/>
    <hyperlink ref="D540" r:id="rId591" xr:uid="{00000000-0004-0000-0700-00004E020000}"/>
    <hyperlink ref="D541" r:id="rId592" xr:uid="{00000000-0004-0000-0700-00004F020000}"/>
    <hyperlink ref="D542" r:id="rId593" xr:uid="{00000000-0004-0000-0700-000050020000}"/>
    <hyperlink ref="D543" r:id="rId594" xr:uid="{00000000-0004-0000-0700-000051020000}"/>
    <hyperlink ref="D544" r:id="rId595" xr:uid="{00000000-0004-0000-0700-000052020000}"/>
    <hyperlink ref="D545" r:id="rId596" xr:uid="{00000000-0004-0000-0700-000053020000}"/>
    <hyperlink ref="D546" r:id="rId597" xr:uid="{00000000-0004-0000-0700-000054020000}"/>
    <hyperlink ref="D547" r:id="rId598" xr:uid="{00000000-0004-0000-0700-000055020000}"/>
    <hyperlink ref="D548" r:id="rId599" xr:uid="{00000000-0004-0000-0700-000056020000}"/>
    <hyperlink ref="D549" r:id="rId600" xr:uid="{00000000-0004-0000-0700-000057020000}"/>
    <hyperlink ref="D550" r:id="rId601" xr:uid="{00000000-0004-0000-0700-000058020000}"/>
    <hyperlink ref="D551" r:id="rId602" xr:uid="{00000000-0004-0000-0700-000059020000}"/>
    <hyperlink ref="D552" r:id="rId603" xr:uid="{00000000-0004-0000-0700-00005A020000}"/>
    <hyperlink ref="D553" r:id="rId604" xr:uid="{00000000-0004-0000-0700-00005B020000}"/>
    <hyperlink ref="D554" r:id="rId605" xr:uid="{00000000-0004-0000-0700-00005C020000}"/>
    <hyperlink ref="D555" r:id="rId606" xr:uid="{00000000-0004-0000-0700-00005D020000}"/>
    <hyperlink ref="D556" r:id="rId607" xr:uid="{00000000-0004-0000-0700-00005E020000}"/>
    <hyperlink ref="D557" r:id="rId608" xr:uid="{00000000-0004-0000-0700-00005F020000}"/>
    <hyperlink ref="D558" r:id="rId609" xr:uid="{00000000-0004-0000-0700-000060020000}"/>
    <hyperlink ref="D559" r:id="rId610" xr:uid="{00000000-0004-0000-0700-000061020000}"/>
    <hyperlink ref="D560" r:id="rId611" xr:uid="{00000000-0004-0000-0700-000062020000}"/>
    <hyperlink ref="D561" r:id="rId612" xr:uid="{00000000-0004-0000-0700-000063020000}"/>
    <hyperlink ref="D562" r:id="rId613" xr:uid="{00000000-0004-0000-0700-000064020000}"/>
    <hyperlink ref="D563" r:id="rId614" xr:uid="{00000000-0004-0000-0700-000065020000}"/>
    <hyperlink ref="D564" r:id="rId615" xr:uid="{00000000-0004-0000-0700-000066020000}"/>
    <hyperlink ref="D565" r:id="rId616" xr:uid="{00000000-0004-0000-0700-000067020000}"/>
    <hyperlink ref="D566" r:id="rId617" xr:uid="{00000000-0004-0000-0700-000068020000}"/>
    <hyperlink ref="D567" r:id="rId618" xr:uid="{00000000-0004-0000-0700-000069020000}"/>
    <hyperlink ref="D568" r:id="rId619" xr:uid="{00000000-0004-0000-0700-00006A020000}"/>
    <hyperlink ref="D569" r:id="rId620" xr:uid="{00000000-0004-0000-0700-00006B020000}"/>
    <hyperlink ref="D570" r:id="rId621" xr:uid="{00000000-0004-0000-0700-00006C020000}"/>
    <hyperlink ref="D571" r:id="rId622" xr:uid="{00000000-0004-0000-0700-00006D020000}"/>
    <hyperlink ref="D572" r:id="rId623" xr:uid="{00000000-0004-0000-0700-00006E020000}"/>
    <hyperlink ref="D573" r:id="rId624" xr:uid="{00000000-0004-0000-0700-00006F020000}"/>
    <hyperlink ref="D574" r:id="rId625" xr:uid="{00000000-0004-0000-0700-000070020000}"/>
    <hyperlink ref="D575" r:id="rId626" xr:uid="{00000000-0004-0000-0700-000071020000}"/>
    <hyperlink ref="D576" r:id="rId627" xr:uid="{00000000-0004-0000-0700-000072020000}"/>
    <hyperlink ref="D577" r:id="rId628" xr:uid="{00000000-0004-0000-0700-000073020000}"/>
    <hyperlink ref="D578" r:id="rId629" xr:uid="{00000000-0004-0000-0700-000074020000}"/>
    <hyperlink ref="D579" r:id="rId630" xr:uid="{00000000-0004-0000-0700-000075020000}"/>
    <hyperlink ref="D580" r:id="rId631" xr:uid="{00000000-0004-0000-0700-000076020000}"/>
    <hyperlink ref="D581" r:id="rId632" xr:uid="{00000000-0004-0000-0700-000077020000}"/>
    <hyperlink ref="D582" r:id="rId633" xr:uid="{00000000-0004-0000-0700-000078020000}"/>
    <hyperlink ref="D583" r:id="rId634" xr:uid="{00000000-0004-0000-0700-000079020000}"/>
    <hyperlink ref="D584" r:id="rId635" xr:uid="{00000000-0004-0000-0700-00007A020000}"/>
    <hyperlink ref="D585" r:id="rId636" xr:uid="{00000000-0004-0000-0700-00007B020000}"/>
    <hyperlink ref="D586" r:id="rId637" xr:uid="{00000000-0004-0000-0700-00007C020000}"/>
    <hyperlink ref="D587" r:id="rId638" xr:uid="{00000000-0004-0000-0700-00007D020000}"/>
    <hyperlink ref="D588" r:id="rId639" xr:uid="{00000000-0004-0000-0700-00007E020000}"/>
    <hyperlink ref="D589" r:id="rId640" xr:uid="{00000000-0004-0000-0700-00007F020000}"/>
    <hyperlink ref="D590" r:id="rId641" xr:uid="{00000000-0004-0000-0700-000080020000}"/>
    <hyperlink ref="D591" r:id="rId642" xr:uid="{00000000-0004-0000-0700-000081020000}"/>
    <hyperlink ref="D592" r:id="rId643" xr:uid="{00000000-0004-0000-0700-000082020000}"/>
    <hyperlink ref="D593" r:id="rId644" xr:uid="{00000000-0004-0000-0700-000083020000}"/>
    <hyperlink ref="D594" r:id="rId645" xr:uid="{00000000-0004-0000-0700-000084020000}"/>
    <hyperlink ref="D595" r:id="rId646" xr:uid="{00000000-0004-0000-0700-000085020000}"/>
    <hyperlink ref="D596" r:id="rId647" xr:uid="{00000000-0004-0000-0700-000086020000}"/>
    <hyperlink ref="D597" r:id="rId648" xr:uid="{00000000-0004-0000-0700-000087020000}"/>
    <hyperlink ref="D598" r:id="rId649" xr:uid="{00000000-0004-0000-0700-000088020000}"/>
    <hyperlink ref="D599" r:id="rId650" xr:uid="{00000000-0004-0000-0700-000089020000}"/>
    <hyperlink ref="D600" r:id="rId651" xr:uid="{00000000-0004-0000-0700-00008A020000}"/>
    <hyperlink ref="D601" r:id="rId652" xr:uid="{00000000-0004-0000-0700-00008B020000}"/>
    <hyperlink ref="D602" r:id="rId653" xr:uid="{00000000-0004-0000-0700-00008C020000}"/>
    <hyperlink ref="E602" r:id="rId654" xr:uid="{00000000-0004-0000-0700-00008D020000}"/>
    <hyperlink ref="D603" r:id="rId655" xr:uid="{00000000-0004-0000-0700-00008E020000}"/>
    <hyperlink ref="E603" r:id="rId656" xr:uid="{00000000-0004-0000-0700-00008F020000}"/>
    <hyperlink ref="D604" r:id="rId657" xr:uid="{00000000-0004-0000-0700-000090020000}"/>
    <hyperlink ref="E604" r:id="rId658" xr:uid="{00000000-0004-0000-0700-000091020000}"/>
    <hyperlink ref="D605" r:id="rId659" xr:uid="{00000000-0004-0000-0700-000092020000}"/>
    <hyperlink ref="E605" r:id="rId660" xr:uid="{00000000-0004-0000-0700-000093020000}"/>
    <hyperlink ref="D606" r:id="rId661" xr:uid="{00000000-0004-0000-0700-000094020000}"/>
    <hyperlink ref="E606" r:id="rId662" xr:uid="{00000000-0004-0000-0700-000095020000}"/>
    <hyperlink ref="D607" r:id="rId663" xr:uid="{00000000-0004-0000-0700-000096020000}"/>
    <hyperlink ref="E607" r:id="rId664" xr:uid="{00000000-0004-0000-0700-000097020000}"/>
    <hyperlink ref="D608" r:id="rId665" xr:uid="{00000000-0004-0000-0700-000098020000}"/>
    <hyperlink ref="D609" r:id="rId666" xr:uid="{00000000-0004-0000-0700-000099020000}"/>
    <hyperlink ref="D610" r:id="rId667" xr:uid="{00000000-0004-0000-0700-00009A020000}"/>
    <hyperlink ref="D611" r:id="rId668" xr:uid="{00000000-0004-0000-0700-00009B020000}"/>
    <hyperlink ref="D612" r:id="rId669" xr:uid="{00000000-0004-0000-0700-00009C020000}"/>
    <hyperlink ref="D613" r:id="rId670" xr:uid="{00000000-0004-0000-0700-00009D020000}"/>
    <hyperlink ref="D614" r:id="rId671" xr:uid="{00000000-0004-0000-0700-00009E020000}"/>
    <hyperlink ref="D615" r:id="rId672" xr:uid="{00000000-0004-0000-0700-00009F020000}"/>
    <hyperlink ref="D616" r:id="rId673" xr:uid="{00000000-0004-0000-0700-0000A0020000}"/>
    <hyperlink ref="D617" r:id="rId674" xr:uid="{00000000-0004-0000-0700-0000A1020000}"/>
    <hyperlink ref="D618" r:id="rId675" xr:uid="{00000000-0004-0000-0700-0000A2020000}"/>
    <hyperlink ref="D619" r:id="rId676" xr:uid="{00000000-0004-0000-0700-0000A3020000}"/>
    <hyperlink ref="D620" r:id="rId677" xr:uid="{00000000-0004-0000-0700-0000A4020000}"/>
    <hyperlink ref="D621" r:id="rId678" xr:uid="{00000000-0004-0000-0700-0000A5020000}"/>
    <hyperlink ref="D622" r:id="rId679" xr:uid="{00000000-0004-0000-0700-0000A6020000}"/>
    <hyperlink ref="D623" r:id="rId680" xr:uid="{00000000-0004-0000-0700-0000A7020000}"/>
    <hyperlink ref="D624" r:id="rId681" xr:uid="{00000000-0004-0000-0700-0000A8020000}"/>
    <hyperlink ref="D625" r:id="rId682" xr:uid="{00000000-0004-0000-0700-0000A9020000}"/>
    <hyperlink ref="D626" r:id="rId683" xr:uid="{00000000-0004-0000-0700-0000AA020000}"/>
    <hyperlink ref="D627" r:id="rId684" xr:uid="{00000000-0004-0000-0700-0000AB020000}"/>
    <hyperlink ref="D628" r:id="rId685" xr:uid="{00000000-0004-0000-0700-0000AC020000}"/>
    <hyperlink ref="D629" r:id="rId686" xr:uid="{00000000-0004-0000-0700-0000AD020000}"/>
    <hyperlink ref="D630" r:id="rId687" xr:uid="{00000000-0004-0000-0700-0000AE020000}"/>
    <hyperlink ref="D631" r:id="rId688" xr:uid="{00000000-0004-0000-0700-0000AF020000}"/>
    <hyperlink ref="D632" r:id="rId689" xr:uid="{00000000-0004-0000-0700-0000B0020000}"/>
    <hyperlink ref="D633" r:id="rId690" xr:uid="{00000000-0004-0000-0700-0000B1020000}"/>
    <hyperlink ref="D634" r:id="rId691" xr:uid="{00000000-0004-0000-0700-0000B2020000}"/>
    <hyperlink ref="D635" r:id="rId692" xr:uid="{00000000-0004-0000-0700-0000B3020000}"/>
    <hyperlink ref="D636" r:id="rId693" xr:uid="{00000000-0004-0000-0700-0000B4020000}"/>
    <hyperlink ref="D637" r:id="rId694" xr:uid="{00000000-0004-0000-0700-0000B5020000}"/>
    <hyperlink ref="D638" r:id="rId695" xr:uid="{00000000-0004-0000-0700-0000B6020000}"/>
    <hyperlink ref="D639" r:id="rId696" xr:uid="{00000000-0004-0000-0700-0000B7020000}"/>
    <hyperlink ref="D640" r:id="rId697" xr:uid="{00000000-0004-0000-0700-0000B8020000}"/>
    <hyperlink ref="D641" r:id="rId698" xr:uid="{00000000-0004-0000-0700-0000B9020000}"/>
    <hyperlink ref="D642" r:id="rId699" xr:uid="{00000000-0004-0000-0700-0000BA020000}"/>
    <hyperlink ref="D643" r:id="rId700" xr:uid="{00000000-0004-0000-0700-0000BB020000}"/>
    <hyperlink ref="D644" r:id="rId701" xr:uid="{00000000-0004-0000-0700-0000BC020000}"/>
    <hyperlink ref="D645" r:id="rId702" xr:uid="{00000000-0004-0000-0700-0000BD020000}"/>
    <hyperlink ref="D646" r:id="rId703" xr:uid="{00000000-0004-0000-0700-0000BE020000}"/>
    <hyperlink ref="D647" r:id="rId704" xr:uid="{00000000-0004-0000-0700-0000BF020000}"/>
    <hyperlink ref="D648" r:id="rId705" xr:uid="{00000000-0004-0000-0700-0000C0020000}"/>
    <hyperlink ref="D649" r:id="rId706" xr:uid="{00000000-0004-0000-0700-0000C1020000}"/>
    <hyperlink ref="D650" r:id="rId707" xr:uid="{00000000-0004-0000-0700-0000C2020000}"/>
    <hyperlink ref="D651" r:id="rId708" xr:uid="{00000000-0004-0000-0700-0000C3020000}"/>
    <hyperlink ref="D652" r:id="rId709" xr:uid="{00000000-0004-0000-0700-0000C4020000}"/>
    <hyperlink ref="D653" r:id="rId710" xr:uid="{00000000-0004-0000-0700-0000C5020000}"/>
    <hyperlink ref="D654" r:id="rId711" xr:uid="{00000000-0004-0000-0700-0000C6020000}"/>
    <hyperlink ref="D655" r:id="rId712" xr:uid="{00000000-0004-0000-0700-0000C7020000}"/>
    <hyperlink ref="D656" r:id="rId713" xr:uid="{00000000-0004-0000-0700-0000C8020000}"/>
    <hyperlink ref="D657" r:id="rId714" xr:uid="{00000000-0004-0000-0700-0000C9020000}"/>
    <hyperlink ref="D658" r:id="rId715" xr:uid="{00000000-0004-0000-0700-0000CA020000}"/>
    <hyperlink ref="D659" r:id="rId716" xr:uid="{00000000-0004-0000-0700-0000CB020000}"/>
    <hyperlink ref="D660" r:id="rId717" xr:uid="{00000000-0004-0000-0700-0000CC020000}"/>
    <hyperlink ref="E660" r:id="rId718" xr:uid="{00000000-0004-0000-0700-0000CD020000}"/>
    <hyperlink ref="D661" r:id="rId719" xr:uid="{00000000-0004-0000-0700-0000CE020000}"/>
    <hyperlink ref="E661" r:id="rId720" xr:uid="{00000000-0004-0000-0700-0000CF020000}"/>
    <hyperlink ref="D662" r:id="rId721" xr:uid="{00000000-0004-0000-0700-0000D0020000}"/>
    <hyperlink ref="E662" r:id="rId722" xr:uid="{00000000-0004-0000-0700-0000D1020000}"/>
    <hyperlink ref="D663" r:id="rId723" xr:uid="{00000000-0004-0000-0700-0000D2020000}"/>
    <hyperlink ref="E663" r:id="rId724" xr:uid="{00000000-0004-0000-0700-0000D3020000}"/>
    <hyperlink ref="D664" r:id="rId725" xr:uid="{00000000-0004-0000-0700-0000D4020000}"/>
    <hyperlink ref="D665" r:id="rId726" xr:uid="{00000000-0004-0000-0700-0000D5020000}"/>
    <hyperlink ref="D666" r:id="rId727" xr:uid="{00000000-0004-0000-0700-0000D6020000}"/>
    <hyperlink ref="D667" r:id="rId728" xr:uid="{00000000-0004-0000-0700-0000D7020000}"/>
    <hyperlink ref="D668" r:id="rId729" xr:uid="{00000000-0004-0000-0700-0000D8020000}"/>
    <hyperlink ref="D669" r:id="rId730" xr:uid="{00000000-0004-0000-0700-0000D9020000}"/>
    <hyperlink ref="D670" r:id="rId731" xr:uid="{00000000-0004-0000-0700-0000DA020000}"/>
    <hyperlink ref="D671" r:id="rId732" xr:uid="{00000000-0004-0000-0700-0000DB020000}"/>
    <hyperlink ref="D672" r:id="rId733" xr:uid="{00000000-0004-0000-0700-0000DC020000}"/>
    <hyperlink ref="D673" r:id="rId734" xr:uid="{00000000-0004-0000-0700-0000DD020000}"/>
    <hyperlink ref="D674" r:id="rId735" xr:uid="{00000000-0004-0000-0700-0000DE020000}"/>
    <hyperlink ref="D675" r:id="rId736" xr:uid="{00000000-0004-0000-0700-0000DF020000}"/>
    <hyperlink ref="D676" r:id="rId737" xr:uid="{00000000-0004-0000-0700-0000E0020000}"/>
    <hyperlink ref="D677" r:id="rId738" xr:uid="{00000000-0004-0000-0700-0000E1020000}"/>
    <hyperlink ref="D678" r:id="rId739" xr:uid="{00000000-0004-0000-0700-0000E2020000}"/>
    <hyperlink ref="D679" r:id="rId740" xr:uid="{00000000-0004-0000-0700-0000E3020000}"/>
    <hyperlink ref="D680" r:id="rId741" xr:uid="{00000000-0004-0000-0700-0000E4020000}"/>
    <hyperlink ref="D681" r:id="rId742" xr:uid="{00000000-0004-0000-0700-0000E5020000}"/>
    <hyperlink ref="D682" r:id="rId743" xr:uid="{00000000-0004-0000-0700-0000E6020000}"/>
    <hyperlink ref="D683" r:id="rId744" xr:uid="{00000000-0004-0000-0700-0000E7020000}"/>
    <hyperlink ref="D684" r:id="rId745" xr:uid="{00000000-0004-0000-0700-0000E8020000}"/>
    <hyperlink ref="D685" r:id="rId746" xr:uid="{00000000-0004-0000-0700-0000E9020000}"/>
    <hyperlink ref="D686" r:id="rId747" xr:uid="{00000000-0004-0000-0700-0000EA020000}"/>
    <hyperlink ref="D687" r:id="rId748" xr:uid="{00000000-0004-0000-0700-0000EB020000}"/>
    <hyperlink ref="D688" r:id="rId749" xr:uid="{00000000-0004-0000-0700-0000EC020000}"/>
    <hyperlink ref="D689" r:id="rId750" xr:uid="{00000000-0004-0000-0700-0000ED020000}"/>
    <hyperlink ref="D690" r:id="rId751" xr:uid="{00000000-0004-0000-0700-0000EE020000}"/>
    <hyperlink ref="D691" r:id="rId752" xr:uid="{00000000-0004-0000-0700-0000EF020000}"/>
    <hyperlink ref="D692" r:id="rId753" xr:uid="{00000000-0004-0000-0700-0000F0020000}"/>
    <hyperlink ref="D693" r:id="rId754" xr:uid="{00000000-0004-0000-0700-0000F1020000}"/>
    <hyperlink ref="D694" r:id="rId755" xr:uid="{00000000-0004-0000-0700-0000F2020000}"/>
    <hyperlink ref="D695" r:id="rId756" xr:uid="{00000000-0004-0000-0700-0000F3020000}"/>
    <hyperlink ref="D696" r:id="rId757" xr:uid="{00000000-0004-0000-0700-0000F4020000}"/>
    <hyperlink ref="D697" r:id="rId758" xr:uid="{00000000-0004-0000-0700-0000F5020000}"/>
    <hyperlink ref="D698" r:id="rId759" xr:uid="{00000000-0004-0000-0700-0000F6020000}"/>
    <hyperlink ref="D699" r:id="rId760" xr:uid="{00000000-0004-0000-0700-0000F7020000}"/>
    <hyperlink ref="D700" r:id="rId761" xr:uid="{00000000-0004-0000-0700-0000F8020000}"/>
    <hyperlink ref="D701" r:id="rId762" xr:uid="{00000000-0004-0000-0700-0000F9020000}"/>
    <hyperlink ref="D702" r:id="rId763" xr:uid="{00000000-0004-0000-0700-0000FA020000}"/>
    <hyperlink ref="D703" r:id="rId764" xr:uid="{00000000-0004-0000-0700-0000FB020000}"/>
    <hyperlink ref="D704" r:id="rId765" xr:uid="{00000000-0004-0000-0700-0000FC020000}"/>
    <hyperlink ref="D705" r:id="rId766" xr:uid="{00000000-0004-0000-0700-0000FD020000}"/>
    <hyperlink ref="D706" r:id="rId767" xr:uid="{00000000-0004-0000-0700-0000FE020000}"/>
    <hyperlink ref="D707" r:id="rId768" xr:uid="{00000000-0004-0000-0700-0000FF020000}"/>
    <hyperlink ref="D708" r:id="rId769" xr:uid="{00000000-0004-0000-0700-000000030000}"/>
    <hyperlink ref="D709" r:id="rId770" xr:uid="{00000000-0004-0000-0700-000001030000}"/>
    <hyperlink ref="D710" r:id="rId771" xr:uid="{00000000-0004-0000-0700-000002030000}"/>
    <hyperlink ref="D711" r:id="rId772" xr:uid="{00000000-0004-0000-0700-000003030000}"/>
    <hyperlink ref="D712" r:id="rId773" xr:uid="{00000000-0004-0000-0700-000004030000}"/>
    <hyperlink ref="E712" r:id="rId774" xr:uid="{00000000-0004-0000-0700-000005030000}"/>
    <hyperlink ref="D713" r:id="rId775" xr:uid="{00000000-0004-0000-0700-000006030000}"/>
    <hyperlink ref="E713" r:id="rId776" xr:uid="{00000000-0004-0000-0700-000007030000}"/>
    <hyperlink ref="D714" r:id="rId777" xr:uid="{00000000-0004-0000-0700-000008030000}"/>
    <hyperlink ref="E714" r:id="rId778" xr:uid="{00000000-0004-0000-0700-000009030000}"/>
    <hyperlink ref="D715" r:id="rId779" xr:uid="{00000000-0004-0000-0700-00000A030000}"/>
    <hyperlink ref="E715" r:id="rId780" xr:uid="{00000000-0004-0000-0700-00000B030000}"/>
    <hyperlink ref="D716" r:id="rId781" xr:uid="{00000000-0004-0000-0700-00000C030000}"/>
    <hyperlink ref="D717" r:id="rId782" xr:uid="{00000000-0004-0000-0700-00000D030000}"/>
    <hyperlink ref="D718" r:id="rId783" xr:uid="{00000000-0004-0000-0700-00000E030000}"/>
    <hyperlink ref="D719" r:id="rId784" xr:uid="{00000000-0004-0000-0700-00000F030000}"/>
    <hyperlink ref="D720" r:id="rId785" xr:uid="{00000000-0004-0000-0700-000010030000}"/>
    <hyperlink ref="D721" r:id="rId786" xr:uid="{00000000-0004-0000-0700-000011030000}"/>
    <hyperlink ref="D722" r:id="rId787" xr:uid="{00000000-0004-0000-0700-000012030000}"/>
    <hyperlink ref="D723" r:id="rId788" xr:uid="{00000000-0004-0000-0700-000013030000}"/>
    <hyperlink ref="D724" r:id="rId789" xr:uid="{00000000-0004-0000-0700-000014030000}"/>
    <hyperlink ref="D725" r:id="rId790" xr:uid="{00000000-0004-0000-0700-000015030000}"/>
    <hyperlink ref="D726" r:id="rId791" xr:uid="{00000000-0004-0000-0700-000016030000}"/>
    <hyperlink ref="D727" r:id="rId792" xr:uid="{00000000-0004-0000-0700-000017030000}"/>
    <hyperlink ref="D728" r:id="rId793" xr:uid="{00000000-0004-0000-0700-000018030000}"/>
    <hyperlink ref="D729" r:id="rId794" xr:uid="{00000000-0004-0000-0700-000019030000}"/>
    <hyperlink ref="D730" r:id="rId795" xr:uid="{00000000-0004-0000-0700-00001A030000}"/>
    <hyperlink ref="D731" r:id="rId796" xr:uid="{00000000-0004-0000-0700-00001B030000}"/>
    <hyperlink ref="D732" r:id="rId797" xr:uid="{00000000-0004-0000-0700-00001C030000}"/>
    <hyperlink ref="D733" r:id="rId798" xr:uid="{00000000-0004-0000-0700-00001D030000}"/>
    <hyperlink ref="D734" r:id="rId799" xr:uid="{00000000-0004-0000-0700-00001E030000}"/>
    <hyperlink ref="D735" r:id="rId800" xr:uid="{00000000-0004-0000-0700-00001F030000}"/>
    <hyperlink ref="D736" r:id="rId801" xr:uid="{00000000-0004-0000-0700-000020030000}"/>
    <hyperlink ref="D737" r:id="rId802" xr:uid="{00000000-0004-0000-0700-000021030000}"/>
    <hyperlink ref="D738" r:id="rId803" xr:uid="{00000000-0004-0000-0700-000022030000}"/>
    <hyperlink ref="D739" r:id="rId804" xr:uid="{00000000-0004-0000-0700-000023030000}"/>
    <hyperlink ref="D740" r:id="rId805" xr:uid="{00000000-0004-0000-0700-000024030000}"/>
    <hyperlink ref="D741" r:id="rId806" xr:uid="{00000000-0004-0000-0700-000025030000}"/>
    <hyperlink ref="D742" r:id="rId807" xr:uid="{00000000-0004-0000-0700-000026030000}"/>
    <hyperlink ref="D743" r:id="rId808" xr:uid="{00000000-0004-0000-0700-000027030000}"/>
    <hyperlink ref="D744" r:id="rId809" xr:uid="{00000000-0004-0000-0700-000028030000}"/>
    <hyperlink ref="D745" r:id="rId810" xr:uid="{00000000-0004-0000-0700-000029030000}"/>
    <hyperlink ref="D746" r:id="rId811" xr:uid="{00000000-0004-0000-0700-00002A030000}"/>
    <hyperlink ref="D747" r:id="rId812" xr:uid="{00000000-0004-0000-0700-00002B030000}"/>
    <hyperlink ref="D748" r:id="rId813" xr:uid="{00000000-0004-0000-0700-00002C030000}"/>
    <hyperlink ref="D749" r:id="rId814" xr:uid="{00000000-0004-0000-0700-00002D030000}"/>
    <hyperlink ref="D750" r:id="rId815" xr:uid="{00000000-0004-0000-0700-00002E030000}"/>
    <hyperlink ref="D751" r:id="rId816" xr:uid="{00000000-0004-0000-0700-00002F030000}"/>
    <hyperlink ref="D752" r:id="rId817" xr:uid="{00000000-0004-0000-0700-000030030000}"/>
    <hyperlink ref="D753" r:id="rId818" xr:uid="{00000000-0004-0000-0700-000031030000}"/>
    <hyperlink ref="D754" r:id="rId819" xr:uid="{00000000-0004-0000-0700-000032030000}"/>
    <hyperlink ref="D755" r:id="rId820" xr:uid="{00000000-0004-0000-0700-000033030000}"/>
    <hyperlink ref="D756" r:id="rId821" xr:uid="{00000000-0004-0000-0700-000034030000}"/>
    <hyperlink ref="D757" r:id="rId822" xr:uid="{00000000-0004-0000-0700-000035030000}"/>
    <hyperlink ref="D758" r:id="rId823" xr:uid="{00000000-0004-0000-0700-000036030000}"/>
    <hyperlink ref="D759" r:id="rId824" xr:uid="{00000000-0004-0000-0700-000037030000}"/>
    <hyperlink ref="D760" r:id="rId825" xr:uid="{00000000-0004-0000-0700-000038030000}"/>
    <hyperlink ref="D761" r:id="rId826" xr:uid="{00000000-0004-0000-0700-000039030000}"/>
    <hyperlink ref="D762" r:id="rId827" xr:uid="{00000000-0004-0000-0700-00003A030000}"/>
    <hyperlink ref="D763" r:id="rId828" xr:uid="{00000000-0004-0000-0700-00003B030000}"/>
    <hyperlink ref="D764" r:id="rId829" xr:uid="{00000000-0004-0000-0700-00003C030000}"/>
    <hyperlink ref="D765" r:id="rId830" xr:uid="{00000000-0004-0000-0700-00003D030000}"/>
    <hyperlink ref="D766" r:id="rId831" xr:uid="{00000000-0004-0000-0700-00003E030000}"/>
    <hyperlink ref="D767" r:id="rId832" xr:uid="{00000000-0004-0000-0700-00003F030000}"/>
    <hyperlink ref="D768" r:id="rId833" xr:uid="{00000000-0004-0000-0700-000040030000}"/>
    <hyperlink ref="E768" r:id="rId834" xr:uid="{00000000-0004-0000-0700-000041030000}"/>
    <hyperlink ref="D769" r:id="rId835" xr:uid="{00000000-0004-0000-0700-000042030000}"/>
    <hyperlink ref="E769" r:id="rId836" xr:uid="{00000000-0004-0000-0700-000043030000}"/>
    <hyperlink ref="D770" r:id="rId837" xr:uid="{00000000-0004-0000-0700-000044030000}"/>
    <hyperlink ref="E770" r:id="rId838" xr:uid="{00000000-0004-0000-0700-000045030000}"/>
    <hyperlink ref="D771" r:id="rId839" xr:uid="{00000000-0004-0000-0700-000046030000}"/>
    <hyperlink ref="E771" r:id="rId840" xr:uid="{00000000-0004-0000-0700-000047030000}"/>
    <hyperlink ref="D772" r:id="rId841" xr:uid="{00000000-0004-0000-0700-000048030000}"/>
    <hyperlink ref="E772" r:id="rId842" xr:uid="{00000000-0004-0000-0700-000049030000}"/>
    <hyperlink ref="D773" r:id="rId843" xr:uid="{00000000-0004-0000-0700-00004A030000}"/>
    <hyperlink ref="E773" r:id="rId844" xr:uid="{00000000-0004-0000-0700-00004B030000}"/>
    <hyperlink ref="D774" r:id="rId845" xr:uid="{00000000-0004-0000-0700-00004C030000}"/>
    <hyperlink ref="E774" r:id="rId846" xr:uid="{00000000-0004-0000-0700-00004D030000}"/>
    <hyperlink ref="D775" r:id="rId847" xr:uid="{00000000-0004-0000-0700-00004E030000}"/>
    <hyperlink ref="E775" r:id="rId848" xr:uid="{00000000-0004-0000-0700-00004F030000}"/>
    <hyperlink ref="D776" r:id="rId849" xr:uid="{00000000-0004-0000-0700-000050030000}"/>
    <hyperlink ref="E776" r:id="rId850" xr:uid="{00000000-0004-0000-0700-000051030000}"/>
    <hyperlink ref="D777" r:id="rId851" xr:uid="{00000000-0004-0000-0700-000052030000}"/>
    <hyperlink ref="E777" r:id="rId852" xr:uid="{00000000-0004-0000-0700-000053030000}"/>
    <hyperlink ref="D778" r:id="rId853" xr:uid="{00000000-0004-0000-0700-000054030000}"/>
    <hyperlink ref="E778" r:id="rId854" xr:uid="{00000000-0004-0000-0700-000055030000}"/>
    <hyperlink ref="D779" r:id="rId855" xr:uid="{00000000-0004-0000-0700-000056030000}"/>
    <hyperlink ref="E779" r:id="rId856" xr:uid="{00000000-0004-0000-0700-000057030000}"/>
    <hyperlink ref="D780" r:id="rId857" xr:uid="{00000000-0004-0000-0700-000058030000}"/>
    <hyperlink ref="E780" r:id="rId858" xr:uid="{00000000-0004-0000-0700-000059030000}"/>
    <hyperlink ref="D781" r:id="rId859" xr:uid="{00000000-0004-0000-0700-00005A030000}"/>
    <hyperlink ref="E781" r:id="rId860" xr:uid="{00000000-0004-0000-0700-00005B030000}"/>
    <hyperlink ref="D782" r:id="rId861" xr:uid="{00000000-0004-0000-0700-00005C030000}"/>
    <hyperlink ref="E782" r:id="rId862" xr:uid="{00000000-0004-0000-0700-00005D030000}"/>
    <hyperlink ref="D783" r:id="rId863" xr:uid="{00000000-0004-0000-0700-00005E030000}"/>
    <hyperlink ref="E783" r:id="rId864" xr:uid="{00000000-0004-0000-0700-00005F030000}"/>
    <hyperlink ref="D784" r:id="rId865" xr:uid="{00000000-0004-0000-0700-000060030000}"/>
    <hyperlink ref="D785" r:id="rId866" xr:uid="{00000000-0004-0000-0700-000061030000}"/>
    <hyperlink ref="D786" r:id="rId867" xr:uid="{00000000-0004-0000-0700-000062030000}"/>
    <hyperlink ref="D787" r:id="rId868" xr:uid="{00000000-0004-0000-0700-000063030000}"/>
    <hyperlink ref="D788" r:id="rId869" xr:uid="{00000000-0004-0000-0700-000064030000}"/>
    <hyperlink ref="D789" r:id="rId870" xr:uid="{00000000-0004-0000-0700-000065030000}"/>
    <hyperlink ref="D790" r:id="rId871" xr:uid="{00000000-0004-0000-0700-000066030000}"/>
    <hyperlink ref="D791" r:id="rId872" xr:uid="{00000000-0004-0000-0700-000067030000}"/>
    <hyperlink ref="D792" r:id="rId873" xr:uid="{00000000-0004-0000-0700-000068030000}"/>
    <hyperlink ref="D793" r:id="rId874" xr:uid="{00000000-0004-0000-0700-000069030000}"/>
    <hyperlink ref="D794" r:id="rId875" xr:uid="{00000000-0004-0000-0700-00006A030000}"/>
    <hyperlink ref="D795" r:id="rId876" xr:uid="{00000000-0004-0000-0700-00006B030000}"/>
    <hyperlink ref="D796" r:id="rId877" xr:uid="{00000000-0004-0000-0700-00006C030000}"/>
    <hyperlink ref="D797" r:id="rId878" xr:uid="{00000000-0004-0000-0700-00006D030000}"/>
    <hyperlink ref="D798" r:id="rId879" xr:uid="{00000000-0004-0000-0700-00006E030000}"/>
    <hyperlink ref="D799" r:id="rId880" xr:uid="{00000000-0004-0000-0700-00006F030000}"/>
    <hyperlink ref="D800" r:id="rId881" xr:uid="{00000000-0004-0000-0700-000070030000}"/>
    <hyperlink ref="D801" r:id="rId882" xr:uid="{00000000-0004-0000-0700-000071030000}"/>
    <hyperlink ref="D802" r:id="rId883" xr:uid="{00000000-0004-0000-0700-000072030000}"/>
    <hyperlink ref="D803" r:id="rId884" xr:uid="{00000000-0004-0000-0700-000073030000}"/>
    <hyperlink ref="D804" r:id="rId885" xr:uid="{00000000-0004-0000-0700-000074030000}"/>
    <hyperlink ref="D805" r:id="rId886" xr:uid="{00000000-0004-0000-0700-000075030000}"/>
    <hyperlink ref="D806" r:id="rId887" xr:uid="{00000000-0004-0000-0700-000076030000}"/>
    <hyperlink ref="D807" r:id="rId888" xr:uid="{00000000-0004-0000-0700-000077030000}"/>
    <hyperlink ref="D808" r:id="rId889" xr:uid="{00000000-0004-0000-0700-000078030000}"/>
    <hyperlink ref="D809" r:id="rId890" xr:uid="{00000000-0004-0000-0700-000079030000}"/>
    <hyperlink ref="D810" r:id="rId891" xr:uid="{00000000-0004-0000-0700-00007A030000}"/>
    <hyperlink ref="D811" r:id="rId892" xr:uid="{00000000-0004-0000-0700-00007B030000}"/>
    <hyperlink ref="D812" r:id="rId893" xr:uid="{00000000-0004-0000-0700-00007C030000}"/>
    <hyperlink ref="D813" r:id="rId894" xr:uid="{00000000-0004-0000-0700-00007D030000}"/>
    <hyperlink ref="D814" r:id="rId895" xr:uid="{00000000-0004-0000-0700-00007E030000}"/>
    <hyperlink ref="D815" r:id="rId896" xr:uid="{00000000-0004-0000-0700-00007F030000}"/>
    <hyperlink ref="D816" r:id="rId897" xr:uid="{00000000-0004-0000-0700-000080030000}"/>
    <hyperlink ref="D817" r:id="rId898" xr:uid="{00000000-0004-0000-0700-000081030000}"/>
    <hyperlink ref="D818" r:id="rId899" xr:uid="{00000000-0004-0000-0700-000082030000}"/>
    <hyperlink ref="D819" r:id="rId900" xr:uid="{00000000-0004-0000-0700-000083030000}"/>
    <hyperlink ref="D820" r:id="rId901" xr:uid="{00000000-0004-0000-0700-000084030000}"/>
    <hyperlink ref="D821" r:id="rId902" xr:uid="{00000000-0004-0000-0700-000085030000}"/>
    <hyperlink ref="D822" r:id="rId903" xr:uid="{00000000-0004-0000-0700-000086030000}"/>
    <hyperlink ref="D823" r:id="rId904" xr:uid="{00000000-0004-0000-0700-000087030000}"/>
    <hyperlink ref="D824" r:id="rId905" xr:uid="{00000000-0004-0000-0700-000088030000}"/>
    <hyperlink ref="D825" r:id="rId906" xr:uid="{00000000-0004-0000-0700-000089030000}"/>
    <hyperlink ref="D826" r:id="rId907" xr:uid="{00000000-0004-0000-0700-00008A030000}"/>
    <hyperlink ref="D827" r:id="rId908" xr:uid="{00000000-0004-0000-0700-00008B030000}"/>
    <hyperlink ref="D828" r:id="rId909" xr:uid="{00000000-0004-0000-0700-00008C030000}"/>
    <hyperlink ref="D829" r:id="rId910" xr:uid="{00000000-0004-0000-0700-00008D030000}"/>
    <hyperlink ref="B830" r:id="rId911" display="https://www.linkedin.com/learning/managing-globally/what-is-cultural-agility" xr:uid="{00000000-0004-0000-0700-00008E030000}"/>
    <hyperlink ref="C830" r:id="rId912" xr:uid="{00000000-0004-0000-0700-00008F030000}"/>
    <hyperlink ref="D830" r:id="rId913" xr:uid="{00000000-0004-0000-0700-000090030000}"/>
    <hyperlink ref="D831" r:id="rId914" xr:uid="{00000000-0004-0000-0700-000091030000}"/>
    <hyperlink ref="D832" r:id="rId915" xr:uid="{00000000-0004-0000-0700-000092030000}"/>
    <hyperlink ref="D833" r:id="rId916" xr:uid="{00000000-0004-0000-0700-000093030000}"/>
    <hyperlink ref="D834" r:id="rId917" xr:uid="{00000000-0004-0000-0700-000094030000}"/>
    <hyperlink ref="D835" r:id="rId918" xr:uid="{00000000-0004-0000-0700-000095030000}"/>
    <hyperlink ref="D836" r:id="rId919" xr:uid="{00000000-0004-0000-0700-000096030000}"/>
    <hyperlink ref="D837" r:id="rId920" xr:uid="{00000000-0004-0000-0700-000097030000}"/>
    <hyperlink ref="D838" r:id="rId921" xr:uid="{00000000-0004-0000-0700-000098030000}"/>
    <hyperlink ref="D839" r:id="rId922" xr:uid="{00000000-0004-0000-0700-000099030000}"/>
    <hyperlink ref="D840" r:id="rId923" xr:uid="{00000000-0004-0000-0700-00009A030000}"/>
    <hyperlink ref="D841" r:id="rId924" xr:uid="{00000000-0004-0000-0700-00009B030000}"/>
    <hyperlink ref="D842" r:id="rId925" xr:uid="{00000000-0004-0000-0700-00009C030000}"/>
    <hyperlink ref="D843" r:id="rId926" xr:uid="{00000000-0004-0000-0700-00009D030000}"/>
    <hyperlink ref="D844" r:id="rId927" xr:uid="{00000000-0004-0000-0700-00009E030000}"/>
    <hyperlink ref="D845" r:id="rId928" xr:uid="{00000000-0004-0000-0700-00009F030000}"/>
    <hyperlink ref="D846" r:id="rId929" xr:uid="{00000000-0004-0000-0700-0000A0030000}"/>
    <hyperlink ref="D847" r:id="rId930" xr:uid="{00000000-0004-0000-0700-0000A1030000}"/>
    <hyperlink ref="D848" r:id="rId931" xr:uid="{00000000-0004-0000-0700-0000A2030000}"/>
    <hyperlink ref="D849" r:id="rId932" xr:uid="{00000000-0004-0000-0700-0000A3030000}"/>
    <hyperlink ref="D850" r:id="rId933" xr:uid="{00000000-0004-0000-0700-0000A4030000}"/>
    <hyperlink ref="D851" r:id="rId934" xr:uid="{00000000-0004-0000-0700-0000A5030000}"/>
    <hyperlink ref="D852" r:id="rId935" xr:uid="{00000000-0004-0000-0700-0000A6030000}"/>
    <hyperlink ref="C853" r:id="rId936" xr:uid="{00000000-0004-0000-0700-0000A7030000}"/>
    <hyperlink ref="D853" r:id="rId937" xr:uid="{00000000-0004-0000-0700-0000A8030000}"/>
    <hyperlink ref="D854" r:id="rId938" xr:uid="{00000000-0004-0000-0700-0000A9030000}"/>
    <hyperlink ref="D855" r:id="rId939" xr:uid="{00000000-0004-0000-0700-0000AA030000}"/>
    <hyperlink ref="D856" r:id="rId940" xr:uid="{00000000-0004-0000-0700-0000AB030000}"/>
    <hyperlink ref="D857" r:id="rId941" xr:uid="{00000000-0004-0000-0700-0000AC030000}"/>
    <hyperlink ref="D858" r:id="rId942" xr:uid="{00000000-0004-0000-0700-0000AD030000}"/>
    <hyperlink ref="E858" r:id="rId943" xr:uid="{00000000-0004-0000-0700-0000AE030000}"/>
    <hyperlink ref="D859" r:id="rId944" xr:uid="{00000000-0004-0000-0700-0000AF030000}"/>
    <hyperlink ref="E859" r:id="rId945" xr:uid="{00000000-0004-0000-0700-0000B0030000}"/>
    <hyperlink ref="D860" r:id="rId946" xr:uid="{00000000-0004-0000-0700-0000B1030000}"/>
    <hyperlink ref="E860" r:id="rId947" xr:uid="{00000000-0004-0000-0700-0000B2030000}"/>
    <hyperlink ref="D861" r:id="rId948" xr:uid="{00000000-0004-0000-0700-0000B3030000}"/>
    <hyperlink ref="E861" r:id="rId949" xr:uid="{00000000-0004-0000-0700-0000B4030000}"/>
    <hyperlink ref="D862" r:id="rId950" xr:uid="{00000000-0004-0000-0700-0000B5030000}"/>
    <hyperlink ref="E862" r:id="rId951" xr:uid="{00000000-0004-0000-0700-0000B6030000}"/>
    <hyperlink ref="D863" r:id="rId952" xr:uid="{00000000-0004-0000-0700-0000B7030000}"/>
    <hyperlink ref="E863" r:id="rId953" xr:uid="{00000000-0004-0000-0700-0000B8030000}"/>
    <hyperlink ref="D864" r:id="rId954" xr:uid="{00000000-0004-0000-0700-0000B9030000}"/>
    <hyperlink ref="E864" r:id="rId955" xr:uid="{00000000-0004-0000-0700-0000BA030000}"/>
    <hyperlink ref="D865" r:id="rId956" xr:uid="{00000000-0004-0000-0700-0000BB030000}"/>
    <hyperlink ref="E865" r:id="rId957" xr:uid="{00000000-0004-0000-0700-0000BC030000}"/>
    <hyperlink ref="D866" r:id="rId958" xr:uid="{00000000-0004-0000-0700-0000BD030000}"/>
    <hyperlink ref="E866" r:id="rId959" xr:uid="{00000000-0004-0000-0700-0000BE030000}"/>
    <hyperlink ref="D867" r:id="rId960" xr:uid="{00000000-0004-0000-0700-0000BF030000}"/>
    <hyperlink ref="E867" r:id="rId961" xr:uid="{00000000-0004-0000-0700-0000C0030000}"/>
    <hyperlink ref="D868" r:id="rId962" xr:uid="{00000000-0004-0000-0700-0000C1030000}"/>
    <hyperlink ref="E868" r:id="rId963" xr:uid="{00000000-0004-0000-0700-0000C2030000}"/>
    <hyperlink ref="D869" r:id="rId964" xr:uid="{00000000-0004-0000-0700-0000C3030000}"/>
    <hyperlink ref="E869" r:id="rId965" xr:uid="{00000000-0004-0000-0700-0000C4030000}"/>
    <hyperlink ref="D870" r:id="rId966" xr:uid="{00000000-0004-0000-0700-0000C5030000}"/>
    <hyperlink ref="E870" r:id="rId967" xr:uid="{00000000-0004-0000-0700-0000C6030000}"/>
    <hyperlink ref="D871" r:id="rId968" xr:uid="{00000000-0004-0000-0700-0000C7030000}"/>
    <hyperlink ref="E871" r:id="rId969" xr:uid="{00000000-0004-0000-0700-0000C8030000}"/>
    <hyperlink ref="D872" r:id="rId970" xr:uid="{00000000-0004-0000-0700-0000C9030000}"/>
    <hyperlink ref="D873" r:id="rId971" xr:uid="{00000000-0004-0000-0700-0000CA030000}"/>
    <hyperlink ref="D874" r:id="rId972" xr:uid="{00000000-0004-0000-0700-0000CB030000}"/>
    <hyperlink ref="D875" r:id="rId973" xr:uid="{00000000-0004-0000-0700-0000CC030000}"/>
    <hyperlink ref="D876" r:id="rId974" xr:uid="{00000000-0004-0000-0700-0000CD030000}"/>
    <hyperlink ref="D877" r:id="rId975" xr:uid="{00000000-0004-0000-0700-0000CE030000}"/>
    <hyperlink ref="D878" r:id="rId976" xr:uid="{00000000-0004-0000-0700-0000CF030000}"/>
    <hyperlink ref="D879" r:id="rId977" xr:uid="{00000000-0004-0000-0700-0000D0030000}"/>
    <hyperlink ref="D880" r:id="rId978" xr:uid="{00000000-0004-0000-0700-0000D1030000}"/>
    <hyperlink ref="B881" r:id="rId979" display="https://www.linkedin.com/learning/managing-globally/what-is-cultural-agility" xr:uid="{00000000-0004-0000-0700-0000D2030000}"/>
    <hyperlink ref="C881" r:id="rId980" xr:uid="{00000000-0004-0000-0700-0000D3030000}"/>
    <hyperlink ref="D881" r:id="rId981" xr:uid="{00000000-0004-0000-0700-0000D4030000}"/>
    <hyperlink ref="D882" r:id="rId982" xr:uid="{00000000-0004-0000-0700-0000D5030000}"/>
    <hyperlink ref="D883" r:id="rId983" xr:uid="{00000000-0004-0000-0700-0000D6030000}"/>
    <hyperlink ref="D884" r:id="rId984" xr:uid="{00000000-0004-0000-0700-0000D7030000}"/>
    <hyperlink ref="D885" r:id="rId985" xr:uid="{00000000-0004-0000-0700-0000D8030000}"/>
    <hyperlink ref="D886" r:id="rId986" xr:uid="{00000000-0004-0000-0700-0000D9030000}"/>
    <hyperlink ref="D887" r:id="rId987" xr:uid="{00000000-0004-0000-0700-0000DA030000}"/>
    <hyperlink ref="D888" r:id="rId988" xr:uid="{00000000-0004-0000-0700-0000DB030000}"/>
    <hyperlink ref="D889" r:id="rId989" xr:uid="{00000000-0004-0000-0700-0000DC030000}"/>
    <hyperlink ref="D890" r:id="rId990" xr:uid="{00000000-0004-0000-0700-0000DD030000}"/>
    <hyperlink ref="D891" r:id="rId991" xr:uid="{00000000-0004-0000-0700-0000DE030000}"/>
    <hyperlink ref="D892" r:id="rId992" xr:uid="{00000000-0004-0000-0700-0000DF030000}"/>
    <hyperlink ref="D893" r:id="rId993" xr:uid="{00000000-0004-0000-0700-0000E0030000}"/>
    <hyperlink ref="D894" r:id="rId994" xr:uid="{00000000-0004-0000-0700-0000E1030000}"/>
    <hyperlink ref="D895" r:id="rId995" xr:uid="{00000000-0004-0000-0700-0000E2030000}"/>
    <hyperlink ref="D896" r:id="rId996" xr:uid="{00000000-0004-0000-0700-0000E3030000}"/>
    <hyperlink ref="D897" r:id="rId997" xr:uid="{00000000-0004-0000-0700-0000E4030000}"/>
    <hyperlink ref="D898" r:id="rId998" xr:uid="{00000000-0004-0000-0700-0000E5030000}"/>
    <hyperlink ref="D899" r:id="rId999" xr:uid="{00000000-0004-0000-0700-0000E6030000}"/>
    <hyperlink ref="D900" r:id="rId1000" xr:uid="{00000000-0004-0000-0700-0000E7030000}"/>
    <hyperlink ref="D901" r:id="rId1001" xr:uid="{00000000-0004-0000-0700-0000E8030000}"/>
    <hyperlink ref="D902" r:id="rId1002" xr:uid="{00000000-0004-0000-0700-0000E9030000}"/>
    <hyperlink ref="C903" r:id="rId1003" xr:uid="{00000000-0004-0000-0700-0000EA030000}"/>
    <hyperlink ref="D903" r:id="rId1004" xr:uid="{00000000-0004-0000-0700-0000EB030000}"/>
    <hyperlink ref="D904" r:id="rId1005" xr:uid="{00000000-0004-0000-0700-0000EC030000}"/>
    <hyperlink ref="D905" r:id="rId1006" xr:uid="{00000000-0004-0000-0700-0000ED030000}"/>
    <hyperlink ref="D906" r:id="rId1007" xr:uid="{00000000-0004-0000-0700-0000EE030000}"/>
    <hyperlink ref="D907" r:id="rId1008" xr:uid="{00000000-0004-0000-0700-0000EF030000}"/>
    <hyperlink ref="D908" r:id="rId1009" xr:uid="{00000000-0004-0000-0700-0000F0030000}"/>
    <hyperlink ref="D909" r:id="rId1010" xr:uid="{00000000-0004-0000-0700-0000F1030000}"/>
    <hyperlink ref="D910" r:id="rId1011" xr:uid="{00000000-0004-0000-0700-0000F2030000}"/>
    <hyperlink ref="D911" r:id="rId1012" xr:uid="{00000000-0004-0000-0700-0000F3030000}"/>
    <hyperlink ref="D912" r:id="rId1013" xr:uid="{00000000-0004-0000-0700-0000F4030000}"/>
    <hyperlink ref="D913" r:id="rId1014" xr:uid="{00000000-0004-0000-0700-0000F5030000}"/>
    <hyperlink ref="E913" r:id="rId1015" xr:uid="{00000000-0004-0000-0700-0000F6030000}"/>
    <hyperlink ref="D914" r:id="rId1016" xr:uid="{00000000-0004-0000-0700-0000F7030000}"/>
    <hyperlink ref="E914" r:id="rId1017" xr:uid="{00000000-0004-0000-0700-0000F8030000}"/>
    <hyperlink ref="D915" r:id="rId1018" xr:uid="{00000000-0004-0000-0700-0000F9030000}"/>
    <hyperlink ref="E915" r:id="rId1019" xr:uid="{00000000-0004-0000-0700-0000FA030000}"/>
    <hyperlink ref="D916" r:id="rId1020" xr:uid="{00000000-0004-0000-0700-0000FB030000}"/>
    <hyperlink ref="E916" r:id="rId1021" xr:uid="{00000000-0004-0000-0700-0000FC030000}"/>
    <hyperlink ref="D917" r:id="rId1022" xr:uid="{00000000-0004-0000-0700-0000FD030000}"/>
    <hyperlink ref="E917" r:id="rId1023" xr:uid="{00000000-0004-0000-0700-0000FE030000}"/>
    <hyperlink ref="D918" r:id="rId1024" xr:uid="{00000000-0004-0000-0700-0000FF030000}"/>
    <hyperlink ref="E918" r:id="rId1025" xr:uid="{00000000-0004-0000-0700-000000040000}"/>
    <hyperlink ref="D919" r:id="rId1026" xr:uid="{00000000-0004-0000-0700-000001040000}"/>
    <hyperlink ref="E919" r:id="rId1027" xr:uid="{00000000-0004-0000-0700-000002040000}"/>
    <hyperlink ref="D920" r:id="rId1028" xr:uid="{00000000-0004-0000-0700-000003040000}"/>
    <hyperlink ref="E920" r:id="rId1029" xr:uid="{00000000-0004-0000-0700-000004040000}"/>
    <hyperlink ref="D921" r:id="rId1030" xr:uid="{00000000-0004-0000-0700-000005040000}"/>
    <hyperlink ref="E921" r:id="rId1031" xr:uid="{00000000-0004-0000-0700-000006040000}"/>
    <hyperlink ref="D922" r:id="rId1032" xr:uid="{00000000-0004-0000-0700-000007040000}"/>
    <hyperlink ref="D923" r:id="rId1033" xr:uid="{00000000-0004-0000-0700-000008040000}"/>
    <hyperlink ref="D924" r:id="rId1034" xr:uid="{00000000-0004-0000-0700-000009040000}"/>
    <hyperlink ref="D925" r:id="rId1035" xr:uid="{00000000-0004-0000-0700-00000A040000}"/>
    <hyperlink ref="D926" r:id="rId1036" xr:uid="{00000000-0004-0000-0700-00000B040000}"/>
    <hyperlink ref="D927" r:id="rId1037" xr:uid="{00000000-0004-0000-0700-00000C040000}"/>
    <hyperlink ref="D928" r:id="rId1038" xr:uid="{00000000-0004-0000-0700-00000D040000}"/>
    <hyperlink ref="D929" r:id="rId1039" xr:uid="{00000000-0004-0000-0700-00000E040000}"/>
    <hyperlink ref="D930" r:id="rId1040" xr:uid="{00000000-0004-0000-0700-00000F040000}"/>
    <hyperlink ref="D931" r:id="rId1041" xr:uid="{00000000-0004-0000-0700-000010040000}"/>
    <hyperlink ref="D932" r:id="rId1042" xr:uid="{00000000-0004-0000-0700-000011040000}"/>
    <hyperlink ref="D933" r:id="rId1043" xr:uid="{00000000-0004-0000-0700-000012040000}"/>
    <hyperlink ref="D934" r:id="rId1044" xr:uid="{00000000-0004-0000-0700-000013040000}"/>
    <hyperlink ref="D935" r:id="rId1045" xr:uid="{00000000-0004-0000-0700-000014040000}"/>
    <hyperlink ref="D936" r:id="rId1046" xr:uid="{00000000-0004-0000-0700-000015040000}"/>
    <hyperlink ref="D937" r:id="rId1047" xr:uid="{00000000-0004-0000-0700-000016040000}"/>
    <hyperlink ref="D938" r:id="rId1048" xr:uid="{00000000-0004-0000-0700-000017040000}"/>
    <hyperlink ref="D939" r:id="rId1049" xr:uid="{00000000-0004-0000-0700-000018040000}"/>
    <hyperlink ref="D940" r:id="rId1050" xr:uid="{00000000-0004-0000-0700-000019040000}"/>
    <hyperlink ref="D941" r:id="rId1051" xr:uid="{00000000-0004-0000-0700-00001A040000}"/>
    <hyperlink ref="D942" r:id="rId1052" xr:uid="{00000000-0004-0000-0700-00001B040000}"/>
    <hyperlink ref="D943" r:id="rId1053" xr:uid="{00000000-0004-0000-0700-00001C040000}"/>
    <hyperlink ref="D944" r:id="rId1054" xr:uid="{00000000-0004-0000-0700-00001D040000}"/>
    <hyperlink ref="D945" r:id="rId1055" xr:uid="{00000000-0004-0000-0700-00001E040000}"/>
    <hyperlink ref="D946" r:id="rId1056" xr:uid="{00000000-0004-0000-0700-00001F040000}"/>
    <hyperlink ref="D947" r:id="rId1057" xr:uid="{00000000-0004-0000-0700-000020040000}"/>
    <hyperlink ref="D948" r:id="rId1058" xr:uid="{00000000-0004-0000-0700-000021040000}"/>
    <hyperlink ref="D949" r:id="rId1059" xr:uid="{00000000-0004-0000-0700-000022040000}"/>
    <hyperlink ref="D950" r:id="rId1060" xr:uid="{00000000-0004-0000-0700-000023040000}"/>
    <hyperlink ref="D951" r:id="rId1061" xr:uid="{00000000-0004-0000-0700-000024040000}"/>
    <hyperlink ref="D952" r:id="rId1062" xr:uid="{00000000-0004-0000-0700-000025040000}"/>
    <hyperlink ref="D953" r:id="rId1063" xr:uid="{00000000-0004-0000-0700-000026040000}"/>
    <hyperlink ref="D954" r:id="rId1064" xr:uid="{00000000-0004-0000-0700-000027040000}"/>
    <hyperlink ref="D955" r:id="rId1065" xr:uid="{00000000-0004-0000-0700-000028040000}"/>
    <hyperlink ref="D956" r:id="rId1066" xr:uid="{00000000-0004-0000-0700-000029040000}"/>
    <hyperlink ref="D957" r:id="rId1067" xr:uid="{00000000-0004-0000-0700-00002A040000}"/>
    <hyperlink ref="D958" r:id="rId1068" xr:uid="{00000000-0004-0000-0700-00002B040000}"/>
    <hyperlink ref="D959" r:id="rId1069" xr:uid="{00000000-0004-0000-0700-00002C040000}"/>
    <hyperlink ref="D960" r:id="rId1070" xr:uid="{00000000-0004-0000-0700-00002D040000}"/>
    <hyperlink ref="D961" r:id="rId1071" xr:uid="{00000000-0004-0000-0700-00002E040000}"/>
    <hyperlink ref="D962" r:id="rId1072" xr:uid="{00000000-0004-0000-0700-00002F040000}"/>
    <hyperlink ref="D963" r:id="rId1073" xr:uid="{00000000-0004-0000-0700-000030040000}"/>
    <hyperlink ref="D964" r:id="rId1074" xr:uid="{00000000-0004-0000-0700-000031040000}"/>
    <hyperlink ref="D965" r:id="rId1075" xr:uid="{00000000-0004-0000-0700-000032040000}"/>
    <hyperlink ref="D966" r:id="rId1076" xr:uid="{00000000-0004-0000-0700-000033040000}"/>
    <hyperlink ref="D967" r:id="rId1077" xr:uid="{00000000-0004-0000-0700-000034040000}"/>
    <hyperlink ref="D968" r:id="rId1078" xr:uid="{00000000-0004-0000-0700-000035040000}"/>
    <hyperlink ref="D969" r:id="rId1079" xr:uid="{00000000-0004-0000-0700-000036040000}"/>
    <hyperlink ref="D970" r:id="rId1080" xr:uid="{00000000-0004-0000-0700-000037040000}"/>
    <hyperlink ref="D971" r:id="rId1081" xr:uid="{00000000-0004-0000-0700-000038040000}"/>
    <hyperlink ref="D972" r:id="rId1082" xr:uid="{00000000-0004-0000-0700-000039040000}"/>
    <hyperlink ref="B973" r:id="rId1083" display="https://www.linkedin.com/learning/managing-globally/what-is-cultural-agility" xr:uid="{00000000-0004-0000-0700-00003A040000}"/>
    <hyperlink ref="C973" r:id="rId1084" xr:uid="{00000000-0004-0000-0700-00003B040000}"/>
    <hyperlink ref="D973" r:id="rId1085" xr:uid="{00000000-0004-0000-0700-00003C040000}"/>
    <hyperlink ref="D974" r:id="rId1086" xr:uid="{00000000-0004-0000-0700-00003D040000}"/>
    <hyperlink ref="D975" r:id="rId1087" xr:uid="{00000000-0004-0000-0700-00003E040000}"/>
    <hyperlink ref="D976" r:id="rId1088" xr:uid="{00000000-0004-0000-0700-00003F040000}"/>
    <hyperlink ref="D977" r:id="rId1089" xr:uid="{00000000-0004-0000-0700-000040040000}"/>
    <hyperlink ref="D978" r:id="rId1090" xr:uid="{00000000-0004-0000-0700-000041040000}"/>
    <hyperlink ref="D979" r:id="rId1091" xr:uid="{00000000-0004-0000-0700-000042040000}"/>
    <hyperlink ref="D980" r:id="rId1092" xr:uid="{00000000-0004-0000-0700-000043040000}"/>
    <hyperlink ref="D981" r:id="rId1093" xr:uid="{00000000-0004-0000-0700-000044040000}"/>
    <hyperlink ref="D982" r:id="rId1094" xr:uid="{00000000-0004-0000-0700-000045040000}"/>
    <hyperlink ref="D983" r:id="rId1095" xr:uid="{00000000-0004-0000-0700-000046040000}"/>
    <hyperlink ref="D984" r:id="rId1096" xr:uid="{00000000-0004-0000-0700-000047040000}"/>
    <hyperlink ref="B985" r:id="rId1097" display="https://www.linkedin.com/learning/managing-globally/what-is-cultural-agility" xr:uid="{00000000-0004-0000-0700-000048040000}"/>
    <hyperlink ref="C985" r:id="rId1098" xr:uid="{00000000-0004-0000-0700-000049040000}"/>
    <hyperlink ref="D985" r:id="rId1099" xr:uid="{00000000-0004-0000-0700-00004A040000}"/>
    <hyperlink ref="D986" r:id="rId1100" xr:uid="{00000000-0004-0000-0700-00004B040000}"/>
    <hyperlink ref="D987" r:id="rId1101" xr:uid="{00000000-0004-0000-0700-00004C040000}"/>
    <hyperlink ref="D988" r:id="rId1102" xr:uid="{00000000-0004-0000-0700-00004D040000}"/>
    <hyperlink ref="D989" r:id="rId1103" xr:uid="{00000000-0004-0000-0700-00004E040000}"/>
    <hyperlink ref="D990" r:id="rId1104" xr:uid="{00000000-0004-0000-0700-00004F040000}"/>
    <hyperlink ref="D991" r:id="rId1105" xr:uid="{00000000-0004-0000-0700-000050040000}"/>
    <hyperlink ref="D992" r:id="rId1106" xr:uid="{00000000-0004-0000-0700-000051040000}"/>
    <hyperlink ref="D993" r:id="rId1107" xr:uid="{00000000-0004-0000-0700-000052040000}"/>
    <hyperlink ref="D994" r:id="rId1108" xr:uid="{00000000-0004-0000-0700-000053040000}"/>
    <hyperlink ref="D995" r:id="rId1109" xr:uid="{00000000-0004-0000-0700-000054040000}"/>
    <hyperlink ref="D996" r:id="rId1110" xr:uid="{00000000-0004-0000-0700-000055040000}"/>
    <hyperlink ref="D997" r:id="rId1111" xr:uid="{00000000-0004-0000-0700-000056040000}"/>
    <hyperlink ref="D998" r:id="rId1112" xr:uid="{00000000-0004-0000-0700-000057040000}"/>
    <hyperlink ref="D999" r:id="rId1113" xr:uid="{00000000-0004-0000-0700-000058040000}"/>
    <hyperlink ref="D1000" r:id="rId1114" xr:uid="{00000000-0004-0000-0700-000059040000}"/>
    <hyperlink ref="D1001" r:id="rId1115" xr:uid="{00000000-0004-0000-0700-00005A040000}"/>
    <hyperlink ref="D1002" r:id="rId1116" xr:uid="{00000000-0004-0000-0700-00005B040000}"/>
    <hyperlink ref="D1003" r:id="rId1117" xr:uid="{00000000-0004-0000-0700-00005C040000}"/>
    <hyperlink ref="D1004" r:id="rId1118" xr:uid="{00000000-0004-0000-0700-00005D040000}"/>
    <hyperlink ref="D1005" r:id="rId1119" xr:uid="{00000000-0004-0000-0700-00005E040000}"/>
    <hyperlink ref="D1006" r:id="rId1120" xr:uid="{00000000-0004-0000-0700-00005F040000}"/>
    <hyperlink ref="D1007" r:id="rId1121" xr:uid="{00000000-0004-0000-0700-000060040000}"/>
    <hyperlink ref="D1008" r:id="rId1122" xr:uid="{00000000-0004-0000-0700-000061040000}"/>
    <hyperlink ref="C1009" r:id="rId1123" xr:uid="{00000000-0004-0000-0700-000062040000}"/>
    <hyperlink ref="D1009" r:id="rId1124" xr:uid="{00000000-0004-0000-0700-000063040000}"/>
    <hyperlink ref="D1010" r:id="rId1125" xr:uid="{00000000-0004-0000-0700-000064040000}"/>
    <hyperlink ref="D1011" r:id="rId1126" xr:uid="{00000000-0004-0000-0700-000065040000}"/>
    <hyperlink ref="D1012" r:id="rId1127" xr:uid="{00000000-0004-0000-0700-000066040000}"/>
    <hyperlink ref="D1013" r:id="rId1128" xr:uid="{00000000-0004-0000-0700-000067040000}"/>
    <hyperlink ref="D1014" r:id="rId1129" xr:uid="{00000000-0004-0000-0700-000068040000}"/>
    <hyperlink ref="D1015" r:id="rId1130" xr:uid="{00000000-0004-0000-0700-000069040000}"/>
    <hyperlink ref="E1015" r:id="rId1131" xr:uid="{00000000-0004-0000-0700-00006A040000}"/>
    <hyperlink ref="D1016" r:id="rId1132" xr:uid="{00000000-0004-0000-0700-00006B040000}"/>
    <hyperlink ref="E1016" r:id="rId1133" xr:uid="{00000000-0004-0000-0700-00006C040000}"/>
    <hyperlink ref="D1017" r:id="rId1134" xr:uid="{00000000-0004-0000-0700-00006D040000}"/>
    <hyperlink ref="E1017" r:id="rId1135" xr:uid="{00000000-0004-0000-0700-00006E040000}"/>
    <hyperlink ref="D1018" r:id="rId1136" xr:uid="{00000000-0004-0000-0700-00006F040000}"/>
    <hyperlink ref="E1018" r:id="rId1137" xr:uid="{00000000-0004-0000-0700-000070040000}"/>
    <hyperlink ref="D1019" r:id="rId1138" xr:uid="{00000000-0004-0000-0700-000071040000}"/>
    <hyperlink ref="E1019" r:id="rId1139" xr:uid="{00000000-0004-0000-0700-000072040000}"/>
    <hyperlink ref="D1020" r:id="rId1140" xr:uid="{00000000-0004-0000-0700-000073040000}"/>
    <hyperlink ref="E1020" r:id="rId1141" xr:uid="{00000000-0004-0000-0700-000074040000}"/>
    <hyperlink ref="D1021" r:id="rId1142" xr:uid="{00000000-0004-0000-0700-000075040000}"/>
    <hyperlink ref="E1021" r:id="rId1143" xr:uid="{00000000-0004-0000-0700-000076040000}"/>
    <hyperlink ref="D1022" r:id="rId1144" xr:uid="{00000000-0004-0000-0700-000077040000}"/>
    <hyperlink ref="E1022" r:id="rId1145" xr:uid="{00000000-0004-0000-0700-000078040000}"/>
    <hyperlink ref="C1023" r:id="rId1146" xr:uid="{00000000-0004-0000-0700-000079040000}"/>
    <hyperlink ref="D1023" r:id="rId1147" xr:uid="{00000000-0004-0000-0700-00007A040000}"/>
    <hyperlink ref="E1023" r:id="rId1148" xr:uid="{00000000-0004-0000-0700-00007B040000}"/>
    <hyperlink ref="D1024" r:id="rId1149" xr:uid="{00000000-0004-0000-0700-00007C040000}"/>
    <hyperlink ref="E1024" r:id="rId1150" xr:uid="{00000000-0004-0000-0700-00007D040000}"/>
    <hyperlink ref="D1025" r:id="rId1151" xr:uid="{00000000-0004-0000-0700-00007E040000}"/>
    <hyperlink ref="D1026" r:id="rId1152" xr:uid="{00000000-0004-0000-0700-00007F040000}"/>
    <hyperlink ref="D1027" r:id="rId1153" xr:uid="{00000000-0004-0000-0700-000080040000}"/>
    <hyperlink ref="D1028" r:id="rId1154" xr:uid="{00000000-0004-0000-0700-000081040000}"/>
    <hyperlink ref="D1029" r:id="rId1155" xr:uid="{00000000-0004-0000-0700-000082040000}"/>
    <hyperlink ref="D1030" r:id="rId1156" xr:uid="{00000000-0004-0000-0700-000083040000}"/>
    <hyperlink ref="D1031" r:id="rId1157" xr:uid="{00000000-0004-0000-0700-000084040000}"/>
    <hyperlink ref="D1032" r:id="rId1158" xr:uid="{00000000-0004-0000-0700-000085040000}"/>
    <hyperlink ref="D1033" r:id="rId1159" xr:uid="{00000000-0004-0000-0700-000086040000}"/>
    <hyperlink ref="D1034" r:id="rId1160" xr:uid="{00000000-0004-0000-0700-000087040000}"/>
    <hyperlink ref="D1035" r:id="rId1161" xr:uid="{00000000-0004-0000-0700-000088040000}"/>
    <hyperlink ref="D1036" r:id="rId1162" xr:uid="{00000000-0004-0000-0700-000089040000}"/>
    <hyperlink ref="D1037" r:id="rId1163" xr:uid="{00000000-0004-0000-0700-00008A040000}"/>
    <hyperlink ref="D1038" r:id="rId1164" xr:uid="{00000000-0004-0000-0700-00008B040000}"/>
    <hyperlink ref="D1039" r:id="rId1165" xr:uid="{00000000-0004-0000-0700-00008C040000}"/>
    <hyperlink ref="D1040" r:id="rId1166" xr:uid="{00000000-0004-0000-0700-00008D040000}"/>
    <hyperlink ref="D1041" r:id="rId1167" xr:uid="{00000000-0004-0000-0700-00008E040000}"/>
    <hyperlink ref="D1042" r:id="rId1168" xr:uid="{00000000-0004-0000-0700-00008F040000}"/>
    <hyperlink ref="D1043" r:id="rId1169" xr:uid="{00000000-0004-0000-0700-000090040000}"/>
    <hyperlink ref="D1044" r:id="rId1170" xr:uid="{00000000-0004-0000-0700-000091040000}"/>
    <hyperlink ref="D1045" r:id="rId1171" xr:uid="{00000000-0004-0000-0700-000092040000}"/>
    <hyperlink ref="D1046" r:id="rId1172" xr:uid="{00000000-0004-0000-0700-000093040000}"/>
    <hyperlink ref="D1047" r:id="rId1173" xr:uid="{00000000-0004-0000-0700-000094040000}"/>
    <hyperlink ref="D1048" r:id="rId1174" xr:uid="{00000000-0004-0000-0700-000095040000}"/>
    <hyperlink ref="D1049" r:id="rId1175" xr:uid="{00000000-0004-0000-0700-000096040000}"/>
    <hyperlink ref="D1050" r:id="rId1176" xr:uid="{00000000-0004-0000-0700-000097040000}"/>
    <hyperlink ref="D1051" r:id="rId1177" xr:uid="{00000000-0004-0000-0700-000098040000}"/>
    <hyperlink ref="B1052" r:id="rId1178" display="https://www.linkedin.com/learning/managing-globally/what-is-cultural-agility" xr:uid="{00000000-0004-0000-0700-000099040000}"/>
    <hyperlink ref="C1052" r:id="rId1179" xr:uid="{00000000-0004-0000-0700-00009A040000}"/>
    <hyperlink ref="D1052" r:id="rId1180" xr:uid="{00000000-0004-0000-0700-00009B040000}"/>
    <hyperlink ref="D1053" r:id="rId1181" xr:uid="{00000000-0004-0000-0700-00009C040000}"/>
    <hyperlink ref="D1054" r:id="rId1182" xr:uid="{00000000-0004-0000-0700-00009D040000}"/>
    <hyperlink ref="D1055" r:id="rId1183" xr:uid="{00000000-0004-0000-0700-00009E040000}"/>
    <hyperlink ref="D1056" r:id="rId1184" xr:uid="{00000000-0004-0000-0700-00009F040000}"/>
    <hyperlink ref="D1057" r:id="rId1185" xr:uid="{00000000-0004-0000-0700-0000A0040000}"/>
    <hyperlink ref="D1058" r:id="rId1186" xr:uid="{00000000-0004-0000-0700-0000A1040000}"/>
    <hyperlink ref="D1059" r:id="rId1187" xr:uid="{00000000-0004-0000-0700-0000A2040000}"/>
    <hyperlink ref="D1060" r:id="rId1188" xr:uid="{00000000-0004-0000-0700-0000A3040000}"/>
    <hyperlink ref="D1061" r:id="rId1189" xr:uid="{00000000-0004-0000-0700-0000A4040000}"/>
    <hyperlink ref="D1062" r:id="rId1190" xr:uid="{00000000-0004-0000-0700-0000A5040000}"/>
    <hyperlink ref="D1063" r:id="rId1191" xr:uid="{00000000-0004-0000-0700-0000A6040000}"/>
    <hyperlink ref="D1064" r:id="rId1192" xr:uid="{00000000-0004-0000-0700-0000A7040000}"/>
    <hyperlink ref="D1065" r:id="rId1193" xr:uid="{00000000-0004-0000-0700-0000A8040000}"/>
    <hyperlink ref="D1066" r:id="rId1194" xr:uid="{00000000-0004-0000-0700-0000A9040000}"/>
    <hyperlink ref="D1067" r:id="rId1195" xr:uid="{00000000-0004-0000-0700-0000AA040000}"/>
    <hyperlink ref="D1068" r:id="rId1196" xr:uid="{00000000-0004-0000-0700-0000AB040000}"/>
    <hyperlink ref="D1069" r:id="rId1197" xr:uid="{00000000-0004-0000-0700-0000AC040000}"/>
    <hyperlink ref="D1070" r:id="rId1198" xr:uid="{00000000-0004-0000-0700-0000AD040000}"/>
    <hyperlink ref="D1071" r:id="rId1199" xr:uid="{00000000-0004-0000-0700-0000AE040000}"/>
    <hyperlink ref="D1072" r:id="rId1200" xr:uid="{00000000-0004-0000-0700-0000AF040000}"/>
    <hyperlink ref="D1073" r:id="rId1201" xr:uid="{00000000-0004-0000-0700-0000B0040000}"/>
    <hyperlink ref="D1074" r:id="rId1202" xr:uid="{00000000-0004-0000-0700-0000B1040000}"/>
    <hyperlink ref="D1075" r:id="rId1203" xr:uid="{00000000-0004-0000-0700-0000B2040000}"/>
    <hyperlink ref="D1076" r:id="rId1204" xr:uid="{00000000-0004-0000-0700-0000B3040000}"/>
    <hyperlink ref="D1077" r:id="rId1205" xr:uid="{00000000-0004-0000-0700-0000B4040000}"/>
    <hyperlink ref="D1078" r:id="rId1206" xr:uid="{00000000-0004-0000-0700-0000B5040000}"/>
    <hyperlink ref="D1079" r:id="rId1207" xr:uid="{00000000-0004-0000-0700-0000B6040000}"/>
    <hyperlink ref="D1080" r:id="rId1208" xr:uid="{00000000-0004-0000-0700-0000B7040000}"/>
    <hyperlink ref="D1081" r:id="rId1209" xr:uid="{00000000-0004-0000-0700-0000B8040000}"/>
    <hyperlink ref="D1082" r:id="rId1210" xr:uid="{00000000-0004-0000-0700-0000B9040000}"/>
    <hyperlink ref="D1083" r:id="rId1211" xr:uid="{00000000-0004-0000-0700-0000BA040000}"/>
    <hyperlink ref="B1084" r:id="rId1212" display="https://www.linkedin.com/learning/managing-globally/what-is-cultural-agility" xr:uid="{00000000-0004-0000-0700-0000BB040000}"/>
    <hyperlink ref="C1084" r:id="rId1213" xr:uid="{00000000-0004-0000-0700-0000BC040000}"/>
    <hyperlink ref="D1084" r:id="rId1214" xr:uid="{00000000-0004-0000-0700-0000BD040000}"/>
    <hyperlink ref="D1085" r:id="rId1215" xr:uid="{00000000-0004-0000-0700-0000BE040000}"/>
    <hyperlink ref="D1086" r:id="rId1216" xr:uid="{00000000-0004-0000-0700-0000BF040000}"/>
    <hyperlink ref="D1087" r:id="rId1217" xr:uid="{00000000-0004-0000-0700-0000C0040000}"/>
    <hyperlink ref="D1088" r:id="rId1218" xr:uid="{00000000-0004-0000-0700-0000C1040000}"/>
    <hyperlink ref="D1089" r:id="rId1219" xr:uid="{00000000-0004-0000-0700-0000C2040000}"/>
    <hyperlink ref="D1090" r:id="rId1220" xr:uid="{00000000-0004-0000-0700-0000C3040000}"/>
    <hyperlink ref="D1091" r:id="rId1221" xr:uid="{00000000-0004-0000-0700-0000C4040000}"/>
    <hyperlink ref="D1092" r:id="rId1222" xr:uid="{00000000-0004-0000-0700-0000C5040000}"/>
    <hyperlink ref="D1093" r:id="rId1223" xr:uid="{00000000-0004-0000-0700-0000C6040000}"/>
    <hyperlink ref="D1094" r:id="rId1224" xr:uid="{00000000-0004-0000-0700-0000C7040000}"/>
    <hyperlink ref="D1095" r:id="rId1225" xr:uid="{00000000-0004-0000-0700-0000C8040000}"/>
    <hyperlink ref="D1096" r:id="rId1226" xr:uid="{00000000-0004-0000-0700-0000C9040000}"/>
    <hyperlink ref="D1097" r:id="rId1227" xr:uid="{00000000-0004-0000-0700-0000CA040000}"/>
    <hyperlink ref="D1098" r:id="rId1228" xr:uid="{00000000-0004-0000-0700-0000CB040000}"/>
    <hyperlink ref="D1099" r:id="rId1229" xr:uid="{00000000-0004-0000-0700-0000CC040000}"/>
    <hyperlink ref="D1100" r:id="rId1230" xr:uid="{00000000-0004-0000-0700-0000CD040000}"/>
    <hyperlink ref="D1101" r:id="rId1231" xr:uid="{00000000-0004-0000-0700-0000CE040000}"/>
    <hyperlink ref="D1102" r:id="rId1232" xr:uid="{00000000-0004-0000-0700-0000CF040000}"/>
    <hyperlink ref="D1103" r:id="rId1233" xr:uid="{00000000-0004-0000-0700-0000D0040000}"/>
    <hyperlink ref="D1104" r:id="rId1234" xr:uid="{00000000-0004-0000-0700-0000D1040000}"/>
    <hyperlink ref="D1105" r:id="rId1235" xr:uid="{00000000-0004-0000-0700-0000D2040000}"/>
    <hyperlink ref="D1106" r:id="rId1236" xr:uid="{00000000-0004-0000-0700-0000D3040000}"/>
    <hyperlink ref="D1107" r:id="rId1237" xr:uid="{00000000-0004-0000-0700-0000D4040000}"/>
    <hyperlink ref="D1108" r:id="rId1238" xr:uid="{00000000-0004-0000-0700-0000D5040000}"/>
    <hyperlink ref="D1109" r:id="rId1239" xr:uid="{00000000-0004-0000-0700-0000D6040000}"/>
    <hyperlink ref="D1110" r:id="rId1240" xr:uid="{00000000-0004-0000-0700-0000D7040000}"/>
    <hyperlink ref="D1111" r:id="rId1241" xr:uid="{00000000-0004-0000-0700-0000D8040000}"/>
    <hyperlink ref="D1112" r:id="rId1242" xr:uid="{00000000-0004-0000-0700-0000D9040000}"/>
    <hyperlink ref="E1112" r:id="rId1243" xr:uid="{00000000-0004-0000-0700-0000DA040000}"/>
    <hyperlink ref="D1113" r:id="rId1244" xr:uid="{00000000-0004-0000-0700-0000DB040000}"/>
    <hyperlink ref="E1113" r:id="rId1245" xr:uid="{00000000-0004-0000-0700-0000DC040000}"/>
    <hyperlink ref="D1114" r:id="rId1246" xr:uid="{00000000-0004-0000-0700-0000DD040000}"/>
    <hyperlink ref="E1114" r:id="rId1247" xr:uid="{00000000-0004-0000-0700-0000DE040000}"/>
    <hyperlink ref="D1115" r:id="rId1248" xr:uid="{00000000-0004-0000-0700-0000DF040000}"/>
    <hyperlink ref="E1115" r:id="rId1249" xr:uid="{00000000-0004-0000-0700-0000E0040000}"/>
    <hyperlink ref="D1116" r:id="rId1250" xr:uid="{00000000-0004-0000-0700-0000E1040000}"/>
    <hyperlink ref="E1116" r:id="rId1251" xr:uid="{00000000-0004-0000-0700-0000E2040000}"/>
    <hyperlink ref="D1117" r:id="rId1252" xr:uid="{00000000-0004-0000-0700-0000E3040000}"/>
    <hyperlink ref="E1117" r:id="rId1253" xr:uid="{00000000-0004-0000-0700-0000E4040000}"/>
    <hyperlink ref="D1118" r:id="rId1254" xr:uid="{00000000-0004-0000-0700-0000E5040000}"/>
    <hyperlink ref="E1118" r:id="rId1255" xr:uid="{00000000-0004-0000-0700-0000E6040000}"/>
    <hyperlink ref="D1119" r:id="rId1256" xr:uid="{00000000-0004-0000-0700-0000E7040000}"/>
    <hyperlink ref="E1119" r:id="rId1257" xr:uid="{00000000-0004-0000-0700-0000E8040000}"/>
    <hyperlink ref="D1120" r:id="rId1258" xr:uid="{00000000-0004-0000-0700-0000E9040000}"/>
    <hyperlink ref="E1120" r:id="rId1259" xr:uid="{00000000-0004-0000-0700-0000EA040000}"/>
    <hyperlink ref="D1121" r:id="rId1260" xr:uid="{00000000-0004-0000-0700-0000EB040000}"/>
    <hyperlink ref="E1121" r:id="rId1261" xr:uid="{00000000-0004-0000-0700-0000EC040000}"/>
    <hyperlink ref="D1122" r:id="rId1262" xr:uid="{00000000-0004-0000-0700-0000ED040000}"/>
    <hyperlink ref="E1122" r:id="rId1263" xr:uid="{00000000-0004-0000-0700-0000EE040000}"/>
    <hyperlink ref="D1123" r:id="rId1264" xr:uid="{00000000-0004-0000-0700-0000EF040000}"/>
    <hyperlink ref="E1123" r:id="rId1265" xr:uid="{00000000-0004-0000-0700-0000F0040000}"/>
    <hyperlink ref="D1124" r:id="rId1266" xr:uid="{00000000-0004-0000-0700-0000F1040000}"/>
    <hyperlink ref="E1124" r:id="rId1267" xr:uid="{00000000-0004-0000-0700-0000F2040000}"/>
    <hyperlink ref="D1125" r:id="rId1268" xr:uid="{00000000-0004-0000-0700-0000F3040000}"/>
    <hyperlink ref="E1125" r:id="rId1269" xr:uid="{00000000-0004-0000-0700-0000F4040000}"/>
    <hyperlink ref="D1126" r:id="rId1270" xr:uid="{00000000-0004-0000-0700-0000F5040000}"/>
    <hyperlink ref="E1126" r:id="rId1271" xr:uid="{00000000-0004-0000-0700-0000F6040000}"/>
    <hyperlink ref="D1127" r:id="rId1272" xr:uid="{00000000-0004-0000-0700-0000F7040000}"/>
    <hyperlink ref="E1127" r:id="rId1273" xr:uid="{00000000-0004-0000-0700-0000F8040000}"/>
    <hyperlink ref="D1128" r:id="rId1274" xr:uid="{00000000-0004-0000-0700-0000F9040000}"/>
    <hyperlink ref="E1128" r:id="rId1275" xr:uid="{00000000-0004-0000-0700-0000FA040000}"/>
    <hyperlink ref="D1129" r:id="rId1276" xr:uid="{00000000-0004-0000-0700-0000FB040000}"/>
    <hyperlink ref="E1129" r:id="rId1277" xr:uid="{00000000-0004-0000-0700-0000FC040000}"/>
    <hyperlink ref="D1130" r:id="rId1278" xr:uid="{00000000-0004-0000-0700-0000FD040000}"/>
    <hyperlink ref="E1130" r:id="rId1279" xr:uid="{00000000-0004-0000-0700-0000FE040000}"/>
    <hyperlink ref="D1131" r:id="rId1280" xr:uid="{00000000-0004-0000-0700-0000FF040000}"/>
    <hyperlink ref="E1131" r:id="rId1281" xr:uid="{00000000-0004-0000-0700-000000050000}"/>
    <hyperlink ref="C1132" r:id="rId1282" xr:uid="{00000000-0004-0000-0700-000001050000}"/>
    <hyperlink ref="D1132" r:id="rId1283" xr:uid="{00000000-0004-0000-0700-000002050000}"/>
    <hyperlink ref="E1132" r:id="rId1284" xr:uid="{00000000-0004-0000-0700-000003050000}"/>
    <hyperlink ref="D1133" r:id="rId1285" xr:uid="{00000000-0004-0000-0700-000004050000}"/>
    <hyperlink ref="E1133" r:id="rId1286" xr:uid="{00000000-0004-0000-0700-000005050000}"/>
    <hyperlink ref="D1134" r:id="rId1287" xr:uid="{00000000-0004-0000-0700-000006050000}"/>
    <hyperlink ref="E1134" r:id="rId1288" xr:uid="{00000000-0004-0000-0700-000007050000}"/>
    <hyperlink ref="D1135" r:id="rId1289" xr:uid="{00000000-0004-0000-0700-000008050000}"/>
    <hyperlink ref="E1135" r:id="rId1290" xr:uid="{00000000-0004-0000-0700-000009050000}"/>
    <hyperlink ref="D1136" r:id="rId1291" xr:uid="{00000000-0004-0000-0700-00000A050000}"/>
    <hyperlink ref="E1136" r:id="rId1292" xr:uid="{00000000-0004-0000-0700-00000B050000}"/>
    <hyperlink ref="C1137" r:id="rId1293" xr:uid="{00000000-0004-0000-0700-00000C050000}"/>
    <hyperlink ref="D1137" r:id="rId1294" xr:uid="{00000000-0004-0000-0700-00000D050000}"/>
    <hyperlink ref="E1137" r:id="rId1295" xr:uid="{00000000-0004-0000-0700-00000E050000}"/>
    <hyperlink ref="D1138" r:id="rId1296" xr:uid="{00000000-0004-0000-0700-00000F050000}"/>
    <hyperlink ref="E1138" r:id="rId1297" xr:uid="{00000000-0004-0000-0700-000010050000}"/>
    <hyperlink ref="D1139" r:id="rId1298" xr:uid="{00000000-0004-0000-0700-000011050000}"/>
    <hyperlink ref="E1139" r:id="rId1299" xr:uid="{00000000-0004-0000-0700-000012050000}"/>
    <hyperlink ref="D1140" r:id="rId1300" xr:uid="{00000000-0004-0000-0700-000013050000}"/>
    <hyperlink ref="E1140" r:id="rId1301" xr:uid="{00000000-0004-0000-0700-000014050000}"/>
    <hyperlink ref="D1141" r:id="rId1302" xr:uid="{00000000-0004-0000-0700-000015050000}"/>
    <hyperlink ref="E1141" r:id="rId1303" xr:uid="{00000000-0004-0000-0700-000016050000}"/>
    <hyperlink ref="D1142" r:id="rId1304" xr:uid="{00000000-0004-0000-0700-000017050000}"/>
    <hyperlink ref="E1142" r:id="rId1305" xr:uid="{00000000-0004-0000-0700-000018050000}"/>
    <hyperlink ref="D1143" r:id="rId1306" xr:uid="{00000000-0004-0000-0700-000019050000}"/>
    <hyperlink ref="E1143" r:id="rId1307" xr:uid="{00000000-0004-0000-0700-00001A050000}"/>
    <hyperlink ref="D1144" r:id="rId1308" xr:uid="{00000000-0004-0000-0700-00001B050000}"/>
    <hyperlink ref="E1144" r:id="rId1309" xr:uid="{00000000-0004-0000-0700-00001C050000}"/>
    <hyperlink ref="D1145" r:id="rId1310" xr:uid="{00000000-0004-0000-0700-00001D050000}"/>
    <hyperlink ref="E1145" r:id="rId1311" xr:uid="{00000000-0004-0000-0700-00001E050000}"/>
    <hyperlink ref="D1146" r:id="rId1312" xr:uid="{00000000-0004-0000-0700-00001F050000}"/>
    <hyperlink ref="E1146" r:id="rId1313" xr:uid="{00000000-0004-0000-0700-000020050000}"/>
    <hyperlink ref="D1147" r:id="rId1314" xr:uid="{00000000-0004-0000-0700-000021050000}"/>
    <hyperlink ref="E1147" r:id="rId1315" xr:uid="{00000000-0004-0000-0700-000022050000}"/>
    <hyperlink ref="D1148" r:id="rId1316" xr:uid="{00000000-0004-0000-0700-000023050000}"/>
    <hyperlink ref="E1148" r:id="rId1317" xr:uid="{00000000-0004-0000-0700-000024050000}"/>
    <hyperlink ref="D1149" r:id="rId1318" xr:uid="{00000000-0004-0000-0700-000025050000}"/>
    <hyperlink ref="E1149" r:id="rId1319" xr:uid="{00000000-0004-0000-0700-000026050000}"/>
    <hyperlink ref="D1150" r:id="rId1320" xr:uid="{00000000-0004-0000-0700-000027050000}"/>
    <hyperlink ref="E1150" r:id="rId1321" xr:uid="{00000000-0004-0000-0700-000028050000}"/>
    <hyperlink ref="D1151" r:id="rId1322" xr:uid="{00000000-0004-0000-0700-000029050000}"/>
    <hyperlink ref="E1151" r:id="rId1323" xr:uid="{00000000-0004-0000-0700-00002A050000}"/>
    <hyperlink ref="D1152" r:id="rId1324" xr:uid="{00000000-0004-0000-0700-00002B050000}"/>
    <hyperlink ref="E1152" r:id="rId1325" xr:uid="{00000000-0004-0000-0700-00002C050000}"/>
    <hyperlink ref="D1153" r:id="rId1326" xr:uid="{00000000-0004-0000-0700-00002D050000}"/>
    <hyperlink ref="D1154" r:id="rId1327" xr:uid="{00000000-0004-0000-0700-00002E050000}"/>
    <hyperlink ref="D1155" r:id="rId1328" xr:uid="{00000000-0004-0000-0700-00002F050000}"/>
    <hyperlink ref="D1156" r:id="rId1329" xr:uid="{00000000-0004-0000-0700-000030050000}"/>
    <hyperlink ref="D1157" r:id="rId1330" xr:uid="{00000000-0004-0000-0700-000031050000}"/>
    <hyperlink ref="D1158" r:id="rId1331" xr:uid="{00000000-0004-0000-0700-000032050000}"/>
    <hyperlink ref="D1159" r:id="rId1332" xr:uid="{00000000-0004-0000-0700-000033050000}"/>
    <hyperlink ref="D1160" r:id="rId1333" xr:uid="{00000000-0004-0000-0700-000034050000}"/>
    <hyperlink ref="D1161" r:id="rId1334" xr:uid="{00000000-0004-0000-0700-000035050000}"/>
    <hyperlink ref="D1162" r:id="rId1335" xr:uid="{00000000-0004-0000-0700-000036050000}"/>
    <hyperlink ref="D1163" r:id="rId1336" xr:uid="{00000000-0004-0000-0700-000037050000}"/>
    <hyperlink ref="D1164" r:id="rId1337" xr:uid="{00000000-0004-0000-0700-000038050000}"/>
    <hyperlink ref="D1165" r:id="rId1338" xr:uid="{00000000-0004-0000-0700-000039050000}"/>
    <hyperlink ref="D1166" r:id="rId1339" xr:uid="{00000000-0004-0000-0700-00003A050000}"/>
    <hyperlink ref="D1167" r:id="rId1340" xr:uid="{00000000-0004-0000-0700-00003B050000}"/>
    <hyperlink ref="D1168" r:id="rId1341" xr:uid="{00000000-0004-0000-0700-00003C050000}"/>
    <hyperlink ref="D1169" r:id="rId1342" xr:uid="{00000000-0004-0000-0700-00003D050000}"/>
    <hyperlink ref="D1170" r:id="rId1343" xr:uid="{00000000-0004-0000-0700-00003E050000}"/>
    <hyperlink ref="D1171" r:id="rId1344" xr:uid="{00000000-0004-0000-0700-00003F050000}"/>
    <hyperlink ref="D1172" r:id="rId1345" xr:uid="{00000000-0004-0000-0700-000040050000}"/>
    <hyperlink ref="D1173" r:id="rId1346" xr:uid="{00000000-0004-0000-0700-000041050000}"/>
    <hyperlink ref="D1174" r:id="rId1347" xr:uid="{00000000-0004-0000-0700-000042050000}"/>
    <hyperlink ref="D1175" r:id="rId1348" xr:uid="{00000000-0004-0000-0700-000043050000}"/>
    <hyperlink ref="D1176" r:id="rId1349" xr:uid="{00000000-0004-0000-0700-000044050000}"/>
    <hyperlink ref="D1177" r:id="rId1350" xr:uid="{00000000-0004-0000-0700-000045050000}"/>
    <hyperlink ref="D1178" r:id="rId1351" xr:uid="{00000000-0004-0000-0700-000046050000}"/>
    <hyperlink ref="D1179" r:id="rId1352" xr:uid="{00000000-0004-0000-0700-000047050000}"/>
    <hyperlink ref="D1180" r:id="rId1353" xr:uid="{00000000-0004-0000-0700-000048050000}"/>
    <hyperlink ref="D1181" r:id="rId1354" xr:uid="{00000000-0004-0000-0700-000049050000}"/>
    <hyperlink ref="D1182" r:id="rId1355" xr:uid="{00000000-0004-0000-0700-00004A050000}"/>
    <hyperlink ref="D1183" r:id="rId1356" xr:uid="{00000000-0004-0000-0700-00004B050000}"/>
    <hyperlink ref="D1184" r:id="rId1357" xr:uid="{00000000-0004-0000-0700-00004C050000}"/>
    <hyperlink ref="D1185" r:id="rId1358" xr:uid="{00000000-0004-0000-0700-00004D050000}"/>
    <hyperlink ref="D1186" r:id="rId1359" xr:uid="{00000000-0004-0000-0700-00004E050000}"/>
    <hyperlink ref="D1187" r:id="rId1360" xr:uid="{00000000-0004-0000-0700-00004F050000}"/>
    <hyperlink ref="D1188" r:id="rId1361" xr:uid="{00000000-0004-0000-0700-000050050000}"/>
    <hyperlink ref="D1189" r:id="rId1362" xr:uid="{00000000-0004-0000-0700-000051050000}"/>
    <hyperlink ref="D1190" r:id="rId1363" xr:uid="{00000000-0004-0000-0700-000052050000}"/>
    <hyperlink ref="D1191" r:id="rId1364" xr:uid="{00000000-0004-0000-0700-000053050000}"/>
    <hyperlink ref="D1192" r:id="rId1365" xr:uid="{00000000-0004-0000-0700-000054050000}"/>
    <hyperlink ref="D1193" r:id="rId1366" xr:uid="{00000000-0004-0000-0700-000055050000}"/>
    <hyperlink ref="D1194" r:id="rId1367" xr:uid="{00000000-0004-0000-0700-000056050000}"/>
    <hyperlink ref="D1195" r:id="rId1368" xr:uid="{00000000-0004-0000-0700-000057050000}"/>
    <hyperlink ref="D1196" r:id="rId1369" xr:uid="{00000000-0004-0000-0700-000058050000}"/>
    <hyperlink ref="D1197" r:id="rId1370" xr:uid="{00000000-0004-0000-0700-000059050000}"/>
    <hyperlink ref="D1198" r:id="rId1371" xr:uid="{00000000-0004-0000-0700-00005A050000}"/>
    <hyperlink ref="D1199" r:id="rId1372" xr:uid="{00000000-0004-0000-0700-00005B050000}"/>
    <hyperlink ref="D1200" r:id="rId1373" xr:uid="{00000000-0004-0000-0700-00005C050000}"/>
    <hyperlink ref="D1201" r:id="rId1374" xr:uid="{00000000-0004-0000-0700-00005D050000}"/>
    <hyperlink ref="D1202" r:id="rId1375" xr:uid="{00000000-0004-0000-0700-00005E050000}"/>
    <hyperlink ref="D1203" r:id="rId1376" xr:uid="{00000000-0004-0000-0700-00005F050000}"/>
    <hyperlink ref="D1204" r:id="rId1377" xr:uid="{00000000-0004-0000-0700-000060050000}"/>
    <hyperlink ref="D1205" r:id="rId1378" xr:uid="{00000000-0004-0000-0700-000061050000}"/>
    <hyperlink ref="D1206" r:id="rId1379" xr:uid="{00000000-0004-0000-0700-000062050000}"/>
    <hyperlink ref="D1207" r:id="rId1380" xr:uid="{00000000-0004-0000-0700-000063050000}"/>
    <hyperlink ref="D1208" r:id="rId1381" xr:uid="{00000000-0004-0000-0700-000064050000}"/>
    <hyperlink ref="D1209" r:id="rId1382" xr:uid="{00000000-0004-0000-0700-000065050000}"/>
    <hyperlink ref="D1210" r:id="rId1383" xr:uid="{00000000-0004-0000-0700-000066050000}"/>
    <hyperlink ref="D1211" r:id="rId1384" xr:uid="{00000000-0004-0000-0700-000067050000}"/>
    <hyperlink ref="D1212" r:id="rId1385" xr:uid="{00000000-0004-0000-0700-000068050000}"/>
    <hyperlink ref="D1213" r:id="rId1386" xr:uid="{00000000-0004-0000-0700-000069050000}"/>
    <hyperlink ref="D1214" r:id="rId1387" xr:uid="{00000000-0004-0000-0700-00006A050000}"/>
    <hyperlink ref="D1215" r:id="rId1388" xr:uid="{00000000-0004-0000-0700-00006B050000}"/>
    <hyperlink ref="D1216" r:id="rId1389" xr:uid="{00000000-0004-0000-0700-00006C050000}"/>
    <hyperlink ref="D1217" r:id="rId1390" xr:uid="{00000000-0004-0000-0700-00006D050000}"/>
    <hyperlink ref="D1218" r:id="rId1391" xr:uid="{00000000-0004-0000-0700-00006E050000}"/>
    <hyperlink ref="D1219" r:id="rId1392" xr:uid="{00000000-0004-0000-0700-00006F050000}"/>
    <hyperlink ref="D1220" r:id="rId1393" xr:uid="{00000000-0004-0000-0700-000070050000}"/>
    <hyperlink ref="D1221" r:id="rId1394" xr:uid="{00000000-0004-0000-0700-000071050000}"/>
    <hyperlink ref="D1222" r:id="rId1395" xr:uid="{00000000-0004-0000-0700-000072050000}"/>
    <hyperlink ref="D1223" r:id="rId1396" xr:uid="{00000000-0004-0000-0700-000073050000}"/>
    <hyperlink ref="D1224" r:id="rId1397" xr:uid="{00000000-0004-0000-0700-000074050000}"/>
    <hyperlink ref="D1225" r:id="rId1398" xr:uid="{00000000-0004-0000-0700-000075050000}"/>
    <hyperlink ref="D1226" r:id="rId1399" xr:uid="{00000000-0004-0000-0700-000076050000}"/>
    <hyperlink ref="D1227" r:id="rId1400" xr:uid="{00000000-0004-0000-0700-000077050000}"/>
    <hyperlink ref="D1228" r:id="rId1401" xr:uid="{00000000-0004-0000-0700-000078050000}"/>
    <hyperlink ref="D1229" r:id="rId1402" xr:uid="{00000000-0004-0000-0700-000079050000}"/>
    <hyperlink ref="D1230" r:id="rId1403" xr:uid="{00000000-0004-0000-0700-00007A050000}"/>
    <hyperlink ref="D1231" r:id="rId1404" xr:uid="{00000000-0004-0000-0700-00007B050000}"/>
    <hyperlink ref="D1232" r:id="rId1405" xr:uid="{00000000-0004-0000-0700-00007C050000}"/>
    <hyperlink ref="D1233" r:id="rId1406" xr:uid="{00000000-0004-0000-0700-00007D050000}"/>
    <hyperlink ref="D1234" r:id="rId1407" xr:uid="{00000000-0004-0000-0700-00007E050000}"/>
    <hyperlink ref="D1235" r:id="rId1408" xr:uid="{00000000-0004-0000-0700-00007F050000}"/>
    <hyperlink ref="D1236" r:id="rId1409" xr:uid="{00000000-0004-0000-0700-000080050000}"/>
    <hyperlink ref="D1237" r:id="rId1410" xr:uid="{00000000-0004-0000-0700-000081050000}"/>
    <hyperlink ref="D1238" r:id="rId1411" xr:uid="{00000000-0004-0000-0700-000082050000}"/>
    <hyperlink ref="D1239" r:id="rId1412" xr:uid="{00000000-0004-0000-0700-000083050000}"/>
    <hyperlink ref="D1240" r:id="rId1413" xr:uid="{00000000-0004-0000-0700-000084050000}"/>
    <hyperlink ref="D1241" r:id="rId1414" xr:uid="{00000000-0004-0000-0700-000085050000}"/>
    <hyperlink ref="E1241" r:id="rId1415" xr:uid="{00000000-0004-0000-0700-000086050000}"/>
    <hyperlink ref="D1242" r:id="rId1416" xr:uid="{00000000-0004-0000-0700-000087050000}"/>
    <hyperlink ref="E1242" r:id="rId1417" xr:uid="{00000000-0004-0000-0700-000088050000}"/>
    <hyperlink ref="D1243" r:id="rId1418" xr:uid="{00000000-0004-0000-0700-000089050000}"/>
    <hyperlink ref="E1243" r:id="rId1419" xr:uid="{00000000-0004-0000-0700-00008A050000}"/>
    <hyperlink ref="D1244" r:id="rId1420" xr:uid="{00000000-0004-0000-0700-00008B050000}"/>
    <hyperlink ref="E1244" r:id="rId1421" xr:uid="{00000000-0004-0000-0700-00008C050000}"/>
    <hyperlink ref="D1245" r:id="rId1422" xr:uid="{00000000-0004-0000-0700-00008D050000}"/>
    <hyperlink ref="E1245" r:id="rId1423" xr:uid="{00000000-0004-0000-0700-00008E050000}"/>
    <hyperlink ref="D1246" r:id="rId1424" xr:uid="{00000000-0004-0000-0700-00008F050000}"/>
    <hyperlink ref="E1246" r:id="rId1425" xr:uid="{00000000-0004-0000-0700-000090050000}"/>
    <hyperlink ref="D1247" r:id="rId1426" xr:uid="{00000000-0004-0000-0700-000091050000}"/>
    <hyperlink ref="E1247" r:id="rId1427" xr:uid="{00000000-0004-0000-0700-000092050000}"/>
    <hyperlink ref="D1248" r:id="rId1428" xr:uid="{00000000-0004-0000-0700-000093050000}"/>
    <hyperlink ref="D1249" r:id="rId1429" xr:uid="{00000000-0004-0000-0700-000094050000}"/>
    <hyperlink ref="D1250" r:id="rId1430" xr:uid="{00000000-0004-0000-0700-000095050000}"/>
    <hyperlink ref="D1251" r:id="rId1431" xr:uid="{00000000-0004-0000-0700-000096050000}"/>
    <hyperlink ref="D1252" r:id="rId1432" xr:uid="{00000000-0004-0000-0700-000097050000}"/>
    <hyperlink ref="D1253" r:id="rId1433" xr:uid="{00000000-0004-0000-0700-000098050000}"/>
    <hyperlink ref="D1254" r:id="rId1434" xr:uid="{00000000-0004-0000-0700-000099050000}"/>
    <hyperlink ref="D1255" r:id="rId1435" xr:uid="{00000000-0004-0000-0700-00009A050000}"/>
    <hyperlink ref="D1256" r:id="rId1436" xr:uid="{00000000-0004-0000-0700-00009B050000}"/>
    <hyperlink ref="D1257" r:id="rId1437" xr:uid="{00000000-0004-0000-0700-00009C050000}"/>
    <hyperlink ref="D1258" r:id="rId1438" xr:uid="{00000000-0004-0000-0700-00009D050000}"/>
    <hyperlink ref="D1259" r:id="rId1439" xr:uid="{00000000-0004-0000-0700-00009E050000}"/>
    <hyperlink ref="D1260" r:id="rId1440" xr:uid="{00000000-0004-0000-0700-00009F050000}"/>
    <hyperlink ref="D1261" r:id="rId1441" xr:uid="{00000000-0004-0000-0700-0000A0050000}"/>
    <hyperlink ref="D1262" r:id="rId1442" xr:uid="{00000000-0004-0000-0700-0000A1050000}"/>
    <hyperlink ref="D1263" r:id="rId1443" xr:uid="{00000000-0004-0000-0700-0000A2050000}"/>
    <hyperlink ref="D1264" r:id="rId1444" xr:uid="{00000000-0004-0000-0700-0000A3050000}"/>
    <hyperlink ref="D1265" r:id="rId1445" xr:uid="{00000000-0004-0000-0700-0000A4050000}"/>
    <hyperlink ref="D1266" r:id="rId1446" xr:uid="{00000000-0004-0000-0700-0000A5050000}"/>
    <hyperlink ref="D1267" r:id="rId1447" xr:uid="{00000000-0004-0000-0700-0000A6050000}"/>
    <hyperlink ref="D1268" r:id="rId1448" xr:uid="{00000000-0004-0000-0700-0000A7050000}"/>
    <hyperlink ref="D1269" r:id="rId1449" xr:uid="{00000000-0004-0000-0700-0000A8050000}"/>
    <hyperlink ref="D1270" r:id="rId1450" xr:uid="{00000000-0004-0000-0700-0000A9050000}"/>
    <hyperlink ref="D1271" r:id="rId1451" xr:uid="{00000000-0004-0000-0700-0000AA050000}"/>
    <hyperlink ref="D1272" r:id="rId1452" xr:uid="{00000000-0004-0000-0700-0000AB050000}"/>
    <hyperlink ref="D1273" r:id="rId1453" xr:uid="{00000000-0004-0000-0700-0000AC050000}"/>
    <hyperlink ref="D1274" r:id="rId1454" xr:uid="{00000000-0004-0000-0700-0000AD050000}"/>
    <hyperlink ref="D1275" r:id="rId1455" xr:uid="{00000000-0004-0000-0700-0000AE050000}"/>
    <hyperlink ref="D1276" r:id="rId1456" xr:uid="{00000000-0004-0000-0700-0000AF050000}"/>
    <hyperlink ref="D1277" r:id="rId1457" xr:uid="{00000000-0004-0000-0700-0000B0050000}"/>
    <hyperlink ref="D1278" r:id="rId1458" xr:uid="{00000000-0004-0000-0700-0000B1050000}"/>
    <hyperlink ref="D1279" r:id="rId1459" xr:uid="{00000000-0004-0000-0700-0000B2050000}"/>
    <hyperlink ref="D1280" r:id="rId1460" xr:uid="{00000000-0004-0000-0700-0000B3050000}"/>
    <hyperlink ref="D1281" r:id="rId1461" xr:uid="{00000000-0004-0000-0700-0000B4050000}"/>
    <hyperlink ref="D1282" r:id="rId1462" xr:uid="{00000000-0004-0000-0700-0000B5050000}"/>
    <hyperlink ref="D1283" r:id="rId1463" xr:uid="{00000000-0004-0000-0700-0000B6050000}"/>
    <hyperlink ref="D1284" r:id="rId1464" xr:uid="{00000000-0004-0000-0700-0000B7050000}"/>
    <hyperlink ref="D1285" r:id="rId1465" xr:uid="{00000000-0004-0000-0700-0000B8050000}"/>
    <hyperlink ref="D1286" r:id="rId1466" xr:uid="{00000000-0004-0000-0700-0000B9050000}"/>
    <hyperlink ref="D1287" r:id="rId1467" xr:uid="{00000000-0004-0000-0700-0000BA050000}"/>
    <hyperlink ref="D1288" r:id="rId1468" xr:uid="{00000000-0004-0000-0700-0000BB050000}"/>
    <hyperlink ref="D1289" r:id="rId1469" xr:uid="{00000000-0004-0000-0700-0000BC050000}"/>
    <hyperlink ref="D1290" r:id="rId1470" xr:uid="{00000000-0004-0000-0700-0000BD050000}"/>
    <hyperlink ref="D1291" r:id="rId1471" xr:uid="{00000000-0004-0000-0700-0000BE050000}"/>
    <hyperlink ref="D1292" r:id="rId1472" xr:uid="{00000000-0004-0000-0700-0000BF050000}"/>
    <hyperlink ref="D1293" r:id="rId1473" xr:uid="{00000000-0004-0000-0700-0000C0050000}"/>
    <hyperlink ref="D1294" r:id="rId1474" xr:uid="{00000000-0004-0000-0700-0000C1050000}"/>
    <hyperlink ref="D1295" r:id="rId1475" xr:uid="{00000000-0004-0000-0700-0000C2050000}"/>
    <hyperlink ref="D1296" r:id="rId1476" xr:uid="{00000000-0004-0000-0700-0000C3050000}"/>
    <hyperlink ref="D1297" r:id="rId1477" xr:uid="{00000000-0004-0000-0700-0000C4050000}"/>
    <hyperlink ref="D1298" r:id="rId1478" xr:uid="{00000000-0004-0000-0700-0000C5050000}"/>
    <hyperlink ref="D1299" r:id="rId1479" xr:uid="{00000000-0004-0000-0700-0000C6050000}"/>
    <hyperlink ref="D1300" r:id="rId1480" xr:uid="{00000000-0004-0000-0700-0000C7050000}"/>
    <hyperlink ref="D1301" r:id="rId1481" xr:uid="{00000000-0004-0000-0700-0000C8050000}"/>
    <hyperlink ref="D1302" r:id="rId1482" xr:uid="{00000000-0004-0000-0700-0000C9050000}"/>
    <hyperlink ref="D1303" r:id="rId1483" xr:uid="{00000000-0004-0000-0700-0000CA050000}"/>
    <hyperlink ref="D1304" r:id="rId1484" xr:uid="{00000000-0004-0000-0700-0000CB050000}"/>
    <hyperlink ref="D1305" r:id="rId1485" xr:uid="{00000000-0004-0000-0700-0000CC050000}"/>
    <hyperlink ref="D1306" r:id="rId1486" xr:uid="{00000000-0004-0000-0700-0000CD050000}"/>
    <hyperlink ref="D1307" r:id="rId1487" xr:uid="{00000000-0004-0000-0700-0000CE050000}"/>
    <hyperlink ref="D1308" r:id="rId1488" xr:uid="{00000000-0004-0000-0700-0000CF050000}"/>
    <hyperlink ref="D1309" r:id="rId1489" xr:uid="{00000000-0004-0000-0700-0000D0050000}"/>
    <hyperlink ref="D1310" r:id="rId1490" xr:uid="{00000000-0004-0000-0700-0000D1050000}"/>
    <hyperlink ref="E1310" r:id="rId1491" xr:uid="{00000000-0004-0000-0700-0000D2050000}"/>
    <hyperlink ref="D1311" r:id="rId1492" xr:uid="{00000000-0004-0000-0700-0000D3050000}"/>
    <hyperlink ref="E1311" r:id="rId1493" xr:uid="{00000000-0004-0000-0700-0000D4050000}"/>
    <hyperlink ref="D1312" r:id="rId1494" xr:uid="{00000000-0004-0000-0700-0000D5050000}"/>
    <hyperlink ref="E1312" r:id="rId1495" xr:uid="{00000000-0004-0000-0700-0000D6050000}"/>
    <hyperlink ref="D1313" r:id="rId1496" xr:uid="{00000000-0004-0000-0700-0000D7050000}"/>
    <hyperlink ref="E1313" r:id="rId1497" xr:uid="{00000000-0004-0000-0700-0000D8050000}"/>
    <hyperlink ref="D1314" r:id="rId1498" xr:uid="{00000000-0004-0000-0700-0000D9050000}"/>
    <hyperlink ref="E1314" r:id="rId1499" xr:uid="{00000000-0004-0000-0700-0000DA050000}"/>
    <hyperlink ref="D1315" r:id="rId1500" xr:uid="{00000000-0004-0000-0700-0000DB050000}"/>
    <hyperlink ref="E1315" r:id="rId1501" xr:uid="{00000000-0004-0000-0700-0000DC050000}"/>
    <hyperlink ref="D1316" r:id="rId1502" xr:uid="{00000000-0004-0000-0700-0000DD050000}"/>
    <hyperlink ref="E1316" r:id="rId1503" xr:uid="{00000000-0004-0000-0700-0000DE050000}"/>
    <hyperlink ref="D1317" r:id="rId1504" xr:uid="{00000000-0004-0000-0700-0000DF050000}"/>
    <hyperlink ref="E1317" r:id="rId1505" xr:uid="{00000000-0004-0000-0700-0000E0050000}"/>
    <hyperlink ref="D1318" r:id="rId1506" xr:uid="{00000000-0004-0000-0700-0000E1050000}"/>
    <hyperlink ref="E1318" r:id="rId1507" xr:uid="{00000000-0004-0000-0700-0000E2050000}"/>
    <hyperlink ref="D1319" r:id="rId1508" xr:uid="{00000000-0004-0000-0700-0000E3050000}"/>
    <hyperlink ref="D1320" r:id="rId1509" xr:uid="{00000000-0004-0000-0700-0000E4050000}"/>
    <hyperlink ref="D1321" r:id="rId1510" xr:uid="{00000000-0004-0000-0700-0000E5050000}"/>
    <hyperlink ref="D1322" r:id="rId1511" xr:uid="{00000000-0004-0000-0700-0000E6050000}"/>
    <hyperlink ref="D1323" r:id="rId1512" xr:uid="{00000000-0004-0000-0700-0000E7050000}"/>
    <hyperlink ref="D1324" r:id="rId1513" xr:uid="{00000000-0004-0000-0700-0000E8050000}"/>
    <hyperlink ref="D1325" r:id="rId1514" xr:uid="{00000000-0004-0000-0700-0000E9050000}"/>
    <hyperlink ref="D1326" r:id="rId1515" xr:uid="{00000000-0004-0000-0700-0000EA050000}"/>
    <hyperlink ref="D1327" r:id="rId1516" xr:uid="{00000000-0004-0000-0700-0000EB050000}"/>
    <hyperlink ref="D1328" r:id="rId1517" xr:uid="{00000000-0004-0000-0700-0000EC050000}"/>
    <hyperlink ref="D1329" r:id="rId1518" xr:uid="{00000000-0004-0000-0700-0000ED050000}"/>
    <hyperlink ref="D1330" r:id="rId1519" xr:uid="{00000000-0004-0000-0700-0000EE050000}"/>
    <hyperlink ref="D1331" r:id="rId1520" xr:uid="{00000000-0004-0000-0700-0000EF050000}"/>
    <hyperlink ref="D1332" r:id="rId1521" xr:uid="{00000000-0004-0000-0700-0000F0050000}"/>
    <hyperlink ref="D1333" r:id="rId1522" xr:uid="{00000000-0004-0000-0700-0000F1050000}"/>
    <hyperlink ref="D1334" r:id="rId1523" xr:uid="{00000000-0004-0000-0700-0000F2050000}"/>
    <hyperlink ref="D1335" r:id="rId1524" xr:uid="{00000000-0004-0000-0700-0000F3050000}"/>
    <hyperlink ref="D1336" r:id="rId1525" xr:uid="{00000000-0004-0000-0700-0000F4050000}"/>
    <hyperlink ref="D1337" r:id="rId1526" xr:uid="{00000000-0004-0000-0700-0000F5050000}"/>
    <hyperlink ref="D1338" r:id="rId1527" xr:uid="{00000000-0004-0000-0700-0000F6050000}"/>
    <hyperlink ref="D1339" r:id="rId1528" xr:uid="{00000000-0004-0000-0700-0000F7050000}"/>
    <hyperlink ref="D1340" r:id="rId1529" xr:uid="{00000000-0004-0000-0700-0000F8050000}"/>
    <hyperlink ref="D1341" r:id="rId1530" xr:uid="{00000000-0004-0000-0700-0000F9050000}"/>
    <hyperlink ref="D1342" r:id="rId1531" xr:uid="{00000000-0004-0000-0700-0000FA050000}"/>
    <hyperlink ref="D1343" r:id="rId1532" xr:uid="{00000000-0004-0000-0700-0000FB050000}"/>
    <hyperlink ref="D1344" r:id="rId1533" xr:uid="{00000000-0004-0000-0700-0000FC050000}"/>
    <hyperlink ref="D1345" r:id="rId1534" xr:uid="{00000000-0004-0000-0700-0000FD050000}"/>
    <hyperlink ref="D1346" r:id="rId1535" xr:uid="{00000000-0004-0000-0700-0000FE050000}"/>
    <hyperlink ref="D1347" r:id="rId1536" xr:uid="{00000000-0004-0000-0700-0000FF050000}"/>
    <hyperlink ref="D1348" r:id="rId1537" xr:uid="{00000000-0004-0000-0700-000000060000}"/>
    <hyperlink ref="D1349" r:id="rId1538" xr:uid="{00000000-0004-0000-0700-000001060000}"/>
    <hyperlink ref="D1350" r:id="rId1539" xr:uid="{00000000-0004-0000-0700-000002060000}"/>
    <hyperlink ref="D1351" r:id="rId1540" xr:uid="{00000000-0004-0000-0700-000003060000}"/>
    <hyperlink ref="D1352" r:id="rId1541" xr:uid="{00000000-0004-0000-0700-000004060000}"/>
    <hyperlink ref="D1353" r:id="rId1542" xr:uid="{00000000-0004-0000-0700-000005060000}"/>
    <hyperlink ref="D1354" r:id="rId1543" xr:uid="{00000000-0004-0000-0700-000006060000}"/>
    <hyperlink ref="D1355" r:id="rId1544" xr:uid="{00000000-0004-0000-0700-000007060000}"/>
    <hyperlink ref="D1356" r:id="rId1545" xr:uid="{00000000-0004-0000-0700-000008060000}"/>
    <hyperlink ref="D1357" r:id="rId1546" xr:uid="{00000000-0004-0000-0700-000009060000}"/>
    <hyperlink ref="D1358" r:id="rId1547" xr:uid="{00000000-0004-0000-0700-00000A060000}"/>
    <hyperlink ref="D1359" r:id="rId1548" xr:uid="{00000000-0004-0000-0700-00000B060000}"/>
    <hyperlink ref="D1360" r:id="rId1549" xr:uid="{00000000-0004-0000-0700-00000C060000}"/>
    <hyperlink ref="D1361" r:id="rId1550" xr:uid="{00000000-0004-0000-0700-00000D060000}"/>
    <hyperlink ref="D1362" r:id="rId1551" xr:uid="{00000000-0004-0000-0700-00000E060000}"/>
    <hyperlink ref="D1363" r:id="rId1552" xr:uid="{00000000-0004-0000-0700-00000F060000}"/>
    <hyperlink ref="D1364" r:id="rId1553" xr:uid="{00000000-0004-0000-0700-000010060000}"/>
    <hyperlink ref="D1365" r:id="rId1554" xr:uid="{00000000-0004-0000-0700-000011060000}"/>
    <hyperlink ref="D1366" r:id="rId1555" xr:uid="{00000000-0004-0000-0700-000012060000}"/>
    <hyperlink ref="D1367" r:id="rId1556" xr:uid="{00000000-0004-0000-0700-000013060000}"/>
    <hyperlink ref="D1368" r:id="rId1557" xr:uid="{00000000-0004-0000-0700-000014060000}"/>
    <hyperlink ref="D1369" r:id="rId1558" xr:uid="{00000000-0004-0000-0700-000015060000}"/>
    <hyperlink ref="D1370" r:id="rId1559" xr:uid="{00000000-0004-0000-0700-000016060000}"/>
    <hyperlink ref="D1371" r:id="rId1560" xr:uid="{00000000-0004-0000-0700-000017060000}"/>
    <hyperlink ref="D1372" r:id="rId1561" xr:uid="{00000000-0004-0000-0700-000018060000}"/>
    <hyperlink ref="D1373" r:id="rId1562" xr:uid="{00000000-0004-0000-0700-000019060000}"/>
    <hyperlink ref="D1374" r:id="rId1563" xr:uid="{00000000-0004-0000-0700-00001A060000}"/>
    <hyperlink ref="D1375" r:id="rId1564" xr:uid="{00000000-0004-0000-0700-00001B060000}"/>
    <hyperlink ref="D1376" r:id="rId1565" xr:uid="{00000000-0004-0000-0700-00001C060000}"/>
    <hyperlink ref="D1377" r:id="rId1566" xr:uid="{00000000-0004-0000-0700-00001D060000}"/>
    <hyperlink ref="D1378" r:id="rId1567" xr:uid="{00000000-0004-0000-0700-00001E060000}"/>
    <hyperlink ref="D1379" r:id="rId1568" xr:uid="{00000000-0004-0000-0700-00001F060000}"/>
    <hyperlink ref="D1380" r:id="rId1569" xr:uid="{00000000-0004-0000-0700-000020060000}"/>
    <hyperlink ref="D1381" r:id="rId1570" xr:uid="{00000000-0004-0000-0700-000021060000}"/>
    <hyperlink ref="D1382" r:id="rId1571" xr:uid="{00000000-0004-0000-0700-000022060000}"/>
    <hyperlink ref="D1383" r:id="rId1572" xr:uid="{00000000-0004-0000-0700-000023060000}"/>
    <hyperlink ref="D1384" r:id="rId1573" xr:uid="{00000000-0004-0000-0700-000024060000}"/>
    <hyperlink ref="D1385" r:id="rId1574" xr:uid="{00000000-0004-0000-0700-000025060000}"/>
    <hyperlink ref="D1386" r:id="rId1575" xr:uid="{00000000-0004-0000-0700-000026060000}"/>
    <hyperlink ref="D1387" r:id="rId1576" xr:uid="{00000000-0004-0000-0700-000027060000}"/>
    <hyperlink ref="D1388" r:id="rId1577" xr:uid="{00000000-0004-0000-0700-000028060000}"/>
    <hyperlink ref="D1389" r:id="rId1578" xr:uid="{00000000-0004-0000-0700-000029060000}"/>
    <hyperlink ref="D1390" r:id="rId1579" xr:uid="{00000000-0004-0000-0700-00002A060000}"/>
    <hyperlink ref="D1391" r:id="rId1580" xr:uid="{00000000-0004-0000-0700-00002B060000}"/>
    <hyperlink ref="D1392" r:id="rId1581" xr:uid="{00000000-0004-0000-0700-00002C060000}"/>
    <hyperlink ref="D1393" r:id="rId1582" xr:uid="{00000000-0004-0000-0700-00002D060000}"/>
    <hyperlink ref="D1394" r:id="rId1583" xr:uid="{00000000-0004-0000-0700-00002E060000}"/>
    <hyperlink ref="D1395" r:id="rId1584" xr:uid="{00000000-0004-0000-0700-00002F060000}"/>
    <hyperlink ref="D1396" r:id="rId1585" xr:uid="{00000000-0004-0000-0700-000030060000}"/>
    <hyperlink ref="D1397" r:id="rId1586" xr:uid="{00000000-0004-0000-0700-000031060000}"/>
    <hyperlink ref="D1398" r:id="rId1587" xr:uid="{00000000-0004-0000-0700-000032060000}"/>
    <hyperlink ref="D1399" r:id="rId1588" xr:uid="{00000000-0004-0000-0700-000033060000}"/>
    <hyperlink ref="D1400" r:id="rId1589" xr:uid="{00000000-0004-0000-0700-000034060000}"/>
    <hyperlink ref="D1401" r:id="rId1590" xr:uid="{00000000-0004-0000-0700-000035060000}"/>
    <hyperlink ref="D1402" r:id="rId1591" xr:uid="{00000000-0004-0000-0700-000036060000}"/>
    <hyperlink ref="D1403" r:id="rId1592" xr:uid="{00000000-0004-0000-0700-000037060000}"/>
    <hyperlink ref="D1404" r:id="rId1593" xr:uid="{00000000-0004-0000-0700-000038060000}"/>
    <hyperlink ref="D1405" r:id="rId1594" xr:uid="{00000000-0004-0000-0700-000039060000}"/>
    <hyperlink ref="D1406" r:id="rId1595" xr:uid="{00000000-0004-0000-0700-00003A060000}"/>
    <hyperlink ref="D1407" r:id="rId1596" xr:uid="{00000000-0004-0000-0700-00003B060000}"/>
    <hyperlink ref="D1408" r:id="rId1597" xr:uid="{00000000-0004-0000-0700-00003C060000}"/>
    <hyperlink ref="D1409" r:id="rId1598" xr:uid="{00000000-0004-0000-0700-00003D060000}"/>
    <hyperlink ref="D1410" r:id="rId1599" xr:uid="{00000000-0004-0000-0700-00003E060000}"/>
    <hyperlink ref="D1411" r:id="rId1600" xr:uid="{00000000-0004-0000-0700-00003F060000}"/>
    <hyperlink ref="D1412" r:id="rId1601" xr:uid="{00000000-0004-0000-0700-000040060000}"/>
    <hyperlink ref="D1413" r:id="rId1602" xr:uid="{00000000-0004-0000-0700-000041060000}"/>
    <hyperlink ref="D1414" r:id="rId1603" xr:uid="{00000000-0004-0000-0700-000042060000}"/>
    <hyperlink ref="D1415" r:id="rId1604" xr:uid="{00000000-0004-0000-0700-000043060000}"/>
    <hyperlink ref="D1416" r:id="rId1605" xr:uid="{00000000-0004-0000-0700-000044060000}"/>
    <hyperlink ref="D1417" r:id="rId1606" xr:uid="{00000000-0004-0000-0700-000045060000}"/>
    <hyperlink ref="D1418" r:id="rId1607" xr:uid="{00000000-0004-0000-0700-000046060000}"/>
    <hyperlink ref="D1419" r:id="rId1608" xr:uid="{00000000-0004-0000-0700-000047060000}"/>
    <hyperlink ref="D1420" r:id="rId1609" xr:uid="{00000000-0004-0000-0700-000048060000}"/>
    <hyperlink ref="D1421" r:id="rId1610" xr:uid="{00000000-0004-0000-0700-000049060000}"/>
    <hyperlink ref="D1422" r:id="rId1611" xr:uid="{00000000-0004-0000-0700-00004A060000}"/>
    <hyperlink ref="D1423" r:id="rId1612" xr:uid="{00000000-0004-0000-0700-00004B060000}"/>
    <hyperlink ref="D1424" r:id="rId1613" xr:uid="{00000000-0004-0000-0700-00004C060000}"/>
    <hyperlink ref="D1425" r:id="rId1614" xr:uid="{00000000-0004-0000-0700-00004D060000}"/>
    <hyperlink ref="D1426" r:id="rId1615" xr:uid="{00000000-0004-0000-0700-00004E060000}"/>
    <hyperlink ref="D1427" r:id="rId1616" xr:uid="{00000000-0004-0000-0700-00004F060000}"/>
    <hyperlink ref="D1428" r:id="rId1617" xr:uid="{00000000-0004-0000-0700-000050060000}"/>
    <hyperlink ref="E1428" r:id="rId1618" xr:uid="{00000000-0004-0000-0700-000051060000}"/>
    <hyperlink ref="D1429" r:id="rId1619" xr:uid="{00000000-0004-0000-0700-000052060000}"/>
    <hyperlink ref="E1429" r:id="rId1620" xr:uid="{00000000-0004-0000-0700-000053060000}"/>
    <hyperlink ref="D1430" r:id="rId1621" xr:uid="{00000000-0004-0000-0700-000054060000}"/>
    <hyperlink ref="E1430" r:id="rId1622" xr:uid="{00000000-0004-0000-0700-000055060000}"/>
    <hyperlink ref="D1431" r:id="rId1623" xr:uid="{00000000-0004-0000-0700-000056060000}"/>
    <hyperlink ref="E1431" r:id="rId1624" xr:uid="{00000000-0004-0000-0700-000057060000}"/>
    <hyperlink ref="D1432" r:id="rId1625" xr:uid="{00000000-0004-0000-0700-000058060000}"/>
    <hyperlink ref="E1432" r:id="rId1626" xr:uid="{00000000-0004-0000-0700-000059060000}"/>
    <hyperlink ref="D1433" r:id="rId1627" xr:uid="{00000000-0004-0000-0700-00005A060000}"/>
    <hyperlink ref="E1433" r:id="rId1628" xr:uid="{00000000-0004-0000-0700-00005B060000}"/>
    <hyperlink ref="D1434" r:id="rId1629" xr:uid="{00000000-0004-0000-0700-00005C060000}"/>
    <hyperlink ref="E1434" r:id="rId1630" xr:uid="{00000000-0004-0000-0700-00005D060000}"/>
    <hyperlink ref="D1435" r:id="rId1631" xr:uid="{00000000-0004-0000-0700-00005E060000}"/>
    <hyperlink ref="E1435" r:id="rId1632" xr:uid="{00000000-0004-0000-0700-00005F060000}"/>
    <hyperlink ref="D1436" r:id="rId1633" xr:uid="{00000000-0004-0000-0700-000060060000}"/>
    <hyperlink ref="E1436" r:id="rId1634" xr:uid="{00000000-0004-0000-0700-000061060000}"/>
    <hyperlink ref="D1437" r:id="rId1635" xr:uid="{00000000-0004-0000-0700-000062060000}"/>
    <hyperlink ref="E1437" r:id="rId1636" xr:uid="{00000000-0004-0000-0700-000063060000}"/>
    <hyperlink ref="D1438" r:id="rId1637" xr:uid="{00000000-0004-0000-0700-000064060000}"/>
    <hyperlink ref="D1439" r:id="rId1638" xr:uid="{00000000-0004-0000-0700-000065060000}"/>
    <hyperlink ref="D1440" r:id="rId1639" xr:uid="{00000000-0004-0000-0700-000066060000}"/>
    <hyperlink ref="D1441" r:id="rId1640" xr:uid="{00000000-0004-0000-0700-000067060000}"/>
    <hyperlink ref="D1442" r:id="rId1641" xr:uid="{00000000-0004-0000-0700-000068060000}"/>
    <hyperlink ref="D1443" r:id="rId1642" xr:uid="{00000000-0004-0000-0700-000069060000}"/>
    <hyperlink ref="D1444" r:id="rId1643" xr:uid="{00000000-0004-0000-0700-00006A060000}"/>
    <hyperlink ref="D1445" r:id="rId1644" xr:uid="{00000000-0004-0000-0700-00006B060000}"/>
    <hyperlink ref="D1446" r:id="rId1645" xr:uid="{00000000-0004-0000-0700-00006C060000}"/>
    <hyperlink ref="D1447" r:id="rId1646" xr:uid="{00000000-0004-0000-0700-00006D060000}"/>
    <hyperlink ref="D1448" r:id="rId1647" xr:uid="{00000000-0004-0000-0700-00006E060000}"/>
    <hyperlink ref="D1449" r:id="rId1648" xr:uid="{00000000-0004-0000-0700-00006F060000}"/>
    <hyperlink ref="D1450" r:id="rId1649" xr:uid="{00000000-0004-0000-0700-000070060000}"/>
    <hyperlink ref="D1451" r:id="rId1650" xr:uid="{00000000-0004-0000-0700-000071060000}"/>
    <hyperlink ref="D1452" r:id="rId1651" xr:uid="{00000000-0004-0000-0700-000072060000}"/>
    <hyperlink ref="D1453" r:id="rId1652" xr:uid="{00000000-0004-0000-0700-000073060000}"/>
    <hyperlink ref="D1454" r:id="rId1653" xr:uid="{00000000-0004-0000-0700-000074060000}"/>
    <hyperlink ref="D1455" r:id="rId1654" xr:uid="{00000000-0004-0000-0700-000075060000}"/>
    <hyperlink ref="D1456" r:id="rId1655" xr:uid="{00000000-0004-0000-0700-000076060000}"/>
    <hyperlink ref="D1457" r:id="rId1656" xr:uid="{00000000-0004-0000-0700-000077060000}"/>
    <hyperlink ref="D1458" r:id="rId1657" xr:uid="{00000000-0004-0000-0700-000078060000}"/>
    <hyperlink ref="D1459" r:id="rId1658" xr:uid="{00000000-0004-0000-0700-000079060000}"/>
    <hyperlink ref="D1460" r:id="rId1659" xr:uid="{00000000-0004-0000-0700-00007A060000}"/>
    <hyperlink ref="D1461" r:id="rId1660" xr:uid="{00000000-0004-0000-0700-00007B060000}"/>
    <hyperlink ref="D1462" r:id="rId1661" xr:uid="{00000000-0004-0000-0700-00007C060000}"/>
    <hyperlink ref="D1463" r:id="rId1662" xr:uid="{00000000-0004-0000-0700-00007D060000}"/>
    <hyperlink ref="D1464" r:id="rId1663" xr:uid="{00000000-0004-0000-0700-00007E060000}"/>
    <hyperlink ref="D1465" r:id="rId1664" xr:uid="{00000000-0004-0000-0700-00007F060000}"/>
    <hyperlink ref="D1466" r:id="rId1665" xr:uid="{00000000-0004-0000-0700-000080060000}"/>
    <hyperlink ref="D1467" r:id="rId1666" xr:uid="{00000000-0004-0000-0700-000081060000}"/>
    <hyperlink ref="D1468" r:id="rId1667" xr:uid="{00000000-0004-0000-0700-000082060000}"/>
    <hyperlink ref="D1469" r:id="rId1668" xr:uid="{00000000-0004-0000-0700-000083060000}"/>
    <hyperlink ref="D1470" r:id="rId1669" xr:uid="{00000000-0004-0000-0700-000084060000}"/>
    <hyperlink ref="D1471" r:id="rId1670" xr:uid="{00000000-0004-0000-0700-000085060000}"/>
    <hyperlink ref="D1472" r:id="rId1671" xr:uid="{00000000-0004-0000-0700-000086060000}"/>
    <hyperlink ref="D1473" r:id="rId1672" xr:uid="{00000000-0004-0000-0700-000087060000}"/>
    <hyperlink ref="D1474" r:id="rId1673" xr:uid="{00000000-0004-0000-0700-000088060000}"/>
    <hyperlink ref="D1475" r:id="rId1674" xr:uid="{00000000-0004-0000-0700-000089060000}"/>
    <hyperlink ref="D1476" r:id="rId1675" xr:uid="{00000000-0004-0000-0700-00008A060000}"/>
    <hyperlink ref="D1477" r:id="rId1676" xr:uid="{00000000-0004-0000-0700-00008B060000}"/>
    <hyperlink ref="D1478" r:id="rId1677" xr:uid="{00000000-0004-0000-0700-00008C060000}"/>
    <hyperlink ref="D1479" r:id="rId1678" xr:uid="{00000000-0004-0000-0700-00008D060000}"/>
    <hyperlink ref="D1480" r:id="rId1679" xr:uid="{00000000-0004-0000-0700-00008E060000}"/>
    <hyperlink ref="D1481" r:id="rId1680" xr:uid="{00000000-0004-0000-0700-00008F060000}"/>
    <hyperlink ref="D1482" r:id="rId1681" xr:uid="{00000000-0004-0000-0700-000090060000}"/>
    <hyperlink ref="D1483" r:id="rId1682" xr:uid="{00000000-0004-0000-0700-000091060000}"/>
    <hyperlink ref="D1484" r:id="rId1683" xr:uid="{00000000-0004-0000-0700-000092060000}"/>
    <hyperlink ref="D1485" r:id="rId1684" xr:uid="{00000000-0004-0000-0700-000093060000}"/>
    <hyperlink ref="D1486" r:id="rId1685" xr:uid="{00000000-0004-0000-0700-000094060000}"/>
    <hyperlink ref="D1487" r:id="rId1686" xr:uid="{00000000-0004-0000-0700-000095060000}"/>
    <hyperlink ref="D1488" r:id="rId1687" xr:uid="{00000000-0004-0000-0700-000096060000}"/>
    <hyperlink ref="D1489" r:id="rId1688" xr:uid="{00000000-0004-0000-0700-000097060000}"/>
    <hyperlink ref="D1490" r:id="rId1689" xr:uid="{00000000-0004-0000-0700-000098060000}"/>
    <hyperlink ref="D1491" r:id="rId1690" xr:uid="{00000000-0004-0000-0700-000099060000}"/>
    <hyperlink ref="D1492" r:id="rId1691" xr:uid="{00000000-0004-0000-0700-00009A060000}"/>
    <hyperlink ref="D1493" r:id="rId1692" xr:uid="{00000000-0004-0000-0700-00009B060000}"/>
    <hyperlink ref="D1494" r:id="rId1693" xr:uid="{00000000-0004-0000-0700-00009C060000}"/>
    <hyperlink ref="D1495" r:id="rId1694" xr:uid="{00000000-0004-0000-0700-00009D060000}"/>
    <hyperlink ref="D1496" r:id="rId1695" xr:uid="{00000000-0004-0000-0700-00009E060000}"/>
    <hyperlink ref="D1497" r:id="rId1696" xr:uid="{00000000-0004-0000-0700-00009F060000}"/>
    <hyperlink ref="D1498" r:id="rId1697" xr:uid="{00000000-0004-0000-0700-0000A0060000}"/>
    <hyperlink ref="D1499" r:id="rId1698" xr:uid="{00000000-0004-0000-0700-0000A1060000}"/>
    <hyperlink ref="D1500" r:id="rId1699" xr:uid="{00000000-0004-0000-0700-0000A2060000}"/>
    <hyperlink ref="D1501" r:id="rId1700" xr:uid="{00000000-0004-0000-0700-0000A3060000}"/>
    <hyperlink ref="D1502" r:id="rId1701" xr:uid="{00000000-0004-0000-0700-0000A4060000}"/>
    <hyperlink ref="D1503" r:id="rId1702" xr:uid="{00000000-0004-0000-0700-0000A5060000}"/>
    <hyperlink ref="D1504" r:id="rId1703" xr:uid="{00000000-0004-0000-0700-0000A6060000}"/>
    <hyperlink ref="D1505" r:id="rId1704" xr:uid="{00000000-0004-0000-0700-0000A7060000}"/>
    <hyperlink ref="D1506" r:id="rId1705" xr:uid="{00000000-0004-0000-0700-0000A8060000}"/>
    <hyperlink ref="D1507" r:id="rId1706" xr:uid="{00000000-0004-0000-0700-0000A9060000}"/>
    <hyperlink ref="E1507" r:id="rId1707" xr:uid="{00000000-0004-0000-0700-0000AA060000}"/>
    <hyperlink ref="D1508" r:id="rId1708" xr:uid="{00000000-0004-0000-0700-0000AB060000}"/>
    <hyperlink ref="E1508" r:id="rId1709" xr:uid="{00000000-0004-0000-0700-0000AC060000}"/>
    <hyperlink ref="D1509" r:id="rId1710" xr:uid="{00000000-0004-0000-0700-0000AD060000}"/>
    <hyperlink ref="E1509" r:id="rId1711" xr:uid="{00000000-0004-0000-0700-0000AE060000}"/>
    <hyperlink ref="D1510" r:id="rId1712" xr:uid="{00000000-0004-0000-0700-0000AF060000}"/>
    <hyperlink ref="E1510" r:id="rId1713" xr:uid="{00000000-0004-0000-0700-0000B0060000}"/>
    <hyperlink ref="D1511" r:id="rId1714" xr:uid="{00000000-0004-0000-0700-0000B1060000}"/>
    <hyperlink ref="E1511" r:id="rId1715" xr:uid="{00000000-0004-0000-0700-0000B2060000}"/>
    <hyperlink ref="D1512" r:id="rId1716" xr:uid="{00000000-0004-0000-0700-0000B3060000}"/>
    <hyperlink ref="E1512" r:id="rId1717" xr:uid="{00000000-0004-0000-0700-0000B4060000}"/>
    <hyperlink ref="D1513" r:id="rId1718" xr:uid="{00000000-0004-0000-0700-0000B5060000}"/>
    <hyperlink ref="E1513" r:id="rId1719" xr:uid="{00000000-0004-0000-0700-0000B6060000}"/>
    <hyperlink ref="D1514" r:id="rId1720" xr:uid="{00000000-0004-0000-0700-0000B7060000}"/>
    <hyperlink ref="E1514" r:id="rId1721" xr:uid="{00000000-0004-0000-0700-0000B8060000}"/>
    <hyperlink ref="D1515" r:id="rId1722" xr:uid="{00000000-0004-0000-0700-0000B9060000}"/>
    <hyperlink ref="E1515" r:id="rId1723" xr:uid="{00000000-0004-0000-0700-0000BA060000}"/>
    <hyperlink ref="D1516" r:id="rId1724" xr:uid="{00000000-0004-0000-0700-0000BB060000}"/>
    <hyperlink ref="E1516" r:id="rId1725" xr:uid="{00000000-0004-0000-0700-0000BC060000}"/>
    <hyperlink ref="D1517" r:id="rId1726" xr:uid="{00000000-0004-0000-0700-0000BD060000}"/>
    <hyperlink ref="D1518" r:id="rId1727" xr:uid="{00000000-0004-0000-0700-0000BE060000}"/>
    <hyperlink ref="D1519" r:id="rId1728" xr:uid="{00000000-0004-0000-0700-0000BF060000}"/>
    <hyperlink ref="D1520" r:id="rId1729" xr:uid="{00000000-0004-0000-0700-0000C0060000}"/>
    <hyperlink ref="D1521" r:id="rId1730" xr:uid="{00000000-0004-0000-0700-0000C1060000}"/>
    <hyperlink ref="D1522" r:id="rId1731" xr:uid="{00000000-0004-0000-0700-0000C2060000}"/>
    <hyperlink ref="D1523" r:id="rId1732" xr:uid="{00000000-0004-0000-0700-0000C3060000}"/>
    <hyperlink ref="D1524" r:id="rId1733" xr:uid="{00000000-0004-0000-0700-0000C4060000}"/>
    <hyperlink ref="D1525" r:id="rId1734" xr:uid="{00000000-0004-0000-0700-0000C5060000}"/>
    <hyperlink ref="D1526" r:id="rId1735" xr:uid="{00000000-0004-0000-0700-0000C6060000}"/>
    <hyperlink ref="D1527" r:id="rId1736" xr:uid="{00000000-0004-0000-0700-0000C7060000}"/>
    <hyperlink ref="D1528" r:id="rId1737" xr:uid="{00000000-0004-0000-0700-0000C8060000}"/>
    <hyperlink ref="D1529" r:id="rId1738" xr:uid="{00000000-0004-0000-0700-0000C9060000}"/>
    <hyperlink ref="D1530" r:id="rId1739" xr:uid="{00000000-0004-0000-0700-0000CA060000}"/>
    <hyperlink ref="D1531" r:id="rId1740" xr:uid="{00000000-0004-0000-0700-0000CB060000}"/>
    <hyperlink ref="D1532" r:id="rId1741" xr:uid="{00000000-0004-0000-0700-0000CC060000}"/>
    <hyperlink ref="D1533" r:id="rId1742" xr:uid="{00000000-0004-0000-0700-0000CD060000}"/>
    <hyperlink ref="D1534" r:id="rId1743" xr:uid="{00000000-0004-0000-0700-0000CE060000}"/>
    <hyperlink ref="D1535" r:id="rId1744" xr:uid="{00000000-0004-0000-0700-0000CF060000}"/>
    <hyperlink ref="D1536" r:id="rId1745" xr:uid="{00000000-0004-0000-0700-0000D0060000}"/>
    <hyperlink ref="D1537" r:id="rId1746" xr:uid="{00000000-0004-0000-0700-0000D1060000}"/>
    <hyperlink ref="D1538" r:id="rId1747" xr:uid="{00000000-0004-0000-0700-0000D2060000}"/>
    <hyperlink ref="D1539" r:id="rId1748" xr:uid="{00000000-0004-0000-0700-0000D3060000}"/>
    <hyperlink ref="D1540" r:id="rId1749" xr:uid="{00000000-0004-0000-0700-0000D4060000}"/>
    <hyperlink ref="D1541" r:id="rId1750" xr:uid="{00000000-0004-0000-0700-0000D5060000}"/>
    <hyperlink ref="D1542" r:id="rId1751" xr:uid="{00000000-0004-0000-0700-0000D6060000}"/>
    <hyperlink ref="D1543" r:id="rId1752" xr:uid="{00000000-0004-0000-0700-0000D7060000}"/>
    <hyperlink ref="D1544" r:id="rId1753" xr:uid="{00000000-0004-0000-0700-0000D8060000}"/>
    <hyperlink ref="D1545" r:id="rId1754" xr:uid="{00000000-0004-0000-0700-0000D9060000}"/>
    <hyperlink ref="D1546" r:id="rId1755" xr:uid="{00000000-0004-0000-0700-0000DA060000}"/>
    <hyperlink ref="D1547" r:id="rId1756" xr:uid="{00000000-0004-0000-0700-0000DB060000}"/>
    <hyperlink ref="D1548" r:id="rId1757" xr:uid="{00000000-0004-0000-0700-0000DC060000}"/>
    <hyperlink ref="D1549" r:id="rId1758" xr:uid="{00000000-0004-0000-0700-0000DD060000}"/>
    <hyperlink ref="D1550" r:id="rId1759" xr:uid="{00000000-0004-0000-0700-0000DE060000}"/>
    <hyperlink ref="D1551" r:id="rId1760" xr:uid="{00000000-0004-0000-0700-0000DF060000}"/>
    <hyperlink ref="D1552" r:id="rId1761" xr:uid="{00000000-0004-0000-0700-0000E0060000}"/>
    <hyperlink ref="D1553" r:id="rId1762" xr:uid="{00000000-0004-0000-0700-0000E1060000}"/>
    <hyperlink ref="D1554" r:id="rId1763" xr:uid="{00000000-0004-0000-0700-0000E2060000}"/>
    <hyperlink ref="D1555" r:id="rId1764" xr:uid="{00000000-0004-0000-0700-0000E3060000}"/>
    <hyperlink ref="D1556" r:id="rId1765" xr:uid="{00000000-0004-0000-0700-0000E4060000}"/>
    <hyperlink ref="D1557" r:id="rId1766" xr:uid="{00000000-0004-0000-0700-0000E5060000}"/>
    <hyperlink ref="D1558" r:id="rId1767" xr:uid="{00000000-0004-0000-0700-0000E6060000}"/>
    <hyperlink ref="D1559" r:id="rId1768" xr:uid="{00000000-0004-0000-0700-0000E7060000}"/>
    <hyperlink ref="D1560" r:id="rId1769" xr:uid="{00000000-0004-0000-0700-0000E8060000}"/>
    <hyperlink ref="D1561" r:id="rId1770" xr:uid="{00000000-0004-0000-0700-0000E9060000}"/>
    <hyperlink ref="D1562" r:id="rId1771" xr:uid="{00000000-0004-0000-0700-0000EA060000}"/>
    <hyperlink ref="D1563" r:id="rId1772" xr:uid="{00000000-0004-0000-0700-0000EB060000}"/>
    <hyperlink ref="D1564" r:id="rId1773" xr:uid="{00000000-0004-0000-0700-0000EC060000}"/>
    <hyperlink ref="D1565" r:id="rId1774" xr:uid="{00000000-0004-0000-0700-0000ED060000}"/>
    <hyperlink ref="D1566" r:id="rId1775" xr:uid="{00000000-0004-0000-0700-0000EE060000}"/>
    <hyperlink ref="D1567" r:id="rId1776" xr:uid="{00000000-0004-0000-0700-0000EF060000}"/>
    <hyperlink ref="D1568" r:id="rId1777" xr:uid="{00000000-0004-0000-0700-0000F0060000}"/>
    <hyperlink ref="D1569" r:id="rId1778" xr:uid="{00000000-0004-0000-0700-0000F1060000}"/>
    <hyperlink ref="D1570" r:id="rId1779" xr:uid="{00000000-0004-0000-0700-0000F2060000}"/>
    <hyperlink ref="D1571" r:id="rId1780" xr:uid="{00000000-0004-0000-0700-0000F3060000}"/>
    <hyperlink ref="D1572" r:id="rId1781" xr:uid="{00000000-0004-0000-0700-0000F4060000}"/>
    <hyperlink ref="D1573" r:id="rId1782" xr:uid="{00000000-0004-0000-0700-0000F5060000}"/>
    <hyperlink ref="D1574" r:id="rId1783" xr:uid="{00000000-0004-0000-0700-0000F6060000}"/>
    <hyperlink ref="D1575" r:id="rId1784" xr:uid="{00000000-0004-0000-0700-0000F7060000}"/>
    <hyperlink ref="D1576" r:id="rId1785" xr:uid="{00000000-0004-0000-0700-0000F8060000}"/>
    <hyperlink ref="D1577" r:id="rId1786" xr:uid="{00000000-0004-0000-0700-0000F9060000}"/>
    <hyperlink ref="D1578" r:id="rId1787" xr:uid="{00000000-0004-0000-0700-0000FA060000}"/>
    <hyperlink ref="D1579" r:id="rId1788" xr:uid="{00000000-0004-0000-0700-0000FB060000}"/>
    <hyperlink ref="D1580" r:id="rId1789" xr:uid="{00000000-0004-0000-0700-0000FC060000}"/>
    <hyperlink ref="D1581" r:id="rId1790" xr:uid="{00000000-0004-0000-0700-0000FD060000}"/>
    <hyperlink ref="D1582" r:id="rId1791" xr:uid="{00000000-0004-0000-0700-0000FE060000}"/>
    <hyperlink ref="D1583" r:id="rId1792" xr:uid="{00000000-0004-0000-0700-0000FF060000}"/>
    <hyperlink ref="D1584" r:id="rId1793" xr:uid="{00000000-0004-0000-0700-000000070000}"/>
    <hyperlink ref="D1585" r:id="rId1794" xr:uid="{00000000-0004-0000-0700-000001070000}"/>
    <hyperlink ref="D1586" r:id="rId1795" xr:uid="{00000000-0004-0000-0700-000002070000}"/>
    <hyperlink ref="D1587" r:id="rId1796" xr:uid="{00000000-0004-0000-0700-000003070000}"/>
    <hyperlink ref="D1588" r:id="rId1797" xr:uid="{00000000-0004-0000-0700-000004070000}"/>
    <hyperlink ref="E1588" r:id="rId1798" xr:uid="{00000000-0004-0000-0700-000005070000}"/>
    <hyperlink ref="D1589" r:id="rId1799" xr:uid="{00000000-0004-0000-0700-000006070000}"/>
    <hyperlink ref="E1589" r:id="rId1800" xr:uid="{00000000-0004-0000-0700-000007070000}"/>
    <hyperlink ref="D1590" r:id="rId1801" xr:uid="{00000000-0004-0000-0700-000008070000}"/>
    <hyperlink ref="E1590" r:id="rId1802" xr:uid="{00000000-0004-0000-0700-000009070000}"/>
    <hyperlink ref="D1591" r:id="rId1803" xr:uid="{00000000-0004-0000-0700-00000A070000}"/>
    <hyperlink ref="E1591" r:id="rId1804" xr:uid="{00000000-0004-0000-0700-00000B070000}"/>
    <hyperlink ref="D1592" r:id="rId1805" xr:uid="{00000000-0004-0000-0700-00000C070000}"/>
    <hyperlink ref="E1592" r:id="rId1806" xr:uid="{00000000-0004-0000-0700-00000D070000}"/>
    <hyperlink ref="D1593" r:id="rId1807" xr:uid="{00000000-0004-0000-0700-00000E070000}"/>
    <hyperlink ref="E1593" r:id="rId1808" xr:uid="{00000000-0004-0000-0700-00000F070000}"/>
    <hyperlink ref="D1594" r:id="rId1809" xr:uid="{00000000-0004-0000-0700-000010070000}"/>
    <hyperlink ref="E1594" r:id="rId1810" xr:uid="{00000000-0004-0000-0700-000011070000}"/>
    <hyperlink ref="D1595" r:id="rId1811" xr:uid="{00000000-0004-0000-0700-000012070000}"/>
    <hyperlink ref="D1596" r:id="rId1812" xr:uid="{00000000-0004-0000-0700-000013070000}"/>
    <hyperlink ref="D1597" r:id="rId1813" xr:uid="{00000000-0004-0000-0700-000014070000}"/>
    <hyperlink ref="D1598" r:id="rId1814" xr:uid="{00000000-0004-0000-0700-000015070000}"/>
    <hyperlink ref="D1599" r:id="rId1815" xr:uid="{00000000-0004-0000-0700-000016070000}"/>
    <hyperlink ref="D1600" r:id="rId1816" xr:uid="{00000000-0004-0000-0700-000017070000}"/>
    <hyperlink ref="D1601" r:id="rId1817" xr:uid="{00000000-0004-0000-0700-000018070000}"/>
    <hyperlink ref="D1602" r:id="rId1818" xr:uid="{00000000-0004-0000-0700-000019070000}"/>
    <hyperlink ref="D1603" r:id="rId1819" xr:uid="{00000000-0004-0000-0700-00001A070000}"/>
    <hyperlink ref="D1604" r:id="rId1820" xr:uid="{00000000-0004-0000-0700-00001B070000}"/>
    <hyperlink ref="D1605" r:id="rId1821" xr:uid="{00000000-0004-0000-0700-00001C070000}"/>
    <hyperlink ref="D1606" r:id="rId1822" xr:uid="{00000000-0004-0000-0700-00001D070000}"/>
    <hyperlink ref="D1607" r:id="rId1823" xr:uid="{00000000-0004-0000-0700-00001E070000}"/>
    <hyperlink ref="D1608" r:id="rId1824" xr:uid="{00000000-0004-0000-0700-00001F070000}"/>
    <hyperlink ref="D1609" r:id="rId1825" xr:uid="{00000000-0004-0000-0700-000020070000}"/>
    <hyperlink ref="D1610" r:id="rId1826" xr:uid="{00000000-0004-0000-0700-000021070000}"/>
    <hyperlink ref="D1611" r:id="rId1827" xr:uid="{00000000-0004-0000-0700-000022070000}"/>
    <hyperlink ref="D1612" r:id="rId1828" xr:uid="{00000000-0004-0000-0700-000023070000}"/>
    <hyperlink ref="D1613" r:id="rId1829" xr:uid="{00000000-0004-0000-0700-000024070000}"/>
    <hyperlink ref="D1614" r:id="rId1830" xr:uid="{00000000-0004-0000-0700-000025070000}"/>
    <hyperlink ref="D1615" r:id="rId1831" xr:uid="{00000000-0004-0000-0700-000026070000}"/>
    <hyperlink ref="D1616" r:id="rId1832" xr:uid="{00000000-0004-0000-0700-000027070000}"/>
    <hyperlink ref="D1617" r:id="rId1833" xr:uid="{00000000-0004-0000-0700-000028070000}"/>
    <hyperlink ref="D1618" r:id="rId1834" xr:uid="{00000000-0004-0000-0700-000029070000}"/>
    <hyperlink ref="D1619" r:id="rId1835" xr:uid="{00000000-0004-0000-0700-00002A070000}"/>
    <hyperlink ref="D1620" r:id="rId1836" xr:uid="{00000000-0004-0000-0700-00002B070000}"/>
    <hyperlink ref="D1621" r:id="rId1837" xr:uid="{00000000-0004-0000-0700-00002C070000}"/>
    <hyperlink ref="D1622" r:id="rId1838" xr:uid="{00000000-0004-0000-0700-00002D070000}"/>
    <hyperlink ref="D1623" r:id="rId1839" xr:uid="{00000000-0004-0000-0700-00002E070000}"/>
    <hyperlink ref="D1624" r:id="rId1840" xr:uid="{00000000-0004-0000-0700-00002F070000}"/>
    <hyperlink ref="D1625" r:id="rId1841" xr:uid="{00000000-0004-0000-0700-000030070000}"/>
    <hyperlink ref="D1626" r:id="rId1842" xr:uid="{00000000-0004-0000-0700-000031070000}"/>
    <hyperlink ref="D1627" r:id="rId1843" xr:uid="{00000000-0004-0000-0700-000032070000}"/>
    <hyperlink ref="D1628" r:id="rId1844" xr:uid="{00000000-0004-0000-0700-000033070000}"/>
    <hyperlink ref="D1629" r:id="rId1845" xr:uid="{00000000-0004-0000-0700-000034070000}"/>
    <hyperlink ref="D1630" r:id="rId1846" xr:uid="{00000000-0004-0000-0700-000035070000}"/>
    <hyperlink ref="D1631" r:id="rId1847" xr:uid="{00000000-0004-0000-0700-000036070000}"/>
    <hyperlink ref="D1632" r:id="rId1848" xr:uid="{00000000-0004-0000-0700-000037070000}"/>
    <hyperlink ref="D1633" r:id="rId1849" xr:uid="{00000000-0004-0000-0700-000038070000}"/>
    <hyperlink ref="D1634" r:id="rId1850" xr:uid="{00000000-0004-0000-0700-000039070000}"/>
    <hyperlink ref="D1635" r:id="rId1851" xr:uid="{00000000-0004-0000-0700-00003A070000}"/>
    <hyperlink ref="D1636" r:id="rId1852" xr:uid="{00000000-0004-0000-0700-00003B070000}"/>
    <hyperlink ref="D1637" r:id="rId1853" xr:uid="{00000000-0004-0000-0700-00003C070000}"/>
    <hyperlink ref="E1637" r:id="rId1854" xr:uid="{00000000-0004-0000-0700-00003D070000}"/>
    <hyperlink ref="D1638" r:id="rId1855" xr:uid="{00000000-0004-0000-0700-00003E070000}"/>
    <hyperlink ref="E1638" r:id="rId1856" xr:uid="{00000000-0004-0000-0700-00003F070000}"/>
    <hyperlink ref="D1639" r:id="rId1857" xr:uid="{00000000-0004-0000-0700-000040070000}"/>
    <hyperlink ref="E1639" r:id="rId1858" xr:uid="{00000000-0004-0000-0700-000041070000}"/>
    <hyperlink ref="D1640" r:id="rId1859" xr:uid="{00000000-0004-0000-0700-000042070000}"/>
    <hyperlink ref="E1640" r:id="rId1860" xr:uid="{00000000-0004-0000-0700-000043070000}"/>
    <hyperlink ref="D1641" r:id="rId1861" xr:uid="{00000000-0004-0000-0700-000044070000}"/>
    <hyperlink ref="E1641" r:id="rId1862" xr:uid="{00000000-0004-0000-0700-000045070000}"/>
    <hyperlink ref="D1642" r:id="rId1863" xr:uid="{00000000-0004-0000-0700-000046070000}"/>
    <hyperlink ref="E1642" r:id="rId1864" xr:uid="{00000000-0004-0000-0700-000047070000}"/>
    <hyperlink ref="D1643" r:id="rId1865" xr:uid="{00000000-0004-0000-0700-000048070000}"/>
    <hyperlink ref="E1643" r:id="rId1866" xr:uid="{00000000-0004-0000-0700-000049070000}"/>
    <hyperlink ref="D1644" r:id="rId1867" xr:uid="{00000000-0004-0000-0700-00004A070000}"/>
    <hyperlink ref="E1644" r:id="rId1868" xr:uid="{00000000-0004-0000-0700-00004B070000}"/>
    <hyperlink ref="D1645" r:id="rId1869" xr:uid="{00000000-0004-0000-0700-00004C070000}"/>
    <hyperlink ref="E1645" r:id="rId1870" xr:uid="{00000000-0004-0000-0700-00004D070000}"/>
    <hyperlink ref="D1646" r:id="rId1871" xr:uid="{00000000-0004-0000-0700-00004E070000}"/>
    <hyperlink ref="E1646" r:id="rId1872" xr:uid="{00000000-0004-0000-0700-00004F070000}"/>
    <hyperlink ref="D1647" r:id="rId1873" xr:uid="{00000000-0004-0000-0700-000050070000}"/>
    <hyperlink ref="E1647" r:id="rId1874" xr:uid="{00000000-0004-0000-0700-000051070000}"/>
    <hyperlink ref="D1648" r:id="rId1875" xr:uid="{00000000-0004-0000-0700-000052070000}"/>
    <hyperlink ref="E1648" r:id="rId1876" xr:uid="{00000000-0004-0000-0700-000053070000}"/>
    <hyperlink ref="D1649" r:id="rId1877" xr:uid="{00000000-0004-0000-0700-000054070000}"/>
    <hyperlink ref="E1649" r:id="rId1878" xr:uid="{00000000-0004-0000-0700-000055070000}"/>
    <hyperlink ref="D1650" r:id="rId1879" xr:uid="{00000000-0004-0000-0700-000056070000}"/>
    <hyperlink ref="E1650" r:id="rId1880" xr:uid="{00000000-0004-0000-0700-000057070000}"/>
    <hyperlink ref="D1651" r:id="rId1881" xr:uid="{00000000-0004-0000-0700-000058070000}"/>
    <hyperlink ref="E1651" r:id="rId1882" xr:uid="{00000000-0004-0000-0700-000059070000}"/>
    <hyperlink ref="D1652" r:id="rId1883" xr:uid="{00000000-0004-0000-0700-00005A070000}"/>
    <hyperlink ref="E1652" r:id="rId1884" xr:uid="{00000000-0004-0000-0700-00005B070000}"/>
    <hyperlink ref="D1653" r:id="rId1885" xr:uid="{00000000-0004-0000-0700-00005C070000}"/>
    <hyperlink ref="E1653" r:id="rId1886" location="gid=226809603?trk=ondemandfile" xr:uid="{00000000-0004-0000-0700-00005D070000}"/>
    <hyperlink ref="D1654" r:id="rId1887" xr:uid="{00000000-0004-0000-0700-00005E070000}"/>
    <hyperlink ref="E1654" r:id="rId1888" xr:uid="{00000000-0004-0000-0700-00005F070000}"/>
    <hyperlink ref="D1655" r:id="rId1889" xr:uid="{00000000-0004-0000-0700-000060070000}"/>
    <hyperlink ref="E1655" r:id="rId1890" xr:uid="{00000000-0004-0000-0700-000061070000}"/>
    <hyperlink ref="D1656" r:id="rId1891" xr:uid="{00000000-0004-0000-0700-000062070000}"/>
    <hyperlink ref="E1656" r:id="rId1892" xr:uid="{00000000-0004-0000-0700-000063070000}"/>
    <hyperlink ref="D1657" r:id="rId1893" xr:uid="{00000000-0004-0000-0700-000064070000}"/>
    <hyperlink ref="E1657" r:id="rId1894" xr:uid="{00000000-0004-0000-0700-000065070000}"/>
    <hyperlink ref="D1658" r:id="rId1895" xr:uid="{00000000-0004-0000-0700-000066070000}"/>
    <hyperlink ref="E1658" r:id="rId1896" xr:uid="{00000000-0004-0000-0700-000067070000}"/>
    <hyperlink ref="D1659" r:id="rId1897" xr:uid="{00000000-0004-0000-0700-000068070000}"/>
    <hyperlink ref="D1660" r:id="rId1898" xr:uid="{00000000-0004-0000-0700-000069070000}"/>
    <hyperlink ref="D1661" r:id="rId1899" xr:uid="{00000000-0004-0000-0700-00006A070000}"/>
    <hyperlink ref="D1662" r:id="rId1900" xr:uid="{00000000-0004-0000-0700-00006B070000}"/>
    <hyperlink ref="D1663" r:id="rId1901" xr:uid="{00000000-0004-0000-0700-00006C070000}"/>
    <hyperlink ref="D1664" r:id="rId1902" xr:uid="{00000000-0004-0000-0700-00006D070000}"/>
    <hyperlink ref="D1665" r:id="rId1903" xr:uid="{00000000-0004-0000-0700-00006E070000}"/>
    <hyperlink ref="D1666" r:id="rId1904" xr:uid="{00000000-0004-0000-0700-00006F070000}"/>
    <hyperlink ref="D1667" r:id="rId1905" xr:uid="{00000000-0004-0000-0700-000070070000}"/>
    <hyperlink ref="D1668" r:id="rId1906" xr:uid="{00000000-0004-0000-0700-000071070000}"/>
    <hyperlink ref="D1669" r:id="rId1907" xr:uid="{00000000-0004-0000-0700-000072070000}"/>
    <hyperlink ref="D1670" r:id="rId1908" xr:uid="{00000000-0004-0000-0700-000073070000}"/>
    <hyperlink ref="D1671" r:id="rId1909" xr:uid="{00000000-0004-0000-0700-000074070000}"/>
    <hyperlink ref="D1672" r:id="rId1910" xr:uid="{00000000-0004-0000-0700-000075070000}"/>
    <hyperlink ref="D1673" r:id="rId1911" xr:uid="{00000000-0004-0000-0700-000076070000}"/>
    <hyperlink ref="D1674" r:id="rId1912" xr:uid="{00000000-0004-0000-0700-000077070000}"/>
    <hyperlink ref="D1675" r:id="rId1913" xr:uid="{00000000-0004-0000-0700-000078070000}"/>
    <hyperlink ref="D1676" r:id="rId1914" xr:uid="{00000000-0004-0000-0700-000079070000}"/>
    <hyperlink ref="D1677" r:id="rId1915" xr:uid="{00000000-0004-0000-0700-00007A070000}"/>
    <hyperlink ref="D1678" r:id="rId1916" xr:uid="{00000000-0004-0000-0700-00007B070000}"/>
    <hyperlink ref="D1679" r:id="rId1917" xr:uid="{00000000-0004-0000-0700-00007C070000}"/>
    <hyperlink ref="D1680" r:id="rId1918" xr:uid="{00000000-0004-0000-0700-00007D070000}"/>
    <hyperlink ref="D1681" r:id="rId1919" xr:uid="{00000000-0004-0000-0700-00007E070000}"/>
    <hyperlink ref="D1682" r:id="rId1920" xr:uid="{00000000-0004-0000-0700-00007F070000}"/>
    <hyperlink ref="D1683" r:id="rId1921" xr:uid="{00000000-0004-0000-0700-000080070000}"/>
    <hyperlink ref="D1684" r:id="rId1922" xr:uid="{00000000-0004-0000-0700-000081070000}"/>
    <hyperlink ref="D1685" r:id="rId1923" xr:uid="{00000000-0004-0000-0700-000082070000}"/>
    <hyperlink ref="D1686" r:id="rId1924" xr:uid="{00000000-0004-0000-0700-000083070000}"/>
    <hyperlink ref="D1687" r:id="rId1925" xr:uid="{00000000-0004-0000-0700-000084070000}"/>
    <hyperlink ref="D1688" r:id="rId1926" xr:uid="{00000000-0004-0000-0700-000085070000}"/>
    <hyperlink ref="D1689" r:id="rId1927" xr:uid="{00000000-0004-0000-0700-000086070000}"/>
    <hyperlink ref="D1690" r:id="rId1928" xr:uid="{00000000-0004-0000-0700-000087070000}"/>
    <hyperlink ref="D1691" r:id="rId1929" xr:uid="{00000000-0004-0000-0700-000088070000}"/>
    <hyperlink ref="D1692" r:id="rId1930" xr:uid="{00000000-0004-0000-0700-000089070000}"/>
    <hyperlink ref="D1693" r:id="rId1931" xr:uid="{00000000-0004-0000-0700-00008A070000}"/>
    <hyperlink ref="D1694" r:id="rId1932" xr:uid="{00000000-0004-0000-0700-00008B070000}"/>
    <hyperlink ref="D1695" r:id="rId1933" xr:uid="{00000000-0004-0000-0700-00008C070000}"/>
    <hyperlink ref="D1696" r:id="rId1934" xr:uid="{00000000-0004-0000-0700-00008D070000}"/>
    <hyperlink ref="D1697" r:id="rId1935" xr:uid="{00000000-0004-0000-0700-00008E070000}"/>
    <hyperlink ref="D1698" r:id="rId1936" xr:uid="{00000000-0004-0000-0700-00008F070000}"/>
    <hyperlink ref="D1699" r:id="rId1937" xr:uid="{00000000-0004-0000-0700-000090070000}"/>
    <hyperlink ref="D1700" r:id="rId1938" xr:uid="{00000000-0004-0000-0700-000091070000}"/>
    <hyperlink ref="D1701" r:id="rId1939" xr:uid="{00000000-0004-0000-0700-000092070000}"/>
    <hyperlink ref="D1702" r:id="rId1940" xr:uid="{00000000-0004-0000-0700-000093070000}"/>
    <hyperlink ref="D1703" r:id="rId1941" xr:uid="{00000000-0004-0000-0700-000094070000}"/>
    <hyperlink ref="D1704" r:id="rId1942" xr:uid="{00000000-0004-0000-0700-000095070000}"/>
    <hyperlink ref="D1705" r:id="rId1943" xr:uid="{00000000-0004-0000-0700-000096070000}"/>
    <hyperlink ref="D1706" r:id="rId1944" xr:uid="{00000000-0004-0000-0700-000097070000}"/>
    <hyperlink ref="D1707" r:id="rId1945" xr:uid="{00000000-0004-0000-0700-000098070000}"/>
    <hyperlink ref="D1708" r:id="rId1946" xr:uid="{00000000-0004-0000-0700-000099070000}"/>
    <hyperlink ref="D1709" r:id="rId1947" xr:uid="{00000000-0004-0000-0700-00009A070000}"/>
    <hyperlink ref="D1710" r:id="rId1948" xr:uid="{00000000-0004-0000-0700-00009B070000}"/>
    <hyperlink ref="D1711" r:id="rId1949" xr:uid="{00000000-0004-0000-0700-00009C070000}"/>
    <hyperlink ref="D1712" r:id="rId1950" xr:uid="{00000000-0004-0000-0700-00009D070000}"/>
    <hyperlink ref="D1713" r:id="rId1951" xr:uid="{00000000-0004-0000-0700-00009E070000}"/>
    <hyperlink ref="D1714" r:id="rId1952" xr:uid="{00000000-0004-0000-0700-00009F070000}"/>
    <hyperlink ref="D1715" r:id="rId1953" xr:uid="{00000000-0004-0000-0700-0000A0070000}"/>
    <hyperlink ref="D1716" r:id="rId1954" xr:uid="{00000000-0004-0000-0700-0000A1070000}"/>
    <hyperlink ref="D1717" r:id="rId1955" xr:uid="{00000000-0004-0000-0700-0000A2070000}"/>
    <hyperlink ref="D1718" r:id="rId1956" xr:uid="{00000000-0004-0000-0700-0000A3070000}"/>
    <hyperlink ref="D1719" r:id="rId1957" xr:uid="{00000000-0004-0000-0700-0000A4070000}"/>
    <hyperlink ref="D1720" r:id="rId1958" xr:uid="{00000000-0004-0000-0700-0000A5070000}"/>
    <hyperlink ref="D1721" r:id="rId1959" xr:uid="{00000000-0004-0000-0700-0000A6070000}"/>
    <hyperlink ref="D1722" r:id="rId1960" xr:uid="{00000000-0004-0000-0700-0000A7070000}"/>
    <hyperlink ref="D1723" r:id="rId1961" xr:uid="{00000000-0004-0000-0700-0000A8070000}"/>
    <hyperlink ref="D1724" r:id="rId1962" xr:uid="{00000000-0004-0000-0700-0000A9070000}"/>
    <hyperlink ref="D1725" r:id="rId1963" xr:uid="{00000000-0004-0000-0700-0000AA070000}"/>
    <hyperlink ref="D1726" r:id="rId1964" xr:uid="{00000000-0004-0000-0700-0000AB070000}"/>
    <hyperlink ref="D1727" r:id="rId1965" xr:uid="{00000000-0004-0000-0700-0000AC070000}"/>
    <hyperlink ref="D1728" r:id="rId1966" xr:uid="{00000000-0004-0000-0700-0000AD070000}"/>
    <hyperlink ref="E1728" r:id="rId1967" xr:uid="{00000000-0004-0000-0700-0000AE070000}"/>
    <hyperlink ref="D1729" r:id="rId1968" xr:uid="{00000000-0004-0000-0700-0000AF070000}"/>
    <hyperlink ref="E1729" r:id="rId1969" xr:uid="{00000000-0004-0000-0700-0000B0070000}"/>
    <hyperlink ref="D1730" r:id="rId1970" xr:uid="{00000000-0004-0000-0700-0000B1070000}"/>
    <hyperlink ref="E1730" r:id="rId1971" xr:uid="{00000000-0004-0000-0700-0000B2070000}"/>
    <hyperlink ref="D1731" r:id="rId1972" xr:uid="{00000000-0004-0000-0700-0000B3070000}"/>
    <hyperlink ref="E1731" r:id="rId1973" xr:uid="{00000000-0004-0000-0700-0000B4070000}"/>
    <hyperlink ref="D1732" r:id="rId1974" xr:uid="{00000000-0004-0000-0700-0000B5070000}"/>
    <hyperlink ref="E1732" r:id="rId1975" xr:uid="{00000000-0004-0000-0700-0000B6070000}"/>
    <hyperlink ref="D1733" r:id="rId1976" xr:uid="{00000000-0004-0000-0700-0000B7070000}"/>
    <hyperlink ref="E1733" r:id="rId1977" xr:uid="{00000000-0004-0000-0700-0000B8070000}"/>
    <hyperlink ref="D1734" r:id="rId1978" xr:uid="{00000000-0004-0000-0700-0000B9070000}"/>
    <hyperlink ref="E1734" r:id="rId1979" xr:uid="{00000000-0004-0000-0700-0000BA070000}"/>
    <hyperlink ref="D1735" r:id="rId1980" xr:uid="{00000000-0004-0000-0700-0000BB070000}"/>
    <hyperlink ref="E1735" r:id="rId1981" xr:uid="{00000000-0004-0000-0700-0000BC070000}"/>
    <hyperlink ref="D1736" r:id="rId1982" xr:uid="{00000000-0004-0000-0700-0000BD070000}"/>
    <hyperlink ref="E1736" r:id="rId1983" xr:uid="{00000000-0004-0000-0700-0000BE070000}"/>
    <hyperlink ref="D1737" r:id="rId1984" xr:uid="{00000000-0004-0000-0700-0000BF070000}"/>
    <hyperlink ref="D1738" r:id="rId1985" xr:uid="{00000000-0004-0000-0700-0000C0070000}"/>
    <hyperlink ref="D1739" r:id="rId1986" xr:uid="{00000000-0004-0000-0700-0000C1070000}"/>
    <hyperlink ref="D1740" r:id="rId1987" xr:uid="{00000000-0004-0000-0700-0000C2070000}"/>
    <hyperlink ref="D1741" r:id="rId1988" xr:uid="{00000000-0004-0000-0700-0000C3070000}"/>
    <hyperlink ref="D1742" r:id="rId1989" xr:uid="{00000000-0004-0000-0700-0000C4070000}"/>
    <hyperlink ref="D1743" r:id="rId1990" xr:uid="{00000000-0004-0000-0700-0000C5070000}"/>
    <hyperlink ref="D1744" r:id="rId1991" xr:uid="{00000000-0004-0000-0700-0000C6070000}"/>
    <hyperlink ref="D1745" r:id="rId1992" xr:uid="{00000000-0004-0000-0700-0000C7070000}"/>
    <hyperlink ref="D1746" r:id="rId1993" xr:uid="{00000000-0004-0000-0700-0000C8070000}"/>
    <hyperlink ref="D1747" r:id="rId1994" xr:uid="{00000000-0004-0000-0700-0000C9070000}"/>
    <hyperlink ref="D1748" r:id="rId1995" xr:uid="{00000000-0004-0000-0700-0000CA070000}"/>
    <hyperlink ref="D1749" r:id="rId1996" xr:uid="{00000000-0004-0000-0700-0000CB070000}"/>
    <hyperlink ref="D1750" r:id="rId1997" xr:uid="{00000000-0004-0000-0700-0000CC070000}"/>
    <hyperlink ref="D1751" r:id="rId1998" xr:uid="{00000000-0004-0000-0700-0000CD070000}"/>
    <hyperlink ref="D1752" r:id="rId1999" xr:uid="{00000000-0004-0000-0700-0000CE070000}"/>
    <hyperlink ref="D1753" r:id="rId2000" xr:uid="{00000000-0004-0000-0700-0000CF070000}"/>
    <hyperlink ref="D1754" r:id="rId2001" xr:uid="{00000000-0004-0000-0700-0000D0070000}"/>
    <hyperlink ref="D1755" r:id="rId2002" xr:uid="{00000000-0004-0000-0700-0000D1070000}"/>
    <hyperlink ref="D1756" r:id="rId2003" xr:uid="{00000000-0004-0000-0700-0000D2070000}"/>
    <hyperlink ref="D1757" r:id="rId2004" xr:uid="{00000000-0004-0000-0700-0000D3070000}"/>
    <hyperlink ref="D1758" r:id="rId2005" xr:uid="{00000000-0004-0000-0700-0000D4070000}"/>
    <hyperlink ref="D1759" r:id="rId2006" xr:uid="{00000000-0004-0000-0700-0000D5070000}"/>
    <hyperlink ref="D1760" r:id="rId2007" xr:uid="{00000000-0004-0000-0700-0000D6070000}"/>
    <hyperlink ref="D1761" r:id="rId2008" xr:uid="{00000000-0004-0000-0700-0000D7070000}"/>
    <hyperlink ref="D1762" r:id="rId2009" xr:uid="{00000000-0004-0000-0700-0000D8070000}"/>
    <hyperlink ref="D1763" r:id="rId2010" xr:uid="{00000000-0004-0000-0700-0000D9070000}"/>
    <hyperlink ref="D1764" r:id="rId2011" xr:uid="{00000000-0004-0000-0700-0000DA070000}"/>
    <hyperlink ref="D1765" r:id="rId2012" xr:uid="{00000000-0004-0000-0700-0000DB070000}"/>
    <hyperlink ref="D1766" r:id="rId2013" xr:uid="{00000000-0004-0000-0700-0000DC070000}"/>
    <hyperlink ref="D1767" r:id="rId2014" xr:uid="{00000000-0004-0000-0700-0000DD070000}"/>
    <hyperlink ref="D1768" r:id="rId2015" xr:uid="{00000000-0004-0000-0700-0000DE070000}"/>
    <hyperlink ref="D1769" r:id="rId2016" xr:uid="{00000000-0004-0000-0700-0000DF070000}"/>
    <hyperlink ref="D1770" r:id="rId2017" xr:uid="{00000000-0004-0000-0700-0000E0070000}"/>
    <hyperlink ref="D1771" r:id="rId2018" xr:uid="{00000000-0004-0000-0700-0000E1070000}"/>
    <hyperlink ref="D1772" r:id="rId2019" xr:uid="{00000000-0004-0000-0700-0000E2070000}"/>
    <hyperlink ref="D1773" r:id="rId2020" xr:uid="{00000000-0004-0000-0700-0000E3070000}"/>
    <hyperlink ref="D1774" r:id="rId2021" xr:uid="{00000000-0004-0000-0700-0000E4070000}"/>
    <hyperlink ref="D1775" r:id="rId2022" xr:uid="{00000000-0004-0000-0700-0000E5070000}"/>
    <hyperlink ref="D1776" r:id="rId2023" xr:uid="{00000000-0004-0000-0700-0000E6070000}"/>
    <hyperlink ref="D1777" r:id="rId2024" xr:uid="{00000000-0004-0000-0700-0000E7070000}"/>
    <hyperlink ref="D1778" r:id="rId2025" xr:uid="{00000000-0004-0000-0700-0000E8070000}"/>
    <hyperlink ref="D1779" r:id="rId2026" xr:uid="{00000000-0004-0000-0700-0000E9070000}"/>
    <hyperlink ref="D1780" r:id="rId2027" xr:uid="{00000000-0004-0000-0700-0000EA070000}"/>
    <hyperlink ref="D1781" r:id="rId2028" xr:uid="{00000000-0004-0000-0700-0000EB070000}"/>
    <hyperlink ref="D1782" r:id="rId2029" xr:uid="{00000000-0004-0000-0700-0000EC070000}"/>
    <hyperlink ref="D1783" r:id="rId2030" xr:uid="{00000000-0004-0000-0700-0000ED070000}"/>
    <hyperlink ref="D1784" r:id="rId2031" xr:uid="{00000000-0004-0000-0700-0000EE070000}"/>
    <hyperlink ref="D1785" r:id="rId2032" xr:uid="{00000000-0004-0000-0700-0000EF070000}"/>
    <hyperlink ref="D1786" r:id="rId2033" xr:uid="{00000000-0004-0000-0700-0000F0070000}"/>
    <hyperlink ref="D1787" r:id="rId2034" xr:uid="{00000000-0004-0000-0700-0000F1070000}"/>
    <hyperlink ref="D1788" r:id="rId2035" xr:uid="{00000000-0004-0000-0700-0000F2070000}"/>
    <hyperlink ref="D1789" r:id="rId2036" xr:uid="{00000000-0004-0000-0700-0000F3070000}"/>
    <hyperlink ref="D1790" r:id="rId2037" xr:uid="{00000000-0004-0000-0700-0000F4070000}"/>
    <hyperlink ref="D1791" r:id="rId2038" xr:uid="{00000000-0004-0000-0700-0000F5070000}"/>
    <hyperlink ref="D1792" r:id="rId2039" xr:uid="{00000000-0004-0000-0700-0000F6070000}"/>
    <hyperlink ref="D1793" r:id="rId2040" xr:uid="{00000000-0004-0000-0700-0000F7070000}"/>
    <hyperlink ref="D1794" r:id="rId2041" xr:uid="{00000000-0004-0000-0700-0000F8070000}"/>
    <hyperlink ref="D1795" r:id="rId2042" xr:uid="{00000000-0004-0000-0700-0000F9070000}"/>
    <hyperlink ref="D1796" r:id="rId2043" xr:uid="{00000000-0004-0000-0700-0000FA070000}"/>
    <hyperlink ref="D1797" r:id="rId2044" xr:uid="{00000000-0004-0000-0700-0000FB070000}"/>
    <hyperlink ref="D1798" r:id="rId2045" xr:uid="{00000000-0004-0000-0700-0000FC070000}"/>
    <hyperlink ref="D1799" r:id="rId2046" xr:uid="{00000000-0004-0000-0700-0000FD070000}"/>
    <hyperlink ref="D1800" r:id="rId2047" xr:uid="{00000000-0004-0000-0700-0000FE070000}"/>
    <hyperlink ref="D1801" r:id="rId2048" xr:uid="{00000000-0004-0000-0700-0000FF070000}"/>
    <hyperlink ref="D1802" r:id="rId2049" xr:uid="{00000000-0004-0000-0700-000000080000}"/>
    <hyperlink ref="D1803" r:id="rId2050" xr:uid="{00000000-0004-0000-0700-000001080000}"/>
    <hyperlink ref="D1804" r:id="rId2051" xr:uid="{00000000-0004-0000-0700-000002080000}"/>
    <hyperlink ref="D1805" r:id="rId2052" xr:uid="{00000000-0004-0000-0700-000003080000}"/>
    <hyperlink ref="D1806" r:id="rId2053" xr:uid="{00000000-0004-0000-0700-000004080000}"/>
    <hyperlink ref="D1807" r:id="rId2054" xr:uid="{00000000-0004-0000-0700-000005080000}"/>
    <hyperlink ref="D1808" r:id="rId2055" xr:uid="{00000000-0004-0000-0700-000006080000}"/>
    <hyperlink ref="D1809" r:id="rId2056" xr:uid="{00000000-0004-0000-0700-000007080000}"/>
    <hyperlink ref="D1810" r:id="rId2057" xr:uid="{00000000-0004-0000-0700-000008080000}"/>
    <hyperlink ref="D1811" r:id="rId2058" xr:uid="{00000000-0004-0000-0700-000009080000}"/>
    <hyperlink ref="D1812" r:id="rId2059" xr:uid="{00000000-0004-0000-0700-00000A080000}"/>
    <hyperlink ref="D1813" r:id="rId2060" xr:uid="{00000000-0004-0000-0700-00000B080000}"/>
    <hyperlink ref="D1814" r:id="rId2061" xr:uid="{00000000-0004-0000-0700-00000C080000}"/>
    <hyperlink ref="D1815" r:id="rId2062" xr:uid="{00000000-0004-0000-0700-00000D080000}"/>
    <hyperlink ref="D1816" r:id="rId2063" xr:uid="{00000000-0004-0000-0700-00000E080000}"/>
    <hyperlink ref="D1817" r:id="rId2064" xr:uid="{00000000-0004-0000-0700-00000F080000}"/>
    <hyperlink ref="D1818" r:id="rId2065" xr:uid="{00000000-0004-0000-0700-000010080000}"/>
    <hyperlink ref="D1819" r:id="rId2066" xr:uid="{00000000-0004-0000-0700-000011080000}"/>
    <hyperlink ref="D1820" r:id="rId2067" xr:uid="{00000000-0004-0000-0700-000012080000}"/>
    <hyperlink ref="D1821" r:id="rId2068" xr:uid="{00000000-0004-0000-0700-000013080000}"/>
    <hyperlink ref="D1822" r:id="rId2069" xr:uid="{00000000-0004-0000-0700-000014080000}"/>
    <hyperlink ref="D1823" r:id="rId2070" xr:uid="{00000000-0004-0000-0700-000015080000}"/>
    <hyperlink ref="D1824" r:id="rId2071" xr:uid="{00000000-0004-0000-0700-000016080000}"/>
    <hyperlink ref="D1825" r:id="rId2072" xr:uid="{00000000-0004-0000-0700-000017080000}"/>
    <hyperlink ref="D1826" r:id="rId2073" xr:uid="{00000000-0004-0000-0700-000018080000}"/>
    <hyperlink ref="D1827" r:id="rId2074" xr:uid="{00000000-0004-0000-0700-000019080000}"/>
    <hyperlink ref="D1828" r:id="rId2075" xr:uid="{00000000-0004-0000-0700-00001A080000}"/>
    <hyperlink ref="D1829" r:id="rId2076" xr:uid="{00000000-0004-0000-0700-00001B080000}"/>
    <hyperlink ref="D1831" r:id="rId2077" xr:uid="{00000000-0004-0000-0700-00001C080000}"/>
    <hyperlink ref="E1831" r:id="rId2078" xr:uid="{00000000-0004-0000-0700-00001D080000}"/>
    <hyperlink ref="D1832" r:id="rId2079" xr:uid="{00000000-0004-0000-0700-00001E080000}"/>
    <hyperlink ref="E1832" r:id="rId2080" xr:uid="{00000000-0004-0000-0700-00001F080000}"/>
    <hyperlink ref="D1833" r:id="rId2081" xr:uid="{00000000-0004-0000-0700-000020080000}"/>
    <hyperlink ref="E1833" r:id="rId2082" xr:uid="{00000000-0004-0000-0700-000021080000}"/>
    <hyperlink ref="D1834" r:id="rId2083" xr:uid="{00000000-0004-0000-0700-000022080000}"/>
    <hyperlink ref="E1834" r:id="rId2084" xr:uid="{00000000-0004-0000-0700-000023080000}"/>
    <hyperlink ref="D1835" r:id="rId2085" xr:uid="{00000000-0004-0000-0700-000024080000}"/>
    <hyperlink ref="E1835" r:id="rId2086" xr:uid="{00000000-0004-0000-0700-000025080000}"/>
    <hyperlink ref="D1836" r:id="rId2087" xr:uid="{00000000-0004-0000-0700-000026080000}"/>
    <hyperlink ref="E1836" r:id="rId2088" xr:uid="{00000000-0004-0000-0700-000027080000}"/>
    <hyperlink ref="D1837" r:id="rId2089" xr:uid="{00000000-0004-0000-0700-000028080000}"/>
    <hyperlink ref="E1837" r:id="rId2090" xr:uid="{00000000-0004-0000-0700-000029080000}"/>
    <hyperlink ref="D1838" r:id="rId2091" xr:uid="{00000000-0004-0000-0700-00002A080000}"/>
    <hyperlink ref="E1838" r:id="rId2092" xr:uid="{00000000-0004-0000-0700-00002B080000}"/>
    <hyperlink ref="D1839" r:id="rId2093" xr:uid="{00000000-0004-0000-0700-00002C080000}"/>
    <hyperlink ref="E1839" r:id="rId2094" xr:uid="{00000000-0004-0000-0700-00002D080000}"/>
    <hyperlink ref="D1840" r:id="rId2095" xr:uid="{00000000-0004-0000-0700-00002E080000}"/>
    <hyperlink ref="E1840" r:id="rId2096" xr:uid="{00000000-0004-0000-0700-00002F080000}"/>
    <hyperlink ref="D1841" r:id="rId2097" xr:uid="{00000000-0004-0000-0700-000030080000}"/>
    <hyperlink ref="D1842" r:id="rId2098" xr:uid="{00000000-0004-0000-0700-000031080000}"/>
    <hyperlink ref="D1843" r:id="rId2099" xr:uid="{00000000-0004-0000-0700-000032080000}"/>
    <hyperlink ref="D1844" r:id="rId2100" xr:uid="{00000000-0004-0000-0700-000033080000}"/>
    <hyperlink ref="D1845" r:id="rId2101" xr:uid="{00000000-0004-0000-0700-000034080000}"/>
    <hyperlink ref="D1846" r:id="rId2102" xr:uid="{00000000-0004-0000-0700-000035080000}"/>
    <hyperlink ref="D1847" r:id="rId2103" xr:uid="{00000000-0004-0000-0700-000036080000}"/>
    <hyperlink ref="D1848" r:id="rId2104" xr:uid="{00000000-0004-0000-0700-000037080000}"/>
    <hyperlink ref="D1849" r:id="rId2105" xr:uid="{00000000-0004-0000-0700-000038080000}"/>
    <hyperlink ref="D1850" r:id="rId2106" xr:uid="{00000000-0004-0000-0700-000039080000}"/>
    <hyperlink ref="D1851" r:id="rId2107" xr:uid="{00000000-0004-0000-0700-00003A080000}"/>
    <hyperlink ref="D1852" r:id="rId2108" xr:uid="{00000000-0004-0000-0700-00003B080000}"/>
    <hyperlink ref="D1853" r:id="rId2109" xr:uid="{00000000-0004-0000-0700-00003C080000}"/>
    <hyperlink ref="D1854" r:id="rId2110" xr:uid="{00000000-0004-0000-0700-00003D080000}"/>
    <hyperlink ref="D1855" r:id="rId2111" xr:uid="{00000000-0004-0000-0700-00003E080000}"/>
    <hyperlink ref="D1856" r:id="rId2112" xr:uid="{00000000-0004-0000-0700-00003F080000}"/>
    <hyperlink ref="D1857" r:id="rId2113" xr:uid="{00000000-0004-0000-0700-000040080000}"/>
    <hyperlink ref="D1858" r:id="rId2114" xr:uid="{00000000-0004-0000-0700-000041080000}"/>
    <hyperlink ref="D1859" r:id="rId2115" xr:uid="{00000000-0004-0000-0700-000042080000}"/>
    <hyperlink ref="D1860" r:id="rId2116" xr:uid="{00000000-0004-0000-0700-000043080000}"/>
    <hyperlink ref="D1861" r:id="rId2117" xr:uid="{00000000-0004-0000-0700-000044080000}"/>
    <hyperlink ref="D1862" r:id="rId2118" xr:uid="{00000000-0004-0000-0700-000045080000}"/>
    <hyperlink ref="D1863" r:id="rId2119" xr:uid="{00000000-0004-0000-0700-000046080000}"/>
    <hyperlink ref="D1864" r:id="rId2120" xr:uid="{00000000-0004-0000-0700-000047080000}"/>
    <hyperlink ref="D1865" r:id="rId2121" xr:uid="{00000000-0004-0000-0700-000048080000}"/>
    <hyperlink ref="D1866" r:id="rId2122" xr:uid="{00000000-0004-0000-0700-000049080000}"/>
    <hyperlink ref="D1867" r:id="rId2123" xr:uid="{00000000-0004-0000-0700-00004A080000}"/>
    <hyperlink ref="D1868" r:id="rId2124" xr:uid="{00000000-0004-0000-0700-00004B080000}"/>
    <hyperlink ref="D1869" r:id="rId2125" xr:uid="{00000000-0004-0000-0700-00004C080000}"/>
    <hyperlink ref="D1870" r:id="rId2126" xr:uid="{00000000-0004-0000-0700-00004D080000}"/>
    <hyperlink ref="D1871" r:id="rId2127" xr:uid="{00000000-0004-0000-0700-00004E080000}"/>
    <hyperlink ref="D1872" r:id="rId2128" xr:uid="{00000000-0004-0000-0700-00004F080000}"/>
    <hyperlink ref="D1873" r:id="rId2129" xr:uid="{00000000-0004-0000-0700-000050080000}"/>
    <hyperlink ref="D1874" r:id="rId2130" xr:uid="{00000000-0004-0000-0700-000051080000}"/>
    <hyperlink ref="D1875" r:id="rId2131" xr:uid="{00000000-0004-0000-0700-000052080000}"/>
    <hyperlink ref="D1876" r:id="rId2132" xr:uid="{00000000-0004-0000-0700-000053080000}"/>
    <hyperlink ref="D1877" r:id="rId2133" xr:uid="{00000000-0004-0000-0700-000054080000}"/>
    <hyperlink ref="D1878" r:id="rId2134" xr:uid="{00000000-0004-0000-0700-000055080000}"/>
    <hyperlink ref="D1879" r:id="rId2135" xr:uid="{00000000-0004-0000-0700-000056080000}"/>
    <hyperlink ref="D1880" r:id="rId2136" xr:uid="{00000000-0004-0000-0700-000057080000}"/>
    <hyperlink ref="D1881" r:id="rId2137" xr:uid="{00000000-0004-0000-0700-000058080000}"/>
    <hyperlink ref="D1882" r:id="rId2138" xr:uid="{00000000-0004-0000-0700-000059080000}"/>
    <hyperlink ref="D1883" r:id="rId2139" xr:uid="{00000000-0004-0000-0700-00005A080000}"/>
    <hyperlink ref="D1884" r:id="rId2140" xr:uid="{00000000-0004-0000-0700-00005B080000}"/>
    <hyperlink ref="D1885" r:id="rId2141" xr:uid="{00000000-0004-0000-0700-00005C080000}"/>
    <hyperlink ref="D1886" r:id="rId2142" xr:uid="{00000000-0004-0000-0700-00005D080000}"/>
    <hyperlink ref="D1887" r:id="rId2143" xr:uid="{00000000-0004-0000-0700-00005E080000}"/>
    <hyperlink ref="D1888" r:id="rId2144" xr:uid="{00000000-0004-0000-0700-00005F080000}"/>
    <hyperlink ref="D1889" r:id="rId2145" xr:uid="{00000000-0004-0000-0700-000060080000}"/>
    <hyperlink ref="D1890" r:id="rId2146" xr:uid="{00000000-0004-0000-0700-000061080000}"/>
    <hyperlink ref="D1891" r:id="rId2147" xr:uid="{00000000-0004-0000-0700-000062080000}"/>
    <hyperlink ref="D1892" r:id="rId2148" xr:uid="{00000000-0004-0000-0700-000063080000}"/>
    <hyperlink ref="D1893" r:id="rId2149" xr:uid="{00000000-0004-0000-0700-000064080000}"/>
    <hyperlink ref="D1894" r:id="rId2150" xr:uid="{00000000-0004-0000-0700-000065080000}"/>
    <hyperlink ref="D1895" r:id="rId2151" xr:uid="{00000000-0004-0000-0700-000066080000}"/>
    <hyperlink ref="D1896" r:id="rId2152" xr:uid="{00000000-0004-0000-0700-000067080000}"/>
    <hyperlink ref="D1897" r:id="rId2153" xr:uid="{00000000-0004-0000-0700-000068080000}"/>
    <hyperlink ref="D1898" r:id="rId2154" xr:uid="{00000000-0004-0000-0700-000069080000}"/>
    <hyperlink ref="D1899" r:id="rId2155" xr:uid="{00000000-0004-0000-0700-00006A080000}"/>
    <hyperlink ref="D1900" r:id="rId2156" xr:uid="{00000000-0004-0000-0700-00006B080000}"/>
    <hyperlink ref="D1901" r:id="rId2157" xr:uid="{00000000-0004-0000-0700-00006C080000}"/>
    <hyperlink ref="D1902" r:id="rId2158" xr:uid="{00000000-0004-0000-0700-00006D080000}"/>
    <hyperlink ref="D1903" r:id="rId2159" xr:uid="{00000000-0004-0000-0700-00006E080000}"/>
    <hyperlink ref="D1904" r:id="rId2160" xr:uid="{00000000-0004-0000-0700-00006F080000}"/>
    <hyperlink ref="D1905" r:id="rId2161" xr:uid="{00000000-0004-0000-0700-000070080000}"/>
    <hyperlink ref="D1906" r:id="rId2162" xr:uid="{00000000-0004-0000-0700-000071080000}"/>
    <hyperlink ref="D1907" r:id="rId2163" xr:uid="{00000000-0004-0000-0700-000072080000}"/>
    <hyperlink ref="D1908" r:id="rId2164" xr:uid="{00000000-0004-0000-0700-000073080000}"/>
    <hyperlink ref="D1909" r:id="rId2165" xr:uid="{00000000-0004-0000-0700-000074080000}"/>
    <hyperlink ref="D1910" r:id="rId2166" xr:uid="{00000000-0004-0000-0700-000075080000}"/>
    <hyperlink ref="D1911" r:id="rId2167" xr:uid="{00000000-0004-0000-0700-000076080000}"/>
    <hyperlink ref="D1912" r:id="rId2168" xr:uid="{00000000-0004-0000-0700-000077080000}"/>
    <hyperlink ref="D1913" r:id="rId2169" xr:uid="{00000000-0004-0000-0700-000078080000}"/>
    <hyperlink ref="D1914" r:id="rId2170" xr:uid="{00000000-0004-0000-0700-000079080000}"/>
    <hyperlink ref="D1915" r:id="rId2171" xr:uid="{00000000-0004-0000-0700-00007A080000}"/>
    <hyperlink ref="D1916" r:id="rId2172" xr:uid="{00000000-0004-0000-0700-00007B080000}"/>
    <hyperlink ref="D1917" r:id="rId2173" xr:uid="{00000000-0004-0000-0700-00007C080000}"/>
    <hyperlink ref="D1918" r:id="rId2174" xr:uid="{00000000-0004-0000-0700-00007D080000}"/>
    <hyperlink ref="D1919" r:id="rId2175" xr:uid="{00000000-0004-0000-0700-00007E080000}"/>
    <hyperlink ref="D1920" r:id="rId2176" xr:uid="{00000000-0004-0000-0700-00007F080000}"/>
    <hyperlink ref="D1921" r:id="rId2177" xr:uid="{00000000-0004-0000-0700-000080080000}"/>
    <hyperlink ref="D1922" r:id="rId2178" xr:uid="{00000000-0004-0000-0700-000081080000}"/>
    <hyperlink ref="E1922" r:id="rId2179" xr:uid="{00000000-0004-0000-0700-000082080000}"/>
    <hyperlink ref="D1923" r:id="rId2180" xr:uid="{00000000-0004-0000-0700-000083080000}"/>
    <hyperlink ref="E1923" r:id="rId2181" xr:uid="{00000000-0004-0000-0700-000084080000}"/>
    <hyperlink ref="D1924" r:id="rId2182" xr:uid="{00000000-0004-0000-0700-000085080000}"/>
    <hyperlink ref="E1924" r:id="rId2183" xr:uid="{00000000-0004-0000-0700-000086080000}"/>
    <hyperlink ref="D1925" r:id="rId2184" xr:uid="{00000000-0004-0000-0700-000087080000}"/>
    <hyperlink ref="E1925" r:id="rId2185" xr:uid="{00000000-0004-0000-0700-000088080000}"/>
    <hyperlink ref="D1926" r:id="rId2186" xr:uid="{00000000-0004-0000-0700-000089080000}"/>
    <hyperlink ref="E1926" r:id="rId2187" xr:uid="{00000000-0004-0000-0700-00008A080000}"/>
    <hyperlink ref="D1927" r:id="rId2188" xr:uid="{00000000-0004-0000-0700-00008B080000}"/>
    <hyperlink ref="E1927" r:id="rId2189" xr:uid="{00000000-0004-0000-0700-00008C080000}"/>
    <hyperlink ref="D1928" r:id="rId2190" xr:uid="{00000000-0004-0000-0700-00008D080000}"/>
    <hyperlink ref="E1928" r:id="rId2191" xr:uid="{00000000-0004-0000-0700-00008E080000}"/>
    <hyperlink ref="D1929" r:id="rId2192" xr:uid="{00000000-0004-0000-0700-00008F080000}"/>
    <hyperlink ref="E1929" r:id="rId2193" xr:uid="{00000000-0004-0000-0700-000090080000}"/>
    <hyperlink ref="D1930" r:id="rId2194" xr:uid="{00000000-0004-0000-0700-000091080000}"/>
    <hyperlink ref="D1931" r:id="rId2195" xr:uid="{00000000-0004-0000-0700-000092080000}"/>
    <hyperlink ref="D1932" r:id="rId2196" xr:uid="{00000000-0004-0000-0700-000093080000}"/>
    <hyperlink ref="D1933" r:id="rId2197" xr:uid="{00000000-0004-0000-0700-000094080000}"/>
    <hyperlink ref="D1934" r:id="rId2198" xr:uid="{00000000-0004-0000-0700-000095080000}"/>
    <hyperlink ref="D1935" r:id="rId2199" xr:uid="{00000000-0004-0000-0700-000096080000}"/>
    <hyperlink ref="D1936" r:id="rId2200" xr:uid="{00000000-0004-0000-0700-000097080000}"/>
    <hyperlink ref="D1937" r:id="rId2201" xr:uid="{00000000-0004-0000-0700-000098080000}"/>
    <hyperlink ref="D1938" r:id="rId2202" xr:uid="{00000000-0004-0000-0700-000099080000}"/>
    <hyperlink ref="D1939" r:id="rId2203" xr:uid="{00000000-0004-0000-0700-00009A080000}"/>
    <hyperlink ref="D1940" r:id="rId2204" xr:uid="{00000000-0004-0000-0700-00009B080000}"/>
    <hyperlink ref="D1941" r:id="rId2205" xr:uid="{00000000-0004-0000-0700-00009C080000}"/>
    <hyperlink ref="D1942" r:id="rId2206" xr:uid="{00000000-0004-0000-0700-00009D080000}"/>
    <hyperlink ref="D1943" r:id="rId2207" xr:uid="{00000000-0004-0000-0700-00009E080000}"/>
    <hyperlink ref="D1944" r:id="rId2208" xr:uid="{00000000-0004-0000-0700-00009F080000}"/>
    <hyperlink ref="D1945" r:id="rId2209" xr:uid="{00000000-0004-0000-0700-0000A0080000}"/>
    <hyperlink ref="D1946" r:id="rId2210" xr:uid="{00000000-0004-0000-0700-0000A1080000}"/>
    <hyperlink ref="D1947" r:id="rId2211" xr:uid="{00000000-0004-0000-0700-0000A2080000}"/>
    <hyperlink ref="D1948" r:id="rId2212" xr:uid="{00000000-0004-0000-0700-0000A3080000}"/>
    <hyperlink ref="D1949" r:id="rId2213" xr:uid="{00000000-0004-0000-0700-0000A4080000}"/>
    <hyperlink ref="D1950" r:id="rId2214" xr:uid="{00000000-0004-0000-0700-0000A5080000}"/>
    <hyperlink ref="D1951" r:id="rId2215" xr:uid="{00000000-0004-0000-0700-0000A6080000}"/>
    <hyperlink ref="D1952" r:id="rId2216" xr:uid="{00000000-0004-0000-0700-0000A7080000}"/>
    <hyperlink ref="D1953" r:id="rId2217" xr:uid="{00000000-0004-0000-0700-0000A8080000}"/>
    <hyperlink ref="D1954" r:id="rId2218" xr:uid="{00000000-0004-0000-0700-0000A9080000}"/>
    <hyperlink ref="D1955" r:id="rId2219" xr:uid="{00000000-0004-0000-0700-0000AA080000}"/>
    <hyperlink ref="D1956" r:id="rId2220" xr:uid="{00000000-0004-0000-0700-0000AB080000}"/>
    <hyperlink ref="D1957" r:id="rId2221" xr:uid="{00000000-0004-0000-0700-0000AC080000}"/>
    <hyperlink ref="D1958" r:id="rId2222" xr:uid="{00000000-0004-0000-0700-0000AD080000}"/>
    <hyperlink ref="D1959" r:id="rId2223" xr:uid="{00000000-0004-0000-0700-0000AE080000}"/>
    <hyperlink ref="D1960" r:id="rId2224" xr:uid="{00000000-0004-0000-0700-0000AF080000}"/>
    <hyperlink ref="D1961" r:id="rId2225" xr:uid="{00000000-0004-0000-0700-0000B0080000}"/>
    <hyperlink ref="D1962" r:id="rId2226" xr:uid="{00000000-0004-0000-0700-0000B1080000}"/>
    <hyperlink ref="D1963" r:id="rId2227" xr:uid="{00000000-0004-0000-0700-0000B2080000}"/>
    <hyperlink ref="D1964" r:id="rId2228" xr:uid="{00000000-0004-0000-0700-0000B3080000}"/>
    <hyperlink ref="D1965" r:id="rId2229" xr:uid="{00000000-0004-0000-0700-0000B4080000}"/>
    <hyperlink ref="D1966" r:id="rId2230" xr:uid="{00000000-0004-0000-0700-0000B5080000}"/>
    <hyperlink ref="D1967" r:id="rId2231" xr:uid="{00000000-0004-0000-0700-0000B6080000}"/>
    <hyperlink ref="D1968" r:id="rId2232" xr:uid="{00000000-0004-0000-0700-0000B7080000}"/>
    <hyperlink ref="D1969" r:id="rId2233" xr:uid="{00000000-0004-0000-0700-0000B8080000}"/>
    <hyperlink ref="D1970" r:id="rId2234" xr:uid="{00000000-0004-0000-0700-0000B9080000}"/>
    <hyperlink ref="D1971" r:id="rId2235" xr:uid="{00000000-0004-0000-0700-0000BA080000}"/>
    <hyperlink ref="D1972" r:id="rId2236" xr:uid="{00000000-0004-0000-0700-0000BB080000}"/>
    <hyperlink ref="D1973" r:id="rId2237" xr:uid="{00000000-0004-0000-0700-0000BC080000}"/>
    <hyperlink ref="D1974" r:id="rId2238" xr:uid="{00000000-0004-0000-0700-0000BD080000}"/>
    <hyperlink ref="D1975" r:id="rId2239" xr:uid="{00000000-0004-0000-0700-0000BE080000}"/>
    <hyperlink ref="D1976" r:id="rId2240" xr:uid="{00000000-0004-0000-0700-0000BF080000}"/>
    <hyperlink ref="D1977" r:id="rId2241" xr:uid="{00000000-0004-0000-0700-0000C0080000}"/>
    <hyperlink ref="D1978" r:id="rId2242" xr:uid="{00000000-0004-0000-0700-0000C1080000}"/>
    <hyperlink ref="D1979" r:id="rId2243" xr:uid="{00000000-0004-0000-0700-0000C2080000}"/>
    <hyperlink ref="D1980" r:id="rId2244" xr:uid="{00000000-0004-0000-0700-0000C3080000}"/>
    <hyperlink ref="D1981" r:id="rId2245" xr:uid="{00000000-0004-0000-0700-0000C4080000}"/>
    <hyperlink ref="D1982" r:id="rId2246" xr:uid="{00000000-0004-0000-0700-0000C5080000}"/>
    <hyperlink ref="D1983" r:id="rId2247" xr:uid="{00000000-0004-0000-0700-0000C6080000}"/>
    <hyperlink ref="D1984" r:id="rId2248" xr:uid="{00000000-0004-0000-0700-0000C7080000}"/>
    <hyperlink ref="D1985" r:id="rId2249" xr:uid="{00000000-0004-0000-0700-0000C8080000}"/>
    <hyperlink ref="D1986" r:id="rId2250" xr:uid="{00000000-0004-0000-0700-0000C9080000}"/>
    <hyperlink ref="D1987" r:id="rId2251" xr:uid="{00000000-0004-0000-0700-0000CA080000}"/>
    <hyperlink ref="D1988" r:id="rId2252" xr:uid="{00000000-0004-0000-0700-0000CB080000}"/>
    <hyperlink ref="D1989" r:id="rId2253" xr:uid="{00000000-0004-0000-0700-0000CC080000}"/>
    <hyperlink ref="D1990" r:id="rId2254" xr:uid="{00000000-0004-0000-0700-0000CD080000}"/>
    <hyperlink ref="D1991" r:id="rId2255" xr:uid="{00000000-0004-0000-0700-0000CE080000}"/>
    <hyperlink ref="D1992" r:id="rId2256" xr:uid="{00000000-0004-0000-0700-0000CF080000}"/>
    <hyperlink ref="D1994" r:id="rId2257" xr:uid="{00000000-0004-0000-0700-0000D0080000}"/>
    <hyperlink ref="E1994" r:id="rId2258" xr:uid="{00000000-0004-0000-0700-0000D1080000}"/>
    <hyperlink ref="D1995" r:id="rId2259" xr:uid="{00000000-0004-0000-0700-0000D2080000}"/>
    <hyperlink ref="E1995" r:id="rId2260" xr:uid="{00000000-0004-0000-0700-0000D3080000}"/>
    <hyperlink ref="D1996" r:id="rId2261" xr:uid="{00000000-0004-0000-0700-0000D4080000}"/>
    <hyperlink ref="E1996" r:id="rId2262" xr:uid="{00000000-0004-0000-0700-0000D5080000}"/>
    <hyperlink ref="D1997" r:id="rId2263" xr:uid="{00000000-0004-0000-0700-0000D6080000}"/>
    <hyperlink ref="E1997" r:id="rId2264" xr:uid="{00000000-0004-0000-0700-0000D7080000}"/>
    <hyperlink ref="D1998" r:id="rId2265" xr:uid="{00000000-0004-0000-0700-0000D8080000}"/>
    <hyperlink ref="E1998" r:id="rId2266" xr:uid="{00000000-0004-0000-0700-0000D9080000}"/>
    <hyperlink ref="D1999" r:id="rId2267" xr:uid="{00000000-0004-0000-0700-0000DA080000}"/>
    <hyperlink ref="E1999" r:id="rId2268" xr:uid="{00000000-0004-0000-0700-0000DB080000}"/>
    <hyperlink ref="D2000" r:id="rId2269" xr:uid="{00000000-0004-0000-0700-0000DC080000}"/>
    <hyperlink ref="E2000" r:id="rId2270" xr:uid="{00000000-0004-0000-0700-0000DD080000}"/>
    <hyperlink ref="D2001" r:id="rId2271" xr:uid="{00000000-0004-0000-0700-0000DE080000}"/>
    <hyperlink ref="D2002" r:id="rId2272" xr:uid="{00000000-0004-0000-0700-0000DF080000}"/>
    <hyperlink ref="D2003" r:id="rId2273" xr:uid="{00000000-0004-0000-0700-0000E0080000}"/>
    <hyperlink ref="D2004" r:id="rId2274" xr:uid="{00000000-0004-0000-0700-0000E1080000}"/>
    <hyperlink ref="D2005" r:id="rId2275" xr:uid="{00000000-0004-0000-0700-0000E2080000}"/>
    <hyperlink ref="D2006" r:id="rId2276" xr:uid="{00000000-0004-0000-0700-0000E3080000}"/>
    <hyperlink ref="D2007" r:id="rId2277" xr:uid="{00000000-0004-0000-0700-0000E4080000}"/>
    <hyperlink ref="D2008" r:id="rId2278" xr:uid="{00000000-0004-0000-0700-0000E5080000}"/>
    <hyperlink ref="D2009" r:id="rId2279" xr:uid="{00000000-0004-0000-0700-0000E6080000}"/>
    <hyperlink ref="D2010" r:id="rId2280" xr:uid="{00000000-0004-0000-0700-0000E7080000}"/>
    <hyperlink ref="D2011" r:id="rId2281" xr:uid="{00000000-0004-0000-0700-0000E8080000}"/>
    <hyperlink ref="D2012" r:id="rId2282" xr:uid="{00000000-0004-0000-0700-0000E9080000}"/>
    <hyperlink ref="D2013" r:id="rId2283" xr:uid="{00000000-0004-0000-0700-0000EA080000}"/>
    <hyperlink ref="D2014" r:id="rId2284" xr:uid="{00000000-0004-0000-0700-0000EB080000}"/>
    <hyperlink ref="D2015" r:id="rId2285" xr:uid="{00000000-0004-0000-0700-0000EC080000}"/>
    <hyperlink ref="D2016" r:id="rId2286" xr:uid="{00000000-0004-0000-0700-0000ED080000}"/>
    <hyperlink ref="D2017" r:id="rId2287" xr:uid="{00000000-0004-0000-0700-0000EE080000}"/>
    <hyperlink ref="D2018" r:id="rId2288" xr:uid="{00000000-0004-0000-0700-0000EF080000}"/>
    <hyperlink ref="D2019" r:id="rId2289" xr:uid="{00000000-0004-0000-0700-0000F0080000}"/>
    <hyperlink ref="D2020" r:id="rId2290" xr:uid="{00000000-0004-0000-0700-0000F1080000}"/>
    <hyperlink ref="D2021" r:id="rId2291" xr:uid="{00000000-0004-0000-0700-0000F2080000}"/>
    <hyperlink ref="D2022" r:id="rId2292" xr:uid="{00000000-0004-0000-0700-0000F3080000}"/>
    <hyperlink ref="D2023" r:id="rId2293" xr:uid="{00000000-0004-0000-0700-0000F4080000}"/>
    <hyperlink ref="D2024" r:id="rId2294" xr:uid="{00000000-0004-0000-0700-0000F5080000}"/>
    <hyperlink ref="D2025" r:id="rId2295" xr:uid="{00000000-0004-0000-0700-0000F6080000}"/>
    <hyperlink ref="D2026" r:id="rId2296" xr:uid="{00000000-0004-0000-0700-0000F7080000}"/>
    <hyperlink ref="D2027" r:id="rId2297" xr:uid="{00000000-0004-0000-0700-0000F8080000}"/>
    <hyperlink ref="D2028" r:id="rId2298" xr:uid="{00000000-0004-0000-0700-0000F9080000}"/>
    <hyperlink ref="D2029" r:id="rId2299" xr:uid="{00000000-0004-0000-0700-0000FA080000}"/>
    <hyperlink ref="D2030" r:id="rId2300" xr:uid="{00000000-0004-0000-0700-0000FB080000}"/>
    <hyperlink ref="D2031" r:id="rId2301" xr:uid="{00000000-0004-0000-0700-0000FC080000}"/>
    <hyperlink ref="D2032" r:id="rId2302" xr:uid="{00000000-0004-0000-0700-0000FD080000}"/>
    <hyperlink ref="D2033" r:id="rId2303" xr:uid="{00000000-0004-0000-0700-0000FE080000}"/>
    <hyperlink ref="D2034" r:id="rId2304" xr:uid="{00000000-0004-0000-0700-0000FF080000}"/>
    <hyperlink ref="D2035" r:id="rId2305" xr:uid="{00000000-0004-0000-0700-000000090000}"/>
    <hyperlink ref="D2036" r:id="rId2306" xr:uid="{00000000-0004-0000-0700-000001090000}"/>
    <hyperlink ref="D2037" r:id="rId2307" xr:uid="{00000000-0004-0000-0700-000002090000}"/>
    <hyperlink ref="D2038" r:id="rId2308" xr:uid="{00000000-0004-0000-0700-000003090000}"/>
    <hyperlink ref="D2039" r:id="rId2309" xr:uid="{00000000-0004-0000-0700-000004090000}"/>
    <hyperlink ref="D2040" r:id="rId2310" xr:uid="{00000000-0004-0000-0700-000005090000}"/>
    <hyperlink ref="D2041" r:id="rId2311" xr:uid="{00000000-0004-0000-0700-000006090000}"/>
    <hyperlink ref="D2042" r:id="rId2312" xr:uid="{00000000-0004-0000-0700-000007090000}"/>
    <hyperlink ref="E2042" r:id="rId2313" xr:uid="{00000000-0004-0000-0700-000008090000}"/>
    <hyperlink ref="D2043" r:id="rId2314" xr:uid="{00000000-0004-0000-0700-000009090000}"/>
    <hyperlink ref="E2043" r:id="rId2315" xr:uid="{00000000-0004-0000-0700-00000A090000}"/>
    <hyperlink ref="D2044" r:id="rId2316" xr:uid="{00000000-0004-0000-0700-00000B090000}"/>
    <hyperlink ref="E2044" r:id="rId2317" xr:uid="{00000000-0004-0000-0700-00000C090000}"/>
    <hyperlink ref="D2045" r:id="rId2318" xr:uid="{00000000-0004-0000-0700-00000D090000}"/>
    <hyperlink ref="E2045" r:id="rId2319" xr:uid="{00000000-0004-0000-0700-00000E090000}"/>
    <hyperlink ref="D2046" r:id="rId2320" xr:uid="{00000000-0004-0000-0700-00000F090000}"/>
    <hyperlink ref="E2046" r:id="rId2321" xr:uid="{00000000-0004-0000-0700-000010090000}"/>
    <hyperlink ref="D2047" r:id="rId2322" xr:uid="{00000000-0004-0000-0700-000011090000}"/>
    <hyperlink ref="E2047" r:id="rId2323" xr:uid="{00000000-0004-0000-0700-000012090000}"/>
    <hyperlink ref="D2048" r:id="rId2324" xr:uid="{00000000-0004-0000-0700-000013090000}"/>
    <hyperlink ref="E2048" r:id="rId2325" xr:uid="{00000000-0004-0000-0700-000014090000}"/>
    <hyperlink ref="D2049" r:id="rId2326" xr:uid="{00000000-0004-0000-0700-000015090000}"/>
    <hyperlink ref="E2049" r:id="rId2327" xr:uid="{00000000-0004-0000-0700-000016090000}"/>
    <hyperlink ref="D2050" r:id="rId2328" xr:uid="{00000000-0004-0000-0700-000017090000}"/>
    <hyperlink ref="E2050" r:id="rId2329" xr:uid="{00000000-0004-0000-0700-000018090000}"/>
    <hyperlink ref="D2051" r:id="rId2330" xr:uid="{00000000-0004-0000-0700-000019090000}"/>
    <hyperlink ref="E2051" r:id="rId2331" xr:uid="{00000000-0004-0000-0700-00001A090000}"/>
    <hyperlink ref="D2052" r:id="rId2332" xr:uid="{00000000-0004-0000-0700-00001B090000}"/>
    <hyperlink ref="E2052" r:id="rId2333" xr:uid="{00000000-0004-0000-0700-00001C090000}"/>
    <hyperlink ref="D2053" r:id="rId2334" xr:uid="{00000000-0004-0000-0700-00001D090000}"/>
    <hyperlink ref="E2053" r:id="rId2335" xr:uid="{00000000-0004-0000-0700-00001E090000}"/>
    <hyperlink ref="D2054" r:id="rId2336" xr:uid="{00000000-0004-0000-0700-00001F090000}"/>
    <hyperlink ref="D2055" r:id="rId2337" xr:uid="{00000000-0004-0000-0700-000020090000}"/>
    <hyperlink ref="D2056" r:id="rId2338" xr:uid="{00000000-0004-0000-0700-000021090000}"/>
    <hyperlink ref="D2057" r:id="rId2339" xr:uid="{00000000-0004-0000-0700-000022090000}"/>
    <hyperlink ref="D2058" r:id="rId2340" xr:uid="{00000000-0004-0000-0700-000023090000}"/>
    <hyperlink ref="D2059" r:id="rId2341" xr:uid="{00000000-0004-0000-0700-000024090000}"/>
    <hyperlink ref="D2060" r:id="rId2342" xr:uid="{00000000-0004-0000-0700-000025090000}"/>
    <hyperlink ref="D2061" r:id="rId2343" xr:uid="{00000000-0004-0000-0700-000026090000}"/>
    <hyperlink ref="D2062" r:id="rId2344" xr:uid="{00000000-0004-0000-0700-000027090000}"/>
    <hyperlink ref="D2063" r:id="rId2345" xr:uid="{00000000-0004-0000-0700-000028090000}"/>
    <hyperlink ref="D2064" r:id="rId2346" xr:uid="{00000000-0004-0000-0700-000029090000}"/>
    <hyperlink ref="D2065" r:id="rId2347" xr:uid="{00000000-0004-0000-0700-00002A090000}"/>
    <hyperlink ref="D2066" r:id="rId2348" xr:uid="{00000000-0004-0000-0700-00002B090000}"/>
    <hyperlink ref="D2067" r:id="rId2349" xr:uid="{00000000-0004-0000-0700-00002C090000}"/>
    <hyperlink ref="D2068" r:id="rId2350" xr:uid="{00000000-0004-0000-0700-00002D090000}"/>
    <hyperlink ref="D2069" r:id="rId2351" xr:uid="{00000000-0004-0000-0700-00002E090000}"/>
    <hyperlink ref="D2070" r:id="rId2352" xr:uid="{00000000-0004-0000-0700-00002F090000}"/>
    <hyperlink ref="D2071" r:id="rId2353" xr:uid="{00000000-0004-0000-0700-000030090000}"/>
    <hyperlink ref="D2072" r:id="rId2354" xr:uid="{00000000-0004-0000-0700-000031090000}"/>
    <hyperlink ref="D2073" r:id="rId2355" xr:uid="{00000000-0004-0000-0700-000032090000}"/>
    <hyperlink ref="D2074" r:id="rId2356" xr:uid="{00000000-0004-0000-0700-000033090000}"/>
    <hyperlink ref="D2075" r:id="rId2357" xr:uid="{00000000-0004-0000-0700-000034090000}"/>
    <hyperlink ref="D2076" r:id="rId2358" xr:uid="{00000000-0004-0000-0700-000035090000}"/>
    <hyperlink ref="D2077" r:id="rId2359" xr:uid="{00000000-0004-0000-0700-000036090000}"/>
    <hyperlink ref="D2078" r:id="rId2360" xr:uid="{00000000-0004-0000-0700-000037090000}"/>
    <hyperlink ref="D2079" r:id="rId2361" xr:uid="{00000000-0004-0000-0700-000038090000}"/>
    <hyperlink ref="D2080" r:id="rId2362" xr:uid="{00000000-0004-0000-0700-000039090000}"/>
    <hyperlink ref="D2081" r:id="rId2363" xr:uid="{00000000-0004-0000-0700-00003A090000}"/>
    <hyperlink ref="D2082" r:id="rId2364" xr:uid="{00000000-0004-0000-0700-00003B090000}"/>
    <hyperlink ref="D2083" r:id="rId2365" xr:uid="{00000000-0004-0000-0700-00003C090000}"/>
    <hyperlink ref="D2084" r:id="rId2366" xr:uid="{00000000-0004-0000-0700-00003D090000}"/>
    <hyperlink ref="D2085" r:id="rId2367" xr:uid="{00000000-0004-0000-0700-00003E090000}"/>
    <hyperlink ref="D2086" r:id="rId2368" xr:uid="{00000000-0004-0000-0700-00003F090000}"/>
    <hyperlink ref="D2087" r:id="rId2369" xr:uid="{00000000-0004-0000-0700-000040090000}"/>
    <hyperlink ref="D2088" r:id="rId2370" xr:uid="{00000000-0004-0000-0700-000041090000}"/>
    <hyperlink ref="D2089" r:id="rId2371" xr:uid="{00000000-0004-0000-0700-000042090000}"/>
    <hyperlink ref="D2090" r:id="rId2372" xr:uid="{00000000-0004-0000-0700-000043090000}"/>
    <hyperlink ref="D2091" r:id="rId2373" xr:uid="{00000000-0004-0000-0700-000044090000}"/>
    <hyperlink ref="D2092" r:id="rId2374" xr:uid="{00000000-0004-0000-0700-000045090000}"/>
    <hyperlink ref="D2093" r:id="rId2375" xr:uid="{00000000-0004-0000-0700-000046090000}"/>
    <hyperlink ref="D2094" r:id="rId2376" xr:uid="{00000000-0004-0000-0700-000047090000}"/>
    <hyperlink ref="D2095" r:id="rId2377" xr:uid="{00000000-0004-0000-0700-000048090000}"/>
    <hyperlink ref="D2096" r:id="rId2378" xr:uid="{00000000-0004-0000-0700-000049090000}"/>
    <hyperlink ref="D2097" r:id="rId2379" xr:uid="{00000000-0004-0000-0700-00004A090000}"/>
    <hyperlink ref="D2098" r:id="rId2380" xr:uid="{00000000-0004-0000-0700-00004B090000}"/>
    <hyperlink ref="D2099" r:id="rId2381" xr:uid="{00000000-0004-0000-0700-00004C090000}"/>
    <hyperlink ref="D2100" r:id="rId2382" xr:uid="{00000000-0004-0000-0700-00004D090000}"/>
    <hyperlink ref="D2101" r:id="rId2383" xr:uid="{00000000-0004-0000-0700-00004E090000}"/>
    <hyperlink ref="D2102" r:id="rId2384" xr:uid="{00000000-0004-0000-0700-00004F090000}"/>
    <hyperlink ref="D2103" r:id="rId2385" xr:uid="{00000000-0004-0000-0700-000050090000}"/>
    <hyperlink ref="D2104" r:id="rId2386" xr:uid="{00000000-0004-0000-0700-000051090000}"/>
    <hyperlink ref="D2105" r:id="rId2387" xr:uid="{00000000-0004-0000-0700-000052090000}"/>
    <hyperlink ref="D2106" r:id="rId2388" xr:uid="{00000000-0004-0000-0700-000053090000}"/>
    <hyperlink ref="D2107" r:id="rId2389" xr:uid="{00000000-0004-0000-0700-000054090000}"/>
    <hyperlink ref="D2108" r:id="rId2390" xr:uid="{00000000-0004-0000-0700-000055090000}"/>
    <hyperlink ref="D2109" r:id="rId2391" xr:uid="{00000000-0004-0000-0700-000056090000}"/>
    <hyperlink ref="D2110" r:id="rId2392" xr:uid="{00000000-0004-0000-0700-000057090000}"/>
    <hyperlink ref="D2111" r:id="rId2393" xr:uid="{00000000-0004-0000-0700-000058090000}"/>
    <hyperlink ref="D2112" r:id="rId2394" xr:uid="{00000000-0004-0000-0700-000059090000}"/>
    <hyperlink ref="D2113" r:id="rId2395" xr:uid="{00000000-0004-0000-0700-00005A090000}"/>
    <hyperlink ref="D2114" r:id="rId2396" xr:uid="{00000000-0004-0000-0700-00005B090000}"/>
    <hyperlink ref="D2115" r:id="rId2397" xr:uid="{00000000-0004-0000-0700-00005C090000}"/>
    <hyperlink ref="D2116" r:id="rId2398" xr:uid="{00000000-0004-0000-0700-00005D090000}"/>
    <hyperlink ref="D2117" r:id="rId2399" xr:uid="{00000000-0004-0000-0700-00005E090000}"/>
    <hyperlink ref="D2118" r:id="rId2400" xr:uid="{00000000-0004-0000-0700-00005F090000}"/>
    <hyperlink ref="D2119" r:id="rId2401" xr:uid="{00000000-0004-0000-0700-000060090000}"/>
    <hyperlink ref="D2120" r:id="rId2402" xr:uid="{00000000-0004-0000-0700-000061090000}"/>
    <hyperlink ref="D2121" r:id="rId2403" xr:uid="{00000000-0004-0000-0700-000062090000}"/>
    <hyperlink ref="D2122" r:id="rId2404" xr:uid="{00000000-0004-0000-0700-000063090000}"/>
    <hyperlink ref="D2123" r:id="rId2405" xr:uid="{00000000-0004-0000-0700-000064090000}"/>
    <hyperlink ref="D2124" r:id="rId2406" xr:uid="{00000000-0004-0000-0700-000065090000}"/>
    <hyperlink ref="D2125" r:id="rId2407" xr:uid="{00000000-0004-0000-0700-000066090000}"/>
    <hyperlink ref="D2126" r:id="rId2408" xr:uid="{00000000-0004-0000-0700-000067090000}"/>
    <hyperlink ref="D2127" r:id="rId2409" xr:uid="{00000000-0004-0000-0700-000068090000}"/>
    <hyperlink ref="D2128" r:id="rId2410" xr:uid="{00000000-0004-0000-0700-000069090000}"/>
    <hyperlink ref="D2129" r:id="rId2411" xr:uid="{00000000-0004-0000-0700-00006A090000}"/>
    <hyperlink ref="D2130" r:id="rId2412" xr:uid="{00000000-0004-0000-0700-00006B090000}"/>
    <hyperlink ref="D2131" r:id="rId2413" xr:uid="{00000000-0004-0000-0700-00006C090000}"/>
    <hyperlink ref="D2132" r:id="rId2414" xr:uid="{00000000-0004-0000-0700-00006D090000}"/>
    <hyperlink ref="D2133" r:id="rId2415" xr:uid="{00000000-0004-0000-0700-00006E090000}"/>
    <hyperlink ref="D2134" r:id="rId2416" xr:uid="{00000000-0004-0000-0700-00006F090000}"/>
    <hyperlink ref="D2135" r:id="rId2417" xr:uid="{00000000-0004-0000-0700-000070090000}"/>
    <hyperlink ref="D2136" r:id="rId2418" xr:uid="{00000000-0004-0000-0700-000071090000}"/>
    <hyperlink ref="D2137" r:id="rId2419" xr:uid="{00000000-0004-0000-0700-000072090000}"/>
    <hyperlink ref="D2138" r:id="rId2420" xr:uid="{00000000-0004-0000-0700-000073090000}"/>
    <hyperlink ref="D2139" r:id="rId2421" xr:uid="{00000000-0004-0000-0700-000074090000}"/>
    <hyperlink ref="D2140" r:id="rId2422" xr:uid="{00000000-0004-0000-0700-000075090000}"/>
    <hyperlink ref="D2141" r:id="rId2423" xr:uid="{00000000-0004-0000-0700-000076090000}"/>
    <hyperlink ref="D2142" r:id="rId2424" xr:uid="{00000000-0004-0000-0700-000077090000}"/>
    <hyperlink ref="D2143" r:id="rId2425" xr:uid="{00000000-0004-0000-0700-000078090000}"/>
    <hyperlink ref="D2144" r:id="rId2426" xr:uid="{00000000-0004-0000-0700-000079090000}"/>
    <hyperlink ref="D2145" r:id="rId2427" xr:uid="{00000000-0004-0000-0700-00007A090000}"/>
    <hyperlink ref="D2146" r:id="rId2428" xr:uid="{00000000-0004-0000-0700-00007B090000}"/>
    <hyperlink ref="D2147" r:id="rId2429" xr:uid="{00000000-0004-0000-0700-00007C090000}"/>
    <hyperlink ref="D2148" r:id="rId2430" xr:uid="{00000000-0004-0000-0700-00007D090000}"/>
    <hyperlink ref="D2149" r:id="rId2431" xr:uid="{00000000-0004-0000-0700-00007E090000}"/>
    <hyperlink ref="D2150" r:id="rId2432" xr:uid="{00000000-0004-0000-0700-00007F090000}"/>
    <hyperlink ref="D2151" r:id="rId2433" xr:uid="{00000000-0004-0000-0700-000080090000}"/>
    <hyperlink ref="D2152" r:id="rId2434" xr:uid="{00000000-0004-0000-0700-000081090000}"/>
    <hyperlink ref="D2153" r:id="rId2435" xr:uid="{00000000-0004-0000-0700-000082090000}"/>
    <hyperlink ref="D2154" r:id="rId2436" xr:uid="{00000000-0004-0000-0700-000083090000}"/>
    <hyperlink ref="D2155" r:id="rId2437" xr:uid="{00000000-0004-0000-0700-000084090000}"/>
    <hyperlink ref="D2156" r:id="rId2438" xr:uid="{00000000-0004-0000-0700-000085090000}"/>
    <hyperlink ref="D2157" r:id="rId2439" xr:uid="{00000000-0004-0000-0700-000086090000}"/>
    <hyperlink ref="D2158" r:id="rId2440" xr:uid="{00000000-0004-0000-0700-000087090000}"/>
    <hyperlink ref="D2159" r:id="rId2441" xr:uid="{00000000-0004-0000-0700-000088090000}"/>
    <hyperlink ref="D2160" r:id="rId2442" xr:uid="{00000000-0004-0000-0700-000089090000}"/>
    <hyperlink ref="E2160" r:id="rId2443" xr:uid="{00000000-0004-0000-0700-00008A090000}"/>
    <hyperlink ref="D2161" r:id="rId2444" xr:uid="{00000000-0004-0000-0700-00008B090000}"/>
    <hyperlink ref="E2161" r:id="rId2445" xr:uid="{00000000-0004-0000-0700-00008C090000}"/>
    <hyperlink ref="D2162" r:id="rId2446" xr:uid="{00000000-0004-0000-0700-00008D090000}"/>
    <hyperlink ref="D2163" r:id="rId2447" xr:uid="{00000000-0004-0000-0700-00008E090000}"/>
    <hyperlink ref="D2164" r:id="rId2448" xr:uid="{00000000-0004-0000-0700-00008F090000}"/>
    <hyperlink ref="D2165" r:id="rId2449" xr:uid="{00000000-0004-0000-0700-000090090000}"/>
    <hyperlink ref="D2166" r:id="rId2450" xr:uid="{00000000-0004-0000-0700-000091090000}"/>
    <hyperlink ref="D2167" r:id="rId2451" xr:uid="{00000000-0004-0000-0700-000092090000}"/>
    <hyperlink ref="D2168" r:id="rId2452" xr:uid="{00000000-0004-0000-0700-000093090000}"/>
    <hyperlink ref="D2169" r:id="rId2453" xr:uid="{00000000-0004-0000-0700-000094090000}"/>
    <hyperlink ref="D2170" r:id="rId2454" xr:uid="{00000000-0004-0000-0700-000095090000}"/>
    <hyperlink ref="D2171" r:id="rId2455" xr:uid="{00000000-0004-0000-0700-000096090000}"/>
    <hyperlink ref="D2172" r:id="rId2456" xr:uid="{00000000-0004-0000-0700-000097090000}"/>
    <hyperlink ref="D2173" r:id="rId2457" xr:uid="{00000000-0004-0000-0700-000098090000}"/>
    <hyperlink ref="D2174" r:id="rId2458" xr:uid="{00000000-0004-0000-0700-000099090000}"/>
    <hyperlink ref="D2175" r:id="rId2459" xr:uid="{00000000-0004-0000-0700-00009A090000}"/>
    <hyperlink ref="D2176" r:id="rId2460" xr:uid="{00000000-0004-0000-0700-00009B090000}"/>
    <hyperlink ref="D2177" r:id="rId2461" xr:uid="{00000000-0004-0000-0700-00009C090000}"/>
    <hyperlink ref="D2178" r:id="rId2462" xr:uid="{00000000-0004-0000-0700-00009D090000}"/>
    <hyperlink ref="D2179" r:id="rId2463" xr:uid="{00000000-0004-0000-0700-00009E090000}"/>
    <hyperlink ref="D2180" r:id="rId2464" xr:uid="{00000000-0004-0000-0700-00009F090000}"/>
    <hyperlink ref="D2181" r:id="rId2465" xr:uid="{00000000-0004-0000-0700-0000A0090000}"/>
    <hyperlink ref="D2182" r:id="rId2466" xr:uid="{00000000-0004-0000-0700-0000A1090000}"/>
    <hyperlink ref="D2183" r:id="rId2467" xr:uid="{00000000-0004-0000-0700-0000A2090000}"/>
    <hyperlink ref="D2184" r:id="rId2468" xr:uid="{00000000-0004-0000-0700-0000A3090000}"/>
    <hyperlink ref="D2185" r:id="rId2469" xr:uid="{00000000-0004-0000-0700-0000A4090000}"/>
    <hyperlink ref="D2186" r:id="rId2470" xr:uid="{00000000-0004-0000-0700-0000A5090000}"/>
    <hyperlink ref="D2187" r:id="rId2471" xr:uid="{00000000-0004-0000-0700-0000A6090000}"/>
    <hyperlink ref="D2188" r:id="rId2472" xr:uid="{00000000-0004-0000-0700-0000A7090000}"/>
    <hyperlink ref="D2189" r:id="rId2473" xr:uid="{00000000-0004-0000-0700-0000A8090000}"/>
    <hyperlink ref="D2190" r:id="rId2474" xr:uid="{00000000-0004-0000-0700-0000A9090000}"/>
    <hyperlink ref="D2191" r:id="rId2475" xr:uid="{00000000-0004-0000-0700-0000AA090000}"/>
    <hyperlink ref="D2192" r:id="rId2476" xr:uid="{00000000-0004-0000-0700-0000AB090000}"/>
    <hyperlink ref="D2193" r:id="rId2477" xr:uid="{00000000-0004-0000-0700-0000AC090000}"/>
    <hyperlink ref="E2193" r:id="rId2478" xr:uid="{00000000-0004-0000-0700-0000AD090000}"/>
    <hyperlink ref="D2194" r:id="rId2479" xr:uid="{00000000-0004-0000-0700-0000AE090000}"/>
    <hyperlink ref="E2194" r:id="rId2480" xr:uid="{00000000-0004-0000-0700-0000AF090000}"/>
    <hyperlink ref="D2195" r:id="rId2481" xr:uid="{00000000-0004-0000-0700-0000B0090000}"/>
    <hyperlink ref="E2195" r:id="rId2482" xr:uid="{00000000-0004-0000-0700-0000B1090000}"/>
    <hyperlink ref="D2196" r:id="rId2483" xr:uid="{00000000-0004-0000-0700-0000B2090000}"/>
    <hyperlink ref="E2196" r:id="rId2484" xr:uid="{00000000-0004-0000-0700-0000B3090000}"/>
    <hyperlink ref="D2197" r:id="rId2485" xr:uid="{00000000-0004-0000-0700-0000B4090000}"/>
    <hyperlink ref="E2197" r:id="rId2486" xr:uid="{00000000-0004-0000-0700-0000B5090000}"/>
    <hyperlink ref="D2198" r:id="rId2487" xr:uid="{00000000-0004-0000-0700-0000B6090000}"/>
    <hyperlink ref="E2198" r:id="rId2488" xr:uid="{00000000-0004-0000-0700-0000B7090000}"/>
    <hyperlink ref="D2199" r:id="rId2489" xr:uid="{00000000-0004-0000-0700-0000B8090000}"/>
    <hyperlink ref="D2200" r:id="rId2490" xr:uid="{00000000-0004-0000-0700-0000B9090000}"/>
    <hyperlink ref="D2201" r:id="rId2491" xr:uid="{00000000-0004-0000-0700-0000BA090000}"/>
    <hyperlink ref="D2202" r:id="rId2492" xr:uid="{00000000-0004-0000-0700-0000BB090000}"/>
    <hyperlink ref="D2203" r:id="rId2493" xr:uid="{00000000-0004-0000-0700-0000BC090000}"/>
    <hyperlink ref="D2204" r:id="rId2494" xr:uid="{00000000-0004-0000-0700-0000BD090000}"/>
    <hyperlink ref="D2205" r:id="rId2495" xr:uid="{00000000-0004-0000-0700-0000BE090000}"/>
    <hyperlink ref="D2206" r:id="rId2496" xr:uid="{00000000-0004-0000-0700-0000BF090000}"/>
    <hyperlink ref="D2207" r:id="rId2497" xr:uid="{00000000-0004-0000-0700-0000C0090000}"/>
    <hyperlink ref="D2208" r:id="rId2498" xr:uid="{00000000-0004-0000-0700-0000C1090000}"/>
    <hyperlink ref="D2209" r:id="rId2499" xr:uid="{00000000-0004-0000-0700-0000C2090000}"/>
    <hyperlink ref="D2210" r:id="rId2500" xr:uid="{00000000-0004-0000-0700-0000C3090000}"/>
    <hyperlink ref="D2211" r:id="rId2501" xr:uid="{00000000-0004-0000-0700-0000C4090000}"/>
    <hyperlink ref="D2212" r:id="rId2502" xr:uid="{00000000-0004-0000-0700-0000C5090000}"/>
    <hyperlink ref="D2213" r:id="rId2503" xr:uid="{00000000-0004-0000-0700-0000C6090000}"/>
    <hyperlink ref="D2214" r:id="rId2504" xr:uid="{00000000-0004-0000-0700-0000C7090000}"/>
    <hyperlink ref="D2215" r:id="rId2505" xr:uid="{00000000-0004-0000-0700-0000C8090000}"/>
    <hyperlink ref="D2216" r:id="rId2506" xr:uid="{00000000-0004-0000-0700-0000C9090000}"/>
    <hyperlink ref="D2217" r:id="rId2507" xr:uid="{00000000-0004-0000-0700-0000CA090000}"/>
    <hyperlink ref="D2218" r:id="rId2508" xr:uid="{00000000-0004-0000-0700-0000CB090000}"/>
    <hyperlink ref="D2219" r:id="rId2509" xr:uid="{00000000-0004-0000-0700-0000CC090000}"/>
    <hyperlink ref="D2220" r:id="rId2510" xr:uid="{00000000-0004-0000-0700-0000CD090000}"/>
    <hyperlink ref="D2221" r:id="rId2511" xr:uid="{00000000-0004-0000-0700-0000CE090000}"/>
    <hyperlink ref="D2222" r:id="rId2512" xr:uid="{00000000-0004-0000-0700-0000CF090000}"/>
    <hyperlink ref="D2223" r:id="rId2513" xr:uid="{00000000-0004-0000-0700-0000D0090000}"/>
    <hyperlink ref="D2224" r:id="rId2514" xr:uid="{00000000-0004-0000-0700-0000D1090000}"/>
    <hyperlink ref="D2225" r:id="rId2515" xr:uid="{00000000-0004-0000-0700-0000D2090000}"/>
    <hyperlink ref="D2226" r:id="rId2516" xr:uid="{00000000-0004-0000-0700-0000D3090000}"/>
    <hyperlink ref="D2227" r:id="rId2517" xr:uid="{00000000-0004-0000-0700-0000D4090000}"/>
    <hyperlink ref="D2228" r:id="rId2518" xr:uid="{00000000-0004-0000-0700-0000D5090000}"/>
    <hyperlink ref="D2229" r:id="rId2519" xr:uid="{00000000-0004-0000-0700-0000D6090000}"/>
    <hyperlink ref="D2230" r:id="rId2520" xr:uid="{00000000-0004-0000-0700-0000D7090000}"/>
    <hyperlink ref="D2231" r:id="rId2521" xr:uid="{00000000-0004-0000-0700-0000D8090000}"/>
    <hyperlink ref="D2232" r:id="rId2522" xr:uid="{00000000-0004-0000-0700-0000D9090000}"/>
    <hyperlink ref="D2233" r:id="rId2523" xr:uid="{00000000-0004-0000-0700-0000DA090000}"/>
    <hyperlink ref="D2234" r:id="rId2524" xr:uid="{00000000-0004-0000-0700-0000DB090000}"/>
    <hyperlink ref="D2235" r:id="rId2525" xr:uid="{00000000-0004-0000-0700-0000DC090000}"/>
    <hyperlink ref="D2236" r:id="rId2526" xr:uid="{00000000-0004-0000-0700-0000DD090000}"/>
    <hyperlink ref="D2237" r:id="rId2527" xr:uid="{00000000-0004-0000-0700-0000DE090000}"/>
    <hyperlink ref="D2238" r:id="rId2528" xr:uid="{00000000-0004-0000-0700-0000DF090000}"/>
    <hyperlink ref="D2239" r:id="rId2529" xr:uid="{00000000-0004-0000-0700-0000E0090000}"/>
    <hyperlink ref="D2240" r:id="rId2530" xr:uid="{00000000-0004-0000-0700-0000E1090000}"/>
    <hyperlink ref="D2241" r:id="rId2531" xr:uid="{00000000-0004-0000-0700-0000E2090000}"/>
    <hyperlink ref="D2242" r:id="rId2532" xr:uid="{00000000-0004-0000-0700-0000E3090000}"/>
    <hyperlink ref="D2243" r:id="rId2533" xr:uid="{00000000-0004-0000-0700-0000E4090000}"/>
    <hyperlink ref="D2244" r:id="rId2534" xr:uid="{00000000-0004-0000-0700-0000E5090000}"/>
    <hyperlink ref="D2245" r:id="rId2535" xr:uid="{00000000-0004-0000-0700-0000E6090000}"/>
    <hyperlink ref="D2246" r:id="rId2536" xr:uid="{00000000-0004-0000-0700-0000E7090000}"/>
    <hyperlink ref="D2247" r:id="rId2537" xr:uid="{00000000-0004-0000-0700-0000E8090000}"/>
    <hyperlink ref="D2248" r:id="rId2538" xr:uid="{00000000-0004-0000-0700-0000E9090000}"/>
    <hyperlink ref="D2249" r:id="rId2539" xr:uid="{00000000-0004-0000-0700-0000EA090000}"/>
    <hyperlink ref="D2250" r:id="rId2540" xr:uid="{00000000-0004-0000-0700-0000EB090000}"/>
    <hyperlink ref="D2251" r:id="rId2541" xr:uid="{00000000-0004-0000-0700-0000EC090000}"/>
    <hyperlink ref="D2252" r:id="rId2542" xr:uid="{00000000-0004-0000-0700-0000ED090000}"/>
    <hyperlink ref="D2253" r:id="rId2543" xr:uid="{00000000-0004-0000-0700-0000EE090000}"/>
    <hyperlink ref="D2254" r:id="rId2544" xr:uid="{00000000-0004-0000-0700-0000EF090000}"/>
    <hyperlink ref="D2255" r:id="rId2545" xr:uid="{00000000-0004-0000-0700-0000F0090000}"/>
    <hyperlink ref="D2256" r:id="rId2546" xr:uid="{00000000-0004-0000-0700-0000F1090000}"/>
    <hyperlink ref="D2257" r:id="rId2547" xr:uid="{00000000-0004-0000-0700-0000F2090000}"/>
    <hyperlink ref="D2258" r:id="rId2548" xr:uid="{00000000-0004-0000-0700-0000F3090000}"/>
    <hyperlink ref="D2259" r:id="rId2549" xr:uid="{00000000-0004-0000-0700-0000F4090000}"/>
    <hyperlink ref="D2260" r:id="rId2550" xr:uid="{00000000-0004-0000-0700-0000F5090000}"/>
    <hyperlink ref="D2261" r:id="rId2551" xr:uid="{00000000-0004-0000-0700-0000F6090000}"/>
    <hyperlink ref="D2262" r:id="rId2552" xr:uid="{00000000-0004-0000-0700-0000F7090000}"/>
    <hyperlink ref="D2263" r:id="rId2553" xr:uid="{00000000-0004-0000-0700-0000F8090000}"/>
    <hyperlink ref="D2264" r:id="rId2554" xr:uid="{00000000-0004-0000-0700-0000F9090000}"/>
    <hyperlink ref="D2265" r:id="rId2555" xr:uid="{00000000-0004-0000-0700-0000FA090000}"/>
    <hyperlink ref="D2266" r:id="rId2556" xr:uid="{00000000-0004-0000-0700-0000FB090000}"/>
    <hyperlink ref="D2267" r:id="rId2557" xr:uid="{00000000-0004-0000-0700-0000FC090000}"/>
    <hyperlink ref="D2268" r:id="rId2558" xr:uid="{00000000-0004-0000-0700-0000FD090000}"/>
    <hyperlink ref="D2269" r:id="rId2559" xr:uid="{00000000-0004-0000-0700-0000FE090000}"/>
    <hyperlink ref="D2270" r:id="rId2560" xr:uid="{00000000-0004-0000-0700-0000FF090000}"/>
    <hyperlink ref="D2271" r:id="rId2561" xr:uid="{00000000-0004-0000-0700-0000000A0000}"/>
    <hyperlink ref="D2272" r:id="rId2562" xr:uid="{00000000-0004-0000-0700-0000010A0000}"/>
    <hyperlink ref="D2273" r:id="rId2563" xr:uid="{00000000-0004-0000-0700-0000020A0000}"/>
    <hyperlink ref="D2274" r:id="rId2564" xr:uid="{00000000-0004-0000-0700-0000030A0000}"/>
    <hyperlink ref="D2275" r:id="rId2565" xr:uid="{00000000-0004-0000-0700-0000040A0000}"/>
    <hyperlink ref="D2276" r:id="rId2566" xr:uid="{00000000-0004-0000-0700-0000050A0000}"/>
    <hyperlink ref="D2277" r:id="rId2567" xr:uid="{00000000-0004-0000-0700-0000060A0000}"/>
    <hyperlink ref="D2278" r:id="rId2568" xr:uid="{00000000-0004-0000-0700-0000070A0000}"/>
    <hyperlink ref="D2279" r:id="rId2569" xr:uid="{00000000-0004-0000-0700-0000080A0000}"/>
    <hyperlink ref="D2280" r:id="rId2570" xr:uid="{00000000-0004-0000-0700-0000090A0000}"/>
    <hyperlink ref="D2281" r:id="rId2571" xr:uid="{00000000-0004-0000-0700-00000A0A0000}"/>
    <hyperlink ref="D2282" r:id="rId2572" xr:uid="{00000000-0004-0000-0700-00000B0A0000}"/>
    <hyperlink ref="D2283" r:id="rId2573" xr:uid="{00000000-0004-0000-0700-00000C0A0000}"/>
    <hyperlink ref="D2284" r:id="rId2574" xr:uid="{00000000-0004-0000-0700-00000D0A0000}"/>
    <hyperlink ref="D2285" r:id="rId2575" xr:uid="{00000000-0004-0000-0700-00000E0A0000}"/>
    <hyperlink ref="D2286" r:id="rId2576" xr:uid="{00000000-0004-0000-0700-00000F0A0000}"/>
    <hyperlink ref="D2287" r:id="rId2577" xr:uid="{00000000-0004-0000-0700-0000100A0000}"/>
    <hyperlink ref="D2288" r:id="rId2578" xr:uid="{00000000-0004-0000-0700-0000110A0000}"/>
    <hyperlink ref="D2289" r:id="rId2579" xr:uid="{00000000-0004-0000-0700-0000120A0000}"/>
    <hyperlink ref="D2290" r:id="rId2580" xr:uid="{00000000-0004-0000-0700-0000130A0000}"/>
    <hyperlink ref="D2291" r:id="rId2581" xr:uid="{00000000-0004-0000-0700-0000140A0000}"/>
    <hyperlink ref="D2292" r:id="rId2582" xr:uid="{00000000-0004-0000-0700-0000150A0000}"/>
    <hyperlink ref="D2293" r:id="rId2583" xr:uid="{00000000-0004-0000-0700-0000160A0000}"/>
    <hyperlink ref="D2294" r:id="rId2584" xr:uid="{00000000-0004-0000-0700-0000170A0000}"/>
    <hyperlink ref="D2295" r:id="rId2585" xr:uid="{00000000-0004-0000-0700-0000180A0000}"/>
    <hyperlink ref="D2296" r:id="rId2586" xr:uid="{00000000-0004-0000-0700-0000190A0000}"/>
    <hyperlink ref="D2297" r:id="rId2587" xr:uid="{00000000-0004-0000-0700-00001A0A0000}"/>
    <hyperlink ref="D2298" r:id="rId2588" xr:uid="{00000000-0004-0000-0700-00001B0A0000}"/>
    <hyperlink ref="D2299" r:id="rId2589" xr:uid="{00000000-0004-0000-0700-00001C0A0000}"/>
    <hyperlink ref="D2300" r:id="rId2590" xr:uid="{00000000-0004-0000-0700-00001D0A0000}"/>
    <hyperlink ref="D2301" r:id="rId2591" xr:uid="{00000000-0004-0000-0700-00001E0A0000}"/>
    <hyperlink ref="D2302" r:id="rId2592" xr:uid="{00000000-0004-0000-0700-00001F0A0000}"/>
    <hyperlink ref="D2303" r:id="rId2593" xr:uid="{00000000-0004-0000-0700-0000200A0000}"/>
    <hyperlink ref="D2304" r:id="rId2594" xr:uid="{00000000-0004-0000-0700-0000210A0000}"/>
    <hyperlink ref="D2305" r:id="rId2595" xr:uid="{00000000-0004-0000-0700-0000220A0000}"/>
    <hyperlink ref="D2306" r:id="rId2596" xr:uid="{00000000-0004-0000-0700-0000230A0000}"/>
    <hyperlink ref="D2307" r:id="rId2597" xr:uid="{00000000-0004-0000-0700-0000240A0000}"/>
    <hyperlink ref="D2308" r:id="rId2598" xr:uid="{00000000-0004-0000-0700-0000250A0000}"/>
    <hyperlink ref="D2309" r:id="rId2599" xr:uid="{00000000-0004-0000-0700-0000260A0000}"/>
    <hyperlink ref="D2310" r:id="rId2600" xr:uid="{00000000-0004-0000-0700-0000270A0000}"/>
    <hyperlink ref="D2311" r:id="rId2601" xr:uid="{00000000-0004-0000-0700-0000280A0000}"/>
    <hyperlink ref="D2312" r:id="rId2602" xr:uid="{00000000-0004-0000-0700-0000290A0000}"/>
    <hyperlink ref="D2313" r:id="rId2603" xr:uid="{00000000-0004-0000-0700-00002A0A0000}"/>
    <hyperlink ref="D2314" r:id="rId2604" xr:uid="{00000000-0004-0000-0700-00002B0A0000}"/>
    <hyperlink ref="D2315" r:id="rId2605" xr:uid="{00000000-0004-0000-0700-00002C0A0000}"/>
    <hyperlink ref="D2316" r:id="rId2606" xr:uid="{00000000-0004-0000-0700-00002D0A0000}"/>
    <hyperlink ref="D2317" r:id="rId2607" xr:uid="{00000000-0004-0000-0700-00002E0A0000}"/>
    <hyperlink ref="D2318" r:id="rId2608" xr:uid="{00000000-0004-0000-0700-00002F0A0000}"/>
    <hyperlink ref="D2319" r:id="rId2609" xr:uid="{00000000-0004-0000-0700-0000300A0000}"/>
    <hyperlink ref="D2320" r:id="rId2610" xr:uid="{00000000-0004-0000-0700-0000310A0000}"/>
    <hyperlink ref="D2321" r:id="rId2611" xr:uid="{00000000-0004-0000-0700-0000320A0000}"/>
    <hyperlink ref="D2322" r:id="rId2612" xr:uid="{00000000-0004-0000-0700-0000330A0000}"/>
    <hyperlink ref="D2324" r:id="rId2613" xr:uid="{00000000-0004-0000-0700-0000340A0000}"/>
    <hyperlink ref="E2324" r:id="rId2614" xr:uid="{00000000-0004-0000-0700-0000350A0000}"/>
    <hyperlink ref="D2325" r:id="rId2615" xr:uid="{00000000-0004-0000-0700-0000360A0000}"/>
    <hyperlink ref="E2325" r:id="rId2616" xr:uid="{00000000-0004-0000-0700-0000370A0000}"/>
    <hyperlink ref="D2326" r:id="rId2617" xr:uid="{00000000-0004-0000-0700-0000380A0000}"/>
    <hyperlink ref="E2326" r:id="rId2618" xr:uid="{00000000-0004-0000-0700-0000390A0000}"/>
    <hyperlink ref="D2327" r:id="rId2619" xr:uid="{00000000-0004-0000-0700-00003A0A0000}"/>
    <hyperlink ref="E2327" r:id="rId2620" xr:uid="{00000000-0004-0000-0700-00003B0A0000}"/>
    <hyperlink ref="D2328" r:id="rId2621" xr:uid="{00000000-0004-0000-0700-00003C0A0000}"/>
    <hyperlink ref="E2328" r:id="rId2622" xr:uid="{00000000-0004-0000-0700-00003D0A0000}"/>
    <hyperlink ref="D2329" r:id="rId2623" xr:uid="{00000000-0004-0000-0700-00003E0A0000}"/>
    <hyperlink ref="E2329" r:id="rId2624" xr:uid="{00000000-0004-0000-0700-00003F0A0000}"/>
    <hyperlink ref="D2330" r:id="rId2625" xr:uid="{00000000-0004-0000-0700-0000400A0000}"/>
    <hyperlink ref="E2330" r:id="rId2626" xr:uid="{00000000-0004-0000-0700-0000410A0000}"/>
    <hyperlink ref="D2331" r:id="rId2627" xr:uid="{00000000-0004-0000-0700-0000420A0000}"/>
    <hyperlink ref="E2331" r:id="rId2628" xr:uid="{00000000-0004-0000-0700-0000430A0000}"/>
    <hyperlink ref="D2332" r:id="rId2629" xr:uid="{00000000-0004-0000-0700-0000440A0000}"/>
    <hyperlink ref="E2332" r:id="rId2630" xr:uid="{00000000-0004-0000-0700-0000450A0000}"/>
    <hyperlink ref="D2333" r:id="rId2631" xr:uid="{00000000-0004-0000-0700-0000460A0000}"/>
    <hyperlink ref="E2333" r:id="rId2632" xr:uid="{00000000-0004-0000-0700-0000470A0000}"/>
    <hyperlink ref="D2334" r:id="rId2633" xr:uid="{00000000-0004-0000-0700-0000480A0000}"/>
    <hyperlink ref="E2334" r:id="rId2634" xr:uid="{00000000-0004-0000-0700-0000490A0000}"/>
    <hyperlink ref="D2335" r:id="rId2635" xr:uid="{00000000-0004-0000-0700-00004A0A0000}"/>
    <hyperlink ref="E2335" r:id="rId2636" xr:uid="{00000000-0004-0000-0700-00004B0A0000}"/>
    <hyperlink ref="D2336" r:id="rId2637" xr:uid="{00000000-0004-0000-0700-00004C0A0000}"/>
    <hyperlink ref="E2336" r:id="rId2638" xr:uid="{00000000-0004-0000-0700-00004D0A0000}"/>
    <hyperlink ref="D2337" r:id="rId2639" xr:uid="{00000000-0004-0000-0700-00004E0A0000}"/>
    <hyperlink ref="D2338" r:id="rId2640" xr:uid="{00000000-0004-0000-0700-00004F0A0000}"/>
    <hyperlink ref="D2339" r:id="rId2641" xr:uid="{00000000-0004-0000-0700-0000500A0000}"/>
    <hyperlink ref="D2340" r:id="rId2642" xr:uid="{00000000-0004-0000-0700-0000510A0000}"/>
    <hyperlink ref="D2341" r:id="rId2643" xr:uid="{00000000-0004-0000-0700-0000520A0000}"/>
    <hyperlink ref="D2342" r:id="rId2644" xr:uid="{00000000-0004-0000-0700-0000530A0000}"/>
    <hyperlink ref="D2343" r:id="rId2645" xr:uid="{00000000-0004-0000-0700-0000540A0000}"/>
    <hyperlink ref="D2344" r:id="rId2646" xr:uid="{00000000-0004-0000-0700-0000550A0000}"/>
    <hyperlink ref="D2345" r:id="rId2647" xr:uid="{00000000-0004-0000-0700-0000560A0000}"/>
    <hyperlink ref="D2346" r:id="rId2648" xr:uid="{00000000-0004-0000-0700-0000570A0000}"/>
    <hyperlink ref="D2347" r:id="rId2649" xr:uid="{00000000-0004-0000-0700-0000580A0000}"/>
    <hyperlink ref="D2348" r:id="rId2650" xr:uid="{00000000-0004-0000-0700-0000590A0000}"/>
    <hyperlink ref="D2349" r:id="rId2651" xr:uid="{00000000-0004-0000-0700-00005A0A0000}"/>
    <hyperlink ref="D2350" r:id="rId2652" xr:uid="{00000000-0004-0000-0700-00005B0A0000}"/>
    <hyperlink ref="D2351" r:id="rId2653" xr:uid="{00000000-0004-0000-0700-00005C0A0000}"/>
    <hyperlink ref="D2352" r:id="rId2654" xr:uid="{00000000-0004-0000-0700-00005D0A0000}"/>
    <hyperlink ref="D2353" r:id="rId2655" xr:uid="{00000000-0004-0000-0700-00005E0A0000}"/>
    <hyperlink ref="D2354" r:id="rId2656" xr:uid="{00000000-0004-0000-0700-00005F0A0000}"/>
    <hyperlink ref="D2355" r:id="rId2657" xr:uid="{00000000-0004-0000-0700-0000600A0000}"/>
    <hyperlink ref="D2356" r:id="rId2658" xr:uid="{00000000-0004-0000-0700-0000610A0000}"/>
    <hyperlink ref="D2357" r:id="rId2659" xr:uid="{00000000-0004-0000-0700-0000620A0000}"/>
    <hyperlink ref="D2358" r:id="rId2660" xr:uid="{00000000-0004-0000-0700-0000630A0000}"/>
    <hyperlink ref="D2359" r:id="rId2661" xr:uid="{00000000-0004-0000-0700-0000640A0000}"/>
    <hyperlink ref="D2360" r:id="rId2662" xr:uid="{00000000-0004-0000-0700-0000650A0000}"/>
    <hyperlink ref="D2361" r:id="rId2663" xr:uid="{00000000-0004-0000-0700-0000660A0000}"/>
    <hyperlink ref="D2362" r:id="rId2664" xr:uid="{00000000-0004-0000-0700-0000670A0000}"/>
    <hyperlink ref="D2363" r:id="rId2665" xr:uid="{00000000-0004-0000-0700-0000680A0000}"/>
    <hyperlink ref="D2364" r:id="rId2666" xr:uid="{00000000-0004-0000-0700-0000690A0000}"/>
    <hyperlink ref="D2365" r:id="rId2667" xr:uid="{00000000-0004-0000-0700-00006A0A0000}"/>
    <hyperlink ref="D2366" r:id="rId2668" xr:uid="{00000000-0004-0000-0700-00006B0A0000}"/>
    <hyperlink ref="D2367" r:id="rId2669" xr:uid="{00000000-0004-0000-0700-00006C0A0000}"/>
    <hyperlink ref="D2368" r:id="rId2670" xr:uid="{00000000-0004-0000-0700-00006D0A0000}"/>
    <hyperlink ref="D2369" r:id="rId2671" xr:uid="{00000000-0004-0000-0700-00006E0A0000}"/>
    <hyperlink ref="D2370" r:id="rId2672" xr:uid="{00000000-0004-0000-0700-00006F0A0000}"/>
    <hyperlink ref="D2371" r:id="rId2673" xr:uid="{00000000-0004-0000-0700-0000700A0000}"/>
    <hyperlink ref="D2372" r:id="rId2674" xr:uid="{00000000-0004-0000-0700-0000710A0000}"/>
    <hyperlink ref="D2373" r:id="rId2675" xr:uid="{00000000-0004-0000-0700-0000720A0000}"/>
    <hyperlink ref="D2374" r:id="rId2676" xr:uid="{00000000-0004-0000-0700-0000730A0000}"/>
    <hyperlink ref="D2375" r:id="rId2677" xr:uid="{00000000-0004-0000-0700-0000740A0000}"/>
    <hyperlink ref="D2376" r:id="rId2678" xr:uid="{00000000-0004-0000-0700-0000750A0000}"/>
    <hyperlink ref="D2377" r:id="rId2679" xr:uid="{00000000-0004-0000-0700-0000760A0000}"/>
    <hyperlink ref="D2378" r:id="rId2680" xr:uid="{00000000-0004-0000-0700-0000770A0000}"/>
    <hyperlink ref="D2379" r:id="rId2681" xr:uid="{00000000-0004-0000-0700-0000780A0000}"/>
    <hyperlink ref="D2380" r:id="rId2682" xr:uid="{00000000-0004-0000-0700-0000790A0000}"/>
    <hyperlink ref="D2381" r:id="rId2683" xr:uid="{00000000-0004-0000-0700-00007A0A0000}"/>
    <hyperlink ref="D2382" r:id="rId2684" xr:uid="{00000000-0004-0000-0700-00007B0A0000}"/>
    <hyperlink ref="D2383" r:id="rId2685" xr:uid="{00000000-0004-0000-0700-00007C0A0000}"/>
    <hyperlink ref="D2384" r:id="rId2686" xr:uid="{00000000-0004-0000-0700-00007D0A0000}"/>
    <hyperlink ref="D2385" r:id="rId2687" xr:uid="{00000000-0004-0000-0700-00007E0A0000}"/>
    <hyperlink ref="D2386" r:id="rId2688" xr:uid="{00000000-0004-0000-0700-00007F0A0000}"/>
    <hyperlink ref="D2387" r:id="rId2689" xr:uid="{00000000-0004-0000-0700-0000800A0000}"/>
    <hyperlink ref="D2388" r:id="rId2690" xr:uid="{00000000-0004-0000-0700-0000810A0000}"/>
    <hyperlink ref="D2389" r:id="rId2691" xr:uid="{00000000-0004-0000-0700-0000820A0000}"/>
    <hyperlink ref="D2390" r:id="rId2692" xr:uid="{00000000-0004-0000-0700-0000830A0000}"/>
    <hyperlink ref="D2391" r:id="rId2693" xr:uid="{00000000-0004-0000-0700-0000840A0000}"/>
    <hyperlink ref="D2392" r:id="rId2694" xr:uid="{00000000-0004-0000-0700-0000850A0000}"/>
    <hyperlink ref="D2393" r:id="rId2695" xr:uid="{00000000-0004-0000-0700-0000860A0000}"/>
    <hyperlink ref="D2394" r:id="rId2696" xr:uid="{00000000-0004-0000-0700-0000870A0000}"/>
    <hyperlink ref="D2395" r:id="rId2697" xr:uid="{00000000-0004-0000-0700-0000880A0000}"/>
    <hyperlink ref="D2396" r:id="rId2698" xr:uid="{00000000-0004-0000-0700-0000890A0000}"/>
    <hyperlink ref="D2397" r:id="rId2699" xr:uid="{00000000-0004-0000-0700-00008A0A0000}"/>
    <hyperlink ref="D2398" r:id="rId2700" xr:uid="{00000000-0004-0000-0700-00008B0A0000}"/>
    <hyperlink ref="D2399" r:id="rId2701" xr:uid="{00000000-0004-0000-0700-00008C0A0000}"/>
    <hyperlink ref="D2400" r:id="rId2702" xr:uid="{00000000-0004-0000-0700-00008D0A0000}"/>
    <hyperlink ref="D2401" r:id="rId2703" xr:uid="{00000000-0004-0000-0700-00008E0A0000}"/>
    <hyperlink ref="D2402" r:id="rId2704" xr:uid="{00000000-0004-0000-0700-00008F0A0000}"/>
    <hyperlink ref="D2403" r:id="rId2705" xr:uid="{00000000-0004-0000-0700-0000900A0000}"/>
    <hyperlink ref="D2404" r:id="rId2706" xr:uid="{00000000-0004-0000-0700-0000910A0000}"/>
    <hyperlink ref="D2405" r:id="rId2707" xr:uid="{00000000-0004-0000-0700-0000920A0000}"/>
    <hyperlink ref="D2406" r:id="rId2708" xr:uid="{00000000-0004-0000-0700-0000930A0000}"/>
    <hyperlink ref="D2407" r:id="rId2709" xr:uid="{00000000-0004-0000-0700-0000940A0000}"/>
    <hyperlink ref="D2408" r:id="rId2710" xr:uid="{00000000-0004-0000-0700-0000950A0000}"/>
    <hyperlink ref="D2409" r:id="rId2711" xr:uid="{00000000-0004-0000-0700-0000960A0000}"/>
    <hyperlink ref="D2410" r:id="rId2712" xr:uid="{00000000-0004-0000-0700-0000970A0000}"/>
    <hyperlink ref="D2411" r:id="rId2713" xr:uid="{00000000-0004-0000-0700-0000980A0000}"/>
    <hyperlink ref="D2412" r:id="rId2714" xr:uid="{00000000-0004-0000-0700-0000990A0000}"/>
    <hyperlink ref="D2413" r:id="rId2715" xr:uid="{00000000-0004-0000-0700-00009A0A0000}"/>
    <hyperlink ref="D2414" r:id="rId2716" xr:uid="{00000000-0004-0000-0700-00009B0A0000}"/>
    <hyperlink ref="D2415" r:id="rId2717" xr:uid="{00000000-0004-0000-0700-00009C0A0000}"/>
    <hyperlink ref="D2416" r:id="rId2718" xr:uid="{00000000-0004-0000-0700-00009D0A0000}"/>
    <hyperlink ref="D2417" r:id="rId2719" xr:uid="{00000000-0004-0000-0700-00009E0A0000}"/>
    <hyperlink ref="D2418" r:id="rId2720" xr:uid="{00000000-0004-0000-0700-00009F0A0000}"/>
    <hyperlink ref="D2419" r:id="rId2721" xr:uid="{00000000-0004-0000-0700-0000A00A0000}"/>
    <hyperlink ref="D2420" r:id="rId2722" xr:uid="{00000000-0004-0000-0700-0000A10A0000}"/>
    <hyperlink ref="D2421" r:id="rId2723" xr:uid="{00000000-0004-0000-0700-0000A20A0000}"/>
    <hyperlink ref="D2422" r:id="rId2724" xr:uid="{00000000-0004-0000-0700-0000A30A0000}"/>
    <hyperlink ref="D2423" r:id="rId2725" xr:uid="{00000000-0004-0000-0700-0000A40A0000}"/>
    <hyperlink ref="D2424" r:id="rId2726" xr:uid="{00000000-0004-0000-0700-0000A50A0000}"/>
    <hyperlink ref="D2425" r:id="rId2727" xr:uid="{00000000-0004-0000-0700-0000A60A0000}"/>
    <hyperlink ref="D2426" r:id="rId2728" xr:uid="{00000000-0004-0000-0700-0000A70A0000}"/>
    <hyperlink ref="D2427" r:id="rId2729" xr:uid="{00000000-0004-0000-0700-0000A80A0000}"/>
    <hyperlink ref="D2428" r:id="rId2730" xr:uid="{00000000-0004-0000-0700-0000A90A0000}"/>
    <hyperlink ref="D2429" r:id="rId2731" xr:uid="{00000000-0004-0000-0700-0000AA0A0000}"/>
    <hyperlink ref="D2430" r:id="rId2732" xr:uid="{00000000-0004-0000-0700-0000AB0A0000}"/>
    <hyperlink ref="D2431" r:id="rId2733" xr:uid="{00000000-0004-0000-0700-0000AC0A0000}"/>
    <hyperlink ref="D2432" r:id="rId2734" xr:uid="{00000000-0004-0000-0700-0000AD0A0000}"/>
    <hyperlink ref="D2433" r:id="rId2735" xr:uid="{00000000-0004-0000-0700-0000AE0A0000}"/>
    <hyperlink ref="D2434" r:id="rId2736" xr:uid="{00000000-0004-0000-0700-0000AF0A0000}"/>
    <hyperlink ref="D2435" r:id="rId2737" xr:uid="{00000000-0004-0000-0700-0000B00A0000}"/>
    <hyperlink ref="D2436" r:id="rId2738" xr:uid="{00000000-0004-0000-0700-0000B10A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548135"/>
  </sheetPr>
  <dimension ref="A1:I971"/>
  <sheetViews>
    <sheetView workbookViewId="0"/>
  </sheetViews>
  <sheetFormatPr baseColWidth="10" defaultColWidth="11.1640625" defaultRowHeight="15" customHeight="1"/>
  <cols>
    <col min="1" max="1" width="29.6640625" customWidth="1"/>
    <col min="2" max="2" width="41.5" customWidth="1"/>
    <col min="3" max="3" width="16.6640625" customWidth="1"/>
    <col min="4" max="4" width="17.6640625" customWidth="1"/>
    <col min="5" max="5" width="44.5" customWidth="1"/>
    <col min="6" max="6" width="25.5" hidden="1" customWidth="1"/>
    <col min="7" max="7" width="28.5" customWidth="1"/>
    <col min="8" max="8" width="22.6640625" hidden="1" customWidth="1"/>
    <col min="9" max="9" width="10.5" customWidth="1"/>
  </cols>
  <sheetData>
    <row r="1" spans="1:9" ht="34.5" customHeight="1">
      <c r="A1" s="186" t="s">
        <v>59</v>
      </c>
      <c r="B1" s="186" t="s">
        <v>3502</v>
      </c>
      <c r="C1" s="186" t="s">
        <v>3503</v>
      </c>
      <c r="D1" s="186" t="s">
        <v>62</v>
      </c>
      <c r="E1" s="186" t="s">
        <v>3504</v>
      </c>
      <c r="F1" s="187" t="s">
        <v>64</v>
      </c>
      <c r="G1" s="186" t="s">
        <v>65</v>
      </c>
      <c r="H1" s="187" t="s">
        <v>66</v>
      </c>
    </row>
    <row r="2" spans="1:9" ht="15.75" customHeight="1">
      <c r="A2" s="188" t="s">
        <v>0</v>
      </c>
      <c r="B2" s="189" t="s">
        <v>3505</v>
      </c>
      <c r="C2" s="190" t="s">
        <v>68</v>
      </c>
      <c r="D2" s="190" t="s">
        <v>62</v>
      </c>
      <c r="E2" s="129" t="s">
        <v>69</v>
      </c>
      <c r="F2" s="190"/>
      <c r="G2" s="190" t="s">
        <v>70</v>
      </c>
      <c r="H2" s="188"/>
      <c r="I2" s="188"/>
    </row>
    <row r="3" spans="1:9" ht="15.75" customHeight="1">
      <c r="A3" s="42" t="s">
        <v>0</v>
      </c>
      <c r="B3" s="1" t="s">
        <v>3505</v>
      </c>
      <c r="C3" s="43">
        <v>2803013</v>
      </c>
      <c r="D3" s="1" t="s">
        <v>80</v>
      </c>
      <c r="E3" s="45" t="s">
        <v>3506</v>
      </c>
      <c r="F3" s="42"/>
      <c r="G3" s="48" t="s">
        <v>3507</v>
      </c>
      <c r="H3" s="42"/>
      <c r="I3" s="42"/>
    </row>
    <row r="4" spans="1:9" ht="15.75" customHeight="1">
      <c r="A4" s="42" t="s">
        <v>0</v>
      </c>
      <c r="B4" s="1" t="s">
        <v>3505</v>
      </c>
      <c r="C4" s="43">
        <v>2887340</v>
      </c>
      <c r="D4" s="1" t="s">
        <v>83</v>
      </c>
      <c r="E4" s="49" t="s">
        <v>3508</v>
      </c>
      <c r="F4" s="42"/>
      <c r="G4" s="48" t="s">
        <v>3509</v>
      </c>
      <c r="H4" s="42"/>
      <c r="I4" s="42"/>
    </row>
    <row r="5" spans="1:9" ht="15.75" customHeight="1">
      <c r="A5" s="42" t="s">
        <v>0</v>
      </c>
      <c r="B5" s="1" t="s">
        <v>3505</v>
      </c>
      <c r="C5" s="43">
        <v>593910</v>
      </c>
      <c r="D5" s="1" t="s">
        <v>80</v>
      </c>
      <c r="E5" s="45" t="s">
        <v>3510</v>
      </c>
      <c r="F5" s="42"/>
      <c r="G5" s="48" t="s">
        <v>3511</v>
      </c>
      <c r="H5" s="42"/>
      <c r="I5" s="42"/>
    </row>
    <row r="6" spans="1:9" ht="15.75" customHeight="1">
      <c r="A6" s="42" t="s">
        <v>0</v>
      </c>
      <c r="B6" s="1" t="s">
        <v>3505</v>
      </c>
      <c r="C6" s="43">
        <v>436248</v>
      </c>
      <c r="D6" s="1" t="s">
        <v>80</v>
      </c>
      <c r="E6" s="45" t="s">
        <v>3512</v>
      </c>
      <c r="F6" s="42"/>
      <c r="G6" s="48" t="s">
        <v>3513</v>
      </c>
      <c r="H6" s="42"/>
      <c r="I6" s="42"/>
    </row>
    <row r="7" spans="1:9" ht="15.75" customHeight="1">
      <c r="A7" s="42" t="s">
        <v>0</v>
      </c>
      <c r="B7" s="1" t="s">
        <v>3505</v>
      </c>
      <c r="C7" s="43">
        <v>503019</v>
      </c>
      <c r="D7" s="1" t="s">
        <v>80</v>
      </c>
      <c r="E7" s="45" t="s">
        <v>3514</v>
      </c>
      <c r="F7" s="42"/>
      <c r="G7" s="50"/>
      <c r="H7" s="42"/>
      <c r="I7" s="42"/>
    </row>
    <row r="8" spans="1:9" ht="15.75" customHeight="1">
      <c r="A8" s="42" t="s">
        <v>0</v>
      </c>
      <c r="B8" s="1" t="s">
        <v>3505</v>
      </c>
      <c r="C8" s="43">
        <v>5033509</v>
      </c>
      <c r="D8" s="1" t="s">
        <v>80</v>
      </c>
      <c r="E8" s="45" t="s">
        <v>3515</v>
      </c>
      <c r="F8" s="42"/>
      <c r="G8" s="50"/>
      <c r="H8" s="42"/>
      <c r="I8" s="42"/>
    </row>
    <row r="9" spans="1:9" ht="15.75" customHeight="1">
      <c r="A9" s="42" t="s">
        <v>0</v>
      </c>
      <c r="B9" s="1" t="s">
        <v>3505</v>
      </c>
      <c r="C9" s="43">
        <v>195515</v>
      </c>
      <c r="D9" s="1" t="s">
        <v>80</v>
      </c>
      <c r="E9" s="45" t="s">
        <v>3516</v>
      </c>
      <c r="F9" s="42"/>
      <c r="G9" s="50"/>
      <c r="H9" s="42"/>
      <c r="I9" s="42"/>
    </row>
    <row r="10" spans="1:9" ht="15.75" customHeight="1">
      <c r="A10" s="42" t="s">
        <v>0</v>
      </c>
      <c r="B10" s="1" t="s">
        <v>3505</v>
      </c>
      <c r="C10" s="43">
        <v>514910</v>
      </c>
      <c r="D10" s="1" t="s">
        <v>80</v>
      </c>
      <c r="E10" s="45" t="s">
        <v>3517</v>
      </c>
      <c r="F10" s="42"/>
      <c r="G10" s="50"/>
      <c r="H10" s="42"/>
      <c r="I10" s="42"/>
    </row>
    <row r="11" spans="1:9" ht="15.75" customHeight="1">
      <c r="A11" s="42" t="s">
        <v>0</v>
      </c>
      <c r="B11" s="1" t="s">
        <v>3505</v>
      </c>
      <c r="C11" s="43">
        <v>3130120</v>
      </c>
      <c r="D11" s="1" t="s">
        <v>80</v>
      </c>
      <c r="E11" s="45" t="s">
        <v>3518</v>
      </c>
      <c r="F11" s="42"/>
      <c r="G11" s="50"/>
      <c r="H11" s="42"/>
      <c r="I11" s="42"/>
    </row>
    <row r="12" spans="1:9" ht="15.75" customHeight="1">
      <c r="A12" s="42" t="s">
        <v>0</v>
      </c>
      <c r="B12" s="1" t="s">
        <v>3505</v>
      </c>
      <c r="C12" s="43">
        <v>5025562</v>
      </c>
      <c r="D12" s="1" t="s">
        <v>71</v>
      </c>
      <c r="E12" s="45" t="s">
        <v>3519</v>
      </c>
      <c r="F12" s="42"/>
      <c r="G12" s="50"/>
      <c r="H12" s="42"/>
      <c r="I12" s="42"/>
    </row>
    <row r="13" spans="1:9" ht="15.75" customHeight="1">
      <c r="A13" s="42" t="s">
        <v>0</v>
      </c>
      <c r="B13" s="1" t="s">
        <v>3505</v>
      </c>
      <c r="C13" s="43">
        <v>5020332</v>
      </c>
      <c r="D13" s="1" t="s">
        <v>71</v>
      </c>
      <c r="E13" s="45" t="s">
        <v>3520</v>
      </c>
      <c r="F13" s="42"/>
      <c r="G13" s="50"/>
      <c r="H13" s="42"/>
      <c r="I13" s="42"/>
    </row>
    <row r="14" spans="1:9" ht="15.75" customHeight="1">
      <c r="A14" s="42" t="s">
        <v>0</v>
      </c>
      <c r="B14" s="1" t="s">
        <v>3505</v>
      </c>
      <c r="C14" s="43">
        <v>778406</v>
      </c>
      <c r="D14" s="1" t="s">
        <v>80</v>
      </c>
      <c r="E14" s="45" t="s">
        <v>3521</v>
      </c>
      <c r="F14" s="42"/>
      <c r="G14" s="50"/>
      <c r="H14" s="42"/>
      <c r="I14" s="42"/>
    </row>
    <row r="15" spans="1:9" ht="15.75" customHeight="1">
      <c r="A15" s="42" t="s">
        <v>0</v>
      </c>
      <c r="B15" s="1" t="s">
        <v>3505</v>
      </c>
      <c r="C15" s="43">
        <v>496630</v>
      </c>
      <c r="D15" s="1" t="s">
        <v>80</v>
      </c>
      <c r="E15" s="45" t="s">
        <v>3522</v>
      </c>
      <c r="F15" s="42"/>
      <c r="G15" s="50"/>
      <c r="H15" s="42"/>
      <c r="I15" s="42"/>
    </row>
    <row r="16" spans="1:9" ht="15.75" customHeight="1">
      <c r="A16" s="42" t="s">
        <v>0</v>
      </c>
      <c r="B16" s="1" t="s">
        <v>3505</v>
      </c>
      <c r="C16" s="43">
        <v>563968</v>
      </c>
      <c r="D16" s="1" t="s">
        <v>71</v>
      </c>
      <c r="E16" s="45" t="s">
        <v>3523</v>
      </c>
      <c r="F16" s="42"/>
      <c r="G16" s="50"/>
      <c r="H16" s="42"/>
      <c r="I16" s="42"/>
    </row>
    <row r="17" spans="1:9" ht="15.75" customHeight="1">
      <c r="A17" s="42" t="s">
        <v>0</v>
      </c>
      <c r="B17" s="1" t="s">
        <v>3505</v>
      </c>
      <c r="C17" s="43">
        <v>2386056</v>
      </c>
      <c r="D17" s="1" t="s">
        <v>80</v>
      </c>
      <c r="E17" s="45" t="s">
        <v>3524</v>
      </c>
      <c r="F17" s="42"/>
      <c r="G17" s="59"/>
      <c r="H17" s="42"/>
      <c r="I17" s="42"/>
    </row>
    <row r="18" spans="1:9" ht="15.75" customHeight="1">
      <c r="A18" s="42" t="s">
        <v>0</v>
      </c>
      <c r="B18" s="1" t="s">
        <v>3505</v>
      </c>
      <c r="C18" s="43">
        <v>672276</v>
      </c>
      <c r="D18" s="1" t="s">
        <v>71</v>
      </c>
      <c r="E18" s="45" t="s">
        <v>3525</v>
      </c>
      <c r="F18" s="42"/>
      <c r="G18" s="50"/>
      <c r="H18" s="42"/>
      <c r="I18" s="42"/>
    </row>
    <row r="19" spans="1:9" ht="15.75" customHeight="1">
      <c r="A19" s="42" t="s">
        <v>0</v>
      </c>
      <c r="B19" s="1" t="s">
        <v>3505</v>
      </c>
      <c r="C19" s="43">
        <v>648460</v>
      </c>
      <c r="D19" s="1" t="s">
        <v>71</v>
      </c>
      <c r="E19" s="45" t="s">
        <v>3526</v>
      </c>
      <c r="F19" s="42"/>
      <c r="G19" s="50"/>
      <c r="H19" s="42"/>
      <c r="I19" s="42"/>
    </row>
    <row r="20" spans="1:9" ht="15.75" customHeight="1">
      <c r="A20" s="42" t="s">
        <v>0</v>
      </c>
      <c r="B20" s="1" t="s">
        <v>3505</v>
      </c>
      <c r="C20" s="43">
        <v>2928473</v>
      </c>
      <c r="D20" s="1" t="s">
        <v>80</v>
      </c>
      <c r="E20" s="45" t="s">
        <v>3527</v>
      </c>
      <c r="F20" s="42"/>
      <c r="G20" s="50"/>
      <c r="H20" s="42"/>
      <c r="I20" s="42"/>
    </row>
    <row r="21" spans="1:9" ht="15.75" customHeight="1">
      <c r="A21" s="42" t="s">
        <v>0</v>
      </c>
      <c r="B21" s="1" t="s">
        <v>3505</v>
      </c>
      <c r="C21" s="43">
        <v>2820214</v>
      </c>
      <c r="D21" s="1" t="s">
        <v>83</v>
      </c>
      <c r="E21" s="45" t="s">
        <v>3528</v>
      </c>
      <c r="F21" s="42"/>
      <c r="G21" s="50"/>
      <c r="H21" s="42"/>
      <c r="I21" s="42"/>
    </row>
    <row r="22" spans="1:9" ht="15.75" customHeight="1">
      <c r="A22" s="42" t="s">
        <v>0</v>
      </c>
      <c r="B22" s="1" t="s">
        <v>3505</v>
      </c>
      <c r="C22" s="43">
        <v>2877212</v>
      </c>
      <c r="D22" s="1" t="s">
        <v>80</v>
      </c>
      <c r="E22" s="45" t="s">
        <v>3529</v>
      </c>
      <c r="F22" s="42"/>
      <c r="G22" s="50"/>
      <c r="H22" s="42"/>
      <c r="I22" s="42"/>
    </row>
    <row r="23" spans="1:9" ht="15.75" customHeight="1">
      <c r="A23" s="42" t="s">
        <v>0</v>
      </c>
      <c r="B23" s="1" t="s">
        <v>3505</v>
      </c>
      <c r="C23" s="43">
        <v>5033508</v>
      </c>
      <c r="D23" s="1" t="s">
        <v>80</v>
      </c>
      <c r="E23" s="45" t="s">
        <v>3530</v>
      </c>
      <c r="F23" s="42"/>
      <c r="G23" s="50"/>
      <c r="H23" s="42"/>
      <c r="I23" s="42"/>
    </row>
    <row r="24" spans="1:9" ht="15.75" customHeight="1">
      <c r="A24" s="42" t="s">
        <v>0</v>
      </c>
      <c r="B24" s="1" t="s">
        <v>3505</v>
      </c>
      <c r="C24" s="43">
        <v>2996363</v>
      </c>
      <c r="D24" s="1" t="s">
        <v>80</v>
      </c>
      <c r="E24" s="157" t="s">
        <v>3531</v>
      </c>
      <c r="F24" s="42"/>
      <c r="G24" s="59"/>
      <c r="H24" s="43"/>
      <c r="I24" s="44"/>
    </row>
    <row r="25" spans="1:9" ht="15.75" customHeight="1">
      <c r="A25" s="42" t="s">
        <v>0</v>
      </c>
      <c r="B25" s="1" t="s">
        <v>3505</v>
      </c>
      <c r="C25" s="43">
        <v>5025607</v>
      </c>
      <c r="D25" s="1" t="s">
        <v>80</v>
      </c>
      <c r="E25" s="45" t="s">
        <v>3532</v>
      </c>
      <c r="F25" s="42" t="s">
        <v>15</v>
      </c>
      <c r="G25" s="59"/>
      <c r="H25" s="43"/>
      <c r="I25" s="44"/>
    </row>
    <row r="26" spans="1:9" ht="15.75" customHeight="1">
      <c r="A26" s="42" t="s">
        <v>0</v>
      </c>
      <c r="B26" s="1" t="s">
        <v>3505</v>
      </c>
      <c r="C26" s="43">
        <v>414777</v>
      </c>
      <c r="D26" s="1" t="s">
        <v>71</v>
      </c>
      <c r="E26" s="45" t="s">
        <v>3533</v>
      </c>
      <c r="F26" s="42"/>
      <c r="G26" s="50"/>
      <c r="H26" s="42"/>
      <c r="I26" s="42"/>
    </row>
    <row r="27" spans="1:9" ht="15.75" customHeight="1">
      <c r="A27" s="42" t="s">
        <v>0</v>
      </c>
      <c r="B27" s="1" t="s">
        <v>3505</v>
      </c>
      <c r="C27" s="43">
        <v>195495</v>
      </c>
      <c r="D27" s="1" t="s">
        <v>71</v>
      </c>
      <c r="E27" s="45" t="s">
        <v>3534</v>
      </c>
      <c r="F27" s="42"/>
      <c r="G27" s="50"/>
      <c r="H27" s="42"/>
      <c r="I27" s="42"/>
    </row>
    <row r="28" spans="1:9" ht="15.75" customHeight="1">
      <c r="A28" s="42" t="s">
        <v>0</v>
      </c>
      <c r="B28" s="1" t="s">
        <v>3505</v>
      </c>
      <c r="C28" s="43">
        <v>428606</v>
      </c>
      <c r="D28" s="1" t="s">
        <v>80</v>
      </c>
      <c r="E28" s="45" t="s">
        <v>3535</v>
      </c>
      <c r="F28" s="42"/>
      <c r="G28" s="50"/>
      <c r="H28" s="42"/>
      <c r="I28" s="42"/>
    </row>
    <row r="29" spans="1:9" ht="15.75" customHeight="1">
      <c r="A29" s="42" t="s">
        <v>0</v>
      </c>
      <c r="B29" s="1" t="s">
        <v>3505</v>
      </c>
      <c r="C29" s="43">
        <v>2878063</v>
      </c>
      <c r="D29" s="1" t="s">
        <v>80</v>
      </c>
      <c r="E29" s="45" t="s">
        <v>3536</v>
      </c>
      <c r="F29" s="42"/>
      <c r="G29" s="50"/>
      <c r="H29" s="42"/>
      <c r="I29" s="42"/>
    </row>
    <row r="30" spans="1:9" ht="15.75" customHeight="1">
      <c r="A30" s="42" t="s">
        <v>0</v>
      </c>
      <c r="B30" s="1" t="s">
        <v>3505</v>
      </c>
      <c r="C30" s="43">
        <v>559529</v>
      </c>
      <c r="D30" s="1" t="s">
        <v>71</v>
      </c>
      <c r="E30" s="45" t="s">
        <v>3537</v>
      </c>
      <c r="F30" s="42"/>
      <c r="G30" s="50"/>
      <c r="H30" s="42"/>
      <c r="I30" s="42"/>
    </row>
    <row r="31" spans="1:9" ht="15.75" customHeight="1">
      <c r="A31" s="42" t="s">
        <v>0</v>
      </c>
      <c r="B31" s="1" t="s">
        <v>3505</v>
      </c>
      <c r="C31" s="43">
        <v>784037</v>
      </c>
      <c r="D31" s="1" t="s">
        <v>80</v>
      </c>
      <c r="E31" s="45" t="s">
        <v>3538</v>
      </c>
      <c r="F31" s="42"/>
      <c r="G31" s="50"/>
      <c r="H31" s="42"/>
      <c r="I31" s="42"/>
    </row>
    <row r="32" spans="1:9" ht="15.75" customHeight="1">
      <c r="A32" s="42" t="s">
        <v>0</v>
      </c>
      <c r="B32" s="1" t="s">
        <v>3505</v>
      </c>
      <c r="C32" s="43">
        <v>434825</v>
      </c>
      <c r="D32" s="1" t="s">
        <v>80</v>
      </c>
      <c r="E32" s="45" t="s">
        <v>3539</v>
      </c>
      <c r="F32" s="42"/>
      <c r="G32" s="50"/>
      <c r="H32" s="42"/>
      <c r="I32" s="42"/>
    </row>
    <row r="33" spans="1:9" ht="15.75" customHeight="1">
      <c r="A33" s="42" t="s">
        <v>0</v>
      </c>
      <c r="B33" s="1" t="s">
        <v>3505</v>
      </c>
      <c r="C33" s="43">
        <v>593049</v>
      </c>
      <c r="D33" s="1" t="s">
        <v>80</v>
      </c>
      <c r="E33" s="45" t="s">
        <v>3540</v>
      </c>
      <c r="F33" s="42"/>
      <c r="G33" s="50"/>
      <c r="H33" s="42"/>
      <c r="I33" s="42"/>
    </row>
    <row r="34" spans="1:9" ht="15.75" customHeight="1">
      <c r="A34" s="42" t="s">
        <v>0</v>
      </c>
      <c r="B34" s="1" t="s">
        <v>3505</v>
      </c>
      <c r="C34" s="43">
        <v>2926060</v>
      </c>
      <c r="D34" s="1" t="s">
        <v>80</v>
      </c>
      <c r="E34" s="45" t="s">
        <v>3541</v>
      </c>
      <c r="F34" s="42"/>
      <c r="G34" s="50"/>
      <c r="H34" s="42"/>
      <c r="I34" s="42"/>
    </row>
    <row r="35" spans="1:9" ht="15.75" customHeight="1">
      <c r="A35" s="42" t="s">
        <v>0</v>
      </c>
      <c r="B35" s="1" t="s">
        <v>3505</v>
      </c>
      <c r="C35" s="43">
        <v>2382602</v>
      </c>
      <c r="D35" s="1" t="s">
        <v>80</v>
      </c>
      <c r="E35" s="49" t="s">
        <v>3542</v>
      </c>
      <c r="F35" s="42"/>
      <c r="G35" s="50"/>
      <c r="H35" s="42"/>
      <c r="I35" s="42"/>
    </row>
    <row r="36" spans="1:9" ht="15.75" customHeight="1">
      <c r="A36" s="42" t="s">
        <v>0</v>
      </c>
      <c r="B36" s="1" t="s">
        <v>3505</v>
      </c>
      <c r="C36" s="43">
        <v>563971</v>
      </c>
      <c r="D36" s="1" t="s">
        <v>83</v>
      </c>
      <c r="E36" s="45" t="s">
        <v>3543</v>
      </c>
      <c r="F36" s="42"/>
      <c r="G36" s="50"/>
      <c r="H36" s="42"/>
      <c r="I36" s="42"/>
    </row>
    <row r="37" spans="1:9" ht="15.75" customHeight="1">
      <c r="A37" s="42" t="s">
        <v>0</v>
      </c>
      <c r="B37" s="1" t="s">
        <v>3505</v>
      </c>
      <c r="C37" s="43">
        <v>2925266</v>
      </c>
      <c r="D37" s="1" t="s">
        <v>80</v>
      </c>
      <c r="E37" s="45" t="s">
        <v>3544</v>
      </c>
      <c r="F37" s="190"/>
      <c r="G37" s="59"/>
      <c r="H37" s="188"/>
      <c r="I37" s="188"/>
    </row>
    <row r="38" spans="1:9" ht="15.75" customHeight="1">
      <c r="A38" s="42" t="s">
        <v>0</v>
      </c>
      <c r="B38" s="1" t="s">
        <v>3505</v>
      </c>
      <c r="C38" s="43">
        <v>593052</v>
      </c>
      <c r="D38" s="1" t="s">
        <v>71</v>
      </c>
      <c r="E38" s="45" t="s">
        <v>3545</v>
      </c>
      <c r="F38" s="190"/>
      <c r="G38" s="59"/>
      <c r="H38" s="188"/>
      <c r="I38" s="188"/>
    </row>
    <row r="39" spans="1:9" ht="15.75" customHeight="1">
      <c r="A39" s="42" t="s">
        <v>0</v>
      </c>
      <c r="B39" s="1" t="s">
        <v>3505</v>
      </c>
      <c r="C39" s="43">
        <v>2419402</v>
      </c>
      <c r="D39" s="1" t="s">
        <v>80</v>
      </c>
      <c r="E39" s="45" t="s">
        <v>3546</v>
      </c>
      <c r="F39" s="190"/>
      <c r="G39" s="59"/>
      <c r="H39" s="188"/>
      <c r="I39" s="188"/>
    </row>
    <row r="40" spans="1:9" ht="15.75" customHeight="1">
      <c r="A40" s="42" t="s">
        <v>0</v>
      </c>
      <c r="B40" s="1" t="s">
        <v>3505</v>
      </c>
      <c r="C40" s="43">
        <v>565181</v>
      </c>
      <c r="D40" s="1" t="s">
        <v>101</v>
      </c>
      <c r="E40" s="45" t="s">
        <v>3547</v>
      </c>
      <c r="F40" s="190"/>
      <c r="G40" s="59"/>
      <c r="H40" s="188"/>
      <c r="I40" s="188"/>
    </row>
    <row r="41" spans="1:9" ht="15.75" customHeight="1">
      <c r="A41" s="42" t="s">
        <v>0</v>
      </c>
      <c r="B41" s="1" t="s">
        <v>3505</v>
      </c>
      <c r="C41" s="43">
        <v>641774</v>
      </c>
      <c r="D41" s="1" t="s">
        <v>71</v>
      </c>
      <c r="E41" s="45" t="s">
        <v>3548</v>
      </c>
      <c r="F41" s="190"/>
      <c r="G41" s="59"/>
      <c r="H41" s="188"/>
      <c r="I41" s="188"/>
    </row>
    <row r="42" spans="1:9" ht="15.75" customHeight="1">
      <c r="A42" s="42" t="s">
        <v>0</v>
      </c>
      <c r="B42" s="1" t="s">
        <v>3505</v>
      </c>
      <c r="C42" s="43">
        <v>2383346</v>
      </c>
      <c r="D42" s="1" t="s">
        <v>80</v>
      </c>
      <c r="E42" s="45" t="s">
        <v>3549</v>
      </c>
      <c r="F42" s="190"/>
      <c r="G42" s="59"/>
      <c r="H42" s="188"/>
      <c r="I42" s="188"/>
    </row>
    <row r="43" spans="1:9" ht="15.75" customHeight="1">
      <c r="A43" s="42" t="s">
        <v>0</v>
      </c>
      <c r="B43" s="1" t="s">
        <v>3505</v>
      </c>
      <c r="C43" s="43">
        <v>2805105</v>
      </c>
      <c r="D43" s="1" t="s">
        <v>71</v>
      </c>
      <c r="E43" s="45" t="s">
        <v>3550</v>
      </c>
      <c r="F43" s="190"/>
      <c r="G43" s="59"/>
      <c r="H43" s="188"/>
      <c r="I43" s="188"/>
    </row>
    <row r="44" spans="1:9" ht="15.75" customHeight="1">
      <c r="A44" s="42" t="s">
        <v>0</v>
      </c>
      <c r="B44" s="1" t="s">
        <v>3505</v>
      </c>
      <c r="C44" s="43">
        <v>618224</v>
      </c>
      <c r="D44" s="1" t="s">
        <v>71</v>
      </c>
      <c r="E44" s="45" t="s">
        <v>3551</v>
      </c>
      <c r="F44" s="190"/>
      <c r="G44" s="59"/>
      <c r="H44" s="188"/>
      <c r="I44" s="188"/>
    </row>
    <row r="45" spans="1:9" ht="15.75" customHeight="1">
      <c r="A45" s="42" t="s">
        <v>0</v>
      </c>
      <c r="B45" s="1" t="s">
        <v>3505</v>
      </c>
      <c r="C45" s="43">
        <v>5033458</v>
      </c>
      <c r="D45" s="1" t="s">
        <v>80</v>
      </c>
      <c r="E45" s="45" t="s">
        <v>3552</v>
      </c>
      <c r="F45" s="190"/>
      <c r="G45" s="59"/>
      <c r="H45" s="188"/>
      <c r="I45" s="188"/>
    </row>
    <row r="46" spans="1:9" ht="15.75" customHeight="1">
      <c r="A46" s="42" t="s">
        <v>0</v>
      </c>
      <c r="B46" s="1" t="s">
        <v>3505</v>
      </c>
      <c r="C46" s="43">
        <v>593896</v>
      </c>
      <c r="D46" s="1" t="s">
        <v>71</v>
      </c>
      <c r="E46" s="45" t="s">
        <v>3553</v>
      </c>
      <c r="F46" s="190"/>
      <c r="G46" s="59"/>
      <c r="H46" s="188"/>
      <c r="I46" s="188"/>
    </row>
    <row r="47" spans="1:9" ht="15.75" customHeight="1">
      <c r="A47" s="188" t="s">
        <v>1</v>
      </c>
      <c r="B47" s="189" t="s">
        <v>3554</v>
      </c>
      <c r="C47" s="190" t="s">
        <v>68</v>
      </c>
      <c r="D47" s="190" t="s">
        <v>62</v>
      </c>
      <c r="E47" s="56" t="s">
        <v>69</v>
      </c>
      <c r="F47" s="190"/>
      <c r="G47" s="48" t="s">
        <v>70</v>
      </c>
      <c r="H47" s="188"/>
      <c r="I47" s="188"/>
    </row>
    <row r="48" spans="1:9" ht="15.75" customHeight="1">
      <c r="A48" s="42" t="s">
        <v>1</v>
      </c>
      <c r="B48" s="1" t="s">
        <v>3554</v>
      </c>
      <c r="C48" s="43">
        <v>2803013</v>
      </c>
      <c r="D48" s="1" t="s">
        <v>80</v>
      </c>
      <c r="E48" s="45" t="s">
        <v>3506</v>
      </c>
      <c r="F48" s="42"/>
      <c r="G48" s="48" t="s">
        <v>3555</v>
      </c>
      <c r="H48" s="42"/>
      <c r="I48" s="42"/>
    </row>
    <row r="49" spans="1:9" ht="15.75" customHeight="1">
      <c r="A49" s="42" t="s">
        <v>1</v>
      </c>
      <c r="B49" s="1" t="s">
        <v>3554</v>
      </c>
      <c r="C49" s="43">
        <v>5025608</v>
      </c>
      <c r="D49" s="1" t="s">
        <v>71</v>
      </c>
      <c r="E49" s="45" t="s">
        <v>3556</v>
      </c>
      <c r="F49" s="42"/>
      <c r="G49" s="48" t="s">
        <v>3557</v>
      </c>
      <c r="H49" s="42"/>
      <c r="I49" s="42"/>
    </row>
    <row r="50" spans="1:9" ht="15.75" customHeight="1">
      <c r="A50" s="42" t="s">
        <v>1</v>
      </c>
      <c r="B50" s="1" t="s">
        <v>3554</v>
      </c>
      <c r="C50" s="43">
        <v>3107601</v>
      </c>
      <c r="D50" s="1" t="s">
        <v>71</v>
      </c>
      <c r="E50" s="45" t="s">
        <v>3558</v>
      </c>
      <c r="F50" s="42"/>
      <c r="G50" s="48" t="s">
        <v>3559</v>
      </c>
      <c r="H50" s="42"/>
      <c r="I50" s="42"/>
    </row>
    <row r="51" spans="1:9" ht="15.75" customHeight="1">
      <c r="A51" s="42" t="s">
        <v>1</v>
      </c>
      <c r="B51" s="1" t="s">
        <v>3554</v>
      </c>
      <c r="C51" s="43">
        <v>5018537</v>
      </c>
      <c r="D51" s="1" t="s">
        <v>90</v>
      </c>
      <c r="E51" s="45" t="s">
        <v>3560</v>
      </c>
      <c r="F51" s="42"/>
      <c r="G51" s="48" t="s">
        <v>3513</v>
      </c>
      <c r="H51" s="42"/>
      <c r="I51" s="42"/>
    </row>
    <row r="52" spans="1:9" ht="15.75" customHeight="1">
      <c r="A52" s="42" t="s">
        <v>1</v>
      </c>
      <c r="B52" s="1" t="s">
        <v>3554</v>
      </c>
      <c r="C52" s="43">
        <v>2809733</v>
      </c>
      <c r="D52" s="1" t="s">
        <v>80</v>
      </c>
      <c r="E52" s="45" t="s">
        <v>3561</v>
      </c>
      <c r="F52" s="42"/>
      <c r="G52" s="131"/>
      <c r="H52" s="42"/>
      <c r="I52" s="42"/>
    </row>
    <row r="53" spans="1:9" ht="15.75" customHeight="1">
      <c r="A53" s="42" t="s">
        <v>1</v>
      </c>
      <c r="B53" s="1" t="s">
        <v>3554</v>
      </c>
      <c r="C53" s="43">
        <v>520929</v>
      </c>
      <c r="D53" s="1" t="s">
        <v>80</v>
      </c>
      <c r="E53" s="45" t="s">
        <v>3562</v>
      </c>
      <c r="F53" s="42"/>
      <c r="G53" s="59"/>
      <c r="H53" s="42"/>
      <c r="I53" s="42"/>
    </row>
    <row r="54" spans="1:9" ht="15.75" customHeight="1">
      <c r="A54" s="42" t="s">
        <v>1</v>
      </c>
      <c r="B54" s="1" t="s">
        <v>3554</v>
      </c>
      <c r="C54" s="43">
        <v>514910</v>
      </c>
      <c r="D54" s="1" t="s">
        <v>80</v>
      </c>
      <c r="E54" s="45" t="s">
        <v>3517</v>
      </c>
      <c r="F54" s="42"/>
      <c r="G54" s="131"/>
      <c r="H54" s="42"/>
      <c r="I54" s="42"/>
    </row>
    <row r="55" spans="1:9" ht="15.75" customHeight="1">
      <c r="A55" s="42" t="s">
        <v>1</v>
      </c>
      <c r="B55" s="1" t="s">
        <v>3554</v>
      </c>
      <c r="C55" s="43">
        <v>694290</v>
      </c>
      <c r="D55" s="1" t="s">
        <v>71</v>
      </c>
      <c r="E55" s="45" t="s">
        <v>3563</v>
      </c>
      <c r="F55" s="42"/>
      <c r="G55" s="131"/>
      <c r="H55" s="42"/>
      <c r="I55" s="42"/>
    </row>
    <row r="56" spans="1:9" ht="15.75" customHeight="1">
      <c r="A56" s="42" t="s">
        <v>1</v>
      </c>
      <c r="B56" s="1" t="s">
        <v>3554</v>
      </c>
      <c r="C56" s="43">
        <v>678927</v>
      </c>
      <c r="D56" s="1" t="s">
        <v>80</v>
      </c>
      <c r="E56" s="45" t="s">
        <v>3564</v>
      </c>
      <c r="F56" s="42"/>
      <c r="G56" s="131"/>
      <c r="H56" s="42"/>
      <c r="I56" s="42"/>
    </row>
    <row r="57" spans="1:9" ht="15.75" customHeight="1">
      <c r="A57" s="42" t="s">
        <v>1</v>
      </c>
      <c r="B57" s="1" t="s">
        <v>3554</v>
      </c>
      <c r="C57" s="43">
        <v>2929657</v>
      </c>
      <c r="D57" s="1" t="s">
        <v>80</v>
      </c>
      <c r="E57" s="45" t="s">
        <v>3565</v>
      </c>
      <c r="F57" s="42"/>
      <c r="G57" s="50"/>
      <c r="H57" s="42"/>
      <c r="I57" s="42"/>
    </row>
    <row r="58" spans="1:9" ht="15.75" customHeight="1">
      <c r="A58" s="42" t="s">
        <v>1</v>
      </c>
      <c r="B58" s="1" t="s">
        <v>3554</v>
      </c>
      <c r="C58" s="43">
        <v>778406</v>
      </c>
      <c r="D58" s="1" t="s">
        <v>80</v>
      </c>
      <c r="E58" s="45" t="s">
        <v>3521</v>
      </c>
      <c r="F58" s="42"/>
      <c r="G58" s="50"/>
      <c r="H58" s="42"/>
      <c r="I58" s="42"/>
    </row>
    <row r="59" spans="1:9" ht="15.75" customHeight="1">
      <c r="A59" s="42" t="s">
        <v>1</v>
      </c>
      <c r="B59" s="1" t="s">
        <v>3554</v>
      </c>
      <c r="C59" s="43">
        <v>5020331</v>
      </c>
      <c r="D59" s="1" t="s">
        <v>80</v>
      </c>
      <c r="E59" s="45" t="s">
        <v>3566</v>
      </c>
      <c r="F59" s="42"/>
      <c r="G59" s="50"/>
      <c r="H59" s="42"/>
      <c r="I59" s="42"/>
    </row>
    <row r="60" spans="1:9" ht="15.75" customHeight="1">
      <c r="A60" s="42" t="s">
        <v>1</v>
      </c>
      <c r="B60" s="1" t="s">
        <v>3554</v>
      </c>
      <c r="C60" s="43">
        <v>2815032</v>
      </c>
      <c r="D60" s="1" t="s">
        <v>80</v>
      </c>
      <c r="E60" s="45" t="s">
        <v>3567</v>
      </c>
      <c r="F60" s="42"/>
      <c r="G60" s="50"/>
      <c r="H60" s="42"/>
      <c r="I60" s="42"/>
    </row>
    <row r="61" spans="1:9" ht="15.75" customHeight="1">
      <c r="A61" s="42" t="s">
        <v>1</v>
      </c>
      <c r="B61" s="1" t="s">
        <v>3554</v>
      </c>
      <c r="C61" s="43">
        <v>2294199</v>
      </c>
      <c r="D61" s="1" t="s">
        <v>80</v>
      </c>
      <c r="E61" s="45" t="s">
        <v>3568</v>
      </c>
      <c r="F61" s="42"/>
      <c r="G61" s="50"/>
      <c r="H61" s="42"/>
      <c r="I61" s="42"/>
    </row>
    <row r="62" spans="1:9" ht="15.75" customHeight="1">
      <c r="A62" s="42" t="s">
        <v>1</v>
      </c>
      <c r="B62" s="1" t="s">
        <v>3554</v>
      </c>
      <c r="C62" s="43">
        <v>5025620</v>
      </c>
      <c r="D62" s="1" t="s">
        <v>101</v>
      </c>
      <c r="E62" s="45" t="s">
        <v>3569</v>
      </c>
      <c r="F62" s="42"/>
      <c r="G62" s="50"/>
      <c r="H62" s="42"/>
      <c r="I62" s="42"/>
    </row>
    <row r="63" spans="1:9" ht="15.75" customHeight="1">
      <c r="A63" s="42" t="s">
        <v>1</v>
      </c>
      <c r="B63" s="1" t="s">
        <v>3554</v>
      </c>
      <c r="C63" s="43">
        <v>423539</v>
      </c>
      <c r="D63" s="1" t="s">
        <v>80</v>
      </c>
      <c r="E63" s="45" t="s">
        <v>3570</v>
      </c>
      <c r="F63" s="42"/>
      <c r="G63" s="50"/>
      <c r="H63" s="42"/>
      <c r="I63" s="42"/>
    </row>
    <row r="64" spans="1:9" ht="15.75" customHeight="1">
      <c r="A64" s="42" t="s">
        <v>1</v>
      </c>
      <c r="B64" s="1" t="s">
        <v>3554</v>
      </c>
      <c r="C64" s="43">
        <v>2254032</v>
      </c>
      <c r="D64" s="1" t="s">
        <v>80</v>
      </c>
      <c r="E64" s="157" t="s">
        <v>3571</v>
      </c>
      <c r="F64" s="42"/>
      <c r="G64" s="50"/>
      <c r="H64" s="42"/>
      <c r="I64" s="42"/>
    </row>
    <row r="65" spans="1:9" ht="15.75" customHeight="1">
      <c r="A65" s="42" t="s">
        <v>1</v>
      </c>
      <c r="B65" s="1" t="s">
        <v>3554</v>
      </c>
      <c r="C65" s="43">
        <v>735756</v>
      </c>
      <c r="D65" s="1" t="s">
        <v>83</v>
      </c>
      <c r="E65" s="45" t="s">
        <v>3572</v>
      </c>
      <c r="F65" s="42"/>
      <c r="G65" s="50"/>
      <c r="H65" s="42"/>
      <c r="I65" s="42"/>
    </row>
    <row r="66" spans="1:9" ht="15.75" customHeight="1">
      <c r="A66" s="42" t="s">
        <v>1</v>
      </c>
      <c r="B66" s="1" t="s">
        <v>3554</v>
      </c>
      <c r="C66" s="43">
        <v>565182</v>
      </c>
      <c r="D66" s="1" t="s">
        <v>80</v>
      </c>
      <c r="E66" s="45" t="s">
        <v>3573</v>
      </c>
      <c r="F66" s="42"/>
      <c r="G66" s="50"/>
      <c r="H66" s="42"/>
      <c r="I66" s="42"/>
    </row>
    <row r="67" spans="1:9" ht="15.75" customHeight="1">
      <c r="A67" s="42" t="s">
        <v>1</v>
      </c>
      <c r="B67" s="1" t="s">
        <v>3554</v>
      </c>
      <c r="C67" s="43">
        <v>713867</v>
      </c>
      <c r="D67" s="1" t="s">
        <v>80</v>
      </c>
      <c r="E67" s="45" t="s">
        <v>3574</v>
      </c>
      <c r="F67" s="42"/>
      <c r="G67" s="50"/>
      <c r="H67" s="42"/>
      <c r="I67" s="42"/>
    </row>
    <row r="68" spans="1:9" ht="15.75" customHeight="1">
      <c r="A68" s="42" t="s">
        <v>1</v>
      </c>
      <c r="B68" s="1" t="s">
        <v>3554</v>
      </c>
      <c r="C68" s="43">
        <v>397362</v>
      </c>
      <c r="D68" s="1" t="s">
        <v>80</v>
      </c>
      <c r="E68" s="45" t="s">
        <v>3575</v>
      </c>
      <c r="F68" s="42"/>
      <c r="G68" s="50"/>
      <c r="H68" s="42"/>
      <c r="I68" s="42"/>
    </row>
    <row r="69" spans="1:9" ht="15.75" customHeight="1">
      <c r="A69" s="42" t="s">
        <v>1</v>
      </c>
      <c r="B69" s="1" t="s">
        <v>3554</v>
      </c>
      <c r="C69" s="43">
        <v>2215003</v>
      </c>
      <c r="D69" s="1" t="s">
        <v>71</v>
      </c>
      <c r="E69" s="45" t="s">
        <v>3576</v>
      </c>
      <c r="F69" s="42"/>
      <c r="G69" s="50"/>
      <c r="H69" s="42"/>
      <c r="I69" s="42"/>
    </row>
    <row r="70" spans="1:9" ht="15.75" customHeight="1">
      <c r="A70" s="42" t="s">
        <v>1</v>
      </c>
      <c r="B70" s="1" t="s">
        <v>3554</v>
      </c>
      <c r="C70" s="43">
        <v>649166</v>
      </c>
      <c r="D70" s="1" t="s">
        <v>80</v>
      </c>
      <c r="E70" s="45" t="s">
        <v>3577</v>
      </c>
      <c r="F70" s="42"/>
      <c r="G70" s="50"/>
      <c r="H70" s="42"/>
      <c r="I70" s="42"/>
    </row>
    <row r="71" spans="1:9" ht="15.75" customHeight="1">
      <c r="A71" s="42" t="s">
        <v>1</v>
      </c>
      <c r="B71" s="1" t="s">
        <v>3554</v>
      </c>
      <c r="C71" s="43">
        <v>2925029</v>
      </c>
      <c r="D71" s="1" t="s">
        <v>83</v>
      </c>
      <c r="E71" s="157" t="s">
        <v>3578</v>
      </c>
      <c r="F71" s="42"/>
      <c r="G71" s="50"/>
      <c r="H71" s="42"/>
      <c r="I71" s="42"/>
    </row>
    <row r="72" spans="1:9" ht="15.75" customHeight="1">
      <c r="A72" s="42" t="s">
        <v>1</v>
      </c>
      <c r="B72" s="1" t="s">
        <v>3554</v>
      </c>
      <c r="C72" s="43">
        <v>714714</v>
      </c>
      <c r="D72" s="1" t="s">
        <v>80</v>
      </c>
      <c r="E72" s="45" t="s">
        <v>3579</v>
      </c>
      <c r="F72" s="42"/>
      <c r="G72" s="50"/>
      <c r="H72" s="42"/>
      <c r="I72" s="42"/>
    </row>
    <row r="73" spans="1:9" ht="15.75" customHeight="1">
      <c r="A73" s="42" t="s">
        <v>1</v>
      </c>
      <c r="B73" s="1" t="s">
        <v>3554</v>
      </c>
      <c r="C73" s="43">
        <v>3103623</v>
      </c>
      <c r="D73" s="1" t="s">
        <v>80</v>
      </c>
      <c r="E73" s="45" t="s">
        <v>3580</v>
      </c>
      <c r="F73" s="42"/>
      <c r="G73" s="50"/>
      <c r="H73" s="42"/>
      <c r="I73" s="42"/>
    </row>
    <row r="74" spans="1:9" ht="15.75" customHeight="1">
      <c r="A74" s="42" t="s">
        <v>1</v>
      </c>
      <c r="B74" s="1" t="s">
        <v>3554</v>
      </c>
      <c r="C74" s="43">
        <v>521235</v>
      </c>
      <c r="D74" s="1" t="s">
        <v>80</v>
      </c>
      <c r="E74" s="45" t="s">
        <v>3581</v>
      </c>
      <c r="F74" s="42"/>
      <c r="G74" s="50"/>
      <c r="H74" s="42"/>
      <c r="I74" s="42"/>
    </row>
    <row r="75" spans="1:9" ht="15.75" customHeight="1">
      <c r="A75" s="42" t="s">
        <v>1</v>
      </c>
      <c r="B75" s="1" t="s">
        <v>3554</v>
      </c>
      <c r="C75" s="43">
        <v>423478</v>
      </c>
      <c r="D75" s="1" t="s">
        <v>71</v>
      </c>
      <c r="E75" s="45" t="s">
        <v>3582</v>
      </c>
      <c r="F75" s="42"/>
      <c r="G75" s="50"/>
      <c r="H75" s="42"/>
      <c r="I75" s="42"/>
    </row>
    <row r="76" spans="1:9" ht="15.75" customHeight="1">
      <c r="A76" s="42" t="s">
        <v>1</v>
      </c>
      <c r="B76" s="1" t="s">
        <v>3554</v>
      </c>
      <c r="C76" s="43">
        <v>2928474</v>
      </c>
      <c r="D76" s="1" t="s">
        <v>83</v>
      </c>
      <c r="E76" s="45" t="s">
        <v>3583</v>
      </c>
      <c r="F76" s="190"/>
      <c r="G76" s="59"/>
      <c r="H76" s="188"/>
      <c r="I76" s="188"/>
    </row>
    <row r="77" spans="1:9" ht="15.75" customHeight="1">
      <c r="A77" s="42" t="s">
        <v>1</v>
      </c>
      <c r="B77" s="1" t="s">
        <v>3554</v>
      </c>
      <c r="C77" s="43">
        <v>428606</v>
      </c>
      <c r="D77" s="1" t="s">
        <v>80</v>
      </c>
      <c r="E77" s="45" t="s">
        <v>3535</v>
      </c>
      <c r="F77" s="190"/>
      <c r="G77" s="59"/>
      <c r="H77" s="188"/>
      <c r="I77" s="188"/>
    </row>
    <row r="78" spans="1:9" ht="15.75" customHeight="1">
      <c r="A78" s="42" t="s">
        <v>1</v>
      </c>
      <c r="B78" s="1" t="s">
        <v>3554</v>
      </c>
      <c r="C78" s="43">
        <v>3103622</v>
      </c>
      <c r="D78" s="1" t="s">
        <v>80</v>
      </c>
      <c r="E78" s="45" t="s">
        <v>3584</v>
      </c>
      <c r="F78" s="190"/>
      <c r="G78" s="59"/>
      <c r="H78" s="188"/>
      <c r="I78" s="188"/>
    </row>
    <row r="79" spans="1:9" ht="15.75" customHeight="1">
      <c r="A79" s="42" t="s">
        <v>1</v>
      </c>
      <c r="B79" s="1" t="s">
        <v>3554</v>
      </c>
      <c r="C79" s="43">
        <v>2419440</v>
      </c>
      <c r="D79" s="1" t="s">
        <v>80</v>
      </c>
      <c r="E79" s="45" t="s">
        <v>3585</v>
      </c>
      <c r="F79" s="190"/>
      <c r="G79" s="59"/>
      <c r="H79" s="188"/>
      <c r="I79" s="188"/>
    </row>
    <row r="80" spans="1:9" ht="15.75" customHeight="1">
      <c r="A80" s="42" t="s">
        <v>1</v>
      </c>
      <c r="B80" s="1" t="s">
        <v>3554</v>
      </c>
      <c r="C80" s="43">
        <v>3151140</v>
      </c>
      <c r="D80" s="1" t="s">
        <v>80</v>
      </c>
      <c r="E80" s="45" t="s">
        <v>3586</v>
      </c>
      <c r="F80" s="190"/>
      <c r="G80" s="59"/>
      <c r="H80" s="188"/>
      <c r="I80" s="188"/>
    </row>
    <row r="81" spans="1:9" ht="15.75" customHeight="1">
      <c r="A81" s="42" t="s">
        <v>1</v>
      </c>
      <c r="B81" s="1" t="s">
        <v>3554</v>
      </c>
      <c r="C81" s="43">
        <v>584361</v>
      </c>
      <c r="D81" s="1" t="s">
        <v>71</v>
      </c>
      <c r="E81" s="45" t="s">
        <v>3587</v>
      </c>
      <c r="F81" s="190"/>
      <c r="G81" s="59"/>
      <c r="H81" s="188"/>
      <c r="I81" s="188"/>
    </row>
    <row r="82" spans="1:9" ht="15.75" customHeight="1">
      <c r="A82" s="42" t="s">
        <v>1</v>
      </c>
      <c r="B82" s="1" t="s">
        <v>3554</v>
      </c>
      <c r="C82" s="43">
        <v>2925266</v>
      </c>
      <c r="D82" s="1" t="s">
        <v>80</v>
      </c>
      <c r="E82" s="45" t="s">
        <v>3544</v>
      </c>
      <c r="F82" s="190"/>
      <c r="G82" s="59"/>
      <c r="H82" s="188"/>
      <c r="I82" s="188"/>
    </row>
    <row r="83" spans="1:9" ht="15.75" customHeight="1">
      <c r="A83" s="42" t="s">
        <v>1</v>
      </c>
      <c r="B83" s="1" t="s">
        <v>3554</v>
      </c>
      <c r="C83" s="43">
        <v>565181</v>
      </c>
      <c r="D83" s="1" t="s">
        <v>101</v>
      </c>
      <c r="E83" s="45" t="s">
        <v>3547</v>
      </c>
      <c r="F83" s="190"/>
      <c r="G83" s="59"/>
      <c r="H83" s="188"/>
      <c r="I83" s="188"/>
    </row>
    <row r="84" spans="1:9" ht="15.75" customHeight="1">
      <c r="A84" s="188" t="s">
        <v>2</v>
      </c>
      <c r="B84" s="191" t="s">
        <v>3588</v>
      </c>
      <c r="C84" s="190" t="s">
        <v>68</v>
      </c>
      <c r="D84" s="190" t="s">
        <v>62</v>
      </c>
      <c r="E84" s="56" t="s">
        <v>69</v>
      </c>
      <c r="F84" s="190"/>
      <c r="G84" s="48" t="s">
        <v>70</v>
      </c>
      <c r="H84" s="188"/>
      <c r="I84" s="188"/>
    </row>
    <row r="85" spans="1:9" ht="15.75" customHeight="1">
      <c r="A85" s="42" t="s">
        <v>2</v>
      </c>
      <c r="B85" s="132" t="s">
        <v>3588</v>
      </c>
      <c r="C85" s="43">
        <v>5025646</v>
      </c>
      <c r="D85" s="1" t="s">
        <v>71</v>
      </c>
      <c r="E85" s="45" t="s">
        <v>3589</v>
      </c>
      <c r="G85" s="48" t="s">
        <v>3590</v>
      </c>
      <c r="H85" s="188"/>
      <c r="I85" s="188"/>
    </row>
    <row r="86" spans="1:9" ht="15.75" customHeight="1">
      <c r="A86" s="42" t="s">
        <v>2</v>
      </c>
      <c r="B86" s="132" t="s">
        <v>3588</v>
      </c>
      <c r="C86" s="43">
        <v>5025644</v>
      </c>
      <c r="D86" s="1" t="s">
        <v>71</v>
      </c>
      <c r="E86" s="45" t="s">
        <v>3591</v>
      </c>
      <c r="F86" s="192"/>
      <c r="G86" s="48" t="s">
        <v>3592</v>
      </c>
      <c r="H86" s="42"/>
      <c r="I86" s="42"/>
    </row>
    <row r="87" spans="1:9" ht="15.75" customHeight="1">
      <c r="A87" s="42" t="s">
        <v>2</v>
      </c>
      <c r="B87" s="132" t="s">
        <v>3588</v>
      </c>
      <c r="C87" s="43">
        <v>759348</v>
      </c>
      <c r="D87" s="1" t="s">
        <v>83</v>
      </c>
      <c r="E87" s="45" t="s">
        <v>3593</v>
      </c>
      <c r="F87" s="192"/>
      <c r="G87" s="48" t="s">
        <v>3594</v>
      </c>
      <c r="H87" s="42"/>
      <c r="I87" s="42"/>
    </row>
    <row r="88" spans="1:9" ht="15.75" customHeight="1">
      <c r="A88" s="42" t="s">
        <v>2</v>
      </c>
      <c r="B88" s="132" t="s">
        <v>3588</v>
      </c>
      <c r="C88" s="43">
        <v>2809733</v>
      </c>
      <c r="D88" s="1" t="s">
        <v>80</v>
      </c>
      <c r="E88" s="45" t="s">
        <v>3561</v>
      </c>
      <c r="F88" s="192"/>
      <c r="G88" s="48" t="s">
        <v>3595</v>
      </c>
      <c r="H88" s="42"/>
      <c r="I88" s="42"/>
    </row>
    <row r="89" spans="1:9" ht="15.75" customHeight="1">
      <c r="A89" s="42" t="s">
        <v>2</v>
      </c>
      <c r="B89" s="132" t="s">
        <v>3588</v>
      </c>
      <c r="C89" s="43">
        <v>2922386</v>
      </c>
      <c r="D89" s="1" t="s">
        <v>83</v>
      </c>
      <c r="E89" s="45" t="s">
        <v>3596</v>
      </c>
      <c r="F89" s="42"/>
      <c r="G89" s="48" t="s">
        <v>3597</v>
      </c>
      <c r="H89" s="42"/>
      <c r="I89" s="42"/>
    </row>
    <row r="90" spans="1:9" ht="15.75" customHeight="1">
      <c r="A90" s="42" t="s">
        <v>2</v>
      </c>
      <c r="B90" s="132" t="s">
        <v>3588</v>
      </c>
      <c r="C90" s="43">
        <v>702514</v>
      </c>
      <c r="D90" s="1" t="s">
        <v>83</v>
      </c>
      <c r="E90" s="45" t="s">
        <v>3598</v>
      </c>
      <c r="F90" s="42"/>
      <c r="G90" s="48" t="s">
        <v>3599</v>
      </c>
      <c r="H90" s="42"/>
      <c r="I90" s="42"/>
    </row>
    <row r="91" spans="1:9" ht="15.75" customHeight="1">
      <c r="A91" s="42" t="s">
        <v>2</v>
      </c>
      <c r="B91" s="132" t="s">
        <v>3588</v>
      </c>
      <c r="C91" s="43">
        <v>195515</v>
      </c>
      <c r="D91" s="1" t="s">
        <v>80</v>
      </c>
      <c r="E91" s="45" t="s">
        <v>3516</v>
      </c>
      <c r="F91" s="42"/>
      <c r="G91" s="48" t="s">
        <v>3600</v>
      </c>
      <c r="H91" s="42"/>
      <c r="I91" s="42"/>
    </row>
    <row r="92" spans="1:9" ht="15.75" customHeight="1">
      <c r="A92" s="42" t="s">
        <v>2</v>
      </c>
      <c r="B92" s="132" t="s">
        <v>3588</v>
      </c>
      <c r="C92" s="43">
        <v>759349</v>
      </c>
      <c r="D92" s="1" t="s">
        <v>71</v>
      </c>
      <c r="E92" s="45" t="s">
        <v>3601</v>
      </c>
      <c r="F92" s="42"/>
      <c r="G92" s="50"/>
      <c r="H92" s="42"/>
      <c r="I92" s="42"/>
    </row>
    <row r="93" spans="1:9" ht="15.75" customHeight="1">
      <c r="A93" s="42" t="s">
        <v>2</v>
      </c>
      <c r="B93" s="132" t="s">
        <v>3588</v>
      </c>
      <c r="C93" s="43">
        <v>702513</v>
      </c>
      <c r="D93" s="1" t="s">
        <v>80</v>
      </c>
      <c r="E93" s="45" t="s">
        <v>3602</v>
      </c>
      <c r="F93" s="42"/>
      <c r="G93" s="50"/>
      <c r="H93" s="42"/>
      <c r="I93" s="42"/>
    </row>
    <row r="94" spans="1:9" ht="15.75" customHeight="1">
      <c r="A94" s="42" t="s">
        <v>2</v>
      </c>
      <c r="B94" s="132" t="s">
        <v>3588</v>
      </c>
      <c r="C94" s="43">
        <v>2805676</v>
      </c>
      <c r="D94" s="1" t="s">
        <v>83</v>
      </c>
      <c r="E94" s="45" t="s">
        <v>3603</v>
      </c>
      <c r="F94" s="42"/>
      <c r="G94" s="50"/>
      <c r="H94" s="42"/>
      <c r="I94" s="42"/>
    </row>
    <row r="95" spans="1:9" ht="15.75" customHeight="1">
      <c r="A95" s="42" t="s">
        <v>2</v>
      </c>
      <c r="B95" s="132" t="s">
        <v>3588</v>
      </c>
      <c r="C95" s="43">
        <v>5025562</v>
      </c>
      <c r="D95" s="1" t="s">
        <v>71</v>
      </c>
      <c r="E95" s="45" t="s">
        <v>3519</v>
      </c>
      <c r="F95" s="42"/>
      <c r="G95" s="50"/>
      <c r="H95" s="42"/>
      <c r="I95" s="42"/>
    </row>
    <row r="96" spans="1:9" ht="15.75" customHeight="1">
      <c r="A96" s="42" t="s">
        <v>2</v>
      </c>
      <c r="B96" s="132" t="s">
        <v>3588</v>
      </c>
      <c r="C96" s="43">
        <v>563969</v>
      </c>
      <c r="D96" s="1" t="s">
        <v>71</v>
      </c>
      <c r="E96" s="45" t="s">
        <v>3604</v>
      </c>
      <c r="F96" s="42"/>
      <c r="G96" s="50"/>
      <c r="H96" s="42"/>
      <c r="I96" s="42"/>
    </row>
    <row r="97" spans="1:9" ht="15.75" customHeight="1">
      <c r="A97" s="42" t="s">
        <v>2</v>
      </c>
      <c r="B97" s="132" t="s">
        <v>3588</v>
      </c>
      <c r="C97" s="43">
        <v>5034155</v>
      </c>
      <c r="D97" s="1" t="s">
        <v>80</v>
      </c>
      <c r="E97" s="45" t="s">
        <v>3605</v>
      </c>
      <c r="F97" s="42"/>
      <c r="G97" s="50"/>
      <c r="H97" s="42"/>
      <c r="I97" s="42"/>
    </row>
    <row r="98" spans="1:9" ht="15.75" customHeight="1">
      <c r="A98" s="42" t="s">
        <v>2</v>
      </c>
      <c r="B98" s="132" t="s">
        <v>3588</v>
      </c>
      <c r="C98" s="43">
        <v>5020332</v>
      </c>
      <c r="D98" s="1" t="s">
        <v>71</v>
      </c>
      <c r="E98" s="45" t="s">
        <v>3520</v>
      </c>
      <c r="F98" s="42"/>
      <c r="G98" s="50"/>
      <c r="H98" s="42"/>
      <c r="I98" s="42"/>
    </row>
    <row r="99" spans="1:9" ht="15.75" customHeight="1">
      <c r="A99" s="42" t="s">
        <v>2</v>
      </c>
      <c r="B99" s="132" t="s">
        <v>3588</v>
      </c>
      <c r="C99" s="43">
        <v>800684</v>
      </c>
      <c r="D99" s="1" t="s">
        <v>71</v>
      </c>
      <c r="E99" s="45" t="s">
        <v>3606</v>
      </c>
      <c r="F99" s="42"/>
      <c r="G99" s="50"/>
      <c r="H99" s="42"/>
      <c r="I99" s="42"/>
    </row>
    <row r="100" spans="1:9" ht="15.75" customHeight="1">
      <c r="A100" s="42" t="s">
        <v>2</v>
      </c>
      <c r="B100" s="132" t="s">
        <v>3588</v>
      </c>
      <c r="C100" s="43">
        <v>563968</v>
      </c>
      <c r="D100" s="1" t="s">
        <v>71</v>
      </c>
      <c r="E100" s="45" t="s">
        <v>3523</v>
      </c>
      <c r="F100" s="42"/>
      <c r="G100" s="50"/>
      <c r="H100" s="42"/>
      <c r="I100" s="42"/>
    </row>
    <row r="101" spans="1:9" ht="15.75" customHeight="1">
      <c r="A101" s="42" t="s">
        <v>2</v>
      </c>
      <c r="B101" s="132" t="s">
        <v>3588</v>
      </c>
      <c r="C101" s="43">
        <v>5025613</v>
      </c>
      <c r="D101" s="1" t="s">
        <v>83</v>
      </c>
      <c r="E101" s="45" t="s">
        <v>3607</v>
      </c>
      <c r="F101" s="42"/>
      <c r="G101" s="50"/>
      <c r="H101" s="42"/>
      <c r="I101" s="42"/>
    </row>
    <row r="102" spans="1:9" ht="15.75" customHeight="1">
      <c r="A102" s="42" t="s">
        <v>2</v>
      </c>
      <c r="B102" s="132" t="s">
        <v>3588</v>
      </c>
      <c r="C102" s="43">
        <v>5025620</v>
      </c>
      <c r="D102" s="1" t="s">
        <v>101</v>
      </c>
      <c r="E102" s="45" t="s">
        <v>3569</v>
      </c>
      <c r="F102" s="42"/>
      <c r="G102" s="50"/>
      <c r="H102" s="42"/>
      <c r="I102" s="42"/>
    </row>
    <row r="103" spans="1:9" ht="15.75" customHeight="1">
      <c r="A103" s="42" t="s">
        <v>2</v>
      </c>
      <c r="B103" s="132" t="s">
        <v>3588</v>
      </c>
      <c r="C103" s="43">
        <v>5025625</v>
      </c>
      <c r="D103" s="1" t="s">
        <v>71</v>
      </c>
      <c r="E103" s="45" t="s">
        <v>3608</v>
      </c>
      <c r="F103" s="42"/>
      <c r="G103" s="50"/>
      <c r="H103" s="42"/>
      <c r="I103" s="42"/>
    </row>
    <row r="104" spans="1:9" ht="15.75" customHeight="1">
      <c r="A104" s="42" t="s">
        <v>2</v>
      </c>
      <c r="B104" s="132" t="s">
        <v>3588</v>
      </c>
      <c r="C104" s="43">
        <v>593047</v>
      </c>
      <c r="D104" s="1" t="s">
        <v>80</v>
      </c>
      <c r="E104" s="45" t="s">
        <v>3609</v>
      </c>
      <c r="F104" s="42"/>
      <c r="G104" s="50"/>
      <c r="H104" s="42"/>
      <c r="I104" s="42"/>
    </row>
    <row r="105" spans="1:9" ht="15.75" customHeight="1">
      <c r="A105" s="42" t="s">
        <v>2</v>
      </c>
      <c r="B105" s="132" t="s">
        <v>3588</v>
      </c>
      <c r="C105" s="43">
        <v>2833080</v>
      </c>
      <c r="D105" s="1" t="s">
        <v>71</v>
      </c>
      <c r="E105" s="49" t="s">
        <v>3610</v>
      </c>
      <c r="F105" s="42"/>
      <c r="G105" s="50"/>
      <c r="H105" s="42"/>
      <c r="I105" s="42"/>
    </row>
    <row r="106" spans="1:9" ht="15.75" customHeight="1">
      <c r="A106" s="42" t="s">
        <v>2</v>
      </c>
      <c r="B106" s="132" t="s">
        <v>3588</v>
      </c>
      <c r="C106" s="43">
        <v>703241</v>
      </c>
      <c r="D106" s="1" t="s">
        <v>71</v>
      </c>
      <c r="E106" s="45" t="s">
        <v>3611</v>
      </c>
      <c r="F106" s="42"/>
      <c r="G106" s="50"/>
      <c r="H106" s="42"/>
      <c r="I106" s="42"/>
    </row>
    <row r="107" spans="1:9" ht="15.75" customHeight="1">
      <c r="A107" s="42" t="s">
        <v>2</v>
      </c>
      <c r="B107" s="132" t="s">
        <v>3588</v>
      </c>
      <c r="C107" s="43">
        <v>561400</v>
      </c>
      <c r="D107" s="1" t="s">
        <v>71</v>
      </c>
      <c r="E107" s="45" t="s">
        <v>3612</v>
      </c>
      <c r="F107" s="42"/>
      <c r="G107" s="50"/>
      <c r="H107" s="42"/>
      <c r="I107" s="42"/>
    </row>
    <row r="108" spans="1:9" ht="15.75" customHeight="1">
      <c r="A108" s="42" t="s">
        <v>2</v>
      </c>
      <c r="B108" s="132" t="s">
        <v>3588</v>
      </c>
      <c r="C108" s="43">
        <v>2813171</v>
      </c>
      <c r="D108" s="1" t="s">
        <v>90</v>
      </c>
      <c r="E108" s="45" t="s">
        <v>3613</v>
      </c>
      <c r="F108" s="42"/>
      <c r="G108" s="50"/>
      <c r="H108" s="42"/>
      <c r="I108" s="42"/>
    </row>
    <row r="109" spans="1:9" ht="15.75" customHeight="1">
      <c r="A109" s="42" t="s">
        <v>2</v>
      </c>
      <c r="B109" s="132" t="s">
        <v>3588</v>
      </c>
      <c r="C109" s="43">
        <v>2812518</v>
      </c>
      <c r="D109" s="1" t="s">
        <v>80</v>
      </c>
      <c r="E109" s="45" t="s">
        <v>3614</v>
      </c>
      <c r="F109" s="190"/>
      <c r="G109" s="59"/>
      <c r="H109" s="188"/>
      <c r="I109" s="188"/>
    </row>
    <row r="110" spans="1:9" ht="15.75" customHeight="1">
      <c r="A110" s="42" t="s">
        <v>2</v>
      </c>
      <c r="B110" s="132" t="s">
        <v>3588</v>
      </c>
      <c r="C110" s="43">
        <v>2841286</v>
      </c>
      <c r="D110" s="1" t="s">
        <v>80</v>
      </c>
      <c r="E110" s="45" t="s">
        <v>3615</v>
      </c>
      <c r="F110" s="190"/>
      <c r="G110" s="59"/>
      <c r="H110" s="188"/>
      <c r="I110" s="188"/>
    </row>
    <row r="111" spans="1:9" ht="15.75" customHeight="1">
      <c r="A111" s="42" t="s">
        <v>2</v>
      </c>
      <c r="B111" s="132" t="s">
        <v>3588</v>
      </c>
      <c r="C111" s="43">
        <v>2892047</v>
      </c>
      <c r="D111" s="1" t="s">
        <v>71</v>
      </c>
      <c r="E111" s="49" t="s">
        <v>3616</v>
      </c>
      <c r="F111" s="190"/>
      <c r="G111" s="59"/>
      <c r="H111" s="188"/>
      <c r="I111" s="188"/>
    </row>
    <row r="112" spans="1:9" ht="15.75" customHeight="1">
      <c r="A112" s="42" t="s">
        <v>2</v>
      </c>
      <c r="B112" s="132" t="s">
        <v>3588</v>
      </c>
      <c r="C112" s="43">
        <v>2807641</v>
      </c>
      <c r="D112" s="1" t="s">
        <v>83</v>
      </c>
      <c r="E112" s="45" t="s">
        <v>3617</v>
      </c>
      <c r="F112" s="190"/>
      <c r="G112" s="59"/>
      <c r="H112" s="188"/>
      <c r="I112" s="188"/>
    </row>
    <row r="113" spans="1:9" ht="15.75" customHeight="1">
      <c r="A113" s="42" t="s">
        <v>2</v>
      </c>
      <c r="B113" s="132" t="s">
        <v>3588</v>
      </c>
      <c r="C113" s="43">
        <v>672276</v>
      </c>
      <c r="D113" s="1" t="s">
        <v>71</v>
      </c>
      <c r="E113" s="45" t="s">
        <v>3525</v>
      </c>
      <c r="F113" s="190"/>
      <c r="G113" s="59"/>
      <c r="H113" s="188"/>
      <c r="I113" s="188"/>
    </row>
    <row r="114" spans="1:9" ht="15.75" customHeight="1">
      <c r="A114" s="42" t="s">
        <v>2</v>
      </c>
      <c r="B114" s="132" t="s">
        <v>3588</v>
      </c>
      <c r="C114" s="43">
        <v>3160235</v>
      </c>
      <c r="D114" s="1" t="s">
        <v>71</v>
      </c>
      <c r="E114" s="49" t="s">
        <v>3618</v>
      </c>
      <c r="F114" s="190"/>
      <c r="G114" s="59"/>
      <c r="H114" s="188"/>
      <c r="I114" s="188"/>
    </row>
    <row r="115" spans="1:9" ht="15.75" customHeight="1">
      <c r="A115" s="42" t="s">
        <v>2</v>
      </c>
      <c r="B115" s="132" t="s">
        <v>3588</v>
      </c>
      <c r="C115" s="43">
        <v>648460</v>
      </c>
      <c r="D115" s="1" t="s">
        <v>71</v>
      </c>
      <c r="E115" s="45" t="s">
        <v>3526</v>
      </c>
      <c r="F115" s="190"/>
      <c r="G115" s="59"/>
      <c r="H115" s="188"/>
      <c r="I115" s="188"/>
    </row>
    <row r="116" spans="1:9" ht="15.75" customHeight="1">
      <c r="A116" s="42" t="s">
        <v>2</v>
      </c>
      <c r="B116" s="132" t="s">
        <v>3588</v>
      </c>
      <c r="C116" s="43">
        <v>593046</v>
      </c>
      <c r="D116" s="1" t="s">
        <v>80</v>
      </c>
      <c r="E116" s="45" t="s">
        <v>3619</v>
      </c>
      <c r="F116" s="190"/>
      <c r="G116" s="59"/>
      <c r="H116" s="188"/>
      <c r="I116" s="188"/>
    </row>
    <row r="117" spans="1:9" ht="15.75" customHeight="1">
      <c r="A117" s="42" t="s">
        <v>2</v>
      </c>
      <c r="B117" s="132" t="s">
        <v>3588</v>
      </c>
      <c r="C117" s="43">
        <v>5020333</v>
      </c>
      <c r="D117" s="1" t="s">
        <v>80</v>
      </c>
      <c r="E117" s="45" t="s">
        <v>3620</v>
      </c>
      <c r="F117" s="190"/>
      <c r="G117" s="59"/>
      <c r="H117" s="188"/>
      <c r="I117" s="188"/>
    </row>
    <row r="118" spans="1:9" ht="15.75" customHeight="1">
      <c r="A118" s="42" t="s">
        <v>2</v>
      </c>
      <c r="B118" s="132" t="s">
        <v>3588</v>
      </c>
      <c r="C118" s="43">
        <v>593919</v>
      </c>
      <c r="D118" s="1" t="s">
        <v>80</v>
      </c>
      <c r="E118" s="45" t="s">
        <v>3621</v>
      </c>
      <c r="F118" s="190"/>
      <c r="G118" s="59"/>
      <c r="H118" s="188"/>
      <c r="I118" s="188"/>
    </row>
    <row r="119" spans="1:9" ht="15.75" customHeight="1">
      <c r="A119" s="42" t="s">
        <v>2</v>
      </c>
      <c r="B119" s="132" t="s">
        <v>3588</v>
      </c>
      <c r="C119" s="43">
        <v>2823401</v>
      </c>
      <c r="D119" s="1" t="s">
        <v>80</v>
      </c>
      <c r="E119" s="45" t="s">
        <v>3622</v>
      </c>
      <c r="F119" s="190"/>
      <c r="G119" s="59"/>
      <c r="H119" s="188"/>
      <c r="I119" s="188"/>
    </row>
    <row r="120" spans="1:9" ht="15.75" customHeight="1">
      <c r="A120" s="42" t="s">
        <v>2</v>
      </c>
      <c r="B120" s="132" t="s">
        <v>3588</v>
      </c>
      <c r="C120" s="43">
        <v>593043</v>
      </c>
      <c r="D120" s="1" t="s">
        <v>80</v>
      </c>
      <c r="E120" s="45" t="s">
        <v>3623</v>
      </c>
      <c r="F120" s="190"/>
      <c r="G120" s="59"/>
      <c r="H120" s="188"/>
      <c r="I120" s="188"/>
    </row>
    <row r="121" spans="1:9" ht="15.75" customHeight="1">
      <c r="A121" s="42" t="s">
        <v>2</v>
      </c>
      <c r="B121" s="132" t="s">
        <v>3588</v>
      </c>
      <c r="C121" s="43">
        <v>5025617</v>
      </c>
      <c r="D121" s="1" t="s">
        <v>71</v>
      </c>
      <c r="E121" s="45" t="s">
        <v>3624</v>
      </c>
      <c r="F121" s="190"/>
      <c r="G121" s="59"/>
      <c r="H121" s="188"/>
      <c r="I121" s="188"/>
    </row>
    <row r="122" spans="1:9" ht="15.75" customHeight="1">
      <c r="A122" s="42" t="s">
        <v>2</v>
      </c>
      <c r="B122" s="132" t="s">
        <v>3588</v>
      </c>
      <c r="C122" s="43">
        <v>702517</v>
      </c>
      <c r="D122" s="1" t="s">
        <v>71</v>
      </c>
      <c r="E122" s="45" t="s">
        <v>3625</v>
      </c>
      <c r="F122" s="190"/>
      <c r="G122" s="59"/>
      <c r="H122" s="188"/>
      <c r="I122" s="188"/>
    </row>
    <row r="123" spans="1:9" ht="15.75" customHeight="1">
      <c r="A123" s="42" t="s">
        <v>2</v>
      </c>
      <c r="B123" s="132" t="s">
        <v>3588</v>
      </c>
      <c r="C123" s="43">
        <v>561470</v>
      </c>
      <c r="D123" s="1" t="s">
        <v>83</v>
      </c>
      <c r="E123" s="45" t="s">
        <v>3626</v>
      </c>
      <c r="F123" s="190"/>
      <c r="G123" s="59"/>
      <c r="H123" s="188"/>
      <c r="I123" s="188"/>
    </row>
    <row r="124" spans="1:9" ht="15.75" customHeight="1">
      <c r="A124" s="42" t="s">
        <v>2</v>
      </c>
      <c r="B124" s="132" t="s">
        <v>3588</v>
      </c>
      <c r="C124" s="43">
        <v>593045</v>
      </c>
      <c r="D124" s="1" t="s">
        <v>80</v>
      </c>
      <c r="E124" s="45" t="s">
        <v>3627</v>
      </c>
      <c r="F124" s="190"/>
      <c r="G124" s="59"/>
      <c r="H124" s="188"/>
      <c r="I124" s="188"/>
    </row>
    <row r="125" spans="1:9" ht="15.75" customHeight="1">
      <c r="A125" s="42" t="s">
        <v>2</v>
      </c>
      <c r="B125" s="132" t="s">
        <v>3588</v>
      </c>
      <c r="C125" s="43">
        <v>494021</v>
      </c>
      <c r="D125" s="1" t="s">
        <v>80</v>
      </c>
      <c r="E125" s="45" t="s">
        <v>3628</v>
      </c>
      <c r="F125" s="190"/>
      <c r="G125" s="59"/>
      <c r="H125" s="188"/>
      <c r="I125" s="188"/>
    </row>
    <row r="126" spans="1:9" ht="15.75" customHeight="1">
      <c r="A126" s="42" t="s">
        <v>2</v>
      </c>
      <c r="B126" s="132" t="s">
        <v>3588</v>
      </c>
      <c r="C126" s="43">
        <v>2921745</v>
      </c>
      <c r="D126" s="1" t="s">
        <v>83</v>
      </c>
      <c r="E126" s="45" t="s">
        <v>3629</v>
      </c>
      <c r="F126" s="190"/>
      <c r="G126" s="59"/>
      <c r="H126" s="188"/>
      <c r="I126" s="188"/>
    </row>
    <row r="127" spans="1:9" ht="15.75" customHeight="1">
      <c r="A127" s="42" t="s">
        <v>2</v>
      </c>
      <c r="B127" s="132" t="s">
        <v>3588</v>
      </c>
      <c r="C127" s="43">
        <v>5033508</v>
      </c>
      <c r="D127" s="1" t="s">
        <v>80</v>
      </c>
      <c r="E127" s="45" t="s">
        <v>3530</v>
      </c>
      <c r="F127" s="190"/>
      <c r="G127" s="59"/>
      <c r="H127" s="188"/>
      <c r="I127" s="188"/>
    </row>
    <row r="128" spans="1:9" ht="15.75" customHeight="1">
      <c r="A128" s="42" t="s">
        <v>2</v>
      </c>
      <c r="B128" s="132" t="s">
        <v>3588</v>
      </c>
      <c r="C128" s="43">
        <v>423478</v>
      </c>
      <c r="D128" s="1" t="s">
        <v>71</v>
      </c>
      <c r="E128" s="45" t="s">
        <v>3582</v>
      </c>
      <c r="F128" s="190"/>
      <c r="G128" s="59"/>
      <c r="H128" s="188"/>
      <c r="I128" s="188"/>
    </row>
    <row r="129" spans="1:9" ht="15.75" customHeight="1">
      <c r="A129" s="42" t="s">
        <v>2</v>
      </c>
      <c r="B129" s="132" t="s">
        <v>3588</v>
      </c>
      <c r="C129" s="43">
        <v>800683</v>
      </c>
      <c r="D129" s="1" t="s">
        <v>71</v>
      </c>
      <c r="E129" s="45" t="s">
        <v>3630</v>
      </c>
      <c r="F129" s="190"/>
      <c r="G129" s="59"/>
      <c r="H129" s="188"/>
      <c r="I129" s="188"/>
    </row>
    <row r="130" spans="1:9" ht="15.75" customHeight="1">
      <c r="A130" s="42" t="s">
        <v>2</v>
      </c>
      <c r="B130" s="132" t="s">
        <v>3588</v>
      </c>
      <c r="C130" s="43">
        <v>584362</v>
      </c>
      <c r="D130" s="1" t="s">
        <v>83</v>
      </c>
      <c r="E130" s="45" t="s">
        <v>3631</v>
      </c>
      <c r="F130" s="190"/>
      <c r="G130" s="59"/>
      <c r="H130" s="188"/>
      <c r="I130" s="188"/>
    </row>
    <row r="131" spans="1:9" ht="15.75" customHeight="1">
      <c r="A131" s="42" t="s">
        <v>2</v>
      </c>
      <c r="B131" s="132" t="s">
        <v>3588</v>
      </c>
      <c r="C131" s="43">
        <v>2808159</v>
      </c>
      <c r="D131" s="1" t="s">
        <v>71</v>
      </c>
      <c r="E131" s="45" t="s">
        <v>3632</v>
      </c>
      <c r="F131" s="190"/>
      <c r="G131" s="59"/>
      <c r="H131" s="188"/>
      <c r="I131" s="188"/>
    </row>
    <row r="132" spans="1:9" ht="15.75" customHeight="1">
      <c r="A132" s="42" t="s">
        <v>2</v>
      </c>
      <c r="B132" s="132" t="s">
        <v>3588</v>
      </c>
      <c r="C132" s="43">
        <v>761012</v>
      </c>
      <c r="D132" s="1" t="s">
        <v>71</v>
      </c>
      <c r="E132" s="45" t="s">
        <v>3633</v>
      </c>
      <c r="F132" s="190"/>
      <c r="G132" s="59"/>
      <c r="H132" s="188"/>
      <c r="I132" s="188"/>
    </row>
    <row r="133" spans="1:9" ht="15.75" customHeight="1">
      <c r="A133" s="42" t="s">
        <v>2</v>
      </c>
      <c r="B133" s="132" t="s">
        <v>3588</v>
      </c>
      <c r="C133" s="43">
        <v>5025616</v>
      </c>
      <c r="D133" s="1" t="s">
        <v>83</v>
      </c>
      <c r="E133" s="45" t="s">
        <v>3634</v>
      </c>
      <c r="F133" s="190"/>
      <c r="G133" s="59"/>
      <c r="H133" s="188"/>
      <c r="I133" s="188"/>
    </row>
    <row r="134" spans="1:9" ht="15.75" customHeight="1">
      <c r="A134" s="42" t="s">
        <v>2</v>
      </c>
      <c r="B134" s="132" t="s">
        <v>3588</v>
      </c>
      <c r="C134" s="43">
        <v>676841</v>
      </c>
      <c r="D134" s="1" t="s">
        <v>80</v>
      </c>
      <c r="E134" s="45" t="s">
        <v>3635</v>
      </c>
      <c r="F134" s="190"/>
      <c r="G134" s="59"/>
      <c r="H134" s="188"/>
      <c r="I134" s="188"/>
    </row>
    <row r="135" spans="1:9" ht="15.75" customHeight="1">
      <c r="A135" s="42" t="s">
        <v>2</v>
      </c>
      <c r="B135" s="132" t="s">
        <v>3588</v>
      </c>
      <c r="C135" s="43">
        <v>561079</v>
      </c>
      <c r="D135" s="1" t="s">
        <v>80</v>
      </c>
      <c r="E135" s="45" t="s">
        <v>3636</v>
      </c>
      <c r="F135" s="190"/>
      <c r="G135" s="59"/>
      <c r="H135" s="188"/>
      <c r="I135" s="188"/>
    </row>
    <row r="136" spans="1:9" ht="15.75" customHeight="1">
      <c r="A136" s="42" t="s">
        <v>2</v>
      </c>
      <c r="B136" s="132" t="s">
        <v>3588</v>
      </c>
      <c r="C136" s="43">
        <v>697738</v>
      </c>
      <c r="D136" s="1" t="s">
        <v>71</v>
      </c>
      <c r="E136" s="45" t="s">
        <v>3637</v>
      </c>
      <c r="F136" s="190"/>
      <c r="G136" s="59"/>
      <c r="H136" s="188"/>
      <c r="I136" s="188"/>
    </row>
    <row r="137" spans="1:9" ht="15.75" customHeight="1">
      <c r="A137" s="42" t="s">
        <v>2</v>
      </c>
      <c r="B137" s="132" t="s">
        <v>3588</v>
      </c>
      <c r="C137" s="43">
        <v>2232562</v>
      </c>
      <c r="D137" s="1" t="s">
        <v>71</v>
      </c>
      <c r="E137" s="45" t="s">
        <v>3638</v>
      </c>
      <c r="F137" s="190"/>
      <c r="G137" s="59"/>
      <c r="H137" s="188"/>
      <c r="I137" s="188"/>
    </row>
    <row r="138" spans="1:9" ht="15.75" customHeight="1">
      <c r="A138" s="42" t="s">
        <v>2</v>
      </c>
      <c r="B138" s="132" t="s">
        <v>3588</v>
      </c>
      <c r="C138" s="43">
        <v>561469</v>
      </c>
      <c r="D138" s="1" t="s">
        <v>80</v>
      </c>
      <c r="E138" s="45" t="s">
        <v>3639</v>
      </c>
      <c r="F138" s="190"/>
      <c r="G138" s="59"/>
      <c r="H138" s="188"/>
      <c r="I138" s="188"/>
    </row>
    <row r="139" spans="1:9" ht="15.75" customHeight="1">
      <c r="A139" s="42" t="s">
        <v>2</v>
      </c>
      <c r="B139" s="132" t="s">
        <v>3588</v>
      </c>
      <c r="C139" s="43">
        <v>5025611</v>
      </c>
      <c r="D139" s="1" t="s">
        <v>71</v>
      </c>
      <c r="E139" s="45" t="s">
        <v>3640</v>
      </c>
      <c r="F139" s="190"/>
      <c r="G139" s="59"/>
      <c r="H139" s="188"/>
      <c r="I139" s="188"/>
    </row>
    <row r="140" spans="1:9" ht="15.75" customHeight="1">
      <c r="A140" s="42" t="s">
        <v>2</v>
      </c>
      <c r="B140" s="132" t="s">
        <v>3588</v>
      </c>
      <c r="C140" s="43">
        <v>584324</v>
      </c>
      <c r="D140" s="1" t="s">
        <v>71</v>
      </c>
      <c r="E140" s="45" t="s">
        <v>3641</v>
      </c>
      <c r="F140" s="190"/>
      <c r="G140" s="59"/>
      <c r="H140" s="188"/>
      <c r="I140" s="188"/>
    </row>
    <row r="141" spans="1:9" ht="15.75" customHeight="1">
      <c r="A141" s="42" t="s">
        <v>2</v>
      </c>
      <c r="B141" s="132" t="s">
        <v>3588</v>
      </c>
      <c r="C141" s="43">
        <v>584361</v>
      </c>
      <c r="D141" s="1" t="s">
        <v>71</v>
      </c>
      <c r="E141" s="45" t="s">
        <v>3587</v>
      </c>
      <c r="F141" s="190"/>
      <c r="G141" s="59"/>
      <c r="H141" s="188"/>
      <c r="I141" s="188"/>
    </row>
    <row r="142" spans="1:9" ht="15.75" customHeight="1">
      <c r="A142" s="42" t="s">
        <v>2</v>
      </c>
      <c r="B142" s="132" t="s">
        <v>3588</v>
      </c>
      <c r="C142" s="43">
        <v>2449260</v>
      </c>
      <c r="D142" s="1" t="s">
        <v>80</v>
      </c>
      <c r="E142" s="49" t="s">
        <v>3642</v>
      </c>
      <c r="F142" s="190"/>
      <c r="G142" s="59"/>
      <c r="H142" s="188"/>
      <c r="I142" s="188"/>
    </row>
    <row r="143" spans="1:9" ht="15.75" customHeight="1">
      <c r="A143" s="42" t="s">
        <v>2</v>
      </c>
      <c r="B143" s="132" t="s">
        <v>3588</v>
      </c>
      <c r="C143" s="43">
        <v>3148342</v>
      </c>
      <c r="D143" s="1" t="s">
        <v>71</v>
      </c>
      <c r="E143" s="49" t="s">
        <v>3643</v>
      </c>
      <c r="F143" s="190"/>
      <c r="G143" s="59"/>
      <c r="H143" s="188"/>
      <c r="I143" s="188"/>
    </row>
    <row r="144" spans="1:9" ht="15.75" customHeight="1">
      <c r="A144" s="42" t="s">
        <v>2</v>
      </c>
      <c r="B144" s="132" t="s">
        <v>3588</v>
      </c>
      <c r="C144" s="43">
        <v>593048</v>
      </c>
      <c r="D144" s="1" t="s">
        <v>83</v>
      </c>
      <c r="E144" s="45" t="s">
        <v>3644</v>
      </c>
      <c r="F144" s="190"/>
      <c r="G144" s="59"/>
      <c r="H144" s="188"/>
      <c r="I144" s="188"/>
    </row>
    <row r="145" spans="1:9" ht="15.75" customHeight="1">
      <c r="A145" s="42" t="s">
        <v>2</v>
      </c>
      <c r="B145" s="132" t="s">
        <v>3588</v>
      </c>
      <c r="C145" s="43">
        <v>565181</v>
      </c>
      <c r="D145" s="1" t="s">
        <v>101</v>
      </c>
      <c r="E145" s="45" t="s">
        <v>3547</v>
      </c>
      <c r="F145" s="190"/>
      <c r="G145" s="59"/>
      <c r="H145" s="188"/>
      <c r="I145" s="188"/>
    </row>
    <row r="146" spans="1:9" ht="15.75" customHeight="1">
      <c r="A146" s="42" t="s">
        <v>2</v>
      </c>
      <c r="B146" s="132" t="s">
        <v>3588</v>
      </c>
      <c r="C146" s="43">
        <v>641774</v>
      </c>
      <c r="D146" s="1" t="s">
        <v>71</v>
      </c>
      <c r="E146" s="45" t="s">
        <v>3548</v>
      </c>
      <c r="F146" s="190"/>
      <c r="G146" s="59"/>
      <c r="H146" s="188"/>
      <c r="I146" s="188"/>
    </row>
    <row r="147" spans="1:9" ht="15.75" customHeight="1">
      <c r="A147" s="42" t="s">
        <v>2</v>
      </c>
      <c r="B147" s="132" t="s">
        <v>3588</v>
      </c>
      <c r="C147" s="43">
        <v>5033458</v>
      </c>
      <c r="D147" s="1" t="s">
        <v>80</v>
      </c>
      <c r="E147" s="45" t="s">
        <v>3552</v>
      </c>
      <c r="F147" s="190"/>
      <c r="G147" s="59"/>
      <c r="H147" s="188"/>
      <c r="I147" s="188"/>
    </row>
    <row r="148" spans="1:9" ht="15.75" customHeight="1">
      <c r="A148" s="42" t="s">
        <v>2</v>
      </c>
      <c r="B148" s="132" t="s">
        <v>3588</v>
      </c>
      <c r="C148" s="43">
        <v>593896</v>
      </c>
      <c r="D148" s="1" t="s">
        <v>71</v>
      </c>
      <c r="E148" s="45" t="s">
        <v>3553</v>
      </c>
      <c r="F148" s="190"/>
      <c r="G148" s="59"/>
      <c r="H148" s="188"/>
      <c r="I148" s="188"/>
    </row>
    <row r="149" spans="1:9" ht="15.75" customHeight="1">
      <c r="A149" s="188" t="s">
        <v>3</v>
      </c>
      <c r="B149" s="189" t="s">
        <v>3645</v>
      </c>
      <c r="C149" s="190" t="s">
        <v>68</v>
      </c>
      <c r="D149" s="190" t="s">
        <v>62</v>
      </c>
      <c r="E149" s="56" t="s">
        <v>69</v>
      </c>
      <c r="F149" s="190"/>
      <c r="G149" s="48" t="s">
        <v>70</v>
      </c>
      <c r="H149" s="188"/>
      <c r="I149" s="188"/>
    </row>
    <row r="150" spans="1:9" ht="15.75" customHeight="1">
      <c r="A150" s="42" t="s">
        <v>3</v>
      </c>
      <c r="B150" s="1" t="s">
        <v>3645</v>
      </c>
      <c r="C150" s="43">
        <v>2809733</v>
      </c>
      <c r="D150" s="1" t="s">
        <v>80</v>
      </c>
      <c r="E150" s="45" t="s">
        <v>3561</v>
      </c>
      <c r="F150" s="42"/>
      <c r="G150" s="48" t="s">
        <v>3590</v>
      </c>
      <c r="H150" s="42"/>
      <c r="I150" s="42"/>
    </row>
    <row r="151" spans="1:9" ht="15.75" customHeight="1">
      <c r="A151" s="42" t="s">
        <v>3</v>
      </c>
      <c r="B151" s="1" t="s">
        <v>3645</v>
      </c>
      <c r="C151" s="43">
        <v>503019</v>
      </c>
      <c r="D151" s="1" t="s">
        <v>80</v>
      </c>
      <c r="E151" s="45" t="s">
        <v>3514</v>
      </c>
      <c r="F151" s="42"/>
      <c r="G151" s="48" t="s">
        <v>3646</v>
      </c>
      <c r="H151" s="42"/>
      <c r="I151" s="42"/>
    </row>
    <row r="152" spans="1:9" ht="15.75" customHeight="1">
      <c r="A152" s="42" t="s">
        <v>3</v>
      </c>
      <c r="B152" s="1" t="s">
        <v>3645</v>
      </c>
      <c r="C152" s="43">
        <v>195515</v>
      </c>
      <c r="D152" s="1" t="s">
        <v>80</v>
      </c>
      <c r="E152" s="45" t="s">
        <v>3516</v>
      </c>
      <c r="F152" s="42"/>
      <c r="G152" s="50"/>
      <c r="H152" s="42"/>
      <c r="I152" s="42"/>
    </row>
    <row r="153" spans="1:9" ht="15.75" customHeight="1">
      <c r="A153" s="42" t="s">
        <v>3</v>
      </c>
      <c r="B153" s="1" t="s">
        <v>3645</v>
      </c>
      <c r="C153" s="43">
        <v>2925267</v>
      </c>
      <c r="D153" s="1" t="s">
        <v>80</v>
      </c>
      <c r="E153" s="45" t="s">
        <v>3647</v>
      </c>
      <c r="F153" s="42"/>
      <c r="G153" s="50"/>
      <c r="H153" s="42"/>
      <c r="I153" s="42"/>
    </row>
    <row r="154" spans="1:9" ht="15.75" customHeight="1">
      <c r="A154" s="42" t="s">
        <v>3</v>
      </c>
      <c r="B154" s="1" t="s">
        <v>3645</v>
      </c>
      <c r="C154" s="43">
        <v>2887030</v>
      </c>
      <c r="D154" s="1" t="s">
        <v>83</v>
      </c>
      <c r="E154" s="45" t="s">
        <v>3648</v>
      </c>
      <c r="F154" s="42"/>
      <c r="G154" s="50"/>
      <c r="H154" s="42"/>
      <c r="I154" s="42"/>
    </row>
    <row r="155" spans="1:9" ht="15.75" customHeight="1">
      <c r="A155" s="42" t="s">
        <v>3</v>
      </c>
      <c r="B155" s="1" t="s">
        <v>3645</v>
      </c>
      <c r="C155" s="43">
        <v>2837222</v>
      </c>
      <c r="D155" s="1" t="s">
        <v>80</v>
      </c>
      <c r="E155" s="45" t="s">
        <v>3649</v>
      </c>
      <c r="F155" s="42"/>
      <c r="G155" s="50"/>
      <c r="H155" s="42"/>
      <c r="I155" s="42"/>
    </row>
    <row r="156" spans="1:9" ht="15.75" customHeight="1">
      <c r="A156" s="42" t="s">
        <v>3</v>
      </c>
      <c r="B156" s="1" t="s">
        <v>3645</v>
      </c>
      <c r="C156" s="43">
        <v>2988468</v>
      </c>
      <c r="D156" s="1" t="s">
        <v>80</v>
      </c>
      <c r="E156" s="157" t="s">
        <v>3650</v>
      </c>
      <c r="F156" s="42"/>
      <c r="G156" s="50"/>
      <c r="H156" s="42"/>
      <c r="I156" s="42"/>
    </row>
    <row r="157" spans="1:9" ht="15.75" customHeight="1">
      <c r="A157" s="42" t="s">
        <v>3</v>
      </c>
      <c r="B157" s="1" t="s">
        <v>3645</v>
      </c>
      <c r="C157" s="43">
        <v>563969</v>
      </c>
      <c r="D157" s="1" t="s">
        <v>71</v>
      </c>
      <c r="E157" s="45" t="s">
        <v>3604</v>
      </c>
      <c r="F157" s="42"/>
      <c r="G157" s="50"/>
      <c r="H157" s="42"/>
      <c r="I157" s="42"/>
    </row>
    <row r="158" spans="1:9" ht="15.75" customHeight="1">
      <c r="A158" s="42" t="s">
        <v>3</v>
      </c>
      <c r="B158" s="1" t="s">
        <v>3645</v>
      </c>
      <c r="C158" s="43">
        <v>2883054</v>
      </c>
      <c r="D158" s="1" t="s">
        <v>71</v>
      </c>
      <c r="E158" s="49" t="s">
        <v>3651</v>
      </c>
      <c r="F158" s="42"/>
      <c r="G158" s="50"/>
      <c r="H158" s="42"/>
      <c r="I158" s="42"/>
    </row>
    <row r="159" spans="1:9" ht="15.75" customHeight="1">
      <c r="A159" s="42" t="s">
        <v>3</v>
      </c>
      <c r="B159" s="1" t="s">
        <v>3645</v>
      </c>
      <c r="C159" s="43">
        <v>2841289</v>
      </c>
      <c r="D159" s="1" t="s">
        <v>101</v>
      </c>
      <c r="E159" s="45" t="s">
        <v>3652</v>
      </c>
      <c r="F159" s="42"/>
      <c r="G159" s="50"/>
      <c r="H159" s="42"/>
      <c r="I159" s="42"/>
    </row>
    <row r="160" spans="1:9" ht="15.75" customHeight="1">
      <c r="A160" s="42" t="s">
        <v>3</v>
      </c>
      <c r="B160" s="1" t="s">
        <v>3645</v>
      </c>
      <c r="C160" s="43">
        <v>5020331</v>
      </c>
      <c r="D160" s="1" t="s">
        <v>80</v>
      </c>
      <c r="E160" s="45" t="s">
        <v>3566</v>
      </c>
      <c r="F160" s="42"/>
      <c r="G160" s="50"/>
      <c r="H160" s="42"/>
      <c r="I160" s="42"/>
    </row>
    <row r="161" spans="1:9" ht="15.75" customHeight="1">
      <c r="A161" s="42" t="s">
        <v>3</v>
      </c>
      <c r="B161" s="1" t="s">
        <v>3645</v>
      </c>
      <c r="C161" s="43">
        <v>2815032</v>
      </c>
      <c r="D161" s="1" t="s">
        <v>80</v>
      </c>
      <c r="E161" s="45" t="s">
        <v>3567</v>
      </c>
      <c r="F161" s="42"/>
      <c r="G161" s="50"/>
      <c r="H161" s="42"/>
      <c r="I161" s="42"/>
    </row>
    <row r="162" spans="1:9" ht="15.75" customHeight="1">
      <c r="A162" s="42" t="s">
        <v>3</v>
      </c>
      <c r="B162" s="1" t="s">
        <v>3645</v>
      </c>
      <c r="C162" s="43">
        <v>518927</v>
      </c>
      <c r="D162" s="1" t="s">
        <v>80</v>
      </c>
      <c r="E162" s="45" t="s">
        <v>3653</v>
      </c>
      <c r="F162" s="42"/>
      <c r="G162" s="50"/>
      <c r="H162" s="42"/>
      <c r="I162" s="42"/>
    </row>
    <row r="163" spans="1:9" ht="15.75" customHeight="1">
      <c r="A163" s="42" t="s">
        <v>3</v>
      </c>
      <c r="B163" s="1" t="s">
        <v>3645</v>
      </c>
      <c r="C163" s="43">
        <v>5033510</v>
      </c>
      <c r="D163" s="1" t="s">
        <v>80</v>
      </c>
      <c r="E163" s="45" t="s">
        <v>3654</v>
      </c>
      <c r="F163" s="42"/>
      <c r="G163" s="50"/>
      <c r="H163" s="42"/>
      <c r="I163" s="42"/>
    </row>
    <row r="164" spans="1:9" ht="15.75" customHeight="1">
      <c r="A164" s="42" t="s">
        <v>3</v>
      </c>
      <c r="B164" s="1" t="s">
        <v>3645</v>
      </c>
      <c r="C164" s="43">
        <v>561054</v>
      </c>
      <c r="D164" s="1" t="s">
        <v>80</v>
      </c>
      <c r="E164" s="45" t="s">
        <v>3655</v>
      </c>
      <c r="F164" s="42"/>
      <c r="G164" s="50"/>
      <c r="H164" s="42"/>
      <c r="I164" s="42"/>
    </row>
    <row r="165" spans="1:9" ht="15.75" customHeight="1">
      <c r="A165" s="42" t="s">
        <v>3</v>
      </c>
      <c r="B165" s="1" t="s">
        <v>3645</v>
      </c>
      <c r="C165" s="43">
        <v>3157422</v>
      </c>
      <c r="D165" s="1" t="s">
        <v>71</v>
      </c>
      <c r="E165" s="49" t="s">
        <v>3656</v>
      </c>
      <c r="F165" s="42"/>
      <c r="G165" s="50"/>
      <c r="H165" s="42"/>
      <c r="I165" s="42"/>
    </row>
    <row r="166" spans="1:9" ht="15.75" customHeight="1">
      <c r="A166" s="42" t="s">
        <v>3</v>
      </c>
      <c r="B166" s="1" t="s">
        <v>3645</v>
      </c>
      <c r="C166" s="43">
        <v>593912</v>
      </c>
      <c r="D166" s="1" t="s">
        <v>80</v>
      </c>
      <c r="E166" s="45" t="s">
        <v>3657</v>
      </c>
      <c r="F166" s="42"/>
      <c r="G166" s="50"/>
      <c r="H166" s="42"/>
      <c r="I166" s="42"/>
    </row>
    <row r="167" spans="1:9" ht="15.75" customHeight="1">
      <c r="A167" s="42" t="s">
        <v>3</v>
      </c>
      <c r="B167" s="1" t="s">
        <v>3645</v>
      </c>
      <c r="C167" s="43">
        <v>593046</v>
      </c>
      <c r="D167" s="1" t="s">
        <v>80</v>
      </c>
      <c r="E167" s="45" t="s">
        <v>3619</v>
      </c>
      <c r="F167" s="42"/>
      <c r="G167" s="50"/>
      <c r="H167" s="42"/>
      <c r="I167" s="42"/>
    </row>
    <row r="168" spans="1:9" ht="15.75" customHeight="1">
      <c r="A168" s="42" t="s">
        <v>3</v>
      </c>
      <c r="B168" s="1" t="s">
        <v>3645</v>
      </c>
      <c r="C168" s="43">
        <v>5020333</v>
      </c>
      <c r="D168" s="1" t="s">
        <v>80</v>
      </c>
      <c r="E168" s="45" t="s">
        <v>3620</v>
      </c>
      <c r="F168" s="42"/>
      <c r="G168" s="50"/>
      <c r="H168" s="42"/>
      <c r="I168" s="42"/>
    </row>
    <row r="169" spans="1:9" ht="15.75" customHeight="1">
      <c r="A169" s="42" t="s">
        <v>3</v>
      </c>
      <c r="B169" s="1" t="s">
        <v>3645</v>
      </c>
      <c r="C169" s="43">
        <v>2919519</v>
      </c>
      <c r="D169" s="1" t="s">
        <v>101</v>
      </c>
      <c r="E169" s="45" t="s">
        <v>3658</v>
      </c>
      <c r="F169" s="42"/>
      <c r="G169" s="50"/>
      <c r="H169" s="42"/>
      <c r="I169" s="42"/>
    </row>
    <row r="170" spans="1:9" ht="15.75" customHeight="1">
      <c r="A170" s="42" t="s">
        <v>3</v>
      </c>
      <c r="B170" s="1" t="s">
        <v>3645</v>
      </c>
      <c r="C170" s="43">
        <v>397362</v>
      </c>
      <c r="D170" s="1" t="s">
        <v>80</v>
      </c>
      <c r="E170" s="45" t="s">
        <v>3575</v>
      </c>
      <c r="F170" s="42"/>
      <c r="G170" s="50"/>
      <c r="H170" s="42"/>
      <c r="I170" s="42"/>
    </row>
    <row r="171" spans="1:9" ht="15.75" customHeight="1">
      <c r="A171" s="42" t="s">
        <v>3</v>
      </c>
      <c r="B171" s="1" t="s">
        <v>3645</v>
      </c>
      <c r="C171" s="43">
        <v>593919</v>
      </c>
      <c r="D171" s="1" t="s">
        <v>80</v>
      </c>
      <c r="E171" s="45" t="s">
        <v>3621</v>
      </c>
      <c r="F171" s="42"/>
      <c r="G171" s="50"/>
      <c r="H171" s="42"/>
      <c r="I171" s="42"/>
    </row>
    <row r="172" spans="1:9" ht="15.75" customHeight="1">
      <c r="A172" s="42" t="s">
        <v>3</v>
      </c>
      <c r="B172" s="1" t="s">
        <v>3645</v>
      </c>
      <c r="C172" s="43">
        <v>2833029</v>
      </c>
      <c r="D172" s="1" t="s">
        <v>71</v>
      </c>
      <c r="E172" s="49" t="s">
        <v>3659</v>
      </c>
      <c r="F172" s="42"/>
      <c r="G172" s="50"/>
      <c r="H172" s="42"/>
      <c r="I172" s="42"/>
    </row>
    <row r="173" spans="1:9" ht="15.75" customHeight="1">
      <c r="A173" s="42" t="s">
        <v>3</v>
      </c>
      <c r="B173" s="1" t="s">
        <v>3645</v>
      </c>
      <c r="C173" s="43">
        <v>2997106</v>
      </c>
      <c r="D173" s="1" t="s">
        <v>83</v>
      </c>
      <c r="E173" s="45" t="s">
        <v>3660</v>
      </c>
      <c r="F173" s="42"/>
      <c r="G173" s="50"/>
      <c r="H173" s="42"/>
      <c r="I173" s="42"/>
    </row>
    <row r="174" spans="1:9" ht="15.75" customHeight="1">
      <c r="A174" s="42" t="s">
        <v>3</v>
      </c>
      <c r="B174" s="1" t="s">
        <v>3645</v>
      </c>
      <c r="C174" s="43">
        <v>761013</v>
      </c>
      <c r="D174" s="1" t="s">
        <v>71</v>
      </c>
      <c r="E174" s="45" t="s">
        <v>3661</v>
      </c>
      <c r="F174" s="42"/>
      <c r="G174" s="50"/>
      <c r="H174" s="42"/>
      <c r="I174" s="42"/>
    </row>
    <row r="175" spans="1:9" ht="15.75" customHeight="1">
      <c r="A175" s="42" t="s">
        <v>3</v>
      </c>
      <c r="B175" s="1" t="s">
        <v>3645</v>
      </c>
      <c r="C175" s="43">
        <v>761001</v>
      </c>
      <c r="D175" s="1" t="s">
        <v>71</v>
      </c>
      <c r="E175" s="45" t="s">
        <v>3662</v>
      </c>
      <c r="F175" s="190"/>
      <c r="G175" s="59"/>
      <c r="H175" s="42"/>
      <c r="I175" s="42"/>
    </row>
    <row r="176" spans="1:9" ht="15.75" customHeight="1">
      <c r="A176" s="42" t="s">
        <v>3</v>
      </c>
      <c r="B176" s="1" t="s">
        <v>3645</v>
      </c>
      <c r="C176" s="43">
        <v>559570</v>
      </c>
      <c r="D176" s="1" t="s">
        <v>83</v>
      </c>
      <c r="E176" s="45" t="s">
        <v>3663</v>
      </c>
      <c r="F176" s="190"/>
      <c r="G176" s="59"/>
      <c r="H176" s="42"/>
      <c r="I176" s="42"/>
    </row>
    <row r="177" spans="1:9" ht="15.75" customHeight="1">
      <c r="A177" s="42" t="s">
        <v>3</v>
      </c>
      <c r="B177" s="1" t="s">
        <v>3645</v>
      </c>
      <c r="C177" s="43">
        <v>593050</v>
      </c>
      <c r="D177" s="1" t="s">
        <v>80</v>
      </c>
      <c r="E177" s="45" t="s">
        <v>3664</v>
      </c>
      <c r="F177" s="190"/>
      <c r="G177" s="59"/>
      <c r="H177" s="42"/>
      <c r="I177" s="42"/>
    </row>
    <row r="178" spans="1:9" ht="15.75" customHeight="1">
      <c r="A178" s="42" t="s">
        <v>3</v>
      </c>
      <c r="B178" s="1" t="s">
        <v>3645</v>
      </c>
      <c r="C178" s="43">
        <v>2840000</v>
      </c>
      <c r="D178" s="1" t="s">
        <v>83</v>
      </c>
      <c r="E178" s="45" t="s">
        <v>3665</v>
      </c>
      <c r="F178" s="190"/>
      <c r="G178" s="59"/>
      <c r="H178" s="42"/>
      <c r="I178" s="42"/>
    </row>
    <row r="179" spans="1:9" ht="15.75" customHeight="1">
      <c r="A179" s="42" t="s">
        <v>3</v>
      </c>
      <c r="B179" s="1" t="s">
        <v>3645</v>
      </c>
      <c r="C179" s="43">
        <v>2383965</v>
      </c>
      <c r="D179" s="1" t="s">
        <v>101</v>
      </c>
      <c r="E179" s="49" t="s">
        <v>3666</v>
      </c>
      <c r="F179" s="190"/>
      <c r="G179" s="59"/>
      <c r="H179" s="188"/>
      <c r="I179" s="188"/>
    </row>
    <row r="180" spans="1:9" ht="15.75" customHeight="1">
      <c r="A180" s="42" t="s">
        <v>3</v>
      </c>
      <c r="B180" s="1" t="s">
        <v>3645</v>
      </c>
      <c r="C180" s="43">
        <v>593045</v>
      </c>
      <c r="D180" s="1" t="s">
        <v>80</v>
      </c>
      <c r="E180" s="45" t="s">
        <v>3627</v>
      </c>
      <c r="F180" s="190"/>
      <c r="G180" s="59"/>
      <c r="H180" s="188"/>
      <c r="I180" s="188"/>
    </row>
    <row r="181" spans="1:9" ht="15.75" customHeight="1">
      <c r="A181" s="42" t="s">
        <v>3</v>
      </c>
      <c r="B181" s="1" t="s">
        <v>3645</v>
      </c>
      <c r="C181" s="43">
        <v>423478</v>
      </c>
      <c r="D181" s="1" t="s">
        <v>71</v>
      </c>
      <c r="E181" s="45" t="s">
        <v>3582</v>
      </c>
      <c r="F181" s="190"/>
      <c r="G181" s="59"/>
      <c r="H181" s="188"/>
      <c r="I181" s="188"/>
    </row>
    <row r="182" spans="1:9" ht="15.75" customHeight="1">
      <c r="A182" s="42" t="s">
        <v>3</v>
      </c>
      <c r="B182" s="1" t="s">
        <v>3645</v>
      </c>
      <c r="C182" s="43">
        <v>2841287</v>
      </c>
      <c r="D182" s="1" t="s">
        <v>83</v>
      </c>
      <c r="E182" s="45" t="s">
        <v>3667</v>
      </c>
      <c r="F182" s="190"/>
      <c r="G182" s="59"/>
      <c r="H182" s="188"/>
      <c r="I182" s="188"/>
    </row>
    <row r="183" spans="1:9" ht="15.75" customHeight="1">
      <c r="A183" s="42" t="s">
        <v>3</v>
      </c>
      <c r="B183" s="1" t="s">
        <v>3645</v>
      </c>
      <c r="C183" s="43">
        <v>560479</v>
      </c>
      <c r="D183" s="1" t="s">
        <v>83</v>
      </c>
      <c r="E183" s="45" t="s">
        <v>3668</v>
      </c>
      <c r="F183" s="190"/>
      <c r="G183" s="59"/>
      <c r="H183" s="188"/>
      <c r="I183" s="188"/>
    </row>
    <row r="184" spans="1:9" ht="15.75" customHeight="1">
      <c r="A184" s="42" t="s">
        <v>3</v>
      </c>
      <c r="B184" s="1" t="s">
        <v>3645</v>
      </c>
      <c r="C184" s="43">
        <v>2864305</v>
      </c>
      <c r="D184" s="1" t="s">
        <v>83</v>
      </c>
      <c r="E184" s="49" t="s">
        <v>3669</v>
      </c>
      <c r="F184" s="190"/>
      <c r="G184" s="59"/>
      <c r="H184" s="188"/>
      <c r="I184" s="188"/>
    </row>
    <row r="185" spans="1:9" ht="15.75" customHeight="1">
      <c r="A185" s="42" t="s">
        <v>3</v>
      </c>
      <c r="B185" s="1" t="s">
        <v>3645</v>
      </c>
      <c r="C185" s="43">
        <v>2928474</v>
      </c>
      <c r="D185" s="1" t="s">
        <v>83</v>
      </c>
      <c r="E185" s="45" t="s">
        <v>3583</v>
      </c>
      <c r="F185" s="190"/>
      <c r="G185" s="59"/>
      <c r="H185" s="188"/>
      <c r="I185" s="188"/>
    </row>
    <row r="186" spans="1:9" ht="15.75" customHeight="1">
      <c r="A186" s="42" t="s">
        <v>3</v>
      </c>
      <c r="B186" s="1" t="s">
        <v>3645</v>
      </c>
      <c r="C186" s="43">
        <v>5025607</v>
      </c>
      <c r="D186" s="1" t="s">
        <v>80</v>
      </c>
      <c r="E186" s="45" t="s">
        <v>3532</v>
      </c>
      <c r="F186" s="190"/>
      <c r="G186" s="59"/>
      <c r="H186" s="188"/>
      <c r="I186" s="188"/>
    </row>
    <row r="187" spans="1:9" ht="15.75" customHeight="1">
      <c r="A187" s="42" t="s">
        <v>3</v>
      </c>
      <c r="B187" s="1" t="s">
        <v>3645</v>
      </c>
      <c r="C187" s="43">
        <v>2839064</v>
      </c>
      <c r="D187" s="1" t="s">
        <v>71</v>
      </c>
      <c r="E187" s="49" t="s">
        <v>3670</v>
      </c>
      <c r="F187" s="190"/>
      <c r="G187" s="59"/>
      <c r="H187" s="188"/>
      <c r="I187" s="188"/>
    </row>
    <row r="188" spans="1:9" ht="15.75" customHeight="1">
      <c r="A188" s="42" t="s">
        <v>3</v>
      </c>
      <c r="B188" s="1" t="s">
        <v>3645</v>
      </c>
      <c r="C188" s="43">
        <v>654662</v>
      </c>
      <c r="D188" s="1" t="s">
        <v>80</v>
      </c>
      <c r="E188" s="45" t="s">
        <v>3671</v>
      </c>
      <c r="F188" s="190"/>
      <c r="G188" s="59"/>
      <c r="H188" s="188"/>
      <c r="I188" s="188"/>
    </row>
    <row r="189" spans="1:9" ht="15.75" customHeight="1">
      <c r="A189" s="42" t="s">
        <v>3</v>
      </c>
      <c r="B189" s="1" t="s">
        <v>3645</v>
      </c>
      <c r="C189" s="43">
        <v>2802356</v>
      </c>
      <c r="D189" s="1" t="s">
        <v>71</v>
      </c>
      <c r="E189" s="45" t="s">
        <v>3672</v>
      </c>
      <c r="F189" s="190"/>
      <c r="G189" s="59"/>
      <c r="H189" s="188"/>
      <c r="I189" s="188"/>
    </row>
    <row r="190" spans="1:9" ht="15.75" customHeight="1">
      <c r="A190" s="42" t="s">
        <v>3</v>
      </c>
      <c r="B190" s="1" t="s">
        <v>3645</v>
      </c>
      <c r="C190" s="43">
        <v>559538</v>
      </c>
      <c r="D190" s="1" t="s">
        <v>83</v>
      </c>
      <c r="E190" s="45" t="s">
        <v>3673</v>
      </c>
      <c r="F190" s="190"/>
      <c r="G190" s="59"/>
      <c r="H190" s="188"/>
      <c r="I190" s="188"/>
    </row>
    <row r="191" spans="1:9" ht="15.75" customHeight="1">
      <c r="A191" s="42" t="s">
        <v>3</v>
      </c>
      <c r="B191" s="1" t="s">
        <v>3645</v>
      </c>
      <c r="C191" s="43">
        <v>761012</v>
      </c>
      <c r="D191" s="1" t="s">
        <v>71</v>
      </c>
      <c r="E191" s="45" t="s">
        <v>3633</v>
      </c>
      <c r="F191" s="190"/>
      <c r="G191" s="59"/>
      <c r="H191" s="188"/>
      <c r="I191" s="188"/>
    </row>
    <row r="192" spans="1:9" ht="15.75" customHeight="1">
      <c r="A192" s="42" t="s">
        <v>3</v>
      </c>
      <c r="B192" s="1" t="s">
        <v>3645</v>
      </c>
      <c r="C192" s="43">
        <v>782157</v>
      </c>
      <c r="D192" s="1" t="s">
        <v>83</v>
      </c>
      <c r="E192" s="45" t="s">
        <v>3674</v>
      </c>
      <c r="F192" s="190"/>
      <c r="G192" s="59"/>
      <c r="H192" s="188"/>
      <c r="I192" s="188"/>
    </row>
    <row r="193" spans="1:9" ht="15.75" customHeight="1">
      <c r="A193" s="42" t="s">
        <v>3</v>
      </c>
      <c r="B193" s="1" t="s">
        <v>3645</v>
      </c>
      <c r="C193" s="43">
        <v>5025663</v>
      </c>
      <c r="D193" s="1" t="s">
        <v>71</v>
      </c>
      <c r="E193" s="45" t="s">
        <v>3675</v>
      </c>
      <c r="F193" s="190"/>
      <c r="G193" s="59"/>
      <c r="H193" s="188"/>
      <c r="I193" s="188"/>
    </row>
    <row r="194" spans="1:9" ht="15.75" customHeight="1">
      <c r="A194" s="42" t="s">
        <v>3</v>
      </c>
      <c r="B194" s="1" t="s">
        <v>3645</v>
      </c>
      <c r="C194" s="43">
        <v>782156</v>
      </c>
      <c r="D194" s="1" t="s">
        <v>101</v>
      </c>
      <c r="E194" s="45" t="s">
        <v>3676</v>
      </c>
      <c r="F194" s="190"/>
      <c r="G194" s="59"/>
      <c r="H194" s="188"/>
      <c r="I194" s="188"/>
    </row>
    <row r="195" spans="1:9" ht="15.75" customHeight="1">
      <c r="A195" s="42" t="s">
        <v>3</v>
      </c>
      <c r="B195" s="1" t="s">
        <v>3645</v>
      </c>
      <c r="C195" s="43">
        <v>195408</v>
      </c>
      <c r="D195" s="1" t="s">
        <v>80</v>
      </c>
      <c r="E195" s="45" t="s">
        <v>3677</v>
      </c>
      <c r="F195" s="190"/>
      <c r="G195" s="59"/>
      <c r="H195" s="188"/>
      <c r="I195" s="188"/>
    </row>
    <row r="196" spans="1:9" ht="15.75" customHeight="1">
      <c r="A196" s="42" t="s">
        <v>3</v>
      </c>
      <c r="B196" s="1" t="s">
        <v>3645</v>
      </c>
      <c r="C196" s="43">
        <v>2449260</v>
      </c>
      <c r="D196" s="1" t="s">
        <v>80</v>
      </c>
      <c r="E196" s="49" t="s">
        <v>3642</v>
      </c>
      <c r="F196" s="190"/>
      <c r="G196" s="59"/>
      <c r="H196" s="188"/>
      <c r="I196" s="188"/>
    </row>
    <row r="197" spans="1:9" ht="15.75" customHeight="1">
      <c r="A197" s="42" t="s">
        <v>3</v>
      </c>
      <c r="B197" s="1" t="s">
        <v>3645</v>
      </c>
      <c r="C197" s="43">
        <v>641774</v>
      </c>
      <c r="D197" s="1" t="s">
        <v>71</v>
      </c>
      <c r="E197" s="45" t="s">
        <v>3548</v>
      </c>
      <c r="F197" s="190"/>
      <c r="G197" s="59"/>
      <c r="H197" s="188"/>
      <c r="I197" s="188"/>
    </row>
    <row r="198" spans="1:9" ht="15.75" customHeight="1">
      <c r="A198" s="42" t="s">
        <v>3</v>
      </c>
      <c r="B198" s="1" t="s">
        <v>3645</v>
      </c>
      <c r="C198" s="43">
        <v>3206018</v>
      </c>
      <c r="D198" s="1" t="s">
        <v>80</v>
      </c>
      <c r="E198" s="49" t="s">
        <v>3678</v>
      </c>
      <c r="F198" s="190"/>
      <c r="G198" s="59"/>
      <c r="H198" s="188"/>
      <c r="I198" s="188"/>
    </row>
    <row r="199" spans="1:9" ht="15.75" customHeight="1">
      <c r="A199" s="188" t="s">
        <v>4</v>
      </c>
      <c r="B199" s="189" t="s">
        <v>3679</v>
      </c>
      <c r="C199" s="190" t="s">
        <v>68</v>
      </c>
      <c r="D199" s="190" t="s">
        <v>62</v>
      </c>
      <c r="E199" s="56" t="s">
        <v>69</v>
      </c>
      <c r="F199" s="190"/>
      <c r="G199" s="48" t="s">
        <v>70</v>
      </c>
      <c r="H199" s="188"/>
      <c r="I199" s="188"/>
    </row>
    <row r="200" spans="1:9" ht="15.75" customHeight="1">
      <c r="A200" s="42" t="s">
        <v>4</v>
      </c>
      <c r="B200" s="1" t="s">
        <v>3679</v>
      </c>
      <c r="C200" s="43">
        <v>2931542</v>
      </c>
      <c r="D200" s="1" t="s">
        <v>80</v>
      </c>
      <c r="E200" s="45" t="s">
        <v>3680</v>
      </c>
      <c r="F200" s="42"/>
      <c r="G200" s="48" t="s">
        <v>3681</v>
      </c>
      <c r="H200" s="42"/>
      <c r="I200" s="42"/>
    </row>
    <row r="201" spans="1:9" ht="15.75" customHeight="1">
      <c r="A201" s="42" t="s">
        <v>4</v>
      </c>
      <c r="B201" s="1" t="s">
        <v>3679</v>
      </c>
      <c r="C201" s="43">
        <v>2837223</v>
      </c>
      <c r="D201" s="1" t="s">
        <v>80</v>
      </c>
      <c r="E201" s="157" t="s">
        <v>3682</v>
      </c>
      <c r="F201" s="42"/>
      <c r="G201" s="48" t="s">
        <v>3683</v>
      </c>
      <c r="H201" s="42"/>
      <c r="I201" s="42"/>
    </row>
    <row r="202" spans="1:9" ht="15.75" customHeight="1">
      <c r="A202" s="42" t="s">
        <v>4</v>
      </c>
      <c r="B202" s="1" t="s">
        <v>3679</v>
      </c>
      <c r="C202" s="43">
        <v>533419</v>
      </c>
      <c r="D202" s="1" t="s">
        <v>80</v>
      </c>
      <c r="E202" s="45" t="s">
        <v>3684</v>
      </c>
      <c r="F202" s="42"/>
      <c r="G202" s="48" t="s">
        <v>3685</v>
      </c>
      <c r="H202" s="42"/>
      <c r="I202" s="42"/>
    </row>
    <row r="203" spans="1:9" ht="15.75" customHeight="1">
      <c r="A203" s="42" t="s">
        <v>4</v>
      </c>
      <c r="B203" s="1" t="s">
        <v>3679</v>
      </c>
      <c r="C203" s="43">
        <v>195515</v>
      </c>
      <c r="D203" s="1" t="s">
        <v>80</v>
      </c>
      <c r="E203" s="45" t="s">
        <v>3516</v>
      </c>
      <c r="F203" s="42"/>
      <c r="G203" s="48" t="s">
        <v>3686</v>
      </c>
      <c r="H203" s="42"/>
      <c r="I203" s="42"/>
    </row>
    <row r="204" spans="1:9" ht="15.75" customHeight="1">
      <c r="A204" s="42" t="s">
        <v>4</v>
      </c>
      <c r="B204" s="1" t="s">
        <v>3679</v>
      </c>
      <c r="C204" s="43">
        <v>2925267</v>
      </c>
      <c r="D204" s="1" t="s">
        <v>80</v>
      </c>
      <c r="E204" s="45" t="s">
        <v>3647</v>
      </c>
      <c r="F204" s="42"/>
      <c r="G204" s="131"/>
      <c r="H204" s="42"/>
      <c r="I204" s="42"/>
    </row>
    <row r="205" spans="1:9" ht="15.75" customHeight="1">
      <c r="A205" s="42" t="s">
        <v>4</v>
      </c>
      <c r="B205" s="1" t="s">
        <v>3679</v>
      </c>
      <c r="C205" s="43">
        <v>3104044</v>
      </c>
      <c r="D205" s="1" t="s">
        <v>71</v>
      </c>
      <c r="E205" s="45" t="s">
        <v>3687</v>
      </c>
      <c r="F205" s="42"/>
      <c r="G205" s="131"/>
      <c r="H205" s="42"/>
      <c r="I205" s="42"/>
    </row>
    <row r="206" spans="1:9" ht="15.75" customHeight="1">
      <c r="A206" s="42" t="s">
        <v>4</v>
      </c>
      <c r="B206" s="1" t="s">
        <v>3679</v>
      </c>
      <c r="C206" s="43">
        <v>3103517</v>
      </c>
      <c r="D206" s="1" t="s">
        <v>71</v>
      </c>
      <c r="E206" s="45" t="s">
        <v>3688</v>
      </c>
      <c r="F206" s="42"/>
      <c r="G206" s="50"/>
      <c r="H206" s="42"/>
      <c r="I206" s="42"/>
    </row>
    <row r="207" spans="1:9" ht="15.75" customHeight="1">
      <c r="A207" s="42" t="s">
        <v>4</v>
      </c>
      <c r="B207" s="1" t="s">
        <v>3679</v>
      </c>
      <c r="C207" s="43">
        <v>759350</v>
      </c>
      <c r="D207" s="1" t="s">
        <v>80</v>
      </c>
      <c r="E207" s="45" t="s">
        <v>3689</v>
      </c>
      <c r="F207" s="42"/>
      <c r="G207" s="50"/>
      <c r="H207" s="42"/>
      <c r="I207" s="42"/>
    </row>
    <row r="208" spans="1:9" ht="15.75" customHeight="1">
      <c r="A208" s="42" t="s">
        <v>4</v>
      </c>
      <c r="B208" s="1" t="s">
        <v>3679</v>
      </c>
      <c r="C208" s="43">
        <v>2919496</v>
      </c>
      <c r="D208" s="1" t="s">
        <v>101</v>
      </c>
      <c r="E208" s="45" t="s">
        <v>3690</v>
      </c>
      <c r="F208" s="42"/>
      <c r="G208" s="50"/>
      <c r="H208" s="42"/>
      <c r="I208" s="42"/>
    </row>
    <row r="209" spans="1:9" ht="15.75" customHeight="1">
      <c r="A209" s="42" t="s">
        <v>4</v>
      </c>
      <c r="B209" s="1" t="s">
        <v>3679</v>
      </c>
      <c r="C209" s="43">
        <v>800554</v>
      </c>
      <c r="D209" s="1" t="s">
        <v>83</v>
      </c>
      <c r="E209" s="45" t="s">
        <v>3691</v>
      </c>
      <c r="F209" s="42"/>
      <c r="G209" s="50"/>
      <c r="H209" s="42"/>
      <c r="I209" s="42"/>
    </row>
    <row r="210" spans="1:9" ht="15.75" customHeight="1">
      <c r="A210" s="42" t="s">
        <v>4</v>
      </c>
      <c r="B210" s="1" t="s">
        <v>3679</v>
      </c>
      <c r="C210" s="43">
        <v>2837222</v>
      </c>
      <c r="D210" s="1" t="s">
        <v>80</v>
      </c>
      <c r="E210" s="45" t="s">
        <v>3649</v>
      </c>
      <c r="F210" s="42"/>
      <c r="G210" s="50"/>
      <c r="H210" s="42"/>
      <c r="I210" s="42"/>
    </row>
    <row r="211" spans="1:9" ht="15.75" customHeight="1">
      <c r="A211" s="42" t="s">
        <v>4</v>
      </c>
      <c r="B211" s="1" t="s">
        <v>3679</v>
      </c>
      <c r="C211" s="43">
        <v>3205094</v>
      </c>
      <c r="D211" s="1" t="s">
        <v>80</v>
      </c>
      <c r="E211" s="49" t="s">
        <v>3692</v>
      </c>
      <c r="F211" s="42"/>
      <c r="G211" s="50"/>
      <c r="H211" s="42"/>
      <c r="I211" s="42"/>
    </row>
    <row r="212" spans="1:9" ht="15.75" customHeight="1">
      <c r="A212" s="42" t="s">
        <v>4</v>
      </c>
      <c r="B212" s="1" t="s">
        <v>3679</v>
      </c>
      <c r="C212" s="43">
        <v>2808707</v>
      </c>
      <c r="D212" s="1" t="s">
        <v>101</v>
      </c>
      <c r="E212" s="45" t="s">
        <v>3693</v>
      </c>
      <c r="F212" s="42"/>
      <c r="G212" s="50"/>
      <c r="H212" s="42"/>
      <c r="I212" s="42"/>
    </row>
    <row r="213" spans="1:9" ht="15.75" customHeight="1">
      <c r="A213" s="42" t="s">
        <v>4</v>
      </c>
      <c r="B213" s="1" t="s">
        <v>3679</v>
      </c>
      <c r="C213" s="43">
        <v>461917</v>
      </c>
      <c r="D213" s="1" t="s">
        <v>80</v>
      </c>
      <c r="E213" s="45" t="s">
        <v>3694</v>
      </c>
      <c r="F213" s="42"/>
      <c r="G213" s="50"/>
      <c r="H213" s="42"/>
      <c r="I213" s="42"/>
    </row>
    <row r="214" spans="1:9" ht="15.75" customHeight="1">
      <c r="A214" s="42" t="s">
        <v>4</v>
      </c>
      <c r="B214" s="1" t="s">
        <v>3679</v>
      </c>
      <c r="C214" s="43">
        <v>2815032</v>
      </c>
      <c r="D214" s="1" t="s">
        <v>80</v>
      </c>
      <c r="E214" s="45" t="s">
        <v>3567</v>
      </c>
      <c r="F214" s="42"/>
      <c r="G214" s="50"/>
      <c r="H214" s="42"/>
      <c r="I214" s="42"/>
    </row>
    <row r="215" spans="1:9" ht="15.75" customHeight="1">
      <c r="A215" s="42" t="s">
        <v>4</v>
      </c>
      <c r="B215" s="1" t="s">
        <v>3679</v>
      </c>
      <c r="C215" s="43">
        <v>2837220</v>
      </c>
      <c r="D215" s="1" t="s">
        <v>83</v>
      </c>
      <c r="E215" s="45" t="s">
        <v>3695</v>
      </c>
      <c r="F215" s="42"/>
      <c r="G215" s="50"/>
      <c r="H215" s="42"/>
      <c r="I215" s="42"/>
    </row>
    <row r="216" spans="1:9" ht="15.75" customHeight="1">
      <c r="A216" s="42" t="s">
        <v>4</v>
      </c>
      <c r="B216" s="1" t="s">
        <v>3679</v>
      </c>
      <c r="C216" s="43">
        <v>518927</v>
      </c>
      <c r="D216" s="1" t="s">
        <v>80</v>
      </c>
      <c r="E216" s="45" t="s">
        <v>3653</v>
      </c>
      <c r="F216" s="42"/>
      <c r="G216" s="50"/>
      <c r="H216" s="42"/>
      <c r="I216" s="42"/>
    </row>
    <row r="217" spans="1:9" ht="15.75" customHeight="1">
      <c r="A217" s="42" t="s">
        <v>4</v>
      </c>
      <c r="B217" s="1" t="s">
        <v>3679</v>
      </c>
      <c r="C217" s="43">
        <v>2922309</v>
      </c>
      <c r="D217" s="1" t="s">
        <v>80</v>
      </c>
      <c r="E217" s="45" t="s">
        <v>3696</v>
      </c>
      <c r="F217" s="42"/>
      <c r="G217" s="50"/>
      <c r="H217" s="42"/>
      <c r="I217" s="42"/>
    </row>
    <row r="218" spans="1:9" ht="15.75" customHeight="1">
      <c r="A218" s="42" t="s">
        <v>4</v>
      </c>
      <c r="B218" s="1" t="s">
        <v>3679</v>
      </c>
      <c r="C218" s="43">
        <v>195336</v>
      </c>
      <c r="D218" s="1" t="s">
        <v>80</v>
      </c>
      <c r="E218" s="45" t="s">
        <v>3697</v>
      </c>
      <c r="F218" s="42"/>
      <c r="G218" s="50"/>
      <c r="H218" s="42"/>
      <c r="I218" s="42"/>
    </row>
    <row r="219" spans="1:9" ht="15.75" customHeight="1">
      <c r="A219" s="42" t="s">
        <v>4</v>
      </c>
      <c r="B219" s="1" t="s">
        <v>3679</v>
      </c>
      <c r="C219" s="43">
        <v>2895135</v>
      </c>
      <c r="D219" s="1" t="s">
        <v>80</v>
      </c>
      <c r="E219" s="45" t="s">
        <v>3698</v>
      </c>
      <c r="F219" s="42"/>
      <c r="G219" s="50"/>
      <c r="H219" s="42"/>
      <c r="I219" s="42"/>
    </row>
    <row r="220" spans="1:9" ht="15.75" customHeight="1">
      <c r="A220" s="42" t="s">
        <v>4</v>
      </c>
      <c r="B220" s="1" t="s">
        <v>3679</v>
      </c>
      <c r="C220" s="43">
        <v>5033510</v>
      </c>
      <c r="D220" s="1" t="s">
        <v>80</v>
      </c>
      <c r="E220" s="45" t="s">
        <v>3654</v>
      </c>
      <c r="F220" s="42"/>
      <c r="G220" s="50"/>
      <c r="H220" s="42"/>
      <c r="I220" s="42"/>
    </row>
    <row r="221" spans="1:9" ht="15.75" customHeight="1">
      <c r="A221" s="42" t="s">
        <v>4</v>
      </c>
      <c r="B221" s="1" t="s">
        <v>3679</v>
      </c>
      <c r="C221" s="43">
        <v>3157120</v>
      </c>
      <c r="D221" s="1" t="s">
        <v>80</v>
      </c>
      <c r="E221" s="49" t="s">
        <v>3699</v>
      </c>
      <c r="F221" s="42"/>
      <c r="G221" s="50"/>
      <c r="H221" s="42"/>
      <c r="I221" s="42"/>
    </row>
    <row r="222" spans="1:9" ht="15.75" customHeight="1">
      <c r="A222" s="42" t="s">
        <v>4</v>
      </c>
      <c r="B222" s="1" t="s">
        <v>3679</v>
      </c>
      <c r="C222" s="43">
        <v>412450</v>
      </c>
      <c r="D222" s="1" t="s">
        <v>80</v>
      </c>
      <c r="E222" s="45" t="s">
        <v>3700</v>
      </c>
      <c r="F222" s="42"/>
      <c r="G222" s="50"/>
      <c r="H222" s="42"/>
      <c r="I222" s="42"/>
    </row>
    <row r="223" spans="1:9" ht="15.75" customHeight="1">
      <c r="A223" s="42" t="s">
        <v>4</v>
      </c>
      <c r="B223" s="1" t="s">
        <v>3679</v>
      </c>
      <c r="C223" s="43">
        <v>645723</v>
      </c>
      <c r="D223" s="1" t="s">
        <v>80</v>
      </c>
      <c r="E223" s="45" t="s">
        <v>3701</v>
      </c>
      <c r="F223" s="42"/>
      <c r="G223" s="50"/>
      <c r="H223" s="42"/>
      <c r="I223" s="42"/>
    </row>
    <row r="224" spans="1:9" ht="15.75" customHeight="1">
      <c r="A224" s="42" t="s">
        <v>4</v>
      </c>
      <c r="B224" s="1" t="s">
        <v>3679</v>
      </c>
      <c r="C224" s="43">
        <v>793651</v>
      </c>
      <c r="D224" s="1" t="s">
        <v>80</v>
      </c>
      <c r="E224" s="45" t="s">
        <v>3702</v>
      </c>
      <c r="F224" s="42"/>
      <c r="G224" s="50"/>
      <c r="H224" s="42"/>
      <c r="I224" s="42"/>
    </row>
    <row r="225" spans="1:9" ht="15.75" customHeight="1">
      <c r="A225" s="42" t="s">
        <v>4</v>
      </c>
      <c r="B225" s="1" t="s">
        <v>3679</v>
      </c>
      <c r="C225" s="43">
        <v>593046</v>
      </c>
      <c r="D225" s="1" t="s">
        <v>80</v>
      </c>
      <c r="E225" s="45" t="s">
        <v>3619</v>
      </c>
      <c r="F225" s="42"/>
      <c r="G225" s="50"/>
      <c r="H225" s="42"/>
      <c r="I225" s="42"/>
    </row>
    <row r="226" spans="1:9" ht="15.75" customHeight="1">
      <c r="A226" s="42" t="s">
        <v>4</v>
      </c>
      <c r="B226" s="1" t="s">
        <v>3679</v>
      </c>
      <c r="C226" s="43">
        <v>5020333</v>
      </c>
      <c r="D226" s="1" t="s">
        <v>80</v>
      </c>
      <c r="E226" s="45" t="s">
        <v>3620</v>
      </c>
      <c r="F226" s="42"/>
      <c r="G226" s="50"/>
      <c r="H226" s="42"/>
      <c r="I226" s="42"/>
    </row>
    <row r="227" spans="1:9" ht="15.75" customHeight="1">
      <c r="A227" s="42" t="s">
        <v>4</v>
      </c>
      <c r="B227" s="1" t="s">
        <v>3679</v>
      </c>
      <c r="C227" s="43">
        <v>2974198</v>
      </c>
      <c r="D227" s="1" t="s">
        <v>80</v>
      </c>
      <c r="E227" s="45" t="s">
        <v>3703</v>
      </c>
      <c r="F227" s="42"/>
      <c r="G227" s="50"/>
      <c r="H227" s="42"/>
      <c r="I227" s="42"/>
    </row>
    <row r="228" spans="1:9" ht="15.75" customHeight="1">
      <c r="A228" s="42" t="s">
        <v>4</v>
      </c>
      <c r="B228" s="1" t="s">
        <v>3679</v>
      </c>
      <c r="C228" s="43">
        <v>2884223</v>
      </c>
      <c r="D228" s="1" t="s">
        <v>80</v>
      </c>
      <c r="E228" s="45" t="s">
        <v>3704</v>
      </c>
      <c r="F228" s="42"/>
      <c r="G228" s="50"/>
      <c r="H228" s="42"/>
      <c r="I228" s="42"/>
    </row>
    <row r="229" spans="1:9" ht="15.75" customHeight="1">
      <c r="A229" s="42" t="s">
        <v>4</v>
      </c>
      <c r="B229" s="1" t="s">
        <v>3679</v>
      </c>
      <c r="C229" s="43">
        <v>2210961</v>
      </c>
      <c r="D229" s="1" t="s">
        <v>80</v>
      </c>
      <c r="E229" s="45" t="s">
        <v>3705</v>
      </c>
      <c r="F229" s="42"/>
      <c r="G229" s="50"/>
      <c r="H229" s="42"/>
      <c r="I229" s="42"/>
    </row>
    <row r="230" spans="1:9" ht="15.75" customHeight="1">
      <c r="A230" s="42" t="s">
        <v>4</v>
      </c>
      <c r="B230" s="1" t="s">
        <v>3679</v>
      </c>
      <c r="C230" s="43">
        <v>2940444</v>
      </c>
      <c r="D230" s="1" t="s">
        <v>83</v>
      </c>
      <c r="E230" s="45" t="s">
        <v>3706</v>
      </c>
      <c r="F230" s="42"/>
      <c r="G230" s="50"/>
      <c r="H230" s="42"/>
      <c r="I230" s="42"/>
    </row>
    <row r="231" spans="1:9" ht="15.75" customHeight="1">
      <c r="A231" s="42" t="s">
        <v>4</v>
      </c>
      <c r="B231" s="1" t="s">
        <v>3679</v>
      </c>
      <c r="C231" s="43">
        <v>397362</v>
      </c>
      <c r="D231" s="1" t="s">
        <v>80</v>
      </c>
      <c r="E231" s="45" t="s">
        <v>3575</v>
      </c>
      <c r="F231" s="42"/>
      <c r="G231" s="50"/>
      <c r="H231" s="42"/>
      <c r="I231" s="42"/>
    </row>
    <row r="232" spans="1:9" ht="15.75" customHeight="1">
      <c r="A232" s="42" t="s">
        <v>4</v>
      </c>
      <c r="B232" s="1" t="s">
        <v>3679</v>
      </c>
      <c r="C232" s="43">
        <v>3130124</v>
      </c>
      <c r="D232" s="1" t="s">
        <v>80</v>
      </c>
      <c r="E232" s="45" t="s">
        <v>3707</v>
      </c>
      <c r="F232" s="190"/>
      <c r="G232" s="59"/>
      <c r="H232" s="188"/>
      <c r="I232" s="188"/>
    </row>
    <row r="233" spans="1:9" ht="15.75" customHeight="1">
      <c r="A233" s="42" t="s">
        <v>4</v>
      </c>
      <c r="B233" s="1" t="s">
        <v>3679</v>
      </c>
      <c r="C233" s="43">
        <v>2215003</v>
      </c>
      <c r="D233" s="1" t="s">
        <v>71</v>
      </c>
      <c r="E233" s="45" t="s">
        <v>3576</v>
      </c>
      <c r="F233" s="190"/>
      <c r="G233" s="59"/>
      <c r="H233" s="188"/>
      <c r="I233" s="188"/>
    </row>
    <row r="234" spans="1:9" ht="15.75" customHeight="1">
      <c r="A234" s="42" t="s">
        <v>4</v>
      </c>
      <c r="B234" s="1" t="s">
        <v>3679</v>
      </c>
      <c r="C234" s="43">
        <v>2435035</v>
      </c>
      <c r="D234" s="1" t="s">
        <v>80</v>
      </c>
      <c r="E234" s="49" t="s">
        <v>3708</v>
      </c>
      <c r="F234" s="190"/>
      <c r="G234" s="59"/>
      <c r="H234" s="188"/>
      <c r="I234" s="188"/>
    </row>
    <row r="235" spans="1:9" ht="15.75" customHeight="1">
      <c r="A235" s="42" t="s">
        <v>4</v>
      </c>
      <c r="B235" s="1" t="s">
        <v>3679</v>
      </c>
      <c r="C235" s="43">
        <v>561235</v>
      </c>
      <c r="D235" s="1" t="s">
        <v>80</v>
      </c>
      <c r="E235" s="45" t="s">
        <v>3709</v>
      </c>
      <c r="F235" s="190"/>
      <c r="G235" s="59"/>
      <c r="H235" s="188"/>
      <c r="I235" s="188"/>
    </row>
    <row r="236" spans="1:9" ht="15.75" customHeight="1">
      <c r="A236" s="42" t="s">
        <v>4</v>
      </c>
      <c r="B236" s="1" t="s">
        <v>3679</v>
      </c>
      <c r="C236" s="43">
        <v>593051</v>
      </c>
      <c r="D236" s="1" t="s">
        <v>71</v>
      </c>
      <c r="E236" s="45" t="s">
        <v>3710</v>
      </c>
      <c r="F236" s="190"/>
      <c r="G236" s="59"/>
      <c r="H236" s="188"/>
      <c r="I236" s="188"/>
    </row>
    <row r="237" spans="1:9" ht="15.75" customHeight="1">
      <c r="A237" s="42" t="s">
        <v>4</v>
      </c>
      <c r="B237" s="1" t="s">
        <v>3679</v>
      </c>
      <c r="C237" s="43">
        <v>2823401</v>
      </c>
      <c r="D237" s="1" t="s">
        <v>80</v>
      </c>
      <c r="E237" s="45" t="s">
        <v>3622</v>
      </c>
      <c r="F237" s="190"/>
      <c r="G237" s="59"/>
      <c r="H237" s="188"/>
      <c r="I237" s="188"/>
    </row>
    <row r="238" spans="1:9" ht="15.75" customHeight="1">
      <c r="A238" s="42" t="s">
        <v>4</v>
      </c>
      <c r="B238" s="1" t="s">
        <v>3679</v>
      </c>
      <c r="C238" s="43">
        <v>593043</v>
      </c>
      <c r="D238" s="1" t="s">
        <v>80</v>
      </c>
      <c r="E238" s="45" t="s">
        <v>3623</v>
      </c>
      <c r="F238" s="190"/>
      <c r="G238" s="59"/>
      <c r="H238" s="188"/>
      <c r="I238" s="188"/>
    </row>
    <row r="239" spans="1:9" ht="15.75" customHeight="1">
      <c r="A239" s="42" t="s">
        <v>4</v>
      </c>
      <c r="B239" s="1" t="s">
        <v>3679</v>
      </c>
      <c r="C239" s="43">
        <v>2921359</v>
      </c>
      <c r="D239" s="1" t="s">
        <v>83</v>
      </c>
      <c r="E239" s="45" t="s">
        <v>3711</v>
      </c>
      <c r="F239" s="190"/>
      <c r="G239" s="59"/>
      <c r="H239" s="188"/>
      <c r="I239" s="188"/>
    </row>
    <row r="240" spans="1:9" ht="15.75" customHeight="1">
      <c r="A240" s="42" t="s">
        <v>4</v>
      </c>
      <c r="B240" s="1" t="s">
        <v>3679</v>
      </c>
      <c r="C240" s="43">
        <v>559540</v>
      </c>
      <c r="D240" s="1" t="s">
        <v>90</v>
      </c>
      <c r="E240" s="45" t="s">
        <v>3712</v>
      </c>
      <c r="F240" s="190"/>
      <c r="G240" s="59"/>
      <c r="H240" s="188"/>
      <c r="I240" s="188"/>
    </row>
    <row r="241" spans="1:9" ht="15.75" customHeight="1">
      <c r="A241" s="42" t="s">
        <v>4</v>
      </c>
      <c r="B241" s="1" t="s">
        <v>3679</v>
      </c>
      <c r="C241" s="43">
        <v>734560</v>
      </c>
      <c r="D241" s="1" t="s">
        <v>83</v>
      </c>
      <c r="E241" s="45" t="s">
        <v>3713</v>
      </c>
      <c r="F241" s="190"/>
      <c r="G241" s="59"/>
      <c r="H241" s="188"/>
      <c r="I241" s="188"/>
    </row>
    <row r="242" spans="1:9" ht="15.75" customHeight="1">
      <c r="A242" s="42" t="s">
        <v>4</v>
      </c>
      <c r="B242" s="1" t="s">
        <v>3679</v>
      </c>
      <c r="C242" s="43">
        <v>2824227</v>
      </c>
      <c r="D242" s="1" t="s">
        <v>83</v>
      </c>
      <c r="E242" s="157" t="s">
        <v>3714</v>
      </c>
      <c r="F242" s="190"/>
      <c r="G242" s="59"/>
      <c r="H242" s="188"/>
      <c r="I242" s="188"/>
    </row>
    <row r="243" spans="1:9" ht="15.75" customHeight="1">
      <c r="A243" s="42" t="s">
        <v>4</v>
      </c>
      <c r="B243" s="1" t="s">
        <v>3679</v>
      </c>
      <c r="C243" s="43">
        <v>2837221</v>
      </c>
      <c r="D243" s="1" t="s">
        <v>80</v>
      </c>
      <c r="E243" s="45" t="s">
        <v>3715</v>
      </c>
      <c r="F243" s="190"/>
      <c r="G243" s="59"/>
      <c r="H243" s="188"/>
      <c r="I243" s="188"/>
    </row>
    <row r="244" spans="1:9" ht="15.75" customHeight="1">
      <c r="A244" s="42" t="s">
        <v>4</v>
      </c>
      <c r="B244" s="1" t="s">
        <v>3679</v>
      </c>
      <c r="C244" s="43">
        <v>2920399</v>
      </c>
      <c r="D244" s="1" t="s">
        <v>80</v>
      </c>
      <c r="E244" s="45" t="s">
        <v>3716</v>
      </c>
      <c r="F244" s="190"/>
      <c r="G244" s="59"/>
      <c r="H244" s="188"/>
      <c r="I244" s="188"/>
    </row>
    <row r="245" spans="1:9" ht="15.75" customHeight="1">
      <c r="A245" s="42" t="s">
        <v>4</v>
      </c>
      <c r="B245" s="1" t="s">
        <v>3679</v>
      </c>
      <c r="C245" s="43">
        <v>3103740</v>
      </c>
      <c r="D245" s="1" t="s">
        <v>71</v>
      </c>
      <c r="E245" s="45" t="s">
        <v>3717</v>
      </c>
      <c r="F245" s="190"/>
      <c r="G245" s="59"/>
      <c r="H245" s="188"/>
      <c r="I245" s="188"/>
    </row>
    <row r="246" spans="1:9" ht="15.75" customHeight="1">
      <c r="A246" s="42" t="s">
        <v>4</v>
      </c>
      <c r="B246" s="1" t="s">
        <v>3679</v>
      </c>
      <c r="C246" s="43">
        <v>2822577</v>
      </c>
      <c r="D246" s="1" t="s">
        <v>101</v>
      </c>
      <c r="E246" s="45" t="s">
        <v>3718</v>
      </c>
      <c r="F246" s="190"/>
      <c r="G246" s="59"/>
      <c r="H246" s="188"/>
      <c r="I246" s="188"/>
    </row>
    <row r="247" spans="1:9" ht="15.75" customHeight="1">
      <c r="A247" s="42" t="s">
        <v>4</v>
      </c>
      <c r="B247" s="1" t="s">
        <v>3679</v>
      </c>
      <c r="C247" s="43">
        <v>3164219</v>
      </c>
      <c r="D247" s="1" t="s">
        <v>80</v>
      </c>
      <c r="E247" s="49" t="s">
        <v>3719</v>
      </c>
      <c r="F247" s="190"/>
      <c r="G247" s="59"/>
      <c r="H247" s="188"/>
      <c r="I247" s="188"/>
    </row>
    <row r="248" spans="1:9" ht="15.75" customHeight="1">
      <c r="A248" s="42" t="s">
        <v>4</v>
      </c>
      <c r="B248" s="1" t="s">
        <v>3679</v>
      </c>
      <c r="C248" s="43">
        <v>2948172</v>
      </c>
      <c r="D248" s="1" t="s">
        <v>83</v>
      </c>
      <c r="E248" s="157" t="s">
        <v>3720</v>
      </c>
      <c r="F248" s="190"/>
      <c r="G248" s="59"/>
      <c r="H248" s="188"/>
      <c r="I248" s="188"/>
    </row>
    <row r="249" spans="1:9" ht="15.75" customHeight="1">
      <c r="A249" s="42" t="s">
        <v>4</v>
      </c>
      <c r="B249" s="1" t="s">
        <v>3679</v>
      </c>
      <c r="C249" s="43">
        <v>2951128</v>
      </c>
      <c r="D249" s="1" t="s">
        <v>83</v>
      </c>
      <c r="E249" s="157" t="s">
        <v>3721</v>
      </c>
      <c r="F249" s="190"/>
      <c r="G249" s="59"/>
      <c r="H249" s="188"/>
      <c r="I249" s="188"/>
    </row>
    <row r="250" spans="1:9" ht="15.75" customHeight="1">
      <c r="A250" s="42" t="s">
        <v>4</v>
      </c>
      <c r="B250" s="1" t="s">
        <v>3679</v>
      </c>
      <c r="C250" s="43">
        <v>3206018</v>
      </c>
      <c r="D250" s="1" t="s">
        <v>80</v>
      </c>
      <c r="E250" s="49" t="s">
        <v>3678</v>
      </c>
      <c r="F250" s="190"/>
      <c r="G250" s="59"/>
      <c r="H250" s="188"/>
      <c r="I250" s="188"/>
    </row>
    <row r="251" spans="1:9" ht="15.75" customHeight="1">
      <c r="A251" s="42" t="s">
        <v>4</v>
      </c>
      <c r="B251" s="1" t="s">
        <v>3679</v>
      </c>
      <c r="C251" s="43">
        <v>593927</v>
      </c>
      <c r="D251" s="1" t="s">
        <v>71</v>
      </c>
      <c r="E251" s="45" t="s">
        <v>3722</v>
      </c>
      <c r="F251" s="190"/>
      <c r="G251" s="59"/>
      <c r="H251" s="188"/>
      <c r="I251" s="188"/>
    </row>
    <row r="252" spans="1:9" ht="15.75" customHeight="1">
      <c r="A252" s="42" t="s">
        <v>4</v>
      </c>
      <c r="B252" s="1" t="s">
        <v>3679</v>
      </c>
      <c r="C252" s="43">
        <v>782094</v>
      </c>
      <c r="D252" s="1" t="s">
        <v>80</v>
      </c>
      <c r="E252" s="45" t="s">
        <v>3723</v>
      </c>
      <c r="F252" s="190"/>
      <c r="G252" s="59"/>
      <c r="H252" s="188"/>
      <c r="I252" s="188"/>
    </row>
    <row r="253" spans="1:9" ht="15.75" customHeight="1">
      <c r="A253" s="42" t="s">
        <v>4</v>
      </c>
      <c r="B253" s="1" t="s">
        <v>3679</v>
      </c>
      <c r="C253" s="43">
        <v>782095</v>
      </c>
      <c r="D253" s="1" t="s">
        <v>80</v>
      </c>
      <c r="E253" s="45" t="s">
        <v>3724</v>
      </c>
      <c r="F253" s="190"/>
      <c r="G253" s="59"/>
      <c r="H253" s="188"/>
      <c r="I253" s="188"/>
    </row>
    <row r="254" spans="1:9" ht="15.75" customHeight="1">
      <c r="A254" s="42" t="s">
        <v>4</v>
      </c>
      <c r="B254" s="1" t="s">
        <v>3679</v>
      </c>
      <c r="C254" s="43">
        <v>2822415</v>
      </c>
      <c r="D254" s="1" t="s">
        <v>80</v>
      </c>
      <c r="E254" s="49" t="s">
        <v>3725</v>
      </c>
      <c r="F254" s="190"/>
      <c r="G254" s="59"/>
      <c r="H254" s="188"/>
      <c r="I254" s="188"/>
    </row>
    <row r="255" spans="1:9" ht="15.75" customHeight="1">
      <c r="A255" s="42" t="s">
        <v>4</v>
      </c>
      <c r="B255" s="1" t="s">
        <v>3679</v>
      </c>
      <c r="C255" s="43">
        <v>2437219</v>
      </c>
      <c r="D255" s="1" t="s">
        <v>80</v>
      </c>
      <c r="E255" s="49" t="s">
        <v>3726</v>
      </c>
      <c r="F255" s="190"/>
      <c r="G255" s="59"/>
      <c r="H255" s="188"/>
      <c r="I255" s="188"/>
    </row>
    <row r="256" spans="1:9" ht="15.75" customHeight="1">
      <c r="A256" s="42" t="s">
        <v>4</v>
      </c>
      <c r="B256" s="1" t="s">
        <v>3679</v>
      </c>
      <c r="C256" s="43">
        <v>676841</v>
      </c>
      <c r="D256" s="1" t="s">
        <v>80</v>
      </c>
      <c r="E256" s="45" t="s">
        <v>3635</v>
      </c>
      <c r="F256" s="190"/>
      <c r="G256" s="59"/>
      <c r="H256" s="188"/>
      <c r="I256" s="188"/>
    </row>
    <row r="257" spans="1:9" ht="15.75" customHeight="1">
      <c r="A257" s="42" t="s">
        <v>4</v>
      </c>
      <c r="B257" s="1" t="s">
        <v>3679</v>
      </c>
      <c r="C257" s="43">
        <v>529916</v>
      </c>
      <c r="D257" s="1" t="s">
        <v>80</v>
      </c>
      <c r="E257" s="45" t="s">
        <v>3727</v>
      </c>
      <c r="F257" s="190"/>
      <c r="G257" s="59"/>
      <c r="H257" s="188"/>
      <c r="I257" s="188"/>
    </row>
    <row r="258" spans="1:9" ht="15.75" customHeight="1">
      <c r="A258" s="42" t="s">
        <v>4</v>
      </c>
      <c r="B258" s="1" t="s">
        <v>3679</v>
      </c>
      <c r="C258" s="43">
        <v>674652</v>
      </c>
      <c r="D258" s="1" t="s">
        <v>80</v>
      </c>
      <c r="E258" s="45" t="s">
        <v>3728</v>
      </c>
      <c r="F258" s="190"/>
      <c r="G258" s="59"/>
      <c r="H258" s="188"/>
      <c r="I258" s="188"/>
    </row>
    <row r="259" spans="1:9" ht="15.75" customHeight="1">
      <c r="A259" s="42" t="s">
        <v>4</v>
      </c>
      <c r="B259" s="1" t="s">
        <v>3679</v>
      </c>
      <c r="C259" s="43">
        <v>195157</v>
      </c>
      <c r="D259" s="1" t="s">
        <v>80</v>
      </c>
      <c r="E259" s="45" t="s">
        <v>3729</v>
      </c>
      <c r="F259" s="190"/>
      <c r="G259" s="59"/>
      <c r="H259" s="188"/>
      <c r="I259" s="188"/>
    </row>
    <row r="260" spans="1:9" ht="15.75" customHeight="1">
      <c r="A260" s="42" t="s">
        <v>4</v>
      </c>
      <c r="B260" s="1" t="s">
        <v>3679</v>
      </c>
      <c r="C260" s="43">
        <v>559544</v>
      </c>
      <c r="D260" s="1" t="s">
        <v>80</v>
      </c>
      <c r="E260" s="157" t="s">
        <v>3730</v>
      </c>
      <c r="F260" s="190"/>
      <c r="G260" s="59"/>
      <c r="H260" s="188"/>
      <c r="I260" s="188"/>
    </row>
    <row r="261" spans="1:9" ht="15.75" customHeight="1">
      <c r="A261" s="42" t="s">
        <v>4</v>
      </c>
      <c r="B261" s="1" t="s">
        <v>3679</v>
      </c>
      <c r="C261" s="43">
        <v>584354</v>
      </c>
      <c r="D261" s="1" t="s">
        <v>101</v>
      </c>
      <c r="E261" s="45" t="s">
        <v>3731</v>
      </c>
      <c r="F261" s="190"/>
      <c r="G261" s="59"/>
      <c r="H261" s="188"/>
      <c r="I261" s="188"/>
    </row>
    <row r="262" spans="1:9" ht="15.75" customHeight="1">
      <c r="A262" s="42" t="s">
        <v>4</v>
      </c>
      <c r="B262" s="1" t="s">
        <v>3679</v>
      </c>
      <c r="C262" s="43">
        <v>2434087</v>
      </c>
      <c r="D262" s="1" t="s">
        <v>83</v>
      </c>
      <c r="E262" s="49" t="s">
        <v>3732</v>
      </c>
      <c r="F262" s="190"/>
      <c r="G262" s="59"/>
      <c r="H262" s="188"/>
      <c r="I262" s="188"/>
    </row>
    <row r="263" spans="1:9" ht="15.75" customHeight="1">
      <c r="A263" s="42" t="s">
        <v>4</v>
      </c>
      <c r="B263" s="1" t="s">
        <v>3679</v>
      </c>
      <c r="C263" s="43">
        <v>593896</v>
      </c>
      <c r="D263" s="1" t="s">
        <v>71</v>
      </c>
      <c r="E263" s="45" t="s">
        <v>3553</v>
      </c>
      <c r="F263" s="190"/>
      <c r="G263" s="59"/>
      <c r="H263" s="188"/>
      <c r="I263" s="188"/>
    </row>
    <row r="264" spans="1:9" ht="15.75" customHeight="1">
      <c r="A264" s="188" t="s">
        <v>5</v>
      </c>
      <c r="B264" s="189" t="s">
        <v>3733</v>
      </c>
      <c r="C264" s="190" t="s">
        <v>68</v>
      </c>
      <c r="D264" s="190" t="s">
        <v>62</v>
      </c>
      <c r="E264" s="56" t="s">
        <v>69</v>
      </c>
      <c r="F264" s="190"/>
      <c r="G264" s="48" t="s">
        <v>70</v>
      </c>
      <c r="H264" s="188"/>
      <c r="I264" s="188"/>
    </row>
    <row r="265" spans="1:9" ht="15.75" customHeight="1">
      <c r="A265" s="42" t="s">
        <v>5</v>
      </c>
      <c r="B265" s="1" t="s">
        <v>3733</v>
      </c>
      <c r="C265" s="43">
        <v>5025562</v>
      </c>
      <c r="D265" s="1" t="s">
        <v>71</v>
      </c>
      <c r="E265" s="45" t="s">
        <v>3519</v>
      </c>
      <c r="F265" s="42"/>
      <c r="G265" s="48" t="s">
        <v>3681</v>
      </c>
      <c r="H265" s="42"/>
      <c r="I265" s="42"/>
    </row>
    <row r="266" spans="1:9" ht="15.75" customHeight="1">
      <c r="A266" s="42" t="s">
        <v>5</v>
      </c>
      <c r="B266" s="1" t="s">
        <v>3733</v>
      </c>
      <c r="C266" s="43">
        <v>518927</v>
      </c>
      <c r="D266" s="1" t="s">
        <v>80</v>
      </c>
      <c r="E266" s="45" t="s">
        <v>3653</v>
      </c>
      <c r="F266" s="42"/>
      <c r="G266" s="48" t="s">
        <v>3590</v>
      </c>
      <c r="H266" s="42"/>
      <c r="I266" s="42"/>
    </row>
    <row r="267" spans="1:9" ht="15.75" customHeight="1">
      <c r="A267" s="42" t="s">
        <v>5</v>
      </c>
      <c r="B267" s="1" t="s">
        <v>3733</v>
      </c>
      <c r="C267" s="43">
        <v>2922309</v>
      </c>
      <c r="D267" s="1" t="s">
        <v>80</v>
      </c>
      <c r="E267" s="45" t="s">
        <v>3696</v>
      </c>
      <c r="F267" s="42"/>
      <c r="G267" s="50"/>
      <c r="H267" s="42"/>
      <c r="I267" s="42"/>
    </row>
    <row r="268" spans="1:9" ht="15.75" customHeight="1">
      <c r="A268" s="42" t="s">
        <v>5</v>
      </c>
      <c r="B268" s="1" t="s">
        <v>3733</v>
      </c>
      <c r="C268" s="43">
        <v>561054</v>
      </c>
      <c r="D268" s="1" t="s">
        <v>80</v>
      </c>
      <c r="E268" s="45" t="s">
        <v>3655</v>
      </c>
      <c r="F268" s="42"/>
      <c r="G268" s="50"/>
      <c r="H268" s="42"/>
      <c r="I268" s="42"/>
    </row>
    <row r="269" spans="1:9" ht="15.75" customHeight="1">
      <c r="A269" s="42" t="s">
        <v>5</v>
      </c>
      <c r="B269" s="1" t="s">
        <v>3733</v>
      </c>
      <c r="C269" s="43">
        <v>593912</v>
      </c>
      <c r="D269" s="1" t="s">
        <v>80</v>
      </c>
      <c r="E269" s="45" t="s">
        <v>3657</v>
      </c>
      <c r="F269" s="42"/>
      <c r="G269" s="50"/>
      <c r="H269" s="42"/>
      <c r="I269" s="42"/>
    </row>
    <row r="270" spans="1:9" ht="15.75" customHeight="1">
      <c r="A270" s="42" t="s">
        <v>5</v>
      </c>
      <c r="B270" s="1" t="s">
        <v>3733</v>
      </c>
      <c r="C270" s="43">
        <v>593919</v>
      </c>
      <c r="D270" s="1" t="s">
        <v>80</v>
      </c>
      <c r="E270" s="45" t="s">
        <v>3621</v>
      </c>
      <c r="F270" s="42"/>
      <c r="G270" s="50"/>
      <c r="H270" s="42"/>
      <c r="I270" s="42"/>
    </row>
    <row r="271" spans="1:9" ht="15.75" customHeight="1">
      <c r="A271" s="42" t="s">
        <v>5</v>
      </c>
      <c r="B271" s="1" t="s">
        <v>3733</v>
      </c>
      <c r="C271" s="43">
        <v>2215003</v>
      </c>
      <c r="D271" s="1" t="s">
        <v>71</v>
      </c>
      <c r="E271" s="45" t="s">
        <v>3576</v>
      </c>
      <c r="F271" s="42"/>
      <c r="G271" s="50"/>
      <c r="H271" s="42"/>
      <c r="I271" s="42"/>
    </row>
    <row r="272" spans="1:9" ht="15.75" customHeight="1">
      <c r="A272" s="42" t="s">
        <v>5</v>
      </c>
      <c r="B272" s="1" t="s">
        <v>3733</v>
      </c>
      <c r="C272" s="43">
        <v>2997106</v>
      </c>
      <c r="D272" s="1" t="s">
        <v>83</v>
      </c>
      <c r="E272" s="45" t="s">
        <v>3660</v>
      </c>
      <c r="F272" s="42"/>
      <c r="G272" s="50"/>
      <c r="H272" s="42"/>
      <c r="I272" s="42"/>
    </row>
    <row r="273" spans="1:9" ht="15.75" customHeight="1">
      <c r="A273" s="42" t="s">
        <v>5</v>
      </c>
      <c r="B273" s="1" t="s">
        <v>3733</v>
      </c>
      <c r="C273" s="43">
        <v>761013</v>
      </c>
      <c r="D273" s="1" t="s">
        <v>71</v>
      </c>
      <c r="E273" s="45" t="s">
        <v>3661</v>
      </c>
      <c r="F273" s="42"/>
      <c r="G273" s="50"/>
      <c r="H273" s="42"/>
      <c r="I273" s="42"/>
    </row>
    <row r="274" spans="1:9" ht="15.75" customHeight="1">
      <c r="A274" s="42" t="s">
        <v>5</v>
      </c>
      <c r="B274" s="1" t="s">
        <v>3733</v>
      </c>
      <c r="C274" s="43">
        <v>559540</v>
      </c>
      <c r="D274" s="1" t="s">
        <v>90</v>
      </c>
      <c r="E274" s="45" t="s">
        <v>3712</v>
      </c>
      <c r="F274" s="42"/>
      <c r="G274" s="50"/>
      <c r="H274" s="42"/>
      <c r="I274" s="42"/>
    </row>
    <row r="275" spans="1:9" ht="15.75" customHeight="1">
      <c r="A275" s="42" t="s">
        <v>5</v>
      </c>
      <c r="B275" s="1" t="s">
        <v>3733</v>
      </c>
      <c r="C275" s="43">
        <v>521235</v>
      </c>
      <c r="D275" s="1" t="s">
        <v>80</v>
      </c>
      <c r="E275" s="45" t="s">
        <v>3581</v>
      </c>
      <c r="F275" s="42"/>
      <c r="G275" s="50"/>
      <c r="H275" s="42"/>
      <c r="I275" s="42"/>
    </row>
    <row r="276" spans="1:9" ht="15.75" customHeight="1">
      <c r="A276" s="42" t="s">
        <v>5</v>
      </c>
      <c r="B276" s="1" t="s">
        <v>3733</v>
      </c>
      <c r="C276" s="43">
        <v>645722</v>
      </c>
      <c r="D276" s="1" t="s">
        <v>71</v>
      </c>
      <c r="E276" s="45" t="s">
        <v>3734</v>
      </c>
      <c r="F276" s="42"/>
      <c r="G276" s="50"/>
      <c r="H276" s="42"/>
      <c r="I276" s="42"/>
    </row>
    <row r="277" spans="1:9" ht="15.75" customHeight="1">
      <c r="A277" s="42" t="s">
        <v>5</v>
      </c>
      <c r="B277" s="1" t="s">
        <v>3733</v>
      </c>
      <c r="C277" s="43">
        <v>702517</v>
      </c>
      <c r="D277" s="1" t="s">
        <v>71</v>
      </c>
      <c r="E277" s="45" t="s">
        <v>3625</v>
      </c>
      <c r="F277" s="42"/>
      <c r="G277" s="50"/>
      <c r="H277" s="42"/>
      <c r="I277" s="42"/>
    </row>
    <row r="278" spans="1:9" ht="15.75" customHeight="1">
      <c r="A278" s="42" t="s">
        <v>5</v>
      </c>
      <c r="B278" s="1" t="s">
        <v>3733</v>
      </c>
      <c r="C278" s="43">
        <v>593045</v>
      </c>
      <c r="D278" s="1" t="s">
        <v>80</v>
      </c>
      <c r="E278" s="45" t="s">
        <v>3627</v>
      </c>
      <c r="F278" s="42"/>
      <c r="G278" s="50"/>
      <c r="H278" s="42"/>
      <c r="I278" s="42"/>
    </row>
    <row r="279" spans="1:9" ht="15.75" customHeight="1">
      <c r="A279" s="42" t="s">
        <v>5</v>
      </c>
      <c r="B279" s="1" t="s">
        <v>3733</v>
      </c>
      <c r="C279" s="43">
        <v>593929</v>
      </c>
      <c r="D279" s="1" t="s">
        <v>71</v>
      </c>
      <c r="E279" s="45" t="s">
        <v>3735</v>
      </c>
      <c r="F279" s="42"/>
      <c r="G279" s="50"/>
      <c r="H279" s="42"/>
      <c r="I279" s="42"/>
    </row>
    <row r="280" spans="1:9" ht="15.75" customHeight="1">
      <c r="A280" s="42" t="s">
        <v>5</v>
      </c>
      <c r="B280" s="1" t="s">
        <v>3733</v>
      </c>
      <c r="C280" s="43">
        <v>559538</v>
      </c>
      <c r="D280" s="1" t="s">
        <v>83</v>
      </c>
      <c r="E280" s="45" t="s">
        <v>3673</v>
      </c>
      <c r="F280" s="42"/>
      <c r="G280" s="50"/>
      <c r="H280" s="42"/>
      <c r="I280" s="42"/>
    </row>
    <row r="281" spans="1:9" ht="15.75" customHeight="1">
      <c r="A281" s="42" t="s">
        <v>5</v>
      </c>
      <c r="B281" s="1" t="s">
        <v>3733</v>
      </c>
      <c r="C281" s="43">
        <v>5018536</v>
      </c>
      <c r="D281" s="1" t="s">
        <v>83</v>
      </c>
      <c r="E281" s="45" t="s">
        <v>3736</v>
      </c>
      <c r="F281" s="42"/>
      <c r="G281" s="50"/>
      <c r="H281" s="42"/>
      <c r="I281" s="42"/>
    </row>
    <row r="282" spans="1:9" ht="15.75" customHeight="1">
      <c r="A282" s="188" t="s">
        <v>6</v>
      </c>
      <c r="B282" s="189" t="s">
        <v>3737</v>
      </c>
      <c r="C282" s="190" t="s">
        <v>68</v>
      </c>
      <c r="D282" s="190" t="s">
        <v>62</v>
      </c>
      <c r="E282" s="56" t="s">
        <v>69</v>
      </c>
      <c r="F282" s="190"/>
      <c r="G282" s="48" t="s">
        <v>70</v>
      </c>
      <c r="H282" s="188"/>
      <c r="I282" s="188"/>
    </row>
    <row r="283" spans="1:9" ht="15.75" customHeight="1">
      <c r="A283" s="42" t="s">
        <v>6</v>
      </c>
      <c r="B283" s="1" t="s">
        <v>3737</v>
      </c>
      <c r="C283" s="43">
        <v>555784</v>
      </c>
      <c r="D283" s="1" t="s">
        <v>101</v>
      </c>
      <c r="E283" s="45" t="s">
        <v>3738</v>
      </c>
      <c r="F283" s="42"/>
      <c r="G283" s="48" t="s">
        <v>3739</v>
      </c>
      <c r="H283" s="42"/>
      <c r="I283" s="42"/>
    </row>
    <row r="284" spans="1:9" ht="15.75" customHeight="1">
      <c r="A284" s="42" t="s">
        <v>6</v>
      </c>
      <c r="B284" s="1" t="s">
        <v>3737</v>
      </c>
      <c r="C284" s="43">
        <v>461383</v>
      </c>
      <c r="D284" s="1" t="s">
        <v>101</v>
      </c>
      <c r="E284" s="45" t="s">
        <v>3740</v>
      </c>
      <c r="F284" s="42"/>
      <c r="G284" s="48" t="s">
        <v>3741</v>
      </c>
      <c r="H284" s="42"/>
      <c r="I284" s="42"/>
    </row>
    <row r="285" spans="1:9" ht="15.75" customHeight="1">
      <c r="A285" s="42" t="s">
        <v>6</v>
      </c>
      <c r="B285" s="1" t="s">
        <v>3737</v>
      </c>
      <c r="C285" s="43">
        <v>2244317</v>
      </c>
      <c r="D285" s="1" t="s">
        <v>101</v>
      </c>
      <c r="E285" s="45" t="s">
        <v>3742</v>
      </c>
      <c r="F285" s="42"/>
      <c r="G285" s="48" t="s">
        <v>3743</v>
      </c>
      <c r="H285" s="42"/>
      <c r="I285" s="42"/>
    </row>
    <row r="286" spans="1:9" ht="15.75" customHeight="1">
      <c r="A286" s="42" t="s">
        <v>6</v>
      </c>
      <c r="B286" s="1" t="s">
        <v>3737</v>
      </c>
      <c r="C286" s="43">
        <v>499766</v>
      </c>
      <c r="D286" s="1" t="s">
        <v>101</v>
      </c>
      <c r="E286" s="45" t="s">
        <v>3744</v>
      </c>
      <c r="F286" s="42"/>
      <c r="G286" s="48" t="s">
        <v>3745</v>
      </c>
      <c r="H286" s="42"/>
      <c r="I286" s="42"/>
    </row>
    <row r="287" spans="1:9" ht="15.75" customHeight="1">
      <c r="A287" s="42" t="s">
        <v>6</v>
      </c>
      <c r="B287" s="1" t="s">
        <v>3737</v>
      </c>
      <c r="C287" s="43">
        <v>388455</v>
      </c>
      <c r="D287" s="1" t="s">
        <v>80</v>
      </c>
      <c r="E287" s="45" t="s">
        <v>3746</v>
      </c>
      <c r="F287" s="42"/>
      <c r="G287" s="50"/>
      <c r="H287" s="42"/>
      <c r="I287" s="42"/>
    </row>
    <row r="288" spans="1:9" ht="15.75" customHeight="1">
      <c r="A288" s="42" t="s">
        <v>6</v>
      </c>
      <c r="B288" s="1" t="s">
        <v>3737</v>
      </c>
      <c r="C288" s="43">
        <v>2919875</v>
      </c>
      <c r="D288" s="1" t="s">
        <v>83</v>
      </c>
      <c r="E288" s="45" t="s">
        <v>3747</v>
      </c>
      <c r="F288" s="42"/>
      <c r="G288" s="50"/>
      <c r="H288" s="42"/>
      <c r="I288" s="42"/>
    </row>
    <row r="289" spans="1:9" ht="15.75" customHeight="1">
      <c r="A289" s="42" t="s">
        <v>6</v>
      </c>
      <c r="B289" s="1" t="s">
        <v>3737</v>
      </c>
      <c r="C289" s="43">
        <v>2841292</v>
      </c>
      <c r="D289" s="1" t="s">
        <v>83</v>
      </c>
      <c r="E289" s="45" t="s">
        <v>3748</v>
      </c>
      <c r="F289" s="42"/>
      <c r="G289" s="50"/>
      <c r="H289" s="42"/>
      <c r="I289" s="42"/>
    </row>
    <row r="290" spans="1:9" ht="15.75" customHeight="1">
      <c r="A290" s="42" t="s">
        <v>6</v>
      </c>
      <c r="B290" s="1" t="s">
        <v>3737</v>
      </c>
      <c r="C290" s="43">
        <v>2244318</v>
      </c>
      <c r="D290" s="1" t="s">
        <v>71</v>
      </c>
      <c r="E290" s="45" t="s">
        <v>3749</v>
      </c>
      <c r="F290" s="42"/>
      <c r="G290" s="50"/>
      <c r="H290" s="42"/>
      <c r="I290" s="42"/>
    </row>
    <row r="291" spans="1:9" ht="15.75" customHeight="1">
      <c r="A291" s="42" t="s">
        <v>6</v>
      </c>
      <c r="B291" s="1" t="s">
        <v>3737</v>
      </c>
      <c r="C291" s="43">
        <v>575043</v>
      </c>
      <c r="D291" s="1" t="s">
        <v>83</v>
      </c>
      <c r="E291" s="45" t="s">
        <v>3750</v>
      </c>
      <c r="F291" s="42"/>
      <c r="G291" s="50"/>
      <c r="H291" s="42"/>
      <c r="I291" s="42"/>
    </row>
    <row r="292" spans="1:9" ht="15.75" customHeight="1">
      <c r="A292" s="42" t="s">
        <v>6</v>
      </c>
      <c r="B292" s="1" t="s">
        <v>3737</v>
      </c>
      <c r="C292" s="43">
        <v>2919496</v>
      </c>
      <c r="D292" s="1" t="s">
        <v>101</v>
      </c>
      <c r="E292" s="45" t="s">
        <v>3690</v>
      </c>
      <c r="F292" s="42"/>
      <c r="G292" s="50"/>
      <c r="H292" s="42"/>
      <c r="I292" s="42"/>
    </row>
    <row r="293" spans="1:9" ht="15.75" customHeight="1">
      <c r="A293" s="42" t="s">
        <v>6</v>
      </c>
      <c r="B293" s="1" t="s">
        <v>3737</v>
      </c>
      <c r="C293" s="43">
        <v>507746</v>
      </c>
      <c r="D293" s="1" t="s">
        <v>83</v>
      </c>
      <c r="E293" s="45" t="s">
        <v>3751</v>
      </c>
      <c r="F293" s="42"/>
      <c r="G293" s="50"/>
      <c r="H293" s="42"/>
      <c r="I293" s="42"/>
    </row>
    <row r="294" spans="1:9" ht="15.75" customHeight="1">
      <c r="A294" s="42" t="s">
        <v>6</v>
      </c>
      <c r="B294" s="1" t="s">
        <v>3737</v>
      </c>
      <c r="C294" s="43">
        <v>3143214</v>
      </c>
      <c r="D294" s="1" t="s">
        <v>83</v>
      </c>
      <c r="E294" s="157" t="s">
        <v>3752</v>
      </c>
      <c r="F294" s="42"/>
      <c r="G294" s="50"/>
      <c r="H294" s="42"/>
      <c r="I294" s="42"/>
    </row>
    <row r="295" spans="1:9" ht="15.75" customHeight="1">
      <c r="A295" s="42" t="s">
        <v>6</v>
      </c>
      <c r="B295" s="1" t="s">
        <v>3737</v>
      </c>
      <c r="C295" s="43">
        <v>2823518</v>
      </c>
      <c r="D295" s="1" t="s">
        <v>83</v>
      </c>
      <c r="E295" s="45" t="s">
        <v>3753</v>
      </c>
      <c r="F295" s="42"/>
      <c r="G295" s="50"/>
      <c r="H295" s="42"/>
      <c r="I295" s="42"/>
    </row>
    <row r="296" spans="1:9" ht="15.75" customHeight="1">
      <c r="A296" s="42" t="s">
        <v>6</v>
      </c>
      <c r="B296" s="1" t="s">
        <v>3737</v>
      </c>
      <c r="C296" s="43">
        <v>2808707</v>
      </c>
      <c r="D296" s="1" t="s">
        <v>101</v>
      </c>
      <c r="E296" s="45" t="s">
        <v>3693</v>
      </c>
      <c r="F296" s="42"/>
      <c r="G296" s="50"/>
      <c r="H296" s="42"/>
      <c r="I296" s="42"/>
    </row>
    <row r="297" spans="1:9" ht="15.75" customHeight="1">
      <c r="A297" s="42" t="s">
        <v>6</v>
      </c>
      <c r="B297" s="1" t="s">
        <v>3737</v>
      </c>
      <c r="C297" s="43">
        <v>238369</v>
      </c>
      <c r="D297" s="1" t="s">
        <v>83</v>
      </c>
      <c r="E297" s="45" t="s">
        <v>3754</v>
      </c>
      <c r="F297" s="42"/>
      <c r="G297" s="50"/>
      <c r="H297" s="42"/>
      <c r="I297" s="42"/>
    </row>
    <row r="298" spans="1:9" ht="15.75" customHeight="1">
      <c r="A298" s="42" t="s">
        <v>6</v>
      </c>
      <c r="B298" s="1" t="s">
        <v>3737</v>
      </c>
      <c r="C298" s="43">
        <v>678927</v>
      </c>
      <c r="D298" s="1" t="s">
        <v>80</v>
      </c>
      <c r="E298" s="45" t="s">
        <v>3564</v>
      </c>
      <c r="F298" s="42"/>
      <c r="G298" s="50"/>
      <c r="H298" s="42"/>
      <c r="I298" s="42"/>
    </row>
    <row r="299" spans="1:9" ht="15.75" customHeight="1">
      <c r="A299" s="42" t="s">
        <v>6</v>
      </c>
      <c r="B299" s="1" t="s">
        <v>3737</v>
      </c>
      <c r="C299" s="43">
        <v>686936</v>
      </c>
      <c r="D299" s="1" t="s">
        <v>80</v>
      </c>
      <c r="E299" s="45" t="s">
        <v>3755</v>
      </c>
      <c r="F299" s="42"/>
      <c r="G299" s="50"/>
      <c r="H299" s="42"/>
      <c r="I299" s="42"/>
    </row>
    <row r="300" spans="1:9" ht="15.75" customHeight="1">
      <c r="A300" s="42" t="s">
        <v>6</v>
      </c>
      <c r="B300" s="1" t="s">
        <v>3737</v>
      </c>
      <c r="C300" s="43">
        <v>561066</v>
      </c>
      <c r="D300" s="1" t="s">
        <v>83</v>
      </c>
      <c r="E300" s="45" t="s">
        <v>3756</v>
      </c>
      <c r="F300" s="42"/>
      <c r="G300" s="50"/>
      <c r="H300" s="42"/>
      <c r="I300" s="42"/>
    </row>
    <row r="301" spans="1:9" ht="15.75" customHeight="1">
      <c r="A301" s="42" t="s">
        <v>6</v>
      </c>
      <c r="B301" s="1" t="s">
        <v>3737</v>
      </c>
      <c r="C301" s="43">
        <v>421622</v>
      </c>
      <c r="D301" s="1" t="s">
        <v>83</v>
      </c>
      <c r="E301" s="45" t="s">
        <v>3757</v>
      </c>
      <c r="F301" s="42"/>
      <c r="G301" s="50"/>
      <c r="H301" s="42"/>
      <c r="I301" s="42"/>
    </row>
    <row r="302" spans="1:9" ht="15.75" customHeight="1">
      <c r="A302" s="42" t="s">
        <v>6</v>
      </c>
      <c r="B302" s="1" t="s">
        <v>3737</v>
      </c>
      <c r="C302" s="43">
        <v>2988434</v>
      </c>
      <c r="D302" s="1" t="s">
        <v>83</v>
      </c>
      <c r="E302" s="45" t="s">
        <v>3758</v>
      </c>
      <c r="F302" s="42"/>
      <c r="G302" s="50"/>
      <c r="H302" s="42"/>
      <c r="I302" s="42"/>
    </row>
    <row r="303" spans="1:9" ht="15.75" customHeight="1">
      <c r="A303" s="42" t="s">
        <v>6</v>
      </c>
      <c r="B303" s="1" t="s">
        <v>3737</v>
      </c>
      <c r="C303" s="43">
        <v>442865</v>
      </c>
      <c r="D303" s="1" t="s">
        <v>71</v>
      </c>
      <c r="E303" s="45" t="s">
        <v>3759</v>
      </c>
      <c r="F303" s="42"/>
      <c r="G303" s="50"/>
      <c r="H303" s="42"/>
      <c r="I303" s="42"/>
    </row>
    <row r="304" spans="1:9" ht="15.75" customHeight="1">
      <c r="A304" s="42" t="s">
        <v>6</v>
      </c>
      <c r="B304" s="1" t="s">
        <v>3737</v>
      </c>
      <c r="C304" s="43">
        <v>2930913</v>
      </c>
      <c r="D304" s="1" t="s">
        <v>83</v>
      </c>
      <c r="E304" s="45" t="s">
        <v>3760</v>
      </c>
      <c r="F304" s="42"/>
      <c r="G304" s="50"/>
      <c r="H304" s="42"/>
      <c r="I304" s="42"/>
    </row>
    <row r="305" spans="1:9" ht="15.75" customHeight="1">
      <c r="A305" s="42" t="s">
        <v>6</v>
      </c>
      <c r="B305" s="1" t="s">
        <v>3737</v>
      </c>
      <c r="C305" s="43">
        <v>2930914</v>
      </c>
      <c r="D305" s="1" t="s">
        <v>71</v>
      </c>
      <c r="E305" s="45" t="s">
        <v>3761</v>
      </c>
      <c r="F305" s="42"/>
      <c r="G305" s="50"/>
      <c r="H305" s="42"/>
      <c r="I305" s="42"/>
    </row>
    <row r="306" spans="1:9" ht="15.75" customHeight="1">
      <c r="A306" s="42" t="s">
        <v>6</v>
      </c>
      <c r="B306" s="1" t="s">
        <v>3737</v>
      </c>
      <c r="C306" s="43">
        <v>561508</v>
      </c>
      <c r="D306" s="1" t="s">
        <v>71</v>
      </c>
      <c r="E306" s="45" t="s">
        <v>3762</v>
      </c>
      <c r="F306" s="42"/>
      <c r="G306" s="50"/>
      <c r="H306" s="42"/>
      <c r="I306" s="42"/>
    </row>
    <row r="307" spans="1:9" ht="15.75" customHeight="1">
      <c r="A307" s="42" t="s">
        <v>6</v>
      </c>
      <c r="B307" s="1" t="s">
        <v>3737</v>
      </c>
      <c r="C307" s="43">
        <v>708838</v>
      </c>
      <c r="D307" s="1" t="s">
        <v>101</v>
      </c>
      <c r="E307" s="49" t="s">
        <v>3763</v>
      </c>
      <c r="F307" s="42"/>
      <c r="G307" s="50"/>
      <c r="H307" s="42"/>
      <c r="I307" s="42"/>
    </row>
    <row r="308" spans="1:9" ht="15.75" customHeight="1">
      <c r="A308" s="42" t="s">
        <v>6</v>
      </c>
      <c r="B308" s="1" t="s">
        <v>3737</v>
      </c>
      <c r="C308" s="43">
        <v>747494</v>
      </c>
      <c r="D308" s="1" t="s">
        <v>101</v>
      </c>
      <c r="E308" s="49" t="s">
        <v>3764</v>
      </c>
      <c r="F308" s="42"/>
      <c r="G308" s="50"/>
      <c r="H308" s="42"/>
      <c r="I308" s="42"/>
    </row>
    <row r="309" spans="1:9" ht="15.75" customHeight="1">
      <c r="A309" s="42" t="s">
        <v>6</v>
      </c>
      <c r="B309" s="1" t="s">
        <v>3737</v>
      </c>
      <c r="C309" s="43">
        <v>2390087</v>
      </c>
      <c r="D309" s="1" t="s">
        <v>83</v>
      </c>
      <c r="E309" s="45" t="s">
        <v>3765</v>
      </c>
      <c r="F309" s="42"/>
      <c r="G309" s="50"/>
      <c r="H309" s="42"/>
      <c r="I309" s="42"/>
    </row>
    <row r="310" spans="1:9" ht="15.75" customHeight="1">
      <c r="A310" s="42" t="s">
        <v>6</v>
      </c>
      <c r="B310" s="1" t="s">
        <v>3737</v>
      </c>
      <c r="C310" s="43">
        <v>759355</v>
      </c>
      <c r="D310" s="1" t="s">
        <v>80</v>
      </c>
      <c r="E310" s="49" t="s">
        <v>3766</v>
      </c>
      <c r="F310" s="42"/>
      <c r="G310" s="50"/>
      <c r="H310" s="42"/>
      <c r="I310" s="42"/>
    </row>
    <row r="311" spans="1:9" ht="15.75" customHeight="1">
      <c r="A311" s="42" t="s">
        <v>6</v>
      </c>
      <c r="B311" s="1" t="s">
        <v>3737</v>
      </c>
      <c r="C311" s="43">
        <v>2881135</v>
      </c>
      <c r="D311" s="1" t="s">
        <v>80</v>
      </c>
      <c r="E311" s="45" t="s">
        <v>3767</v>
      </c>
      <c r="F311" s="42"/>
      <c r="G311" s="50"/>
      <c r="H311" s="42"/>
      <c r="I311" s="42"/>
    </row>
    <row r="312" spans="1:9" ht="15.75" customHeight="1">
      <c r="A312" s="42" t="s">
        <v>6</v>
      </c>
      <c r="B312" s="1" t="s">
        <v>3737</v>
      </c>
      <c r="C312" s="43">
        <v>793651</v>
      </c>
      <c r="D312" s="1" t="s">
        <v>80</v>
      </c>
      <c r="E312" s="45" t="s">
        <v>3702</v>
      </c>
      <c r="F312" s="42"/>
      <c r="G312" s="50"/>
      <c r="H312" s="42"/>
      <c r="I312" s="42"/>
    </row>
    <row r="313" spans="1:9" ht="15.75" customHeight="1">
      <c r="A313" s="42" t="s">
        <v>6</v>
      </c>
      <c r="B313" s="1" t="s">
        <v>3737</v>
      </c>
      <c r="C313" s="43">
        <v>5025662</v>
      </c>
      <c r="D313" s="1" t="s">
        <v>71</v>
      </c>
      <c r="E313" s="45" t="s">
        <v>3768</v>
      </c>
      <c r="F313" s="42"/>
      <c r="G313" s="50"/>
      <c r="H313" s="42"/>
      <c r="I313" s="42"/>
    </row>
    <row r="314" spans="1:9" ht="15.75" customHeight="1">
      <c r="A314" s="42" t="s">
        <v>6</v>
      </c>
      <c r="B314" s="1" t="s">
        <v>3737</v>
      </c>
      <c r="C314" s="43">
        <v>2940444</v>
      </c>
      <c r="D314" s="1" t="s">
        <v>83</v>
      </c>
      <c r="E314" s="45" t="s">
        <v>3706</v>
      </c>
      <c r="F314" s="42"/>
      <c r="G314" s="50"/>
      <c r="H314" s="42"/>
      <c r="I314" s="42"/>
    </row>
    <row r="315" spans="1:9" ht="15.75" customHeight="1">
      <c r="A315" s="42" t="s">
        <v>6</v>
      </c>
      <c r="B315" s="1" t="s">
        <v>3737</v>
      </c>
      <c r="C315" s="43">
        <v>529984</v>
      </c>
      <c r="D315" s="1" t="s">
        <v>83</v>
      </c>
      <c r="E315" s="45" t="s">
        <v>3769</v>
      </c>
      <c r="F315" s="42"/>
      <c r="G315" s="50"/>
      <c r="H315" s="42"/>
      <c r="I315" s="42"/>
    </row>
    <row r="316" spans="1:9" ht="15.75" customHeight="1">
      <c r="A316" s="42" t="s">
        <v>6</v>
      </c>
      <c r="B316" s="1" t="s">
        <v>3737</v>
      </c>
      <c r="C316" s="43">
        <v>3101022</v>
      </c>
      <c r="D316" s="1" t="s">
        <v>101</v>
      </c>
      <c r="E316" s="45" t="s">
        <v>3770</v>
      </c>
      <c r="F316" s="42"/>
      <c r="G316" s="50"/>
      <c r="H316" s="42"/>
      <c r="I316" s="42"/>
    </row>
    <row r="317" spans="1:9" ht="15.75" customHeight="1">
      <c r="A317" s="42" t="s">
        <v>6</v>
      </c>
      <c r="B317" s="1" t="s">
        <v>3737</v>
      </c>
      <c r="C317" s="43">
        <v>453970</v>
      </c>
      <c r="D317" s="1" t="s">
        <v>101</v>
      </c>
      <c r="E317" s="45" t="s">
        <v>3771</v>
      </c>
      <c r="F317" s="42"/>
      <c r="G317" s="50"/>
      <c r="H317" s="42"/>
      <c r="I317" s="42"/>
    </row>
    <row r="318" spans="1:9" ht="15.75" customHeight="1">
      <c r="A318" s="42" t="s">
        <v>6</v>
      </c>
      <c r="B318" s="1" t="s">
        <v>3737</v>
      </c>
      <c r="C318" s="43">
        <v>761020</v>
      </c>
      <c r="D318" s="1" t="s">
        <v>101</v>
      </c>
      <c r="E318" s="45" t="s">
        <v>3772</v>
      </c>
      <c r="F318" s="42"/>
      <c r="G318" s="50"/>
      <c r="H318" s="42"/>
      <c r="I318" s="42"/>
    </row>
    <row r="319" spans="1:9" ht="15.75" customHeight="1">
      <c r="A319" s="42" t="s">
        <v>6</v>
      </c>
      <c r="B319" s="1" t="s">
        <v>3737</v>
      </c>
      <c r="C319" s="43">
        <v>734560</v>
      </c>
      <c r="D319" s="1" t="s">
        <v>83</v>
      </c>
      <c r="E319" s="45" t="s">
        <v>3713</v>
      </c>
      <c r="F319" s="42"/>
      <c r="G319" s="50"/>
      <c r="H319" s="42"/>
      <c r="I319" s="42"/>
    </row>
    <row r="320" spans="1:9" ht="15.75" customHeight="1">
      <c r="A320" s="42" t="s">
        <v>6</v>
      </c>
      <c r="B320" s="1" t="s">
        <v>3737</v>
      </c>
      <c r="C320" s="43">
        <v>708837</v>
      </c>
      <c r="D320" s="1" t="s">
        <v>83</v>
      </c>
      <c r="E320" s="45" t="s">
        <v>3773</v>
      </c>
      <c r="F320" s="42"/>
      <c r="G320" s="50"/>
      <c r="H320" s="42"/>
      <c r="I320" s="42"/>
    </row>
    <row r="321" spans="1:9" ht="15.75" customHeight="1">
      <c r="A321" s="42" t="s">
        <v>6</v>
      </c>
      <c r="B321" s="1" t="s">
        <v>3737</v>
      </c>
      <c r="C321" s="43">
        <v>561714</v>
      </c>
      <c r="D321" s="1" t="s">
        <v>83</v>
      </c>
      <c r="E321" s="45" t="s">
        <v>3774</v>
      </c>
      <c r="F321" s="42"/>
      <c r="G321" s="50"/>
      <c r="H321" s="42"/>
      <c r="I321" s="42"/>
    </row>
    <row r="322" spans="1:9" ht="15.75" customHeight="1">
      <c r="A322" s="42" t="s">
        <v>6</v>
      </c>
      <c r="B322" s="1" t="s">
        <v>3737</v>
      </c>
      <c r="C322" s="43">
        <v>561716</v>
      </c>
      <c r="D322" s="1" t="s">
        <v>83</v>
      </c>
      <c r="E322" s="45" t="s">
        <v>3775</v>
      </c>
      <c r="F322" s="42"/>
      <c r="G322" s="50"/>
      <c r="H322" s="42"/>
      <c r="I322" s="42"/>
    </row>
    <row r="323" spans="1:9" ht="15.75" customHeight="1">
      <c r="A323" s="42" t="s">
        <v>6</v>
      </c>
      <c r="B323" s="1" t="s">
        <v>3737</v>
      </c>
      <c r="C323" s="43">
        <v>471151</v>
      </c>
      <c r="D323" s="1" t="s">
        <v>83</v>
      </c>
      <c r="E323" s="45" t="s">
        <v>3776</v>
      </c>
      <c r="F323" s="42"/>
      <c r="G323" s="50"/>
      <c r="H323" s="42"/>
      <c r="I323" s="42"/>
    </row>
    <row r="324" spans="1:9" ht="15.75" customHeight="1">
      <c r="A324" s="42" t="s">
        <v>6</v>
      </c>
      <c r="B324" s="1" t="s">
        <v>3737</v>
      </c>
      <c r="C324" s="43">
        <v>2449041</v>
      </c>
      <c r="D324" s="1" t="s">
        <v>83</v>
      </c>
      <c r="E324" s="49" t="s">
        <v>3777</v>
      </c>
      <c r="F324" s="42"/>
      <c r="G324" s="50"/>
      <c r="H324" s="42"/>
      <c r="I324" s="42"/>
    </row>
    <row r="325" spans="1:9" ht="15.75" customHeight="1">
      <c r="A325" s="42" t="s">
        <v>6</v>
      </c>
      <c r="B325" s="1" t="s">
        <v>3737</v>
      </c>
      <c r="C325" s="43">
        <v>2999028</v>
      </c>
      <c r="D325" s="1" t="s">
        <v>80</v>
      </c>
      <c r="E325" s="45" t="s">
        <v>3778</v>
      </c>
      <c r="F325" s="42"/>
      <c r="G325" s="50"/>
      <c r="H325" s="42"/>
      <c r="I325" s="42"/>
    </row>
    <row r="326" spans="1:9" ht="15.75" customHeight="1">
      <c r="A326" s="42" t="s">
        <v>6</v>
      </c>
      <c r="B326" s="1" t="s">
        <v>3737</v>
      </c>
      <c r="C326" s="43">
        <v>559579</v>
      </c>
      <c r="D326" s="1" t="s">
        <v>83</v>
      </c>
      <c r="E326" s="45" t="s">
        <v>3779</v>
      </c>
      <c r="F326" s="42"/>
      <c r="G326" s="50"/>
      <c r="H326" s="42"/>
      <c r="I326" s="42"/>
    </row>
    <row r="327" spans="1:9" ht="15.75" customHeight="1">
      <c r="A327" s="42" t="s">
        <v>6</v>
      </c>
      <c r="B327" s="1" t="s">
        <v>3737</v>
      </c>
      <c r="C327" s="43">
        <v>2917612</v>
      </c>
      <c r="D327" s="1" t="s">
        <v>71</v>
      </c>
      <c r="E327" s="45" t="s">
        <v>3780</v>
      </c>
      <c r="F327" s="42"/>
      <c r="G327" s="50"/>
      <c r="H327" s="42"/>
      <c r="I327" s="42"/>
    </row>
    <row r="328" spans="1:9" ht="15.75" customHeight="1">
      <c r="A328" s="42" t="s">
        <v>6</v>
      </c>
      <c r="B328" s="1" t="s">
        <v>3737</v>
      </c>
      <c r="C328" s="43">
        <v>2878234</v>
      </c>
      <c r="D328" s="1" t="s">
        <v>83</v>
      </c>
      <c r="E328" s="45" t="s">
        <v>3781</v>
      </c>
      <c r="F328" s="42"/>
      <c r="G328" s="50"/>
      <c r="H328" s="42"/>
      <c r="I328" s="42"/>
    </row>
    <row r="329" spans="1:9" ht="15.75" customHeight="1">
      <c r="A329" s="42" t="s">
        <v>6</v>
      </c>
      <c r="B329" s="1" t="s">
        <v>3737</v>
      </c>
      <c r="C329" s="43">
        <v>495016</v>
      </c>
      <c r="D329" s="1" t="s">
        <v>83</v>
      </c>
      <c r="E329" s="45" t="s">
        <v>3782</v>
      </c>
      <c r="F329" s="42"/>
      <c r="G329" s="50"/>
      <c r="H329" s="42"/>
      <c r="I329" s="42"/>
    </row>
    <row r="330" spans="1:9" ht="15.75" customHeight="1">
      <c r="A330" s="42" t="s">
        <v>6</v>
      </c>
      <c r="B330" s="1" t="s">
        <v>3737</v>
      </c>
      <c r="C330" s="43">
        <v>500552</v>
      </c>
      <c r="D330" s="1" t="s">
        <v>83</v>
      </c>
      <c r="E330" s="45" t="s">
        <v>3783</v>
      </c>
      <c r="F330" s="42"/>
      <c r="G330" s="50"/>
      <c r="H330" s="42"/>
      <c r="I330" s="42"/>
    </row>
    <row r="331" spans="1:9" ht="15.75" customHeight="1">
      <c r="A331" s="42" t="s">
        <v>6</v>
      </c>
      <c r="B331" s="1" t="s">
        <v>3737</v>
      </c>
      <c r="C331" s="43">
        <v>785472</v>
      </c>
      <c r="D331" s="1" t="s">
        <v>80</v>
      </c>
      <c r="E331" s="45" t="s">
        <v>3784</v>
      </c>
      <c r="F331" s="42"/>
      <c r="G331" s="50"/>
      <c r="H331" s="42"/>
      <c r="I331" s="42"/>
    </row>
    <row r="332" spans="1:9" ht="15.75" customHeight="1">
      <c r="A332" s="42" t="s">
        <v>6</v>
      </c>
      <c r="B332" s="1" t="s">
        <v>3737</v>
      </c>
      <c r="C332" s="43">
        <v>575054</v>
      </c>
      <c r="D332" s="1" t="s">
        <v>83</v>
      </c>
      <c r="E332" s="45" t="s">
        <v>3785</v>
      </c>
      <c r="F332" s="42"/>
      <c r="G332" s="50"/>
      <c r="H332" s="42"/>
      <c r="I332" s="42"/>
    </row>
    <row r="333" spans="1:9" ht="15.75" customHeight="1">
      <c r="A333" s="42" t="s">
        <v>6</v>
      </c>
      <c r="B333" s="1" t="s">
        <v>3737</v>
      </c>
      <c r="C333" s="43">
        <v>2929896</v>
      </c>
      <c r="D333" s="1" t="s">
        <v>83</v>
      </c>
      <c r="E333" s="45" t="s">
        <v>3786</v>
      </c>
      <c r="F333" s="42"/>
      <c r="G333" s="50"/>
      <c r="H333" s="42"/>
      <c r="I333" s="42"/>
    </row>
    <row r="334" spans="1:9" ht="15.75" customHeight="1">
      <c r="A334" s="42" t="s">
        <v>6</v>
      </c>
      <c r="B334" s="1" t="s">
        <v>3737</v>
      </c>
      <c r="C334" s="43">
        <v>2908730</v>
      </c>
      <c r="D334" s="1" t="s">
        <v>101</v>
      </c>
      <c r="E334" s="45" t="s">
        <v>3787</v>
      </c>
      <c r="F334" s="42"/>
      <c r="G334" s="50"/>
      <c r="H334" s="42"/>
      <c r="I334" s="42"/>
    </row>
    <row r="335" spans="1:9" ht="15.75" customHeight="1">
      <c r="A335" s="42" t="s">
        <v>6</v>
      </c>
      <c r="B335" s="1" t="s">
        <v>3737</v>
      </c>
      <c r="C335" s="43">
        <v>559570</v>
      </c>
      <c r="D335" s="1" t="s">
        <v>83</v>
      </c>
      <c r="E335" s="45" t="s">
        <v>3663</v>
      </c>
      <c r="F335" s="42"/>
      <c r="G335" s="50"/>
      <c r="H335" s="42"/>
      <c r="I335" s="42"/>
    </row>
    <row r="336" spans="1:9" ht="15.75" customHeight="1">
      <c r="A336" s="42" t="s">
        <v>6</v>
      </c>
      <c r="B336" s="1" t="s">
        <v>3737</v>
      </c>
      <c r="C336" s="43">
        <v>479173</v>
      </c>
      <c r="D336" s="1" t="s">
        <v>83</v>
      </c>
      <c r="E336" s="45" t="s">
        <v>3788</v>
      </c>
      <c r="F336" s="42"/>
      <c r="G336" s="50"/>
      <c r="H336" s="42"/>
      <c r="I336" s="42"/>
    </row>
    <row r="337" spans="1:9" ht="15.75" customHeight="1">
      <c r="A337" s="42" t="s">
        <v>6</v>
      </c>
      <c r="B337" s="1" t="s">
        <v>3737</v>
      </c>
      <c r="C337" s="43">
        <v>2915509</v>
      </c>
      <c r="D337" s="1" t="s">
        <v>101</v>
      </c>
      <c r="E337" s="45" t="s">
        <v>3789</v>
      </c>
      <c r="F337" s="42"/>
      <c r="G337" s="50"/>
      <c r="H337" s="42"/>
      <c r="I337" s="42"/>
    </row>
    <row r="338" spans="1:9" ht="15.75" customHeight="1">
      <c r="A338" s="42" t="s">
        <v>6</v>
      </c>
      <c r="B338" s="1" t="s">
        <v>3737</v>
      </c>
      <c r="C338" s="43">
        <v>2825353</v>
      </c>
      <c r="D338" s="1" t="s">
        <v>101</v>
      </c>
      <c r="E338" s="45" t="s">
        <v>3790</v>
      </c>
      <c r="F338" s="42"/>
      <c r="G338" s="50"/>
      <c r="H338" s="42"/>
      <c r="I338" s="42"/>
    </row>
    <row r="339" spans="1:9" ht="15.75" customHeight="1">
      <c r="A339" s="42" t="s">
        <v>6</v>
      </c>
      <c r="B339" s="1" t="s">
        <v>3737</v>
      </c>
      <c r="C339" s="43">
        <v>2917613</v>
      </c>
      <c r="D339" s="1" t="s">
        <v>101</v>
      </c>
      <c r="E339" s="45" t="s">
        <v>3791</v>
      </c>
      <c r="F339" s="42"/>
      <c r="G339" s="50"/>
      <c r="H339" s="42"/>
      <c r="I339" s="42"/>
    </row>
    <row r="340" spans="1:9" ht="16.5" customHeight="1">
      <c r="A340" s="42" t="s">
        <v>6</v>
      </c>
      <c r="B340" s="1" t="s">
        <v>3737</v>
      </c>
      <c r="C340" s="43">
        <v>561711</v>
      </c>
      <c r="D340" s="1" t="s">
        <v>83</v>
      </c>
      <c r="E340" s="45" t="s">
        <v>3792</v>
      </c>
      <c r="F340" s="42"/>
      <c r="G340" s="50"/>
      <c r="H340" s="42"/>
      <c r="I340" s="42"/>
    </row>
    <row r="341" spans="1:9" ht="16.5" customHeight="1">
      <c r="A341" s="42" t="s">
        <v>6</v>
      </c>
      <c r="B341" s="1" t="s">
        <v>3737</v>
      </c>
      <c r="C341" s="43">
        <v>768249</v>
      </c>
      <c r="D341" s="1" t="s">
        <v>80</v>
      </c>
      <c r="E341" s="45" t="s">
        <v>3793</v>
      </c>
      <c r="F341" s="42"/>
      <c r="G341" s="50"/>
      <c r="H341" s="42"/>
      <c r="I341" s="42"/>
    </row>
    <row r="342" spans="1:9" ht="16.5" customHeight="1">
      <c r="A342" s="42" t="s">
        <v>6</v>
      </c>
      <c r="B342" s="1" t="s">
        <v>3737</v>
      </c>
      <c r="C342" s="43">
        <v>2220836</v>
      </c>
      <c r="D342" s="1" t="s">
        <v>80</v>
      </c>
      <c r="E342" s="45" t="s">
        <v>3794</v>
      </c>
      <c r="F342" s="42"/>
      <c r="G342" s="50"/>
      <c r="H342" s="42"/>
      <c r="I342" s="42"/>
    </row>
    <row r="343" spans="1:9" ht="15.75" customHeight="1">
      <c r="A343" s="42" t="s">
        <v>6</v>
      </c>
      <c r="B343" s="1" t="s">
        <v>3737</v>
      </c>
      <c r="C343" s="43">
        <v>510809</v>
      </c>
      <c r="D343" s="1" t="s">
        <v>83</v>
      </c>
      <c r="E343" s="45" t="s">
        <v>3795</v>
      </c>
      <c r="F343" s="42"/>
      <c r="G343" s="50"/>
      <c r="H343" s="42"/>
      <c r="I343" s="42"/>
    </row>
    <row r="344" spans="1:9" ht="15.75" customHeight="1">
      <c r="A344" s="42" t="s">
        <v>6</v>
      </c>
      <c r="B344" s="1" t="s">
        <v>3737</v>
      </c>
      <c r="C344" s="43">
        <v>703228</v>
      </c>
      <c r="D344" s="1" t="s">
        <v>101</v>
      </c>
      <c r="E344" s="45" t="s">
        <v>3796</v>
      </c>
      <c r="F344" s="42"/>
      <c r="G344" s="50"/>
      <c r="H344" s="42"/>
      <c r="I344" s="42"/>
    </row>
    <row r="345" spans="1:9" ht="15.75" customHeight="1">
      <c r="A345" s="42" t="s">
        <v>6</v>
      </c>
      <c r="B345" s="1" t="s">
        <v>3737</v>
      </c>
      <c r="C345" s="43">
        <v>473062</v>
      </c>
      <c r="D345" s="1" t="s">
        <v>101</v>
      </c>
      <c r="E345" s="45" t="s">
        <v>3797</v>
      </c>
      <c r="F345" s="42"/>
      <c r="G345" s="50"/>
      <c r="H345" s="42"/>
      <c r="I345" s="42"/>
    </row>
    <row r="346" spans="1:9" ht="15.75" customHeight="1">
      <c r="A346" s="42" t="s">
        <v>6</v>
      </c>
      <c r="B346" s="1" t="s">
        <v>3737</v>
      </c>
      <c r="C346" s="43">
        <v>676478</v>
      </c>
      <c r="D346" s="1" t="s">
        <v>71</v>
      </c>
      <c r="E346" s="45" t="s">
        <v>3798</v>
      </c>
      <c r="F346" s="42"/>
      <c r="G346" s="50"/>
      <c r="H346" s="42"/>
      <c r="I346" s="42"/>
    </row>
    <row r="347" spans="1:9" ht="15.75" customHeight="1">
      <c r="A347" s="42" t="s">
        <v>6</v>
      </c>
      <c r="B347" s="1" t="s">
        <v>3737</v>
      </c>
      <c r="C347" s="43">
        <v>394015</v>
      </c>
      <c r="D347" s="1" t="s">
        <v>71</v>
      </c>
      <c r="E347" s="45" t="s">
        <v>3799</v>
      </c>
      <c r="F347" s="42"/>
      <c r="G347" s="50"/>
      <c r="H347" s="42"/>
      <c r="I347" s="42"/>
    </row>
    <row r="348" spans="1:9" ht="15.75" customHeight="1">
      <c r="A348" s="42" t="s">
        <v>6</v>
      </c>
      <c r="B348" s="1" t="s">
        <v>3737</v>
      </c>
      <c r="C348" s="43">
        <v>676477</v>
      </c>
      <c r="D348" s="1" t="s">
        <v>71</v>
      </c>
      <c r="E348" s="45" t="s">
        <v>3800</v>
      </c>
      <c r="F348" s="42"/>
      <c r="G348" s="50"/>
      <c r="H348" s="42"/>
      <c r="I348" s="42"/>
    </row>
    <row r="349" spans="1:9" ht="15.75" customHeight="1">
      <c r="A349" s="42" t="s">
        <v>6</v>
      </c>
      <c r="B349" s="1" t="s">
        <v>3737</v>
      </c>
      <c r="C349" s="43">
        <v>2875014</v>
      </c>
      <c r="D349" s="1" t="s">
        <v>83</v>
      </c>
      <c r="E349" s="49" t="s">
        <v>3801</v>
      </c>
      <c r="F349" s="42"/>
      <c r="G349" s="50"/>
      <c r="H349" s="42"/>
      <c r="I349" s="42"/>
    </row>
    <row r="350" spans="1:9" ht="15.75" customHeight="1">
      <c r="A350" s="42" t="s">
        <v>6</v>
      </c>
      <c r="B350" s="1" t="s">
        <v>3737</v>
      </c>
      <c r="C350" s="43">
        <v>489843</v>
      </c>
      <c r="D350" s="1" t="s">
        <v>71</v>
      </c>
      <c r="E350" s="157" t="s">
        <v>3802</v>
      </c>
      <c r="F350" s="42"/>
      <c r="G350" s="50"/>
      <c r="H350" s="42"/>
      <c r="I350" s="42"/>
    </row>
    <row r="351" spans="1:9" ht="15.75" customHeight="1">
      <c r="A351" s="42" t="s">
        <v>6</v>
      </c>
      <c r="B351" s="1" t="s">
        <v>3737</v>
      </c>
      <c r="C351" s="43">
        <v>393155</v>
      </c>
      <c r="D351" s="1" t="s">
        <v>101</v>
      </c>
      <c r="E351" s="45" t="s">
        <v>3803</v>
      </c>
      <c r="F351" s="42"/>
      <c r="G351" s="50"/>
      <c r="H351" s="42"/>
      <c r="I351" s="42"/>
    </row>
    <row r="352" spans="1:9" ht="15.75" customHeight="1">
      <c r="A352" s="42" t="s">
        <v>6</v>
      </c>
      <c r="B352" s="1" t="s">
        <v>3737</v>
      </c>
      <c r="C352" s="43">
        <v>2403048</v>
      </c>
      <c r="D352" s="1" t="s">
        <v>83</v>
      </c>
      <c r="E352" s="45" t="s">
        <v>3804</v>
      </c>
      <c r="F352" s="42"/>
      <c r="G352" s="50"/>
      <c r="H352" s="42"/>
      <c r="I352" s="42"/>
    </row>
    <row r="353" spans="1:9" ht="15.75" customHeight="1">
      <c r="A353" s="42" t="s">
        <v>6</v>
      </c>
      <c r="B353" s="1" t="s">
        <v>3737</v>
      </c>
      <c r="C353" s="43">
        <v>514350</v>
      </c>
      <c r="D353" s="1" t="s">
        <v>83</v>
      </c>
      <c r="E353" s="45" t="s">
        <v>3805</v>
      </c>
      <c r="F353" s="42"/>
      <c r="G353" s="50"/>
      <c r="H353" s="42"/>
      <c r="I353" s="42"/>
    </row>
    <row r="354" spans="1:9" ht="15.75" customHeight="1">
      <c r="A354" s="42" t="s">
        <v>6</v>
      </c>
      <c r="B354" s="1" t="s">
        <v>3737</v>
      </c>
      <c r="C354" s="43">
        <v>3115137</v>
      </c>
      <c r="D354" s="1" t="s">
        <v>83</v>
      </c>
      <c r="E354" s="45" t="s">
        <v>3806</v>
      </c>
      <c r="F354" s="42"/>
      <c r="G354" s="50"/>
      <c r="H354" s="42"/>
      <c r="I354" s="42"/>
    </row>
    <row r="355" spans="1:9" ht="15.75" customHeight="1">
      <c r="A355" s="42" t="s">
        <v>6</v>
      </c>
      <c r="B355" s="1" t="s">
        <v>3737</v>
      </c>
      <c r="C355" s="43">
        <v>2841291</v>
      </c>
      <c r="D355" s="1" t="s">
        <v>80</v>
      </c>
      <c r="E355" s="45" t="s">
        <v>3807</v>
      </c>
      <c r="F355" s="42"/>
      <c r="G355" s="50"/>
      <c r="H355" s="42"/>
      <c r="I355" s="42"/>
    </row>
    <row r="356" spans="1:9" ht="15.75" customHeight="1">
      <c r="A356" s="42" t="s">
        <v>6</v>
      </c>
      <c r="B356" s="1" t="s">
        <v>3737</v>
      </c>
      <c r="C356" s="43">
        <v>2822598</v>
      </c>
      <c r="D356" s="1" t="s">
        <v>83</v>
      </c>
      <c r="E356" s="45" t="s">
        <v>3808</v>
      </c>
      <c r="F356" s="42"/>
      <c r="G356" s="50"/>
      <c r="H356" s="42"/>
      <c r="I356" s="42"/>
    </row>
    <row r="357" spans="1:9" ht="15.75" customHeight="1">
      <c r="A357" s="42" t="s">
        <v>6</v>
      </c>
      <c r="B357" s="1" t="s">
        <v>3737</v>
      </c>
      <c r="C357" s="43">
        <v>3146320</v>
      </c>
      <c r="D357" s="1" t="s">
        <v>83</v>
      </c>
      <c r="E357" s="157" t="s">
        <v>3809</v>
      </c>
      <c r="F357" s="42"/>
      <c r="G357" s="50"/>
      <c r="H357" s="42"/>
      <c r="I357" s="42"/>
    </row>
    <row r="358" spans="1:9" ht="15.75" customHeight="1">
      <c r="A358" s="42" t="s">
        <v>6</v>
      </c>
      <c r="B358" s="1" t="s">
        <v>3737</v>
      </c>
      <c r="C358" s="43">
        <v>529916</v>
      </c>
      <c r="D358" s="1" t="s">
        <v>80</v>
      </c>
      <c r="E358" s="45" t="s">
        <v>3727</v>
      </c>
      <c r="F358" s="42"/>
      <c r="G358" s="50"/>
      <c r="H358" s="42"/>
      <c r="I358" s="42"/>
    </row>
    <row r="359" spans="1:9" ht="15.75" customHeight="1">
      <c r="A359" s="42" t="s">
        <v>6</v>
      </c>
      <c r="B359" s="1" t="s">
        <v>3737</v>
      </c>
      <c r="C359" s="43">
        <v>2951231</v>
      </c>
      <c r="D359" s="1" t="s">
        <v>83</v>
      </c>
      <c r="E359" s="45" t="s">
        <v>3810</v>
      </c>
      <c r="F359" s="42"/>
      <c r="G359" s="50"/>
      <c r="H359" s="42"/>
      <c r="I359" s="42"/>
    </row>
    <row r="360" spans="1:9" ht="15.75" customHeight="1">
      <c r="A360" s="42" t="s">
        <v>6</v>
      </c>
      <c r="B360" s="1" t="s">
        <v>3737</v>
      </c>
      <c r="C360" s="43">
        <v>2422273</v>
      </c>
      <c r="D360" s="1" t="s">
        <v>83</v>
      </c>
      <c r="E360" s="49" t="s">
        <v>3811</v>
      </c>
      <c r="F360" s="42"/>
      <c r="G360" s="50"/>
      <c r="H360" s="42"/>
      <c r="I360" s="42"/>
    </row>
    <row r="361" spans="1:9" ht="15.75" customHeight="1">
      <c r="A361" s="42" t="s">
        <v>6</v>
      </c>
      <c r="B361" s="1" t="s">
        <v>3737</v>
      </c>
      <c r="C361" s="43">
        <v>516406</v>
      </c>
      <c r="D361" s="1" t="s">
        <v>71</v>
      </c>
      <c r="E361" s="45" t="s">
        <v>3812</v>
      </c>
      <c r="F361" s="42"/>
      <c r="G361" s="50"/>
      <c r="H361" s="42"/>
      <c r="I361" s="42"/>
    </row>
    <row r="362" spans="1:9" ht="15.75" customHeight="1">
      <c r="A362" s="42" t="s">
        <v>6</v>
      </c>
      <c r="B362" s="1" t="s">
        <v>3737</v>
      </c>
      <c r="C362" s="43">
        <v>195609</v>
      </c>
      <c r="D362" s="1" t="s">
        <v>71</v>
      </c>
      <c r="E362" s="45" t="s">
        <v>3813</v>
      </c>
      <c r="F362" s="42"/>
      <c r="G362" s="50"/>
      <c r="H362" s="42"/>
      <c r="I362" s="42"/>
    </row>
    <row r="363" spans="1:9" ht="15.75" customHeight="1">
      <c r="A363" s="42" t="s">
        <v>6</v>
      </c>
      <c r="B363" s="1" t="s">
        <v>3737</v>
      </c>
      <c r="C363" s="43">
        <v>195602</v>
      </c>
      <c r="D363" s="1" t="s">
        <v>101</v>
      </c>
      <c r="E363" s="45" t="s">
        <v>3814</v>
      </c>
      <c r="F363" s="42"/>
      <c r="G363" s="50"/>
      <c r="H363" s="42"/>
      <c r="I363" s="42"/>
    </row>
    <row r="364" spans="1:9" ht="15.75" customHeight="1">
      <c r="A364" s="42" t="s">
        <v>6</v>
      </c>
      <c r="B364" s="1" t="s">
        <v>3737</v>
      </c>
      <c r="C364" s="43">
        <v>584354</v>
      </c>
      <c r="D364" s="1" t="s">
        <v>101</v>
      </c>
      <c r="E364" s="45" t="s">
        <v>3731</v>
      </c>
      <c r="F364" s="42"/>
      <c r="G364" s="50"/>
      <c r="H364" s="42"/>
      <c r="I364" s="42"/>
    </row>
    <row r="365" spans="1:9" ht="15.75" customHeight="1">
      <c r="A365" s="42" t="s">
        <v>6</v>
      </c>
      <c r="B365" s="1" t="s">
        <v>3737</v>
      </c>
      <c r="C365" s="43">
        <v>759354</v>
      </c>
      <c r="D365" s="1" t="s">
        <v>90</v>
      </c>
      <c r="E365" s="45" t="s">
        <v>3815</v>
      </c>
      <c r="F365" s="42"/>
      <c r="G365" s="50"/>
      <c r="H365" s="42"/>
      <c r="I365" s="42"/>
    </row>
    <row r="366" spans="1:9" ht="15.75" customHeight="1">
      <c r="A366" s="42" t="s">
        <v>6</v>
      </c>
      <c r="B366" s="1" t="s">
        <v>3737</v>
      </c>
      <c r="C366" s="43">
        <v>2996923</v>
      </c>
      <c r="D366" s="1" t="s">
        <v>101</v>
      </c>
      <c r="E366" s="45" t="s">
        <v>3816</v>
      </c>
      <c r="F366" s="42"/>
      <c r="G366" s="50"/>
      <c r="H366" s="42"/>
      <c r="I366" s="42"/>
    </row>
    <row r="367" spans="1:9" ht="15.75" customHeight="1">
      <c r="A367" s="42" t="s">
        <v>6</v>
      </c>
      <c r="B367" s="1" t="s">
        <v>3737</v>
      </c>
      <c r="C367" s="43">
        <v>2875010</v>
      </c>
      <c r="D367" s="1" t="s">
        <v>83</v>
      </c>
      <c r="E367" s="45" t="s">
        <v>3817</v>
      </c>
      <c r="F367" s="42"/>
      <c r="G367" s="50"/>
      <c r="H367" s="42"/>
      <c r="I367" s="42"/>
    </row>
    <row r="368" spans="1:9" ht="15.75" customHeight="1">
      <c r="A368" s="42" t="s">
        <v>6</v>
      </c>
      <c r="B368" s="1" t="s">
        <v>3737</v>
      </c>
      <c r="C368" s="43">
        <v>2823519</v>
      </c>
      <c r="D368" s="1" t="s">
        <v>83</v>
      </c>
      <c r="E368" s="45" t="s">
        <v>3818</v>
      </c>
      <c r="F368" s="42"/>
      <c r="G368" s="50"/>
      <c r="H368" s="42"/>
      <c r="I368" s="42"/>
    </row>
    <row r="369" spans="1:9" ht="15.75" customHeight="1">
      <c r="A369" s="42" t="s">
        <v>6</v>
      </c>
      <c r="B369" s="1" t="s">
        <v>3737</v>
      </c>
      <c r="C369" s="43">
        <v>759358</v>
      </c>
      <c r="D369" s="1" t="s">
        <v>71</v>
      </c>
      <c r="E369" s="45" t="s">
        <v>3819</v>
      </c>
      <c r="F369" s="42"/>
      <c r="G369" s="50"/>
      <c r="H369" s="42"/>
      <c r="I369" s="42"/>
    </row>
    <row r="370" spans="1:9" ht="15.75" customHeight="1">
      <c r="A370" s="188" t="s">
        <v>7</v>
      </c>
      <c r="B370" s="189" t="s">
        <v>3820</v>
      </c>
      <c r="C370" s="190" t="s">
        <v>68</v>
      </c>
      <c r="D370" s="190" t="s">
        <v>62</v>
      </c>
      <c r="E370" s="56" t="s">
        <v>69</v>
      </c>
      <c r="F370" s="190"/>
      <c r="G370" s="48" t="s">
        <v>70</v>
      </c>
      <c r="H370" s="188"/>
      <c r="I370" s="188"/>
    </row>
    <row r="371" spans="1:9" ht="15.75" customHeight="1">
      <c r="A371" s="42" t="s">
        <v>7</v>
      </c>
      <c r="B371" s="1" t="s">
        <v>3820</v>
      </c>
      <c r="C371" s="43">
        <v>778407</v>
      </c>
      <c r="D371" s="1" t="s">
        <v>80</v>
      </c>
      <c r="E371" s="45" t="s">
        <v>3821</v>
      </c>
      <c r="F371" s="42"/>
      <c r="G371" s="48" t="s">
        <v>3822</v>
      </c>
      <c r="H371" s="42"/>
      <c r="I371" s="42"/>
    </row>
    <row r="372" spans="1:9" ht="15.75" customHeight="1">
      <c r="A372" s="42" t="s">
        <v>7</v>
      </c>
      <c r="B372" s="1" t="s">
        <v>3820</v>
      </c>
      <c r="C372" s="43">
        <v>759350</v>
      </c>
      <c r="D372" s="1" t="s">
        <v>80</v>
      </c>
      <c r="E372" s="45" t="s">
        <v>3689</v>
      </c>
      <c r="F372" s="42"/>
      <c r="G372" s="48" t="s">
        <v>3559</v>
      </c>
      <c r="H372" s="42"/>
      <c r="I372" s="42"/>
    </row>
    <row r="373" spans="1:9" ht="15.75" customHeight="1">
      <c r="A373" s="42" t="s">
        <v>7</v>
      </c>
      <c r="B373" s="1" t="s">
        <v>3820</v>
      </c>
      <c r="C373" s="43">
        <v>752385</v>
      </c>
      <c r="D373" s="1" t="s">
        <v>83</v>
      </c>
      <c r="E373" s="45" t="s">
        <v>3823</v>
      </c>
      <c r="F373" s="42"/>
      <c r="G373" s="48" t="s">
        <v>3555</v>
      </c>
      <c r="H373" s="42"/>
      <c r="I373" s="42"/>
    </row>
    <row r="374" spans="1:9" ht="15.75" customHeight="1">
      <c r="A374" s="42" t="s">
        <v>7</v>
      </c>
      <c r="B374" s="1" t="s">
        <v>3820</v>
      </c>
      <c r="C374" s="43">
        <v>648142</v>
      </c>
      <c r="D374" s="1" t="s">
        <v>83</v>
      </c>
      <c r="E374" s="45" t="s">
        <v>3824</v>
      </c>
      <c r="F374" s="42"/>
      <c r="G374" s="48" t="s">
        <v>3513</v>
      </c>
      <c r="H374" s="42"/>
      <c r="I374" s="42"/>
    </row>
    <row r="375" spans="1:9" ht="15.75" customHeight="1">
      <c r="A375" s="42" t="s">
        <v>7</v>
      </c>
      <c r="B375" s="1" t="s">
        <v>3820</v>
      </c>
      <c r="C375" s="43">
        <v>631820</v>
      </c>
      <c r="D375" s="1" t="s">
        <v>83</v>
      </c>
      <c r="E375" s="45" t="s">
        <v>3825</v>
      </c>
      <c r="F375" s="42"/>
      <c r="G375" s="50"/>
      <c r="H375" s="42"/>
      <c r="I375" s="42"/>
    </row>
    <row r="376" spans="1:9" ht="15.75" customHeight="1">
      <c r="A376" s="42" t="s">
        <v>7</v>
      </c>
      <c r="B376" s="1" t="s">
        <v>3820</v>
      </c>
      <c r="C376" s="43">
        <v>784036</v>
      </c>
      <c r="D376" s="1" t="s">
        <v>80</v>
      </c>
      <c r="E376" s="45" t="s">
        <v>3826</v>
      </c>
      <c r="F376" s="42"/>
      <c r="G376" s="50"/>
      <c r="H376" s="42"/>
      <c r="I376" s="42"/>
    </row>
    <row r="377" spans="1:9" ht="15.75" customHeight="1">
      <c r="A377" s="42" t="s">
        <v>7</v>
      </c>
      <c r="B377" s="1" t="s">
        <v>3820</v>
      </c>
      <c r="C377" s="43">
        <v>563969</v>
      </c>
      <c r="D377" s="1" t="s">
        <v>71</v>
      </c>
      <c r="E377" s="45" t="s">
        <v>3604</v>
      </c>
      <c r="F377" s="42"/>
      <c r="G377" s="59"/>
      <c r="H377" s="42"/>
      <c r="I377" s="42"/>
    </row>
    <row r="378" spans="1:9" ht="15.75" customHeight="1">
      <c r="A378" s="42" t="s">
        <v>7</v>
      </c>
      <c r="B378" s="1" t="s">
        <v>3820</v>
      </c>
      <c r="C378" s="43">
        <v>678927</v>
      </c>
      <c r="D378" s="1" t="s">
        <v>80</v>
      </c>
      <c r="E378" s="45" t="s">
        <v>3564</v>
      </c>
      <c r="F378" s="42"/>
      <c r="G378" s="50"/>
      <c r="H378" s="42"/>
      <c r="I378" s="42"/>
    </row>
    <row r="379" spans="1:9" ht="15.75" customHeight="1">
      <c r="A379" s="42" t="s">
        <v>7</v>
      </c>
      <c r="B379" s="1" t="s">
        <v>3820</v>
      </c>
      <c r="C379" s="43">
        <v>2815032</v>
      </c>
      <c r="D379" s="1" t="s">
        <v>80</v>
      </c>
      <c r="E379" s="45" t="s">
        <v>3567</v>
      </c>
      <c r="F379" s="42"/>
      <c r="G379" s="50"/>
      <c r="H379" s="42"/>
      <c r="I379" s="42"/>
    </row>
    <row r="380" spans="1:9" ht="15.75" customHeight="1">
      <c r="A380" s="42" t="s">
        <v>7</v>
      </c>
      <c r="B380" s="1" t="s">
        <v>3820</v>
      </c>
      <c r="C380" s="43">
        <v>5025620</v>
      </c>
      <c r="D380" s="1" t="s">
        <v>101</v>
      </c>
      <c r="E380" s="45" t="s">
        <v>3569</v>
      </c>
      <c r="F380" s="42"/>
      <c r="G380" s="50"/>
      <c r="H380" s="42"/>
      <c r="I380" s="42"/>
    </row>
    <row r="381" spans="1:9" ht="15.75" customHeight="1">
      <c r="A381" s="42" t="s">
        <v>7</v>
      </c>
      <c r="B381" s="1" t="s">
        <v>3820</v>
      </c>
      <c r="C381" s="43">
        <v>612280</v>
      </c>
      <c r="D381" s="1" t="s">
        <v>83</v>
      </c>
      <c r="E381" s="45" t="s">
        <v>3827</v>
      </c>
      <c r="F381" s="42"/>
      <c r="G381" s="50"/>
      <c r="H381" s="42"/>
      <c r="I381" s="42"/>
    </row>
    <row r="382" spans="1:9" ht="15.75" customHeight="1">
      <c r="A382" s="42" t="s">
        <v>7</v>
      </c>
      <c r="B382" s="1" t="s">
        <v>3820</v>
      </c>
      <c r="C382" s="43">
        <v>645723</v>
      </c>
      <c r="D382" s="1" t="s">
        <v>80</v>
      </c>
      <c r="E382" s="45" t="s">
        <v>3701</v>
      </c>
      <c r="F382" s="42"/>
      <c r="G382" s="50"/>
      <c r="H382" s="42"/>
      <c r="I382" s="42"/>
    </row>
    <row r="383" spans="1:9" ht="15.75" customHeight="1">
      <c r="A383" s="42" t="s">
        <v>7</v>
      </c>
      <c r="B383" s="1" t="s">
        <v>3820</v>
      </c>
      <c r="C383" s="43">
        <v>713867</v>
      </c>
      <c r="D383" s="1" t="s">
        <v>80</v>
      </c>
      <c r="E383" s="45" t="s">
        <v>3574</v>
      </c>
      <c r="F383" s="42"/>
      <c r="G383" s="50"/>
      <c r="H383" s="42"/>
      <c r="I383" s="42"/>
    </row>
    <row r="384" spans="1:9" ht="15.75" customHeight="1">
      <c r="A384" s="42" t="s">
        <v>7</v>
      </c>
      <c r="B384" s="1" t="s">
        <v>3820</v>
      </c>
      <c r="C384" s="43">
        <v>738365</v>
      </c>
      <c r="D384" s="1" t="s">
        <v>71</v>
      </c>
      <c r="E384" s="45" t="s">
        <v>3828</v>
      </c>
      <c r="F384" s="42"/>
      <c r="G384" s="50"/>
      <c r="H384" s="42"/>
      <c r="I384" s="42"/>
    </row>
    <row r="385" spans="1:9" ht="15.75" customHeight="1">
      <c r="A385" s="42" t="s">
        <v>7</v>
      </c>
      <c r="B385" s="1" t="s">
        <v>3820</v>
      </c>
      <c r="C385" s="43">
        <v>2810237</v>
      </c>
      <c r="D385" s="1" t="s">
        <v>83</v>
      </c>
      <c r="E385" s="45" t="s">
        <v>3829</v>
      </c>
      <c r="F385" s="42"/>
      <c r="G385" s="50"/>
      <c r="H385" s="42"/>
      <c r="I385" s="42"/>
    </row>
    <row r="386" spans="1:9" ht="15.75" customHeight="1">
      <c r="A386" s="42" t="s">
        <v>7</v>
      </c>
      <c r="B386" s="1" t="s">
        <v>3820</v>
      </c>
      <c r="C386" s="43">
        <v>2809212</v>
      </c>
      <c r="D386" s="1" t="s">
        <v>83</v>
      </c>
      <c r="E386" s="45" t="s">
        <v>3830</v>
      </c>
      <c r="F386" s="42"/>
      <c r="G386" s="50"/>
      <c r="H386" s="42"/>
      <c r="I386" s="42"/>
    </row>
    <row r="387" spans="1:9" ht="15.75" customHeight="1">
      <c r="A387" s="42" t="s">
        <v>7</v>
      </c>
      <c r="B387" s="1" t="s">
        <v>3820</v>
      </c>
      <c r="C387" s="43">
        <v>2810238</v>
      </c>
      <c r="D387" s="1" t="s">
        <v>71</v>
      </c>
      <c r="E387" s="45" t="s">
        <v>3831</v>
      </c>
      <c r="F387" s="42"/>
      <c r="G387" s="50"/>
      <c r="H387" s="42"/>
      <c r="I387" s="42"/>
    </row>
    <row r="388" spans="1:9" ht="15.75" customHeight="1">
      <c r="A388" s="42" t="s">
        <v>7</v>
      </c>
      <c r="B388" s="1" t="s">
        <v>3820</v>
      </c>
      <c r="C388" s="43">
        <v>2809211</v>
      </c>
      <c r="D388" s="1" t="s">
        <v>71</v>
      </c>
      <c r="E388" s="45" t="s">
        <v>3832</v>
      </c>
      <c r="F388" s="190"/>
      <c r="G388" s="59"/>
      <c r="H388" s="188"/>
      <c r="I388" s="188"/>
    </row>
    <row r="389" spans="1:9" ht="15.75" customHeight="1">
      <c r="A389" s="42" t="s">
        <v>7</v>
      </c>
      <c r="B389" s="1" t="s">
        <v>3820</v>
      </c>
      <c r="C389" s="43">
        <v>2810236</v>
      </c>
      <c r="D389" s="1" t="s">
        <v>71</v>
      </c>
      <c r="E389" s="157" t="s">
        <v>3833</v>
      </c>
      <c r="F389" s="190"/>
      <c r="G389" s="59"/>
      <c r="H389" s="188"/>
      <c r="I389" s="188"/>
    </row>
    <row r="390" spans="1:9" ht="15.75" customHeight="1">
      <c r="A390" s="42" t="s">
        <v>7</v>
      </c>
      <c r="B390" s="1" t="s">
        <v>3820</v>
      </c>
      <c r="C390" s="43">
        <v>2809210</v>
      </c>
      <c r="D390" s="1" t="s">
        <v>80</v>
      </c>
      <c r="E390" s="45" t="s">
        <v>3834</v>
      </c>
      <c r="F390" s="190"/>
      <c r="G390" s="59"/>
      <c r="H390" s="188"/>
      <c r="I390" s="188"/>
    </row>
    <row r="391" spans="1:9" ht="15.75" customHeight="1">
      <c r="A391" s="42" t="s">
        <v>7</v>
      </c>
      <c r="B391" s="1" t="s">
        <v>3820</v>
      </c>
      <c r="C391" s="43">
        <v>5039149</v>
      </c>
      <c r="D391" s="1" t="s">
        <v>80</v>
      </c>
      <c r="E391" s="45" t="s">
        <v>3835</v>
      </c>
      <c r="F391" s="190"/>
      <c r="G391" s="59"/>
      <c r="H391" s="188"/>
      <c r="I391" s="188"/>
    </row>
    <row r="392" spans="1:9" ht="15.75" customHeight="1">
      <c r="A392" s="42" t="s">
        <v>7</v>
      </c>
      <c r="B392" s="1" t="s">
        <v>3820</v>
      </c>
      <c r="C392" s="43">
        <v>761020</v>
      </c>
      <c r="D392" s="1" t="s">
        <v>101</v>
      </c>
      <c r="E392" s="45" t="s">
        <v>3772</v>
      </c>
      <c r="F392" s="190"/>
      <c r="G392" s="59"/>
      <c r="H392" s="188"/>
      <c r="I392" s="188"/>
    </row>
    <row r="393" spans="1:9" ht="15.75" customHeight="1">
      <c r="A393" s="42" t="s">
        <v>7</v>
      </c>
      <c r="B393" s="1" t="s">
        <v>3820</v>
      </c>
      <c r="C393" s="43">
        <v>761001</v>
      </c>
      <c r="D393" s="1" t="s">
        <v>71</v>
      </c>
      <c r="E393" s="45" t="s">
        <v>3662</v>
      </c>
      <c r="F393" s="190"/>
      <c r="G393" s="59"/>
      <c r="H393" s="188"/>
      <c r="I393" s="188"/>
    </row>
    <row r="394" spans="1:9" ht="15.75" customHeight="1">
      <c r="A394" s="42" t="s">
        <v>7</v>
      </c>
      <c r="B394" s="1" t="s">
        <v>3820</v>
      </c>
      <c r="C394" s="43">
        <v>512750</v>
      </c>
      <c r="D394" s="1" t="s">
        <v>80</v>
      </c>
      <c r="E394" s="45" t="s">
        <v>3836</v>
      </c>
      <c r="F394" s="190"/>
      <c r="G394" s="59"/>
      <c r="H394" s="188"/>
      <c r="I394" s="188"/>
    </row>
    <row r="395" spans="1:9" ht="15.75" customHeight="1">
      <c r="A395" s="188" t="s">
        <v>8</v>
      </c>
      <c r="B395" s="189" t="s">
        <v>3837</v>
      </c>
      <c r="C395" s="190" t="s">
        <v>68</v>
      </c>
      <c r="D395" s="190" t="s">
        <v>62</v>
      </c>
      <c r="E395" s="56" t="s">
        <v>69</v>
      </c>
      <c r="F395" s="190"/>
      <c r="G395" s="48" t="s">
        <v>70</v>
      </c>
      <c r="H395" s="188"/>
      <c r="I395" s="188"/>
    </row>
    <row r="396" spans="1:9" ht="15.75" customHeight="1">
      <c r="A396" s="42" t="s">
        <v>8</v>
      </c>
      <c r="B396" s="1" t="s">
        <v>3837</v>
      </c>
      <c r="C396" s="43">
        <v>520929</v>
      </c>
      <c r="D396" s="1" t="s">
        <v>80</v>
      </c>
      <c r="E396" s="45" t="s">
        <v>3562</v>
      </c>
      <c r="F396" s="42"/>
      <c r="G396" s="48" t="s">
        <v>3838</v>
      </c>
      <c r="H396" s="42"/>
      <c r="I396" s="42"/>
    </row>
    <row r="397" spans="1:9" ht="15.75" customHeight="1">
      <c r="A397" s="42" t="s">
        <v>8</v>
      </c>
      <c r="B397" s="1" t="s">
        <v>3837</v>
      </c>
      <c r="C397" s="43">
        <v>5033509</v>
      </c>
      <c r="D397" s="1" t="s">
        <v>80</v>
      </c>
      <c r="E397" s="45" t="s">
        <v>3515</v>
      </c>
      <c r="F397" s="42"/>
      <c r="G397" s="50"/>
      <c r="H397" s="42"/>
      <c r="I397" s="42"/>
    </row>
    <row r="398" spans="1:9" ht="15.75" customHeight="1">
      <c r="A398" s="42" t="s">
        <v>8</v>
      </c>
      <c r="B398" s="1" t="s">
        <v>3837</v>
      </c>
      <c r="C398" s="43">
        <v>514910</v>
      </c>
      <c r="D398" s="1" t="s">
        <v>80</v>
      </c>
      <c r="E398" s="45" t="s">
        <v>3517</v>
      </c>
      <c r="F398" s="42"/>
      <c r="G398" s="50"/>
      <c r="H398" s="42"/>
      <c r="I398" s="42"/>
    </row>
    <row r="399" spans="1:9" ht="15.75" customHeight="1">
      <c r="A399" s="42" t="s">
        <v>8</v>
      </c>
      <c r="B399" s="1" t="s">
        <v>3837</v>
      </c>
      <c r="C399" s="43">
        <v>690407</v>
      </c>
      <c r="D399" s="1" t="s">
        <v>71</v>
      </c>
      <c r="E399" s="45" t="s">
        <v>3839</v>
      </c>
      <c r="F399" s="42"/>
      <c r="G399" s="50"/>
      <c r="H399" s="42"/>
      <c r="I399" s="42"/>
    </row>
    <row r="400" spans="1:9" ht="15.75" customHeight="1">
      <c r="A400" s="42" t="s">
        <v>8</v>
      </c>
      <c r="B400" s="1" t="s">
        <v>3837</v>
      </c>
      <c r="C400" s="43">
        <v>496630</v>
      </c>
      <c r="D400" s="1" t="s">
        <v>80</v>
      </c>
      <c r="E400" s="45" t="s">
        <v>3522</v>
      </c>
      <c r="F400" s="42"/>
      <c r="G400" s="50"/>
      <c r="H400" s="42"/>
      <c r="I400" s="42"/>
    </row>
    <row r="401" spans="1:9" ht="15.75" customHeight="1">
      <c r="A401" s="42" t="s">
        <v>8</v>
      </c>
      <c r="B401" s="1" t="s">
        <v>3837</v>
      </c>
      <c r="C401" s="43">
        <v>2211775</v>
      </c>
      <c r="D401" s="1" t="s">
        <v>83</v>
      </c>
      <c r="E401" s="45" t="s">
        <v>3840</v>
      </c>
      <c r="F401" s="42"/>
      <c r="G401" s="50"/>
      <c r="H401" s="42"/>
      <c r="I401" s="42"/>
    </row>
    <row r="402" spans="1:9" ht="15.75" customHeight="1">
      <c r="A402" s="42" t="s">
        <v>8</v>
      </c>
      <c r="B402" s="1" t="s">
        <v>3837</v>
      </c>
      <c r="C402" s="43">
        <v>565182</v>
      </c>
      <c r="D402" s="1" t="s">
        <v>80</v>
      </c>
      <c r="E402" s="45" t="s">
        <v>3573</v>
      </c>
      <c r="F402" s="42"/>
      <c r="G402" s="50"/>
      <c r="H402" s="42"/>
      <c r="I402" s="42"/>
    </row>
    <row r="403" spans="1:9" ht="15.75" customHeight="1">
      <c r="A403" s="42" t="s">
        <v>8</v>
      </c>
      <c r="B403" s="1" t="s">
        <v>3837</v>
      </c>
      <c r="C403" s="43">
        <v>649166</v>
      </c>
      <c r="D403" s="1" t="s">
        <v>80</v>
      </c>
      <c r="E403" s="45" t="s">
        <v>3577</v>
      </c>
      <c r="F403" s="42"/>
      <c r="G403" s="50"/>
      <c r="H403" s="42"/>
      <c r="I403" s="42"/>
    </row>
    <row r="404" spans="1:9" ht="15.75" customHeight="1">
      <c r="A404" s="42" t="s">
        <v>8</v>
      </c>
      <c r="B404" s="1" t="s">
        <v>3837</v>
      </c>
      <c r="C404" s="43">
        <v>2892046</v>
      </c>
      <c r="D404" s="1" t="s">
        <v>90</v>
      </c>
      <c r="E404" s="49" t="s">
        <v>3841</v>
      </c>
      <c r="F404" s="42"/>
      <c r="G404" s="50"/>
      <c r="H404" s="42"/>
      <c r="I404" s="42"/>
    </row>
    <row r="405" spans="1:9" ht="15.75" customHeight="1">
      <c r="A405" s="42" t="s">
        <v>8</v>
      </c>
      <c r="B405" s="134" t="s">
        <v>3837</v>
      </c>
      <c r="C405" s="43">
        <v>3103623</v>
      </c>
      <c r="D405" s="1" t="s">
        <v>80</v>
      </c>
      <c r="E405" s="45" t="s">
        <v>3580</v>
      </c>
      <c r="F405" s="42"/>
      <c r="G405" s="50"/>
      <c r="H405" s="42"/>
      <c r="I405" s="42"/>
    </row>
    <row r="406" spans="1:9" ht="15.75" customHeight="1">
      <c r="A406" s="42" t="s">
        <v>8</v>
      </c>
      <c r="B406" s="134" t="s">
        <v>3837</v>
      </c>
      <c r="C406" s="43">
        <v>2835056</v>
      </c>
      <c r="D406" s="1" t="s">
        <v>71</v>
      </c>
      <c r="E406" s="45" t="s">
        <v>3842</v>
      </c>
      <c r="F406" s="42"/>
      <c r="G406" s="50"/>
      <c r="H406" s="42"/>
      <c r="I406" s="42"/>
    </row>
    <row r="407" spans="1:9" ht="15.75" customHeight="1">
      <c r="A407" s="42" t="s">
        <v>8</v>
      </c>
      <c r="B407" s="134" t="s">
        <v>3837</v>
      </c>
      <c r="C407" s="43">
        <v>3206018</v>
      </c>
      <c r="D407" s="1" t="s">
        <v>80</v>
      </c>
      <c r="E407" s="49" t="s">
        <v>3678</v>
      </c>
      <c r="F407" s="42"/>
      <c r="G407" s="50"/>
      <c r="H407" s="42"/>
      <c r="I407" s="42"/>
    </row>
    <row r="408" spans="1:9" ht="15.75" customHeight="1">
      <c r="A408" s="42" t="s">
        <v>8</v>
      </c>
      <c r="B408" s="134" t="s">
        <v>3837</v>
      </c>
      <c r="C408" s="43">
        <v>703225</v>
      </c>
      <c r="D408" s="1" t="s">
        <v>71</v>
      </c>
      <c r="E408" s="45" t="s">
        <v>3843</v>
      </c>
      <c r="F408" s="190"/>
      <c r="G408" s="59"/>
      <c r="H408" s="188"/>
      <c r="I408" s="188"/>
    </row>
    <row r="409" spans="1:9" ht="15.75" customHeight="1">
      <c r="A409" s="42" t="s">
        <v>8</v>
      </c>
      <c r="B409" s="134" t="s">
        <v>3837</v>
      </c>
      <c r="C409" s="43">
        <v>544923</v>
      </c>
      <c r="D409" s="1" t="s">
        <v>80</v>
      </c>
      <c r="E409" s="45" t="s">
        <v>3844</v>
      </c>
      <c r="F409" s="190"/>
      <c r="G409" s="59"/>
      <c r="H409" s="188"/>
      <c r="I409" s="188"/>
    </row>
    <row r="410" spans="1:9" ht="15.75" customHeight="1">
      <c r="A410" s="42" t="s">
        <v>8</v>
      </c>
      <c r="B410" s="134" t="s">
        <v>3837</v>
      </c>
      <c r="C410" s="43">
        <v>2388005</v>
      </c>
      <c r="D410" s="1" t="s">
        <v>80</v>
      </c>
      <c r="E410" s="49" t="s">
        <v>3845</v>
      </c>
      <c r="F410" s="190"/>
      <c r="G410" s="59"/>
      <c r="H410" s="188"/>
      <c r="I410" s="188"/>
    </row>
    <row r="411" spans="1:9" ht="15.75" customHeight="1">
      <c r="A411" s="42" t="s">
        <v>8</v>
      </c>
      <c r="B411" s="134" t="s">
        <v>3837</v>
      </c>
      <c r="C411" s="43">
        <v>563971</v>
      </c>
      <c r="D411" s="1" t="s">
        <v>83</v>
      </c>
      <c r="E411" s="45" t="s">
        <v>3543</v>
      </c>
      <c r="F411" s="190"/>
      <c r="G411" s="59"/>
      <c r="H411" s="188"/>
      <c r="I411" s="188"/>
    </row>
    <row r="412" spans="1:9" ht="15.75" customHeight="1">
      <c r="A412" s="42" t="s">
        <v>8</v>
      </c>
      <c r="B412" s="134" t="s">
        <v>3837</v>
      </c>
      <c r="C412" s="43">
        <v>5018536</v>
      </c>
      <c r="D412" s="1" t="s">
        <v>83</v>
      </c>
      <c r="E412" s="45" t="s">
        <v>3736</v>
      </c>
      <c r="F412" s="190"/>
      <c r="G412" s="59"/>
      <c r="H412" s="188"/>
      <c r="I412" s="188"/>
    </row>
    <row r="413" spans="1:9" ht="15.75" customHeight="1">
      <c r="A413" s="42" t="s">
        <v>8</v>
      </c>
      <c r="B413" s="134" t="s">
        <v>3837</v>
      </c>
      <c r="C413" s="43">
        <v>565181</v>
      </c>
      <c r="D413" s="1" t="s">
        <v>101</v>
      </c>
      <c r="E413" s="45" t="s">
        <v>3547</v>
      </c>
      <c r="F413" s="190"/>
      <c r="G413" s="59"/>
      <c r="H413" s="188"/>
      <c r="I413" s="188"/>
    </row>
    <row r="414" spans="1:9" ht="15.75" customHeight="1">
      <c r="A414" s="42" t="s">
        <v>8</v>
      </c>
      <c r="B414" s="134" t="s">
        <v>3837</v>
      </c>
      <c r="C414" s="43">
        <v>5033458</v>
      </c>
      <c r="D414" s="1" t="s">
        <v>80</v>
      </c>
      <c r="E414" s="45" t="s">
        <v>3552</v>
      </c>
      <c r="F414" s="190"/>
      <c r="G414" s="59"/>
      <c r="H414" s="188"/>
      <c r="I414" s="188"/>
    </row>
    <row r="415" spans="1:9" ht="15.75" customHeight="1">
      <c r="A415" s="42" t="s">
        <v>8</v>
      </c>
      <c r="B415" s="134" t="s">
        <v>3837</v>
      </c>
      <c r="C415" s="43">
        <v>593896</v>
      </c>
      <c r="D415" s="1" t="s">
        <v>71</v>
      </c>
      <c r="E415" s="45" t="s">
        <v>3553</v>
      </c>
      <c r="F415" s="190"/>
      <c r="G415" s="59"/>
      <c r="H415" s="188"/>
      <c r="I415" s="188"/>
    </row>
    <row r="416" spans="1:9" ht="15.75" customHeight="1">
      <c r="A416" s="188" t="s">
        <v>9</v>
      </c>
      <c r="B416" s="189" t="s">
        <v>3846</v>
      </c>
      <c r="C416" s="190" t="s">
        <v>68</v>
      </c>
      <c r="D416" s="190" t="s">
        <v>62</v>
      </c>
      <c r="E416" s="56" t="s">
        <v>69</v>
      </c>
      <c r="F416" s="190"/>
      <c r="G416" s="48" t="s">
        <v>70</v>
      </c>
      <c r="H416" s="188"/>
      <c r="I416" s="188"/>
    </row>
    <row r="417" spans="1:9" ht="15.75" customHeight="1">
      <c r="A417" s="42" t="s">
        <v>9</v>
      </c>
      <c r="B417" s="1" t="s">
        <v>3846</v>
      </c>
      <c r="C417" s="43">
        <v>2825415</v>
      </c>
      <c r="D417" s="1" t="s">
        <v>71</v>
      </c>
      <c r="E417" s="157" t="s">
        <v>3847</v>
      </c>
      <c r="F417" s="42"/>
      <c r="G417" s="59"/>
      <c r="H417" s="42"/>
      <c r="I417" s="42"/>
    </row>
    <row r="418" spans="1:9" ht="15.75" customHeight="1">
      <c r="A418" s="42" t="s">
        <v>9</v>
      </c>
      <c r="B418" s="1" t="s">
        <v>3846</v>
      </c>
      <c r="C418" s="43">
        <v>2823328</v>
      </c>
      <c r="D418" s="1" t="s">
        <v>80</v>
      </c>
      <c r="E418" s="157" t="s">
        <v>3848</v>
      </c>
      <c r="F418" s="42"/>
      <c r="G418" s="48" t="s">
        <v>3849</v>
      </c>
      <c r="H418" s="42"/>
      <c r="I418" s="42"/>
    </row>
    <row r="419" spans="1:9" ht="15.75" customHeight="1">
      <c r="A419" s="42" t="s">
        <v>9</v>
      </c>
      <c r="B419" s="1" t="s">
        <v>3846</v>
      </c>
      <c r="C419" s="43">
        <v>2925267</v>
      </c>
      <c r="D419" s="1" t="s">
        <v>80</v>
      </c>
      <c r="E419" s="45" t="s">
        <v>3647</v>
      </c>
      <c r="F419" s="42"/>
      <c r="G419" s="59"/>
      <c r="H419" s="42"/>
      <c r="I419" s="42"/>
    </row>
    <row r="420" spans="1:9" ht="15.75" customHeight="1">
      <c r="A420" s="42" t="s">
        <v>9</v>
      </c>
      <c r="B420" s="1" t="s">
        <v>3846</v>
      </c>
      <c r="C420" s="43">
        <v>3115028</v>
      </c>
      <c r="D420" s="1" t="s">
        <v>83</v>
      </c>
      <c r="E420" s="157" t="s">
        <v>3850</v>
      </c>
      <c r="F420" s="42"/>
      <c r="G420" s="50"/>
      <c r="H420" s="42"/>
      <c r="I420" s="42"/>
    </row>
    <row r="421" spans="1:9" ht="15.75" customHeight="1">
      <c r="A421" s="42" t="s">
        <v>9</v>
      </c>
      <c r="B421" s="1" t="s">
        <v>3846</v>
      </c>
      <c r="C421" s="43">
        <v>2837222</v>
      </c>
      <c r="D421" s="1" t="s">
        <v>80</v>
      </c>
      <c r="E421" s="45" t="s">
        <v>3649</v>
      </c>
      <c r="F421" s="42"/>
      <c r="G421" s="50"/>
      <c r="H421" s="42"/>
      <c r="I421" s="42"/>
    </row>
    <row r="422" spans="1:9" ht="15.75" customHeight="1">
      <c r="A422" s="42" t="s">
        <v>9</v>
      </c>
      <c r="B422" s="1" t="s">
        <v>3846</v>
      </c>
      <c r="C422" s="43">
        <v>2930664</v>
      </c>
      <c r="D422" s="1" t="s">
        <v>71</v>
      </c>
      <c r="E422" s="45" t="s">
        <v>3851</v>
      </c>
      <c r="F422" s="42"/>
      <c r="G422" s="50"/>
      <c r="H422" s="42"/>
      <c r="I422" s="42"/>
    </row>
    <row r="423" spans="1:9" ht="15.75" customHeight="1">
      <c r="A423" s="42" t="s">
        <v>9</v>
      </c>
      <c r="B423" s="1" t="s">
        <v>3846</v>
      </c>
      <c r="C423" s="43">
        <v>461917</v>
      </c>
      <c r="D423" s="1" t="s">
        <v>80</v>
      </c>
      <c r="E423" s="45" t="s">
        <v>3694</v>
      </c>
      <c r="F423" s="42"/>
      <c r="G423" s="50"/>
      <c r="H423" s="42"/>
      <c r="I423" s="42"/>
    </row>
    <row r="424" spans="1:9" ht="15.75" customHeight="1">
      <c r="A424" s="42" t="s">
        <v>9</v>
      </c>
      <c r="B424" s="1" t="s">
        <v>3846</v>
      </c>
      <c r="C424" s="43">
        <v>518927</v>
      </c>
      <c r="D424" s="1" t="s">
        <v>80</v>
      </c>
      <c r="E424" s="45" t="s">
        <v>3653</v>
      </c>
      <c r="F424" s="42"/>
      <c r="G424" s="50"/>
      <c r="H424" s="42"/>
      <c r="I424" s="42"/>
    </row>
    <row r="425" spans="1:9" ht="15.75" customHeight="1">
      <c r="A425" s="42" t="s">
        <v>9</v>
      </c>
      <c r="B425" s="1" t="s">
        <v>3846</v>
      </c>
      <c r="C425" s="43">
        <v>195336</v>
      </c>
      <c r="D425" s="1" t="s">
        <v>80</v>
      </c>
      <c r="E425" s="45" t="s">
        <v>3697</v>
      </c>
      <c r="F425" s="42"/>
      <c r="G425" s="50"/>
      <c r="H425" s="42"/>
      <c r="I425" s="42"/>
    </row>
    <row r="426" spans="1:9" ht="15.75" customHeight="1">
      <c r="A426" s="42" t="s">
        <v>9</v>
      </c>
      <c r="B426" s="1" t="s">
        <v>3846</v>
      </c>
      <c r="C426" s="43">
        <v>2928651</v>
      </c>
      <c r="D426" s="1" t="s">
        <v>90</v>
      </c>
      <c r="E426" s="45" t="s">
        <v>3852</v>
      </c>
      <c r="F426" s="42"/>
      <c r="G426" s="50"/>
      <c r="H426" s="42"/>
      <c r="I426" s="42"/>
    </row>
    <row r="427" spans="1:9" ht="15.75" customHeight="1">
      <c r="A427" s="42" t="s">
        <v>9</v>
      </c>
      <c r="B427" s="1" t="s">
        <v>3846</v>
      </c>
      <c r="C427" s="43">
        <v>738365</v>
      </c>
      <c r="D427" s="1" t="s">
        <v>71</v>
      </c>
      <c r="E427" s="45" t="s">
        <v>3828</v>
      </c>
      <c r="F427" s="42"/>
      <c r="G427" s="50"/>
      <c r="H427" s="42"/>
      <c r="I427" s="42"/>
    </row>
    <row r="428" spans="1:9" ht="15.75" customHeight="1">
      <c r="A428" s="42" t="s">
        <v>9</v>
      </c>
      <c r="B428" s="1" t="s">
        <v>3846</v>
      </c>
      <c r="C428" s="43">
        <v>2876251</v>
      </c>
      <c r="D428" s="1" t="s">
        <v>80</v>
      </c>
      <c r="E428" s="45" t="s">
        <v>3853</v>
      </c>
      <c r="F428" s="42"/>
      <c r="G428" s="50"/>
      <c r="H428" s="42"/>
      <c r="I428" s="42"/>
    </row>
    <row r="429" spans="1:9" ht="15.75" customHeight="1">
      <c r="A429" s="42" t="s">
        <v>9</v>
      </c>
      <c r="B429" s="1" t="s">
        <v>3846</v>
      </c>
      <c r="C429" s="43">
        <v>734560</v>
      </c>
      <c r="D429" s="1" t="s">
        <v>83</v>
      </c>
      <c r="E429" s="45" t="s">
        <v>3713</v>
      </c>
      <c r="F429" s="42"/>
      <c r="G429" s="50"/>
      <c r="H429" s="42"/>
      <c r="I429" s="42"/>
    </row>
    <row r="430" spans="1:9" ht="15.75" customHeight="1">
      <c r="A430" s="42" t="s">
        <v>9</v>
      </c>
      <c r="B430" s="1" t="s">
        <v>3846</v>
      </c>
      <c r="C430" s="43">
        <v>2213625</v>
      </c>
      <c r="D430" s="1" t="s">
        <v>83</v>
      </c>
      <c r="E430" s="45" t="s">
        <v>3854</v>
      </c>
      <c r="F430" s="42"/>
      <c r="G430" s="50"/>
      <c r="H430" s="42"/>
      <c r="I430" s="42"/>
    </row>
    <row r="431" spans="1:9" ht="15.75" customHeight="1">
      <c r="A431" s="42" t="s">
        <v>9</v>
      </c>
      <c r="B431" s="1" t="s">
        <v>3846</v>
      </c>
      <c r="C431" s="43">
        <v>2808716</v>
      </c>
      <c r="D431" s="1" t="s">
        <v>80</v>
      </c>
      <c r="E431" s="45" t="s">
        <v>3855</v>
      </c>
      <c r="F431" s="42"/>
      <c r="G431" s="50"/>
      <c r="H431" s="42"/>
      <c r="I431" s="42"/>
    </row>
    <row r="432" spans="1:9" ht="15.75" customHeight="1">
      <c r="A432" s="42" t="s">
        <v>9</v>
      </c>
      <c r="B432" s="1" t="s">
        <v>3846</v>
      </c>
      <c r="C432" s="43">
        <v>645722</v>
      </c>
      <c r="D432" s="1" t="s">
        <v>71</v>
      </c>
      <c r="E432" s="45" t="s">
        <v>3734</v>
      </c>
      <c r="F432" s="190"/>
      <c r="G432" s="59"/>
      <c r="H432" s="188"/>
      <c r="I432" s="188"/>
    </row>
    <row r="433" spans="1:9" ht="15.75" customHeight="1">
      <c r="A433" s="42" t="s">
        <v>9</v>
      </c>
      <c r="B433" s="1" t="s">
        <v>3846</v>
      </c>
      <c r="C433" s="43">
        <v>759352</v>
      </c>
      <c r="D433" s="1" t="s">
        <v>71</v>
      </c>
      <c r="E433" s="45" t="s">
        <v>3856</v>
      </c>
      <c r="F433" s="190"/>
      <c r="G433" s="59"/>
      <c r="H433" s="188"/>
      <c r="I433" s="188"/>
    </row>
    <row r="434" spans="1:9" ht="15.75" customHeight="1">
      <c r="A434" s="42" t="s">
        <v>9</v>
      </c>
      <c r="B434" s="1" t="s">
        <v>3846</v>
      </c>
      <c r="C434" s="43">
        <v>3159306</v>
      </c>
      <c r="D434" s="1" t="s">
        <v>71</v>
      </c>
      <c r="E434" s="49" t="s">
        <v>3857</v>
      </c>
      <c r="F434" s="190"/>
      <c r="G434" s="59"/>
      <c r="H434" s="188"/>
      <c r="I434" s="188"/>
    </row>
    <row r="435" spans="1:9" ht="15.75" customHeight="1">
      <c r="A435" s="42" t="s">
        <v>9</v>
      </c>
      <c r="B435" s="1" t="s">
        <v>3846</v>
      </c>
      <c r="C435" s="43">
        <v>2928650</v>
      </c>
      <c r="D435" s="1" t="s">
        <v>71</v>
      </c>
      <c r="E435" s="45" t="s">
        <v>3858</v>
      </c>
      <c r="F435" s="190"/>
      <c r="G435" s="59"/>
      <c r="H435" s="188"/>
      <c r="I435" s="188"/>
    </row>
    <row r="436" spans="1:9" ht="15.75" customHeight="1">
      <c r="A436" s="42" t="s">
        <v>9</v>
      </c>
      <c r="B436" s="1" t="s">
        <v>3846</v>
      </c>
      <c r="C436" s="43">
        <v>2828000</v>
      </c>
      <c r="D436" s="1" t="s">
        <v>71</v>
      </c>
      <c r="E436" s="45" t="s">
        <v>3859</v>
      </c>
      <c r="F436" s="190"/>
      <c r="G436" s="59"/>
      <c r="H436" s="188"/>
      <c r="I436" s="188"/>
    </row>
    <row r="437" spans="1:9" ht="15.75" customHeight="1">
      <c r="A437" s="188" t="s">
        <v>10</v>
      </c>
      <c r="B437" s="189" t="s">
        <v>3860</v>
      </c>
      <c r="C437" s="190" t="s">
        <v>68</v>
      </c>
      <c r="D437" s="190" t="s">
        <v>62</v>
      </c>
      <c r="E437" s="56" t="s">
        <v>69</v>
      </c>
      <c r="F437" s="190"/>
      <c r="G437" s="48" t="s">
        <v>70</v>
      </c>
      <c r="H437" s="188"/>
      <c r="I437" s="188"/>
    </row>
    <row r="438" spans="1:9" ht="15.75" customHeight="1">
      <c r="A438" s="42" t="s">
        <v>10</v>
      </c>
      <c r="B438" s="1" t="s">
        <v>3860</v>
      </c>
      <c r="C438" s="43">
        <v>3165139</v>
      </c>
      <c r="D438" s="1" t="s">
        <v>71</v>
      </c>
      <c r="E438" s="49" t="s">
        <v>3861</v>
      </c>
      <c r="F438" s="42"/>
      <c r="G438" s="48" t="s">
        <v>3862</v>
      </c>
      <c r="H438" s="42"/>
      <c r="I438" s="42"/>
    </row>
    <row r="439" spans="1:9" ht="15.75" customHeight="1">
      <c r="A439" s="42" t="s">
        <v>10</v>
      </c>
      <c r="B439" s="1" t="s">
        <v>3860</v>
      </c>
      <c r="C439" s="43">
        <v>2872000</v>
      </c>
      <c r="D439" s="1" t="s">
        <v>83</v>
      </c>
      <c r="E439" s="45" t="s">
        <v>3863</v>
      </c>
      <c r="F439" s="42"/>
      <c r="G439" s="48" t="s">
        <v>3864</v>
      </c>
      <c r="H439" s="42"/>
      <c r="I439" s="42"/>
    </row>
    <row r="440" spans="1:9" ht="15.75" customHeight="1">
      <c r="A440" s="42" t="s">
        <v>10</v>
      </c>
      <c r="B440" s="1" t="s">
        <v>3860</v>
      </c>
      <c r="C440" s="43">
        <v>2996483</v>
      </c>
      <c r="D440" s="1" t="s">
        <v>101</v>
      </c>
      <c r="E440" s="45" t="s">
        <v>3865</v>
      </c>
      <c r="F440" s="42"/>
      <c r="G440" s="48" t="s">
        <v>3866</v>
      </c>
      <c r="H440" s="42"/>
      <c r="I440" s="42"/>
    </row>
    <row r="441" spans="1:9" ht="15.75" customHeight="1">
      <c r="A441" s="42" t="s">
        <v>10</v>
      </c>
      <c r="B441" s="1" t="s">
        <v>3860</v>
      </c>
      <c r="C441" s="43">
        <v>3141845</v>
      </c>
      <c r="D441" s="1" t="s">
        <v>83</v>
      </c>
      <c r="E441" s="49" t="s">
        <v>3867</v>
      </c>
      <c r="F441" s="42"/>
      <c r="G441" s="59"/>
      <c r="H441" s="42"/>
      <c r="I441" s="42"/>
    </row>
    <row r="442" spans="1:9" ht="15.75" customHeight="1">
      <c r="A442" s="42" t="s">
        <v>10</v>
      </c>
      <c r="B442" s="1" t="s">
        <v>3860</v>
      </c>
      <c r="C442" s="43">
        <v>2807565</v>
      </c>
      <c r="D442" s="1" t="s">
        <v>101</v>
      </c>
      <c r="E442" s="45" t="s">
        <v>3868</v>
      </c>
      <c r="F442" s="42"/>
      <c r="G442" s="50"/>
      <c r="H442" s="42"/>
      <c r="I442" s="42"/>
    </row>
    <row r="443" spans="1:9" ht="15.75" customHeight="1">
      <c r="A443" s="42" t="s">
        <v>10</v>
      </c>
      <c r="B443" s="1" t="s">
        <v>3860</v>
      </c>
      <c r="C443" s="43">
        <v>3142024</v>
      </c>
      <c r="D443" s="1" t="s">
        <v>101</v>
      </c>
      <c r="E443" s="49" t="s">
        <v>3869</v>
      </c>
      <c r="F443" s="42"/>
      <c r="G443" s="50"/>
      <c r="H443" s="42"/>
      <c r="I443" s="42"/>
    </row>
    <row r="444" spans="1:9" ht="15.75" customHeight="1">
      <c r="A444" s="42" t="s">
        <v>10</v>
      </c>
      <c r="B444" s="1" t="s">
        <v>3860</v>
      </c>
      <c r="C444" s="43">
        <v>666958</v>
      </c>
      <c r="D444" s="1" t="s">
        <v>101</v>
      </c>
      <c r="E444" s="45" t="s">
        <v>3870</v>
      </c>
      <c r="F444" s="42"/>
      <c r="G444" s="50"/>
      <c r="H444" s="42"/>
      <c r="I444" s="42"/>
    </row>
    <row r="445" spans="1:9" ht="15.75" customHeight="1">
      <c r="A445" s="42" t="s">
        <v>10</v>
      </c>
      <c r="B445" s="1" t="s">
        <v>3860</v>
      </c>
      <c r="C445" s="43">
        <v>2823496</v>
      </c>
      <c r="D445" s="1" t="s">
        <v>101</v>
      </c>
      <c r="E445" s="45" t="s">
        <v>3871</v>
      </c>
      <c r="F445" s="42"/>
      <c r="G445" s="50"/>
      <c r="H445" s="42"/>
      <c r="I445" s="42"/>
    </row>
    <row r="446" spans="1:9" ht="15.75" customHeight="1">
      <c r="A446" s="42" t="s">
        <v>10</v>
      </c>
      <c r="B446" s="1" t="s">
        <v>3860</v>
      </c>
      <c r="C446" s="43">
        <v>800555</v>
      </c>
      <c r="D446" s="1" t="s">
        <v>83</v>
      </c>
      <c r="E446" s="45" t="s">
        <v>3872</v>
      </c>
      <c r="F446" s="42"/>
      <c r="G446" s="50"/>
      <c r="H446" s="42"/>
      <c r="I446" s="42"/>
    </row>
    <row r="447" spans="1:9" ht="15.75" customHeight="1">
      <c r="A447" s="42" t="s">
        <v>10</v>
      </c>
      <c r="B447" s="1" t="s">
        <v>3860</v>
      </c>
      <c r="C447" s="43">
        <v>800554</v>
      </c>
      <c r="D447" s="1" t="s">
        <v>83</v>
      </c>
      <c r="E447" s="45" t="s">
        <v>3691</v>
      </c>
      <c r="F447" s="42"/>
      <c r="G447" s="50"/>
      <c r="H447" s="42"/>
      <c r="I447" s="42"/>
    </row>
    <row r="448" spans="1:9" ht="15.75" customHeight="1">
      <c r="A448" s="42" t="s">
        <v>10</v>
      </c>
      <c r="B448" s="1" t="s">
        <v>3860</v>
      </c>
      <c r="C448" s="43">
        <v>738364</v>
      </c>
      <c r="D448" s="1" t="s">
        <v>101</v>
      </c>
      <c r="E448" s="45" t="s">
        <v>3873</v>
      </c>
      <c r="F448" s="42"/>
      <c r="G448" s="50"/>
      <c r="H448" s="42"/>
      <c r="I448" s="42"/>
    </row>
    <row r="449" spans="1:9" ht="15.75" customHeight="1">
      <c r="A449" s="42" t="s">
        <v>10</v>
      </c>
      <c r="B449" s="1" t="s">
        <v>3860</v>
      </c>
      <c r="C449" s="43">
        <v>432624</v>
      </c>
      <c r="D449" s="1" t="s">
        <v>71</v>
      </c>
      <c r="E449" s="45" t="s">
        <v>3874</v>
      </c>
      <c r="F449" s="42"/>
      <c r="G449" s="50"/>
      <c r="H449" s="42"/>
      <c r="I449" s="42"/>
    </row>
    <row r="450" spans="1:9" ht="15.75" customHeight="1">
      <c r="A450" s="42" t="s">
        <v>10</v>
      </c>
      <c r="B450" s="1" t="s">
        <v>3860</v>
      </c>
      <c r="C450" s="43">
        <v>561504</v>
      </c>
      <c r="D450" s="1" t="s">
        <v>71</v>
      </c>
      <c r="E450" s="49" t="s">
        <v>3875</v>
      </c>
      <c r="F450" s="42"/>
      <c r="G450" s="50"/>
      <c r="H450" s="42"/>
      <c r="I450" s="42"/>
    </row>
    <row r="451" spans="1:9" ht="15.75" customHeight="1">
      <c r="A451" s="42" t="s">
        <v>10</v>
      </c>
      <c r="B451" s="1" t="s">
        <v>3860</v>
      </c>
      <c r="C451" s="43">
        <v>2427757</v>
      </c>
      <c r="D451" s="1" t="s">
        <v>71</v>
      </c>
      <c r="E451" s="49" t="s">
        <v>3876</v>
      </c>
      <c r="F451" s="42"/>
      <c r="G451" s="50"/>
      <c r="H451" s="42"/>
      <c r="I451" s="42"/>
    </row>
    <row r="452" spans="1:9" ht="15.75" customHeight="1">
      <c r="A452" s="42" t="s">
        <v>10</v>
      </c>
      <c r="B452" s="1" t="s">
        <v>3860</v>
      </c>
      <c r="C452" s="43">
        <v>3160311</v>
      </c>
      <c r="D452" s="1" t="s">
        <v>71</v>
      </c>
      <c r="E452" s="49" t="s">
        <v>3877</v>
      </c>
      <c r="F452" s="42"/>
      <c r="G452" s="50"/>
      <c r="H452" s="42"/>
      <c r="I452" s="42"/>
    </row>
    <row r="453" spans="1:9" ht="15.75" customHeight="1">
      <c r="A453" s="42" t="s">
        <v>10</v>
      </c>
      <c r="B453" s="1" t="s">
        <v>3860</v>
      </c>
      <c r="C453" s="43">
        <v>759356</v>
      </c>
      <c r="D453" s="1" t="s">
        <v>101</v>
      </c>
      <c r="E453" s="45" t="s">
        <v>3878</v>
      </c>
      <c r="F453" s="42"/>
      <c r="G453" s="50"/>
      <c r="H453" s="42"/>
      <c r="I453" s="42"/>
    </row>
    <row r="454" spans="1:9" ht="15.75" customHeight="1">
      <c r="A454" s="42" t="s">
        <v>10</v>
      </c>
      <c r="B454" s="1" t="s">
        <v>3860</v>
      </c>
      <c r="C454" s="43">
        <v>782103</v>
      </c>
      <c r="D454" s="1" t="s">
        <v>90</v>
      </c>
      <c r="E454" s="157" t="s">
        <v>3879</v>
      </c>
      <c r="F454" s="42"/>
      <c r="G454" s="50"/>
      <c r="H454" s="42"/>
      <c r="I454" s="42"/>
    </row>
    <row r="455" spans="1:9" ht="15.75" customHeight="1">
      <c r="A455" s="42" t="s">
        <v>10</v>
      </c>
      <c r="B455" s="1" t="s">
        <v>3860</v>
      </c>
      <c r="C455" s="43">
        <v>194884</v>
      </c>
      <c r="D455" s="1" t="s">
        <v>90</v>
      </c>
      <c r="E455" s="45" t="s">
        <v>3880</v>
      </c>
      <c r="F455" s="42"/>
      <c r="G455" s="50"/>
      <c r="H455" s="42"/>
      <c r="I455" s="42"/>
    </row>
    <row r="456" spans="1:9" ht="15.75" customHeight="1">
      <c r="A456" s="42" t="s">
        <v>10</v>
      </c>
      <c r="B456" s="1" t="s">
        <v>3860</v>
      </c>
      <c r="C456" s="43">
        <v>393050</v>
      </c>
      <c r="D456" s="1" t="s">
        <v>90</v>
      </c>
      <c r="E456" s="45" t="s">
        <v>3881</v>
      </c>
      <c r="F456" s="42"/>
      <c r="G456" s="50"/>
      <c r="H456" s="42"/>
      <c r="I456" s="42"/>
    </row>
    <row r="457" spans="1:9" ht="15.75" customHeight="1">
      <c r="A457" s="42" t="s">
        <v>10</v>
      </c>
      <c r="B457" s="1" t="s">
        <v>3860</v>
      </c>
      <c r="C457" s="43">
        <v>518318</v>
      </c>
      <c r="D457" s="1" t="s">
        <v>71</v>
      </c>
      <c r="E457" s="45" t="s">
        <v>3882</v>
      </c>
      <c r="F457" s="42"/>
      <c r="G457" s="50"/>
      <c r="H457" s="42"/>
      <c r="I457" s="42"/>
    </row>
    <row r="458" spans="1:9" ht="15.75" customHeight="1">
      <c r="A458" s="42" t="s">
        <v>10</v>
      </c>
      <c r="B458" s="1" t="s">
        <v>3860</v>
      </c>
      <c r="C458" s="43">
        <v>501254</v>
      </c>
      <c r="D458" s="1" t="s">
        <v>90</v>
      </c>
      <c r="E458" s="45" t="s">
        <v>3883</v>
      </c>
      <c r="F458" s="42"/>
      <c r="G458" s="50"/>
      <c r="H458" s="42"/>
      <c r="I458" s="42"/>
    </row>
    <row r="459" spans="1:9" ht="15.75" customHeight="1">
      <c r="A459" s="42" t="s">
        <v>10</v>
      </c>
      <c r="B459" s="1" t="s">
        <v>3860</v>
      </c>
      <c r="C459" s="43">
        <v>561638</v>
      </c>
      <c r="D459" s="1" t="s">
        <v>71</v>
      </c>
      <c r="E459" s="45" t="s">
        <v>3884</v>
      </c>
      <c r="F459" s="42"/>
      <c r="G459" s="50"/>
      <c r="H459" s="42"/>
      <c r="I459" s="42"/>
    </row>
    <row r="460" spans="1:9" ht="15.75" customHeight="1">
      <c r="A460" s="42" t="s">
        <v>10</v>
      </c>
      <c r="B460" s="1" t="s">
        <v>3860</v>
      </c>
      <c r="C460" s="43">
        <v>561062</v>
      </c>
      <c r="D460" s="1" t="s">
        <v>71</v>
      </c>
      <c r="E460" s="45" t="s">
        <v>3885</v>
      </c>
      <c r="F460" s="42"/>
      <c r="G460" s="50"/>
      <c r="H460" s="42"/>
      <c r="I460" s="42"/>
    </row>
    <row r="461" spans="1:9" ht="15.75" customHeight="1">
      <c r="A461" s="42" t="s">
        <v>10</v>
      </c>
      <c r="B461" s="1" t="s">
        <v>3860</v>
      </c>
      <c r="C461" s="43">
        <v>490529</v>
      </c>
      <c r="D461" s="1" t="s">
        <v>71</v>
      </c>
      <c r="E461" s="45" t="s">
        <v>3886</v>
      </c>
      <c r="F461" s="42"/>
      <c r="G461" s="50"/>
      <c r="H461" s="42"/>
      <c r="I461" s="42"/>
    </row>
    <row r="462" spans="1:9" ht="15.75" customHeight="1">
      <c r="A462" s="42" t="s">
        <v>10</v>
      </c>
      <c r="B462" s="1" t="s">
        <v>3860</v>
      </c>
      <c r="C462" s="43">
        <v>561500</v>
      </c>
      <c r="D462" s="1" t="s">
        <v>90</v>
      </c>
      <c r="E462" s="45" t="s">
        <v>3887</v>
      </c>
      <c r="F462" s="42"/>
      <c r="G462" s="50"/>
      <c r="H462" s="42"/>
      <c r="I462" s="42"/>
    </row>
    <row r="463" spans="1:9" ht="15.75" customHeight="1">
      <c r="A463" s="42" t="s">
        <v>10</v>
      </c>
      <c r="B463" s="1" t="s">
        <v>3860</v>
      </c>
      <c r="C463" s="43">
        <v>668595</v>
      </c>
      <c r="D463" s="1" t="s">
        <v>90</v>
      </c>
      <c r="E463" s="45" t="s">
        <v>3888</v>
      </c>
      <c r="F463" s="42"/>
      <c r="G463" s="50"/>
      <c r="H463" s="42"/>
      <c r="I463" s="42"/>
    </row>
    <row r="464" spans="1:9" ht="15.75" customHeight="1">
      <c r="A464" s="42" t="s">
        <v>10</v>
      </c>
      <c r="B464" s="1" t="s">
        <v>3860</v>
      </c>
      <c r="C464" s="43">
        <v>2923413</v>
      </c>
      <c r="D464" s="1" t="s">
        <v>90</v>
      </c>
      <c r="E464" s="45" t="s">
        <v>3889</v>
      </c>
      <c r="F464" s="42"/>
      <c r="G464" s="50"/>
      <c r="H464" s="42"/>
      <c r="I464" s="42"/>
    </row>
    <row r="465" spans="1:9" ht="15.75" customHeight="1">
      <c r="A465" s="42" t="s">
        <v>10</v>
      </c>
      <c r="B465" s="1" t="s">
        <v>3860</v>
      </c>
      <c r="C465" s="43">
        <v>2920638</v>
      </c>
      <c r="D465" s="1" t="s">
        <v>71</v>
      </c>
      <c r="E465" s="45" t="s">
        <v>3890</v>
      </c>
      <c r="F465" s="42"/>
      <c r="G465" s="50"/>
      <c r="H465" s="42"/>
      <c r="I465" s="42"/>
    </row>
    <row r="466" spans="1:9" ht="15.75" customHeight="1">
      <c r="A466" s="42" t="s">
        <v>10</v>
      </c>
      <c r="B466" s="1" t="s">
        <v>3860</v>
      </c>
      <c r="C466" s="43">
        <v>2925061</v>
      </c>
      <c r="D466" s="1" t="s">
        <v>90</v>
      </c>
      <c r="E466" s="45" t="s">
        <v>3891</v>
      </c>
      <c r="F466" s="42"/>
      <c r="G466" s="50"/>
      <c r="H466" s="42"/>
      <c r="I466" s="42"/>
    </row>
    <row r="467" spans="1:9" ht="15.75" customHeight="1">
      <c r="A467" s="42" t="s">
        <v>10</v>
      </c>
      <c r="B467" s="1" t="s">
        <v>3860</v>
      </c>
      <c r="C467" s="43">
        <v>563970</v>
      </c>
      <c r="D467" s="1" t="s">
        <v>90</v>
      </c>
      <c r="E467" s="49" t="s">
        <v>3892</v>
      </c>
      <c r="F467" s="42"/>
      <c r="G467" s="50"/>
      <c r="H467" s="42"/>
      <c r="I467" s="42"/>
    </row>
    <row r="468" spans="1:9" ht="15.75" customHeight="1">
      <c r="A468" s="42" t="s">
        <v>10</v>
      </c>
      <c r="B468" s="1" t="s">
        <v>3860</v>
      </c>
      <c r="C468" s="43">
        <v>3206019</v>
      </c>
      <c r="D468" s="1" t="s">
        <v>83</v>
      </c>
      <c r="E468" s="49" t="s">
        <v>3893</v>
      </c>
      <c r="F468" s="42"/>
      <c r="G468" s="50"/>
      <c r="H468" s="42"/>
      <c r="I468" s="42"/>
    </row>
    <row r="469" spans="1:9" ht="15.75" customHeight="1">
      <c r="A469" s="42" t="s">
        <v>10</v>
      </c>
      <c r="B469" s="1" t="s">
        <v>3860</v>
      </c>
      <c r="C469" s="43">
        <v>3204016</v>
      </c>
      <c r="D469" s="1" t="s">
        <v>83</v>
      </c>
      <c r="E469" s="49" t="s">
        <v>3894</v>
      </c>
      <c r="F469" s="42"/>
      <c r="G469" s="50"/>
      <c r="H469" s="42"/>
      <c r="I469" s="42"/>
    </row>
    <row r="470" spans="1:9" ht="15.75" customHeight="1">
      <c r="A470" s="42" t="s">
        <v>10</v>
      </c>
      <c r="B470" s="1" t="s">
        <v>3860</v>
      </c>
      <c r="C470" s="43">
        <v>686441</v>
      </c>
      <c r="D470" s="1" t="s">
        <v>90</v>
      </c>
      <c r="E470" s="45" t="s">
        <v>3895</v>
      </c>
      <c r="F470" s="42"/>
      <c r="G470" s="50"/>
      <c r="H470" s="42"/>
      <c r="I470" s="42"/>
    </row>
    <row r="471" spans="1:9" ht="15.75" customHeight="1">
      <c r="A471" s="42" t="s">
        <v>10</v>
      </c>
      <c r="B471" s="1" t="s">
        <v>3860</v>
      </c>
      <c r="C471" s="43">
        <v>531088</v>
      </c>
      <c r="D471" s="1" t="s">
        <v>71</v>
      </c>
      <c r="E471" s="45" t="s">
        <v>3896</v>
      </c>
      <c r="F471" s="42"/>
      <c r="G471" s="50"/>
      <c r="H471" s="42"/>
      <c r="I471" s="42"/>
    </row>
    <row r="472" spans="1:9" ht="15.75" customHeight="1">
      <c r="A472" s="42" t="s">
        <v>10</v>
      </c>
      <c r="B472" s="1" t="s">
        <v>3860</v>
      </c>
      <c r="C472" s="43">
        <v>702521</v>
      </c>
      <c r="D472" s="1" t="s">
        <v>83</v>
      </c>
      <c r="E472" s="45" t="s">
        <v>3897</v>
      </c>
      <c r="F472" s="42"/>
      <c r="G472" s="50"/>
      <c r="H472" s="42"/>
      <c r="I472" s="42"/>
    </row>
    <row r="473" spans="1:9" ht="15.75" customHeight="1">
      <c r="A473" s="42" t="s">
        <v>10</v>
      </c>
      <c r="B473" s="1" t="s">
        <v>3860</v>
      </c>
      <c r="C473" s="43">
        <v>2931445</v>
      </c>
      <c r="D473" s="1" t="s">
        <v>101</v>
      </c>
      <c r="E473" s="45" t="s">
        <v>3898</v>
      </c>
      <c r="F473" s="42"/>
      <c r="G473" s="50"/>
      <c r="H473" s="42"/>
      <c r="I473" s="42"/>
    </row>
    <row r="474" spans="1:9" ht="15.75" customHeight="1">
      <c r="A474" s="42" t="s">
        <v>10</v>
      </c>
      <c r="B474" s="1" t="s">
        <v>3860</v>
      </c>
      <c r="C474" s="43">
        <v>195578</v>
      </c>
      <c r="D474" s="1" t="s">
        <v>83</v>
      </c>
      <c r="E474" s="45" t="s">
        <v>3899</v>
      </c>
      <c r="F474" s="42"/>
      <c r="G474" s="50"/>
      <c r="H474" s="42"/>
      <c r="I474" s="42"/>
    </row>
    <row r="475" spans="1:9" ht="15.75" customHeight="1">
      <c r="A475" s="42" t="s">
        <v>10</v>
      </c>
      <c r="B475" s="1" t="s">
        <v>3860</v>
      </c>
      <c r="C475" s="43">
        <v>548380</v>
      </c>
      <c r="D475" s="1" t="s">
        <v>83</v>
      </c>
      <c r="E475" s="45" t="s">
        <v>3900</v>
      </c>
      <c r="F475" s="42"/>
      <c r="G475" s="50"/>
      <c r="H475" s="42"/>
      <c r="I475" s="42"/>
    </row>
    <row r="476" spans="1:9" ht="15.75" customHeight="1">
      <c r="A476" s="42" t="s">
        <v>10</v>
      </c>
      <c r="B476" s="1" t="s">
        <v>3860</v>
      </c>
      <c r="C476" s="43">
        <v>676479</v>
      </c>
      <c r="D476" s="1" t="s">
        <v>101</v>
      </c>
      <c r="E476" s="45" t="s">
        <v>3901</v>
      </c>
      <c r="F476" s="42"/>
      <c r="G476" s="50"/>
      <c r="H476" s="42"/>
      <c r="I476" s="42"/>
    </row>
    <row r="477" spans="1:9" ht="15.75" customHeight="1">
      <c r="A477" s="42" t="s">
        <v>10</v>
      </c>
      <c r="B477" s="1" t="s">
        <v>3860</v>
      </c>
      <c r="C477" s="43">
        <v>793650</v>
      </c>
      <c r="D477" s="1" t="s">
        <v>101</v>
      </c>
      <c r="E477" s="45" t="s">
        <v>3902</v>
      </c>
      <c r="F477" s="42"/>
      <c r="G477" s="50"/>
      <c r="H477" s="42"/>
      <c r="I477" s="42"/>
    </row>
    <row r="478" spans="1:9" ht="15.75" customHeight="1">
      <c r="A478" s="42" t="s">
        <v>10</v>
      </c>
      <c r="B478" s="1" t="s">
        <v>3860</v>
      </c>
      <c r="C478" s="43">
        <v>2929796</v>
      </c>
      <c r="D478" s="1" t="s">
        <v>83</v>
      </c>
      <c r="E478" s="45" t="s">
        <v>3903</v>
      </c>
      <c r="F478" s="42"/>
      <c r="G478" s="50"/>
      <c r="H478" s="42"/>
      <c r="I478" s="42"/>
    </row>
    <row r="479" spans="1:9" ht="15.75" customHeight="1">
      <c r="A479" s="42" t="s">
        <v>10</v>
      </c>
      <c r="B479" s="1" t="s">
        <v>3860</v>
      </c>
      <c r="C479" s="43">
        <v>3154250</v>
      </c>
      <c r="D479" s="1" t="s">
        <v>71</v>
      </c>
      <c r="E479" s="49" t="s">
        <v>3904</v>
      </c>
      <c r="F479" s="42"/>
      <c r="G479" s="50"/>
      <c r="H479" s="42"/>
      <c r="I479" s="42"/>
    </row>
    <row r="480" spans="1:9" ht="15.75" customHeight="1">
      <c r="A480" s="42" t="s">
        <v>10</v>
      </c>
      <c r="B480" s="1" t="s">
        <v>3860</v>
      </c>
      <c r="C480" s="43">
        <v>3147085</v>
      </c>
      <c r="D480" s="1" t="s">
        <v>101</v>
      </c>
      <c r="E480" s="45" t="s">
        <v>3905</v>
      </c>
      <c r="F480" s="42"/>
      <c r="G480" s="50"/>
      <c r="H480" s="42"/>
      <c r="I480" s="42"/>
    </row>
    <row r="481" spans="1:9" ht="15.75" customHeight="1">
      <c r="A481" s="42" t="s">
        <v>10</v>
      </c>
      <c r="B481" s="1" t="s">
        <v>3860</v>
      </c>
      <c r="C481" s="43">
        <v>2817215</v>
      </c>
      <c r="D481" s="1" t="s">
        <v>90</v>
      </c>
      <c r="E481" s="45" t="s">
        <v>3906</v>
      </c>
      <c r="F481" s="42"/>
      <c r="G481" s="50"/>
      <c r="H481" s="42"/>
      <c r="I481" s="42"/>
    </row>
    <row r="482" spans="1:9" ht="15.75" customHeight="1">
      <c r="A482" s="42" t="s">
        <v>10</v>
      </c>
      <c r="B482" s="1" t="s">
        <v>3860</v>
      </c>
      <c r="C482" s="43">
        <v>561727</v>
      </c>
      <c r="D482" s="1" t="s">
        <v>101</v>
      </c>
      <c r="E482" s="45" t="s">
        <v>3907</v>
      </c>
      <c r="F482" s="42"/>
      <c r="G482" s="50"/>
      <c r="H482" s="42"/>
      <c r="I482" s="42"/>
    </row>
    <row r="483" spans="1:9" ht="15.75" customHeight="1">
      <c r="A483" s="42" t="s">
        <v>10</v>
      </c>
      <c r="B483" s="1" t="s">
        <v>3860</v>
      </c>
      <c r="C483" s="43">
        <v>2422226</v>
      </c>
      <c r="D483" s="1" t="s">
        <v>90</v>
      </c>
      <c r="E483" s="49" t="s">
        <v>3908</v>
      </c>
      <c r="F483" s="42"/>
      <c r="G483" s="50"/>
      <c r="H483" s="42"/>
      <c r="I483" s="42"/>
    </row>
    <row r="484" spans="1:9" ht="15.75" customHeight="1">
      <c r="A484" s="42" t="s">
        <v>10</v>
      </c>
      <c r="B484" s="1" t="s">
        <v>3860</v>
      </c>
      <c r="C484" s="43">
        <v>5025565</v>
      </c>
      <c r="D484" s="1" t="s">
        <v>90</v>
      </c>
      <c r="E484" s="157" t="s">
        <v>3909</v>
      </c>
      <c r="F484" s="42"/>
      <c r="G484" s="50"/>
      <c r="H484" s="42"/>
      <c r="I484" s="42"/>
    </row>
    <row r="485" spans="1:9" ht="15.75" customHeight="1">
      <c r="A485" s="42" t="s">
        <v>10</v>
      </c>
      <c r="B485" s="1" t="s">
        <v>3860</v>
      </c>
      <c r="C485" s="43">
        <v>395362</v>
      </c>
      <c r="D485" s="1" t="s">
        <v>101</v>
      </c>
      <c r="E485" s="45" t="s">
        <v>3910</v>
      </c>
      <c r="F485" s="42"/>
      <c r="G485" s="50"/>
      <c r="H485" s="42"/>
      <c r="I485" s="42"/>
    </row>
    <row r="486" spans="1:9" ht="15.75" customHeight="1">
      <c r="A486" s="42" t="s">
        <v>10</v>
      </c>
      <c r="B486" s="1" t="s">
        <v>3860</v>
      </c>
      <c r="C486" s="43">
        <v>2383237</v>
      </c>
      <c r="D486" s="1" t="s">
        <v>71</v>
      </c>
      <c r="E486" s="45" t="s">
        <v>3911</v>
      </c>
      <c r="F486" s="42"/>
      <c r="G486" s="50"/>
      <c r="H486" s="42"/>
      <c r="I486" s="42"/>
    </row>
    <row r="487" spans="1:9" ht="15.75" customHeight="1">
      <c r="A487" s="42" t="s">
        <v>10</v>
      </c>
      <c r="B487" s="1" t="s">
        <v>3860</v>
      </c>
      <c r="C487" s="43">
        <v>716372</v>
      </c>
      <c r="D487" s="1" t="s">
        <v>83</v>
      </c>
      <c r="E487" s="45" t="s">
        <v>3912</v>
      </c>
      <c r="F487" s="42"/>
      <c r="G487" s="50"/>
      <c r="H487" s="42"/>
      <c r="I487" s="42"/>
    </row>
    <row r="488" spans="1:9" ht="15.75" customHeight="1">
      <c r="A488" s="42" t="s">
        <v>10</v>
      </c>
      <c r="B488" s="1" t="s">
        <v>3860</v>
      </c>
      <c r="C488" s="43">
        <v>2996437</v>
      </c>
      <c r="D488" s="1" t="s">
        <v>71</v>
      </c>
      <c r="E488" s="45" t="s">
        <v>3913</v>
      </c>
      <c r="F488" s="42"/>
      <c r="G488" s="50"/>
      <c r="H488" s="42"/>
      <c r="I488" s="42"/>
    </row>
    <row r="489" spans="1:9" ht="15.75" customHeight="1">
      <c r="A489" s="42" t="s">
        <v>10</v>
      </c>
      <c r="B489" s="1" t="s">
        <v>3860</v>
      </c>
      <c r="C489" s="43">
        <v>782155</v>
      </c>
      <c r="D489" s="1" t="s">
        <v>71</v>
      </c>
      <c r="E489" s="45" t="s">
        <v>3914</v>
      </c>
      <c r="F489" s="42"/>
      <c r="G489" s="50"/>
      <c r="H489" s="42"/>
      <c r="I489" s="42"/>
    </row>
    <row r="490" spans="1:9" ht="15.75" customHeight="1">
      <c r="A490" s="42" t="s">
        <v>10</v>
      </c>
      <c r="B490" s="1" t="s">
        <v>3860</v>
      </c>
      <c r="C490" s="43">
        <v>778864</v>
      </c>
      <c r="D490" s="1" t="s">
        <v>90</v>
      </c>
      <c r="E490" s="45" t="s">
        <v>3915</v>
      </c>
      <c r="F490" s="42"/>
      <c r="G490" s="50"/>
      <c r="H490" s="42"/>
      <c r="I490" s="42"/>
    </row>
    <row r="491" spans="1:9" ht="15.75" customHeight="1">
      <c r="A491" s="42" t="s">
        <v>10</v>
      </c>
      <c r="B491" s="1" t="s">
        <v>3860</v>
      </c>
      <c r="C491" s="43">
        <v>2377500</v>
      </c>
      <c r="D491" s="1" t="s">
        <v>101</v>
      </c>
      <c r="E491" s="45" t="s">
        <v>3916</v>
      </c>
      <c r="F491" s="42"/>
      <c r="G491" s="50"/>
      <c r="H491" s="42"/>
      <c r="I491" s="42"/>
    </row>
    <row r="492" spans="1:9" ht="15.75" customHeight="1">
      <c r="A492" s="42" t="s">
        <v>10</v>
      </c>
      <c r="B492" s="1" t="s">
        <v>3860</v>
      </c>
      <c r="C492" s="43">
        <v>3001556</v>
      </c>
      <c r="D492" s="1" t="s">
        <v>83</v>
      </c>
      <c r="E492" s="49" t="s">
        <v>3917</v>
      </c>
      <c r="F492" s="42"/>
      <c r="G492" s="50"/>
      <c r="H492" s="42"/>
      <c r="I492" s="42"/>
    </row>
    <row r="493" spans="1:9" ht="15.75" customHeight="1">
      <c r="A493" s="42" t="s">
        <v>10</v>
      </c>
      <c r="B493" s="1" t="s">
        <v>3860</v>
      </c>
      <c r="C493" s="43">
        <v>2916828</v>
      </c>
      <c r="D493" s="1" t="s">
        <v>83</v>
      </c>
      <c r="E493" s="45" t="s">
        <v>3918</v>
      </c>
      <c r="F493" s="42"/>
      <c r="G493" s="50"/>
      <c r="H493" s="42"/>
      <c r="I493" s="42"/>
    </row>
    <row r="494" spans="1:9" ht="15.75" customHeight="1">
      <c r="A494" s="42" t="s">
        <v>10</v>
      </c>
      <c r="B494" s="1" t="s">
        <v>3860</v>
      </c>
      <c r="C494" s="43">
        <v>2428853</v>
      </c>
      <c r="D494" s="1" t="s">
        <v>71</v>
      </c>
      <c r="E494" s="49" t="s">
        <v>3919</v>
      </c>
      <c r="F494" s="42"/>
      <c r="G494" s="50"/>
      <c r="H494" s="42"/>
      <c r="I494" s="42"/>
    </row>
    <row r="495" spans="1:9" ht="15.75" customHeight="1">
      <c r="A495" s="42" t="s">
        <v>10</v>
      </c>
      <c r="B495" s="1" t="s">
        <v>3860</v>
      </c>
      <c r="C495" s="43">
        <v>2423959</v>
      </c>
      <c r="D495" s="1" t="s">
        <v>83</v>
      </c>
      <c r="E495" s="49" t="s">
        <v>3920</v>
      </c>
      <c r="F495" s="42"/>
      <c r="G495" s="50"/>
      <c r="H495" s="42"/>
      <c r="I495" s="42"/>
    </row>
    <row r="496" spans="1:9" ht="15.75" customHeight="1">
      <c r="A496" s="42" t="s">
        <v>10</v>
      </c>
      <c r="B496" s="1" t="s">
        <v>3860</v>
      </c>
      <c r="C496" s="43">
        <v>2393100</v>
      </c>
      <c r="D496" s="1" t="s">
        <v>83</v>
      </c>
      <c r="E496" s="45" t="s">
        <v>3921</v>
      </c>
      <c r="F496" s="42"/>
      <c r="G496" s="50"/>
      <c r="H496" s="42"/>
      <c r="I496" s="42"/>
    </row>
    <row r="497" spans="1:9" ht="15.75" customHeight="1">
      <c r="A497" s="42" t="s">
        <v>10</v>
      </c>
      <c r="B497" s="1" t="s">
        <v>3860</v>
      </c>
      <c r="C497" s="43">
        <v>3158418</v>
      </c>
      <c r="D497" s="1" t="s">
        <v>101</v>
      </c>
      <c r="E497" s="49" t="s">
        <v>3922</v>
      </c>
      <c r="F497" s="42"/>
      <c r="G497" s="50"/>
      <c r="H497" s="42"/>
      <c r="I497" s="42"/>
    </row>
    <row r="498" spans="1:9" ht="15.75" customHeight="1">
      <c r="A498" s="42" t="s">
        <v>10</v>
      </c>
      <c r="B498" s="1" t="s">
        <v>3860</v>
      </c>
      <c r="C498" s="43">
        <v>3151429</v>
      </c>
      <c r="D498" s="1" t="s">
        <v>101</v>
      </c>
      <c r="E498" s="49" t="s">
        <v>3923</v>
      </c>
      <c r="F498" s="42"/>
      <c r="G498" s="50"/>
      <c r="H498" s="42"/>
      <c r="I498" s="42"/>
    </row>
    <row r="499" spans="1:9" ht="15.75" customHeight="1">
      <c r="A499" s="42" t="s">
        <v>10</v>
      </c>
      <c r="B499" s="1" t="s">
        <v>3860</v>
      </c>
      <c r="C499" s="43">
        <v>2353001</v>
      </c>
      <c r="D499" s="1" t="s">
        <v>83</v>
      </c>
      <c r="E499" s="45" t="s">
        <v>3924</v>
      </c>
      <c r="F499" s="42"/>
      <c r="G499" s="50"/>
      <c r="H499" s="42"/>
      <c r="I499" s="42"/>
    </row>
    <row r="500" spans="1:9" ht="15.75" customHeight="1">
      <c r="A500" s="42" t="s">
        <v>10</v>
      </c>
      <c r="B500" s="1" t="s">
        <v>3860</v>
      </c>
      <c r="C500" s="43">
        <v>561657</v>
      </c>
      <c r="D500" s="1" t="s">
        <v>101</v>
      </c>
      <c r="E500" s="157" t="s">
        <v>3925</v>
      </c>
      <c r="F500" s="42"/>
      <c r="G500" s="50"/>
      <c r="H500" s="42"/>
      <c r="I500" s="42"/>
    </row>
    <row r="501" spans="1:9" ht="15.75" customHeight="1">
      <c r="A501" s="42" t="s">
        <v>10</v>
      </c>
      <c r="B501" s="1" t="s">
        <v>3860</v>
      </c>
      <c r="C501" s="43">
        <v>702520</v>
      </c>
      <c r="D501" s="1" t="s">
        <v>101</v>
      </c>
      <c r="E501" s="45" t="s">
        <v>3926</v>
      </c>
      <c r="F501" s="42"/>
      <c r="G501" s="50"/>
      <c r="H501" s="42"/>
      <c r="I501" s="42"/>
    </row>
    <row r="502" spans="1:9" ht="15.75" customHeight="1">
      <c r="A502" s="42" t="s">
        <v>10</v>
      </c>
      <c r="B502" s="1" t="s">
        <v>3860</v>
      </c>
      <c r="C502" s="43">
        <v>195304</v>
      </c>
      <c r="D502" s="1" t="s">
        <v>83</v>
      </c>
      <c r="E502" s="45" t="s">
        <v>3927</v>
      </c>
      <c r="F502" s="42"/>
      <c r="G502" s="50"/>
      <c r="H502" s="42"/>
      <c r="I502" s="42"/>
    </row>
    <row r="503" spans="1:9" ht="15.75" customHeight="1">
      <c r="A503" s="42" t="s">
        <v>10</v>
      </c>
      <c r="B503" s="1" t="s">
        <v>3860</v>
      </c>
      <c r="C503" s="43">
        <v>195335</v>
      </c>
      <c r="D503" s="1" t="s">
        <v>71</v>
      </c>
      <c r="E503" s="49" t="s">
        <v>3928</v>
      </c>
      <c r="F503" s="42"/>
      <c r="G503" s="50"/>
      <c r="H503" s="42"/>
      <c r="I503" s="42"/>
    </row>
    <row r="504" spans="1:9" ht="15.75" customHeight="1">
      <c r="A504" s="42" t="s">
        <v>10</v>
      </c>
      <c r="B504" s="1" t="s">
        <v>3860</v>
      </c>
      <c r="C504" s="43">
        <v>753086</v>
      </c>
      <c r="D504" s="1" t="s">
        <v>83</v>
      </c>
      <c r="E504" s="45" t="s">
        <v>3929</v>
      </c>
      <c r="F504" s="42"/>
      <c r="G504" s="50"/>
      <c r="H504" s="42"/>
      <c r="I504" s="42"/>
    </row>
    <row r="505" spans="1:9" ht="15.75" customHeight="1">
      <c r="A505" s="42" t="s">
        <v>10</v>
      </c>
      <c r="B505" s="1" t="s">
        <v>3860</v>
      </c>
      <c r="C505" s="43">
        <v>2953025</v>
      </c>
      <c r="D505" s="1" t="s">
        <v>101</v>
      </c>
      <c r="E505" s="157" t="s">
        <v>3930</v>
      </c>
      <c r="F505" s="42"/>
      <c r="G505" s="50"/>
      <c r="H505" s="42"/>
      <c r="I505" s="42"/>
    </row>
    <row r="506" spans="1:9" ht="15.75" customHeight="1">
      <c r="A506" s="42" t="s">
        <v>10</v>
      </c>
      <c r="B506" s="1" t="s">
        <v>3860</v>
      </c>
      <c r="C506" s="43">
        <v>561038</v>
      </c>
      <c r="D506" s="1" t="s">
        <v>83</v>
      </c>
      <c r="E506" s="45" t="s">
        <v>3931</v>
      </c>
      <c r="F506" s="42"/>
      <c r="G506" s="50"/>
      <c r="H506" s="42"/>
      <c r="I506" s="42"/>
    </row>
    <row r="507" spans="1:9" ht="15.75" customHeight="1">
      <c r="A507" s="42" t="s">
        <v>10</v>
      </c>
      <c r="B507" s="1" t="s">
        <v>3860</v>
      </c>
      <c r="C507" s="43">
        <v>2835106</v>
      </c>
      <c r="D507" s="1" t="s">
        <v>83</v>
      </c>
      <c r="E507" s="45" t="s">
        <v>3932</v>
      </c>
      <c r="F507" s="42"/>
      <c r="G507" s="50"/>
      <c r="H507" s="42"/>
      <c r="I507" s="42"/>
    </row>
    <row r="508" spans="1:9" ht="15.75" customHeight="1">
      <c r="A508" s="42" t="s">
        <v>10</v>
      </c>
      <c r="B508" s="1" t="s">
        <v>3860</v>
      </c>
      <c r="C508" s="43">
        <v>2825449</v>
      </c>
      <c r="D508" s="1" t="s">
        <v>80</v>
      </c>
      <c r="E508" s="49" t="s">
        <v>3933</v>
      </c>
      <c r="F508" s="42"/>
      <c r="G508" s="50"/>
      <c r="H508" s="42"/>
      <c r="I508" s="42"/>
    </row>
    <row r="509" spans="1:9" ht="15.75" customHeight="1">
      <c r="A509" s="188" t="s">
        <v>11</v>
      </c>
      <c r="B509" s="189" t="s">
        <v>3934</v>
      </c>
      <c r="C509" s="190" t="s">
        <v>68</v>
      </c>
      <c r="D509" s="190" t="s">
        <v>62</v>
      </c>
      <c r="E509" s="56" t="s">
        <v>69</v>
      </c>
      <c r="F509" s="190"/>
      <c r="G509" s="48" t="s">
        <v>70</v>
      </c>
      <c r="H509" s="188"/>
      <c r="I509" s="188"/>
    </row>
    <row r="510" spans="1:9" ht="15.75" customHeight="1">
      <c r="A510" s="42" t="s">
        <v>11</v>
      </c>
      <c r="B510" s="1" t="s">
        <v>3934</v>
      </c>
      <c r="C510" s="43">
        <v>559553</v>
      </c>
      <c r="D510" s="1" t="s">
        <v>101</v>
      </c>
      <c r="E510" s="45" t="s">
        <v>3935</v>
      </c>
      <c r="F510" s="42"/>
      <c r="G510" s="50"/>
      <c r="H510" s="42"/>
      <c r="I510" s="42"/>
    </row>
    <row r="511" spans="1:9" ht="15.75" customHeight="1">
      <c r="A511" s="42" t="s">
        <v>11</v>
      </c>
      <c r="B511" s="1" t="s">
        <v>3934</v>
      </c>
      <c r="C511" s="43">
        <v>2824217</v>
      </c>
      <c r="D511" s="1" t="s">
        <v>83</v>
      </c>
      <c r="E511" s="45" t="s">
        <v>3936</v>
      </c>
      <c r="F511" s="42"/>
      <c r="G511" s="50"/>
      <c r="H511" s="42"/>
      <c r="I511" s="42"/>
    </row>
    <row r="512" spans="1:9" ht="15.75" customHeight="1">
      <c r="A512" s="42" t="s">
        <v>11</v>
      </c>
      <c r="B512" s="1" t="s">
        <v>3934</v>
      </c>
      <c r="C512" s="43">
        <v>195615</v>
      </c>
      <c r="D512" s="1" t="s">
        <v>83</v>
      </c>
      <c r="E512" s="45" t="s">
        <v>3937</v>
      </c>
      <c r="F512" s="42"/>
      <c r="G512" s="50"/>
      <c r="H512" s="42"/>
      <c r="I512" s="42"/>
    </row>
    <row r="513" spans="1:9" ht="15.75" customHeight="1">
      <c r="A513" s="42" t="s">
        <v>11</v>
      </c>
      <c r="B513" s="1" t="s">
        <v>3934</v>
      </c>
      <c r="C513" s="43">
        <v>703235</v>
      </c>
      <c r="D513" s="1" t="s">
        <v>71</v>
      </c>
      <c r="E513" s="45" t="s">
        <v>3938</v>
      </c>
      <c r="F513" s="42"/>
      <c r="G513" s="50"/>
      <c r="H513" s="42"/>
      <c r="I513" s="42"/>
    </row>
    <row r="514" spans="1:9" ht="15.75" customHeight="1">
      <c r="A514" s="42" t="s">
        <v>11</v>
      </c>
      <c r="B514" s="1" t="s">
        <v>3934</v>
      </c>
      <c r="C514" s="43">
        <v>2841288</v>
      </c>
      <c r="D514" s="1" t="s">
        <v>83</v>
      </c>
      <c r="E514" s="45" t="s">
        <v>3939</v>
      </c>
      <c r="F514" s="42"/>
      <c r="G514" s="50"/>
      <c r="H514" s="42"/>
      <c r="I514" s="42"/>
    </row>
    <row r="515" spans="1:9" ht="15.75" customHeight="1">
      <c r="A515" s="42" t="s">
        <v>11</v>
      </c>
      <c r="B515" s="1" t="s">
        <v>3934</v>
      </c>
      <c r="C515" s="43">
        <v>755207</v>
      </c>
      <c r="D515" s="1" t="s">
        <v>83</v>
      </c>
      <c r="E515" s="157" t="s">
        <v>3940</v>
      </c>
      <c r="F515" s="42"/>
      <c r="G515" s="50"/>
      <c r="H515" s="42"/>
      <c r="I515" s="42"/>
    </row>
    <row r="516" spans="1:9" ht="15.75" customHeight="1">
      <c r="A516" s="42" t="s">
        <v>11</v>
      </c>
      <c r="B516" s="1" t="s">
        <v>3934</v>
      </c>
      <c r="C516" s="43">
        <v>704885</v>
      </c>
      <c r="D516" s="1" t="s">
        <v>83</v>
      </c>
      <c r="E516" s="45" t="s">
        <v>3941</v>
      </c>
      <c r="F516" s="42"/>
      <c r="G516" s="50"/>
      <c r="H516" s="42"/>
      <c r="I516" s="42"/>
    </row>
    <row r="517" spans="1:9" ht="15.75" customHeight="1">
      <c r="A517" s="42" t="s">
        <v>11</v>
      </c>
      <c r="B517" s="1" t="s">
        <v>3934</v>
      </c>
      <c r="C517" s="43">
        <v>2988616</v>
      </c>
      <c r="D517" s="1" t="s">
        <v>83</v>
      </c>
      <c r="E517" s="45" t="s">
        <v>3942</v>
      </c>
      <c r="F517" s="190"/>
      <c r="G517" s="59"/>
      <c r="H517" s="188"/>
      <c r="I517" s="188"/>
    </row>
    <row r="518" spans="1:9" ht="15.75" customHeight="1">
      <c r="A518" s="42" t="s">
        <v>11</v>
      </c>
      <c r="B518" s="1" t="s">
        <v>3934</v>
      </c>
      <c r="C518" s="43">
        <v>761036</v>
      </c>
      <c r="D518" s="1" t="s">
        <v>83</v>
      </c>
      <c r="E518" s="45" t="s">
        <v>3943</v>
      </c>
      <c r="F518" s="190"/>
      <c r="G518" s="59"/>
      <c r="H518" s="188"/>
      <c r="I518" s="188"/>
    </row>
    <row r="519" spans="1:9" ht="15.75" customHeight="1">
      <c r="A519" s="42" t="s">
        <v>11</v>
      </c>
      <c r="B519" s="1" t="s">
        <v>3934</v>
      </c>
      <c r="C519" s="43">
        <v>2213624</v>
      </c>
      <c r="D519" s="1" t="s">
        <v>71</v>
      </c>
      <c r="E519" s="45" t="s">
        <v>3944</v>
      </c>
      <c r="F519" s="190"/>
      <c r="G519" s="59"/>
      <c r="H519" s="188"/>
      <c r="I519" s="188"/>
    </row>
    <row r="520" spans="1:9" ht="15.75" customHeight="1">
      <c r="A520" s="42" t="s">
        <v>11</v>
      </c>
      <c r="B520" s="1" t="s">
        <v>3934</v>
      </c>
      <c r="C520" s="43">
        <v>408954</v>
      </c>
      <c r="D520" s="1" t="s">
        <v>71</v>
      </c>
      <c r="E520" s="45" t="s">
        <v>3945</v>
      </c>
      <c r="F520" s="190"/>
      <c r="G520" s="59"/>
      <c r="H520" s="188"/>
      <c r="I520" s="188"/>
    </row>
    <row r="521" spans="1:9" ht="15.75" customHeight="1">
      <c r="A521" s="42" t="s">
        <v>11</v>
      </c>
      <c r="B521" s="1" t="s">
        <v>3934</v>
      </c>
      <c r="C521" s="43">
        <v>485461</v>
      </c>
      <c r="D521" s="1" t="s">
        <v>83</v>
      </c>
      <c r="E521" s="45" t="s">
        <v>3946</v>
      </c>
      <c r="F521" s="190"/>
      <c r="G521" s="59"/>
      <c r="H521" s="188"/>
      <c r="I521" s="188"/>
    </row>
    <row r="522" spans="1:9" ht="15.75" customHeight="1">
      <c r="A522" s="42" t="s">
        <v>11</v>
      </c>
      <c r="B522" s="1" t="s">
        <v>3934</v>
      </c>
      <c r="C522" s="43">
        <v>647944</v>
      </c>
      <c r="D522" s="1" t="s">
        <v>80</v>
      </c>
      <c r="E522" s="45" t="s">
        <v>3947</v>
      </c>
      <c r="F522" s="190"/>
      <c r="G522" s="59"/>
      <c r="H522" s="188"/>
      <c r="I522" s="188"/>
    </row>
    <row r="523" spans="1:9" ht="15.75" customHeight="1">
      <c r="A523" s="42" t="s">
        <v>11</v>
      </c>
      <c r="B523" s="1" t="s">
        <v>3934</v>
      </c>
      <c r="C523" s="43">
        <v>195280</v>
      </c>
      <c r="D523" s="1" t="s">
        <v>83</v>
      </c>
      <c r="E523" s="45" t="s">
        <v>3948</v>
      </c>
      <c r="F523" s="190"/>
      <c r="G523" s="59"/>
      <c r="H523" s="188"/>
      <c r="I523" s="188"/>
    </row>
    <row r="524" spans="1:9" ht="15.75" customHeight="1">
      <c r="A524" s="188" t="s">
        <v>12</v>
      </c>
      <c r="B524" s="189" t="s">
        <v>3949</v>
      </c>
      <c r="C524" s="190" t="s">
        <v>68</v>
      </c>
      <c r="D524" s="190" t="s">
        <v>62</v>
      </c>
      <c r="E524" s="56" t="s">
        <v>69</v>
      </c>
      <c r="F524" s="190"/>
      <c r="G524" s="48" t="s">
        <v>70</v>
      </c>
      <c r="H524" s="188"/>
      <c r="I524" s="188"/>
    </row>
    <row r="525" spans="1:9" ht="15.75" customHeight="1">
      <c r="A525" s="42" t="s">
        <v>12</v>
      </c>
      <c r="B525" s="1" t="s">
        <v>3949</v>
      </c>
      <c r="C525" s="43">
        <v>3013966</v>
      </c>
      <c r="D525" s="1" t="s">
        <v>80</v>
      </c>
      <c r="E525" s="49" t="s">
        <v>3950</v>
      </c>
      <c r="F525" s="42"/>
      <c r="G525" s="48" t="s">
        <v>3599</v>
      </c>
      <c r="H525" s="42"/>
      <c r="I525" s="42"/>
    </row>
    <row r="526" spans="1:9" ht="15.75" customHeight="1">
      <c r="A526" s="42" t="s">
        <v>12</v>
      </c>
      <c r="B526" s="1" t="s">
        <v>3949</v>
      </c>
      <c r="C526" s="43">
        <v>2816017</v>
      </c>
      <c r="D526" s="1" t="s">
        <v>80</v>
      </c>
      <c r="E526" s="45" t="s">
        <v>3951</v>
      </c>
      <c r="F526" s="42"/>
      <c r="G526" s="48" t="s">
        <v>3952</v>
      </c>
      <c r="H526" s="42"/>
      <c r="I526" s="42"/>
    </row>
    <row r="527" spans="1:9" ht="15.75" customHeight="1">
      <c r="A527" s="42" t="s">
        <v>12</v>
      </c>
      <c r="B527" s="1" t="s">
        <v>3949</v>
      </c>
      <c r="C527" s="43">
        <v>2873039</v>
      </c>
      <c r="D527" s="1" t="s">
        <v>71</v>
      </c>
      <c r="E527" s="49" t="s">
        <v>3953</v>
      </c>
      <c r="F527" s="42"/>
      <c r="G527" s="50"/>
      <c r="H527" s="42"/>
      <c r="I527" s="42"/>
    </row>
    <row r="528" spans="1:9" ht="15.75" customHeight="1">
      <c r="A528" s="42" t="s">
        <v>12</v>
      </c>
      <c r="B528" s="1" t="s">
        <v>3949</v>
      </c>
      <c r="C528" s="43">
        <v>702515</v>
      </c>
      <c r="D528" s="1" t="s">
        <v>83</v>
      </c>
      <c r="E528" s="45" t="s">
        <v>3954</v>
      </c>
      <c r="F528" s="42"/>
      <c r="G528" s="50"/>
      <c r="H528" s="42"/>
      <c r="I528" s="42"/>
    </row>
    <row r="529" spans="1:9" ht="15.75" customHeight="1">
      <c r="A529" s="1" t="s">
        <v>12</v>
      </c>
      <c r="B529" s="1" t="s">
        <v>3949</v>
      </c>
      <c r="C529" s="43">
        <v>759349</v>
      </c>
      <c r="D529" s="1" t="s">
        <v>71</v>
      </c>
      <c r="E529" s="45" t="s">
        <v>3601</v>
      </c>
      <c r="F529" s="42"/>
      <c r="G529" s="50"/>
      <c r="H529" s="42"/>
      <c r="I529" s="42"/>
    </row>
    <row r="530" spans="1:9" ht="15.75" customHeight="1">
      <c r="A530" s="42" t="s">
        <v>12</v>
      </c>
      <c r="B530" s="1" t="s">
        <v>3949</v>
      </c>
      <c r="C530" s="43">
        <v>5018592</v>
      </c>
      <c r="D530" s="1" t="s">
        <v>90</v>
      </c>
      <c r="E530" s="45" t="s">
        <v>3955</v>
      </c>
      <c r="F530" s="42"/>
      <c r="G530" s="50"/>
      <c r="H530" s="42"/>
      <c r="I530" s="42"/>
    </row>
    <row r="531" spans="1:9" ht="15.75" customHeight="1">
      <c r="A531" s="42" t="s">
        <v>12</v>
      </c>
      <c r="B531" s="1" t="s">
        <v>3949</v>
      </c>
      <c r="C531" s="43">
        <v>549183</v>
      </c>
      <c r="D531" s="1" t="s">
        <v>83</v>
      </c>
      <c r="E531" s="45" t="s">
        <v>3956</v>
      </c>
      <c r="F531" s="42"/>
      <c r="G531" s="50"/>
      <c r="H531" s="42"/>
      <c r="I531" s="42"/>
    </row>
    <row r="532" spans="1:9" ht="15.75" customHeight="1">
      <c r="A532" s="42" t="s">
        <v>12</v>
      </c>
      <c r="B532" s="1" t="s">
        <v>3949</v>
      </c>
      <c r="C532" s="43">
        <v>2917865</v>
      </c>
      <c r="D532" s="1" t="s">
        <v>71</v>
      </c>
      <c r="E532" s="45" t="s">
        <v>3957</v>
      </c>
      <c r="F532" s="42"/>
      <c r="G532" s="50"/>
      <c r="H532" s="42"/>
      <c r="I532" s="42"/>
    </row>
    <row r="533" spans="1:9" ht="15.75" customHeight="1">
      <c r="A533" s="42" t="s">
        <v>12</v>
      </c>
      <c r="B533" s="1" t="s">
        <v>3949</v>
      </c>
      <c r="C533" s="43">
        <v>2887132</v>
      </c>
      <c r="D533" s="1" t="s">
        <v>83</v>
      </c>
      <c r="E533" s="49" t="s">
        <v>3958</v>
      </c>
      <c r="F533" s="42"/>
      <c r="G533" s="50"/>
      <c r="H533" s="42"/>
      <c r="I533" s="42"/>
    </row>
    <row r="534" spans="1:9" ht="15.75" customHeight="1">
      <c r="A534" s="42" t="s">
        <v>12</v>
      </c>
      <c r="B534" s="1" t="s">
        <v>3949</v>
      </c>
      <c r="C534" s="43">
        <v>195336</v>
      </c>
      <c r="D534" s="1" t="s">
        <v>80</v>
      </c>
      <c r="E534" s="45" t="s">
        <v>3697</v>
      </c>
      <c r="F534" s="42"/>
      <c r="G534" s="50"/>
      <c r="H534" s="42"/>
      <c r="I534" s="42"/>
    </row>
    <row r="535" spans="1:9" ht="15.75" customHeight="1">
      <c r="A535" s="42" t="s">
        <v>12</v>
      </c>
      <c r="B535" s="1" t="s">
        <v>3949</v>
      </c>
      <c r="C535" s="43">
        <v>3144288</v>
      </c>
      <c r="D535" s="1" t="s">
        <v>80</v>
      </c>
      <c r="E535" s="49" t="s">
        <v>3959</v>
      </c>
      <c r="F535" s="42"/>
      <c r="G535" s="50"/>
      <c r="H535" s="42"/>
      <c r="I535" s="42"/>
    </row>
    <row r="536" spans="1:9" ht="15.75" customHeight="1">
      <c r="A536" s="42" t="s">
        <v>12</v>
      </c>
      <c r="B536" s="1" t="s">
        <v>3949</v>
      </c>
      <c r="C536" s="43">
        <v>2433096</v>
      </c>
      <c r="D536" s="1" t="s">
        <v>83</v>
      </c>
      <c r="E536" s="49" t="s">
        <v>3960</v>
      </c>
      <c r="F536" s="42"/>
      <c r="G536" s="50"/>
      <c r="H536" s="42"/>
      <c r="I536" s="42"/>
    </row>
    <row r="537" spans="1:9" ht="15.75" customHeight="1">
      <c r="A537" s="42" t="s">
        <v>12</v>
      </c>
      <c r="B537" s="1" t="s">
        <v>3949</v>
      </c>
      <c r="C537" s="43">
        <v>553345</v>
      </c>
      <c r="D537" s="1" t="s">
        <v>80</v>
      </c>
      <c r="E537" s="45" t="s">
        <v>3961</v>
      </c>
      <c r="F537" s="42"/>
      <c r="G537" s="50"/>
      <c r="H537" s="42"/>
      <c r="I537" s="42"/>
    </row>
    <row r="538" spans="1:9" ht="15.75" customHeight="1">
      <c r="A538" s="42" t="s">
        <v>12</v>
      </c>
      <c r="B538" s="1" t="s">
        <v>3949</v>
      </c>
      <c r="C538" s="43">
        <v>2257232</v>
      </c>
      <c r="D538" s="1" t="s">
        <v>83</v>
      </c>
      <c r="E538" s="45" t="s">
        <v>3962</v>
      </c>
      <c r="F538" s="42"/>
      <c r="G538" s="50"/>
      <c r="H538" s="42"/>
      <c r="I538" s="42"/>
    </row>
    <row r="539" spans="1:9" ht="15.75" customHeight="1">
      <c r="A539" s="42" t="s">
        <v>12</v>
      </c>
      <c r="B539" s="1" t="s">
        <v>3949</v>
      </c>
      <c r="C539" s="43">
        <v>561470</v>
      </c>
      <c r="D539" s="1" t="s">
        <v>83</v>
      </c>
      <c r="E539" s="45" t="s">
        <v>3626</v>
      </c>
      <c r="F539" s="42"/>
      <c r="G539" s="50"/>
      <c r="H539" s="42"/>
      <c r="I539" s="42"/>
    </row>
    <row r="540" spans="1:9" ht="15.75" customHeight="1">
      <c r="A540" s="42" t="s">
        <v>12</v>
      </c>
      <c r="B540" s="1" t="s">
        <v>3949</v>
      </c>
      <c r="C540" s="43">
        <v>593045</v>
      </c>
      <c r="D540" s="1" t="s">
        <v>80</v>
      </c>
      <c r="E540" s="45" t="s">
        <v>3627</v>
      </c>
      <c r="F540" s="190"/>
      <c r="G540" s="59"/>
      <c r="H540" s="188"/>
      <c r="I540" s="188"/>
    </row>
    <row r="541" spans="1:9" ht="15.75" customHeight="1">
      <c r="A541" s="42" t="s">
        <v>12</v>
      </c>
      <c r="B541" s="1" t="s">
        <v>3949</v>
      </c>
      <c r="C541" s="43">
        <v>584362</v>
      </c>
      <c r="D541" s="1" t="s">
        <v>83</v>
      </c>
      <c r="E541" s="45" t="s">
        <v>3631</v>
      </c>
      <c r="F541" s="190"/>
      <c r="G541" s="59"/>
      <c r="H541" s="188"/>
      <c r="I541" s="188"/>
    </row>
    <row r="542" spans="1:9" ht="15.75" customHeight="1">
      <c r="A542" s="42" t="s">
        <v>12</v>
      </c>
      <c r="B542" s="1" t="s">
        <v>3949</v>
      </c>
      <c r="C542" s="43">
        <v>708836</v>
      </c>
      <c r="D542" s="1" t="s">
        <v>83</v>
      </c>
      <c r="E542" s="45" t="s">
        <v>3963</v>
      </c>
      <c r="F542" s="190"/>
      <c r="G542" s="59"/>
      <c r="H542" s="188"/>
      <c r="I542" s="188"/>
    </row>
    <row r="543" spans="1:9" ht="15.75" customHeight="1">
      <c r="A543" s="42" t="s">
        <v>12</v>
      </c>
      <c r="B543" s="1" t="s">
        <v>3949</v>
      </c>
      <c r="C543" s="43">
        <v>2920902</v>
      </c>
      <c r="D543" s="1" t="s">
        <v>83</v>
      </c>
      <c r="E543" s="45" t="s">
        <v>3964</v>
      </c>
      <c r="F543" s="190"/>
      <c r="G543" s="59"/>
      <c r="H543" s="188"/>
      <c r="I543" s="188"/>
    </row>
    <row r="544" spans="1:9" ht="15.75" customHeight="1">
      <c r="A544" s="42" t="s">
        <v>12</v>
      </c>
      <c r="B544" s="1" t="s">
        <v>3949</v>
      </c>
      <c r="C544" s="43">
        <v>2808159</v>
      </c>
      <c r="D544" s="1" t="s">
        <v>71</v>
      </c>
      <c r="E544" s="45" t="s">
        <v>3632</v>
      </c>
      <c r="F544" s="190"/>
      <c r="G544" s="59"/>
      <c r="H544" s="188"/>
      <c r="I544" s="188"/>
    </row>
    <row r="545" spans="1:9" ht="15.75" customHeight="1">
      <c r="A545" s="42" t="s">
        <v>12</v>
      </c>
      <c r="B545" s="1" t="s">
        <v>3949</v>
      </c>
      <c r="C545" s="43">
        <v>2959000</v>
      </c>
      <c r="D545" s="1" t="s">
        <v>80</v>
      </c>
      <c r="E545" s="49" t="s">
        <v>3965</v>
      </c>
      <c r="F545" s="190"/>
      <c r="G545" s="59"/>
      <c r="H545" s="188"/>
      <c r="I545" s="188"/>
    </row>
    <row r="546" spans="1:9" ht="15.75" customHeight="1">
      <c r="A546" s="42" t="s">
        <v>12</v>
      </c>
      <c r="B546" s="1" t="s">
        <v>3949</v>
      </c>
      <c r="C546" s="43">
        <v>5022380</v>
      </c>
      <c r="D546" s="1" t="s">
        <v>80</v>
      </c>
      <c r="E546" s="45" t="s">
        <v>3966</v>
      </c>
      <c r="F546" s="190"/>
      <c r="G546" s="59"/>
      <c r="H546" s="188"/>
      <c r="I546" s="188"/>
    </row>
    <row r="547" spans="1:9" ht="15.75" customHeight="1">
      <c r="A547" s="42" t="s">
        <v>12</v>
      </c>
      <c r="B547" s="1" t="s">
        <v>3949</v>
      </c>
      <c r="C547" s="43">
        <v>702531</v>
      </c>
      <c r="D547" s="1" t="s">
        <v>71</v>
      </c>
      <c r="E547" s="45" t="s">
        <v>3967</v>
      </c>
      <c r="F547" s="190"/>
      <c r="G547" s="59"/>
      <c r="H547" s="188"/>
      <c r="I547" s="188"/>
    </row>
    <row r="548" spans="1:9" ht="15.75" customHeight="1">
      <c r="A548" s="42" t="s">
        <v>12</v>
      </c>
      <c r="B548" s="1" t="s">
        <v>3949</v>
      </c>
      <c r="C548" s="43">
        <v>703215</v>
      </c>
      <c r="D548" s="1" t="s">
        <v>71</v>
      </c>
      <c r="E548" s="45" t="s">
        <v>3968</v>
      </c>
      <c r="F548" s="190"/>
      <c r="G548" s="59"/>
      <c r="H548" s="188"/>
      <c r="I548" s="188"/>
    </row>
    <row r="549" spans="1:9" ht="15.75" customHeight="1">
      <c r="A549" s="42" t="s">
        <v>12</v>
      </c>
      <c r="B549" s="1" t="s">
        <v>3949</v>
      </c>
      <c r="C549" s="43">
        <v>703214</v>
      </c>
      <c r="D549" s="1" t="s">
        <v>71</v>
      </c>
      <c r="E549" s="45" t="s">
        <v>3969</v>
      </c>
      <c r="F549" s="190"/>
      <c r="G549" s="59"/>
      <c r="H549" s="188"/>
      <c r="I549" s="188"/>
    </row>
    <row r="550" spans="1:9" ht="15.75" customHeight="1">
      <c r="A550" s="42" t="s">
        <v>12</v>
      </c>
      <c r="B550" s="1" t="s">
        <v>3949</v>
      </c>
      <c r="C550" s="43">
        <v>697738</v>
      </c>
      <c r="D550" s="1" t="s">
        <v>71</v>
      </c>
      <c r="E550" s="45" t="s">
        <v>3637</v>
      </c>
      <c r="F550" s="190"/>
      <c r="G550" s="59"/>
      <c r="H550" s="188"/>
      <c r="I550" s="188"/>
    </row>
    <row r="551" spans="1:9" ht="15.75" customHeight="1">
      <c r="A551" s="42" t="s">
        <v>12</v>
      </c>
      <c r="B551" s="1" t="s">
        <v>3949</v>
      </c>
      <c r="C551" s="43">
        <v>2434087</v>
      </c>
      <c r="D551" s="1" t="s">
        <v>83</v>
      </c>
      <c r="E551" s="49" t="s">
        <v>3732</v>
      </c>
      <c r="F551" s="190"/>
      <c r="G551" s="59"/>
      <c r="H551" s="188"/>
      <c r="I551" s="188"/>
    </row>
    <row r="552" spans="1:9" ht="15.75" customHeight="1">
      <c r="A552" s="42" t="s">
        <v>12</v>
      </c>
      <c r="B552" s="1" t="s">
        <v>3949</v>
      </c>
      <c r="C552" s="43">
        <v>5033458</v>
      </c>
      <c r="D552" s="1" t="s">
        <v>80</v>
      </c>
      <c r="E552" s="45" t="s">
        <v>3552</v>
      </c>
      <c r="F552" s="190"/>
      <c r="G552" s="59"/>
      <c r="H552" s="188"/>
      <c r="I552" s="188"/>
    </row>
    <row r="553" spans="1:9" ht="15.75" customHeight="1">
      <c r="A553" s="42" t="s">
        <v>12</v>
      </c>
      <c r="B553" s="1" t="s">
        <v>3949</v>
      </c>
      <c r="C553" s="43">
        <v>593896</v>
      </c>
      <c r="D553" s="1" t="s">
        <v>71</v>
      </c>
      <c r="E553" s="45" t="s">
        <v>3553</v>
      </c>
      <c r="F553" s="190"/>
      <c r="G553" s="59"/>
      <c r="H553" s="188"/>
      <c r="I553" s="188"/>
    </row>
    <row r="554" spans="1:9" ht="15.75" customHeight="1">
      <c r="A554" s="188" t="s">
        <v>13</v>
      </c>
      <c r="B554" s="189" t="s">
        <v>3587</v>
      </c>
      <c r="C554" s="190" t="s">
        <v>68</v>
      </c>
      <c r="D554" s="190" t="s">
        <v>62</v>
      </c>
      <c r="E554" s="56" t="s">
        <v>69</v>
      </c>
      <c r="F554" s="190"/>
      <c r="G554" s="48" t="s">
        <v>70</v>
      </c>
      <c r="H554" s="188"/>
      <c r="I554" s="188"/>
    </row>
    <row r="555" spans="1:9" ht="15.75" customHeight="1">
      <c r="A555" s="42" t="s">
        <v>13</v>
      </c>
      <c r="B555" s="1" t="s">
        <v>3587</v>
      </c>
      <c r="C555" s="43">
        <v>2816017</v>
      </c>
      <c r="D555" s="1" t="s">
        <v>80</v>
      </c>
      <c r="E555" s="45" t="s">
        <v>3951</v>
      </c>
      <c r="F555" s="42"/>
      <c r="G555" s="48" t="s">
        <v>3555</v>
      </c>
      <c r="H555" s="42"/>
      <c r="I555" s="42"/>
    </row>
    <row r="556" spans="1:9" ht="15.75" customHeight="1">
      <c r="A556" s="42" t="s">
        <v>13</v>
      </c>
      <c r="B556" s="1" t="s">
        <v>3587</v>
      </c>
      <c r="C556" s="43">
        <v>5025608</v>
      </c>
      <c r="D556" s="1" t="s">
        <v>71</v>
      </c>
      <c r="E556" s="45" t="s">
        <v>3556</v>
      </c>
      <c r="F556" s="42"/>
      <c r="G556" s="48" t="s">
        <v>3559</v>
      </c>
      <c r="H556" s="42"/>
      <c r="I556" s="42"/>
    </row>
    <row r="557" spans="1:9" ht="15.75" customHeight="1">
      <c r="A557" s="42" t="s">
        <v>13</v>
      </c>
      <c r="B557" s="1" t="s">
        <v>3587</v>
      </c>
      <c r="C557" s="43">
        <v>759348</v>
      </c>
      <c r="D557" s="1" t="s">
        <v>83</v>
      </c>
      <c r="E557" s="45" t="s">
        <v>3593</v>
      </c>
      <c r="F557" s="192"/>
      <c r="G557" s="50"/>
      <c r="H557" s="42"/>
      <c r="I557" s="42"/>
    </row>
    <row r="558" spans="1:9" ht="15.75" customHeight="1">
      <c r="A558" s="42" t="s">
        <v>13</v>
      </c>
      <c r="B558" s="1" t="s">
        <v>3587</v>
      </c>
      <c r="C558" s="43">
        <v>5018537</v>
      </c>
      <c r="D558" s="1" t="s">
        <v>90</v>
      </c>
      <c r="E558" s="45" t="s">
        <v>3560</v>
      </c>
      <c r="F558" s="192"/>
      <c r="G558" s="50"/>
      <c r="H558" s="42"/>
      <c r="I558" s="42"/>
    </row>
    <row r="559" spans="1:9" ht="15.75" customHeight="1">
      <c r="A559" s="42" t="s">
        <v>13</v>
      </c>
      <c r="B559" s="1" t="s">
        <v>3587</v>
      </c>
      <c r="C559" s="43">
        <v>2809733</v>
      </c>
      <c r="D559" s="1" t="s">
        <v>80</v>
      </c>
      <c r="E559" s="45" t="s">
        <v>3561</v>
      </c>
      <c r="F559" s="42"/>
      <c r="G559" s="50"/>
      <c r="H559" s="42"/>
      <c r="I559" s="42"/>
    </row>
    <row r="560" spans="1:9" ht="15.75" customHeight="1">
      <c r="A560" s="42" t="s">
        <v>13</v>
      </c>
      <c r="B560" s="1" t="s">
        <v>3587</v>
      </c>
      <c r="C560" s="43">
        <v>689456</v>
      </c>
      <c r="D560" s="1" t="s">
        <v>71</v>
      </c>
      <c r="E560" s="45" t="s">
        <v>3970</v>
      </c>
      <c r="F560" s="42"/>
      <c r="G560" s="50"/>
      <c r="H560" s="42"/>
      <c r="I560" s="42"/>
    </row>
    <row r="561" spans="1:9" ht="15.75" customHeight="1">
      <c r="A561" s="42" t="s">
        <v>13</v>
      </c>
      <c r="B561" s="1" t="s">
        <v>3587</v>
      </c>
      <c r="C561" s="43">
        <v>694290</v>
      </c>
      <c r="D561" s="1" t="s">
        <v>71</v>
      </c>
      <c r="E561" s="45" t="s">
        <v>3563</v>
      </c>
      <c r="F561" s="42"/>
      <c r="G561" s="50"/>
      <c r="H561" s="42"/>
      <c r="I561" s="42"/>
    </row>
    <row r="562" spans="1:9" ht="15.75" customHeight="1">
      <c r="A562" s="42" t="s">
        <v>13</v>
      </c>
      <c r="B562" s="1" t="s">
        <v>3587</v>
      </c>
      <c r="C562" s="43">
        <v>648142</v>
      </c>
      <c r="D562" s="1" t="s">
        <v>83</v>
      </c>
      <c r="E562" s="45" t="s">
        <v>3824</v>
      </c>
      <c r="F562" s="42"/>
      <c r="G562" s="50"/>
      <c r="H562" s="42"/>
      <c r="I562" s="42"/>
    </row>
    <row r="563" spans="1:9" ht="15.75" customHeight="1">
      <c r="A563" s="42" t="s">
        <v>13</v>
      </c>
      <c r="B563" s="1" t="s">
        <v>3587</v>
      </c>
      <c r="C563" s="43">
        <v>631820</v>
      </c>
      <c r="D563" s="1" t="s">
        <v>83</v>
      </c>
      <c r="E563" s="45" t="s">
        <v>3825</v>
      </c>
      <c r="F563" s="42"/>
      <c r="G563" s="50"/>
      <c r="H563" s="42"/>
      <c r="I563" s="42"/>
    </row>
    <row r="564" spans="1:9" ht="15.75" customHeight="1">
      <c r="A564" s="42" t="s">
        <v>13</v>
      </c>
      <c r="B564" s="1" t="s">
        <v>3587</v>
      </c>
      <c r="C564" s="43">
        <v>784036</v>
      </c>
      <c r="D564" s="1" t="s">
        <v>80</v>
      </c>
      <c r="E564" s="45" t="s">
        <v>3826</v>
      </c>
      <c r="F564" s="42"/>
      <c r="G564" s="50"/>
      <c r="H564" s="42"/>
      <c r="I564" s="42"/>
    </row>
    <row r="565" spans="1:9" ht="15.75" customHeight="1">
      <c r="A565" s="42" t="s">
        <v>13</v>
      </c>
      <c r="B565" s="1" t="s">
        <v>3587</v>
      </c>
      <c r="C565" s="43">
        <v>703217</v>
      </c>
      <c r="D565" s="1" t="s">
        <v>71</v>
      </c>
      <c r="E565" s="45" t="s">
        <v>3971</v>
      </c>
      <c r="F565" s="192"/>
      <c r="G565" s="50"/>
      <c r="H565" s="42"/>
      <c r="I565" s="42"/>
    </row>
    <row r="566" spans="1:9" ht="15.75" customHeight="1">
      <c r="A566" s="42" t="s">
        <v>13</v>
      </c>
      <c r="B566" s="1" t="s">
        <v>3587</v>
      </c>
      <c r="C566" s="43">
        <v>678927</v>
      </c>
      <c r="D566" s="1" t="s">
        <v>80</v>
      </c>
      <c r="E566" s="45" t="s">
        <v>3564</v>
      </c>
      <c r="F566" s="190"/>
      <c r="G566" s="59"/>
      <c r="H566" s="188"/>
      <c r="I566" s="188"/>
    </row>
    <row r="567" spans="1:9" ht="15.75" customHeight="1">
      <c r="A567" s="42" t="s">
        <v>13</v>
      </c>
      <c r="B567" s="1" t="s">
        <v>3587</v>
      </c>
      <c r="C567" s="43">
        <v>2210922</v>
      </c>
      <c r="D567" s="1" t="s">
        <v>101</v>
      </c>
      <c r="E567" s="157" t="s">
        <v>3972</v>
      </c>
      <c r="F567" s="190"/>
      <c r="G567" s="59"/>
      <c r="H567" s="188"/>
      <c r="I567" s="188"/>
    </row>
    <row r="568" spans="1:9" ht="15.75" customHeight="1">
      <c r="A568" s="42" t="s">
        <v>13</v>
      </c>
      <c r="B568" s="1" t="s">
        <v>3587</v>
      </c>
      <c r="C568" s="43">
        <v>2929657</v>
      </c>
      <c r="D568" s="1" t="s">
        <v>80</v>
      </c>
      <c r="E568" s="45" t="s">
        <v>3565</v>
      </c>
      <c r="F568" s="190"/>
      <c r="G568" s="59"/>
      <c r="H568" s="188"/>
      <c r="I568" s="188"/>
    </row>
    <row r="569" spans="1:9" ht="15.75" customHeight="1">
      <c r="A569" s="42" t="s">
        <v>13</v>
      </c>
      <c r="B569" s="1" t="s">
        <v>3587</v>
      </c>
      <c r="C569" s="43">
        <v>2996362</v>
      </c>
      <c r="D569" s="1" t="s">
        <v>90</v>
      </c>
      <c r="E569" s="45" t="s">
        <v>3973</v>
      </c>
      <c r="F569" s="190"/>
      <c r="G569" s="59"/>
      <c r="H569" s="188"/>
      <c r="I569" s="188"/>
    </row>
    <row r="570" spans="1:9" ht="15.75" customHeight="1">
      <c r="A570" s="42" t="s">
        <v>13</v>
      </c>
      <c r="B570" s="1" t="s">
        <v>3587</v>
      </c>
      <c r="C570" s="43">
        <v>5025620</v>
      </c>
      <c r="D570" s="1" t="s">
        <v>101</v>
      </c>
      <c r="E570" s="45" t="s">
        <v>3569</v>
      </c>
      <c r="F570" s="190"/>
      <c r="G570" s="59"/>
      <c r="H570" s="188"/>
      <c r="I570" s="188"/>
    </row>
    <row r="571" spans="1:9" ht="15.75" customHeight="1">
      <c r="A571" s="42" t="s">
        <v>13</v>
      </c>
      <c r="B571" s="1" t="s">
        <v>3587</v>
      </c>
      <c r="C571" s="43">
        <v>593047</v>
      </c>
      <c r="D571" s="1" t="s">
        <v>80</v>
      </c>
      <c r="E571" s="45" t="s">
        <v>3609</v>
      </c>
      <c r="F571" s="190"/>
      <c r="G571" s="59"/>
      <c r="H571" s="188"/>
      <c r="I571" s="188"/>
    </row>
    <row r="572" spans="1:9" ht="15.75" customHeight="1">
      <c r="A572" s="42" t="s">
        <v>13</v>
      </c>
      <c r="B572" s="1" t="s">
        <v>3587</v>
      </c>
      <c r="C572" s="43">
        <v>2380068</v>
      </c>
      <c r="D572" s="1" t="s">
        <v>71</v>
      </c>
      <c r="E572" s="45" t="s">
        <v>3974</v>
      </c>
      <c r="F572" s="190"/>
      <c r="G572" s="59"/>
      <c r="H572" s="188"/>
      <c r="I572" s="188"/>
    </row>
    <row r="573" spans="1:9" ht="15.75" customHeight="1">
      <c r="A573" s="42" t="s">
        <v>13</v>
      </c>
      <c r="B573" s="1" t="s">
        <v>3587</v>
      </c>
      <c r="C573" s="43">
        <v>2989062</v>
      </c>
      <c r="D573" s="1" t="s">
        <v>80</v>
      </c>
      <c r="E573" s="45" t="s">
        <v>3975</v>
      </c>
      <c r="F573" s="190"/>
      <c r="G573" s="59"/>
      <c r="H573" s="188"/>
      <c r="I573" s="188"/>
    </row>
    <row r="574" spans="1:9" ht="15.75" customHeight="1">
      <c r="A574" s="42" t="s">
        <v>13</v>
      </c>
      <c r="B574" s="1" t="s">
        <v>3587</v>
      </c>
      <c r="C574" s="43">
        <v>713867</v>
      </c>
      <c r="D574" s="1" t="s">
        <v>80</v>
      </c>
      <c r="E574" s="45" t="s">
        <v>3574</v>
      </c>
      <c r="F574" s="190"/>
      <c r="G574" s="59"/>
      <c r="H574" s="188"/>
      <c r="I574" s="188"/>
    </row>
    <row r="575" spans="1:9" ht="15.75" customHeight="1">
      <c r="A575" s="42" t="s">
        <v>13</v>
      </c>
      <c r="B575" s="1" t="s">
        <v>3587</v>
      </c>
      <c r="C575" s="43">
        <v>2215003</v>
      </c>
      <c r="D575" s="1" t="s">
        <v>71</v>
      </c>
      <c r="E575" s="45" t="s">
        <v>3576</v>
      </c>
      <c r="F575" s="190"/>
      <c r="G575" s="59"/>
      <c r="H575" s="188"/>
      <c r="I575" s="188"/>
    </row>
    <row r="576" spans="1:9" ht="15.75" customHeight="1">
      <c r="A576" s="42" t="s">
        <v>13</v>
      </c>
      <c r="B576" s="1" t="s">
        <v>3587</v>
      </c>
      <c r="C576" s="43">
        <v>2999028</v>
      </c>
      <c r="D576" s="1" t="s">
        <v>80</v>
      </c>
      <c r="E576" s="45" t="s">
        <v>3778</v>
      </c>
      <c r="F576" s="190"/>
      <c r="G576" s="59"/>
      <c r="H576" s="188"/>
      <c r="I576" s="188"/>
    </row>
    <row r="577" spans="1:9" ht="15.75" customHeight="1">
      <c r="A577" s="42" t="s">
        <v>13</v>
      </c>
      <c r="B577" s="1" t="s">
        <v>3587</v>
      </c>
      <c r="C577" s="43">
        <v>2804681</v>
      </c>
      <c r="D577" s="1" t="s">
        <v>71</v>
      </c>
      <c r="E577" s="45" t="s">
        <v>3976</v>
      </c>
      <c r="F577" s="190"/>
      <c r="G577" s="59"/>
      <c r="H577" s="188"/>
      <c r="I577" s="188"/>
    </row>
    <row r="578" spans="1:9" ht="15.75" customHeight="1">
      <c r="A578" s="42" t="s">
        <v>13</v>
      </c>
      <c r="B578" s="1" t="s">
        <v>3587</v>
      </c>
      <c r="C578" s="43">
        <v>3151140</v>
      </c>
      <c r="D578" s="1" t="s">
        <v>80</v>
      </c>
      <c r="E578" s="45" t="s">
        <v>3586</v>
      </c>
      <c r="F578" s="190"/>
      <c r="G578" s="59"/>
      <c r="H578" s="188"/>
      <c r="I578" s="188"/>
    </row>
    <row r="579" spans="1:9" ht="15.75" customHeight="1">
      <c r="A579" s="42" t="s">
        <v>13</v>
      </c>
      <c r="B579" s="1" t="s">
        <v>3587</v>
      </c>
      <c r="C579" s="43">
        <v>584361</v>
      </c>
      <c r="D579" s="1" t="s">
        <v>71</v>
      </c>
      <c r="E579" s="45" t="s">
        <v>3587</v>
      </c>
      <c r="F579" s="190"/>
      <c r="G579" s="59"/>
      <c r="H579" s="188"/>
      <c r="I579" s="188"/>
    </row>
    <row r="580" spans="1:9" ht="15.75" customHeight="1">
      <c r="A580" s="42" t="s">
        <v>13</v>
      </c>
      <c r="B580" s="1" t="s">
        <v>3587</v>
      </c>
      <c r="C580" s="43">
        <v>2925266</v>
      </c>
      <c r="D580" s="1" t="s">
        <v>80</v>
      </c>
      <c r="E580" s="45" t="s">
        <v>3544</v>
      </c>
      <c r="F580" s="190"/>
      <c r="G580" s="59"/>
      <c r="H580" s="188"/>
      <c r="I580" s="188"/>
    </row>
    <row r="581" spans="1:9" ht="15.75" customHeight="1">
      <c r="A581" s="188" t="s">
        <v>14</v>
      </c>
      <c r="B581" s="189" t="s">
        <v>3977</v>
      </c>
      <c r="C581" s="190" t="s">
        <v>68</v>
      </c>
      <c r="D581" s="190" t="s">
        <v>62</v>
      </c>
      <c r="E581" s="56" t="s">
        <v>69</v>
      </c>
      <c r="F581" s="190"/>
      <c r="G581" s="48" t="s">
        <v>70</v>
      </c>
      <c r="H581" s="188"/>
      <c r="I581" s="188"/>
    </row>
    <row r="582" spans="1:9" ht="15.75" customHeight="1">
      <c r="A582" s="42" t="s">
        <v>14</v>
      </c>
      <c r="B582" s="1" t="s">
        <v>3977</v>
      </c>
      <c r="C582" s="43">
        <v>759348</v>
      </c>
      <c r="D582" s="1" t="s">
        <v>83</v>
      </c>
      <c r="E582" s="45" t="s">
        <v>3593</v>
      </c>
      <c r="F582" s="192"/>
      <c r="G582" s="48" t="s">
        <v>3978</v>
      </c>
      <c r="H582" s="42"/>
      <c r="I582" s="42"/>
    </row>
    <row r="583" spans="1:9" ht="15.75" customHeight="1">
      <c r="A583" s="42" t="s">
        <v>14</v>
      </c>
      <c r="B583" s="1" t="s">
        <v>3977</v>
      </c>
      <c r="C583" s="43">
        <v>2809733</v>
      </c>
      <c r="D583" s="1" t="s">
        <v>80</v>
      </c>
      <c r="E583" s="45" t="s">
        <v>3561</v>
      </c>
      <c r="F583" s="192"/>
      <c r="G583" s="48" t="s">
        <v>3592</v>
      </c>
      <c r="H583" s="42"/>
      <c r="I583" s="42"/>
    </row>
    <row r="584" spans="1:9" ht="15.75" customHeight="1">
      <c r="A584" s="42" t="s">
        <v>14</v>
      </c>
      <c r="B584" s="1" t="s">
        <v>3977</v>
      </c>
      <c r="C584" s="43">
        <v>689456</v>
      </c>
      <c r="D584" s="1" t="s">
        <v>71</v>
      </c>
      <c r="E584" s="45" t="s">
        <v>3970</v>
      </c>
      <c r="F584" s="192"/>
      <c r="G584" s="48" t="s">
        <v>3594</v>
      </c>
      <c r="H584" s="42"/>
      <c r="I584" s="42"/>
    </row>
    <row r="585" spans="1:9" ht="15.75" customHeight="1">
      <c r="A585" s="42" t="s">
        <v>14</v>
      </c>
      <c r="B585" s="1" t="s">
        <v>3977</v>
      </c>
      <c r="C585" s="43">
        <v>2922386</v>
      </c>
      <c r="D585" s="1" t="s">
        <v>83</v>
      </c>
      <c r="E585" s="45" t="s">
        <v>3596</v>
      </c>
      <c r="F585" s="192"/>
      <c r="G585" s="48" t="s">
        <v>3979</v>
      </c>
      <c r="H585" s="42"/>
      <c r="I585" s="42"/>
    </row>
    <row r="586" spans="1:9" ht="15.75" customHeight="1">
      <c r="A586" s="42" t="s">
        <v>14</v>
      </c>
      <c r="B586" s="1" t="s">
        <v>3977</v>
      </c>
      <c r="C586" s="43">
        <v>702514</v>
      </c>
      <c r="D586" s="1" t="s">
        <v>83</v>
      </c>
      <c r="E586" s="45" t="s">
        <v>3598</v>
      </c>
      <c r="F586" s="192"/>
      <c r="G586" s="48" t="s">
        <v>3595</v>
      </c>
      <c r="H586" s="42"/>
      <c r="I586" s="42"/>
    </row>
    <row r="587" spans="1:9" ht="15.75" customHeight="1">
      <c r="A587" s="42" t="s">
        <v>14</v>
      </c>
      <c r="B587" s="1" t="s">
        <v>3977</v>
      </c>
      <c r="C587" s="43">
        <v>2926059</v>
      </c>
      <c r="D587" s="1" t="s">
        <v>71</v>
      </c>
      <c r="E587" s="45" t="s">
        <v>3980</v>
      </c>
      <c r="F587" s="192"/>
      <c r="G587" s="48" t="s">
        <v>3600</v>
      </c>
      <c r="H587" s="42"/>
      <c r="I587" s="42"/>
    </row>
    <row r="588" spans="1:9" ht="15.75" customHeight="1">
      <c r="A588" s="42" t="s">
        <v>14</v>
      </c>
      <c r="B588" s="1" t="s">
        <v>3977</v>
      </c>
      <c r="C588" s="43">
        <v>2832039</v>
      </c>
      <c r="D588" s="1" t="s">
        <v>71</v>
      </c>
      <c r="E588" s="45" t="s">
        <v>3981</v>
      </c>
      <c r="F588" s="192"/>
      <c r="G588" s="50"/>
      <c r="H588" s="42"/>
      <c r="I588" s="42"/>
    </row>
    <row r="589" spans="1:9" ht="15.75" customHeight="1">
      <c r="A589" s="42" t="s">
        <v>14</v>
      </c>
      <c r="B589" s="1" t="s">
        <v>3977</v>
      </c>
      <c r="C589" s="43">
        <v>702516</v>
      </c>
      <c r="D589" s="1" t="s">
        <v>80</v>
      </c>
      <c r="E589" s="45" t="s">
        <v>3982</v>
      </c>
      <c r="F589" s="192"/>
      <c r="G589" s="50"/>
      <c r="H589" s="42"/>
      <c r="I589" s="42"/>
    </row>
    <row r="590" spans="1:9" ht="15.75" customHeight="1">
      <c r="A590" s="42" t="s">
        <v>14</v>
      </c>
      <c r="B590" s="1" t="s">
        <v>3977</v>
      </c>
      <c r="C590" s="43">
        <v>702513</v>
      </c>
      <c r="D590" s="1" t="s">
        <v>80</v>
      </c>
      <c r="E590" s="45" t="s">
        <v>3602</v>
      </c>
      <c r="F590" s="42"/>
      <c r="G590" s="50"/>
      <c r="H590" s="42"/>
      <c r="I590" s="42"/>
    </row>
    <row r="591" spans="1:9" ht="15.75" customHeight="1">
      <c r="A591" s="1" t="s">
        <v>14</v>
      </c>
      <c r="B591" s="1" t="s">
        <v>3977</v>
      </c>
      <c r="C591" s="43">
        <v>3103249</v>
      </c>
      <c r="D591" s="1" t="s">
        <v>71</v>
      </c>
      <c r="E591" s="49" t="s">
        <v>3983</v>
      </c>
      <c r="F591" s="42"/>
      <c r="G591" s="50"/>
      <c r="H591" s="42"/>
      <c r="I591" s="42"/>
    </row>
    <row r="592" spans="1:9" ht="15.75" customHeight="1">
      <c r="A592" s="1" t="s">
        <v>14</v>
      </c>
      <c r="B592" s="1" t="s">
        <v>3977</v>
      </c>
      <c r="C592" s="43">
        <v>3204097</v>
      </c>
      <c r="D592" s="1" t="s">
        <v>80</v>
      </c>
      <c r="E592" s="49" t="s">
        <v>3984</v>
      </c>
      <c r="F592" s="42"/>
      <c r="G592" s="50"/>
      <c r="H592" s="42"/>
      <c r="I592" s="42"/>
    </row>
    <row r="593" spans="1:9" ht="15.75" customHeight="1">
      <c r="A593" s="42" t="s">
        <v>14</v>
      </c>
      <c r="B593" s="1" t="s">
        <v>3977</v>
      </c>
      <c r="C593" s="43">
        <v>2805676</v>
      </c>
      <c r="D593" s="1" t="s">
        <v>83</v>
      </c>
      <c r="E593" s="45" t="s">
        <v>3603</v>
      </c>
      <c r="F593" s="42"/>
      <c r="G593" s="50"/>
      <c r="H593" s="42"/>
      <c r="I593" s="42"/>
    </row>
    <row r="594" spans="1:9" ht="15.75" customHeight="1">
      <c r="A594" s="42" t="s">
        <v>14</v>
      </c>
      <c r="B594" s="1" t="s">
        <v>3977</v>
      </c>
      <c r="C594" s="43">
        <v>2930664</v>
      </c>
      <c r="D594" s="1" t="s">
        <v>71</v>
      </c>
      <c r="E594" s="45" t="s">
        <v>3851</v>
      </c>
      <c r="F594" s="42"/>
      <c r="G594" s="50"/>
      <c r="H594" s="42"/>
      <c r="I594" s="42"/>
    </row>
    <row r="595" spans="1:9" ht="15.75" customHeight="1">
      <c r="A595" s="42" t="s">
        <v>14</v>
      </c>
      <c r="B595" s="1" t="s">
        <v>3977</v>
      </c>
      <c r="C595" s="43">
        <v>690407</v>
      </c>
      <c r="D595" s="1" t="s">
        <v>71</v>
      </c>
      <c r="E595" s="45" t="s">
        <v>3839</v>
      </c>
      <c r="F595" s="42"/>
      <c r="G595" s="50"/>
      <c r="H595" s="42"/>
      <c r="I595" s="42"/>
    </row>
    <row r="596" spans="1:9" ht="15.75" customHeight="1">
      <c r="A596" s="42" t="s">
        <v>14</v>
      </c>
      <c r="B596" s="1" t="s">
        <v>3977</v>
      </c>
      <c r="C596" s="43">
        <v>800684</v>
      </c>
      <c r="D596" s="1" t="s">
        <v>71</v>
      </c>
      <c r="E596" s="45" t="s">
        <v>3606</v>
      </c>
      <c r="F596" s="42"/>
      <c r="G596" s="50"/>
      <c r="H596" s="42"/>
      <c r="I596" s="42"/>
    </row>
    <row r="597" spans="1:9" ht="15.75" customHeight="1">
      <c r="A597" s="42" t="s">
        <v>14</v>
      </c>
      <c r="B597" s="1" t="s">
        <v>3977</v>
      </c>
      <c r="C597" s="43">
        <v>2951126</v>
      </c>
      <c r="D597" s="1" t="s">
        <v>80</v>
      </c>
      <c r="E597" s="45" t="s">
        <v>3985</v>
      </c>
      <c r="F597" s="42"/>
      <c r="G597" s="50"/>
      <c r="H597" s="42"/>
      <c r="I597" s="42"/>
    </row>
    <row r="598" spans="1:9" ht="15.75" customHeight="1">
      <c r="A598" s="42" t="s">
        <v>14</v>
      </c>
      <c r="B598" s="1" t="s">
        <v>3977</v>
      </c>
      <c r="C598" s="43">
        <v>5025613</v>
      </c>
      <c r="D598" s="1" t="s">
        <v>83</v>
      </c>
      <c r="E598" s="45" t="s">
        <v>3607</v>
      </c>
      <c r="F598" s="42"/>
      <c r="G598" s="50"/>
      <c r="H598" s="42"/>
      <c r="I598" s="42"/>
    </row>
    <row r="599" spans="1:9" ht="15.75" customHeight="1">
      <c r="A599" s="42" t="s">
        <v>14</v>
      </c>
      <c r="B599" s="1" t="s">
        <v>3977</v>
      </c>
      <c r="C599" s="43">
        <v>2385305</v>
      </c>
      <c r="D599" s="1" t="s">
        <v>83</v>
      </c>
      <c r="E599" s="49" t="s">
        <v>3986</v>
      </c>
      <c r="F599" s="42"/>
      <c r="G599" s="50"/>
      <c r="H599" s="42"/>
      <c r="I599" s="42"/>
    </row>
    <row r="600" spans="1:9" ht="15.75" customHeight="1">
      <c r="A600" s="42" t="s">
        <v>14</v>
      </c>
      <c r="B600" s="1" t="s">
        <v>3977</v>
      </c>
      <c r="C600" s="43">
        <v>3130117</v>
      </c>
      <c r="D600" s="1" t="s">
        <v>80</v>
      </c>
      <c r="E600" s="45" t="s">
        <v>3987</v>
      </c>
      <c r="F600" s="42"/>
      <c r="G600" s="50"/>
      <c r="H600" s="42"/>
      <c r="I600" s="42"/>
    </row>
    <row r="601" spans="1:9" ht="15.75" customHeight="1">
      <c r="A601" s="42" t="s">
        <v>14</v>
      </c>
      <c r="B601" s="1" t="s">
        <v>3977</v>
      </c>
      <c r="C601" s="43">
        <v>3157120</v>
      </c>
      <c r="D601" s="1" t="s">
        <v>80</v>
      </c>
      <c r="E601" s="49" t="s">
        <v>3699</v>
      </c>
      <c r="F601" s="42"/>
      <c r="G601" s="50"/>
      <c r="H601" s="42"/>
      <c r="I601" s="42"/>
    </row>
    <row r="602" spans="1:9" ht="15.75" customHeight="1">
      <c r="A602" s="42" t="s">
        <v>14</v>
      </c>
      <c r="B602" s="1" t="s">
        <v>3977</v>
      </c>
      <c r="C602" s="43">
        <v>5025620</v>
      </c>
      <c r="D602" s="1" t="s">
        <v>101</v>
      </c>
      <c r="E602" s="45" t="s">
        <v>3569</v>
      </c>
      <c r="F602" s="42"/>
      <c r="G602" s="50"/>
      <c r="H602" s="42"/>
      <c r="I602" s="42"/>
    </row>
    <row r="603" spans="1:9" ht="15.75" customHeight="1">
      <c r="A603" s="42" t="s">
        <v>14</v>
      </c>
      <c r="B603" s="1" t="s">
        <v>3977</v>
      </c>
      <c r="C603" s="43">
        <v>5025625</v>
      </c>
      <c r="D603" s="1" t="s">
        <v>71</v>
      </c>
      <c r="E603" s="45" t="s">
        <v>3608</v>
      </c>
      <c r="F603" s="42"/>
      <c r="G603" s="50"/>
      <c r="H603" s="42"/>
      <c r="I603" s="42"/>
    </row>
    <row r="604" spans="1:9" ht="15.75" customHeight="1">
      <c r="A604" s="42" t="s">
        <v>14</v>
      </c>
      <c r="B604" s="1" t="s">
        <v>3977</v>
      </c>
      <c r="C604" s="43">
        <v>593047</v>
      </c>
      <c r="D604" s="1" t="s">
        <v>80</v>
      </c>
      <c r="E604" s="45" t="s">
        <v>3609</v>
      </c>
      <c r="F604" s="42"/>
      <c r="G604" s="50"/>
      <c r="H604" s="42"/>
      <c r="I604" s="42"/>
    </row>
    <row r="605" spans="1:9" ht="15.75" customHeight="1">
      <c r="A605" s="42" t="s">
        <v>14</v>
      </c>
      <c r="B605" s="1" t="s">
        <v>3977</v>
      </c>
      <c r="C605" s="43">
        <v>2833080</v>
      </c>
      <c r="D605" s="1" t="s">
        <v>71</v>
      </c>
      <c r="E605" s="49" t="s">
        <v>3610</v>
      </c>
      <c r="F605" s="42"/>
      <c r="G605" s="50"/>
      <c r="H605" s="42"/>
      <c r="I605" s="42"/>
    </row>
    <row r="606" spans="1:9" ht="15.75" customHeight="1">
      <c r="A606" s="42" t="s">
        <v>14</v>
      </c>
      <c r="B606" s="1" t="s">
        <v>3977</v>
      </c>
      <c r="C606" s="43">
        <v>703241</v>
      </c>
      <c r="D606" s="1" t="s">
        <v>71</v>
      </c>
      <c r="E606" s="45" t="s">
        <v>3611</v>
      </c>
      <c r="F606" s="42"/>
      <c r="G606" s="50"/>
      <c r="H606" s="42"/>
      <c r="I606" s="42"/>
    </row>
    <row r="607" spans="1:9" ht="15.75" customHeight="1">
      <c r="A607" s="42" t="s">
        <v>14</v>
      </c>
      <c r="B607" s="1" t="s">
        <v>3977</v>
      </c>
      <c r="C607" s="43">
        <v>2380068</v>
      </c>
      <c r="D607" s="1" t="s">
        <v>71</v>
      </c>
      <c r="E607" s="45" t="s">
        <v>3974</v>
      </c>
      <c r="F607" s="42"/>
      <c r="G607" s="50"/>
      <c r="H607" s="42"/>
      <c r="I607" s="42"/>
    </row>
    <row r="608" spans="1:9" ht="15.75" customHeight="1">
      <c r="A608" s="1" t="s">
        <v>14</v>
      </c>
      <c r="B608" s="1" t="s">
        <v>3977</v>
      </c>
      <c r="C608" s="43">
        <v>561400</v>
      </c>
      <c r="D608" s="1" t="s">
        <v>71</v>
      </c>
      <c r="E608" s="45" t="s">
        <v>3612</v>
      </c>
      <c r="F608" s="42"/>
      <c r="G608" s="50"/>
      <c r="H608" s="42"/>
      <c r="I608" s="42"/>
    </row>
    <row r="609" spans="1:9" ht="15.75" customHeight="1">
      <c r="A609" s="1" t="s">
        <v>14</v>
      </c>
      <c r="B609" s="1" t="s">
        <v>3977</v>
      </c>
      <c r="C609" s="43">
        <v>2813171</v>
      </c>
      <c r="D609" s="1" t="s">
        <v>90</v>
      </c>
      <c r="E609" s="45" t="s">
        <v>3613</v>
      </c>
      <c r="F609" s="42"/>
      <c r="G609" s="50"/>
      <c r="H609" s="42"/>
      <c r="I609" s="42"/>
    </row>
    <row r="610" spans="1:9" ht="15.75" customHeight="1">
      <c r="A610" s="42" t="s">
        <v>14</v>
      </c>
      <c r="B610" s="1" t="s">
        <v>3977</v>
      </c>
      <c r="C610" s="43">
        <v>2812518</v>
      </c>
      <c r="D610" s="1" t="s">
        <v>80</v>
      </c>
      <c r="E610" s="45" t="s">
        <v>3614</v>
      </c>
      <c r="F610" s="42"/>
      <c r="G610" s="50"/>
      <c r="H610" s="42"/>
      <c r="I610" s="42"/>
    </row>
    <row r="611" spans="1:9" ht="15.75" customHeight="1">
      <c r="A611" s="42" t="s">
        <v>14</v>
      </c>
      <c r="B611" s="1" t="s">
        <v>3977</v>
      </c>
      <c r="C611" s="43">
        <v>2841286</v>
      </c>
      <c r="D611" s="1" t="s">
        <v>80</v>
      </c>
      <c r="E611" s="45" t="s">
        <v>3615</v>
      </c>
      <c r="F611" s="42"/>
      <c r="G611" s="50"/>
      <c r="H611" s="42"/>
      <c r="I611" s="42"/>
    </row>
    <row r="612" spans="1:9" ht="15.75" customHeight="1">
      <c r="A612" s="42" t="s">
        <v>14</v>
      </c>
      <c r="B612" s="1" t="s">
        <v>3977</v>
      </c>
      <c r="C612" s="43">
        <v>2892047</v>
      </c>
      <c r="D612" s="1" t="s">
        <v>71</v>
      </c>
      <c r="E612" s="49" t="s">
        <v>3616</v>
      </c>
      <c r="F612" s="42"/>
      <c r="G612" s="50"/>
      <c r="H612" s="42"/>
      <c r="I612" s="42"/>
    </row>
    <row r="613" spans="1:9" ht="15.75" customHeight="1">
      <c r="A613" s="42" t="s">
        <v>14</v>
      </c>
      <c r="B613" s="1" t="s">
        <v>3977</v>
      </c>
      <c r="C613" s="43">
        <v>2807641</v>
      </c>
      <c r="D613" s="1" t="s">
        <v>83</v>
      </c>
      <c r="E613" s="45" t="s">
        <v>3617</v>
      </c>
      <c r="F613" s="190"/>
      <c r="G613" s="59"/>
      <c r="H613" s="188"/>
      <c r="I613" s="188"/>
    </row>
    <row r="614" spans="1:9" ht="15.75" customHeight="1">
      <c r="A614" s="42" t="s">
        <v>14</v>
      </c>
      <c r="B614" s="1" t="s">
        <v>3977</v>
      </c>
      <c r="C614" s="43">
        <v>3160235</v>
      </c>
      <c r="D614" s="1" t="s">
        <v>71</v>
      </c>
      <c r="E614" s="49" t="s">
        <v>3618</v>
      </c>
      <c r="F614" s="190"/>
      <c r="G614" s="59"/>
      <c r="H614" s="188"/>
      <c r="I614" s="188"/>
    </row>
    <row r="615" spans="1:9" ht="15.75" customHeight="1">
      <c r="A615" s="42" t="s">
        <v>14</v>
      </c>
      <c r="B615" s="1" t="s">
        <v>3977</v>
      </c>
      <c r="C615" s="43">
        <v>648460</v>
      </c>
      <c r="D615" s="1" t="s">
        <v>71</v>
      </c>
      <c r="E615" s="45" t="s">
        <v>3526</v>
      </c>
      <c r="F615" s="190"/>
      <c r="G615" s="59"/>
      <c r="H615" s="188"/>
      <c r="I615" s="188"/>
    </row>
    <row r="616" spans="1:9" ht="15.75" customHeight="1">
      <c r="A616" s="42" t="s">
        <v>14</v>
      </c>
      <c r="B616" s="1" t="s">
        <v>3977</v>
      </c>
      <c r="C616" s="43">
        <v>593919</v>
      </c>
      <c r="D616" s="1" t="s">
        <v>80</v>
      </c>
      <c r="E616" s="45" t="s">
        <v>3621</v>
      </c>
      <c r="F616" s="190"/>
      <c r="G616" s="59"/>
      <c r="H616" s="188"/>
      <c r="I616" s="188"/>
    </row>
    <row r="617" spans="1:9" ht="15.75" customHeight="1">
      <c r="A617" s="42" t="s">
        <v>14</v>
      </c>
      <c r="B617" s="1" t="s">
        <v>3977</v>
      </c>
      <c r="C617" s="43">
        <v>2833029</v>
      </c>
      <c r="D617" s="1" t="s">
        <v>71</v>
      </c>
      <c r="E617" s="45" t="s">
        <v>3659</v>
      </c>
      <c r="F617" s="190"/>
      <c r="G617" s="59"/>
      <c r="H617" s="188"/>
      <c r="I617" s="188"/>
    </row>
    <row r="618" spans="1:9" ht="15.75" customHeight="1">
      <c r="A618" s="42" t="s">
        <v>14</v>
      </c>
      <c r="B618" s="1" t="s">
        <v>3977</v>
      </c>
      <c r="C618" s="43">
        <v>593043</v>
      </c>
      <c r="D618" s="1" t="s">
        <v>80</v>
      </c>
      <c r="E618" s="45" t="s">
        <v>3623</v>
      </c>
      <c r="F618" s="190"/>
      <c r="G618" s="59"/>
      <c r="H618" s="188"/>
      <c r="I618" s="188"/>
    </row>
    <row r="619" spans="1:9" ht="15.75" customHeight="1">
      <c r="A619" s="42" t="s">
        <v>14</v>
      </c>
      <c r="B619" s="1" t="s">
        <v>3977</v>
      </c>
      <c r="C619" s="43">
        <v>2920399</v>
      </c>
      <c r="D619" s="1" t="s">
        <v>80</v>
      </c>
      <c r="E619" s="45" t="s">
        <v>3716</v>
      </c>
      <c r="F619" s="190"/>
      <c r="G619" s="59"/>
      <c r="H619" s="188"/>
      <c r="I619" s="188"/>
    </row>
    <row r="620" spans="1:9" ht="15.75" customHeight="1">
      <c r="A620" s="42" t="s">
        <v>14</v>
      </c>
      <c r="B620" s="1" t="s">
        <v>3977</v>
      </c>
      <c r="C620" s="43">
        <v>2923226</v>
      </c>
      <c r="D620" s="1" t="s">
        <v>71</v>
      </c>
      <c r="E620" s="45" t="s">
        <v>3988</v>
      </c>
      <c r="F620" s="190"/>
      <c r="G620" s="59"/>
      <c r="H620" s="188"/>
      <c r="I620" s="188"/>
    </row>
    <row r="621" spans="1:9" ht="15.75" customHeight="1">
      <c r="A621" s="42" t="s">
        <v>14</v>
      </c>
      <c r="B621" s="1" t="s">
        <v>3977</v>
      </c>
      <c r="C621" s="43">
        <v>3130123</v>
      </c>
      <c r="D621" s="1" t="s">
        <v>80</v>
      </c>
      <c r="E621" s="45" t="s">
        <v>3989</v>
      </c>
      <c r="F621" s="190"/>
      <c r="G621" s="59"/>
      <c r="H621" s="188"/>
      <c r="I621" s="188"/>
    </row>
    <row r="622" spans="1:9" ht="15.75" customHeight="1">
      <c r="A622" s="42" t="s">
        <v>14</v>
      </c>
      <c r="B622" s="1" t="s">
        <v>3977</v>
      </c>
      <c r="C622" s="43">
        <v>2877212</v>
      </c>
      <c r="D622" s="1" t="s">
        <v>80</v>
      </c>
      <c r="E622" s="45" t="s">
        <v>3529</v>
      </c>
      <c r="F622" s="190"/>
      <c r="G622" s="59"/>
      <c r="H622" s="188"/>
      <c r="I622" s="188"/>
    </row>
    <row r="623" spans="1:9" ht="15.75" customHeight="1">
      <c r="A623" s="42" t="s">
        <v>14</v>
      </c>
      <c r="B623" s="1" t="s">
        <v>3977</v>
      </c>
      <c r="C623" s="43">
        <v>702517</v>
      </c>
      <c r="D623" s="1" t="s">
        <v>71</v>
      </c>
      <c r="E623" s="45" t="s">
        <v>3625</v>
      </c>
      <c r="F623" s="190"/>
      <c r="G623" s="59"/>
      <c r="H623" s="188"/>
      <c r="I623" s="188"/>
    </row>
    <row r="624" spans="1:9" ht="15.75" customHeight="1">
      <c r="A624" s="42" t="s">
        <v>14</v>
      </c>
      <c r="B624" s="1" t="s">
        <v>3977</v>
      </c>
      <c r="C624" s="43">
        <v>2921745</v>
      </c>
      <c r="D624" s="1" t="s">
        <v>83</v>
      </c>
      <c r="E624" s="45" t="s">
        <v>3629</v>
      </c>
      <c r="F624" s="190"/>
      <c r="G624" s="59"/>
      <c r="H624" s="188"/>
      <c r="I624" s="188"/>
    </row>
    <row r="625" spans="1:9" ht="15.75" customHeight="1">
      <c r="A625" s="42" t="s">
        <v>14</v>
      </c>
      <c r="B625" s="1" t="s">
        <v>3977</v>
      </c>
      <c r="C625" s="43">
        <v>423478</v>
      </c>
      <c r="D625" s="1" t="s">
        <v>71</v>
      </c>
      <c r="E625" s="45" t="s">
        <v>3582</v>
      </c>
      <c r="F625" s="190"/>
      <c r="G625" s="59"/>
      <c r="H625" s="188"/>
      <c r="I625" s="188"/>
    </row>
    <row r="626" spans="1:9" ht="15.75" customHeight="1">
      <c r="A626" s="42" t="s">
        <v>14</v>
      </c>
      <c r="B626" s="1" t="s">
        <v>3977</v>
      </c>
      <c r="C626" s="43">
        <v>800683</v>
      </c>
      <c r="D626" s="1" t="s">
        <v>71</v>
      </c>
      <c r="E626" s="45" t="s">
        <v>3630</v>
      </c>
      <c r="F626" s="190"/>
      <c r="G626" s="59"/>
      <c r="H626" s="188"/>
      <c r="I626" s="188"/>
    </row>
    <row r="627" spans="1:9" ht="15.75" customHeight="1">
      <c r="A627" s="42" t="s">
        <v>14</v>
      </c>
      <c r="B627" s="1" t="s">
        <v>3977</v>
      </c>
      <c r="C627" s="43">
        <v>559538</v>
      </c>
      <c r="D627" s="1" t="s">
        <v>83</v>
      </c>
      <c r="E627" s="45" t="s">
        <v>3673</v>
      </c>
      <c r="F627" s="190"/>
      <c r="G627" s="59"/>
      <c r="H627" s="188"/>
      <c r="I627" s="188"/>
    </row>
    <row r="628" spans="1:9" ht="15.75" customHeight="1">
      <c r="A628" s="42" t="s">
        <v>14</v>
      </c>
      <c r="B628" s="1" t="s">
        <v>3977</v>
      </c>
      <c r="C628" s="43">
        <v>784037</v>
      </c>
      <c r="D628" s="1" t="s">
        <v>80</v>
      </c>
      <c r="E628" s="45" t="s">
        <v>3538</v>
      </c>
      <c r="F628" s="190"/>
      <c r="G628" s="59"/>
      <c r="H628" s="188"/>
      <c r="I628" s="188"/>
    </row>
    <row r="629" spans="1:9" ht="15.75" customHeight="1">
      <c r="A629" s="42" t="s">
        <v>14</v>
      </c>
      <c r="B629" s="1" t="s">
        <v>3977</v>
      </c>
      <c r="C629" s="43">
        <v>761012</v>
      </c>
      <c r="D629" s="1" t="s">
        <v>71</v>
      </c>
      <c r="E629" s="45" t="s">
        <v>3633</v>
      </c>
      <c r="F629" s="190"/>
      <c r="G629" s="59"/>
      <c r="H629" s="188"/>
      <c r="I629" s="188"/>
    </row>
    <row r="630" spans="1:9" ht="15.75" customHeight="1">
      <c r="A630" s="42" t="s">
        <v>14</v>
      </c>
      <c r="B630" s="1" t="s">
        <v>3977</v>
      </c>
      <c r="C630" s="43">
        <v>2926060</v>
      </c>
      <c r="D630" s="1" t="s">
        <v>80</v>
      </c>
      <c r="E630" s="45" t="s">
        <v>3541</v>
      </c>
      <c r="F630" s="190"/>
      <c r="G630" s="59"/>
      <c r="H630" s="188"/>
      <c r="I630" s="188"/>
    </row>
    <row r="631" spans="1:9" ht="15.75" customHeight="1">
      <c r="A631" s="42" t="s">
        <v>14</v>
      </c>
      <c r="B631" s="1" t="s">
        <v>3977</v>
      </c>
      <c r="C631" s="43">
        <v>2876316</v>
      </c>
      <c r="D631" s="1" t="s">
        <v>83</v>
      </c>
      <c r="E631" s="49" t="s">
        <v>3990</v>
      </c>
      <c r="F631" s="190"/>
      <c r="G631" s="59"/>
      <c r="H631" s="188"/>
      <c r="I631" s="188"/>
    </row>
    <row r="632" spans="1:9" ht="15.75" customHeight="1">
      <c r="A632" s="42" t="s">
        <v>14</v>
      </c>
      <c r="B632" s="1" t="s">
        <v>3977</v>
      </c>
      <c r="C632" s="43">
        <v>5025616</v>
      </c>
      <c r="D632" s="1" t="s">
        <v>83</v>
      </c>
      <c r="E632" s="45" t="s">
        <v>3634</v>
      </c>
      <c r="F632" s="190"/>
      <c r="G632" s="59"/>
      <c r="H632" s="188"/>
      <c r="I632" s="188"/>
    </row>
    <row r="633" spans="1:9" ht="15.75" customHeight="1">
      <c r="A633" s="42" t="s">
        <v>14</v>
      </c>
      <c r="B633" s="1" t="s">
        <v>3977</v>
      </c>
      <c r="C633" s="43">
        <v>676841</v>
      </c>
      <c r="D633" s="1" t="s">
        <v>80</v>
      </c>
      <c r="E633" s="45" t="s">
        <v>3635</v>
      </c>
      <c r="F633" s="190"/>
      <c r="G633" s="59"/>
      <c r="H633" s="188"/>
      <c r="I633" s="188"/>
    </row>
    <row r="634" spans="1:9" ht="15.75" customHeight="1">
      <c r="A634" s="42" t="s">
        <v>14</v>
      </c>
      <c r="B634" s="1" t="s">
        <v>3977</v>
      </c>
      <c r="C634" s="43">
        <v>561079</v>
      </c>
      <c r="D634" s="1" t="s">
        <v>80</v>
      </c>
      <c r="E634" s="45" t="s">
        <v>3636</v>
      </c>
      <c r="F634" s="190"/>
      <c r="G634" s="59"/>
      <c r="H634" s="188"/>
      <c r="I634" s="188"/>
    </row>
    <row r="635" spans="1:9" ht="15.75" customHeight="1">
      <c r="A635" s="42" t="s">
        <v>14</v>
      </c>
      <c r="B635" s="1" t="s">
        <v>3977</v>
      </c>
      <c r="C635" s="43">
        <v>561469</v>
      </c>
      <c r="D635" s="1" t="s">
        <v>80</v>
      </c>
      <c r="E635" s="45" t="s">
        <v>3639</v>
      </c>
      <c r="F635" s="190"/>
      <c r="G635" s="59"/>
      <c r="H635" s="188"/>
      <c r="I635" s="188"/>
    </row>
    <row r="636" spans="1:9" ht="15.75" customHeight="1">
      <c r="A636" s="42" t="s">
        <v>14</v>
      </c>
      <c r="B636" s="1" t="s">
        <v>3977</v>
      </c>
      <c r="C636" s="43">
        <v>5025611</v>
      </c>
      <c r="D636" s="1" t="s">
        <v>71</v>
      </c>
      <c r="E636" s="45" t="s">
        <v>3640</v>
      </c>
      <c r="F636" s="190"/>
      <c r="G636" s="59"/>
      <c r="H636" s="188"/>
      <c r="I636" s="188"/>
    </row>
    <row r="637" spans="1:9" ht="15.75" customHeight="1">
      <c r="A637" s="42" t="s">
        <v>14</v>
      </c>
      <c r="B637" s="1" t="s">
        <v>3977</v>
      </c>
      <c r="C637" s="43">
        <v>584324</v>
      </c>
      <c r="D637" s="1" t="s">
        <v>71</v>
      </c>
      <c r="E637" s="45" t="s">
        <v>3641</v>
      </c>
      <c r="F637" s="190"/>
      <c r="G637" s="59"/>
      <c r="H637" s="188"/>
      <c r="I637" s="188"/>
    </row>
    <row r="638" spans="1:9" ht="15.75" customHeight="1">
      <c r="A638" s="42" t="s">
        <v>14</v>
      </c>
      <c r="B638" s="1" t="s">
        <v>3977</v>
      </c>
      <c r="C638" s="43">
        <v>5018536</v>
      </c>
      <c r="D638" s="1" t="s">
        <v>83</v>
      </c>
      <c r="E638" s="45" t="s">
        <v>3736</v>
      </c>
      <c r="F638" s="190"/>
      <c r="G638" s="59"/>
      <c r="H638" s="188"/>
      <c r="I638" s="188"/>
    </row>
    <row r="639" spans="1:9" ht="15.75" customHeight="1">
      <c r="A639" s="42" t="s">
        <v>14</v>
      </c>
      <c r="B639" s="1" t="s">
        <v>3977</v>
      </c>
      <c r="C639" s="43">
        <v>593052</v>
      </c>
      <c r="D639" s="1" t="s">
        <v>71</v>
      </c>
      <c r="E639" s="45" t="s">
        <v>3545</v>
      </c>
      <c r="F639" s="190"/>
      <c r="G639" s="59"/>
      <c r="H639" s="188"/>
      <c r="I639" s="188"/>
    </row>
    <row r="640" spans="1:9" ht="15.75" customHeight="1">
      <c r="A640" s="42" t="s">
        <v>14</v>
      </c>
      <c r="B640" s="1" t="s">
        <v>3977</v>
      </c>
      <c r="C640" s="43">
        <v>3148342</v>
      </c>
      <c r="D640" s="1" t="s">
        <v>71</v>
      </c>
      <c r="E640" s="49" t="s">
        <v>3643</v>
      </c>
      <c r="F640" s="190"/>
      <c r="G640" s="59"/>
      <c r="H640" s="188"/>
      <c r="I640" s="188"/>
    </row>
    <row r="641" spans="1:9" ht="15.75" customHeight="1">
      <c r="A641" s="42" t="s">
        <v>14</v>
      </c>
      <c r="B641" s="1" t="s">
        <v>3977</v>
      </c>
      <c r="C641" s="43">
        <v>593048</v>
      </c>
      <c r="D641" s="1" t="s">
        <v>83</v>
      </c>
      <c r="E641" s="45" t="s">
        <v>3644</v>
      </c>
      <c r="F641" s="190"/>
      <c r="G641" s="59"/>
      <c r="H641" s="188"/>
      <c r="I641" s="188"/>
    </row>
    <row r="642" spans="1:9" ht="15.75" customHeight="1">
      <c r="A642" s="42" t="s">
        <v>14</v>
      </c>
      <c r="B642" s="1" t="s">
        <v>3977</v>
      </c>
      <c r="C642" s="43">
        <v>565181</v>
      </c>
      <c r="D642" s="1" t="s">
        <v>101</v>
      </c>
      <c r="E642" s="45" t="s">
        <v>3547</v>
      </c>
      <c r="F642" s="190"/>
      <c r="G642" s="59"/>
      <c r="H642" s="188"/>
      <c r="I642" s="188"/>
    </row>
    <row r="643" spans="1:9" ht="15.75" customHeight="1">
      <c r="A643" s="42" t="s">
        <v>14</v>
      </c>
      <c r="B643" s="1" t="s">
        <v>3977</v>
      </c>
      <c r="C643" s="43">
        <v>641774</v>
      </c>
      <c r="D643" s="1" t="s">
        <v>71</v>
      </c>
      <c r="E643" s="45" t="s">
        <v>3548</v>
      </c>
      <c r="F643" s="190"/>
      <c r="G643" s="59"/>
      <c r="H643" s="188"/>
      <c r="I643" s="188"/>
    </row>
    <row r="644" spans="1:9" ht="15.75" customHeight="1">
      <c r="A644" s="188" t="s">
        <v>15</v>
      </c>
      <c r="B644" s="189" t="s">
        <v>3991</v>
      </c>
      <c r="C644" s="190" t="s">
        <v>68</v>
      </c>
      <c r="D644" s="190" t="s">
        <v>62</v>
      </c>
      <c r="E644" s="56" t="s">
        <v>69</v>
      </c>
      <c r="F644" s="190"/>
      <c r="G644" s="48" t="s">
        <v>70</v>
      </c>
      <c r="H644" s="188"/>
      <c r="I644" s="188"/>
    </row>
    <row r="645" spans="1:9" ht="15.75" customHeight="1">
      <c r="A645" s="42" t="s">
        <v>15</v>
      </c>
      <c r="B645" s="1" t="s">
        <v>3991</v>
      </c>
      <c r="C645" s="43">
        <v>2922386</v>
      </c>
      <c r="D645" s="1" t="s">
        <v>83</v>
      </c>
      <c r="E645" s="45" t="s">
        <v>3596</v>
      </c>
      <c r="F645" s="42"/>
      <c r="G645" s="48" t="s">
        <v>3600</v>
      </c>
      <c r="H645" s="42"/>
      <c r="I645" s="42"/>
    </row>
    <row r="646" spans="1:9" ht="15.75" customHeight="1">
      <c r="A646" s="42" t="s">
        <v>15</v>
      </c>
      <c r="B646" s="1" t="s">
        <v>3991</v>
      </c>
      <c r="C646" s="43">
        <v>593910</v>
      </c>
      <c r="D646" s="1" t="s">
        <v>80</v>
      </c>
      <c r="E646" s="45" t="s">
        <v>3510</v>
      </c>
      <c r="F646" s="42"/>
      <c r="G646" s="48" t="s">
        <v>3594</v>
      </c>
      <c r="H646" s="42"/>
      <c r="I646" s="42"/>
    </row>
    <row r="647" spans="1:9" ht="15.75" customHeight="1">
      <c r="A647" s="42" t="s">
        <v>15</v>
      </c>
      <c r="B647" s="1" t="s">
        <v>3991</v>
      </c>
      <c r="C647" s="43">
        <v>702515</v>
      </c>
      <c r="D647" s="1" t="s">
        <v>83</v>
      </c>
      <c r="E647" s="45" t="s">
        <v>3954</v>
      </c>
      <c r="F647" s="42"/>
      <c r="G647" s="48" t="s">
        <v>3592</v>
      </c>
      <c r="H647" s="42"/>
      <c r="I647" s="42"/>
    </row>
    <row r="648" spans="1:9" ht="15.75" customHeight="1">
      <c r="A648" s="42" t="s">
        <v>15</v>
      </c>
      <c r="B648" s="1" t="s">
        <v>3991</v>
      </c>
      <c r="C648" s="43">
        <v>2805676</v>
      </c>
      <c r="D648" s="1" t="s">
        <v>83</v>
      </c>
      <c r="E648" s="45" t="s">
        <v>3603</v>
      </c>
      <c r="F648" s="42"/>
      <c r="G648" s="50"/>
      <c r="H648" s="42"/>
      <c r="I648" s="42"/>
    </row>
    <row r="649" spans="1:9" ht="15.75" customHeight="1">
      <c r="A649" s="42" t="s">
        <v>15</v>
      </c>
      <c r="B649" s="1" t="s">
        <v>3991</v>
      </c>
      <c r="C649" s="43">
        <v>5025562</v>
      </c>
      <c r="D649" s="1" t="s">
        <v>71</v>
      </c>
      <c r="E649" s="45" t="s">
        <v>3519</v>
      </c>
      <c r="F649" s="42"/>
      <c r="G649" s="50"/>
      <c r="H649" s="42"/>
      <c r="I649" s="42"/>
    </row>
    <row r="650" spans="1:9" ht="15.75" customHeight="1">
      <c r="A650" s="42" t="s">
        <v>15</v>
      </c>
      <c r="B650" s="1" t="s">
        <v>3991</v>
      </c>
      <c r="C650" s="43">
        <v>703235</v>
      </c>
      <c r="D650" s="1" t="s">
        <v>71</v>
      </c>
      <c r="E650" s="45" t="s">
        <v>3938</v>
      </c>
      <c r="F650" s="42"/>
      <c r="G650" s="50"/>
      <c r="H650" s="42"/>
      <c r="I650" s="42"/>
    </row>
    <row r="651" spans="1:9" ht="15.75" customHeight="1">
      <c r="A651" s="42" t="s">
        <v>15</v>
      </c>
      <c r="B651" s="1" t="s">
        <v>3991</v>
      </c>
      <c r="C651" s="43">
        <v>5020332</v>
      </c>
      <c r="D651" s="1" t="s">
        <v>71</v>
      </c>
      <c r="E651" s="45" t="s">
        <v>3520</v>
      </c>
      <c r="F651" s="42"/>
      <c r="G651" s="50"/>
      <c r="H651" s="42"/>
      <c r="I651" s="42"/>
    </row>
    <row r="652" spans="1:9" ht="15.75" customHeight="1">
      <c r="A652" s="42" t="s">
        <v>15</v>
      </c>
      <c r="B652" s="1" t="s">
        <v>3991</v>
      </c>
      <c r="C652" s="43">
        <v>563968</v>
      </c>
      <c r="D652" s="1" t="s">
        <v>71</v>
      </c>
      <c r="E652" s="45" t="s">
        <v>3523</v>
      </c>
      <c r="F652" s="42"/>
      <c r="G652" s="50"/>
      <c r="H652" s="42"/>
      <c r="I652" s="42"/>
    </row>
    <row r="653" spans="1:9" ht="15.75" customHeight="1">
      <c r="A653" s="42" t="s">
        <v>15</v>
      </c>
      <c r="B653" s="1" t="s">
        <v>3991</v>
      </c>
      <c r="C653" s="43">
        <v>5025613</v>
      </c>
      <c r="D653" s="1" t="s">
        <v>83</v>
      </c>
      <c r="E653" s="45" t="s">
        <v>3607</v>
      </c>
      <c r="F653" s="42"/>
      <c r="G653" s="50"/>
      <c r="H653" s="42"/>
      <c r="I653" s="42"/>
    </row>
    <row r="654" spans="1:9" ht="15.75" customHeight="1">
      <c r="A654" s="42" t="s">
        <v>15</v>
      </c>
      <c r="B654" s="1" t="s">
        <v>3991</v>
      </c>
      <c r="C654" s="43">
        <v>672276</v>
      </c>
      <c r="D654" s="1" t="s">
        <v>71</v>
      </c>
      <c r="E654" s="45" t="s">
        <v>3525</v>
      </c>
      <c r="F654" s="42"/>
      <c r="G654" s="50"/>
      <c r="H654" s="42"/>
      <c r="I654" s="42"/>
    </row>
    <row r="655" spans="1:9" ht="15.75" customHeight="1">
      <c r="A655" s="42" t="s">
        <v>15</v>
      </c>
      <c r="B655" s="1" t="s">
        <v>3991</v>
      </c>
      <c r="C655" s="43">
        <v>5025617</v>
      </c>
      <c r="D655" s="1" t="s">
        <v>71</v>
      </c>
      <c r="E655" s="45" t="s">
        <v>3624</v>
      </c>
      <c r="F655" s="42"/>
      <c r="G655" s="50"/>
      <c r="H655" s="42"/>
      <c r="I655" s="42"/>
    </row>
    <row r="656" spans="1:9" ht="15.75" customHeight="1">
      <c r="A656" s="42" t="s">
        <v>15</v>
      </c>
      <c r="B656" s="1" t="s">
        <v>3991</v>
      </c>
      <c r="C656" s="43">
        <v>2923226</v>
      </c>
      <c r="D656" s="1" t="s">
        <v>71</v>
      </c>
      <c r="E656" s="45" t="s">
        <v>3988</v>
      </c>
      <c r="F656" s="42"/>
      <c r="G656" s="50"/>
      <c r="H656" s="42"/>
      <c r="I656" s="42"/>
    </row>
    <row r="657" spans="1:9" ht="15.75" customHeight="1">
      <c r="A657" s="42" t="s">
        <v>15</v>
      </c>
      <c r="B657" s="1" t="s">
        <v>3991</v>
      </c>
      <c r="C657" s="43">
        <v>702517</v>
      </c>
      <c r="D657" s="1" t="s">
        <v>71</v>
      </c>
      <c r="E657" s="45" t="s">
        <v>3625</v>
      </c>
      <c r="F657" s="42"/>
      <c r="G657" s="50"/>
      <c r="H657" s="42"/>
      <c r="I657" s="42"/>
    </row>
    <row r="658" spans="1:9" ht="15.75" customHeight="1">
      <c r="A658" s="42" t="s">
        <v>15</v>
      </c>
      <c r="B658" s="1" t="s">
        <v>3991</v>
      </c>
      <c r="C658" s="43">
        <v>593045</v>
      </c>
      <c r="D658" s="1" t="s">
        <v>80</v>
      </c>
      <c r="E658" s="45" t="s">
        <v>3627</v>
      </c>
      <c r="F658" s="42"/>
      <c r="G658" s="50"/>
      <c r="H658" s="42"/>
      <c r="I658" s="42"/>
    </row>
    <row r="659" spans="1:9" ht="15.75" customHeight="1">
      <c r="A659" s="42" t="s">
        <v>15</v>
      </c>
      <c r="B659" s="1" t="s">
        <v>3991</v>
      </c>
      <c r="C659" s="43">
        <v>494021</v>
      </c>
      <c r="D659" s="1" t="s">
        <v>80</v>
      </c>
      <c r="E659" s="45" t="s">
        <v>3628</v>
      </c>
      <c r="F659" s="42"/>
      <c r="G659" s="50"/>
      <c r="H659" s="42"/>
      <c r="I659" s="42"/>
    </row>
    <row r="660" spans="1:9" ht="15.75" customHeight="1">
      <c r="A660" s="42" t="s">
        <v>15</v>
      </c>
      <c r="B660" s="1" t="s">
        <v>3991</v>
      </c>
      <c r="C660" s="43">
        <v>5033508</v>
      </c>
      <c r="D660" s="1" t="s">
        <v>80</v>
      </c>
      <c r="E660" s="45" t="s">
        <v>3530</v>
      </c>
      <c r="F660" s="42"/>
      <c r="G660" s="50"/>
      <c r="H660" s="42"/>
      <c r="I660" s="42"/>
    </row>
    <row r="661" spans="1:9" ht="15.75" customHeight="1">
      <c r="A661" s="42" t="s">
        <v>15</v>
      </c>
      <c r="B661" s="1" t="s">
        <v>3991</v>
      </c>
      <c r="C661" s="43">
        <v>559538</v>
      </c>
      <c r="D661" s="1" t="s">
        <v>83</v>
      </c>
      <c r="E661" s="45" t="s">
        <v>3673</v>
      </c>
      <c r="F661" s="42"/>
      <c r="G661" s="50"/>
      <c r="H661" s="42"/>
      <c r="I661" s="42"/>
    </row>
    <row r="662" spans="1:9" ht="15.75" customHeight="1">
      <c r="A662" s="42" t="s">
        <v>15</v>
      </c>
      <c r="B662" s="1" t="s">
        <v>3991</v>
      </c>
      <c r="C662" s="43">
        <v>784037</v>
      </c>
      <c r="D662" s="1" t="s">
        <v>80</v>
      </c>
      <c r="E662" s="45" t="s">
        <v>3538</v>
      </c>
      <c r="F662" s="42"/>
      <c r="G662" s="50"/>
      <c r="H662" s="42"/>
      <c r="I662" s="42"/>
    </row>
    <row r="663" spans="1:9" ht="15.75" customHeight="1">
      <c r="A663" s="42" t="s">
        <v>15</v>
      </c>
      <c r="B663" s="1" t="s">
        <v>3991</v>
      </c>
      <c r="C663" s="43">
        <v>5025616</v>
      </c>
      <c r="D663" s="1" t="s">
        <v>83</v>
      </c>
      <c r="E663" s="45" t="s">
        <v>3634</v>
      </c>
      <c r="F663" s="42"/>
      <c r="G663" s="50"/>
      <c r="H663" s="42"/>
      <c r="I663" s="42"/>
    </row>
    <row r="664" spans="1:9" ht="15.75" customHeight="1">
      <c r="A664" s="42" t="s">
        <v>15</v>
      </c>
      <c r="B664" s="1" t="s">
        <v>3991</v>
      </c>
      <c r="C664" s="43">
        <v>2232562</v>
      </c>
      <c r="D664" s="1" t="s">
        <v>71</v>
      </c>
      <c r="E664" s="45" t="s">
        <v>3638</v>
      </c>
      <c r="F664" s="42"/>
      <c r="G664" s="50"/>
      <c r="H664" s="42"/>
      <c r="I664" s="42"/>
    </row>
    <row r="665" spans="1:9" ht="15.75" customHeight="1">
      <c r="A665" s="42" t="s">
        <v>15</v>
      </c>
      <c r="B665" s="1" t="s">
        <v>3991</v>
      </c>
      <c r="C665" s="43">
        <v>561469</v>
      </c>
      <c r="D665" s="1" t="s">
        <v>80</v>
      </c>
      <c r="E665" s="45" t="s">
        <v>3639</v>
      </c>
      <c r="F665" s="42"/>
      <c r="G665" s="50"/>
      <c r="H665" s="42"/>
      <c r="I665" s="42"/>
    </row>
    <row r="666" spans="1:9" ht="15.75" customHeight="1">
      <c r="A666" s="42" t="s">
        <v>15</v>
      </c>
      <c r="B666" s="1" t="s">
        <v>3991</v>
      </c>
      <c r="C666" s="43">
        <v>5025611</v>
      </c>
      <c r="D666" s="1" t="s">
        <v>71</v>
      </c>
      <c r="E666" s="45" t="s">
        <v>3640</v>
      </c>
      <c r="F666" s="190"/>
      <c r="G666" s="59"/>
      <c r="H666" s="188"/>
      <c r="I666" s="188"/>
    </row>
    <row r="667" spans="1:9" ht="15.75" customHeight="1">
      <c r="A667" s="42" t="s">
        <v>15</v>
      </c>
      <c r="B667" s="1" t="s">
        <v>3991</v>
      </c>
      <c r="C667" s="43">
        <v>3148342</v>
      </c>
      <c r="D667" s="1" t="s">
        <v>71</v>
      </c>
      <c r="E667" s="49" t="s">
        <v>3643</v>
      </c>
      <c r="F667" s="190"/>
      <c r="G667" s="59"/>
      <c r="H667" s="188"/>
      <c r="I667" s="188"/>
    </row>
    <row r="668" spans="1:9" ht="15.75" customHeight="1">
      <c r="A668" s="42" t="s">
        <v>15</v>
      </c>
      <c r="B668" s="1" t="s">
        <v>3991</v>
      </c>
      <c r="C668" s="43">
        <v>5033458</v>
      </c>
      <c r="D668" s="1" t="s">
        <v>80</v>
      </c>
      <c r="E668" s="45" t="s">
        <v>3552</v>
      </c>
      <c r="F668" s="190"/>
      <c r="G668" s="59"/>
      <c r="H668" s="188"/>
      <c r="I668" s="188"/>
    </row>
    <row r="669" spans="1:9" ht="15.75" customHeight="1">
      <c r="A669" s="42" t="s">
        <v>15</v>
      </c>
      <c r="B669" s="1" t="s">
        <v>3991</v>
      </c>
      <c r="C669" s="43">
        <v>593896</v>
      </c>
      <c r="D669" s="1" t="s">
        <v>71</v>
      </c>
      <c r="E669" s="45" t="s">
        <v>3553</v>
      </c>
      <c r="F669" s="190"/>
      <c r="G669" s="59"/>
      <c r="H669" s="188"/>
      <c r="I669" s="188"/>
    </row>
    <row r="670" spans="1:9" ht="15.75" customHeight="1">
      <c r="A670" s="188" t="s">
        <v>16</v>
      </c>
      <c r="B670" s="189" t="s">
        <v>3992</v>
      </c>
      <c r="C670" s="190" t="s">
        <v>68</v>
      </c>
      <c r="D670" s="190" t="s">
        <v>62</v>
      </c>
      <c r="E670" s="56" t="s">
        <v>69</v>
      </c>
      <c r="F670" s="190"/>
      <c r="G670" s="48" t="s">
        <v>70</v>
      </c>
      <c r="H670" s="188"/>
      <c r="I670" s="188"/>
    </row>
    <row r="671" spans="1:9" ht="15.75" customHeight="1">
      <c r="A671" s="42" t="s">
        <v>16</v>
      </c>
      <c r="B671" s="1" t="s">
        <v>3992</v>
      </c>
      <c r="C671" s="43">
        <v>2818162</v>
      </c>
      <c r="D671" s="1" t="s">
        <v>101</v>
      </c>
      <c r="E671" s="45" t="s">
        <v>3993</v>
      </c>
      <c r="F671" s="42"/>
      <c r="G671" s="48" t="s">
        <v>3994</v>
      </c>
      <c r="H671" s="42"/>
      <c r="I671" s="42"/>
    </row>
    <row r="672" spans="1:9" ht="15.75" customHeight="1">
      <c r="A672" s="42" t="s">
        <v>16</v>
      </c>
      <c r="B672" s="1" t="s">
        <v>3992</v>
      </c>
      <c r="C672" s="43">
        <v>2260110</v>
      </c>
      <c r="D672" s="1" t="s">
        <v>71</v>
      </c>
      <c r="E672" s="45" t="s">
        <v>3995</v>
      </c>
      <c r="F672" s="42"/>
      <c r="G672" s="48" t="s">
        <v>3996</v>
      </c>
      <c r="H672" s="42"/>
      <c r="I672" s="42"/>
    </row>
    <row r="673" spans="1:9" ht="15.75" customHeight="1">
      <c r="A673" s="42" t="s">
        <v>16</v>
      </c>
      <c r="B673" s="1" t="s">
        <v>3992</v>
      </c>
      <c r="C673" s="43">
        <v>708832</v>
      </c>
      <c r="D673" s="1" t="s">
        <v>101</v>
      </c>
      <c r="E673" s="45" t="s">
        <v>3997</v>
      </c>
      <c r="F673" s="42"/>
      <c r="G673" s="48" t="s">
        <v>3998</v>
      </c>
      <c r="H673" s="42"/>
      <c r="I673" s="42"/>
    </row>
    <row r="674" spans="1:9" ht="15.75" customHeight="1">
      <c r="A674" s="42" t="s">
        <v>16</v>
      </c>
      <c r="B674" s="1" t="s">
        <v>3992</v>
      </c>
      <c r="C674" s="43">
        <v>735756</v>
      </c>
      <c r="D674" s="1" t="s">
        <v>83</v>
      </c>
      <c r="E674" s="45" t="s">
        <v>3572</v>
      </c>
      <c r="F674" s="42"/>
      <c r="G674" s="50"/>
      <c r="H674" s="42"/>
      <c r="I674" s="42"/>
    </row>
    <row r="675" spans="1:9" ht="15.75" customHeight="1">
      <c r="A675" s="42" t="s">
        <v>16</v>
      </c>
      <c r="B675" s="1" t="s">
        <v>3992</v>
      </c>
      <c r="C675" s="43">
        <v>2824026</v>
      </c>
      <c r="D675" s="1" t="s">
        <v>83</v>
      </c>
      <c r="E675" s="45" t="s">
        <v>3999</v>
      </c>
      <c r="F675" s="42"/>
      <c r="G675" s="50"/>
      <c r="H675" s="42"/>
      <c r="I675" s="42"/>
    </row>
    <row r="676" spans="1:9" ht="15.75" customHeight="1">
      <c r="A676" s="42" t="s">
        <v>16</v>
      </c>
      <c r="B676" s="1" t="s">
        <v>3992</v>
      </c>
      <c r="C676" s="43">
        <v>2921873</v>
      </c>
      <c r="D676" s="1" t="s">
        <v>71</v>
      </c>
      <c r="E676" s="49" t="s">
        <v>4000</v>
      </c>
      <c r="F676" s="42"/>
      <c r="G676" s="50"/>
      <c r="H676" s="42"/>
      <c r="I676" s="42"/>
    </row>
    <row r="677" spans="1:9" ht="15.75" customHeight="1">
      <c r="A677" s="42" t="s">
        <v>16</v>
      </c>
      <c r="B677" s="1" t="s">
        <v>3992</v>
      </c>
      <c r="C677" s="43">
        <v>2815114</v>
      </c>
      <c r="D677" s="1" t="s">
        <v>71</v>
      </c>
      <c r="E677" s="45" t="s">
        <v>4001</v>
      </c>
      <c r="F677" s="42"/>
      <c r="G677" s="50"/>
      <c r="H677" s="42"/>
      <c r="I677" s="42"/>
    </row>
    <row r="678" spans="1:9" ht="15.75" customHeight="1">
      <c r="A678" s="42" t="s">
        <v>16</v>
      </c>
      <c r="B678" s="1" t="s">
        <v>3992</v>
      </c>
      <c r="C678" s="43">
        <v>758760</v>
      </c>
      <c r="D678" s="1" t="s">
        <v>83</v>
      </c>
      <c r="E678" s="45" t="s">
        <v>4002</v>
      </c>
      <c r="F678" s="42"/>
      <c r="G678" s="50"/>
      <c r="H678" s="42"/>
      <c r="I678" s="42"/>
    </row>
    <row r="679" spans="1:9" ht="15.75" customHeight="1">
      <c r="A679" s="42" t="s">
        <v>16</v>
      </c>
      <c r="B679" s="1" t="s">
        <v>3992</v>
      </c>
      <c r="C679" s="43">
        <v>794691</v>
      </c>
      <c r="D679" s="1" t="s">
        <v>90</v>
      </c>
      <c r="E679" s="45" t="s">
        <v>3018</v>
      </c>
      <c r="F679" s="190"/>
      <c r="G679" s="59"/>
      <c r="H679" s="188"/>
      <c r="I679" s="188"/>
    </row>
    <row r="680" spans="1:9" ht="15.75" customHeight="1">
      <c r="A680" s="42" t="s">
        <v>16</v>
      </c>
      <c r="B680" s="1" t="s">
        <v>3992</v>
      </c>
      <c r="C680" s="43">
        <v>761021</v>
      </c>
      <c r="D680" s="1" t="s">
        <v>71</v>
      </c>
      <c r="E680" s="45" t="s">
        <v>3019</v>
      </c>
      <c r="F680" s="190"/>
      <c r="G680" s="59"/>
      <c r="H680" s="188"/>
      <c r="I680" s="188"/>
    </row>
    <row r="681" spans="1:9" ht="15.75" customHeight="1">
      <c r="A681" s="42" t="s">
        <v>16</v>
      </c>
      <c r="B681" s="1" t="s">
        <v>3992</v>
      </c>
      <c r="C681" s="43">
        <v>2232562</v>
      </c>
      <c r="D681" s="1" t="s">
        <v>71</v>
      </c>
      <c r="E681" s="45" t="s">
        <v>3638</v>
      </c>
      <c r="F681" s="190"/>
      <c r="G681" s="59"/>
      <c r="H681" s="188"/>
      <c r="I681" s="188"/>
    </row>
    <row r="682" spans="1:9" ht="15.75" customHeight="1">
      <c r="A682" s="188" t="s">
        <v>17</v>
      </c>
      <c r="B682" s="189" t="s">
        <v>4003</v>
      </c>
      <c r="C682" s="190" t="s">
        <v>68</v>
      </c>
      <c r="D682" s="190" t="s">
        <v>62</v>
      </c>
      <c r="E682" s="56" t="s">
        <v>69</v>
      </c>
      <c r="F682" s="190"/>
      <c r="G682" s="48" t="s">
        <v>70</v>
      </c>
      <c r="H682" s="188"/>
      <c r="I682" s="188"/>
    </row>
    <row r="683" spans="1:9" ht="15.75" customHeight="1">
      <c r="A683" s="42" t="s">
        <v>17</v>
      </c>
      <c r="B683" s="1" t="s">
        <v>4003</v>
      </c>
      <c r="C683" s="43">
        <v>195515</v>
      </c>
      <c r="D683" s="1" t="s">
        <v>80</v>
      </c>
      <c r="E683" s="45" t="s">
        <v>3516</v>
      </c>
      <c r="F683" s="42"/>
      <c r="G683" s="48" t="s">
        <v>3685</v>
      </c>
      <c r="H683" s="42"/>
      <c r="I683" s="42"/>
    </row>
    <row r="684" spans="1:9" ht="15.75" customHeight="1">
      <c r="A684" s="42" t="s">
        <v>17</v>
      </c>
      <c r="B684" s="1" t="s">
        <v>4003</v>
      </c>
      <c r="C684" s="43">
        <v>5025605</v>
      </c>
      <c r="D684" s="1" t="s">
        <v>71</v>
      </c>
      <c r="E684" s="49" t="s">
        <v>4004</v>
      </c>
      <c r="F684" s="42"/>
      <c r="G684" s="48" t="s">
        <v>4005</v>
      </c>
      <c r="H684" s="42"/>
      <c r="I684" s="42"/>
    </row>
    <row r="685" spans="1:9" ht="15.75" customHeight="1">
      <c r="A685" s="42" t="s">
        <v>17</v>
      </c>
      <c r="B685" s="1" t="s">
        <v>4003</v>
      </c>
      <c r="C685" s="43">
        <v>593904</v>
      </c>
      <c r="D685" s="1" t="s">
        <v>71</v>
      </c>
      <c r="E685" s="45" t="s">
        <v>4006</v>
      </c>
      <c r="F685" s="42"/>
      <c r="G685" s="48" t="s">
        <v>4007</v>
      </c>
      <c r="H685" s="42"/>
      <c r="I685" s="42"/>
    </row>
    <row r="686" spans="1:9" ht="15.75" customHeight="1">
      <c r="A686" s="42" t="s">
        <v>17</v>
      </c>
      <c r="B686" s="1" t="s">
        <v>4003</v>
      </c>
      <c r="C686" s="43">
        <v>800554</v>
      </c>
      <c r="D686" s="1" t="s">
        <v>83</v>
      </c>
      <c r="E686" s="45" t="s">
        <v>3691</v>
      </c>
      <c r="F686" s="42"/>
      <c r="G686" s="50"/>
      <c r="H686" s="42"/>
      <c r="I686" s="42"/>
    </row>
    <row r="687" spans="1:9" ht="15.75" customHeight="1">
      <c r="A687" s="42" t="s">
        <v>17</v>
      </c>
      <c r="B687" s="1" t="s">
        <v>4003</v>
      </c>
      <c r="C687" s="43">
        <v>3205094</v>
      </c>
      <c r="D687" s="1" t="s">
        <v>80</v>
      </c>
      <c r="E687" s="49" t="s">
        <v>3692</v>
      </c>
      <c r="F687" s="42"/>
      <c r="G687" s="50"/>
      <c r="H687" s="42"/>
      <c r="I687" s="42"/>
    </row>
    <row r="688" spans="1:9" ht="15.75" customHeight="1">
      <c r="A688" s="42" t="s">
        <v>17</v>
      </c>
      <c r="B688" s="1" t="s">
        <v>4003</v>
      </c>
      <c r="C688" s="43">
        <v>5025661</v>
      </c>
      <c r="D688" s="1" t="s">
        <v>71</v>
      </c>
      <c r="E688" s="45" t="s">
        <v>4008</v>
      </c>
      <c r="F688" s="42"/>
      <c r="G688" s="50"/>
      <c r="H688" s="42"/>
      <c r="I688" s="42"/>
    </row>
    <row r="689" spans="1:9" ht="15.75" customHeight="1">
      <c r="A689" s="42" t="s">
        <v>17</v>
      </c>
      <c r="B689" s="1" t="s">
        <v>4003</v>
      </c>
      <c r="C689" s="43">
        <v>2996653</v>
      </c>
      <c r="D689" s="1" t="s">
        <v>80</v>
      </c>
      <c r="E689" s="45" t="s">
        <v>4009</v>
      </c>
      <c r="F689" s="42"/>
      <c r="G689" s="50"/>
      <c r="H689" s="42"/>
      <c r="I689" s="42"/>
    </row>
    <row r="690" spans="1:9" ht="15.75" customHeight="1">
      <c r="A690" s="42" t="s">
        <v>17</v>
      </c>
      <c r="B690" s="1" t="s">
        <v>4003</v>
      </c>
      <c r="C690" s="43">
        <v>593041</v>
      </c>
      <c r="D690" s="1" t="s">
        <v>80</v>
      </c>
      <c r="E690" s="45" t="s">
        <v>4010</v>
      </c>
      <c r="F690" s="42"/>
      <c r="G690" s="50"/>
      <c r="H690" s="42"/>
      <c r="I690" s="42"/>
    </row>
    <row r="691" spans="1:9" ht="15.75" customHeight="1">
      <c r="A691" s="42" t="s">
        <v>17</v>
      </c>
      <c r="B691" s="1" t="s">
        <v>4003</v>
      </c>
      <c r="C691" s="43">
        <v>514035</v>
      </c>
      <c r="D691" s="1" t="s">
        <v>83</v>
      </c>
      <c r="E691" s="45" t="s">
        <v>4011</v>
      </c>
      <c r="F691" s="42"/>
      <c r="G691" s="50"/>
      <c r="H691" s="42"/>
      <c r="I691" s="42"/>
    </row>
    <row r="692" spans="1:9" ht="15.75" customHeight="1">
      <c r="A692" s="42" t="s">
        <v>17</v>
      </c>
      <c r="B692" s="1" t="s">
        <v>4003</v>
      </c>
      <c r="C692" s="43">
        <v>702521</v>
      </c>
      <c r="D692" s="1" t="s">
        <v>83</v>
      </c>
      <c r="E692" s="45" t="s">
        <v>3897</v>
      </c>
      <c r="F692" s="42"/>
      <c r="G692" s="50"/>
      <c r="H692" s="42"/>
      <c r="I692" s="42"/>
    </row>
    <row r="693" spans="1:9" ht="15.75" customHeight="1">
      <c r="A693" s="42" t="s">
        <v>17</v>
      </c>
      <c r="B693" s="1" t="s">
        <v>4003</v>
      </c>
      <c r="C693" s="43">
        <v>2210961</v>
      </c>
      <c r="D693" s="1" t="s">
        <v>80</v>
      </c>
      <c r="E693" s="45" t="s">
        <v>3705</v>
      </c>
      <c r="F693" s="42"/>
      <c r="G693" s="50"/>
      <c r="H693" s="42"/>
      <c r="I693" s="42"/>
    </row>
    <row r="694" spans="1:9" ht="15.75" customHeight="1">
      <c r="A694" s="42" t="s">
        <v>17</v>
      </c>
      <c r="B694" s="1" t="s">
        <v>4003</v>
      </c>
      <c r="C694" s="43">
        <v>2435035</v>
      </c>
      <c r="D694" s="1" t="s">
        <v>80</v>
      </c>
      <c r="E694" s="49" t="s">
        <v>3708</v>
      </c>
      <c r="F694" s="42"/>
      <c r="G694" s="50"/>
      <c r="H694" s="42"/>
      <c r="I694" s="42"/>
    </row>
    <row r="695" spans="1:9" ht="15.75" customHeight="1">
      <c r="A695" s="42" t="s">
        <v>17</v>
      </c>
      <c r="B695" s="1" t="s">
        <v>4003</v>
      </c>
      <c r="C695" s="43">
        <v>2823401</v>
      </c>
      <c r="D695" s="1" t="s">
        <v>80</v>
      </c>
      <c r="E695" s="45" t="s">
        <v>3622</v>
      </c>
      <c r="F695" s="42"/>
      <c r="G695" s="50"/>
      <c r="H695" s="42"/>
      <c r="I695" s="42"/>
    </row>
    <row r="696" spans="1:9" ht="15.75" customHeight="1">
      <c r="A696" s="42" t="s">
        <v>17</v>
      </c>
      <c r="B696" s="1" t="s">
        <v>4003</v>
      </c>
      <c r="C696" s="43">
        <v>593043</v>
      </c>
      <c r="D696" s="1" t="s">
        <v>80</v>
      </c>
      <c r="E696" s="45" t="s">
        <v>3623</v>
      </c>
      <c r="F696" s="42"/>
      <c r="G696" s="50"/>
      <c r="H696" s="42"/>
      <c r="I696" s="42"/>
    </row>
    <row r="697" spans="1:9" ht="15.75" customHeight="1">
      <c r="A697" s="42" t="s">
        <v>17</v>
      </c>
      <c r="B697" s="1" t="s">
        <v>4003</v>
      </c>
      <c r="C697" s="43">
        <v>2920399</v>
      </c>
      <c r="D697" s="1" t="s">
        <v>80</v>
      </c>
      <c r="E697" s="45" t="s">
        <v>3716</v>
      </c>
      <c r="F697" s="42"/>
      <c r="G697" s="50"/>
      <c r="H697" s="42"/>
      <c r="I697" s="42"/>
    </row>
    <row r="698" spans="1:9" ht="15.75" customHeight="1">
      <c r="A698" s="42" t="s">
        <v>17</v>
      </c>
      <c r="B698" s="1" t="s">
        <v>4003</v>
      </c>
      <c r="C698" s="43">
        <v>2990028</v>
      </c>
      <c r="D698" s="1" t="s">
        <v>83</v>
      </c>
      <c r="E698" s="45" t="s">
        <v>4012</v>
      </c>
      <c r="F698" s="42"/>
      <c r="G698" s="50"/>
      <c r="H698" s="42"/>
      <c r="I698" s="42"/>
    </row>
    <row r="699" spans="1:9" ht="15.75" customHeight="1">
      <c r="A699" s="42" t="s">
        <v>17</v>
      </c>
      <c r="B699" s="1" t="s">
        <v>4003</v>
      </c>
      <c r="C699" s="43">
        <v>782088</v>
      </c>
      <c r="D699" s="1" t="s">
        <v>101</v>
      </c>
      <c r="E699" s="45" t="s">
        <v>4013</v>
      </c>
      <c r="F699" s="42"/>
      <c r="G699" s="50"/>
      <c r="H699" s="42"/>
      <c r="I699" s="42"/>
    </row>
    <row r="700" spans="1:9" ht="15.75" customHeight="1">
      <c r="A700" s="42" t="s">
        <v>17</v>
      </c>
      <c r="B700" s="1" t="s">
        <v>4003</v>
      </c>
      <c r="C700" s="43">
        <v>761029</v>
      </c>
      <c r="D700" s="1" t="s">
        <v>83</v>
      </c>
      <c r="E700" s="45" t="s">
        <v>4014</v>
      </c>
      <c r="F700" s="42"/>
      <c r="G700" s="50"/>
      <c r="H700" s="42"/>
      <c r="I700" s="42"/>
    </row>
    <row r="701" spans="1:9" ht="15.75" customHeight="1">
      <c r="A701" s="42" t="s">
        <v>17</v>
      </c>
      <c r="B701" s="1" t="s">
        <v>4003</v>
      </c>
      <c r="C701" s="43">
        <v>2932106</v>
      </c>
      <c r="D701" s="1" t="s">
        <v>71</v>
      </c>
      <c r="E701" s="45" t="s">
        <v>4015</v>
      </c>
      <c r="F701" s="42"/>
      <c r="G701" s="50"/>
      <c r="H701" s="42"/>
      <c r="I701" s="42"/>
    </row>
    <row r="702" spans="1:9" ht="15.75" customHeight="1">
      <c r="A702" s="42" t="s">
        <v>17</v>
      </c>
      <c r="B702" s="1" t="s">
        <v>4003</v>
      </c>
      <c r="C702" s="43">
        <v>2922310</v>
      </c>
      <c r="D702" s="1" t="s">
        <v>71</v>
      </c>
      <c r="E702" s="45" t="s">
        <v>4016</v>
      </c>
      <c r="F702" s="42"/>
      <c r="G702" s="50"/>
      <c r="H702" s="42"/>
      <c r="I702" s="42"/>
    </row>
    <row r="703" spans="1:9" ht="15.75" customHeight="1">
      <c r="A703" s="42" t="s">
        <v>17</v>
      </c>
      <c r="B703" s="1" t="s">
        <v>4003</v>
      </c>
      <c r="C703" s="43">
        <v>2922311</v>
      </c>
      <c r="D703" s="1" t="s">
        <v>71</v>
      </c>
      <c r="E703" s="45" t="s">
        <v>4017</v>
      </c>
      <c r="F703" s="42"/>
      <c r="G703" s="50"/>
      <c r="H703" s="42"/>
      <c r="I703" s="42"/>
    </row>
    <row r="704" spans="1:9" ht="15.75" customHeight="1">
      <c r="A704" s="42" t="s">
        <v>17</v>
      </c>
      <c r="B704" s="1" t="s">
        <v>4003</v>
      </c>
      <c r="C704" s="43">
        <v>195623</v>
      </c>
      <c r="D704" s="1" t="s">
        <v>71</v>
      </c>
      <c r="E704" s="45" t="s">
        <v>4018</v>
      </c>
      <c r="F704" s="42"/>
      <c r="G704" s="50"/>
      <c r="H704" s="42"/>
      <c r="I704" s="42"/>
    </row>
    <row r="705" spans="1:9" ht="15.75" customHeight="1">
      <c r="A705" s="42" t="s">
        <v>17</v>
      </c>
      <c r="B705" s="1" t="s">
        <v>4003</v>
      </c>
      <c r="C705" s="43">
        <v>2919852</v>
      </c>
      <c r="D705" s="1" t="s">
        <v>71</v>
      </c>
      <c r="E705" s="45" t="s">
        <v>4019</v>
      </c>
      <c r="F705" s="42"/>
      <c r="G705" s="50"/>
      <c r="H705" s="42"/>
      <c r="I705" s="42"/>
    </row>
    <row r="706" spans="1:9" ht="15.75" customHeight="1">
      <c r="A706" s="42" t="s">
        <v>17</v>
      </c>
      <c r="B706" s="1" t="s">
        <v>4003</v>
      </c>
      <c r="C706" s="43">
        <v>2922921</v>
      </c>
      <c r="D706" s="1" t="s">
        <v>71</v>
      </c>
      <c r="E706" s="45" t="s">
        <v>4020</v>
      </c>
      <c r="F706" s="42"/>
      <c r="G706" s="50"/>
      <c r="H706" s="42"/>
      <c r="I706" s="42"/>
    </row>
    <row r="707" spans="1:9" ht="15.75" customHeight="1">
      <c r="A707" s="42" t="s">
        <v>17</v>
      </c>
      <c r="B707" s="1" t="s">
        <v>4003</v>
      </c>
      <c r="C707" s="43">
        <v>5036605</v>
      </c>
      <c r="D707" s="1" t="s">
        <v>71</v>
      </c>
      <c r="E707" s="45" t="s">
        <v>4021</v>
      </c>
      <c r="F707" s="42"/>
      <c r="G707" s="50"/>
      <c r="H707" s="42"/>
      <c r="I707" s="42"/>
    </row>
    <row r="708" spans="1:9" ht="15.75" customHeight="1">
      <c r="A708" s="42" t="s">
        <v>17</v>
      </c>
      <c r="B708" s="1" t="s">
        <v>4003</v>
      </c>
      <c r="C708" s="43">
        <v>2921415</v>
      </c>
      <c r="D708" s="1" t="s">
        <v>71</v>
      </c>
      <c r="E708" s="45" t="s">
        <v>4022</v>
      </c>
      <c r="F708" s="42"/>
      <c r="G708" s="50"/>
      <c r="H708" s="42"/>
      <c r="I708" s="42"/>
    </row>
    <row r="709" spans="1:9" ht="15.75" customHeight="1">
      <c r="A709" s="42" t="s">
        <v>17</v>
      </c>
      <c r="B709" s="1" t="s">
        <v>4003</v>
      </c>
      <c r="C709" s="43">
        <v>784356</v>
      </c>
      <c r="D709" s="1" t="s">
        <v>71</v>
      </c>
      <c r="E709" s="45" t="s">
        <v>4023</v>
      </c>
      <c r="F709" s="42"/>
      <c r="G709" s="50"/>
      <c r="H709" s="42"/>
      <c r="I709" s="42"/>
    </row>
    <row r="710" spans="1:9" ht="15.75" customHeight="1">
      <c r="A710" s="42" t="s">
        <v>17</v>
      </c>
      <c r="B710" s="1" t="s">
        <v>4003</v>
      </c>
      <c r="C710" s="43">
        <v>782086</v>
      </c>
      <c r="D710" s="1" t="s">
        <v>71</v>
      </c>
      <c r="E710" s="45" t="s">
        <v>4024</v>
      </c>
      <c r="F710" s="42"/>
      <c r="G710" s="50"/>
      <c r="H710" s="42"/>
      <c r="I710" s="42"/>
    </row>
    <row r="711" spans="1:9" ht="15.75" customHeight="1">
      <c r="A711" s="42" t="s">
        <v>17</v>
      </c>
      <c r="B711" s="1" t="s">
        <v>4003</v>
      </c>
      <c r="C711" s="43">
        <v>508747</v>
      </c>
      <c r="D711" s="1" t="s">
        <v>80</v>
      </c>
      <c r="E711" s="45" t="s">
        <v>4025</v>
      </c>
      <c r="F711" s="190"/>
      <c r="G711" s="59"/>
      <c r="H711" s="188"/>
      <c r="I711" s="188"/>
    </row>
    <row r="712" spans="1:9" ht="15.75" customHeight="1">
      <c r="A712" s="42" t="s">
        <v>17</v>
      </c>
      <c r="B712" s="1" t="s">
        <v>4003</v>
      </c>
      <c r="C712" s="43">
        <v>593042</v>
      </c>
      <c r="D712" s="1" t="s">
        <v>71</v>
      </c>
      <c r="E712" s="45" t="s">
        <v>4026</v>
      </c>
      <c r="F712" s="190"/>
      <c r="G712" s="59"/>
      <c r="H712" s="188"/>
      <c r="I712" s="188"/>
    </row>
    <row r="713" spans="1:9" ht="15.75" customHeight="1">
      <c r="A713" s="42" t="s">
        <v>17</v>
      </c>
      <c r="B713" s="1" t="s">
        <v>4003</v>
      </c>
      <c r="C713" s="43">
        <v>561005</v>
      </c>
      <c r="D713" s="1" t="s">
        <v>80</v>
      </c>
      <c r="E713" s="45" t="s">
        <v>4027</v>
      </c>
      <c r="F713" s="190"/>
      <c r="G713" s="59"/>
      <c r="H713" s="188"/>
      <c r="I713" s="188"/>
    </row>
    <row r="714" spans="1:9" ht="15.75" customHeight="1">
      <c r="A714" s="42" t="s">
        <v>17</v>
      </c>
      <c r="B714" s="1" t="s">
        <v>4003</v>
      </c>
      <c r="C714" s="43">
        <v>593897</v>
      </c>
      <c r="D714" s="1" t="s">
        <v>80</v>
      </c>
      <c r="E714" s="45" t="s">
        <v>4028</v>
      </c>
      <c r="F714" s="190"/>
      <c r="G714" s="59"/>
      <c r="H714" s="188"/>
      <c r="I714" s="188"/>
    </row>
    <row r="715" spans="1:9" ht="15.75" customHeight="1">
      <c r="A715" s="42" t="s">
        <v>17</v>
      </c>
      <c r="B715" s="1" t="s">
        <v>4003</v>
      </c>
      <c r="C715" s="43">
        <v>593055</v>
      </c>
      <c r="D715" s="1" t="s">
        <v>80</v>
      </c>
      <c r="E715" s="45" t="s">
        <v>4029</v>
      </c>
      <c r="F715" s="190"/>
      <c r="G715" s="59"/>
      <c r="H715" s="188"/>
      <c r="I715" s="188"/>
    </row>
    <row r="716" spans="1:9" ht="15.75" customHeight="1">
      <c r="A716" s="42" t="s">
        <v>17</v>
      </c>
      <c r="B716" s="1" t="s">
        <v>4003</v>
      </c>
      <c r="C716" s="43">
        <v>782094</v>
      </c>
      <c r="D716" s="1" t="s">
        <v>80</v>
      </c>
      <c r="E716" s="45" t="s">
        <v>3723</v>
      </c>
      <c r="F716" s="190"/>
      <c r="G716" s="59"/>
      <c r="H716" s="188"/>
      <c r="I716" s="188"/>
    </row>
    <row r="717" spans="1:9" ht="15.75" customHeight="1">
      <c r="A717" s="42" t="s">
        <v>17</v>
      </c>
      <c r="B717" s="1" t="s">
        <v>4003</v>
      </c>
      <c r="C717" s="43">
        <v>2885228</v>
      </c>
      <c r="D717" s="1" t="s">
        <v>71</v>
      </c>
      <c r="E717" s="45" t="s">
        <v>4030</v>
      </c>
      <c r="F717" s="190"/>
      <c r="G717" s="59"/>
      <c r="H717" s="188"/>
      <c r="I717" s="188"/>
    </row>
    <row r="718" spans="1:9" ht="15.75" customHeight="1">
      <c r="A718" s="42" t="s">
        <v>17</v>
      </c>
      <c r="B718" s="1" t="s">
        <v>4003</v>
      </c>
      <c r="C718" s="43">
        <v>2822415</v>
      </c>
      <c r="D718" s="1" t="s">
        <v>80</v>
      </c>
      <c r="E718" s="49" t="s">
        <v>3725</v>
      </c>
      <c r="F718" s="190"/>
      <c r="G718" s="59"/>
      <c r="H718" s="188"/>
      <c r="I718" s="188"/>
    </row>
    <row r="719" spans="1:9" ht="15.75" customHeight="1">
      <c r="A719" s="42" t="s">
        <v>17</v>
      </c>
      <c r="B719" s="1" t="s">
        <v>4003</v>
      </c>
      <c r="C719" s="43">
        <v>2437219</v>
      </c>
      <c r="D719" s="1" t="s">
        <v>80</v>
      </c>
      <c r="E719" s="49" t="s">
        <v>3726</v>
      </c>
      <c r="F719" s="190"/>
      <c r="G719" s="59"/>
      <c r="H719" s="188"/>
      <c r="I719" s="188"/>
    </row>
    <row r="720" spans="1:9" ht="15.75" customHeight="1">
      <c r="A720" s="42" t="s">
        <v>17</v>
      </c>
      <c r="B720" s="1" t="s">
        <v>4003</v>
      </c>
      <c r="C720" s="43">
        <v>593056</v>
      </c>
      <c r="D720" s="1" t="s">
        <v>71</v>
      </c>
      <c r="E720" s="45" t="s">
        <v>4031</v>
      </c>
      <c r="F720" s="190"/>
      <c r="G720" s="59"/>
      <c r="H720" s="188"/>
      <c r="I720" s="188"/>
    </row>
    <row r="721" spans="1:9" ht="15.75" customHeight="1">
      <c r="A721" s="42" t="s">
        <v>17</v>
      </c>
      <c r="B721" s="1" t="s">
        <v>4003</v>
      </c>
      <c r="C721" s="43">
        <v>752386</v>
      </c>
      <c r="D721" s="1" t="s">
        <v>80</v>
      </c>
      <c r="E721" s="45" t="s">
        <v>4032</v>
      </c>
      <c r="F721" s="190"/>
      <c r="G721" s="59"/>
      <c r="H721" s="188"/>
      <c r="I721" s="188"/>
    </row>
    <row r="722" spans="1:9" ht="15.75" customHeight="1">
      <c r="A722" s="42" t="s">
        <v>17</v>
      </c>
      <c r="B722" s="1" t="s">
        <v>4003</v>
      </c>
      <c r="C722" s="43">
        <v>676841</v>
      </c>
      <c r="D722" s="1" t="s">
        <v>80</v>
      </c>
      <c r="E722" s="45" t="s">
        <v>3635</v>
      </c>
      <c r="F722" s="190"/>
      <c r="G722" s="59"/>
      <c r="H722" s="188"/>
      <c r="I722" s="188"/>
    </row>
    <row r="723" spans="1:9" ht="15.75" customHeight="1">
      <c r="A723" s="42" t="s">
        <v>17</v>
      </c>
      <c r="B723" s="1" t="s">
        <v>4003</v>
      </c>
      <c r="C723" s="43">
        <v>2996652</v>
      </c>
      <c r="D723" s="1" t="s">
        <v>80</v>
      </c>
      <c r="E723" s="45" t="s">
        <v>4033</v>
      </c>
      <c r="F723" s="190"/>
      <c r="G723" s="59"/>
      <c r="H723" s="188"/>
      <c r="I723" s="188"/>
    </row>
    <row r="724" spans="1:9" ht="15.75" customHeight="1">
      <c r="A724" s="42" t="s">
        <v>17</v>
      </c>
      <c r="B724" s="1" t="s">
        <v>4003</v>
      </c>
      <c r="C724" s="43">
        <v>2825449</v>
      </c>
      <c r="D724" s="1" t="s">
        <v>80</v>
      </c>
      <c r="E724" s="49" t="s">
        <v>3933</v>
      </c>
      <c r="F724" s="190"/>
      <c r="G724" s="59"/>
      <c r="H724" s="188"/>
      <c r="I724" s="188"/>
    </row>
    <row r="725" spans="1:9" ht="15.75" customHeight="1">
      <c r="A725" s="188" t="s">
        <v>18</v>
      </c>
      <c r="B725" s="189" t="s">
        <v>4034</v>
      </c>
      <c r="C725" s="190" t="s">
        <v>68</v>
      </c>
      <c r="D725" s="190" t="s">
        <v>62</v>
      </c>
      <c r="E725" s="56" t="s">
        <v>69</v>
      </c>
      <c r="F725" s="190"/>
      <c r="G725" s="48" t="s">
        <v>70</v>
      </c>
      <c r="H725" s="188"/>
      <c r="I725" s="188"/>
    </row>
    <row r="726" spans="1:9" ht="15.75" customHeight="1">
      <c r="A726" s="42" t="s">
        <v>18</v>
      </c>
      <c r="B726" s="1" t="s">
        <v>4034</v>
      </c>
      <c r="C726" s="43">
        <v>5025646</v>
      </c>
      <c r="D726" s="1" t="s">
        <v>71</v>
      </c>
      <c r="E726" s="45" t="s">
        <v>3589</v>
      </c>
      <c r="F726" s="42"/>
      <c r="G726" s="48" t="s">
        <v>4035</v>
      </c>
      <c r="H726" s="42"/>
      <c r="I726" s="42"/>
    </row>
    <row r="727" spans="1:9" ht="15.75" customHeight="1">
      <c r="A727" s="42" t="s">
        <v>18</v>
      </c>
      <c r="B727" s="1" t="s">
        <v>4034</v>
      </c>
      <c r="C727" s="43">
        <v>5025649</v>
      </c>
      <c r="D727" s="1" t="s">
        <v>71</v>
      </c>
      <c r="E727" s="45" t="s">
        <v>4036</v>
      </c>
      <c r="F727" s="42"/>
      <c r="G727" s="48" t="s">
        <v>4037</v>
      </c>
      <c r="H727" s="42"/>
      <c r="I727" s="42"/>
    </row>
    <row r="728" spans="1:9" ht="15.75" customHeight="1">
      <c r="A728" s="42" t="s">
        <v>18</v>
      </c>
      <c r="B728" s="1" t="s">
        <v>4034</v>
      </c>
      <c r="C728" s="43">
        <v>5025644</v>
      </c>
      <c r="D728" s="1" t="s">
        <v>71</v>
      </c>
      <c r="E728" s="45" t="s">
        <v>3591</v>
      </c>
      <c r="F728" s="42"/>
      <c r="G728" s="48" t="s">
        <v>4038</v>
      </c>
      <c r="H728" s="42"/>
      <c r="I728" s="42"/>
    </row>
    <row r="729" spans="1:9" ht="15.75" customHeight="1">
      <c r="A729" s="42" t="s">
        <v>18</v>
      </c>
      <c r="B729" s="1" t="s">
        <v>4034</v>
      </c>
      <c r="C729" s="43">
        <v>5025645</v>
      </c>
      <c r="D729" s="1" t="s">
        <v>71</v>
      </c>
      <c r="E729" s="45" t="s">
        <v>4039</v>
      </c>
      <c r="F729" s="42"/>
      <c r="G729" s="48" t="s">
        <v>4040</v>
      </c>
      <c r="H729" s="42"/>
      <c r="I729" s="42"/>
    </row>
    <row r="730" spans="1:9" ht="15.75" customHeight="1">
      <c r="A730" s="42" t="s">
        <v>18</v>
      </c>
      <c r="B730" s="1" t="s">
        <v>4034</v>
      </c>
      <c r="C730" s="43">
        <v>5025648</v>
      </c>
      <c r="D730" s="1" t="s">
        <v>71</v>
      </c>
      <c r="E730" s="45" t="s">
        <v>4041</v>
      </c>
      <c r="F730" s="42"/>
      <c r="G730" s="48" t="s">
        <v>3996</v>
      </c>
      <c r="H730" s="42"/>
      <c r="I730" s="42"/>
    </row>
    <row r="731" spans="1:9" ht="15.75" customHeight="1">
      <c r="A731" s="42" t="s">
        <v>18</v>
      </c>
      <c r="B731" s="1" t="s">
        <v>4034</v>
      </c>
      <c r="C731" s="43">
        <v>5025651</v>
      </c>
      <c r="D731" s="1" t="s">
        <v>71</v>
      </c>
      <c r="E731" s="45" t="s">
        <v>4042</v>
      </c>
      <c r="F731" s="42"/>
      <c r="G731" s="48" t="s">
        <v>3994</v>
      </c>
      <c r="H731" s="42"/>
      <c r="I731" s="42"/>
    </row>
    <row r="732" spans="1:9" ht="15.75" customHeight="1">
      <c r="A732" s="42" t="s">
        <v>18</v>
      </c>
      <c r="B732" s="1" t="s">
        <v>4034</v>
      </c>
      <c r="C732" s="43">
        <v>679794</v>
      </c>
      <c r="D732" s="1" t="s">
        <v>71</v>
      </c>
      <c r="E732" s="45" t="s">
        <v>4043</v>
      </c>
      <c r="F732" s="42"/>
      <c r="G732" s="131"/>
      <c r="H732" s="42"/>
      <c r="I732" s="42"/>
    </row>
    <row r="733" spans="1:9" ht="15.75" customHeight="1">
      <c r="A733" s="42" t="s">
        <v>18</v>
      </c>
      <c r="B733" s="1" t="s">
        <v>4034</v>
      </c>
      <c r="C733" s="43">
        <v>747355</v>
      </c>
      <c r="D733" s="1" t="s">
        <v>71</v>
      </c>
      <c r="E733" s="45" t="s">
        <v>4044</v>
      </c>
      <c r="F733" s="42"/>
      <c r="G733" s="131"/>
      <c r="H733" s="42"/>
      <c r="I733" s="42"/>
    </row>
    <row r="734" spans="1:9" ht="15.75" customHeight="1">
      <c r="A734" s="42" t="s">
        <v>18</v>
      </c>
      <c r="B734" s="1" t="s">
        <v>4034</v>
      </c>
      <c r="C734" s="43">
        <v>395980</v>
      </c>
      <c r="D734" s="1" t="s">
        <v>83</v>
      </c>
      <c r="E734" s="45" t="s">
        <v>4045</v>
      </c>
      <c r="F734" s="42"/>
      <c r="G734" s="50"/>
      <c r="H734" s="42"/>
      <c r="I734" s="42"/>
    </row>
    <row r="735" spans="1:9" ht="15.75" customHeight="1">
      <c r="A735" s="42" t="s">
        <v>18</v>
      </c>
      <c r="B735" s="1" t="s">
        <v>4034</v>
      </c>
      <c r="C735" s="43">
        <v>2818162</v>
      </c>
      <c r="D735" s="1" t="s">
        <v>101</v>
      </c>
      <c r="E735" s="45" t="s">
        <v>3993</v>
      </c>
      <c r="F735" s="42"/>
      <c r="G735" s="50"/>
      <c r="H735" s="42"/>
      <c r="I735" s="42"/>
    </row>
    <row r="736" spans="1:9" ht="15.75" customHeight="1">
      <c r="A736" s="42" t="s">
        <v>18</v>
      </c>
      <c r="B736" s="1" t="s">
        <v>4034</v>
      </c>
      <c r="C736" s="43">
        <v>2954130</v>
      </c>
      <c r="D736" s="1" t="s">
        <v>83</v>
      </c>
      <c r="E736" s="45" t="s">
        <v>4046</v>
      </c>
      <c r="F736" s="42"/>
      <c r="G736" s="50"/>
      <c r="H736" s="42"/>
      <c r="I736" s="42"/>
    </row>
    <row r="737" spans="1:9" ht="15.75" customHeight="1">
      <c r="A737" s="42" t="s">
        <v>18</v>
      </c>
      <c r="B737" s="1" t="s">
        <v>4034</v>
      </c>
      <c r="C737" s="43">
        <v>2955140</v>
      </c>
      <c r="D737" s="1" t="s">
        <v>83</v>
      </c>
      <c r="E737" s="45" t="s">
        <v>4047</v>
      </c>
      <c r="F737" s="42"/>
      <c r="G737" s="50"/>
      <c r="H737" s="42"/>
      <c r="I737" s="42"/>
    </row>
    <row r="738" spans="1:9" ht="15.75" customHeight="1">
      <c r="A738" s="42" t="s">
        <v>18</v>
      </c>
      <c r="B738" s="1" t="s">
        <v>4034</v>
      </c>
      <c r="C738" s="43">
        <v>471269</v>
      </c>
      <c r="D738" s="1" t="s">
        <v>83</v>
      </c>
      <c r="E738" s="45" t="s">
        <v>4048</v>
      </c>
      <c r="F738" s="42"/>
      <c r="G738" s="50"/>
      <c r="H738" s="42"/>
      <c r="I738" s="42"/>
    </row>
    <row r="739" spans="1:9" ht="15.75" customHeight="1">
      <c r="A739" s="42" t="s">
        <v>18</v>
      </c>
      <c r="B739" s="1" t="s">
        <v>4034</v>
      </c>
      <c r="C739" s="43">
        <v>2210966</v>
      </c>
      <c r="D739" s="1" t="s">
        <v>83</v>
      </c>
      <c r="E739" s="45" t="s">
        <v>4049</v>
      </c>
      <c r="F739" s="42"/>
      <c r="G739" s="50"/>
      <c r="H739" s="42"/>
      <c r="I739" s="42"/>
    </row>
    <row r="740" spans="1:9" ht="15.75" customHeight="1">
      <c r="A740" s="42" t="s">
        <v>18</v>
      </c>
      <c r="B740" s="1" t="s">
        <v>4034</v>
      </c>
      <c r="C740" s="43">
        <v>648142</v>
      </c>
      <c r="D740" s="1" t="s">
        <v>83</v>
      </c>
      <c r="E740" s="45" t="s">
        <v>3824</v>
      </c>
      <c r="F740" s="42"/>
      <c r="G740" s="50"/>
      <c r="H740" s="42"/>
      <c r="I740" s="42"/>
    </row>
    <row r="741" spans="1:9" ht="15.75" customHeight="1">
      <c r="A741" s="42" t="s">
        <v>18</v>
      </c>
      <c r="B741" s="1" t="s">
        <v>4034</v>
      </c>
      <c r="C741" s="43">
        <v>631820</v>
      </c>
      <c r="D741" s="1" t="s">
        <v>83</v>
      </c>
      <c r="E741" s="45" t="s">
        <v>3825</v>
      </c>
      <c r="F741" s="42"/>
      <c r="G741" s="50"/>
      <c r="H741" s="42"/>
      <c r="I741" s="42"/>
    </row>
    <row r="742" spans="1:9" ht="15.75" customHeight="1">
      <c r="A742" s="42" t="s">
        <v>18</v>
      </c>
      <c r="B742" s="1" t="s">
        <v>4034</v>
      </c>
      <c r="C742" s="43">
        <v>3130116</v>
      </c>
      <c r="D742" s="1" t="s">
        <v>80</v>
      </c>
      <c r="E742" s="45" t="s">
        <v>4050</v>
      </c>
      <c r="F742" s="42"/>
      <c r="G742" s="50"/>
      <c r="H742" s="42"/>
      <c r="I742" s="42"/>
    </row>
    <row r="743" spans="1:9" ht="15.75" customHeight="1">
      <c r="A743" s="42" t="s">
        <v>18</v>
      </c>
      <c r="B743" s="1" t="s">
        <v>4034</v>
      </c>
      <c r="C743" s="43">
        <v>2929657</v>
      </c>
      <c r="D743" s="1" t="s">
        <v>80</v>
      </c>
      <c r="E743" s="45" t="s">
        <v>3565</v>
      </c>
      <c r="F743" s="42"/>
      <c r="G743" s="50"/>
      <c r="H743" s="42"/>
      <c r="I743" s="42"/>
    </row>
    <row r="744" spans="1:9" ht="15.75" customHeight="1">
      <c r="A744" s="42" t="s">
        <v>18</v>
      </c>
      <c r="B744" s="1" t="s">
        <v>4034</v>
      </c>
      <c r="C744" s="43">
        <v>559542</v>
      </c>
      <c r="D744" s="1" t="s">
        <v>83</v>
      </c>
      <c r="E744" s="45" t="s">
        <v>4051</v>
      </c>
      <c r="F744" s="42"/>
      <c r="G744" s="50"/>
      <c r="H744" s="42"/>
      <c r="I744" s="42"/>
    </row>
    <row r="745" spans="1:9" ht="15.75" customHeight="1">
      <c r="A745" s="42" t="s">
        <v>18</v>
      </c>
      <c r="B745" s="1" t="s">
        <v>4034</v>
      </c>
      <c r="C745" s="43">
        <v>686450</v>
      </c>
      <c r="D745" s="1" t="s">
        <v>83</v>
      </c>
      <c r="E745" s="45" t="s">
        <v>4052</v>
      </c>
      <c r="F745" s="42"/>
      <c r="G745" s="50"/>
      <c r="H745" s="42"/>
      <c r="I745" s="42"/>
    </row>
    <row r="746" spans="1:9" ht="15.75" customHeight="1">
      <c r="A746" s="42" t="s">
        <v>18</v>
      </c>
      <c r="B746" s="1" t="s">
        <v>4034</v>
      </c>
      <c r="C746" s="43">
        <v>5025631</v>
      </c>
      <c r="D746" s="1" t="s">
        <v>101</v>
      </c>
      <c r="E746" s="45" t="s">
        <v>4053</v>
      </c>
      <c r="F746" s="42"/>
      <c r="G746" s="50"/>
      <c r="H746" s="42"/>
      <c r="I746" s="42"/>
    </row>
    <row r="747" spans="1:9" ht="15.75" customHeight="1">
      <c r="A747" s="42" t="s">
        <v>18</v>
      </c>
      <c r="B747" s="1" t="s">
        <v>4034</v>
      </c>
      <c r="C747" s="43">
        <v>761013</v>
      </c>
      <c r="D747" s="1" t="s">
        <v>71</v>
      </c>
      <c r="E747" s="45" t="s">
        <v>3661</v>
      </c>
      <c r="F747" s="42"/>
      <c r="G747" s="50"/>
      <c r="H747" s="42"/>
      <c r="I747" s="42"/>
    </row>
    <row r="748" spans="1:9" ht="16">
      <c r="A748" s="42" t="s">
        <v>18</v>
      </c>
      <c r="B748" s="1" t="s">
        <v>4034</v>
      </c>
      <c r="C748" s="43">
        <v>3156266</v>
      </c>
      <c r="D748" s="1" t="s">
        <v>71</v>
      </c>
      <c r="E748" s="49" t="s">
        <v>4054</v>
      </c>
      <c r="F748" s="42"/>
      <c r="G748" s="131"/>
      <c r="H748" s="42"/>
      <c r="I748" s="42"/>
    </row>
    <row r="749" spans="1:9" ht="15.75" customHeight="1">
      <c r="A749" s="42" t="s">
        <v>18</v>
      </c>
      <c r="B749" s="1" t="s">
        <v>4034</v>
      </c>
      <c r="C749" s="43">
        <v>2808041</v>
      </c>
      <c r="D749" s="1" t="s">
        <v>101</v>
      </c>
      <c r="E749" s="45" t="s">
        <v>4055</v>
      </c>
      <c r="F749" s="42"/>
      <c r="G749" s="50"/>
      <c r="H749" s="42"/>
      <c r="I749" s="42"/>
    </row>
    <row r="750" spans="1:9" ht="15.75" customHeight="1">
      <c r="A750" s="42" t="s">
        <v>18</v>
      </c>
      <c r="B750" s="1" t="s">
        <v>4034</v>
      </c>
      <c r="C750" s="43">
        <v>686448</v>
      </c>
      <c r="D750" s="1" t="s">
        <v>71</v>
      </c>
      <c r="E750" s="45" t="s">
        <v>4056</v>
      </c>
      <c r="F750" s="42"/>
      <c r="G750" s="50"/>
      <c r="H750" s="42"/>
      <c r="I750" s="42"/>
    </row>
    <row r="751" spans="1:9" ht="15.75" customHeight="1">
      <c r="A751" s="42" t="s">
        <v>18</v>
      </c>
      <c r="B751" s="1" t="s">
        <v>4034</v>
      </c>
      <c r="C751" s="43">
        <v>703238</v>
      </c>
      <c r="D751" s="1" t="s">
        <v>83</v>
      </c>
      <c r="E751" s="45" t="s">
        <v>4057</v>
      </c>
      <c r="F751" s="42"/>
      <c r="G751" s="50"/>
      <c r="H751" s="42"/>
      <c r="I751" s="42"/>
    </row>
    <row r="752" spans="1:9" ht="15.75" customHeight="1">
      <c r="A752" s="42" t="s">
        <v>18</v>
      </c>
      <c r="B752" s="1" t="s">
        <v>4034</v>
      </c>
      <c r="C752" s="43">
        <v>195332</v>
      </c>
      <c r="D752" s="1" t="s">
        <v>101</v>
      </c>
      <c r="E752" s="45" t="s">
        <v>4058</v>
      </c>
      <c r="F752" s="42"/>
      <c r="G752" s="50"/>
      <c r="H752" s="42"/>
      <c r="I752" s="42"/>
    </row>
    <row r="753" spans="1:9" ht="15.75" customHeight="1">
      <c r="A753" s="42" t="s">
        <v>18</v>
      </c>
      <c r="B753" s="1" t="s">
        <v>4034</v>
      </c>
      <c r="C753" s="43">
        <v>559562</v>
      </c>
      <c r="D753" s="1" t="s">
        <v>101</v>
      </c>
      <c r="E753" s="45" t="s">
        <v>4059</v>
      </c>
      <c r="F753" s="42"/>
      <c r="G753" s="50"/>
      <c r="H753" s="42"/>
      <c r="I753" s="42"/>
    </row>
    <row r="754" spans="1:9" ht="15.75" customHeight="1">
      <c r="A754" s="42" t="s">
        <v>18</v>
      </c>
      <c r="B754" s="1" t="s">
        <v>4034</v>
      </c>
      <c r="C754" s="43">
        <v>3130118</v>
      </c>
      <c r="D754" s="1" t="s">
        <v>71</v>
      </c>
      <c r="E754" s="45" t="s">
        <v>4060</v>
      </c>
      <c r="F754" s="42"/>
      <c r="G754" s="50"/>
      <c r="H754" s="42"/>
      <c r="I754" s="42"/>
    </row>
    <row r="755" spans="1:9" ht="15.75" customHeight="1">
      <c r="A755" s="42" t="s">
        <v>18</v>
      </c>
      <c r="B755" s="1" t="s">
        <v>4034</v>
      </c>
      <c r="C755" s="43">
        <v>2804681</v>
      </c>
      <c r="D755" s="1" t="s">
        <v>71</v>
      </c>
      <c r="E755" s="45" t="s">
        <v>3976</v>
      </c>
      <c r="F755" s="42"/>
      <c r="G755" s="50"/>
      <c r="H755" s="42"/>
      <c r="I755" s="42"/>
    </row>
    <row r="756" spans="1:9" ht="15.75" customHeight="1">
      <c r="A756" s="42" t="s">
        <v>18</v>
      </c>
      <c r="B756" s="1" t="s">
        <v>4034</v>
      </c>
      <c r="C756" s="43">
        <v>2802356</v>
      </c>
      <c r="D756" s="1" t="s">
        <v>71</v>
      </c>
      <c r="E756" s="45" t="s">
        <v>3672</v>
      </c>
      <c r="F756" s="42"/>
      <c r="G756" s="50"/>
      <c r="H756" s="42"/>
      <c r="I756" s="42"/>
    </row>
    <row r="757" spans="1:9" ht="15.75" customHeight="1">
      <c r="A757" s="42" t="s">
        <v>18</v>
      </c>
      <c r="B757" s="1" t="s">
        <v>4034</v>
      </c>
      <c r="C757" s="43">
        <v>559541</v>
      </c>
      <c r="D757" s="1" t="s">
        <v>71</v>
      </c>
      <c r="E757" s="45" t="s">
        <v>4061</v>
      </c>
      <c r="F757" s="42"/>
      <c r="G757" s="50"/>
      <c r="H757" s="42"/>
      <c r="I757" s="42"/>
    </row>
    <row r="758" spans="1:9" ht="15.75" customHeight="1">
      <c r="A758" s="42" t="s">
        <v>18</v>
      </c>
      <c r="B758" s="1" t="s">
        <v>4034</v>
      </c>
      <c r="C758" s="43">
        <v>2804683</v>
      </c>
      <c r="D758" s="1" t="s">
        <v>71</v>
      </c>
      <c r="E758" s="45" t="s">
        <v>4062</v>
      </c>
      <c r="F758" s="42"/>
      <c r="G758" s="50"/>
      <c r="H758" s="42"/>
      <c r="I758" s="42"/>
    </row>
    <row r="759" spans="1:9" ht="15.75" customHeight="1">
      <c r="A759" s="42" t="s">
        <v>18</v>
      </c>
      <c r="B759" s="1" t="s">
        <v>4034</v>
      </c>
      <c r="C759" s="43">
        <v>593927</v>
      </c>
      <c r="D759" s="1" t="s">
        <v>71</v>
      </c>
      <c r="E759" s="45" t="s">
        <v>3722</v>
      </c>
      <c r="F759" s="42"/>
      <c r="G759" s="50"/>
      <c r="H759" s="42"/>
      <c r="I759" s="42"/>
    </row>
    <row r="760" spans="1:9" ht="15.75" customHeight="1">
      <c r="A760" s="42" t="s">
        <v>18</v>
      </c>
      <c r="B760" s="1" t="s">
        <v>4034</v>
      </c>
      <c r="C760" s="43">
        <v>575055</v>
      </c>
      <c r="D760" s="1" t="s">
        <v>71</v>
      </c>
      <c r="E760" s="45" t="s">
        <v>4063</v>
      </c>
      <c r="F760" s="42"/>
      <c r="G760" s="50"/>
      <c r="H760" s="42"/>
      <c r="I760" s="42"/>
    </row>
    <row r="761" spans="1:9" ht="15.75" customHeight="1">
      <c r="A761" s="42" t="s">
        <v>18</v>
      </c>
      <c r="B761" s="1" t="s">
        <v>4034</v>
      </c>
      <c r="C761" s="43">
        <v>593929</v>
      </c>
      <c r="D761" s="1" t="s">
        <v>71</v>
      </c>
      <c r="E761" s="45" t="s">
        <v>3735</v>
      </c>
      <c r="F761" s="42"/>
      <c r="G761" s="50"/>
      <c r="H761" s="42"/>
      <c r="I761" s="42"/>
    </row>
    <row r="762" spans="1:9" ht="15.75" customHeight="1">
      <c r="A762" s="42" t="s">
        <v>18</v>
      </c>
      <c r="B762" s="1" t="s">
        <v>4034</v>
      </c>
      <c r="C762" s="43">
        <v>559539</v>
      </c>
      <c r="D762" s="1" t="s">
        <v>71</v>
      </c>
      <c r="E762" s="45" t="s">
        <v>4064</v>
      </c>
      <c r="F762" s="42"/>
      <c r="G762" s="50"/>
      <c r="H762" s="42"/>
      <c r="I762" s="42"/>
    </row>
    <row r="763" spans="1:9" ht="15.75" customHeight="1">
      <c r="A763" s="42" t="s">
        <v>18</v>
      </c>
      <c r="B763" s="1" t="s">
        <v>4034</v>
      </c>
      <c r="C763" s="43">
        <v>593908</v>
      </c>
      <c r="D763" s="1" t="s">
        <v>71</v>
      </c>
      <c r="E763" s="45" t="s">
        <v>4065</v>
      </c>
      <c r="F763" s="42"/>
      <c r="G763" s="50"/>
      <c r="H763" s="42"/>
      <c r="I763" s="42"/>
    </row>
    <row r="764" spans="1:9" ht="15.75" customHeight="1">
      <c r="A764" s="42" t="s">
        <v>18</v>
      </c>
      <c r="B764" s="1" t="s">
        <v>4034</v>
      </c>
      <c r="C764" s="43">
        <v>593909</v>
      </c>
      <c r="D764" s="1" t="s">
        <v>71</v>
      </c>
      <c r="E764" s="45" t="s">
        <v>4066</v>
      </c>
      <c r="F764" s="42"/>
      <c r="G764" s="50"/>
      <c r="H764" s="42"/>
      <c r="I764" s="42"/>
    </row>
    <row r="765" spans="1:9" ht="15.75" customHeight="1">
      <c r="A765" s="42" t="s">
        <v>18</v>
      </c>
      <c r="B765" s="1" t="s">
        <v>4034</v>
      </c>
      <c r="C765" s="43">
        <v>593928</v>
      </c>
      <c r="D765" s="1" t="s">
        <v>71</v>
      </c>
      <c r="E765" s="45" t="s">
        <v>4067</v>
      </c>
      <c r="F765" s="42"/>
      <c r="G765" s="50"/>
      <c r="H765" s="42"/>
      <c r="I765" s="42"/>
    </row>
    <row r="766" spans="1:9" ht="15.75" customHeight="1">
      <c r="A766" s="42" t="s">
        <v>18</v>
      </c>
      <c r="B766" s="1" t="s">
        <v>4034</v>
      </c>
      <c r="C766" s="43">
        <v>593930</v>
      </c>
      <c r="D766" s="1" t="s">
        <v>71</v>
      </c>
      <c r="E766" s="45" t="s">
        <v>4068</v>
      </c>
      <c r="F766" s="42"/>
      <c r="G766" s="50"/>
      <c r="H766" s="42"/>
      <c r="I766" s="42"/>
    </row>
    <row r="767" spans="1:9" ht="15.75" customHeight="1">
      <c r="A767" s="42" t="s">
        <v>18</v>
      </c>
      <c r="B767" s="1" t="s">
        <v>4034</v>
      </c>
      <c r="C767" s="43">
        <v>559538</v>
      </c>
      <c r="D767" s="1" t="s">
        <v>83</v>
      </c>
      <c r="E767" s="45" t="s">
        <v>3673</v>
      </c>
      <c r="F767" s="42"/>
      <c r="G767" s="50"/>
      <c r="H767" s="42"/>
      <c r="I767" s="42"/>
    </row>
    <row r="768" spans="1:9" ht="15.75" customHeight="1">
      <c r="A768" s="42" t="s">
        <v>18</v>
      </c>
      <c r="B768" s="1" t="s">
        <v>4034</v>
      </c>
      <c r="C768" s="43">
        <v>593906</v>
      </c>
      <c r="D768" s="1" t="s">
        <v>71</v>
      </c>
      <c r="E768" s="45" t="s">
        <v>4069</v>
      </c>
      <c r="F768" s="42"/>
      <c r="G768" s="50"/>
      <c r="H768" s="42"/>
      <c r="I768" s="42"/>
    </row>
    <row r="769" spans="1:9" ht="15.75" customHeight="1">
      <c r="A769" s="42" t="s">
        <v>18</v>
      </c>
      <c r="B769" s="1" t="s">
        <v>4034</v>
      </c>
      <c r="C769" s="43">
        <v>2804682</v>
      </c>
      <c r="D769" s="1" t="s">
        <v>71</v>
      </c>
      <c r="E769" s="157" t="s">
        <v>4070</v>
      </c>
      <c r="F769" s="42"/>
      <c r="G769" s="50"/>
      <c r="H769" s="42"/>
      <c r="I769" s="42"/>
    </row>
    <row r="770" spans="1:9" ht="15.75" customHeight="1">
      <c r="A770" s="42" t="s">
        <v>18</v>
      </c>
      <c r="B770" s="1" t="s">
        <v>4034</v>
      </c>
      <c r="C770" s="43">
        <v>561448</v>
      </c>
      <c r="D770" s="1" t="s">
        <v>101</v>
      </c>
      <c r="E770" s="45" t="s">
        <v>4071</v>
      </c>
      <c r="F770" s="42"/>
      <c r="G770" s="50"/>
      <c r="H770" s="42"/>
      <c r="I770" s="42"/>
    </row>
    <row r="771" spans="1:9" ht="15.75" customHeight="1">
      <c r="A771" s="42" t="s">
        <v>18</v>
      </c>
      <c r="B771" s="1" t="s">
        <v>4034</v>
      </c>
      <c r="C771" s="43">
        <v>519049</v>
      </c>
      <c r="D771" s="1" t="s">
        <v>101</v>
      </c>
      <c r="E771" s="45" t="s">
        <v>4072</v>
      </c>
      <c r="F771" s="42"/>
      <c r="G771" s="50"/>
      <c r="H771" s="42"/>
      <c r="I771" s="42"/>
    </row>
    <row r="772" spans="1:9" ht="15.75" customHeight="1">
      <c r="A772" s="42" t="s">
        <v>18</v>
      </c>
      <c r="B772" s="1" t="s">
        <v>4034</v>
      </c>
      <c r="C772" s="43">
        <v>788133</v>
      </c>
      <c r="D772" s="1" t="s">
        <v>101</v>
      </c>
      <c r="E772" s="45" t="s">
        <v>4073</v>
      </c>
      <c r="F772" s="190"/>
      <c r="G772" s="59"/>
      <c r="H772" s="188"/>
      <c r="I772" s="188"/>
    </row>
    <row r="773" spans="1:9" ht="15.75" customHeight="1">
      <c r="A773" s="42" t="s">
        <v>18</v>
      </c>
      <c r="B773" s="1" t="s">
        <v>4034</v>
      </c>
      <c r="C773" s="43">
        <v>759347</v>
      </c>
      <c r="D773" s="1" t="s">
        <v>83</v>
      </c>
      <c r="E773" s="45" t="s">
        <v>4074</v>
      </c>
      <c r="F773" s="190"/>
      <c r="G773" s="59"/>
      <c r="H773" s="188"/>
      <c r="I773" s="188"/>
    </row>
    <row r="774" spans="1:9" ht="15.75" customHeight="1">
      <c r="A774" s="42" t="s">
        <v>18</v>
      </c>
      <c r="B774" s="1" t="s">
        <v>4034</v>
      </c>
      <c r="C774" s="43">
        <v>2922291</v>
      </c>
      <c r="D774" s="1" t="s">
        <v>83</v>
      </c>
      <c r="E774" s="45" t="s">
        <v>4075</v>
      </c>
      <c r="F774" s="190"/>
      <c r="G774" s="59"/>
      <c r="H774" s="188"/>
      <c r="I774" s="188"/>
    </row>
    <row r="775" spans="1:9" ht="15.75" customHeight="1">
      <c r="A775" s="42" t="s">
        <v>18</v>
      </c>
      <c r="B775" s="1" t="s">
        <v>4034</v>
      </c>
      <c r="C775" s="43">
        <v>563971</v>
      </c>
      <c r="D775" s="1" t="s">
        <v>83</v>
      </c>
      <c r="E775" s="45" t="s">
        <v>3543</v>
      </c>
      <c r="F775" s="190"/>
      <c r="G775" s="59"/>
      <c r="H775" s="188"/>
      <c r="I775" s="188"/>
    </row>
    <row r="776" spans="1:9" ht="15.75" customHeight="1">
      <c r="A776" s="42" t="s">
        <v>18</v>
      </c>
      <c r="B776" s="1" t="s">
        <v>4034</v>
      </c>
      <c r="C776" s="43">
        <v>686449</v>
      </c>
      <c r="D776" s="1" t="s">
        <v>83</v>
      </c>
      <c r="E776" s="45" t="s">
        <v>4076</v>
      </c>
      <c r="F776" s="190"/>
      <c r="G776" s="59"/>
      <c r="H776" s="188"/>
      <c r="I776" s="188"/>
    </row>
    <row r="777" spans="1:9" ht="15.75" customHeight="1">
      <c r="A777" s="188" t="s">
        <v>19</v>
      </c>
      <c r="B777" s="189" t="s">
        <v>4077</v>
      </c>
      <c r="C777" s="190" t="s">
        <v>68</v>
      </c>
      <c r="D777" s="190" t="s">
        <v>62</v>
      </c>
      <c r="E777" s="56" t="s">
        <v>69</v>
      </c>
      <c r="F777" s="190"/>
      <c r="G777" s="48" t="s">
        <v>70</v>
      </c>
      <c r="H777" s="188"/>
      <c r="I777" s="188"/>
    </row>
    <row r="778" spans="1:9" ht="15.75" customHeight="1">
      <c r="A778" s="42" t="s">
        <v>19</v>
      </c>
      <c r="B778" s="1" t="s">
        <v>4077</v>
      </c>
      <c r="C778" s="43">
        <v>2825415</v>
      </c>
      <c r="D778" s="1" t="s">
        <v>71</v>
      </c>
      <c r="E778" s="157" t="s">
        <v>3847</v>
      </c>
      <c r="F778" s="42"/>
      <c r="G778" s="48" t="s">
        <v>4078</v>
      </c>
      <c r="H778" s="42"/>
      <c r="I778" s="42"/>
    </row>
    <row r="779" spans="1:9" ht="15.75" customHeight="1">
      <c r="A779" s="42" t="s">
        <v>19</v>
      </c>
      <c r="B779" s="1" t="s">
        <v>4077</v>
      </c>
      <c r="C779" s="43">
        <v>2823328</v>
      </c>
      <c r="D779" s="1" t="s">
        <v>80</v>
      </c>
      <c r="E779" s="157" t="s">
        <v>3848</v>
      </c>
      <c r="F779" s="42"/>
      <c r="G779" s="48" t="s">
        <v>4079</v>
      </c>
      <c r="H779" s="42"/>
      <c r="I779" s="42"/>
    </row>
    <row r="780" spans="1:9" ht="15.75" customHeight="1">
      <c r="A780" s="42" t="s">
        <v>19</v>
      </c>
      <c r="B780" s="1" t="s">
        <v>4077</v>
      </c>
      <c r="C780" s="43">
        <v>5025623</v>
      </c>
      <c r="D780" s="1" t="s">
        <v>71</v>
      </c>
      <c r="E780" s="45" t="s">
        <v>4080</v>
      </c>
      <c r="F780" s="42"/>
      <c r="G780" s="50"/>
      <c r="H780" s="42"/>
      <c r="I780" s="42"/>
    </row>
    <row r="781" spans="1:9" ht="15.75" customHeight="1">
      <c r="A781" s="42" t="s">
        <v>19</v>
      </c>
      <c r="B781" s="1" t="s">
        <v>4077</v>
      </c>
      <c r="C781" s="43">
        <v>703240</v>
      </c>
      <c r="D781" s="1" t="s">
        <v>71</v>
      </c>
      <c r="E781" s="45" t="s">
        <v>4081</v>
      </c>
      <c r="F781" s="42"/>
      <c r="G781" s="50"/>
      <c r="H781" s="42"/>
      <c r="I781" s="42"/>
    </row>
    <row r="782" spans="1:9" ht="15.75" customHeight="1">
      <c r="A782" s="42" t="s">
        <v>19</v>
      </c>
      <c r="B782" s="1" t="s">
        <v>4077</v>
      </c>
      <c r="C782" s="43">
        <v>5025661</v>
      </c>
      <c r="D782" s="1" t="s">
        <v>71</v>
      </c>
      <c r="E782" s="45" t="s">
        <v>4008</v>
      </c>
      <c r="F782" s="42"/>
      <c r="G782" s="50"/>
      <c r="H782" s="42"/>
      <c r="I782" s="42"/>
    </row>
    <row r="783" spans="1:9" ht="15.75" customHeight="1">
      <c r="A783" s="42" t="s">
        <v>19</v>
      </c>
      <c r="B783" s="1" t="s">
        <v>4077</v>
      </c>
      <c r="C783" s="43">
        <v>490275</v>
      </c>
      <c r="D783" s="1" t="s">
        <v>80</v>
      </c>
      <c r="E783" s="45" t="s">
        <v>4082</v>
      </c>
      <c r="F783" s="42"/>
      <c r="G783" s="50"/>
      <c r="H783" s="42"/>
      <c r="I783" s="42"/>
    </row>
    <row r="784" spans="1:9" ht="15.75" customHeight="1">
      <c r="A784" s="42" t="s">
        <v>19</v>
      </c>
      <c r="B784" s="1" t="s">
        <v>4077</v>
      </c>
      <c r="C784" s="43">
        <v>2808707</v>
      </c>
      <c r="D784" s="1" t="s">
        <v>101</v>
      </c>
      <c r="E784" s="45" t="s">
        <v>3693</v>
      </c>
      <c r="F784" s="42"/>
      <c r="G784" s="50"/>
      <c r="H784" s="42"/>
      <c r="I784" s="42"/>
    </row>
    <row r="785" spans="1:9" ht="15.75" customHeight="1">
      <c r="A785" s="42" t="s">
        <v>19</v>
      </c>
      <c r="B785" s="1" t="s">
        <v>4077</v>
      </c>
      <c r="C785" s="43">
        <v>3107958</v>
      </c>
      <c r="D785" s="1" t="s">
        <v>101</v>
      </c>
      <c r="E785" s="45" t="s">
        <v>4083</v>
      </c>
      <c r="F785" s="42"/>
      <c r="G785" s="50"/>
      <c r="H785" s="42"/>
      <c r="I785" s="42"/>
    </row>
    <row r="786" spans="1:9" ht="15.75" customHeight="1">
      <c r="A786" s="42" t="s">
        <v>19</v>
      </c>
      <c r="B786" s="1" t="s">
        <v>4077</v>
      </c>
      <c r="C786" s="43">
        <v>782096</v>
      </c>
      <c r="D786" s="1" t="s">
        <v>71</v>
      </c>
      <c r="E786" s="45" t="s">
        <v>4084</v>
      </c>
      <c r="F786" s="42"/>
      <c r="G786" s="50"/>
      <c r="H786" s="42"/>
      <c r="I786" s="42"/>
    </row>
    <row r="787" spans="1:9" ht="15.75" customHeight="1">
      <c r="A787" s="42" t="s">
        <v>19</v>
      </c>
      <c r="B787" s="1" t="s">
        <v>4077</v>
      </c>
      <c r="C787" s="43">
        <v>2223112</v>
      </c>
      <c r="D787" s="1" t="s">
        <v>80</v>
      </c>
      <c r="E787" s="45" t="s">
        <v>4085</v>
      </c>
      <c r="F787" s="42"/>
      <c r="G787" s="50"/>
      <c r="H787" s="42"/>
      <c r="I787" s="42"/>
    </row>
    <row r="788" spans="1:9" ht="15.75" customHeight="1">
      <c r="A788" s="42" t="s">
        <v>19</v>
      </c>
      <c r="B788" s="1" t="s">
        <v>4077</v>
      </c>
      <c r="C788" s="43">
        <v>805993</v>
      </c>
      <c r="D788" s="1" t="s">
        <v>71</v>
      </c>
      <c r="E788" s="45" t="s">
        <v>4086</v>
      </c>
      <c r="F788" s="42"/>
      <c r="G788" s="50"/>
      <c r="H788" s="42"/>
      <c r="I788" s="42"/>
    </row>
    <row r="789" spans="1:9" ht="15.75" customHeight="1">
      <c r="A789" s="42" t="s">
        <v>19</v>
      </c>
      <c r="B789" s="1" t="s">
        <v>4077</v>
      </c>
      <c r="C789" s="43">
        <v>195479</v>
      </c>
      <c r="D789" s="1" t="s">
        <v>71</v>
      </c>
      <c r="E789" s="45" t="s">
        <v>4087</v>
      </c>
      <c r="F789" s="42"/>
      <c r="G789" s="50"/>
      <c r="H789" s="42"/>
      <c r="I789" s="42"/>
    </row>
    <row r="790" spans="1:9" ht="15.75" customHeight="1">
      <c r="A790" s="42" t="s">
        <v>19</v>
      </c>
      <c r="B790" s="1" t="s">
        <v>4077</v>
      </c>
      <c r="C790" s="43">
        <v>195256</v>
      </c>
      <c r="D790" s="1" t="s">
        <v>83</v>
      </c>
      <c r="E790" s="45" t="s">
        <v>4088</v>
      </c>
      <c r="F790" s="42"/>
      <c r="G790" s="50"/>
      <c r="H790" s="42"/>
      <c r="I790" s="42"/>
    </row>
    <row r="791" spans="1:9" ht="15.75" customHeight="1">
      <c r="A791" s="42" t="s">
        <v>19</v>
      </c>
      <c r="B791" s="1" t="s">
        <v>4077</v>
      </c>
      <c r="C791" s="43">
        <v>574484</v>
      </c>
      <c r="D791" s="1" t="s">
        <v>71</v>
      </c>
      <c r="E791" s="45" t="s">
        <v>4089</v>
      </c>
      <c r="F791" s="42"/>
      <c r="G791" s="50"/>
      <c r="H791" s="42"/>
      <c r="I791" s="42"/>
    </row>
    <row r="792" spans="1:9" ht="15.75" customHeight="1">
      <c r="A792" s="42" t="s">
        <v>19</v>
      </c>
      <c r="B792" s="1" t="s">
        <v>4077</v>
      </c>
      <c r="C792" s="43">
        <v>703241</v>
      </c>
      <c r="D792" s="1" t="s">
        <v>71</v>
      </c>
      <c r="E792" s="45" t="s">
        <v>3611</v>
      </c>
      <c r="F792" s="42"/>
      <c r="G792" s="50"/>
      <c r="H792" s="42"/>
      <c r="I792" s="42"/>
    </row>
    <row r="793" spans="1:9" ht="15.75" customHeight="1">
      <c r="A793" s="42" t="s">
        <v>19</v>
      </c>
      <c r="B793" s="1" t="s">
        <v>4077</v>
      </c>
      <c r="C793" s="43">
        <v>412450</v>
      </c>
      <c r="D793" s="1" t="s">
        <v>80</v>
      </c>
      <c r="E793" s="45" t="s">
        <v>3700</v>
      </c>
      <c r="F793" s="42"/>
      <c r="G793" s="50"/>
      <c r="H793" s="42"/>
      <c r="I793" s="42"/>
    </row>
    <row r="794" spans="1:9" ht="15.75" customHeight="1">
      <c r="A794" s="42" t="s">
        <v>19</v>
      </c>
      <c r="B794" s="1" t="s">
        <v>4077</v>
      </c>
      <c r="C794" s="43">
        <v>2825486</v>
      </c>
      <c r="D794" s="1" t="s">
        <v>83</v>
      </c>
      <c r="E794" s="45" t="s">
        <v>4090</v>
      </c>
      <c r="F794" s="42"/>
      <c r="G794" s="50"/>
      <c r="H794" s="42"/>
      <c r="I794" s="42"/>
    </row>
    <row r="795" spans="1:9" ht="15.75" customHeight="1">
      <c r="A795" s="42" t="s">
        <v>19</v>
      </c>
      <c r="B795" s="1" t="s">
        <v>4077</v>
      </c>
      <c r="C795" s="43">
        <v>3107956</v>
      </c>
      <c r="D795" s="1" t="s">
        <v>71</v>
      </c>
      <c r="E795" s="45" t="s">
        <v>4091</v>
      </c>
      <c r="F795" s="190"/>
      <c r="G795" s="59"/>
      <c r="H795" s="42"/>
      <c r="I795" s="42"/>
    </row>
    <row r="796" spans="1:9" ht="15.75" customHeight="1">
      <c r="A796" s="42" t="s">
        <v>19</v>
      </c>
      <c r="B796" s="1" t="s">
        <v>4077</v>
      </c>
      <c r="C796" s="43">
        <v>612532</v>
      </c>
      <c r="D796" s="1" t="s">
        <v>101</v>
      </c>
      <c r="E796" s="45" t="s">
        <v>4092</v>
      </c>
      <c r="F796" s="190"/>
      <c r="G796" s="59"/>
      <c r="H796" s="42"/>
      <c r="I796" s="42"/>
    </row>
    <row r="797" spans="1:9" ht="15.75" customHeight="1">
      <c r="A797" s="42" t="s">
        <v>19</v>
      </c>
      <c r="B797" s="1" t="s">
        <v>4077</v>
      </c>
      <c r="C797" s="43">
        <v>612531</v>
      </c>
      <c r="D797" s="1" t="s">
        <v>83</v>
      </c>
      <c r="E797" s="45" t="s">
        <v>4093</v>
      </c>
      <c r="F797" s="190"/>
      <c r="G797" s="59"/>
      <c r="H797" s="42"/>
      <c r="I797" s="42"/>
    </row>
    <row r="798" spans="1:9" ht="15.75" customHeight="1">
      <c r="A798" s="42" t="s">
        <v>19</v>
      </c>
      <c r="B798" s="1" t="s">
        <v>4077</v>
      </c>
      <c r="C798" s="43">
        <v>2908730</v>
      </c>
      <c r="D798" s="1" t="s">
        <v>101</v>
      </c>
      <c r="E798" s="45" t="s">
        <v>3787</v>
      </c>
      <c r="F798" s="190"/>
      <c r="G798" s="59"/>
      <c r="H798" s="188"/>
      <c r="I798" s="188"/>
    </row>
    <row r="799" spans="1:9" ht="15.75" customHeight="1">
      <c r="A799" s="42" t="s">
        <v>19</v>
      </c>
      <c r="B799" s="1" t="s">
        <v>4077</v>
      </c>
      <c r="C799" s="43">
        <v>645722</v>
      </c>
      <c r="D799" s="1" t="s">
        <v>71</v>
      </c>
      <c r="E799" s="45" t="s">
        <v>3734</v>
      </c>
      <c r="F799" s="190"/>
      <c r="G799" s="59"/>
      <c r="H799" s="188"/>
      <c r="I799" s="188"/>
    </row>
    <row r="800" spans="1:9" ht="15.75" customHeight="1">
      <c r="A800" s="42" t="s">
        <v>19</v>
      </c>
      <c r="B800" s="1" t="s">
        <v>4077</v>
      </c>
      <c r="C800" s="43">
        <v>759352</v>
      </c>
      <c r="D800" s="1" t="s">
        <v>71</v>
      </c>
      <c r="E800" s="45" t="s">
        <v>3856</v>
      </c>
      <c r="F800" s="190"/>
      <c r="G800" s="59"/>
      <c r="H800" s="188"/>
      <c r="I800" s="188"/>
    </row>
    <row r="801" spans="1:9" ht="15.75" customHeight="1">
      <c r="A801" s="42" t="s">
        <v>19</v>
      </c>
      <c r="B801" s="1" t="s">
        <v>4077</v>
      </c>
      <c r="C801" s="43">
        <v>703239</v>
      </c>
      <c r="D801" s="1" t="s">
        <v>101</v>
      </c>
      <c r="E801" s="45" t="s">
        <v>4094</v>
      </c>
      <c r="F801" s="190"/>
      <c r="G801" s="59"/>
      <c r="H801" s="188"/>
      <c r="I801" s="188"/>
    </row>
    <row r="802" spans="1:9" ht="15.75" customHeight="1">
      <c r="A802" s="42" t="s">
        <v>19</v>
      </c>
      <c r="B802" s="1" t="s">
        <v>4077</v>
      </c>
      <c r="C802" s="43">
        <v>2873327</v>
      </c>
      <c r="D802" s="1" t="s">
        <v>80</v>
      </c>
      <c r="E802" s="157" t="s">
        <v>4095</v>
      </c>
      <c r="F802" s="190"/>
      <c r="G802" s="59"/>
      <c r="H802" s="188"/>
      <c r="I802" s="188"/>
    </row>
    <row r="803" spans="1:9" ht="15.75" customHeight="1">
      <c r="A803" s="42" t="s">
        <v>19</v>
      </c>
      <c r="B803" s="1" t="s">
        <v>4077</v>
      </c>
      <c r="C803" s="43">
        <v>768249</v>
      </c>
      <c r="D803" s="1" t="s">
        <v>80</v>
      </c>
      <c r="E803" s="45" t="s">
        <v>3793</v>
      </c>
      <c r="F803" s="190"/>
      <c r="G803" s="59"/>
      <c r="H803" s="188"/>
      <c r="I803" s="188"/>
    </row>
    <row r="804" spans="1:9" ht="15.75" customHeight="1">
      <c r="A804" s="42" t="s">
        <v>19</v>
      </c>
      <c r="B804" s="1" t="s">
        <v>4077</v>
      </c>
      <c r="C804" s="43">
        <v>703224</v>
      </c>
      <c r="D804" s="1" t="s">
        <v>83</v>
      </c>
      <c r="E804" s="45" t="s">
        <v>4096</v>
      </c>
      <c r="F804" s="190"/>
      <c r="G804" s="59"/>
      <c r="H804" s="188"/>
      <c r="I804" s="188"/>
    </row>
    <row r="805" spans="1:9" ht="15.75" customHeight="1">
      <c r="A805" s="42" t="s">
        <v>19</v>
      </c>
      <c r="B805" s="1" t="s">
        <v>4077</v>
      </c>
      <c r="C805" s="43">
        <v>741158</v>
      </c>
      <c r="D805" s="1" t="s">
        <v>83</v>
      </c>
      <c r="E805" s="45" t="s">
        <v>4097</v>
      </c>
      <c r="F805" s="190"/>
      <c r="G805" s="59"/>
      <c r="H805" s="188"/>
      <c r="I805" s="188"/>
    </row>
    <row r="806" spans="1:9" ht="15.75" customHeight="1">
      <c r="A806" s="42" t="s">
        <v>19</v>
      </c>
      <c r="B806" s="1" t="s">
        <v>4077</v>
      </c>
      <c r="C806" s="43">
        <v>2989053</v>
      </c>
      <c r="D806" s="1" t="s">
        <v>101</v>
      </c>
      <c r="E806" s="45" t="s">
        <v>4098</v>
      </c>
      <c r="F806" s="190"/>
      <c r="G806" s="59"/>
      <c r="H806" s="188"/>
      <c r="I806" s="188"/>
    </row>
    <row r="807" spans="1:9" ht="15.75" customHeight="1">
      <c r="A807" s="42" t="s">
        <v>19</v>
      </c>
      <c r="B807" s="1" t="s">
        <v>4077</v>
      </c>
      <c r="C807" s="43">
        <v>2822383</v>
      </c>
      <c r="D807" s="1" t="s">
        <v>83</v>
      </c>
      <c r="E807" s="45" t="s">
        <v>4099</v>
      </c>
      <c r="F807" s="190"/>
      <c r="G807" s="59"/>
      <c r="H807" s="188"/>
      <c r="I807" s="188"/>
    </row>
    <row r="808" spans="1:9" ht="15.75" customHeight="1">
      <c r="A808" s="42" t="s">
        <v>19</v>
      </c>
      <c r="B808" s="1" t="s">
        <v>4077</v>
      </c>
      <c r="C808" s="43">
        <v>2825416</v>
      </c>
      <c r="D808" s="1" t="s">
        <v>71</v>
      </c>
      <c r="E808" s="45" t="s">
        <v>4100</v>
      </c>
      <c r="F808" s="190"/>
      <c r="G808" s="59"/>
      <c r="H808" s="188"/>
      <c r="I808" s="188"/>
    </row>
    <row r="809" spans="1:9" ht="15.75" customHeight="1">
      <c r="A809" s="42" t="s">
        <v>19</v>
      </c>
      <c r="B809" s="1" t="s">
        <v>4077</v>
      </c>
      <c r="C809" s="43">
        <v>674652</v>
      </c>
      <c r="D809" s="1" t="s">
        <v>80</v>
      </c>
      <c r="E809" s="45" t="s">
        <v>3728</v>
      </c>
      <c r="F809" s="190"/>
      <c r="G809" s="59"/>
      <c r="H809" s="188"/>
      <c r="I809" s="188"/>
    </row>
    <row r="810" spans="1:9" ht="15.75" customHeight="1">
      <c r="A810" s="42" t="s">
        <v>19</v>
      </c>
      <c r="B810" s="1" t="s">
        <v>4077</v>
      </c>
      <c r="C810" s="43">
        <v>2923162</v>
      </c>
      <c r="D810" s="1" t="s">
        <v>71</v>
      </c>
      <c r="E810" s="45" t="s">
        <v>4101</v>
      </c>
      <c r="F810" s="190"/>
      <c r="G810" s="59"/>
      <c r="H810" s="188"/>
      <c r="I810" s="188"/>
    </row>
    <row r="811" spans="1:9" ht="15.75" customHeight="1">
      <c r="A811" s="42" t="s">
        <v>19</v>
      </c>
      <c r="B811" s="1" t="s">
        <v>4077</v>
      </c>
      <c r="C811" s="43">
        <v>482673</v>
      </c>
      <c r="D811" s="1" t="s">
        <v>83</v>
      </c>
      <c r="E811" s="45" t="s">
        <v>4102</v>
      </c>
      <c r="F811" s="190"/>
      <c r="G811" s="59"/>
      <c r="H811" s="188"/>
      <c r="I811" s="188"/>
    </row>
    <row r="812" spans="1:9" ht="15.75" customHeight="1">
      <c r="A812" s="42" t="s">
        <v>19</v>
      </c>
      <c r="B812" s="1" t="s">
        <v>4077</v>
      </c>
      <c r="C812" s="43">
        <v>2832055</v>
      </c>
      <c r="D812" s="1" t="s">
        <v>71</v>
      </c>
      <c r="E812" s="45" t="s">
        <v>4103</v>
      </c>
      <c r="F812" s="190"/>
      <c r="G812" s="59"/>
      <c r="H812" s="188"/>
      <c r="I812" s="188"/>
    </row>
    <row r="813" spans="1:9" ht="15.75" customHeight="1">
      <c r="A813" s="42" t="s">
        <v>19</v>
      </c>
      <c r="B813" s="1" t="s">
        <v>4077</v>
      </c>
      <c r="C813" s="43">
        <v>703219</v>
      </c>
      <c r="D813" s="1" t="s">
        <v>83</v>
      </c>
      <c r="E813" s="45" t="s">
        <v>4104</v>
      </c>
      <c r="F813" s="190"/>
      <c r="G813" s="59"/>
      <c r="H813" s="188"/>
      <c r="I813" s="188"/>
    </row>
    <row r="814" spans="1:9" ht="15.75" customHeight="1">
      <c r="A814" s="42" t="s">
        <v>19</v>
      </c>
      <c r="B814" s="1" t="s">
        <v>4077</v>
      </c>
      <c r="C814" s="43">
        <v>3130121</v>
      </c>
      <c r="D814" s="1" t="s">
        <v>80</v>
      </c>
      <c r="E814" s="45" t="s">
        <v>4105</v>
      </c>
      <c r="F814" s="190"/>
      <c r="G814" s="59"/>
      <c r="H814" s="188"/>
      <c r="I814" s="188"/>
    </row>
    <row r="815" spans="1:9" ht="15.75" customHeight="1">
      <c r="A815" s="188" t="s">
        <v>20</v>
      </c>
      <c r="B815" s="189" t="s">
        <v>4106</v>
      </c>
      <c r="C815" s="190" t="s">
        <v>68</v>
      </c>
      <c r="D815" s="190" t="s">
        <v>62</v>
      </c>
      <c r="E815" s="56" t="s">
        <v>69</v>
      </c>
      <c r="F815" s="190"/>
      <c r="G815" s="48" t="s">
        <v>70</v>
      </c>
      <c r="H815" s="188"/>
      <c r="I815" s="188"/>
    </row>
    <row r="816" spans="1:9" ht="15.75" customHeight="1">
      <c r="A816" s="42" t="s">
        <v>20</v>
      </c>
      <c r="B816" s="1" t="s">
        <v>4106</v>
      </c>
      <c r="C816" s="43">
        <v>5025608</v>
      </c>
      <c r="D816" s="1" t="s">
        <v>71</v>
      </c>
      <c r="E816" s="45" t="s">
        <v>3556</v>
      </c>
      <c r="F816" s="42"/>
      <c r="G816" s="48" t="s">
        <v>4107</v>
      </c>
      <c r="H816" s="42"/>
      <c r="I816" s="42"/>
    </row>
    <row r="817" spans="1:9" ht="15.75" customHeight="1">
      <c r="A817" s="42" t="s">
        <v>20</v>
      </c>
      <c r="B817" s="1" t="s">
        <v>4106</v>
      </c>
      <c r="C817" s="43">
        <v>5018537</v>
      </c>
      <c r="D817" s="1" t="s">
        <v>90</v>
      </c>
      <c r="E817" s="45" t="s">
        <v>3560</v>
      </c>
      <c r="F817" s="42"/>
      <c r="G817" s="48" t="s">
        <v>3559</v>
      </c>
      <c r="H817" s="42"/>
      <c r="I817" s="42"/>
    </row>
    <row r="818" spans="1:9" ht="15.75" customHeight="1">
      <c r="A818" s="42" t="s">
        <v>20</v>
      </c>
      <c r="B818" s="1" t="s">
        <v>4106</v>
      </c>
      <c r="C818" s="43">
        <v>689456</v>
      </c>
      <c r="D818" s="1" t="s">
        <v>71</v>
      </c>
      <c r="E818" s="45" t="s">
        <v>3970</v>
      </c>
      <c r="F818" s="42"/>
      <c r="G818" s="131"/>
      <c r="H818" s="42"/>
      <c r="I818" s="42"/>
    </row>
    <row r="819" spans="1:9" ht="15.75" customHeight="1">
      <c r="A819" s="42" t="s">
        <v>20</v>
      </c>
      <c r="B819" s="1" t="s">
        <v>4106</v>
      </c>
      <c r="C819" s="43">
        <v>195615</v>
      </c>
      <c r="D819" s="1" t="s">
        <v>83</v>
      </c>
      <c r="E819" s="45" t="s">
        <v>3937</v>
      </c>
      <c r="F819" s="42"/>
      <c r="G819" s="50"/>
      <c r="H819" s="42"/>
      <c r="I819" s="42"/>
    </row>
    <row r="820" spans="1:9" ht="15.75" customHeight="1">
      <c r="A820" s="42" t="s">
        <v>20</v>
      </c>
      <c r="B820" s="1" t="s">
        <v>4106</v>
      </c>
      <c r="C820" s="43">
        <v>759349</v>
      </c>
      <c r="D820" s="1" t="s">
        <v>71</v>
      </c>
      <c r="E820" s="45" t="s">
        <v>3601</v>
      </c>
      <c r="F820" s="42"/>
      <c r="G820" s="50"/>
      <c r="H820" s="42"/>
      <c r="I820" s="42"/>
    </row>
    <row r="821" spans="1:9" ht="15.75" customHeight="1">
      <c r="A821" s="42" t="s">
        <v>20</v>
      </c>
      <c r="B821" s="1" t="s">
        <v>4106</v>
      </c>
      <c r="C821" s="43">
        <v>2383448</v>
      </c>
      <c r="D821" s="1" t="s">
        <v>80</v>
      </c>
      <c r="E821" s="45" t="s">
        <v>4108</v>
      </c>
      <c r="F821" s="42"/>
      <c r="G821" s="50"/>
      <c r="H821" s="42"/>
      <c r="I821" s="42"/>
    </row>
    <row r="822" spans="1:9" ht="15.75" customHeight="1">
      <c r="A822" s="42" t="s">
        <v>20</v>
      </c>
      <c r="B822" s="1" t="s">
        <v>4106</v>
      </c>
      <c r="C822" s="43">
        <v>3130122</v>
      </c>
      <c r="D822" s="1" t="s">
        <v>80</v>
      </c>
      <c r="E822" s="45" t="s">
        <v>4109</v>
      </c>
      <c r="F822" s="42"/>
      <c r="G822" s="50"/>
      <c r="H822" s="42"/>
      <c r="I822" s="42"/>
    </row>
    <row r="823" spans="1:9" ht="15.75" customHeight="1">
      <c r="A823" s="42" t="s">
        <v>20</v>
      </c>
      <c r="B823" s="1" t="s">
        <v>4106</v>
      </c>
      <c r="C823" s="43">
        <v>703235</v>
      </c>
      <c r="D823" s="1" t="s">
        <v>71</v>
      </c>
      <c r="E823" s="45" t="s">
        <v>3938</v>
      </c>
      <c r="F823" s="42"/>
      <c r="G823" s="50"/>
      <c r="H823" s="42"/>
      <c r="I823" s="42"/>
    </row>
    <row r="824" spans="1:9" ht="15.75" customHeight="1">
      <c r="A824" s="42" t="s">
        <v>20</v>
      </c>
      <c r="B824" s="1" t="s">
        <v>4106</v>
      </c>
      <c r="C824" s="43">
        <v>703217</v>
      </c>
      <c r="D824" s="1" t="s">
        <v>71</v>
      </c>
      <c r="E824" s="45" t="s">
        <v>3971</v>
      </c>
      <c r="F824" s="42"/>
      <c r="G824" s="50"/>
      <c r="H824" s="42"/>
      <c r="I824" s="42"/>
    </row>
    <row r="825" spans="1:9" ht="15.75" customHeight="1">
      <c r="A825" s="42" t="s">
        <v>20</v>
      </c>
      <c r="B825" s="1" t="s">
        <v>4106</v>
      </c>
      <c r="C825" s="43">
        <v>678927</v>
      </c>
      <c r="D825" s="1" t="s">
        <v>80</v>
      </c>
      <c r="E825" s="45" t="s">
        <v>3564</v>
      </c>
      <c r="F825" s="42"/>
      <c r="G825" s="50"/>
      <c r="H825" s="42"/>
      <c r="I825" s="42"/>
    </row>
    <row r="826" spans="1:9" ht="15.75" customHeight="1">
      <c r="A826" s="42" t="s">
        <v>20</v>
      </c>
      <c r="B826" s="1" t="s">
        <v>4106</v>
      </c>
      <c r="C826" s="43">
        <v>2929657</v>
      </c>
      <c r="D826" s="1" t="s">
        <v>80</v>
      </c>
      <c r="E826" s="45" t="s">
        <v>3565</v>
      </c>
      <c r="F826" s="42"/>
      <c r="G826" s="50"/>
      <c r="H826" s="42"/>
      <c r="I826" s="42"/>
    </row>
    <row r="827" spans="1:9" ht="15.75" customHeight="1">
      <c r="A827" s="42" t="s">
        <v>20</v>
      </c>
      <c r="B827" s="1" t="s">
        <v>4106</v>
      </c>
      <c r="C827" s="43">
        <v>686936</v>
      </c>
      <c r="D827" s="1" t="s">
        <v>80</v>
      </c>
      <c r="E827" s="45" t="s">
        <v>3755</v>
      </c>
      <c r="F827" s="42"/>
      <c r="G827" s="50"/>
      <c r="H827" s="42"/>
      <c r="I827" s="42"/>
    </row>
    <row r="828" spans="1:9" ht="15.75" customHeight="1">
      <c r="A828" s="42" t="s">
        <v>20</v>
      </c>
      <c r="B828" s="1" t="s">
        <v>4106</v>
      </c>
      <c r="C828" s="43">
        <v>561066</v>
      </c>
      <c r="D828" s="1" t="s">
        <v>83</v>
      </c>
      <c r="E828" s="45" t="s">
        <v>3756</v>
      </c>
      <c r="F828" s="42"/>
      <c r="G828" s="50"/>
      <c r="H828" s="42"/>
      <c r="I828" s="42"/>
    </row>
    <row r="829" spans="1:9" ht="15.75" customHeight="1">
      <c r="A829" s="42" t="s">
        <v>20</v>
      </c>
      <c r="B829" s="1" t="s">
        <v>4106</v>
      </c>
      <c r="C829" s="43">
        <v>690407</v>
      </c>
      <c r="D829" s="1" t="s">
        <v>71</v>
      </c>
      <c r="E829" s="45" t="s">
        <v>3839</v>
      </c>
      <c r="F829" s="42"/>
      <c r="G829" s="50"/>
      <c r="H829" s="42"/>
      <c r="I829" s="42"/>
    </row>
    <row r="830" spans="1:9" ht="15.75" customHeight="1">
      <c r="A830" s="42" t="s">
        <v>20</v>
      </c>
      <c r="B830" s="1" t="s">
        <v>4106</v>
      </c>
      <c r="C830" s="43">
        <v>496630</v>
      </c>
      <c r="D830" s="1" t="s">
        <v>80</v>
      </c>
      <c r="E830" s="45" t="s">
        <v>3522</v>
      </c>
      <c r="F830" s="42"/>
      <c r="G830" s="50"/>
      <c r="H830" s="42"/>
      <c r="I830" s="42"/>
    </row>
    <row r="831" spans="1:9" ht="15.75" customHeight="1">
      <c r="A831" s="42" t="s">
        <v>20</v>
      </c>
      <c r="B831" s="1" t="s">
        <v>4106</v>
      </c>
      <c r="C831" s="43">
        <v>3130119</v>
      </c>
      <c r="D831" s="1" t="s">
        <v>80</v>
      </c>
      <c r="E831" s="157" t="s">
        <v>4110</v>
      </c>
      <c r="F831" s="42"/>
      <c r="G831" s="50"/>
      <c r="H831" s="42"/>
      <c r="I831" s="42"/>
    </row>
    <row r="832" spans="1:9" ht="15.75" customHeight="1">
      <c r="A832" s="42" t="s">
        <v>20</v>
      </c>
      <c r="B832" s="1" t="s">
        <v>4106</v>
      </c>
      <c r="C832" s="43">
        <v>5025620</v>
      </c>
      <c r="D832" s="1" t="s">
        <v>101</v>
      </c>
      <c r="E832" s="45" t="s">
        <v>3569</v>
      </c>
      <c r="F832" s="42"/>
      <c r="G832" s="50"/>
      <c r="H832" s="42"/>
      <c r="I832" s="42"/>
    </row>
    <row r="833" spans="1:9" ht="15.75" customHeight="1">
      <c r="A833" s="42" t="s">
        <v>20</v>
      </c>
      <c r="B833" s="1" t="s">
        <v>4106</v>
      </c>
      <c r="C833" s="43">
        <v>2813171</v>
      </c>
      <c r="D833" s="1" t="s">
        <v>90</v>
      </c>
      <c r="E833" s="45" t="s">
        <v>3613</v>
      </c>
      <c r="F833" s="42"/>
      <c r="G833" s="50"/>
      <c r="H833" s="42"/>
      <c r="I833" s="42"/>
    </row>
    <row r="834" spans="1:9" ht="15.75" customHeight="1">
      <c r="A834" s="42" t="s">
        <v>20</v>
      </c>
      <c r="B834" s="1" t="s">
        <v>4106</v>
      </c>
      <c r="C834" s="43">
        <v>509598</v>
      </c>
      <c r="D834" s="1" t="s">
        <v>80</v>
      </c>
      <c r="E834" s="45" t="s">
        <v>4111</v>
      </c>
      <c r="F834" s="42"/>
      <c r="G834" s="50"/>
      <c r="H834" s="42"/>
      <c r="I834" s="42"/>
    </row>
    <row r="835" spans="1:9" ht="15.75" customHeight="1">
      <c r="A835" s="42" t="s">
        <v>20</v>
      </c>
      <c r="B835" s="1" t="s">
        <v>4106</v>
      </c>
      <c r="C835" s="43">
        <v>2815160</v>
      </c>
      <c r="D835" s="1" t="s">
        <v>83</v>
      </c>
      <c r="E835" s="45" t="s">
        <v>4112</v>
      </c>
      <c r="F835" s="42"/>
      <c r="G835" s="50"/>
      <c r="H835" s="42"/>
      <c r="I835" s="42"/>
    </row>
    <row r="836" spans="1:9" ht="15.75" customHeight="1">
      <c r="A836" s="42" t="s">
        <v>20</v>
      </c>
      <c r="B836" s="1" t="s">
        <v>4106</v>
      </c>
      <c r="C836" s="43">
        <v>713867</v>
      </c>
      <c r="D836" s="1" t="s">
        <v>80</v>
      </c>
      <c r="E836" s="45" t="s">
        <v>3574</v>
      </c>
      <c r="F836" s="190"/>
      <c r="G836" s="59"/>
      <c r="H836" s="188"/>
      <c r="I836" s="188"/>
    </row>
    <row r="837" spans="1:9" ht="15.75" customHeight="1">
      <c r="A837" s="42" t="s">
        <v>20</v>
      </c>
      <c r="B837" s="1" t="s">
        <v>4106</v>
      </c>
      <c r="C837" s="43">
        <v>2929797</v>
      </c>
      <c r="D837" s="1" t="s">
        <v>83</v>
      </c>
      <c r="E837" s="45" t="s">
        <v>4113</v>
      </c>
      <c r="F837" s="190"/>
      <c r="G837" s="59"/>
      <c r="H837" s="188"/>
      <c r="I837" s="188"/>
    </row>
    <row r="838" spans="1:9" ht="15.75" customHeight="1">
      <c r="A838" s="42" t="s">
        <v>20</v>
      </c>
      <c r="B838" s="1" t="s">
        <v>4106</v>
      </c>
      <c r="C838" s="43">
        <v>2922385</v>
      </c>
      <c r="D838" s="1" t="s">
        <v>83</v>
      </c>
      <c r="E838" s="157" t="s">
        <v>4114</v>
      </c>
      <c r="F838" s="190"/>
      <c r="G838" s="59"/>
      <c r="H838" s="188"/>
      <c r="I838" s="188"/>
    </row>
    <row r="839" spans="1:9" ht="15.75" customHeight="1">
      <c r="A839" s="42" t="s">
        <v>20</v>
      </c>
      <c r="B839" s="1" t="s">
        <v>4106</v>
      </c>
      <c r="C839" s="43">
        <v>2824227</v>
      </c>
      <c r="D839" s="1" t="s">
        <v>83</v>
      </c>
      <c r="E839" s="157" t="s">
        <v>3714</v>
      </c>
      <c r="F839" s="190"/>
      <c r="G839" s="59"/>
      <c r="H839" s="188"/>
      <c r="I839" s="188"/>
    </row>
    <row r="840" spans="1:9" ht="15.75" customHeight="1">
      <c r="A840" s="42" t="s">
        <v>20</v>
      </c>
      <c r="B840" s="1" t="s">
        <v>4106</v>
      </c>
      <c r="C840" s="43">
        <v>2874252</v>
      </c>
      <c r="D840" s="1" t="s">
        <v>80</v>
      </c>
      <c r="E840" s="157" t="s">
        <v>4115</v>
      </c>
      <c r="F840" s="190"/>
      <c r="G840" s="59"/>
      <c r="H840" s="188"/>
      <c r="I840" s="188"/>
    </row>
    <row r="841" spans="1:9" ht="15.75" customHeight="1">
      <c r="A841" s="42" t="s">
        <v>20</v>
      </c>
      <c r="B841" s="1" t="s">
        <v>4106</v>
      </c>
      <c r="C841" s="43">
        <v>2929896</v>
      </c>
      <c r="D841" s="1" t="s">
        <v>83</v>
      </c>
      <c r="E841" s="45" t="s">
        <v>3786</v>
      </c>
      <c r="F841" s="190"/>
      <c r="G841" s="59"/>
      <c r="H841" s="188"/>
      <c r="I841" s="188"/>
    </row>
    <row r="842" spans="1:9" ht="15.75" customHeight="1">
      <c r="A842" s="42" t="s">
        <v>20</v>
      </c>
      <c r="B842" s="1" t="s">
        <v>4106</v>
      </c>
      <c r="C842" s="43">
        <v>2996363</v>
      </c>
      <c r="D842" s="1" t="s">
        <v>80</v>
      </c>
      <c r="E842" s="157" t="s">
        <v>3531</v>
      </c>
      <c r="F842" s="190"/>
      <c r="G842" s="59"/>
      <c r="H842" s="188"/>
      <c r="I842" s="188"/>
    </row>
    <row r="843" spans="1:9" ht="15.75" customHeight="1">
      <c r="A843" s="42" t="s">
        <v>20</v>
      </c>
      <c r="B843" s="1" t="s">
        <v>4106</v>
      </c>
      <c r="C843" s="43">
        <v>708836</v>
      </c>
      <c r="D843" s="1" t="s">
        <v>83</v>
      </c>
      <c r="E843" s="45" t="s">
        <v>3963</v>
      </c>
      <c r="F843" s="190"/>
      <c r="G843" s="59"/>
      <c r="H843" s="188"/>
      <c r="I843" s="188"/>
    </row>
    <row r="844" spans="1:9" ht="15.75" customHeight="1">
      <c r="A844" s="42" t="s">
        <v>20</v>
      </c>
      <c r="B844" s="1" t="s">
        <v>4106</v>
      </c>
      <c r="C844" s="43">
        <v>2873327</v>
      </c>
      <c r="D844" s="1" t="s">
        <v>80</v>
      </c>
      <c r="E844" s="157" t="s">
        <v>4095</v>
      </c>
      <c r="F844" s="190"/>
      <c r="G844" s="59"/>
      <c r="H844" s="188"/>
      <c r="I844" s="188"/>
    </row>
    <row r="845" spans="1:9" ht="15.75" customHeight="1">
      <c r="A845" s="42" t="s">
        <v>20</v>
      </c>
      <c r="B845" s="1" t="s">
        <v>4106</v>
      </c>
      <c r="C845" s="43">
        <v>703238</v>
      </c>
      <c r="D845" s="1" t="s">
        <v>83</v>
      </c>
      <c r="E845" s="45" t="s">
        <v>4057</v>
      </c>
      <c r="F845" s="190"/>
      <c r="G845" s="59"/>
      <c r="H845" s="188"/>
      <c r="I845" s="188"/>
    </row>
    <row r="846" spans="1:9" ht="15.75" customHeight="1">
      <c r="A846" s="42" t="s">
        <v>20</v>
      </c>
      <c r="B846" s="1" t="s">
        <v>4106</v>
      </c>
      <c r="C846" s="43">
        <v>2951231</v>
      </c>
      <c r="D846" s="1" t="s">
        <v>83</v>
      </c>
      <c r="E846" s="45" t="s">
        <v>3810</v>
      </c>
      <c r="F846" s="190"/>
      <c r="G846" s="59"/>
      <c r="H846" s="188"/>
      <c r="I846" s="188"/>
    </row>
    <row r="847" spans="1:9" ht="15.75" customHeight="1">
      <c r="A847" s="42" t="s">
        <v>20</v>
      </c>
      <c r="B847" s="1" t="s">
        <v>4106</v>
      </c>
      <c r="C847" s="43">
        <v>674652</v>
      </c>
      <c r="D847" s="1" t="s">
        <v>80</v>
      </c>
      <c r="E847" s="45" t="s">
        <v>3728</v>
      </c>
      <c r="F847" s="190"/>
      <c r="G847" s="59"/>
      <c r="H847" s="188"/>
      <c r="I847" s="188"/>
    </row>
    <row r="848" spans="1:9" ht="15.75" customHeight="1">
      <c r="A848" s="42" t="s">
        <v>20</v>
      </c>
      <c r="B848" s="1" t="s">
        <v>4106</v>
      </c>
      <c r="C848" s="43">
        <v>2923126</v>
      </c>
      <c r="D848" s="1" t="s">
        <v>83</v>
      </c>
      <c r="E848" s="45" t="s">
        <v>4116</v>
      </c>
      <c r="F848" s="190"/>
      <c r="G848" s="59"/>
      <c r="H848" s="188"/>
      <c r="I848" s="188"/>
    </row>
    <row r="849" spans="1:9" ht="15.75" customHeight="1">
      <c r="A849" s="42" t="s">
        <v>20</v>
      </c>
      <c r="B849" s="1" t="s">
        <v>4106</v>
      </c>
      <c r="C849" s="43">
        <v>536479</v>
      </c>
      <c r="D849" s="1" t="s">
        <v>101</v>
      </c>
      <c r="E849" s="45" t="s">
        <v>4117</v>
      </c>
      <c r="F849" s="190"/>
      <c r="G849" s="59"/>
      <c r="H849" s="188"/>
      <c r="I849" s="188"/>
    </row>
    <row r="850" spans="1:9" ht="15.75" customHeight="1">
      <c r="A850" s="42" t="s">
        <v>20</v>
      </c>
      <c r="B850" s="1" t="s">
        <v>4106</v>
      </c>
      <c r="C850" s="43">
        <v>2930748</v>
      </c>
      <c r="D850" s="1" t="s">
        <v>83</v>
      </c>
      <c r="E850" s="45" t="s">
        <v>4118</v>
      </c>
      <c r="F850" s="190"/>
      <c r="G850" s="59"/>
      <c r="H850" s="188"/>
      <c r="I850" s="188"/>
    </row>
    <row r="851" spans="1:9" ht="15.75" customHeight="1">
      <c r="A851" s="42" t="s">
        <v>20</v>
      </c>
      <c r="B851" s="1" t="s">
        <v>4106</v>
      </c>
      <c r="C851" s="43">
        <v>703225</v>
      </c>
      <c r="D851" s="1" t="s">
        <v>71</v>
      </c>
      <c r="E851" s="45" t="s">
        <v>3843</v>
      </c>
      <c r="F851" s="190"/>
      <c r="G851" s="59"/>
      <c r="H851" s="188"/>
      <c r="I851" s="188"/>
    </row>
    <row r="852" spans="1:9" ht="15.75" customHeight="1">
      <c r="A852" s="42" t="s">
        <v>20</v>
      </c>
      <c r="B852" s="1" t="s">
        <v>4106</v>
      </c>
      <c r="C852" s="43">
        <v>544923</v>
      </c>
      <c r="D852" s="1" t="s">
        <v>80</v>
      </c>
      <c r="E852" s="45" t="s">
        <v>3844</v>
      </c>
      <c r="F852" s="190"/>
      <c r="G852" s="59"/>
      <c r="H852" s="188"/>
      <c r="I852" s="188"/>
    </row>
    <row r="853" spans="1:9" ht="15.75" customHeight="1">
      <c r="A853" s="42" t="s">
        <v>20</v>
      </c>
      <c r="B853" s="1" t="s">
        <v>4106</v>
      </c>
      <c r="C853" s="43">
        <v>647944</v>
      </c>
      <c r="D853" s="1" t="s">
        <v>80</v>
      </c>
      <c r="E853" s="45" t="s">
        <v>3947</v>
      </c>
      <c r="F853" s="190"/>
      <c r="G853" s="59"/>
      <c r="H853" s="188"/>
      <c r="I853" s="188"/>
    </row>
    <row r="854" spans="1:9" ht="15.75" customHeight="1">
      <c r="A854" s="42" t="s">
        <v>20</v>
      </c>
      <c r="B854" s="1" t="s">
        <v>4106</v>
      </c>
      <c r="C854" s="43">
        <v>759354</v>
      </c>
      <c r="D854" s="1" t="s">
        <v>90</v>
      </c>
      <c r="E854" s="45" t="s">
        <v>3815</v>
      </c>
      <c r="F854" s="190"/>
      <c r="G854" s="59"/>
      <c r="H854" s="188"/>
      <c r="I854" s="188"/>
    </row>
    <row r="855" spans="1:9" ht="15.75" customHeight="1">
      <c r="A855" s="188" t="s">
        <v>21</v>
      </c>
      <c r="B855" s="189" t="s">
        <v>4119</v>
      </c>
      <c r="C855" s="190" t="s">
        <v>68</v>
      </c>
      <c r="D855" s="190" t="s">
        <v>62</v>
      </c>
      <c r="E855" s="56" t="s">
        <v>69</v>
      </c>
      <c r="F855" s="190"/>
      <c r="G855" s="48" t="s">
        <v>70</v>
      </c>
      <c r="H855" s="188"/>
      <c r="I855" s="188"/>
    </row>
    <row r="856" spans="1:9" ht="15.75" customHeight="1">
      <c r="A856" s="42" t="s">
        <v>21</v>
      </c>
      <c r="B856" s="1" t="s">
        <v>4119</v>
      </c>
      <c r="C856" s="43">
        <v>2816017</v>
      </c>
      <c r="D856" s="1" t="s">
        <v>80</v>
      </c>
      <c r="E856" s="45" t="s">
        <v>3951</v>
      </c>
      <c r="F856" s="42"/>
      <c r="G856" s="48" t="s">
        <v>3599</v>
      </c>
      <c r="H856" s="42"/>
      <c r="I856" s="42"/>
    </row>
    <row r="857" spans="1:9" ht="15.75" customHeight="1">
      <c r="A857" s="42" t="s">
        <v>21</v>
      </c>
      <c r="B857" s="1" t="s">
        <v>4119</v>
      </c>
      <c r="C857" s="43">
        <v>3107601</v>
      </c>
      <c r="D857" s="1" t="s">
        <v>71</v>
      </c>
      <c r="E857" s="45" t="s">
        <v>3558</v>
      </c>
      <c r="F857" s="42"/>
      <c r="G857" s="48" t="s">
        <v>3952</v>
      </c>
      <c r="H857" s="42"/>
      <c r="I857" s="42"/>
    </row>
    <row r="858" spans="1:9" ht="15.75" customHeight="1">
      <c r="A858" s="42" t="s">
        <v>21</v>
      </c>
      <c r="B858" s="1" t="s">
        <v>4119</v>
      </c>
      <c r="C858" s="43">
        <v>2809733</v>
      </c>
      <c r="D858" s="1" t="s">
        <v>80</v>
      </c>
      <c r="E858" s="45" t="s">
        <v>3561</v>
      </c>
      <c r="F858" s="42"/>
      <c r="G858" s="50"/>
      <c r="H858" s="42"/>
      <c r="I858" s="42"/>
    </row>
    <row r="859" spans="1:9" ht="15.75" customHeight="1">
      <c r="A859" s="42" t="s">
        <v>21</v>
      </c>
      <c r="B859" s="1" t="s">
        <v>4119</v>
      </c>
      <c r="C859" s="43">
        <v>702515</v>
      </c>
      <c r="D859" s="1" t="s">
        <v>83</v>
      </c>
      <c r="E859" s="45" t="s">
        <v>3954</v>
      </c>
      <c r="F859" s="42"/>
      <c r="G859" s="50"/>
      <c r="H859" s="42"/>
      <c r="I859" s="42"/>
    </row>
    <row r="860" spans="1:9" ht="15.75" customHeight="1">
      <c r="A860" s="42" t="s">
        <v>21</v>
      </c>
      <c r="B860" s="1" t="s">
        <v>4119</v>
      </c>
      <c r="C860" s="43">
        <v>5034156</v>
      </c>
      <c r="D860" s="1" t="s">
        <v>80</v>
      </c>
      <c r="E860" s="45" t="s">
        <v>4120</v>
      </c>
      <c r="F860" s="42"/>
      <c r="G860" s="50"/>
      <c r="H860" s="42"/>
      <c r="I860" s="42"/>
    </row>
    <row r="861" spans="1:9" ht="15.75" customHeight="1">
      <c r="A861" s="42" t="s">
        <v>21</v>
      </c>
      <c r="B861" s="1" t="s">
        <v>4119</v>
      </c>
      <c r="C861" s="43">
        <v>2832039</v>
      </c>
      <c r="D861" s="1" t="s">
        <v>71</v>
      </c>
      <c r="E861" s="45" t="s">
        <v>3981</v>
      </c>
      <c r="F861" s="42"/>
      <c r="G861" s="50"/>
      <c r="H861" s="42"/>
      <c r="I861" s="42"/>
    </row>
    <row r="862" spans="1:9" ht="15.75" customHeight="1">
      <c r="A862" s="42" t="s">
        <v>21</v>
      </c>
      <c r="B862" s="1" t="s">
        <v>4119</v>
      </c>
      <c r="C862" s="43">
        <v>759349</v>
      </c>
      <c r="D862" s="1" t="s">
        <v>71</v>
      </c>
      <c r="E862" s="45" t="s">
        <v>3601</v>
      </c>
      <c r="F862" s="42"/>
      <c r="G862" s="50"/>
      <c r="H862" s="42"/>
      <c r="I862" s="42"/>
    </row>
    <row r="863" spans="1:9" ht="15.75" customHeight="1">
      <c r="A863" s="42" t="s">
        <v>21</v>
      </c>
      <c r="B863" s="1" t="s">
        <v>4119</v>
      </c>
      <c r="C863" s="43">
        <v>563969</v>
      </c>
      <c r="D863" s="1" t="s">
        <v>71</v>
      </c>
      <c r="E863" s="45" t="s">
        <v>3604</v>
      </c>
      <c r="F863" s="42"/>
      <c r="G863" s="50"/>
      <c r="H863" s="42"/>
      <c r="I863" s="42"/>
    </row>
    <row r="864" spans="1:9" ht="15.75" customHeight="1">
      <c r="A864" s="42" t="s">
        <v>21</v>
      </c>
      <c r="B864" s="1" t="s">
        <v>4119</v>
      </c>
      <c r="C864" s="43">
        <v>549183</v>
      </c>
      <c r="D864" s="1" t="s">
        <v>83</v>
      </c>
      <c r="E864" s="45" t="s">
        <v>3956</v>
      </c>
      <c r="F864" s="42"/>
      <c r="G864" s="50"/>
      <c r="H864" s="42"/>
      <c r="I864" s="42"/>
    </row>
    <row r="865" spans="1:9" ht="15.75" customHeight="1">
      <c r="A865" s="42" t="s">
        <v>21</v>
      </c>
      <c r="B865" s="1" t="s">
        <v>4119</v>
      </c>
      <c r="C865" s="43">
        <v>2917865</v>
      </c>
      <c r="D865" s="1" t="s">
        <v>71</v>
      </c>
      <c r="E865" s="45" t="s">
        <v>3957</v>
      </c>
      <c r="F865" s="42"/>
      <c r="G865" s="50"/>
      <c r="H865" s="42"/>
      <c r="I865" s="42"/>
    </row>
    <row r="866" spans="1:9" ht="15.75" customHeight="1">
      <c r="A866" s="42" t="s">
        <v>21</v>
      </c>
      <c r="B866" s="1" t="s">
        <v>4119</v>
      </c>
      <c r="C866" s="43">
        <v>5025613</v>
      </c>
      <c r="D866" s="1" t="s">
        <v>83</v>
      </c>
      <c r="E866" s="45" t="s">
        <v>3607</v>
      </c>
      <c r="F866" s="42"/>
      <c r="G866" s="50"/>
      <c r="H866" s="42"/>
      <c r="I866" s="42"/>
    </row>
    <row r="867" spans="1:9" ht="15.75" customHeight="1">
      <c r="A867" s="42" t="s">
        <v>21</v>
      </c>
      <c r="B867" s="1" t="s">
        <v>4119</v>
      </c>
      <c r="C867" s="43">
        <v>2884095</v>
      </c>
      <c r="D867" s="1" t="s">
        <v>80</v>
      </c>
      <c r="E867" s="49" t="s">
        <v>4121</v>
      </c>
      <c r="F867" s="42"/>
      <c r="G867" s="50"/>
      <c r="H867" s="42"/>
      <c r="I867" s="42"/>
    </row>
    <row r="868" spans="1:9" ht="15.75" customHeight="1">
      <c r="A868" s="42" t="s">
        <v>21</v>
      </c>
      <c r="B868" s="1" t="s">
        <v>4119</v>
      </c>
      <c r="C868" s="43">
        <v>3146303</v>
      </c>
      <c r="D868" s="1" t="s">
        <v>80</v>
      </c>
      <c r="E868" s="49" t="s">
        <v>4122</v>
      </c>
      <c r="F868" s="42"/>
      <c r="G868" s="50"/>
      <c r="H868" s="42"/>
      <c r="I868" s="42"/>
    </row>
    <row r="869" spans="1:9" ht="15.75" customHeight="1">
      <c r="A869" s="42" t="s">
        <v>21</v>
      </c>
      <c r="B869" s="1" t="s">
        <v>4119</v>
      </c>
      <c r="C869" s="43">
        <v>553345</v>
      </c>
      <c r="D869" s="1" t="s">
        <v>80</v>
      </c>
      <c r="E869" s="45" t="s">
        <v>3961</v>
      </c>
      <c r="F869" s="42"/>
      <c r="G869" s="50"/>
      <c r="H869" s="42"/>
      <c r="I869" s="42"/>
    </row>
    <row r="870" spans="1:9" ht="15.75" customHeight="1">
      <c r="A870" s="42" t="s">
        <v>21</v>
      </c>
      <c r="B870" s="1" t="s">
        <v>4119</v>
      </c>
      <c r="C870" s="43">
        <v>593918</v>
      </c>
      <c r="D870" s="1" t="s">
        <v>80</v>
      </c>
      <c r="E870" s="45" t="s">
        <v>4123</v>
      </c>
      <c r="F870" s="42"/>
      <c r="G870" s="50"/>
      <c r="H870" s="42"/>
      <c r="I870" s="42"/>
    </row>
    <row r="871" spans="1:9" ht="15.75" customHeight="1">
      <c r="A871" s="42" t="s">
        <v>21</v>
      </c>
      <c r="B871" s="1" t="s">
        <v>4119</v>
      </c>
      <c r="C871" s="43">
        <v>5025617</v>
      </c>
      <c r="D871" s="1" t="s">
        <v>71</v>
      </c>
      <c r="E871" s="45" t="s">
        <v>3624</v>
      </c>
      <c r="F871" s="190"/>
      <c r="G871" s="59"/>
      <c r="H871" s="188"/>
      <c r="I871" s="188"/>
    </row>
    <row r="872" spans="1:9" ht="15.75" customHeight="1">
      <c r="A872" s="42" t="s">
        <v>21</v>
      </c>
      <c r="B872" s="1" t="s">
        <v>4119</v>
      </c>
      <c r="C872" s="43">
        <v>593050</v>
      </c>
      <c r="D872" s="1" t="s">
        <v>80</v>
      </c>
      <c r="E872" s="45" t="s">
        <v>3664</v>
      </c>
      <c r="F872" s="190"/>
      <c r="G872" s="59"/>
      <c r="H872" s="188"/>
      <c r="I872" s="188"/>
    </row>
    <row r="873" spans="1:9" ht="15.75" customHeight="1">
      <c r="A873" s="42" t="s">
        <v>21</v>
      </c>
      <c r="B873" s="1" t="s">
        <v>4119</v>
      </c>
      <c r="C873" s="43">
        <v>702517</v>
      </c>
      <c r="D873" s="1" t="s">
        <v>71</v>
      </c>
      <c r="E873" s="45" t="s">
        <v>3625</v>
      </c>
      <c r="F873" s="190"/>
      <c r="G873" s="59"/>
      <c r="H873" s="188"/>
      <c r="I873" s="188"/>
    </row>
    <row r="874" spans="1:9" ht="15.75" customHeight="1">
      <c r="A874" s="42" t="s">
        <v>21</v>
      </c>
      <c r="B874" s="1" t="s">
        <v>4119</v>
      </c>
      <c r="C874" s="43">
        <v>561470</v>
      </c>
      <c r="D874" s="1" t="s">
        <v>83</v>
      </c>
      <c r="E874" s="45" t="s">
        <v>3626</v>
      </c>
      <c r="F874" s="190"/>
      <c r="G874" s="59"/>
      <c r="H874" s="188"/>
      <c r="I874" s="188"/>
    </row>
    <row r="875" spans="1:9" ht="15.75" customHeight="1">
      <c r="A875" s="42" t="s">
        <v>21</v>
      </c>
      <c r="B875" s="1" t="s">
        <v>4119</v>
      </c>
      <c r="C875" s="43">
        <v>593045</v>
      </c>
      <c r="D875" s="1" t="s">
        <v>80</v>
      </c>
      <c r="E875" s="45" t="s">
        <v>3627</v>
      </c>
      <c r="F875" s="190"/>
      <c r="G875" s="59"/>
      <c r="H875" s="188"/>
      <c r="I875" s="188"/>
    </row>
    <row r="876" spans="1:9" ht="15.75" customHeight="1">
      <c r="A876" s="42" t="s">
        <v>21</v>
      </c>
      <c r="B876" s="1" t="s">
        <v>4119</v>
      </c>
      <c r="C876" s="43">
        <v>494021</v>
      </c>
      <c r="D876" s="1" t="s">
        <v>80</v>
      </c>
      <c r="E876" s="45" t="s">
        <v>3628</v>
      </c>
      <c r="F876" s="190"/>
      <c r="G876" s="59"/>
      <c r="H876" s="188"/>
      <c r="I876" s="188"/>
    </row>
    <row r="877" spans="1:9" ht="15.75" customHeight="1">
      <c r="A877" s="42" t="s">
        <v>21</v>
      </c>
      <c r="B877" s="1" t="s">
        <v>4119</v>
      </c>
      <c r="C877" s="43">
        <v>584362</v>
      </c>
      <c r="D877" s="1" t="s">
        <v>83</v>
      </c>
      <c r="E877" s="45" t="s">
        <v>3631</v>
      </c>
      <c r="F877" s="190"/>
      <c r="G877" s="59"/>
      <c r="H877" s="188"/>
      <c r="I877" s="188"/>
    </row>
    <row r="878" spans="1:9" ht="15.75" customHeight="1">
      <c r="A878" s="42" t="s">
        <v>21</v>
      </c>
      <c r="B878" s="1" t="s">
        <v>4119</v>
      </c>
      <c r="C878" s="43">
        <v>708836</v>
      </c>
      <c r="D878" s="1" t="s">
        <v>83</v>
      </c>
      <c r="E878" s="45" t="s">
        <v>3963</v>
      </c>
      <c r="F878" s="190"/>
      <c r="G878" s="59"/>
      <c r="H878" s="188"/>
      <c r="I878" s="188"/>
    </row>
    <row r="879" spans="1:9" ht="15.75" customHeight="1">
      <c r="A879" s="42" t="s">
        <v>21</v>
      </c>
      <c r="B879" s="1" t="s">
        <v>4119</v>
      </c>
      <c r="C879" s="43">
        <v>2808159</v>
      </c>
      <c r="D879" s="1" t="s">
        <v>71</v>
      </c>
      <c r="E879" s="45" t="s">
        <v>3632</v>
      </c>
      <c r="F879" s="190"/>
      <c r="G879" s="59"/>
      <c r="H879" s="188"/>
      <c r="I879" s="188"/>
    </row>
    <row r="880" spans="1:9" ht="15.75" customHeight="1">
      <c r="A880" s="42" t="s">
        <v>21</v>
      </c>
      <c r="B880" s="1" t="s">
        <v>4119</v>
      </c>
      <c r="C880" s="43">
        <v>5022380</v>
      </c>
      <c r="D880" s="1" t="s">
        <v>80</v>
      </c>
      <c r="E880" s="45" t="s">
        <v>3966</v>
      </c>
      <c r="F880" s="190"/>
      <c r="G880" s="59"/>
      <c r="H880" s="188"/>
      <c r="I880" s="188"/>
    </row>
    <row r="881" spans="1:9" ht="15.75" customHeight="1">
      <c r="A881" s="42" t="s">
        <v>21</v>
      </c>
      <c r="B881" s="1" t="s">
        <v>4119</v>
      </c>
      <c r="C881" s="43">
        <v>702531</v>
      </c>
      <c r="D881" s="1" t="s">
        <v>71</v>
      </c>
      <c r="E881" s="45" t="s">
        <v>3967</v>
      </c>
      <c r="F881" s="190"/>
      <c r="G881" s="59"/>
      <c r="H881" s="188"/>
      <c r="I881" s="188"/>
    </row>
    <row r="882" spans="1:9" ht="15.75" customHeight="1">
      <c r="A882" s="42" t="s">
        <v>21</v>
      </c>
      <c r="B882" s="1" t="s">
        <v>4119</v>
      </c>
      <c r="C882" s="43">
        <v>703215</v>
      </c>
      <c r="D882" s="1" t="s">
        <v>71</v>
      </c>
      <c r="E882" s="45" t="s">
        <v>3968</v>
      </c>
      <c r="F882" s="190"/>
      <c r="G882" s="59"/>
      <c r="H882" s="188"/>
      <c r="I882" s="188"/>
    </row>
    <row r="883" spans="1:9" ht="15.75" customHeight="1">
      <c r="A883" s="42" t="s">
        <v>21</v>
      </c>
      <c r="B883" s="1" t="s">
        <v>4119</v>
      </c>
      <c r="C883" s="43">
        <v>703214</v>
      </c>
      <c r="D883" s="1" t="s">
        <v>71</v>
      </c>
      <c r="E883" s="45" t="s">
        <v>3969</v>
      </c>
      <c r="F883" s="190"/>
      <c r="G883" s="59"/>
      <c r="H883" s="188"/>
      <c r="I883" s="188"/>
    </row>
    <row r="884" spans="1:9" ht="15.75" customHeight="1">
      <c r="A884" s="42" t="s">
        <v>21</v>
      </c>
      <c r="B884" s="1" t="s">
        <v>4119</v>
      </c>
      <c r="C884" s="43">
        <v>761012</v>
      </c>
      <c r="D884" s="1" t="s">
        <v>71</v>
      </c>
      <c r="E884" s="45" t="s">
        <v>3633</v>
      </c>
      <c r="F884" s="190"/>
      <c r="G884" s="59"/>
      <c r="H884" s="188"/>
      <c r="I884" s="188"/>
    </row>
    <row r="885" spans="1:9" ht="15.75" customHeight="1">
      <c r="A885" s="42" t="s">
        <v>21</v>
      </c>
      <c r="B885" s="1" t="s">
        <v>4119</v>
      </c>
      <c r="C885" s="43">
        <v>5025616</v>
      </c>
      <c r="D885" s="1" t="s">
        <v>83</v>
      </c>
      <c r="E885" s="45" t="s">
        <v>3634</v>
      </c>
      <c r="F885" s="190"/>
      <c r="G885" s="59"/>
      <c r="H885" s="188"/>
      <c r="I885" s="188"/>
    </row>
    <row r="886" spans="1:9" ht="15.75" customHeight="1">
      <c r="A886" s="42" t="s">
        <v>21</v>
      </c>
      <c r="B886" s="1" t="s">
        <v>4119</v>
      </c>
      <c r="C886" s="43">
        <v>697738</v>
      </c>
      <c r="D886" s="1" t="s">
        <v>71</v>
      </c>
      <c r="E886" s="45" t="s">
        <v>3637</v>
      </c>
      <c r="F886" s="190"/>
      <c r="G886" s="59"/>
      <c r="H886" s="188"/>
      <c r="I886" s="188"/>
    </row>
    <row r="887" spans="1:9" ht="15.75" customHeight="1">
      <c r="A887" s="42" t="s">
        <v>21</v>
      </c>
      <c r="B887" s="1" t="s">
        <v>4119</v>
      </c>
      <c r="C887" s="43">
        <v>561469</v>
      </c>
      <c r="D887" s="1" t="s">
        <v>80</v>
      </c>
      <c r="E887" s="45" t="s">
        <v>3639</v>
      </c>
      <c r="F887" s="190"/>
      <c r="G887" s="59"/>
      <c r="H887" s="188"/>
      <c r="I887" s="188"/>
    </row>
    <row r="888" spans="1:9" ht="15.75" customHeight="1">
      <c r="A888" s="42" t="s">
        <v>21</v>
      </c>
      <c r="B888" s="1" t="s">
        <v>4119</v>
      </c>
      <c r="C888" s="43">
        <v>2951127</v>
      </c>
      <c r="D888" s="1" t="s">
        <v>80</v>
      </c>
      <c r="E888" s="49" t="s">
        <v>4124</v>
      </c>
      <c r="F888" s="190"/>
      <c r="G888" s="59"/>
      <c r="H888" s="188"/>
      <c r="I888" s="188"/>
    </row>
    <row r="889" spans="1:9" ht="15.75" customHeight="1">
      <c r="A889" s="42" t="s">
        <v>21</v>
      </c>
      <c r="B889" s="1" t="s">
        <v>4119</v>
      </c>
      <c r="C889" s="43">
        <v>5033458</v>
      </c>
      <c r="D889" s="1" t="s">
        <v>80</v>
      </c>
      <c r="E889" s="45" t="s">
        <v>3552</v>
      </c>
      <c r="F889" s="190"/>
      <c r="G889" s="59"/>
      <c r="H889" s="188"/>
      <c r="I889" s="188"/>
    </row>
    <row r="890" spans="1:9" ht="15.75" customHeight="1">
      <c r="A890" s="188" t="s">
        <v>22</v>
      </c>
      <c r="B890" s="189" t="s">
        <v>4125</v>
      </c>
      <c r="C890" s="190" t="s">
        <v>68</v>
      </c>
      <c r="D890" s="190" t="s">
        <v>62</v>
      </c>
      <c r="E890" s="56" t="s">
        <v>69</v>
      </c>
      <c r="F890" s="190"/>
      <c r="G890" s="48" t="s">
        <v>70</v>
      </c>
      <c r="H890" s="188"/>
      <c r="I890" s="188"/>
    </row>
    <row r="891" spans="1:9" ht="15.75" customHeight="1">
      <c r="A891" s="42" t="s">
        <v>22</v>
      </c>
      <c r="B891" s="1" t="s">
        <v>4125</v>
      </c>
      <c r="C891" s="43">
        <v>2954130</v>
      </c>
      <c r="D891" s="1" t="s">
        <v>83</v>
      </c>
      <c r="E891" s="45" t="s">
        <v>4046</v>
      </c>
      <c r="F891" s="42"/>
      <c r="G891" s="48" t="s">
        <v>3597</v>
      </c>
      <c r="H891" s="42"/>
      <c r="I891" s="42"/>
    </row>
    <row r="892" spans="1:9" ht="15.75" customHeight="1">
      <c r="A892" s="42" t="s">
        <v>22</v>
      </c>
      <c r="B892" s="1" t="s">
        <v>4125</v>
      </c>
      <c r="C892" s="43">
        <v>702515</v>
      </c>
      <c r="D892" s="1" t="s">
        <v>83</v>
      </c>
      <c r="E892" s="45" t="s">
        <v>3954</v>
      </c>
      <c r="F892" s="42"/>
      <c r="G892" s="48" t="s">
        <v>3600</v>
      </c>
      <c r="H892" s="42"/>
      <c r="I892" s="42"/>
    </row>
    <row r="893" spans="1:9" ht="15.75" customHeight="1">
      <c r="A893" s="42" t="s">
        <v>22</v>
      </c>
      <c r="B893" s="1" t="s">
        <v>4125</v>
      </c>
      <c r="C893" s="43">
        <v>5034156</v>
      </c>
      <c r="D893" s="1" t="s">
        <v>80</v>
      </c>
      <c r="E893" s="45" t="s">
        <v>4120</v>
      </c>
      <c r="F893" s="42"/>
      <c r="G893" s="50"/>
      <c r="H893" s="42"/>
      <c r="I893" s="42"/>
    </row>
    <row r="894" spans="1:9" ht="15.75" customHeight="1">
      <c r="A894" s="42" t="s">
        <v>22</v>
      </c>
      <c r="B894" s="1" t="s">
        <v>4125</v>
      </c>
      <c r="C894" s="43">
        <v>759349</v>
      </c>
      <c r="D894" s="1" t="s">
        <v>71</v>
      </c>
      <c r="E894" s="45" t="s">
        <v>3601</v>
      </c>
      <c r="F894" s="42"/>
      <c r="G894" s="131"/>
      <c r="H894" s="42"/>
      <c r="I894" s="42"/>
    </row>
    <row r="895" spans="1:9" ht="15.75" customHeight="1">
      <c r="A895" s="42" t="s">
        <v>22</v>
      </c>
      <c r="B895" s="1" t="s">
        <v>4125</v>
      </c>
      <c r="C895" s="43">
        <v>5025562</v>
      </c>
      <c r="D895" s="1" t="s">
        <v>71</v>
      </c>
      <c r="E895" s="45" t="s">
        <v>3519</v>
      </c>
      <c r="F895" s="42"/>
      <c r="G895" s="50"/>
      <c r="H895" s="42"/>
      <c r="I895" s="42"/>
    </row>
    <row r="896" spans="1:9" ht="15.75" customHeight="1">
      <c r="A896" s="42" t="s">
        <v>22</v>
      </c>
      <c r="B896" s="1" t="s">
        <v>4125</v>
      </c>
      <c r="C896" s="43">
        <v>703235</v>
      </c>
      <c r="D896" s="1" t="s">
        <v>71</v>
      </c>
      <c r="E896" s="45" t="s">
        <v>3938</v>
      </c>
      <c r="F896" s="42"/>
      <c r="G896" s="50"/>
      <c r="H896" s="42"/>
      <c r="I896" s="42"/>
    </row>
    <row r="897" spans="1:9" ht="15.75" customHeight="1">
      <c r="A897" s="42" t="s">
        <v>22</v>
      </c>
      <c r="B897" s="1" t="s">
        <v>4125</v>
      </c>
      <c r="C897" s="43">
        <v>5020332</v>
      </c>
      <c r="D897" s="1" t="s">
        <v>71</v>
      </c>
      <c r="E897" s="45" t="s">
        <v>3520</v>
      </c>
      <c r="F897" s="42"/>
      <c r="G897" s="50"/>
      <c r="H897" s="42"/>
      <c r="I897" s="42"/>
    </row>
    <row r="898" spans="1:9" ht="15.75" customHeight="1">
      <c r="A898" s="42" t="s">
        <v>22</v>
      </c>
      <c r="B898" s="1" t="s">
        <v>4125</v>
      </c>
      <c r="C898" s="43">
        <v>563968</v>
      </c>
      <c r="D898" s="1" t="s">
        <v>71</v>
      </c>
      <c r="E898" s="45" t="s">
        <v>3523</v>
      </c>
      <c r="F898" s="42"/>
      <c r="G898" s="50"/>
      <c r="H898" s="42"/>
      <c r="I898" s="42"/>
    </row>
    <row r="899" spans="1:9" ht="15.75" customHeight="1">
      <c r="A899" s="42" t="s">
        <v>22</v>
      </c>
      <c r="B899" s="1" t="s">
        <v>4125</v>
      </c>
      <c r="C899" s="43">
        <v>2949106</v>
      </c>
      <c r="D899" s="1" t="s">
        <v>83</v>
      </c>
      <c r="E899" s="45" t="s">
        <v>4126</v>
      </c>
      <c r="F899" s="42"/>
      <c r="G899" s="50"/>
      <c r="H899" s="42"/>
      <c r="I899" s="42"/>
    </row>
    <row r="900" spans="1:9" ht="15.75" customHeight="1">
      <c r="A900" s="42" t="s">
        <v>22</v>
      </c>
      <c r="B900" s="1" t="s">
        <v>4125</v>
      </c>
      <c r="C900" s="43">
        <v>672276</v>
      </c>
      <c r="D900" s="1" t="s">
        <v>71</v>
      </c>
      <c r="E900" s="45" t="s">
        <v>3525</v>
      </c>
      <c r="F900" s="42"/>
      <c r="G900" s="50"/>
      <c r="H900" s="42"/>
      <c r="I900" s="42"/>
    </row>
    <row r="901" spans="1:9" ht="15.75" customHeight="1">
      <c r="A901" s="42" t="s">
        <v>22</v>
      </c>
      <c r="B901" s="1" t="s">
        <v>4125</v>
      </c>
      <c r="C901" s="43">
        <v>2923226</v>
      </c>
      <c r="D901" s="1" t="s">
        <v>71</v>
      </c>
      <c r="E901" s="45" t="s">
        <v>3988</v>
      </c>
      <c r="F901" s="42"/>
      <c r="G901" s="50"/>
      <c r="H901" s="42"/>
      <c r="I901" s="42"/>
    </row>
    <row r="902" spans="1:9" ht="15.75" customHeight="1">
      <c r="A902" s="42" t="s">
        <v>22</v>
      </c>
      <c r="B902" s="1" t="s">
        <v>4125</v>
      </c>
      <c r="C902" s="43">
        <v>702517</v>
      </c>
      <c r="D902" s="1" t="s">
        <v>71</v>
      </c>
      <c r="E902" s="45" t="s">
        <v>3625</v>
      </c>
      <c r="F902" s="42"/>
      <c r="G902" s="50"/>
      <c r="H902" s="42"/>
      <c r="I902" s="42"/>
    </row>
    <row r="903" spans="1:9" ht="15.75" customHeight="1">
      <c r="A903" s="42" t="s">
        <v>22</v>
      </c>
      <c r="B903" s="1" t="s">
        <v>4125</v>
      </c>
      <c r="C903" s="43">
        <v>593045</v>
      </c>
      <c r="D903" s="1" t="s">
        <v>80</v>
      </c>
      <c r="E903" s="45" t="s">
        <v>3627</v>
      </c>
      <c r="F903" s="42"/>
      <c r="G903" s="50"/>
      <c r="H903" s="42"/>
      <c r="I903" s="42"/>
    </row>
    <row r="904" spans="1:9" ht="15.75" customHeight="1">
      <c r="A904" s="42" t="s">
        <v>22</v>
      </c>
      <c r="B904" s="1" t="s">
        <v>4125</v>
      </c>
      <c r="C904" s="43">
        <v>494021</v>
      </c>
      <c r="D904" s="1" t="s">
        <v>80</v>
      </c>
      <c r="E904" s="45" t="s">
        <v>3628</v>
      </c>
      <c r="F904" s="42"/>
      <c r="G904" s="50"/>
      <c r="H904" s="42"/>
      <c r="I904" s="42"/>
    </row>
    <row r="905" spans="1:9" ht="15.75" customHeight="1">
      <c r="A905" s="42" t="s">
        <v>22</v>
      </c>
      <c r="B905" s="1" t="s">
        <v>4125</v>
      </c>
      <c r="C905" s="43">
        <v>2921745</v>
      </c>
      <c r="D905" s="1" t="s">
        <v>83</v>
      </c>
      <c r="E905" s="45" t="s">
        <v>3629</v>
      </c>
      <c r="F905" s="42"/>
      <c r="G905" s="50"/>
      <c r="H905" s="42"/>
      <c r="I905" s="42"/>
    </row>
    <row r="906" spans="1:9" ht="15.75" customHeight="1">
      <c r="A906" s="42" t="s">
        <v>22</v>
      </c>
      <c r="B906" s="1" t="s">
        <v>4125</v>
      </c>
      <c r="C906" s="43">
        <v>2920902</v>
      </c>
      <c r="D906" s="1" t="s">
        <v>83</v>
      </c>
      <c r="E906" s="45" t="s">
        <v>3964</v>
      </c>
      <c r="F906" s="42"/>
      <c r="G906" s="50"/>
      <c r="H906" s="42"/>
      <c r="I906" s="42"/>
    </row>
    <row r="907" spans="1:9" ht="15.75" customHeight="1">
      <c r="A907" s="42" t="s">
        <v>22</v>
      </c>
      <c r="B907" s="1" t="s">
        <v>4125</v>
      </c>
      <c r="C907" s="43">
        <v>2232562</v>
      </c>
      <c r="D907" s="1" t="s">
        <v>71</v>
      </c>
      <c r="E907" s="45" t="s">
        <v>3638</v>
      </c>
      <c r="F907" s="190"/>
      <c r="G907" s="59"/>
      <c r="H907" s="188"/>
      <c r="I907" s="188"/>
    </row>
    <row r="908" spans="1:9" ht="15.75" customHeight="1">
      <c r="A908" s="42" t="s">
        <v>22</v>
      </c>
      <c r="B908" s="1" t="s">
        <v>4125</v>
      </c>
      <c r="C908" s="43">
        <v>5033458</v>
      </c>
      <c r="D908" s="1" t="s">
        <v>80</v>
      </c>
      <c r="E908" s="45" t="s">
        <v>3552</v>
      </c>
      <c r="F908" s="190"/>
      <c r="G908" s="59"/>
      <c r="H908" s="188"/>
      <c r="I908" s="188"/>
    </row>
    <row r="909" spans="1:9" ht="15.75" customHeight="1">
      <c r="A909" s="42" t="s">
        <v>22</v>
      </c>
      <c r="B909" s="1" t="s">
        <v>4125</v>
      </c>
      <c r="C909" s="43">
        <v>593896</v>
      </c>
      <c r="D909" s="1" t="s">
        <v>71</v>
      </c>
      <c r="E909" s="45" t="s">
        <v>3553</v>
      </c>
      <c r="F909" s="190"/>
      <c r="G909" s="59"/>
      <c r="H909" s="188"/>
      <c r="I909" s="188"/>
    </row>
    <row r="910" spans="1:9" ht="15.75" customHeight="1">
      <c r="A910" s="188" t="s">
        <v>23</v>
      </c>
      <c r="B910" s="189" t="s">
        <v>4127</v>
      </c>
      <c r="C910" s="190" t="s">
        <v>68</v>
      </c>
      <c r="D910" s="190" t="s">
        <v>62</v>
      </c>
      <c r="E910" s="56" t="s">
        <v>69</v>
      </c>
      <c r="F910" s="190"/>
      <c r="G910" s="48" t="s">
        <v>70</v>
      </c>
      <c r="H910" s="188"/>
      <c r="I910" s="188"/>
    </row>
    <row r="911" spans="1:9" ht="15.75" customHeight="1">
      <c r="A911" s="42" t="s">
        <v>23</v>
      </c>
      <c r="B911" s="1" t="s">
        <v>4127</v>
      </c>
      <c r="C911" s="43">
        <v>3013966</v>
      </c>
      <c r="D911" s="1" t="s">
        <v>80</v>
      </c>
      <c r="E911" s="49" t="s">
        <v>3950</v>
      </c>
      <c r="F911" s="42"/>
      <c r="G911" s="48" t="s">
        <v>3557</v>
      </c>
      <c r="H911" s="42"/>
      <c r="I911" s="42"/>
    </row>
    <row r="912" spans="1:9" ht="15.75" customHeight="1">
      <c r="A912" s="42" t="s">
        <v>23</v>
      </c>
      <c r="B912" s="1" t="s">
        <v>4127</v>
      </c>
      <c r="C912" s="43">
        <v>5018592</v>
      </c>
      <c r="D912" s="1" t="s">
        <v>90</v>
      </c>
      <c r="E912" s="45" t="s">
        <v>3955</v>
      </c>
      <c r="F912" s="42"/>
      <c r="G912" s="48" t="s">
        <v>4128</v>
      </c>
      <c r="H912" s="42"/>
      <c r="I912" s="42"/>
    </row>
    <row r="913" spans="1:9" ht="15.75" customHeight="1">
      <c r="A913" s="42" t="s">
        <v>23</v>
      </c>
      <c r="B913" s="1" t="s">
        <v>4127</v>
      </c>
      <c r="C913" s="43">
        <v>2921212</v>
      </c>
      <c r="D913" s="1" t="s">
        <v>80</v>
      </c>
      <c r="E913" s="157" t="s">
        <v>4129</v>
      </c>
      <c r="F913" s="42"/>
      <c r="G913" s="48" t="s">
        <v>4130</v>
      </c>
      <c r="H913" s="42"/>
      <c r="I913" s="42"/>
    </row>
    <row r="914" spans="1:9" ht="15.75" customHeight="1">
      <c r="A914" s="42" t="s">
        <v>23</v>
      </c>
      <c r="B914" s="1" t="s">
        <v>4127</v>
      </c>
      <c r="C914" s="43">
        <v>2815032</v>
      </c>
      <c r="D914" s="1" t="s">
        <v>80</v>
      </c>
      <c r="E914" s="45" t="s">
        <v>3567</v>
      </c>
      <c r="F914" s="42"/>
      <c r="G914" s="131"/>
      <c r="H914" s="42"/>
      <c r="I914" s="42"/>
    </row>
    <row r="915" spans="1:9" ht="15.75" customHeight="1">
      <c r="A915" s="42" t="s">
        <v>23</v>
      </c>
      <c r="B915" s="1" t="s">
        <v>4127</v>
      </c>
      <c r="C915" s="43">
        <v>2930143</v>
      </c>
      <c r="D915" s="1" t="s">
        <v>83</v>
      </c>
      <c r="E915" s="45" t="s">
        <v>4131</v>
      </c>
      <c r="F915" s="42"/>
      <c r="G915" s="50"/>
      <c r="H915" s="42"/>
      <c r="I915" s="42"/>
    </row>
    <row r="916" spans="1:9" ht="15.75" customHeight="1">
      <c r="A916" s="42" t="s">
        <v>23</v>
      </c>
      <c r="B916" s="1" t="s">
        <v>4127</v>
      </c>
      <c r="C916" s="43">
        <v>2951126</v>
      </c>
      <c r="D916" s="1" t="s">
        <v>80</v>
      </c>
      <c r="E916" s="45" t="s">
        <v>3985</v>
      </c>
      <c r="F916" s="42"/>
      <c r="G916" s="50"/>
      <c r="H916" s="42"/>
      <c r="I916" s="42"/>
    </row>
    <row r="917" spans="1:9" ht="15.75" customHeight="1">
      <c r="A917" s="42" t="s">
        <v>23</v>
      </c>
      <c r="B917" s="1" t="s">
        <v>4127</v>
      </c>
      <c r="C917" s="43">
        <v>3130117</v>
      </c>
      <c r="D917" s="1" t="s">
        <v>80</v>
      </c>
      <c r="E917" s="45" t="s">
        <v>3987</v>
      </c>
      <c r="F917" s="42"/>
      <c r="G917" s="50"/>
      <c r="H917" s="42"/>
      <c r="I917" s="42"/>
    </row>
    <row r="918" spans="1:9" ht="15.75" customHeight="1">
      <c r="A918" s="42" t="s">
        <v>23</v>
      </c>
      <c r="B918" s="1" t="s">
        <v>4127</v>
      </c>
      <c r="C918" s="43">
        <v>2841286</v>
      </c>
      <c r="D918" s="1" t="s">
        <v>80</v>
      </c>
      <c r="E918" s="45" t="s">
        <v>3615</v>
      </c>
      <c r="F918" s="42"/>
      <c r="G918" s="50"/>
      <c r="H918" s="42"/>
      <c r="I918" s="42"/>
    </row>
    <row r="919" spans="1:9" ht="15.75" customHeight="1">
      <c r="A919" s="42" t="s">
        <v>23</v>
      </c>
      <c r="B919" s="1" t="s">
        <v>4127</v>
      </c>
      <c r="C919" s="43">
        <v>2433096</v>
      </c>
      <c r="D919" s="1" t="s">
        <v>83</v>
      </c>
      <c r="E919" s="49" t="s">
        <v>3960</v>
      </c>
      <c r="F919" s="42"/>
      <c r="G919" s="50"/>
      <c r="H919" s="42"/>
      <c r="I919" s="42"/>
    </row>
    <row r="920" spans="1:9" ht="15.75" customHeight="1">
      <c r="A920" s="42" t="s">
        <v>23</v>
      </c>
      <c r="B920" s="1" t="s">
        <v>4127</v>
      </c>
      <c r="C920" s="43">
        <v>397362</v>
      </c>
      <c r="D920" s="1" t="s">
        <v>80</v>
      </c>
      <c r="E920" s="45" t="s">
        <v>3575</v>
      </c>
      <c r="F920" s="42"/>
      <c r="G920" s="50"/>
      <c r="H920" s="42"/>
      <c r="I920" s="42"/>
    </row>
    <row r="921" spans="1:9" ht="15.75" customHeight="1">
      <c r="A921" s="42" t="s">
        <v>23</v>
      </c>
      <c r="B921" s="1" t="s">
        <v>4127</v>
      </c>
      <c r="C921" s="43">
        <v>553345</v>
      </c>
      <c r="D921" s="1" t="s">
        <v>80</v>
      </c>
      <c r="E921" s="45" t="s">
        <v>3961</v>
      </c>
      <c r="F921" s="42"/>
      <c r="G921" s="50"/>
      <c r="H921" s="42"/>
      <c r="I921" s="42"/>
    </row>
    <row r="922" spans="1:9" ht="15.75" customHeight="1">
      <c r="A922" s="42" t="s">
        <v>23</v>
      </c>
      <c r="B922" s="1" t="s">
        <v>4127</v>
      </c>
      <c r="C922" s="43">
        <v>593919</v>
      </c>
      <c r="D922" s="1" t="s">
        <v>80</v>
      </c>
      <c r="E922" s="45" t="s">
        <v>3621</v>
      </c>
      <c r="F922" s="42"/>
      <c r="G922" s="50"/>
      <c r="H922" s="42"/>
      <c r="I922" s="42"/>
    </row>
    <row r="923" spans="1:9" ht="15.75" customHeight="1">
      <c r="A923" s="42" t="s">
        <v>23</v>
      </c>
      <c r="B923" s="1" t="s">
        <v>4127</v>
      </c>
      <c r="C923" s="43">
        <v>2923226</v>
      </c>
      <c r="D923" s="1" t="s">
        <v>71</v>
      </c>
      <c r="E923" s="45" t="s">
        <v>3988</v>
      </c>
      <c r="F923" s="42"/>
      <c r="G923" s="50"/>
      <c r="H923" s="42"/>
      <c r="I923" s="42"/>
    </row>
    <row r="924" spans="1:9" ht="15.75" customHeight="1">
      <c r="A924" s="42" t="s">
        <v>23</v>
      </c>
      <c r="B924" s="1" t="s">
        <v>4127</v>
      </c>
      <c r="C924" s="43">
        <v>423478</v>
      </c>
      <c r="D924" s="1" t="s">
        <v>71</v>
      </c>
      <c r="E924" s="45" t="s">
        <v>3582</v>
      </c>
      <c r="F924" s="42"/>
      <c r="G924" s="50"/>
      <c r="H924" s="42"/>
      <c r="I924" s="42"/>
    </row>
    <row r="925" spans="1:9" ht="15.75" customHeight="1">
      <c r="A925" s="42" t="s">
        <v>23</v>
      </c>
      <c r="B925" s="1" t="s">
        <v>4127</v>
      </c>
      <c r="C925" s="43">
        <v>195408</v>
      </c>
      <c r="D925" s="1" t="s">
        <v>80</v>
      </c>
      <c r="E925" s="45" t="s">
        <v>3677</v>
      </c>
      <c r="F925" s="190"/>
      <c r="G925" s="59"/>
      <c r="H925" s="188"/>
      <c r="I925" s="188"/>
    </row>
    <row r="926" spans="1:9" ht="15.75" customHeight="1">
      <c r="A926" s="42" t="s">
        <v>23</v>
      </c>
      <c r="B926" s="1" t="s">
        <v>4127</v>
      </c>
      <c r="C926" s="43">
        <v>2398093</v>
      </c>
      <c r="D926" s="1" t="s">
        <v>83</v>
      </c>
      <c r="E926" s="45" t="s">
        <v>4132</v>
      </c>
      <c r="F926" s="190"/>
      <c r="G926" s="59"/>
      <c r="H926" s="188"/>
      <c r="I926" s="188"/>
    </row>
    <row r="927" spans="1:9" ht="15.75" customHeight="1">
      <c r="A927" s="42" t="s">
        <v>23</v>
      </c>
      <c r="B927" s="1" t="s">
        <v>4127</v>
      </c>
      <c r="C927" s="43">
        <v>5018536</v>
      </c>
      <c r="D927" s="1" t="s">
        <v>83</v>
      </c>
      <c r="E927" s="45" t="s">
        <v>3736</v>
      </c>
      <c r="F927" s="190"/>
      <c r="G927" s="59"/>
      <c r="H927" s="188"/>
      <c r="I927" s="188"/>
    </row>
    <row r="928" spans="1:9" ht="15.75" customHeight="1">
      <c r="A928" s="42" t="s">
        <v>23</v>
      </c>
      <c r="B928" s="1" t="s">
        <v>4127</v>
      </c>
      <c r="C928" s="43">
        <v>2385098</v>
      </c>
      <c r="D928" s="1" t="s">
        <v>80</v>
      </c>
      <c r="E928" s="157" t="s">
        <v>4133</v>
      </c>
      <c r="F928" s="190"/>
      <c r="G928" s="59"/>
      <c r="H928" s="188"/>
      <c r="I928" s="188"/>
    </row>
    <row r="929" spans="1:9" ht="15.75" customHeight="1">
      <c r="A929" s="42" t="s">
        <v>23</v>
      </c>
      <c r="B929" s="1" t="s">
        <v>4127</v>
      </c>
      <c r="C929" s="43">
        <v>593052</v>
      </c>
      <c r="D929" s="1" t="s">
        <v>71</v>
      </c>
      <c r="E929" s="45" t="s">
        <v>3545</v>
      </c>
      <c r="F929" s="190"/>
      <c r="G929" s="59"/>
      <c r="H929" s="188"/>
      <c r="I929" s="188"/>
    </row>
    <row r="930" spans="1:9" ht="15.75" customHeight="1">
      <c r="A930" s="42" t="s">
        <v>23</v>
      </c>
      <c r="B930" s="1" t="s">
        <v>4127</v>
      </c>
      <c r="C930" s="43">
        <v>641774</v>
      </c>
      <c r="D930" s="1" t="s">
        <v>71</v>
      </c>
      <c r="E930" s="45" t="s">
        <v>3548</v>
      </c>
      <c r="F930" s="190"/>
      <c r="G930" s="59"/>
      <c r="H930" s="188"/>
      <c r="I930" s="188"/>
    </row>
    <row r="931" spans="1:9" ht="15.75" customHeight="1">
      <c r="A931" s="42" t="s">
        <v>23</v>
      </c>
      <c r="B931" s="1" t="s">
        <v>4127</v>
      </c>
      <c r="C931" s="43">
        <v>2434087</v>
      </c>
      <c r="D931" s="1" t="s">
        <v>83</v>
      </c>
      <c r="E931" s="49" t="s">
        <v>3732</v>
      </c>
      <c r="F931" s="190"/>
      <c r="G931" s="59"/>
      <c r="H931" s="188"/>
      <c r="I931" s="188"/>
    </row>
    <row r="932" spans="1:9" ht="15.75" customHeight="1">
      <c r="A932" s="188" t="s">
        <v>24</v>
      </c>
      <c r="B932" s="189" t="s">
        <v>4134</v>
      </c>
      <c r="C932" s="190" t="s">
        <v>68</v>
      </c>
      <c r="D932" s="190" t="s">
        <v>62</v>
      </c>
      <c r="E932" s="56" t="s">
        <v>69</v>
      </c>
      <c r="F932" s="190"/>
      <c r="G932" s="48" t="s">
        <v>70</v>
      </c>
      <c r="H932" s="188"/>
      <c r="I932" s="188"/>
    </row>
    <row r="933" spans="1:9" ht="15.75" customHeight="1">
      <c r="A933" s="42" t="s">
        <v>24</v>
      </c>
      <c r="B933" s="1" t="s">
        <v>4134</v>
      </c>
      <c r="C933" s="43">
        <v>533419</v>
      </c>
      <c r="D933" s="1" t="s">
        <v>80</v>
      </c>
      <c r="E933" s="45" t="s">
        <v>3684</v>
      </c>
      <c r="F933" s="42"/>
      <c r="G933" s="48" t="s">
        <v>3683</v>
      </c>
      <c r="H933" s="42"/>
      <c r="I933" s="42"/>
    </row>
    <row r="934" spans="1:9" ht="15.75" customHeight="1">
      <c r="A934" s="42" t="s">
        <v>24</v>
      </c>
      <c r="B934" s="1" t="s">
        <v>4134</v>
      </c>
      <c r="C934" s="43">
        <v>3001833</v>
      </c>
      <c r="D934" s="1" t="s">
        <v>83</v>
      </c>
      <c r="E934" s="49" t="s">
        <v>4135</v>
      </c>
      <c r="F934" s="42"/>
      <c r="G934" s="50"/>
      <c r="H934" s="42"/>
      <c r="I934" s="42"/>
    </row>
    <row r="935" spans="1:9" ht="15.75" customHeight="1">
      <c r="A935" s="42" t="s">
        <v>24</v>
      </c>
      <c r="B935" s="1" t="s">
        <v>4134</v>
      </c>
      <c r="C935" s="43">
        <v>2919496</v>
      </c>
      <c r="D935" s="1" t="s">
        <v>101</v>
      </c>
      <c r="E935" s="45" t="s">
        <v>3690</v>
      </c>
      <c r="F935" s="42"/>
      <c r="G935" s="50"/>
      <c r="H935" s="42"/>
      <c r="I935" s="42"/>
    </row>
    <row r="936" spans="1:9" ht="15.75" customHeight="1">
      <c r="A936" s="42" t="s">
        <v>24</v>
      </c>
      <c r="B936" s="1" t="s">
        <v>4134</v>
      </c>
      <c r="C936" s="43">
        <v>793649</v>
      </c>
      <c r="D936" s="1" t="s">
        <v>80</v>
      </c>
      <c r="E936" s="45" t="s">
        <v>4136</v>
      </c>
      <c r="F936" s="42"/>
      <c r="G936" s="50"/>
      <c r="H936" s="42"/>
      <c r="I936" s="42"/>
    </row>
    <row r="937" spans="1:9" ht="15.75" customHeight="1">
      <c r="A937" s="42" t="s">
        <v>24</v>
      </c>
      <c r="B937" s="1" t="s">
        <v>4134</v>
      </c>
      <c r="C937" s="43">
        <v>460323</v>
      </c>
      <c r="D937" s="1" t="s">
        <v>83</v>
      </c>
      <c r="E937" s="45" t="s">
        <v>4137</v>
      </c>
      <c r="F937" s="42"/>
      <c r="G937" s="50"/>
      <c r="H937" s="42"/>
      <c r="I937" s="42"/>
    </row>
    <row r="938" spans="1:9" ht="15.75" customHeight="1">
      <c r="A938" s="42" t="s">
        <v>24</v>
      </c>
      <c r="B938" s="1" t="s">
        <v>4134</v>
      </c>
      <c r="C938" s="43">
        <v>561066</v>
      </c>
      <c r="D938" s="1" t="s">
        <v>83</v>
      </c>
      <c r="E938" s="45" t="s">
        <v>3756</v>
      </c>
      <c r="F938" s="42"/>
      <c r="G938" s="50"/>
      <c r="H938" s="42"/>
      <c r="I938" s="42"/>
    </row>
    <row r="939" spans="1:9" ht="15.75" customHeight="1">
      <c r="A939" s="42" t="s">
        <v>24</v>
      </c>
      <c r="B939" s="1" t="s">
        <v>4134</v>
      </c>
      <c r="C939" s="43">
        <v>2921212</v>
      </c>
      <c r="D939" s="1" t="s">
        <v>80</v>
      </c>
      <c r="E939" s="157" t="s">
        <v>4129</v>
      </c>
      <c r="F939" s="42"/>
      <c r="G939" s="50"/>
      <c r="H939" s="42"/>
      <c r="I939" s="42"/>
    </row>
    <row r="940" spans="1:9" ht="15.75" customHeight="1">
      <c r="A940" s="42" t="s">
        <v>24</v>
      </c>
      <c r="B940" s="1" t="s">
        <v>4134</v>
      </c>
      <c r="C940" s="43">
        <v>461917</v>
      </c>
      <c r="D940" s="1" t="s">
        <v>80</v>
      </c>
      <c r="E940" s="45" t="s">
        <v>3694</v>
      </c>
      <c r="F940" s="42"/>
      <c r="G940" s="50"/>
      <c r="H940" s="42"/>
      <c r="I940" s="42"/>
    </row>
    <row r="941" spans="1:9" ht="15.75" customHeight="1">
      <c r="A941" s="42" t="s">
        <v>24</v>
      </c>
      <c r="B941" s="1" t="s">
        <v>4134</v>
      </c>
      <c r="C941" s="43">
        <v>2390267</v>
      </c>
      <c r="D941" s="1" t="s">
        <v>80</v>
      </c>
      <c r="E941" s="49" t="s">
        <v>4138</v>
      </c>
      <c r="F941" s="42"/>
      <c r="G941" s="50"/>
      <c r="H941" s="42"/>
      <c r="I941" s="42"/>
    </row>
    <row r="942" spans="1:9" ht="15.75" customHeight="1">
      <c r="A942" s="42" t="s">
        <v>24</v>
      </c>
      <c r="B942" s="1" t="s">
        <v>4134</v>
      </c>
      <c r="C942" s="43">
        <v>2921359</v>
      </c>
      <c r="D942" s="1" t="s">
        <v>83</v>
      </c>
      <c r="E942" s="45" t="s">
        <v>3711</v>
      </c>
      <c r="G942" s="50"/>
    </row>
    <row r="943" spans="1:9" ht="15.75" customHeight="1">
      <c r="A943" s="42" t="s">
        <v>24</v>
      </c>
      <c r="B943" s="1" t="s">
        <v>4134</v>
      </c>
      <c r="C943" s="43">
        <v>2951128</v>
      </c>
      <c r="D943" s="1" t="s">
        <v>83</v>
      </c>
      <c r="E943" s="157" t="s">
        <v>3721</v>
      </c>
      <c r="G943" s="50"/>
    </row>
    <row r="944" spans="1:9" ht="15.75" customHeight="1">
      <c r="A944" s="42" t="s">
        <v>24</v>
      </c>
      <c r="B944" s="1" t="s">
        <v>4134</v>
      </c>
      <c r="C944" s="43">
        <v>501013</v>
      </c>
      <c r="D944" s="1" t="s">
        <v>80</v>
      </c>
      <c r="E944" s="45" t="s">
        <v>4139</v>
      </c>
      <c r="G944" s="50"/>
    </row>
    <row r="945" spans="1:7" ht="15.75" customHeight="1">
      <c r="A945" s="42" t="s">
        <v>24</v>
      </c>
      <c r="B945" s="1" t="s">
        <v>4134</v>
      </c>
      <c r="C945" s="43">
        <v>393155</v>
      </c>
      <c r="D945" s="1" t="s">
        <v>101</v>
      </c>
      <c r="E945" s="45" t="s">
        <v>3803</v>
      </c>
      <c r="G945" s="50"/>
    </row>
    <row r="946" spans="1:7" ht="15.75" customHeight="1">
      <c r="A946" s="42" t="s">
        <v>24</v>
      </c>
      <c r="B946" s="1" t="s">
        <v>4134</v>
      </c>
      <c r="C946" s="43">
        <v>195157</v>
      </c>
      <c r="D946" s="1" t="s">
        <v>80</v>
      </c>
      <c r="E946" s="45" t="s">
        <v>3729</v>
      </c>
      <c r="G946" s="50"/>
    </row>
    <row r="947" spans="1:7" ht="15.75" customHeight="1">
      <c r="A947" s="42" t="s">
        <v>24</v>
      </c>
      <c r="B947" s="1" t="s">
        <v>4134</v>
      </c>
      <c r="C947" s="43">
        <v>2293216</v>
      </c>
      <c r="D947" s="1" t="s">
        <v>80</v>
      </c>
      <c r="E947" s="45" t="s">
        <v>4140</v>
      </c>
      <c r="G947" s="50"/>
    </row>
    <row r="948" spans="1:7" ht="15.75" customHeight="1">
      <c r="A948" s="42" t="s">
        <v>24</v>
      </c>
      <c r="B948" s="1" t="s">
        <v>4134</v>
      </c>
      <c r="C948" s="43">
        <v>448326</v>
      </c>
      <c r="D948" s="1" t="s">
        <v>83</v>
      </c>
      <c r="E948" s="45" t="s">
        <v>4141</v>
      </c>
      <c r="G948" s="50"/>
    </row>
    <row r="949" spans="1:7" ht="15.75" customHeight="1">
      <c r="A949" s="120" t="s">
        <v>25</v>
      </c>
      <c r="B949" s="189" t="s">
        <v>4142</v>
      </c>
      <c r="C949" s="190" t="s">
        <v>68</v>
      </c>
      <c r="D949" s="190" t="s">
        <v>62</v>
      </c>
      <c r="E949" s="56" t="s">
        <v>69</v>
      </c>
      <c r="F949" s="190"/>
      <c r="G949" s="190" t="s">
        <v>70</v>
      </c>
    </row>
    <row r="950" spans="1:7" ht="15.75" customHeight="1">
      <c r="A950" s="120" t="s">
        <v>25</v>
      </c>
      <c r="B950" s="1" t="s">
        <v>4142</v>
      </c>
      <c r="C950" s="43">
        <v>3147744</v>
      </c>
      <c r="D950" s="1" t="s">
        <v>83</v>
      </c>
      <c r="E950" s="45" t="s">
        <v>4143</v>
      </c>
      <c r="G950" s="193" t="s">
        <v>528</v>
      </c>
    </row>
    <row r="951" spans="1:7" ht="34">
      <c r="A951" s="120" t="s">
        <v>25</v>
      </c>
      <c r="B951" s="1" t="s">
        <v>4142</v>
      </c>
      <c r="C951" s="43">
        <v>3147743</v>
      </c>
      <c r="D951" s="1" t="s">
        <v>83</v>
      </c>
      <c r="E951" s="45" t="s">
        <v>4144</v>
      </c>
    </row>
    <row r="952" spans="1:7" ht="15.75" customHeight="1">
      <c r="A952" s="120" t="s">
        <v>25</v>
      </c>
      <c r="B952" s="1" t="s">
        <v>4142</v>
      </c>
      <c r="C952" s="43">
        <v>3144647</v>
      </c>
      <c r="D952" s="1" t="s">
        <v>83</v>
      </c>
      <c r="E952" s="45" t="s">
        <v>4145</v>
      </c>
      <c r="G952" s="46"/>
    </row>
    <row r="953" spans="1:7" ht="15.75" customHeight="1">
      <c r="A953" s="120" t="s">
        <v>25</v>
      </c>
      <c r="B953" s="1" t="s">
        <v>4142</v>
      </c>
      <c r="C953" s="43">
        <v>3144648</v>
      </c>
      <c r="D953" s="1" t="s">
        <v>83</v>
      </c>
      <c r="E953" s="45" t="s">
        <v>4146</v>
      </c>
      <c r="G953" s="46"/>
    </row>
    <row r="954" spans="1:7" ht="15.75" customHeight="1">
      <c r="A954" s="120" t="s">
        <v>25</v>
      </c>
      <c r="B954" s="1" t="s">
        <v>4142</v>
      </c>
      <c r="C954" s="43">
        <v>2803013</v>
      </c>
      <c r="D954" s="1" t="s">
        <v>80</v>
      </c>
      <c r="E954" s="45" t="s">
        <v>3506</v>
      </c>
      <c r="G954" s="46"/>
    </row>
    <row r="955" spans="1:7" ht="15.75" customHeight="1">
      <c r="A955" s="120" t="s">
        <v>25</v>
      </c>
      <c r="B955" s="1" t="s">
        <v>4142</v>
      </c>
      <c r="C955" s="43">
        <v>2384409</v>
      </c>
      <c r="D955" s="1" t="s">
        <v>80</v>
      </c>
      <c r="E955" s="45" t="s">
        <v>4147</v>
      </c>
      <c r="G955" s="46"/>
    </row>
    <row r="956" spans="1:7" ht="15.75" customHeight="1">
      <c r="A956" s="120" t="s">
        <v>25</v>
      </c>
      <c r="B956" s="1" t="s">
        <v>4142</v>
      </c>
      <c r="C956" s="43">
        <v>678927</v>
      </c>
      <c r="D956" s="1" t="s">
        <v>80</v>
      </c>
      <c r="E956" s="45" t="s">
        <v>3564</v>
      </c>
      <c r="G956" s="46"/>
    </row>
    <row r="957" spans="1:7" ht="15.75" customHeight="1">
      <c r="A957" s="120" t="s">
        <v>25</v>
      </c>
      <c r="B957" s="1" t="s">
        <v>4142</v>
      </c>
      <c r="C957" s="43">
        <v>778406</v>
      </c>
      <c r="D957" s="1" t="s">
        <v>80</v>
      </c>
      <c r="E957" s="45" t="s">
        <v>3521</v>
      </c>
      <c r="G957" s="46"/>
    </row>
    <row r="958" spans="1:7" ht="15.75" customHeight="1">
      <c r="A958" s="120" t="s">
        <v>25</v>
      </c>
      <c r="B958" s="1" t="s">
        <v>4142</v>
      </c>
      <c r="C958" s="43">
        <v>2386055</v>
      </c>
      <c r="D958" s="1" t="s">
        <v>80</v>
      </c>
      <c r="E958" s="45" t="s">
        <v>4148</v>
      </c>
      <c r="G958" s="46"/>
    </row>
    <row r="959" spans="1:7" ht="15.75" customHeight="1">
      <c r="A959" s="120" t="s">
        <v>25</v>
      </c>
      <c r="B959" s="1" t="s">
        <v>4142</v>
      </c>
      <c r="C959" s="43">
        <v>2386054</v>
      </c>
      <c r="D959" s="1" t="s">
        <v>80</v>
      </c>
      <c r="E959" s="49" t="s">
        <v>4149</v>
      </c>
      <c r="G959" s="46"/>
    </row>
    <row r="960" spans="1:7" ht="15.75" customHeight="1">
      <c r="A960" s="120" t="s">
        <v>25</v>
      </c>
      <c r="B960" s="1" t="s">
        <v>4142</v>
      </c>
      <c r="C960" s="43">
        <v>2820214</v>
      </c>
      <c r="D960" s="1" t="s">
        <v>83</v>
      </c>
      <c r="E960" s="45" t="s">
        <v>3528</v>
      </c>
      <c r="G960" s="46"/>
    </row>
    <row r="961" spans="1:7" ht="15.75" customHeight="1">
      <c r="A961" s="120" t="s">
        <v>25</v>
      </c>
      <c r="B961" s="1" t="s">
        <v>4142</v>
      </c>
      <c r="C961" s="43">
        <v>3103623</v>
      </c>
      <c r="D961" s="1" t="s">
        <v>80</v>
      </c>
      <c r="E961" s="45" t="s">
        <v>3580</v>
      </c>
      <c r="G961" s="46"/>
    </row>
    <row r="962" spans="1:7" ht="15.75" customHeight="1">
      <c r="A962" s="120" t="s">
        <v>25</v>
      </c>
      <c r="B962" s="1" t="s">
        <v>4142</v>
      </c>
      <c r="C962" s="43">
        <v>2832040</v>
      </c>
      <c r="D962" s="1" t="s">
        <v>80</v>
      </c>
      <c r="E962" s="49" t="s">
        <v>4150</v>
      </c>
      <c r="G962" s="46"/>
    </row>
    <row r="963" spans="1:7" ht="15.75" customHeight="1">
      <c r="A963" s="120" t="s">
        <v>25</v>
      </c>
      <c r="B963" s="1" t="s">
        <v>4142</v>
      </c>
      <c r="C963" s="43">
        <v>2877212</v>
      </c>
      <c r="D963" s="1" t="s">
        <v>80</v>
      </c>
      <c r="E963" s="45" t="s">
        <v>3529</v>
      </c>
      <c r="G963" s="46"/>
    </row>
    <row r="964" spans="1:7" ht="15.75" customHeight="1">
      <c r="A964" s="120" t="s">
        <v>25</v>
      </c>
      <c r="B964" s="1" t="s">
        <v>4142</v>
      </c>
      <c r="C964" s="43">
        <v>2921745</v>
      </c>
      <c r="D964" s="1" t="s">
        <v>83</v>
      </c>
      <c r="E964" s="45" t="s">
        <v>3629</v>
      </c>
      <c r="G964" s="46"/>
    </row>
    <row r="965" spans="1:7" ht="15.75" customHeight="1">
      <c r="A965" s="120" t="s">
        <v>25</v>
      </c>
      <c r="B965" s="1" t="s">
        <v>4142</v>
      </c>
      <c r="C965" s="43">
        <v>3164219</v>
      </c>
      <c r="D965" s="1" t="s">
        <v>80</v>
      </c>
      <c r="E965" s="49" t="s">
        <v>3719</v>
      </c>
      <c r="G965" s="46"/>
    </row>
    <row r="966" spans="1:7" ht="15.75" customHeight="1">
      <c r="A966" s="120" t="s">
        <v>25</v>
      </c>
      <c r="B966" s="1" t="s">
        <v>4142</v>
      </c>
      <c r="C966" s="43">
        <v>2928474</v>
      </c>
      <c r="D966" s="1" t="s">
        <v>83</v>
      </c>
      <c r="E966" s="45" t="s">
        <v>3583</v>
      </c>
      <c r="G966" s="46"/>
    </row>
    <row r="967" spans="1:7" ht="15.75" customHeight="1">
      <c r="A967" s="120" t="s">
        <v>25</v>
      </c>
      <c r="B967" s="1" t="s">
        <v>4142</v>
      </c>
      <c r="C967" s="43">
        <v>428606</v>
      </c>
      <c r="D967" s="1" t="s">
        <v>80</v>
      </c>
      <c r="E967" s="45" t="s">
        <v>3535</v>
      </c>
      <c r="G967" s="46"/>
    </row>
    <row r="968" spans="1:7" ht="15.75" customHeight="1">
      <c r="A968" s="120" t="s">
        <v>25</v>
      </c>
      <c r="B968" s="1" t="s">
        <v>4142</v>
      </c>
      <c r="C968" s="43">
        <v>2878063</v>
      </c>
      <c r="D968" s="1" t="s">
        <v>80</v>
      </c>
      <c r="E968" s="45" t="s">
        <v>3536</v>
      </c>
      <c r="G968" s="46"/>
    </row>
    <row r="969" spans="1:7" ht="15.75" customHeight="1">
      <c r="A969" s="120" t="s">
        <v>25</v>
      </c>
      <c r="B969" s="1" t="s">
        <v>4142</v>
      </c>
      <c r="C969" s="43">
        <v>3103622</v>
      </c>
      <c r="D969" s="1" t="s">
        <v>80</v>
      </c>
      <c r="E969" s="45" t="s">
        <v>3584</v>
      </c>
      <c r="G969" s="46"/>
    </row>
    <row r="970" spans="1:7" ht="15.75" customHeight="1">
      <c r="A970" s="120" t="s">
        <v>25</v>
      </c>
      <c r="B970" s="1" t="s">
        <v>4142</v>
      </c>
      <c r="C970" s="43">
        <v>2419440</v>
      </c>
      <c r="D970" s="1" t="s">
        <v>80</v>
      </c>
      <c r="E970" s="49" t="s">
        <v>3585</v>
      </c>
      <c r="G970" s="46"/>
    </row>
    <row r="971" spans="1:7" ht="15.75" customHeight="1">
      <c r="A971" s="120" t="s">
        <v>25</v>
      </c>
      <c r="B971" s="1" t="s">
        <v>4142</v>
      </c>
      <c r="C971" s="43">
        <v>3151140</v>
      </c>
      <c r="D971" s="1" t="s">
        <v>80</v>
      </c>
      <c r="E971" s="45" t="s">
        <v>3586</v>
      </c>
      <c r="G971" s="46"/>
    </row>
  </sheetData>
  <autoFilter ref="A1:I971" xr:uid="{00000000-0009-0000-0000-000008000000}"/>
  <hyperlinks>
    <hyperlink ref="E3" r:id="rId1" xr:uid="{00000000-0004-0000-0800-000000000000}"/>
    <hyperlink ref="G3" r:id="rId2" xr:uid="{00000000-0004-0000-0800-000001000000}"/>
    <hyperlink ref="E4" r:id="rId3" xr:uid="{00000000-0004-0000-0800-000002000000}"/>
    <hyperlink ref="G4" r:id="rId4" xr:uid="{00000000-0004-0000-0800-000003000000}"/>
    <hyperlink ref="E5" r:id="rId5" xr:uid="{00000000-0004-0000-0800-000004000000}"/>
    <hyperlink ref="G5" r:id="rId6" xr:uid="{00000000-0004-0000-0800-000005000000}"/>
    <hyperlink ref="E6" r:id="rId7" xr:uid="{00000000-0004-0000-0800-000006000000}"/>
    <hyperlink ref="G6" r:id="rId8" xr:uid="{00000000-0004-0000-0800-000007000000}"/>
    <hyperlink ref="E7" r:id="rId9" xr:uid="{00000000-0004-0000-0800-000008000000}"/>
    <hyperlink ref="E8" r:id="rId10" xr:uid="{00000000-0004-0000-0800-000009000000}"/>
    <hyperlink ref="E9" r:id="rId11" xr:uid="{00000000-0004-0000-0800-00000A000000}"/>
    <hyperlink ref="E10" r:id="rId12" xr:uid="{00000000-0004-0000-0800-00000B000000}"/>
    <hyperlink ref="E11" r:id="rId13" xr:uid="{00000000-0004-0000-0800-00000C000000}"/>
    <hyperlink ref="E12" r:id="rId14" xr:uid="{00000000-0004-0000-0800-00000D000000}"/>
    <hyperlink ref="E13" r:id="rId15" xr:uid="{00000000-0004-0000-0800-00000E000000}"/>
    <hyperlink ref="E14" r:id="rId16" xr:uid="{00000000-0004-0000-0800-00000F000000}"/>
    <hyperlink ref="E15" r:id="rId17" xr:uid="{00000000-0004-0000-0800-000010000000}"/>
    <hyperlink ref="E16" r:id="rId18" xr:uid="{00000000-0004-0000-0800-000011000000}"/>
    <hyperlink ref="E17" r:id="rId19" xr:uid="{00000000-0004-0000-0800-000012000000}"/>
    <hyperlink ref="E18" r:id="rId20" xr:uid="{00000000-0004-0000-0800-000013000000}"/>
    <hyperlink ref="E19" r:id="rId21" xr:uid="{00000000-0004-0000-0800-000014000000}"/>
    <hyperlink ref="E20" r:id="rId22" xr:uid="{00000000-0004-0000-0800-000015000000}"/>
    <hyperlink ref="E21" r:id="rId23" xr:uid="{00000000-0004-0000-0800-000016000000}"/>
    <hyperlink ref="E22" r:id="rId24" xr:uid="{00000000-0004-0000-0800-000017000000}"/>
    <hyperlink ref="E23" r:id="rId25" xr:uid="{00000000-0004-0000-0800-000018000000}"/>
    <hyperlink ref="E24" r:id="rId26" xr:uid="{00000000-0004-0000-0800-000019000000}"/>
    <hyperlink ref="E25" r:id="rId27" xr:uid="{00000000-0004-0000-0800-00001A000000}"/>
    <hyperlink ref="E26" r:id="rId28" xr:uid="{00000000-0004-0000-0800-00001B000000}"/>
    <hyperlink ref="E27" r:id="rId29" xr:uid="{00000000-0004-0000-0800-00001C000000}"/>
    <hyperlink ref="E28" r:id="rId30" xr:uid="{00000000-0004-0000-0800-00001D000000}"/>
    <hyperlink ref="E29" r:id="rId31" xr:uid="{00000000-0004-0000-0800-00001E000000}"/>
    <hyperlink ref="E30" r:id="rId32" xr:uid="{00000000-0004-0000-0800-00001F000000}"/>
    <hyperlink ref="E31" r:id="rId33" xr:uid="{00000000-0004-0000-0800-000020000000}"/>
    <hyperlink ref="E32" r:id="rId34" xr:uid="{00000000-0004-0000-0800-000021000000}"/>
    <hyperlink ref="E33" r:id="rId35" xr:uid="{00000000-0004-0000-0800-000022000000}"/>
    <hyperlink ref="E34" r:id="rId36" xr:uid="{00000000-0004-0000-0800-000023000000}"/>
    <hyperlink ref="E35" r:id="rId37" xr:uid="{00000000-0004-0000-0800-000024000000}"/>
    <hyperlink ref="E36" r:id="rId38" xr:uid="{00000000-0004-0000-0800-000025000000}"/>
    <hyperlink ref="E37" r:id="rId39" xr:uid="{00000000-0004-0000-0800-000026000000}"/>
    <hyperlink ref="E38" r:id="rId40" xr:uid="{00000000-0004-0000-0800-000027000000}"/>
    <hyperlink ref="E39" r:id="rId41" xr:uid="{00000000-0004-0000-0800-000028000000}"/>
    <hyperlink ref="E40" r:id="rId42" xr:uid="{00000000-0004-0000-0800-000029000000}"/>
    <hyperlink ref="E41" r:id="rId43" xr:uid="{00000000-0004-0000-0800-00002A000000}"/>
    <hyperlink ref="E42" r:id="rId44" xr:uid="{00000000-0004-0000-0800-00002B000000}"/>
    <hyperlink ref="E43" r:id="rId45" xr:uid="{00000000-0004-0000-0800-00002C000000}"/>
    <hyperlink ref="E44" r:id="rId46" xr:uid="{00000000-0004-0000-0800-00002D000000}"/>
    <hyperlink ref="E45" r:id="rId47" xr:uid="{00000000-0004-0000-0800-00002E000000}"/>
    <hyperlink ref="E46" r:id="rId48" xr:uid="{00000000-0004-0000-0800-00002F000000}"/>
    <hyperlink ref="E48" r:id="rId49" xr:uid="{00000000-0004-0000-0800-000030000000}"/>
    <hyperlink ref="G48" r:id="rId50" xr:uid="{00000000-0004-0000-0800-000031000000}"/>
    <hyperlink ref="E49" r:id="rId51" xr:uid="{00000000-0004-0000-0800-000032000000}"/>
    <hyperlink ref="G49" r:id="rId52" xr:uid="{00000000-0004-0000-0800-000033000000}"/>
    <hyperlink ref="E50" r:id="rId53" xr:uid="{00000000-0004-0000-0800-000034000000}"/>
    <hyperlink ref="G50" r:id="rId54" xr:uid="{00000000-0004-0000-0800-000035000000}"/>
    <hyperlink ref="E51" r:id="rId55" xr:uid="{00000000-0004-0000-0800-000036000000}"/>
    <hyperlink ref="G51" r:id="rId56" xr:uid="{00000000-0004-0000-0800-000037000000}"/>
    <hyperlink ref="E52" r:id="rId57" xr:uid="{00000000-0004-0000-0800-000038000000}"/>
    <hyperlink ref="E53" r:id="rId58" xr:uid="{00000000-0004-0000-0800-000039000000}"/>
    <hyperlink ref="E54" r:id="rId59" xr:uid="{00000000-0004-0000-0800-00003A000000}"/>
    <hyperlink ref="E55" r:id="rId60" xr:uid="{00000000-0004-0000-0800-00003B000000}"/>
    <hyperlink ref="E56" r:id="rId61" xr:uid="{00000000-0004-0000-0800-00003C000000}"/>
    <hyperlink ref="E57" r:id="rId62" xr:uid="{00000000-0004-0000-0800-00003D000000}"/>
    <hyperlink ref="E58" r:id="rId63" xr:uid="{00000000-0004-0000-0800-00003E000000}"/>
    <hyperlink ref="E59" r:id="rId64" xr:uid="{00000000-0004-0000-0800-00003F000000}"/>
    <hyperlink ref="E60" r:id="rId65" xr:uid="{00000000-0004-0000-0800-000040000000}"/>
    <hyperlink ref="E61" r:id="rId66" xr:uid="{00000000-0004-0000-0800-000041000000}"/>
    <hyperlink ref="E62" r:id="rId67" xr:uid="{00000000-0004-0000-0800-000042000000}"/>
    <hyperlink ref="E63" r:id="rId68" xr:uid="{00000000-0004-0000-0800-000043000000}"/>
    <hyperlink ref="E64" r:id="rId69" xr:uid="{00000000-0004-0000-0800-000044000000}"/>
    <hyperlink ref="E65" r:id="rId70" xr:uid="{00000000-0004-0000-0800-000045000000}"/>
    <hyperlink ref="E66" r:id="rId71" xr:uid="{00000000-0004-0000-0800-000046000000}"/>
    <hyperlink ref="E67" r:id="rId72" xr:uid="{00000000-0004-0000-0800-000047000000}"/>
    <hyperlink ref="E68" r:id="rId73" xr:uid="{00000000-0004-0000-0800-000048000000}"/>
    <hyperlink ref="E69" r:id="rId74" xr:uid="{00000000-0004-0000-0800-000049000000}"/>
    <hyperlink ref="E70" r:id="rId75" xr:uid="{00000000-0004-0000-0800-00004A000000}"/>
    <hyperlink ref="E71" r:id="rId76" xr:uid="{00000000-0004-0000-0800-00004B000000}"/>
    <hyperlink ref="E72" r:id="rId77" xr:uid="{00000000-0004-0000-0800-00004C000000}"/>
    <hyperlink ref="E73" r:id="rId78" xr:uid="{00000000-0004-0000-0800-00004D000000}"/>
    <hyperlink ref="E74" r:id="rId79" xr:uid="{00000000-0004-0000-0800-00004E000000}"/>
    <hyperlink ref="E75" r:id="rId80" xr:uid="{00000000-0004-0000-0800-00004F000000}"/>
    <hyperlink ref="E76" r:id="rId81" xr:uid="{00000000-0004-0000-0800-000050000000}"/>
    <hyperlink ref="E77" r:id="rId82" xr:uid="{00000000-0004-0000-0800-000051000000}"/>
    <hyperlink ref="E78" r:id="rId83" xr:uid="{00000000-0004-0000-0800-000052000000}"/>
    <hyperlink ref="E79" r:id="rId84" xr:uid="{00000000-0004-0000-0800-000053000000}"/>
    <hyperlink ref="E80" r:id="rId85" xr:uid="{00000000-0004-0000-0800-000054000000}"/>
    <hyperlink ref="E81" r:id="rId86" xr:uid="{00000000-0004-0000-0800-000055000000}"/>
    <hyperlink ref="E82" r:id="rId87" xr:uid="{00000000-0004-0000-0800-000056000000}"/>
    <hyperlink ref="E83" r:id="rId88" xr:uid="{00000000-0004-0000-0800-000057000000}"/>
    <hyperlink ref="E85" r:id="rId89" xr:uid="{00000000-0004-0000-0800-000058000000}"/>
    <hyperlink ref="G85" r:id="rId90" xr:uid="{00000000-0004-0000-0800-000059000000}"/>
    <hyperlink ref="E86" r:id="rId91" xr:uid="{00000000-0004-0000-0800-00005A000000}"/>
    <hyperlink ref="G86" r:id="rId92" xr:uid="{00000000-0004-0000-0800-00005B000000}"/>
    <hyperlink ref="E87" r:id="rId93" xr:uid="{00000000-0004-0000-0800-00005C000000}"/>
    <hyperlink ref="G87" r:id="rId94" xr:uid="{00000000-0004-0000-0800-00005D000000}"/>
    <hyperlink ref="E88" r:id="rId95" xr:uid="{00000000-0004-0000-0800-00005E000000}"/>
    <hyperlink ref="G88" r:id="rId96" xr:uid="{00000000-0004-0000-0800-00005F000000}"/>
    <hyperlink ref="E89" r:id="rId97" xr:uid="{00000000-0004-0000-0800-000060000000}"/>
    <hyperlink ref="G89" r:id="rId98" xr:uid="{00000000-0004-0000-0800-000061000000}"/>
    <hyperlink ref="E90" r:id="rId99" xr:uid="{00000000-0004-0000-0800-000062000000}"/>
    <hyperlink ref="G90" r:id="rId100" xr:uid="{00000000-0004-0000-0800-000063000000}"/>
    <hyperlink ref="E91" r:id="rId101" xr:uid="{00000000-0004-0000-0800-000064000000}"/>
    <hyperlink ref="G91" r:id="rId102" xr:uid="{00000000-0004-0000-0800-000065000000}"/>
    <hyperlink ref="E92" r:id="rId103" xr:uid="{00000000-0004-0000-0800-000066000000}"/>
    <hyperlink ref="E93" r:id="rId104" xr:uid="{00000000-0004-0000-0800-000067000000}"/>
    <hyperlink ref="E94" r:id="rId105" xr:uid="{00000000-0004-0000-0800-000068000000}"/>
    <hyperlink ref="E95" r:id="rId106" xr:uid="{00000000-0004-0000-0800-000069000000}"/>
    <hyperlink ref="E96" r:id="rId107" xr:uid="{00000000-0004-0000-0800-00006A000000}"/>
    <hyperlink ref="E97" r:id="rId108" xr:uid="{00000000-0004-0000-0800-00006B000000}"/>
    <hyperlink ref="E98" r:id="rId109" xr:uid="{00000000-0004-0000-0800-00006C000000}"/>
    <hyperlink ref="E99" r:id="rId110" xr:uid="{00000000-0004-0000-0800-00006D000000}"/>
    <hyperlink ref="E100" r:id="rId111" xr:uid="{00000000-0004-0000-0800-00006E000000}"/>
    <hyperlink ref="E101" r:id="rId112" xr:uid="{00000000-0004-0000-0800-00006F000000}"/>
    <hyperlink ref="E102" r:id="rId113" xr:uid="{00000000-0004-0000-0800-000070000000}"/>
    <hyperlink ref="E103" r:id="rId114" xr:uid="{00000000-0004-0000-0800-000071000000}"/>
    <hyperlink ref="E104" r:id="rId115" xr:uid="{00000000-0004-0000-0800-000072000000}"/>
    <hyperlink ref="E105" r:id="rId116" xr:uid="{00000000-0004-0000-0800-000073000000}"/>
    <hyperlink ref="E106" r:id="rId117" xr:uid="{00000000-0004-0000-0800-000074000000}"/>
    <hyperlink ref="E107" r:id="rId118" xr:uid="{00000000-0004-0000-0800-000075000000}"/>
    <hyperlink ref="E108" r:id="rId119" xr:uid="{00000000-0004-0000-0800-000076000000}"/>
    <hyperlink ref="E109" r:id="rId120" xr:uid="{00000000-0004-0000-0800-000077000000}"/>
    <hyperlink ref="E110" r:id="rId121" xr:uid="{00000000-0004-0000-0800-000078000000}"/>
    <hyperlink ref="E111" r:id="rId122" xr:uid="{00000000-0004-0000-0800-000079000000}"/>
    <hyperlink ref="E112" r:id="rId123" xr:uid="{00000000-0004-0000-0800-00007A000000}"/>
    <hyperlink ref="E113" r:id="rId124" xr:uid="{00000000-0004-0000-0800-00007B000000}"/>
    <hyperlink ref="E114" r:id="rId125" xr:uid="{00000000-0004-0000-0800-00007C000000}"/>
    <hyperlink ref="E115" r:id="rId126" xr:uid="{00000000-0004-0000-0800-00007D000000}"/>
    <hyperlink ref="E116" r:id="rId127" xr:uid="{00000000-0004-0000-0800-00007E000000}"/>
    <hyperlink ref="E117" r:id="rId128" xr:uid="{00000000-0004-0000-0800-00007F000000}"/>
    <hyperlink ref="E118" r:id="rId129" xr:uid="{00000000-0004-0000-0800-000080000000}"/>
    <hyperlink ref="E119" r:id="rId130" xr:uid="{00000000-0004-0000-0800-000081000000}"/>
    <hyperlink ref="E120" r:id="rId131" xr:uid="{00000000-0004-0000-0800-000082000000}"/>
    <hyperlink ref="E121" r:id="rId132" xr:uid="{00000000-0004-0000-0800-000083000000}"/>
    <hyperlink ref="E122" r:id="rId133" xr:uid="{00000000-0004-0000-0800-000084000000}"/>
    <hyperlink ref="E123" r:id="rId134" xr:uid="{00000000-0004-0000-0800-000085000000}"/>
    <hyperlink ref="E124" r:id="rId135" xr:uid="{00000000-0004-0000-0800-000086000000}"/>
    <hyperlink ref="E125" r:id="rId136" xr:uid="{00000000-0004-0000-0800-000087000000}"/>
    <hyperlink ref="E126" r:id="rId137" xr:uid="{00000000-0004-0000-0800-000088000000}"/>
    <hyperlink ref="E127" r:id="rId138" xr:uid="{00000000-0004-0000-0800-000089000000}"/>
    <hyperlink ref="E128" r:id="rId139" xr:uid="{00000000-0004-0000-0800-00008A000000}"/>
    <hyperlink ref="E129" r:id="rId140" xr:uid="{00000000-0004-0000-0800-00008B000000}"/>
    <hyperlink ref="E130" r:id="rId141" xr:uid="{00000000-0004-0000-0800-00008C000000}"/>
    <hyperlink ref="E131" r:id="rId142" xr:uid="{00000000-0004-0000-0800-00008D000000}"/>
    <hyperlink ref="E132" r:id="rId143" xr:uid="{00000000-0004-0000-0800-00008E000000}"/>
    <hyperlink ref="E133" r:id="rId144" xr:uid="{00000000-0004-0000-0800-00008F000000}"/>
    <hyperlink ref="E134" r:id="rId145" xr:uid="{00000000-0004-0000-0800-000090000000}"/>
    <hyperlink ref="E135" r:id="rId146" xr:uid="{00000000-0004-0000-0800-000091000000}"/>
    <hyperlink ref="E136" r:id="rId147" xr:uid="{00000000-0004-0000-0800-000092000000}"/>
    <hyperlink ref="E137" r:id="rId148" xr:uid="{00000000-0004-0000-0800-000093000000}"/>
    <hyperlink ref="E138" r:id="rId149" xr:uid="{00000000-0004-0000-0800-000094000000}"/>
    <hyperlink ref="E139" r:id="rId150" xr:uid="{00000000-0004-0000-0800-000095000000}"/>
    <hyperlink ref="E140" r:id="rId151" xr:uid="{00000000-0004-0000-0800-000096000000}"/>
    <hyperlink ref="E141" r:id="rId152" xr:uid="{00000000-0004-0000-0800-000097000000}"/>
    <hyperlink ref="E142" r:id="rId153" xr:uid="{00000000-0004-0000-0800-000098000000}"/>
    <hyperlink ref="E143" r:id="rId154" xr:uid="{00000000-0004-0000-0800-000099000000}"/>
    <hyperlink ref="E144" r:id="rId155" xr:uid="{00000000-0004-0000-0800-00009A000000}"/>
    <hyperlink ref="E145" r:id="rId156" xr:uid="{00000000-0004-0000-0800-00009B000000}"/>
    <hyperlink ref="E146" r:id="rId157" xr:uid="{00000000-0004-0000-0800-00009C000000}"/>
    <hyperlink ref="E147" r:id="rId158" xr:uid="{00000000-0004-0000-0800-00009D000000}"/>
    <hyperlink ref="E148" r:id="rId159" xr:uid="{00000000-0004-0000-0800-00009E000000}"/>
    <hyperlink ref="E150" r:id="rId160" xr:uid="{00000000-0004-0000-0800-00009F000000}"/>
    <hyperlink ref="G150" r:id="rId161" xr:uid="{00000000-0004-0000-0800-0000A0000000}"/>
    <hyperlink ref="E151" r:id="rId162" xr:uid="{00000000-0004-0000-0800-0000A1000000}"/>
    <hyperlink ref="G151" r:id="rId163" xr:uid="{00000000-0004-0000-0800-0000A2000000}"/>
    <hyperlink ref="E152" r:id="rId164" xr:uid="{00000000-0004-0000-0800-0000A3000000}"/>
    <hyperlink ref="E153" r:id="rId165" xr:uid="{00000000-0004-0000-0800-0000A4000000}"/>
    <hyperlink ref="E154" r:id="rId166" xr:uid="{00000000-0004-0000-0800-0000A5000000}"/>
    <hyperlink ref="E155" r:id="rId167" xr:uid="{00000000-0004-0000-0800-0000A6000000}"/>
    <hyperlink ref="E156" r:id="rId168" xr:uid="{00000000-0004-0000-0800-0000A7000000}"/>
    <hyperlink ref="E157" r:id="rId169" xr:uid="{00000000-0004-0000-0800-0000A8000000}"/>
    <hyperlink ref="E158" r:id="rId170" xr:uid="{00000000-0004-0000-0800-0000A9000000}"/>
    <hyperlink ref="E159" r:id="rId171" xr:uid="{00000000-0004-0000-0800-0000AA000000}"/>
    <hyperlink ref="E160" r:id="rId172" xr:uid="{00000000-0004-0000-0800-0000AB000000}"/>
    <hyperlink ref="E161" r:id="rId173" xr:uid="{00000000-0004-0000-0800-0000AC000000}"/>
    <hyperlink ref="E162" r:id="rId174" xr:uid="{00000000-0004-0000-0800-0000AD000000}"/>
    <hyperlink ref="E163" r:id="rId175" xr:uid="{00000000-0004-0000-0800-0000AE000000}"/>
    <hyperlink ref="E164" r:id="rId176" xr:uid="{00000000-0004-0000-0800-0000AF000000}"/>
    <hyperlink ref="E165" r:id="rId177" xr:uid="{00000000-0004-0000-0800-0000B0000000}"/>
    <hyperlink ref="E166" r:id="rId178" xr:uid="{00000000-0004-0000-0800-0000B1000000}"/>
    <hyperlink ref="E167" r:id="rId179" xr:uid="{00000000-0004-0000-0800-0000B2000000}"/>
    <hyperlink ref="E168" r:id="rId180" xr:uid="{00000000-0004-0000-0800-0000B3000000}"/>
    <hyperlink ref="E169" r:id="rId181" xr:uid="{00000000-0004-0000-0800-0000B4000000}"/>
    <hyperlink ref="E170" r:id="rId182" xr:uid="{00000000-0004-0000-0800-0000B5000000}"/>
    <hyperlink ref="E171" r:id="rId183" xr:uid="{00000000-0004-0000-0800-0000B6000000}"/>
    <hyperlink ref="E172" r:id="rId184" xr:uid="{00000000-0004-0000-0800-0000B7000000}"/>
    <hyperlink ref="E173" r:id="rId185" xr:uid="{00000000-0004-0000-0800-0000B8000000}"/>
    <hyperlink ref="E174" r:id="rId186" xr:uid="{00000000-0004-0000-0800-0000B9000000}"/>
    <hyperlink ref="E175" r:id="rId187" xr:uid="{00000000-0004-0000-0800-0000BA000000}"/>
    <hyperlink ref="E176" r:id="rId188" xr:uid="{00000000-0004-0000-0800-0000BB000000}"/>
    <hyperlink ref="E177" r:id="rId189" xr:uid="{00000000-0004-0000-0800-0000BC000000}"/>
    <hyperlink ref="E178" r:id="rId190" xr:uid="{00000000-0004-0000-0800-0000BD000000}"/>
    <hyperlink ref="E179" r:id="rId191" xr:uid="{00000000-0004-0000-0800-0000BE000000}"/>
    <hyperlink ref="E180" r:id="rId192" xr:uid="{00000000-0004-0000-0800-0000BF000000}"/>
    <hyperlink ref="E181" r:id="rId193" xr:uid="{00000000-0004-0000-0800-0000C0000000}"/>
    <hyperlink ref="E182" r:id="rId194" xr:uid="{00000000-0004-0000-0800-0000C1000000}"/>
    <hyperlink ref="E183" r:id="rId195" xr:uid="{00000000-0004-0000-0800-0000C2000000}"/>
    <hyperlink ref="E184" r:id="rId196" xr:uid="{00000000-0004-0000-0800-0000C3000000}"/>
    <hyperlink ref="E185" r:id="rId197" xr:uid="{00000000-0004-0000-0800-0000C4000000}"/>
    <hyperlink ref="E186" r:id="rId198" xr:uid="{00000000-0004-0000-0800-0000C5000000}"/>
    <hyperlink ref="E187" r:id="rId199" xr:uid="{00000000-0004-0000-0800-0000C6000000}"/>
    <hyperlink ref="E188" r:id="rId200" xr:uid="{00000000-0004-0000-0800-0000C7000000}"/>
    <hyperlink ref="E189" r:id="rId201" xr:uid="{00000000-0004-0000-0800-0000C8000000}"/>
    <hyperlink ref="E190" r:id="rId202" xr:uid="{00000000-0004-0000-0800-0000C9000000}"/>
    <hyperlink ref="E191" r:id="rId203" xr:uid="{00000000-0004-0000-0800-0000CA000000}"/>
    <hyperlink ref="E192" r:id="rId204" xr:uid="{00000000-0004-0000-0800-0000CB000000}"/>
    <hyperlink ref="E193" r:id="rId205" xr:uid="{00000000-0004-0000-0800-0000CC000000}"/>
    <hyperlink ref="E194" r:id="rId206" xr:uid="{00000000-0004-0000-0800-0000CD000000}"/>
    <hyperlink ref="E195" r:id="rId207" xr:uid="{00000000-0004-0000-0800-0000CE000000}"/>
    <hyperlink ref="E196" r:id="rId208" xr:uid="{00000000-0004-0000-0800-0000CF000000}"/>
    <hyperlink ref="E197" r:id="rId209" xr:uid="{00000000-0004-0000-0800-0000D0000000}"/>
    <hyperlink ref="E198" r:id="rId210" xr:uid="{00000000-0004-0000-0800-0000D1000000}"/>
    <hyperlink ref="E200" r:id="rId211" xr:uid="{00000000-0004-0000-0800-0000D2000000}"/>
    <hyperlink ref="G200" r:id="rId212" xr:uid="{00000000-0004-0000-0800-0000D3000000}"/>
    <hyperlink ref="E201" r:id="rId213" xr:uid="{00000000-0004-0000-0800-0000D4000000}"/>
    <hyperlink ref="G201" r:id="rId214" xr:uid="{00000000-0004-0000-0800-0000D5000000}"/>
    <hyperlink ref="E202" r:id="rId215" xr:uid="{00000000-0004-0000-0800-0000D6000000}"/>
    <hyperlink ref="G202" r:id="rId216" xr:uid="{00000000-0004-0000-0800-0000D7000000}"/>
    <hyperlink ref="E203" r:id="rId217" xr:uid="{00000000-0004-0000-0800-0000D8000000}"/>
    <hyperlink ref="G203" r:id="rId218" xr:uid="{00000000-0004-0000-0800-0000D9000000}"/>
    <hyperlink ref="E204" r:id="rId219" xr:uid="{00000000-0004-0000-0800-0000DA000000}"/>
    <hyperlink ref="E205" r:id="rId220" xr:uid="{00000000-0004-0000-0800-0000DB000000}"/>
    <hyperlink ref="E206" r:id="rId221" xr:uid="{00000000-0004-0000-0800-0000DC000000}"/>
    <hyperlink ref="E207" r:id="rId222" xr:uid="{00000000-0004-0000-0800-0000DD000000}"/>
    <hyperlink ref="E208" r:id="rId223" xr:uid="{00000000-0004-0000-0800-0000DE000000}"/>
    <hyperlink ref="E209" r:id="rId224" xr:uid="{00000000-0004-0000-0800-0000DF000000}"/>
    <hyperlink ref="E210" r:id="rId225" xr:uid="{00000000-0004-0000-0800-0000E0000000}"/>
    <hyperlink ref="E211" r:id="rId226" xr:uid="{00000000-0004-0000-0800-0000E1000000}"/>
    <hyperlink ref="E212" r:id="rId227" xr:uid="{00000000-0004-0000-0800-0000E2000000}"/>
    <hyperlink ref="E213" r:id="rId228" xr:uid="{00000000-0004-0000-0800-0000E3000000}"/>
    <hyperlink ref="E214" r:id="rId229" xr:uid="{00000000-0004-0000-0800-0000E4000000}"/>
    <hyperlink ref="E215" r:id="rId230" xr:uid="{00000000-0004-0000-0800-0000E5000000}"/>
    <hyperlink ref="E216" r:id="rId231" xr:uid="{00000000-0004-0000-0800-0000E6000000}"/>
    <hyperlink ref="E217" r:id="rId232" xr:uid="{00000000-0004-0000-0800-0000E7000000}"/>
    <hyperlink ref="E218" r:id="rId233" xr:uid="{00000000-0004-0000-0800-0000E8000000}"/>
    <hyperlink ref="E219" r:id="rId234" xr:uid="{00000000-0004-0000-0800-0000E9000000}"/>
    <hyperlink ref="E220" r:id="rId235" xr:uid="{00000000-0004-0000-0800-0000EA000000}"/>
    <hyperlink ref="E221" r:id="rId236" xr:uid="{00000000-0004-0000-0800-0000EB000000}"/>
    <hyperlink ref="E222" r:id="rId237" xr:uid="{00000000-0004-0000-0800-0000EC000000}"/>
    <hyperlink ref="E223" r:id="rId238" xr:uid="{00000000-0004-0000-0800-0000ED000000}"/>
    <hyperlink ref="E224" r:id="rId239" xr:uid="{00000000-0004-0000-0800-0000EE000000}"/>
    <hyperlink ref="E225" r:id="rId240" xr:uid="{00000000-0004-0000-0800-0000EF000000}"/>
    <hyperlink ref="E226" r:id="rId241" xr:uid="{00000000-0004-0000-0800-0000F0000000}"/>
    <hyperlink ref="E227" r:id="rId242" xr:uid="{00000000-0004-0000-0800-0000F1000000}"/>
    <hyperlink ref="E228" r:id="rId243" xr:uid="{00000000-0004-0000-0800-0000F2000000}"/>
    <hyperlink ref="E229" r:id="rId244" xr:uid="{00000000-0004-0000-0800-0000F3000000}"/>
    <hyperlink ref="E230" r:id="rId245" xr:uid="{00000000-0004-0000-0800-0000F4000000}"/>
    <hyperlink ref="E231" r:id="rId246" xr:uid="{00000000-0004-0000-0800-0000F5000000}"/>
    <hyperlink ref="E232" r:id="rId247" xr:uid="{00000000-0004-0000-0800-0000F6000000}"/>
    <hyperlink ref="E233" r:id="rId248" xr:uid="{00000000-0004-0000-0800-0000F7000000}"/>
    <hyperlink ref="E234" r:id="rId249" xr:uid="{00000000-0004-0000-0800-0000F8000000}"/>
    <hyperlink ref="E235" r:id="rId250" xr:uid="{00000000-0004-0000-0800-0000F9000000}"/>
    <hyperlink ref="E236" r:id="rId251" xr:uid="{00000000-0004-0000-0800-0000FA000000}"/>
    <hyperlink ref="E237" r:id="rId252" xr:uid="{00000000-0004-0000-0800-0000FB000000}"/>
    <hyperlink ref="E238" r:id="rId253" xr:uid="{00000000-0004-0000-0800-0000FC000000}"/>
    <hyperlink ref="E239" r:id="rId254" xr:uid="{00000000-0004-0000-0800-0000FD000000}"/>
    <hyperlink ref="E240" r:id="rId255" xr:uid="{00000000-0004-0000-0800-0000FE000000}"/>
    <hyperlink ref="E241" r:id="rId256" xr:uid="{00000000-0004-0000-0800-0000FF000000}"/>
    <hyperlink ref="E242" r:id="rId257" xr:uid="{00000000-0004-0000-0800-000000010000}"/>
    <hyperlink ref="E243" r:id="rId258" xr:uid="{00000000-0004-0000-0800-000001010000}"/>
    <hyperlink ref="E244" r:id="rId259" xr:uid="{00000000-0004-0000-0800-000002010000}"/>
    <hyperlink ref="E245" r:id="rId260" xr:uid="{00000000-0004-0000-0800-000003010000}"/>
    <hyperlink ref="E246" r:id="rId261" xr:uid="{00000000-0004-0000-0800-000004010000}"/>
    <hyperlink ref="E247" r:id="rId262" xr:uid="{00000000-0004-0000-0800-000005010000}"/>
    <hyperlink ref="E248" r:id="rId263" xr:uid="{00000000-0004-0000-0800-000006010000}"/>
    <hyperlink ref="E249" r:id="rId264" xr:uid="{00000000-0004-0000-0800-000007010000}"/>
    <hyperlink ref="E250" r:id="rId265" xr:uid="{00000000-0004-0000-0800-000008010000}"/>
    <hyperlink ref="E251" r:id="rId266" xr:uid="{00000000-0004-0000-0800-000009010000}"/>
    <hyperlink ref="E252" r:id="rId267" xr:uid="{00000000-0004-0000-0800-00000A010000}"/>
    <hyperlink ref="E253" r:id="rId268" xr:uid="{00000000-0004-0000-0800-00000B010000}"/>
    <hyperlink ref="E254" r:id="rId269" xr:uid="{00000000-0004-0000-0800-00000C010000}"/>
    <hyperlink ref="E255" r:id="rId270" xr:uid="{00000000-0004-0000-0800-00000D010000}"/>
    <hyperlink ref="E256" r:id="rId271" xr:uid="{00000000-0004-0000-0800-00000E010000}"/>
    <hyperlink ref="E257" r:id="rId272" xr:uid="{00000000-0004-0000-0800-00000F010000}"/>
    <hyperlink ref="E258" r:id="rId273" xr:uid="{00000000-0004-0000-0800-000010010000}"/>
    <hyperlink ref="E259" r:id="rId274" xr:uid="{00000000-0004-0000-0800-000011010000}"/>
    <hyperlink ref="E260" r:id="rId275" xr:uid="{00000000-0004-0000-0800-000012010000}"/>
    <hyperlink ref="E261" r:id="rId276" xr:uid="{00000000-0004-0000-0800-000013010000}"/>
    <hyperlink ref="E262" r:id="rId277" xr:uid="{00000000-0004-0000-0800-000014010000}"/>
    <hyperlink ref="E263" r:id="rId278" xr:uid="{00000000-0004-0000-0800-000015010000}"/>
    <hyperlink ref="E265" r:id="rId279" xr:uid="{00000000-0004-0000-0800-000016010000}"/>
    <hyperlink ref="G265" r:id="rId280" xr:uid="{00000000-0004-0000-0800-000017010000}"/>
    <hyperlink ref="E266" r:id="rId281" xr:uid="{00000000-0004-0000-0800-000018010000}"/>
    <hyperlink ref="G266" r:id="rId282" xr:uid="{00000000-0004-0000-0800-000019010000}"/>
    <hyperlink ref="E267" r:id="rId283" xr:uid="{00000000-0004-0000-0800-00001A010000}"/>
    <hyperlink ref="E268" r:id="rId284" xr:uid="{00000000-0004-0000-0800-00001B010000}"/>
    <hyperlink ref="E269" r:id="rId285" xr:uid="{00000000-0004-0000-0800-00001C010000}"/>
    <hyperlink ref="E270" r:id="rId286" xr:uid="{00000000-0004-0000-0800-00001D010000}"/>
    <hyperlink ref="E271" r:id="rId287" xr:uid="{00000000-0004-0000-0800-00001E010000}"/>
    <hyperlink ref="E272" r:id="rId288" xr:uid="{00000000-0004-0000-0800-00001F010000}"/>
    <hyperlink ref="E273" r:id="rId289" xr:uid="{00000000-0004-0000-0800-000020010000}"/>
    <hyperlink ref="E274" r:id="rId290" xr:uid="{00000000-0004-0000-0800-000021010000}"/>
    <hyperlink ref="E275" r:id="rId291" xr:uid="{00000000-0004-0000-0800-000022010000}"/>
    <hyperlink ref="E276" r:id="rId292" xr:uid="{00000000-0004-0000-0800-000023010000}"/>
    <hyperlink ref="E277" r:id="rId293" xr:uid="{00000000-0004-0000-0800-000024010000}"/>
    <hyperlink ref="E278" r:id="rId294" xr:uid="{00000000-0004-0000-0800-000025010000}"/>
    <hyperlink ref="E279" r:id="rId295" xr:uid="{00000000-0004-0000-0800-000026010000}"/>
    <hyperlink ref="E280" r:id="rId296" xr:uid="{00000000-0004-0000-0800-000027010000}"/>
    <hyperlink ref="E281" r:id="rId297" xr:uid="{00000000-0004-0000-0800-000028010000}"/>
    <hyperlink ref="E283" r:id="rId298" xr:uid="{00000000-0004-0000-0800-000029010000}"/>
    <hyperlink ref="G283" r:id="rId299" xr:uid="{00000000-0004-0000-0800-00002A010000}"/>
    <hyperlink ref="E284" r:id="rId300" xr:uid="{00000000-0004-0000-0800-00002B010000}"/>
    <hyperlink ref="G284" r:id="rId301" xr:uid="{00000000-0004-0000-0800-00002C010000}"/>
    <hyperlink ref="E285" r:id="rId302" xr:uid="{00000000-0004-0000-0800-00002D010000}"/>
    <hyperlink ref="G285" r:id="rId303" xr:uid="{00000000-0004-0000-0800-00002E010000}"/>
    <hyperlink ref="E286" r:id="rId304" xr:uid="{00000000-0004-0000-0800-00002F010000}"/>
    <hyperlink ref="G286" r:id="rId305" xr:uid="{00000000-0004-0000-0800-000030010000}"/>
    <hyperlink ref="E287" r:id="rId306" xr:uid="{00000000-0004-0000-0800-000031010000}"/>
    <hyperlink ref="E288" r:id="rId307" xr:uid="{00000000-0004-0000-0800-000032010000}"/>
    <hyperlink ref="E289" r:id="rId308" xr:uid="{00000000-0004-0000-0800-000033010000}"/>
    <hyperlink ref="E290" r:id="rId309" xr:uid="{00000000-0004-0000-0800-000034010000}"/>
    <hyperlink ref="E291" r:id="rId310" xr:uid="{00000000-0004-0000-0800-000035010000}"/>
    <hyperlink ref="E292" r:id="rId311" xr:uid="{00000000-0004-0000-0800-000036010000}"/>
    <hyperlink ref="E293" r:id="rId312" xr:uid="{00000000-0004-0000-0800-000037010000}"/>
    <hyperlink ref="E294" r:id="rId313" xr:uid="{00000000-0004-0000-0800-000038010000}"/>
    <hyperlink ref="E295" r:id="rId314" xr:uid="{00000000-0004-0000-0800-000039010000}"/>
    <hyperlink ref="E296" r:id="rId315" xr:uid="{00000000-0004-0000-0800-00003A010000}"/>
    <hyperlink ref="E297" r:id="rId316" xr:uid="{00000000-0004-0000-0800-00003B010000}"/>
    <hyperlink ref="E298" r:id="rId317" xr:uid="{00000000-0004-0000-0800-00003C010000}"/>
    <hyperlink ref="E299" r:id="rId318" xr:uid="{00000000-0004-0000-0800-00003D010000}"/>
    <hyperlink ref="E300" r:id="rId319" xr:uid="{00000000-0004-0000-0800-00003E010000}"/>
    <hyperlink ref="E301" r:id="rId320" xr:uid="{00000000-0004-0000-0800-00003F010000}"/>
    <hyperlink ref="E302" r:id="rId321" xr:uid="{00000000-0004-0000-0800-000040010000}"/>
    <hyperlink ref="E303" r:id="rId322" xr:uid="{00000000-0004-0000-0800-000041010000}"/>
    <hyperlink ref="E304" r:id="rId323" xr:uid="{00000000-0004-0000-0800-000042010000}"/>
    <hyperlink ref="E305" r:id="rId324" xr:uid="{00000000-0004-0000-0800-000043010000}"/>
    <hyperlink ref="E306" r:id="rId325" xr:uid="{00000000-0004-0000-0800-000044010000}"/>
    <hyperlink ref="E307" r:id="rId326" xr:uid="{00000000-0004-0000-0800-000045010000}"/>
    <hyperlink ref="E308" r:id="rId327" xr:uid="{00000000-0004-0000-0800-000046010000}"/>
    <hyperlink ref="E309" r:id="rId328" xr:uid="{00000000-0004-0000-0800-000047010000}"/>
    <hyperlink ref="E310" r:id="rId329" xr:uid="{00000000-0004-0000-0800-000048010000}"/>
    <hyperlink ref="E311" r:id="rId330" xr:uid="{00000000-0004-0000-0800-000049010000}"/>
    <hyperlink ref="E312" r:id="rId331" xr:uid="{00000000-0004-0000-0800-00004A010000}"/>
    <hyperlink ref="E313" r:id="rId332" xr:uid="{00000000-0004-0000-0800-00004B010000}"/>
    <hyperlink ref="E314" r:id="rId333" xr:uid="{00000000-0004-0000-0800-00004C010000}"/>
    <hyperlink ref="E315" r:id="rId334" xr:uid="{00000000-0004-0000-0800-00004D010000}"/>
    <hyperlink ref="E316" r:id="rId335" xr:uid="{00000000-0004-0000-0800-00004E010000}"/>
    <hyperlink ref="E317" r:id="rId336" xr:uid="{00000000-0004-0000-0800-00004F010000}"/>
    <hyperlink ref="E318" r:id="rId337" xr:uid="{00000000-0004-0000-0800-000050010000}"/>
    <hyperlink ref="E319" r:id="rId338" xr:uid="{00000000-0004-0000-0800-000051010000}"/>
    <hyperlink ref="E320" r:id="rId339" xr:uid="{00000000-0004-0000-0800-000052010000}"/>
    <hyperlink ref="E321" r:id="rId340" xr:uid="{00000000-0004-0000-0800-000053010000}"/>
    <hyperlink ref="E322" r:id="rId341" xr:uid="{00000000-0004-0000-0800-000054010000}"/>
    <hyperlink ref="E323" r:id="rId342" xr:uid="{00000000-0004-0000-0800-000055010000}"/>
    <hyperlink ref="E324" r:id="rId343" xr:uid="{00000000-0004-0000-0800-000056010000}"/>
    <hyperlink ref="E325" r:id="rId344" xr:uid="{00000000-0004-0000-0800-000057010000}"/>
    <hyperlink ref="E326" r:id="rId345" xr:uid="{00000000-0004-0000-0800-000058010000}"/>
    <hyperlink ref="E327" r:id="rId346" xr:uid="{00000000-0004-0000-0800-000059010000}"/>
    <hyperlink ref="E328" r:id="rId347" xr:uid="{00000000-0004-0000-0800-00005A010000}"/>
    <hyperlink ref="E329" r:id="rId348" xr:uid="{00000000-0004-0000-0800-00005B010000}"/>
    <hyperlink ref="E330" r:id="rId349" xr:uid="{00000000-0004-0000-0800-00005C010000}"/>
    <hyperlink ref="E331" r:id="rId350" xr:uid="{00000000-0004-0000-0800-00005D010000}"/>
    <hyperlink ref="E332" r:id="rId351" xr:uid="{00000000-0004-0000-0800-00005E010000}"/>
    <hyperlink ref="E333" r:id="rId352" xr:uid="{00000000-0004-0000-0800-00005F010000}"/>
    <hyperlink ref="E334" r:id="rId353" xr:uid="{00000000-0004-0000-0800-000060010000}"/>
    <hyperlink ref="E335" r:id="rId354" xr:uid="{00000000-0004-0000-0800-000061010000}"/>
    <hyperlink ref="E336" r:id="rId355" xr:uid="{00000000-0004-0000-0800-000062010000}"/>
    <hyperlink ref="E337" r:id="rId356" xr:uid="{00000000-0004-0000-0800-000063010000}"/>
    <hyperlink ref="E338" r:id="rId357" xr:uid="{00000000-0004-0000-0800-000064010000}"/>
    <hyperlink ref="E339" r:id="rId358" xr:uid="{00000000-0004-0000-0800-000065010000}"/>
    <hyperlink ref="E340" r:id="rId359" xr:uid="{00000000-0004-0000-0800-000066010000}"/>
    <hyperlink ref="E341" r:id="rId360" xr:uid="{00000000-0004-0000-0800-000067010000}"/>
    <hyperlink ref="E342" r:id="rId361" xr:uid="{00000000-0004-0000-0800-000068010000}"/>
    <hyperlink ref="E343" r:id="rId362" xr:uid="{00000000-0004-0000-0800-000069010000}"/>
    <hyperlink ref="E344" r:id="rId363" xr:uid="{00000000-0004-0000-0800-00006A010000}"/>
    <hyperlink ref="E345" r:id="rId364" xr:uid="{00000000-0004-0000-0800-00006B010000}"/>
    <hyperlink ref="E346" r:id="rId365" xr:uid="{00000000-0004-0000-0800-00006C010000}"/>
    <hyperlink ref="E347" r:id="rId366" xr:uid="{00000000-0004-0000-0800-00006D010000}"/>
    <hyperlink ref="E348" r:id="rId367" xr:uid="{00000000-0004-0000-0800-00006E010000}"/>
    <hyperlink ref="E349" r:id="rId368" xr:uid="{00000000-0004-0000-0800-00006F010000}"/>
    <hyperlink ref="E350" r:id="rId369" xr:uid="{00000000-0004-0000-0800-000070010000}"/>
    <hyperlink ref="E351" r:id="rId370" xr:uid="{00000000-0004-0000-0800-000071010000}"/>
    <hyperlink ref="E352" r:id="rId371" xr:uid="{00000000-0004-0000-0800-000072010000}"/>
    <hyperlink ref="E353" r:id="rId372" xr:uid="{00000000-0004-0000-0800-000073010000}"/>
    <hyperlink ref="E354" r:id="rId373" xr:uid="{00000000-0004-0000-0800-000074010000}"/>
    <hyperlink ref="E355" r:id="rId374" xr:uid="{00000000-0004-0000-0800-000075010000}"/>
    <hyperlink ref="E356" r:id="rId375" xr:uid="{00000000-0004-0000-0800-000076010000}"/>
    <hyperlink ref="E357" r:id="rId376" xr:uid="{00000000-0004-0000-0800-000077010000}"/>
    <hyperlink ref="E358" r:id="rId377" xr:uid="{00000000-0004-0000-0800-000078010000}"/>
    <hyperlink ref="E359" r:id="rId378" xr:uid="{00000000-0004-0000-0800-000079010000}"/>
    <hyperlink ref="E360" r:id="rId379" xr:uid="{00000000-0004-0000-0800-00007A010000}"/>
    <hyperlink ref="E361" r:id="rId380" xr:uid="{00000000-0004-0000-0800-00007B010000}"/>
    <hyperlink ref="E362" r:id="rId381" xr:uid="{00000000-0004-0000-0800-00007C010000}"/>
    <hyperlink ref="E363" r:id="rId382" xr:uid="{00000000-0004-0000-0800-00007D010000}"/>
    <hyperlink ref="E364" r:id="rId383" xr:uid="{00000000-0004-0000-0800-00007E010000}"/>
    <hyperlink ref="E365" r:id="rId384" xr:uid="{00000000-0004-0000-0800-00007F010000}"/>
    <hyperlink ref="E366" r:id="rId385" xr:uid="{00000000-0004-0000-0800-000080010000}"/>
    <hyperlink ref="E367" r:id="rId386" xr:uid="{00000000-0004-0000-0800-000081010000}"/>
    <hyperlink ref="E368" r:id="rId387" xr:uid="{00000000-0004-0000-0800-000082010000}"/>
    <hyperlink ref="E369" r:id="rId388" xr:uid="{00000000-0004-0000-0800-000083010000}"/>
    <hyperlink ref="E371" r:id="rId389" xr:uid="{00000000-0004-0000-0800-000084010000}"/>
    <hyperlink ref="G371" r:id="rId390" xr:uid="{00000000-0004-0000-0800-000085010000}"/>
    <hyperlink ref="E372" r:id="rId391" xr:uid="{00000000-0004-0000-0800-000086010000}"/>
    <hyperlink ref="G372" r:id="rId392" xr:uid="{00000000-0004-0000-0800-000087010000}"/>
    <hyperlink ref="E373" r:id="rId393" xr:uid="{00000000-0004-0000-0800-000088010000}"/>
    <hyperlink ref="G373" r:id="rId394" xr:uid="{00000000-0004-0000-0800-000089010000}"/>
    <hyperlink ref="E374" r:id="rId395" xr:uid="{00000000-0004-0000-0800-00008A010000}"/>
    <hyperlink ref="G374" r:id="rId396" xr:uid="{00000000-0004-0000-0800-00008B010000}"/>
    <hyperlink ref="E375" r:id="rId397" xr:uid="{00000000-0004-0000-0800-00008C010000}"/>
    <hyperlink ref="E376" r:id="rId398" xr:uid="{00000000-0004-0000-0800-00008D010000}"/>
    <hyperlink ref="E377" r:id="rId399" xr:uid="{00000000-0004-0000-0800-00008E010000}"/>
    <hyperlink ref="E378" r:id="rId400" xr:uid="{00000000-0004-0000-0800-00008F010000}"/>
    <hyperlink ref="E379" r:id="rId401" xr:uid="{00000000-0004-0000-0800-000090010000}"/>
    <hyperlink ref="E380" r:id="rId402" xr:uid="{00000000-0004-0000-0800-000091010000}"/>
    <hyperlink ref="E381" r:id="rId403" xr:uid="{00000000-0004-0000-0800-000092010000}"/>
    <hyperlink ref="E382" r:id="rId404" xr:uid="{00000000-0004-0000-0800-000093010000}"/>
    <hyperlink ref="E383" r:id="rId405" xr:uid="{00000000-0004-0000-0800-000094010000}"/>
    <hyperlink ref="E384" r:id="rId406" xr:uid="{00000000-0004-0000-0800-000095010000}"/>
    <hyperlink ref="E385" r:id="rId407" xr:uid="{00000000-0004-0000-0800-000096010000}"/>
    <hyperlink ref="E386" r:id="rId408" xr:uid="{00000000-0004-0000-0800-000097010000}"/>
    <hyperlink ref="E387" r:id="rId409" xr:uid="{00000000-0004-0000-0800-000098010000}"/>
    <hyperlink ref="E388" r:id="rId410" xr:uid="{00000000-0004-0000-0800-000099010000}"/>
    <hyperlink ref="E389" r:id="rId411" xr:uid="{00000000-0004-0000-0800-00009A010000}"/>
    <hyperlink ref="E390" r:id="rId412" xr:uid="{00000000-0004-0000-0800-00009B010000}"/>
    <hyperlink ref="E391" r:id="rId413" xr:uid="{00000000-0004-0000-0800-00009C010000}"/>
    <hyperlink ref="E392" r:id="rId414" xr:uid="{00000000-0004-0000-0800-00009D010000}"/>
    <hyperlink ref="E393" r:id="rId415" xr:uid="{00000000-0004-0000-0800-00009E010000}"/>
    <hyperlink ref="E394" r:id="rId416" xr:uid="{00000000-0004-0000-0800-00009F010000}"/>
    <hyperlink ref="E396" r:id="rId417" xr:uid="{00000000-0004-0000-0800-0000A0010000}"/>
    <hyperlink ref="G396" r:id="rId418" xr:uid="{00000000-0004-0000-0800-0000A1010000}"/>
    <hyperlink ref="E397" r:id="rId419" xr:uid="{00000000-0004-0000-0800-0000A2010000}"/>
    <hyperlink ref="E398" r:id="rId420" xr:uid="{00000000-0004-0000-0800-0000A3010000}"/>
    <hyperlink ref="E399" r:id="rId421" xr:uid="{00000000-0004-0000-0800-0000A4010000}"/>
    <hyperlink ref="E400" r:id="rId422" xr:uid="{00000000-0004-0000-0800-0000A5010000}"/>
    <hyperlink ref="E401" r:id="rId423" xr:uid="{00000000-0004-0000-0800-0000A6010000}"/>
    <hyperlink ref="E402" r:id="rId424" xr:uid="{00000000-0004-0000-0800-0000A7010000}"/>
    <hyperlink ref="E403" r:id="rId425" xr:uid="{00000000-0004-0000-0800-0000A8010000}"/>
    <hyperlink ref="E404" r:id="rId426" xr:uid="{00000000-0004-0000-0800-0000A9010000}"/>
    <hyperlink ref="E405" r:id="rId427" xr:uid="{00000000-0004-0000-0800-0000AA010000}"/>
    <hyperlink ref="E406" r:id="rId428" xr:uid="{00000000-0004-0000-0800-0000AB010000}"/>
    <hyperlink ref="E407" r:id="rId429" xr:uid="{00000000-0004-0000-0800-0000AC010000}"/>
    <hyperlink ref="E408" r:id="rId430" xr:uid="{00000000-0004-0000-0800-0000AD010000}"/>
    <hyperlink ref="E409" r:id="rId431" xr:uid="{00000000-0004-0000-0800-0000AE010000}"/>
    <hyperlink ref="E410" r:id="rId432" xr:uid="{00000000-0004-0000-0800-0000AF010000}"/>
    <hyperlink ref="E411" r:id="rId433" xr:uid="{00000000-0004-0000-0800-0000B0010000}"/>
    <hyperlink ref="E412" r:id="rId434" xr:uid="{00000000-0004-0000-0800-0000B1010000}"/>
    <hyperlink ref="E413" r:id="rId435" xr:uid="{00000000-0004-0000-0800-0000B2010000}"/>
    <hyperlink ref="E414" r:id="rId436" xr:uid="{00000000-0004-0000-0800-0000B3010000}"/>
    <hyperlink ref="E415" r:id="rId437" xr:uid="{00000000-0004-0000-0800-0000B4010000}"/>
    <hyperlink ref="E417" r:id="rId438" xr:uid="{00000000-0004-0000-0800-0000B5010000}"/>
    <hyperlink ref="E418" r:id="rId439" xr:uid="{00000000-0004-0000-0800-0000B6010000}"/>
    <hyperlink ref="G418" r:id="rId440" xr:uid="{00000000-0004-0000-0800-0000B7010000}"/>
    <hyperlink ref="E419" r:id="rId441" xr:uid="{00000000-0004-0000-0800-0000B8010000}"/>
    <hyperlink ref="E420" r:id="rId442" xr:uid="{00000000-0004-0000-0800-0000B9010000}"/>
    <hyperlink ref="E421" r:id="rId443" xr:uid="{00000000-0004-0000-0800-0000BA010000}"/>
    <hyperlink ref="E422" r:id="rId444" xr:uid="{00000000-0004-0000-0800-0000BB010000}"/>
    <hyperlink ref="E423" r:id="rId445" xr:uid="{00000000-0004-0000-0800-0000BC010000}"/>
    <hyperlink ref="E424" r:id="rId446" xr:uid="{00000000-0004-0000-0800-0000BD010000}"/>
    <hyperlink ref="E425" r:id="rId447" xr:uid="{00000000-0004-0000-0800-0000BE010000}"/>
    <hyperlink ref="E426" r:id="rId448" xr:uid="{00000000-0004-0000-0800-0000BF010000}"/>
    <hyperlink ref="E427" r:id="rId449" xr:uid="{00000000-0004-0000-0800-0000C0010000}"/>
    <hyperlink ref="E428" r:id="rId450" xr:uid="{00000000-0004-0000-0800-0000C1010000}"/>
    <hyperlink ref="E429" r:id="rId451" xr:uid="{00000000-0004-0000-0800-0000C2010000}"/>
    <hyperlink ref="E430" r:id="rId452" xr:uid="{00000000-0004-0000-0800-0000C3010000}"/>
    <hyperlink ref="E431" r:id="rId453" xr:uid="{00000000-0004-0000-0800-0000C4010000}"/>
    <hyperlink ref="E432" r:id="rId454" xr:uid="{00000000-0004-0000-0800-0000C5010000}"/>
    <hyperlink ref="E433" r:id="rId455" xr:uid="{00000000-0004-0000-0800-0000C6010000}"/>
    <hyperlink ref="E434" r:id="rId456" xr:uid="{00000000-0004-0000-0800-0000C7010000}"/>
    <hyperlink ref="E435" r:id="rId457" xr:uid="{00000000-0004-0000-0800-0000C8010000}"/>
    <hyperlink ref="E436" r:id="rId458" xr:uid="{00000000-0004-0000-0800-0000C9010000}"/>
    <hyperlink ref="E438" r:id="rId459" xr:uid="{00000000-0004-0000-0800-0000CA010000}"/>
    <hyperlink ref="G438" r:id="rId460" xr:uid="{00000000-0004-0000-0800-0000CB010000}"/>
    <hyperlink ref="E439" r:id="rId461" xr:uid="{00000000-0004-0000-0800-0000CC010000}"/>
    <hyperlink ref="G439" r:id="rId462" xr:uid="{00000000-0004-0000-0800-0000CD010000}"/>
    <hyperlink ref="E440" r:id="rId463" xr:uid="{00000000-0004-0000-0800-0000CE010000}"/>
    <hyperlink ref="G440" r:id="rId464" xr:uid="{00000000-0004-0000-0800-0000CF010000}"/>
    <hyperlink ref="E441" r:id="rId465" xr:uid="{00000000-0004-0000-0800-0000D0010000}"/>
    <hyperlink ref="E442" r:id="rId466" xr:uid="{00000000-0004-0000-0800-0000D1010000}"/>
    <hyperlink ref="E443" r:id="rId467" xr:uid="{00000000-0004-0000-0800-0000D2010000}"/>
    <hyperlink ref="E444" r:id="rId468" xr:uid="{00000000-0004-0000-0800-0000D3010000}"/>
    <hyperlink ref="E445" r:id="rId469" xr:uid="{00000000-0004-0000-0800-0000D4010000}"/>
    <hyperlink ref="E446" r:id="rId470" xr:uid="{00000000-0004-0000-0800-0000D5010000}"/>
    <hyperlink ref="E447" r:id="rId471" xr:uid="{00000000-0004-0000-0800-0000D6010000}"/>
    <hyperlink ref="E448" r:id="rId472" xr:uid="{00000000-0004-0000-0800-0000D7010000}"/>
    <hyperlink ref="E449" r:id="rId473" xr:uid="{00000000-0004-0000-0800-0000D8010000}"/>
    <hyperlink ref="E450" r:id="rId474" xr:uid="{00000000-0004-0000-0800-0000D9010000}"/>
    <hyperlink ref="E451" r:id="rId475" xr:uid="{00000000-0004-0000-0800-0000DA010000}"/>
    <hyperlink ref="E452" r:id="rId476" xr:uid="{00000000-0004-0000-0800-0000DB010000}"/>
    <hyperlink ref="E453" r:id="rId477" xr:uid="{00000000-0004-0000-0800-0000DC010000}"/>
    <hyperlink ref="E454" r:id="rId478" xr:uid="{00000000-0004-0000-0800-0000DD010000}"/>
    <hyperlink ref="E455" r:id="rId479" xr:uid="{00000000-0004-0000-0800-0000DE010000}"/>
    <hyperlink ref="E456" r:id="rId480" xr:uid="{00000000-0004-0000-0800-0000DF010000}"/>
    <hyperlink ref="E457" r:id="rId481" xr:uid="{00000000-0004-0000-0800-0000E0010000}"/>
    <hyperlink ref="E458" r:id="rId482" xr:uid="{00000000-0004-0000-0800-0000E1010000}"/>
    <hyperlink ref="E459" r:id="rId483" xr:uid="{00000000-0004-0000-0800-0000E2010000}"/>
    <hyperlink ref="E460" r:id="rId484" xr:uid="{00000000-0004-0000-0800-0000E3010000}"/>
    <hyperlink ref="E461" r:id="rId485" xr:uid="{00000000-0004-0000-0800-0000E4010000}"/>
    <hyperlink ref="E462" r:id="rId486" xr:uid="{00000000-0004-0000-0800-0000E5010000}"/>
    <hyperlink ref="E463" r:id="rId487" xr:uid="{00000000-0004-0000-0800-0000E6010000}"/>
    <hyperlink ref="E464" r:id="rId488" xr:uid="{00000000-0004-0000-0800-0000E7010000}"/>
    <hyperlink ref="E465" r:id="rId489" xr:uid="{00000000-0004-0000-0800-0000E8010000}"/>
    <hyperlink ref="E466" r:id="rId490" xr:uid="{00000000-0004-0000-0800-0000E9010000}"/>
    <hyperlink ref="E467" r:id="rId491" xr:uid="{00000000-0004-0000-0800-0000EA010000}"/>
    <hyperlink ref="E468" r:id="rId492" xr:uid="{00000000-0004-0000-0800-0000EB010000}"/>
    <hyperlink ref="E469" r:id="rId493" xr:uid="{00000000-0004-0000-0800-0000EC010000}"/>
    <hyperlink ref="E470" r:id="rId494" xr:uid="{00000000-0004-0000-0800-0000ED010000}"/>
    <hyperlink ref="E471" r:id="rId495" xr:uid="{00000000-0004-0000-0800-0000EE010000}"/>
    <hyperlink ref="E472" r:id="rId496" xr:uid="{00000000-0004-0000-0800-0000EF010000}"/>
    <hyperlink ref="E473" r:id="rId497" xr:uid="{00000000-0004-0000-0800-0000F0010000}"/>
    <hyperlink ref="E474" r:id="rId498" xr:uid="{00000000-0004-0000-0800-0000F1010000}"/>
    <hyperlink ref="E475" r:id="rId499" xr:uid="{00000000-0004-0000-0800-0000F2010000}"/>
    <hyperlink ref="E476" r:id="rId500" xr:uid="{00000000-0004-0000-0800-0000F3010000}"/>
    <hyperlink ref="E477" r:id="rId501" xr:uid="{00000000-0004-0000-0800-0000F4010000}"/>
    <hyperlink ref="E478" r:id="rId502" xr:uid="{00000000-0004-0000-0800-0000F5010000}"/>
    <hyperlink ref="E479" r:id="rId503" xr:uid="{00000000-0004-0000-0800-0000F6010000}"/>
    <hyperlink ref="E480" r:id="rId504" xr:uid="{00000000-0004-0000-0800-0000F7010000}"/>
    <hyperlink ref="E481" r:id="rId505" xr:uid="{00000000-0004-0000-0800-0000F8010000}"/>
    <hyperlink ref="E482" r:id="rId506" xr:uid="{00000000-0004-0000-0800-0000F9010000}"/>
    <hyperlink ref="E483" r:id="rId507" xr:uid="{00000000-0004-0000-0800-0000FA010000}"/>
    <hyperlink ref="E484" r:id="rId508" xr:uid="{00000000-0004-0000-0800-0000FB010000}"/>
    <hyperlink ref="E485" r:id="rId509" xr:uid="{00000000-0004-0000-0800-0000FC010000}"/>
    <hyperlink ref="E486" r:id="rId510" xr:uid="{00000000-0004-0000-0800-0000FD010000}"/>
    <hyperlink ref="E487" r:id="rId511" xr:uid="{00000000-0004-0000-0800-0000FE010000}"/>
    <hyperlink ref="E488" r:id="rId512" xr:uid="{00000000-0004-0000-0800-0000FF010000}"/>
    <hyperlink ref="E489" r:id="rId513" xr:uid="{00000000-0004-0000-0800-000000020000}"/>
    <hyperlink ref="E490" r:id="rId514" xr:uid="{00000000-0004-0000-0800-000001020000}"/>
    <hyperlink ref="E491" r:id="rId515" xr:uid="{00000000-0004-0000-0800-000002020000}"/>
    <hyperlink ref="E492" r:id="rId516" xr:uid="{00000000-0004-0000-0800-000003020000}"/>
    <hyperlink ref="E493" r:id="rId517" xr:uid="{00000000-0004-0000-0800-000004020000}"/>
    <hyperlink ref="E494" r:id="rId518" xr:uid="{00000000-0004-0000-0800-000005020000}"/>
    <hyperlink ref="E495" r:id="rId519" xr:uid="{00000000-0004-0000-0800-000006020000}"/>
    <hyperlink ref="E496" r:id="rId520" xr:uid="{00000000-0004-0000-0800-000007020000}"/>
    <hyperlink ref="E497" r:id="rId521" xr:uid="{00000000-0004-0000-0800-000008020000}"/>
    <hyperlink ref="E498" r:id="rId522" xr:uid="{00000000-0004-0000-0800-000009020000}"/>
    <hyperlink ref="E499" r:id="rId523" xr:uid="{00000000-0004-0000-0800-00000A020000}"/>
    <hyperlink ref="E500" r:id="rId524" xr:uid="{00000000-0004-0000-0800-00000B020000}"/>
    <hyperlink ref="E501" r:id="rId525" xr:uid="{00000000-0004-0000-0800-00000C020000}"/>
    <hyperlink ref="E502" r:id="rId526" xr:uid="{00000000-0004-0000-0800-00000D020000}"/>
    <hyperlink ref="E503" r:id="rId527" xr:uid="{00000000-0004-0000-0800-00000E020000}"/>
    <hyperlink ref="E504" r:id="rId528" xr:uid="{00000000-0004-0000-0800-00000F020000}"/>
    <hyperlink ref="E505" r:id="rId529" xr:uid="{00000000-0004-0000-0800-000010020000}"/>
    <hyperlink ref="E506" r:id="rId530" xr:uid="{00000000-0004-0000-0800-000011020000}"/>
    <hyperlink ref="E507" r:id="rId531" xr:uid="{00000000-0004-0000-0800-000012020000}"/>
    <hyperlink ref="E508" r:id="rId532" xr:uid="{00000000-0004-0000-0800-000013020000}"/>
    <hyperlink ref="E510" r:id="rId533" xr:uid="{00000000-0004-0000-0800-000014020000}"/>
    <hyperlink ref="E511" r:id="rId534" xr:uid="{00000000-0004-0000-0800-000015020000}"/>
    <hyperlink ref="E512" r:id="rId535" xr:uid="{00000000-0004-0000-0800-000016020000}"/>
    <hyperlink ref="E513" r:id="rId536" xr:uid="{00000000-0004-0000-0800-000017020000}"/>
    <hyperlink ref="E514" r:id="rId537" xr:uid="{00000000-0004-0000-0800-000018020000}"/>
    <hyperlink ref="E515" r:id="rId538" xr:uid="{00000000-0004-0000-0800-000019020000}"/>
    <hyperlink ref="E516" r:id="rId539" xr:uid="{00000000-0004-0000-0800-00001A020000}"/>
    <hyperlink ref="E517" r:id="rId540" xr:uid="{00000000-0004-0000-0800-00001B020000}"/>
    <hyperlink ref="E518" r:id="rId541" xr:uid="{00000000-0004-0000-0800-00001C020000}"/>
    <hyperlink ref="E519" r:id="rId542" xr:uid="{00000000-0004-0000-0800-00001D020000}"/>
    <hyperlink ref="E520" r:id="rId543" xr:uid="{00000000-0004-0000-0800-00001E020000}"/>
    <hyperlink ref="E521" r:id="rId544" xr:uid="{00000000-0004-0000-0800-00001F020000}"/>
    <hyperlink ref="E522" r:id="rId545" xr:uid="{00000000-0004-0000-0800-000020020000}"/>
    <hyperlink ref="E523" r:id="rId546" xr:uid="{00000000-0004-0000-0800-000021020000}"/>
    <hyperlink ref="E525" r:id="rId547" xr:uid="{00000000-0004-0000-0800-000022020000}"/>
    <hyperlink ref="G525" r:id="rId548" xr:uid="{00000000-0004-0000-0800-000023020000}"/>
    <hyperlink ref="E526" r:id="rId549" xr:uid="{00000000-0004-0000-0800-000024020000}"/>
    <hyperlink ref="G526" r:id="rId550" xr:uid="{00000000-0004-0000-0800-000025020000}"/>
    <hyperlink ref="E527" r:id="rId551" xr:uid="{00000000-0004-0000-0800-000026020000}"/>
    <hyperlink ref="E528" r:id="rId552" xr:uid="{00000000-0004-0000-0800-000027020000}"/>
    <hyperlink ref="E529" r:id="rId553" xr:uid="{00000000-0004-0000-0800-000028020000}"/>
    <hyperlink ref="E530" r:id="rId554" xr:uid="{00000000-0004-0000-0800-000029020000}"/>
    <hyperlink ref="E531" r:id="rId555" xr:uid="{00000000-0004-0000-0800-00002A020000}"/>
    <hyperlink ref="E532" r:id="rId556" xr:uid="{00000000-0004-0000-0800-00002B020000}"/>
    <hyperlink ref="E533" r:id="rId557" xr:uid="{00000000-0004-0000-0800-00002C020000}"/>
    <hyperlink ref="E534" r:id="rId558" xr:uid="{00000000-0004-0000-0800-00002D020000}"/>
    <hyperlink ref="E535" r:id="rId559" xr:uid="{00000000-0004-0000-0800-00002E020000}"/>
    <hyperlink ref="E536" r:id="rId560" xr:uid="{00000000-0004-0000-0800-00002F020000}"/>
    <hyperlink ref="E537" r:id="rId561" xr:uid="{00000000-0004-0000-0800-000030020000}"/>
    <hyperlink ref="E538" r:id="rId562" xr:uid="{00000000-0004-0000-0800-000031020000}"/>
    <hyperlink ref="E539" r:id="rId563" xr:uid="{00000000-0004-0000-0800-000032020000}"/>
    <hyperlink ref="E540" r:id="rId564" xr:uid="{00000000-0004-0000-0800-000033020000}"/>
    <hyperlink ref="E541" r:id="rId565" xr:uid="{00000000-0004-0000-0800-000034020000}"/>
    <hyperlink ref="E542" r:id="rId566" xr:uid="{00000000-0004-0000-0800-000035020000}"/>
    <hyperlink ref="E543" r:id="rId567" xr:uid="{00000000-0004-0000-0800-000036020000}"/>
    <hyperlink ref="E544" r:id="rId568" xr:uid="{00000000-0004-0000-0800-000037020000}"/>
    <hyperlink ref="E545" r:id="rId569" xr:uid="{00000000-0004-0000-0800-000038020000}"/>
    <hyperlink ref="E546" r:id="rId570" xr:uid="{00000000-0004-0000-0800-000039020000}"/>
    <hyperlink ref="E547" r:id="rId571" xr:uid="{00000000-0004-0000-0800-00003A020000}"/>
    <hyperlink ref="E548" r:id="rId572" xr:uid="{00000000-0004-0000-0800-00003B020000}"/>
    <hyperlink ref="E549" r:id="rId573" xr:uid="{00000000-0004-0000-0800-00003C020000}"/>
    <hyperlink ref="E550" r:id="rId574" xr:uid="{00000000-0004-0000-0800-00003D020000}"/>
    <hyperlink ref="E551" r:id="rId575" xr:uid="{00000000-0004-0000-0800-00003E020000}"/>
    <hyperlink ref="E552" r:id="rId576" xr:uid="{00000000-0004-0000-0800-00003F020000}"/>
    <hyperlink ref="E553" r:id="rId577" xr:uid="{00000000-0004-0000-0800-000040020000}"/>
    <hyperlink ref="E555" r:id="rId578" xr:uid="{00000000-0004-0000-0800-000041020000}"/>
    <hyperlink ref="G555" r:id="rId579" xr:uid="{00000000-0004-0000-0800-000042020000}"/>
    <hyperlink ref="E556" r:id="rId580" xr:uid="{00000000-0004-0000-0800-000043020000}"/>
    <hyperlink ref="G556" r:id="rId581" xr:uid="{00000000-0004-0000-0800-000044020000}"/>
    <hyperlink ref="E557" r:id="rId582" xr:uid="{00000000-0004-0000-0800-000045020000}"/>
    <hyperlink ref="E558" r:id="rId583" xr:uid="{00000000-0004-0000-0800-000046020000}"/>
    <hyperlink ref="E559" r:id="rId584" xr:uid="{00000000-0004-0000-0800-000047020000}"/>
    <hyperlink ref="E560" r:id="rId585" xr:uid="{00000000-0004-0000-0800-000048020000}"/>
    <hyperlink ref="E561" r:id="rId586" xr:uid="{00000000-0004-0000-0800-000049020000}"/>
    <hyperlink ref="E562" r:id="rId587" xr:uid="{00000000-0004-0000-0800-00004A020000}"/>
    <hyperlink ref="E563" r:id="rId588" xr:uid="{00000000-0004-0000-0800-00004B020000}"/>
    <hyperlink ref="E564" r:id="rId589" xr:uid="{00000000-0004-0000-0800-00004C020000}"/>
    <hyperlink ref="E565" r:id="rId590" xr:uid="{00000000-0004-0000-0800-00004D020000}"/>
    <hyperlink ref="E566" r:id="rId591" xr:uid="{00000000-0004-0000-0800-00004E020000}"/>
    <hyperlink ref="E567" r:id="rId592" xr:uid="{00000000-0004-0000-0800-00004F020000}"/>
    <hyperlink ref="E568" r:id="rId593" xr:uid="{00000000-0004-0000-0800-000050020000}"/>
    <hyperlink ref="E569" r:id="rId594" xr:uid="{00000000-0004-0000-0800-000051020000}"/>
    <hyperlink ref="E570" r:id="rId595" xr:uid="{00000000-0004-0000-0800-000052020000}"/>
    <hyperlink ref="E571" r:id="rId596" xr:uid="{00000000-0004-0000-0800-000053020000}"/>
    <hyperlink ref="E572" r:id="rId597" xr:uid="{00000000-0004-0000-0800-000054020000}"/>
    <hyperlink ref="E573" r:id="rId598" xr:uid="{00000000-0004-0000-0800-000055020000}"/>
    <hyperlink ref="E574" r:id="rId599" xr:uid="{00000000-0004-0000-0800-000056020000}"/>
    <hyperlink ref="E575" r:id="rId600" xr:uid="{00000000-0004-0000-0800-000057020000}"/>
    <hyperlink ref="E576" r:id="rId601" xr:uid="{00000000-0004-0000-0800-000058020000}"/>
    <hyperlink ref="E577" r:id="rId602" xr:uid="{00000000-0004-0000-0800-000059020000}"/>
    <hyperlink ref="E578" r:id="rId603" xr:uid="{00000000-0004-0000-0800-00005A020000}"/>
    <hyperlink ref="E579" r:id="rId604" xr:uid="{00000000-0004-0000-0800-00005B020000}"/>
    <hyperlink ref="E580" r:id="rId605" xr:uid="{00000000-0004-0000-0800-00005C020000}"/>
    <hyperlink ref="E582" r:id="rId606" xr:uid="{00000000-0004-0000-0800-00005D020000}"/>
    <hyperlink ref="G582" r:id="rId607" xr:uid="{00000000-0004-0000-0800-00005E020000}"/>
    <hyperlink ref="E583" r:id="rId608" xr:uid="{00000000-0004-0000-0800-00005F020000}"/>
    <hyperlink ref="G583" r:id="rId609" xr:uid="{00000000-0004-0000-0800-000060020000}"/>
    <hyperlink ref="E584" r:id="rId610" xr:uid="{00000000-0004-0000-0800-000061020000}"/>
    <hyperlink ref="G584" r:id="rId611" xr:uid="{00000000-0004-0000-0800-000062020000}"/>
    <hyperlink ref="E585" r:id="rId612" xr:uid="{00000000-0004-0000-0800-000063020000}"/>
    <hyperlink ref="G585" r:id="rId613" xr:uid="{00000000-0004-0000-0800-000064020000}"/>
    <hyperlink ref="E586" r:id="rId614" xr:uid="{00000000-0004-0000-0800-000065020000}"/>
    <hyperlink ref="G586" r:id="rId615" xr:uid="{00000000-0004-0000-0800-000066020000}"/>
    <hyperlink ref="E587" r:id="rId616" xr:uid="{00000000-0004-0000-0800-000067020000}"/>
    <hyperlink ref="G587" r:id="rId617" xr:uid="{00000000-0004-0000-0800-000068020000}"/>
    <hyperlink ref="E588" r:id="rId618" xr:uid="{00000000-0004-0000-0800-000069020000}"/>
    <hyperlink ref="E589" r:id="rId619" xr:uid="{00000000-0004-0000-0800-00006A020000}"/>
    <hyperlink ref="E590" r:id="rId620" xr:uid="{00000000-0004-0000-0800-00006B020000}"/>
    <hyperlink ref="E591" r:id="rId621" xr:uid="{00000000-0004-0000-0800-00006C020000}"/>
    <hyperlink ref="E592" r:id="rId622" xr:uid="{00000000-0004-0000-0800-00006D020000}"/>
    <hyperlink ref="E593" r:id="rId623" xr:uid="{00000000-0004-0000-0800-00006E020000}"/>
    <hyperlink ref="E594" r:id="rId624" xr:uid="{00000000-0004-0000-0800-00006F020000}"/>
    <hyperlink ref="E595" r:id="rId625" xr:uid="{00000000-0004-0000-0800-000070020000}"/>
    <hyperlink ref="E596" r:id="rId626" xr:uid="{00000000-0004-0000-0800-000071020000}"/>
    <hyperlink ref="E597" r:id="rId627" xr:uid="{00000000-0004-0000-0800-000072020000}"/>
    <hyperlink ref="E598" r:id="rId628" xr:uid="{00000000-0004-0000-0800-000073020000}"/>
    <hyperlink ref="E599" r:id="rId629" xr:uid="{00000000-0004-0000-0800-000074020000}"/>
    <hyperlink ref="E600" r:id="rId630" xr:uid="{00000000-0004-0000-0800-000075020000}"/>
    <hyperlink ref="E601" r:id="rId631" xr:uid="{00000000-0004-0000-0800-000076020000}"/>
    <hyperlink ref="E602" r:id="rId632" xr:uid="{00000000-0004-0000-0800-000077020000}"/>
    <hyperlink ref="E603" r:id="rId633" xr:uid="{00000000-0004-0000-0800-000078020000}"/>
    <hyperlink ref="E604" r:id="rId634" xr:uid="{00000000-0004-0000-0800-000079020000}"/>
    <hyperlink ref="E605" r:id="rId635" xr:uid="{00000000-0004-0000-0800-00007A020000}"/>
    <hyperlink ref="E606" r:id="rId636" xr:uid="{00000000-0004-0000-0800-00007B020000}"/>
    <hyperlink ref="E607" r:id="rId637" xr:uid="{00000000-0004-0000-0800-00007C020000}"/>
    <hyperlink ref="E608" r:id="rId638" xr:uid="{00000000-0004-0000-0800-00007D020000}"/>
    <hyperlink ref="E609" r:id="rId639" xr:uid="{00000000-0004-0000-0800-00007E020000}"/>
    <hyperlink ref="E610" r:id="rId640" xr:uid="{00000000-0004-0000-0800-00007F020000}"/>
    <hyperlink ref="E611" r:id="rId641" xr:uid="{00000000-0004-0000-0800-000080020000}"/>
    <hyperlink ref="E612" r:id="rId642" xr:uid="{00000000-0004-0000-0800-000081020000}"/>
    <hyperlink ref="E613" r:id="rId643" xr:uid="{00000000-0004-0000-0800-000082020000}"/>
    <hyperlink ref="E614" r:id="rId644" xr:uid="{00000000-0004-0000-0800-000083020000}"/>
    <hyperlink ref="E615" r:id="rId645" xr:uid="{00000000-0004-0000-0800-000084020000}"/>
    <hyperlink ref="E616" r:id="rId646" xr:uid="{00000000-0004-0000-0800-000085020000}"/>
    <hyperlink ref="E617" r:id="rId647" xr:uid="{00000000-0004-0000-0800-000086020000}"/>
    <hyperlink ref="E618" r:id="rId648" xr:uid="{00000000-0004-0000-0800-000087020000}"/>
    <hyperlink ref="E619" r:id="rId649" xr:uid="{00000000-0004-0000-0800-000088020000}"/>
    <hyperlink ref="E620" r:id="rId650" xr:uid="{00000000-0004-0000-0800-000089020000}"/>
    <hyperlink ref="E621" r:id="rId651" xr:uid="{00000000-0004-0000-0800-00008A020000}"/>
    <hyperlink ref="E622" r:id="rId652" xr:uid="{00000000-0004-0000-0800-00008B020000}"/>
    <hyperlink ref="E623" r:id="rId653" xr:uid="{00000000-0004-0000-0800-00008C020000}"/>
    <hyperlink ref="E624" r:id="rId654" xr:uid="{00000000-0004-0000-0800-00008D020000}"/>
    <hyperlink ref="E625" r:id="rId655" xr:uid="{00000000-0004-0000-0800-00008E020000}"/>
    <hyperlink ref="E626" r:id="rId656" xr:uid="{00000000-0004-0000-0800-00008F020000}"/>
    <hyperlink ref="E627" r:id="rId657" xr:uid="{00000000-0004-0000-0800-000090020000}"/>
    <hyperlink ref="E628" r:id="rId658" xr:uid="{00000000-0004-0000-0800-000091020000}"/>
    <hyperlink ref="E629" r:id="rId659" xr:uid="{00000000-0004-0000-0800-000092020000}"/>
    <hyperlink ref="E630" r:id="rId660" xr:uid="{00000000-0004-0000-0800-000093020000}"/>
    <hyperlink ref="E631" r:id="rId661" xr:uid="{00000000-0004-0000-0800-000094020000}"/>
    <hyperlink ref="E632" r:id="rId662" xr:uid="{00000000-0004-0000-0800-000095020000}"/>
    <hyperlink ref="E633" r:id="rId663" xr:uid="{00000000-0004-0000-0800-000096020000}"/>
    <hyperlink ref="E634" r:id="rId664" xr:uid="{00000000-0004-0000-0800-000097020000}"/>
    <hyperlink ref="E635" r:id="rId665" xr:uid="{00000000-0004-0000-0800-000098020000}"/>
    <hyperlink ref="E636" r:id="rId666" xr:uid="{00000000-0004-0000-0800-000099020000}"/>
    <hyperlink ref="E637" r:id="rId667" xr:uid="{00000000-0004-0000-0800-00009A020000}"/>
    <hyperlink ref="E638" r:id="rId668" xr:uid="{00000000-0004-0000-0800-00009B020000}"/>
    <hyperlink ref="E639" r:id="rId669" xr:uid="{00000000-0004-0000-0800-00009C020000}"/>
    <hyperlink ref="E640" r:id="rId670" xr:uid="{00000000-0004-0000-0800-00009D020000}"/>
    <hyperlink ref="E641" r:id="rId671" xr:uid="{00000000-0004-0000-0800-00009E020000}"/>
    <hyperlink ref="E642" r:id="rId672" xr:uid="{00000000-0004-0000-0800-00009F020000}"/>
    <hyperlink ref="E643" r:id="rId673" xr:uid="{00000000-0004-0000-0800-0000A0020000}"/>
    <hyperlink ref="E645" r:id="rId674" xr:uid="{00000000-0004-0000-0800-0000A1020000}"/>
    <hyperlink ref="G645" r:id="rId675" xr:uid="{00000000-0004-0000-0800-0000A2020000}"/>
    <hyperlink ref="E646" r:id="rId676" xr:uid="{00000000-0004-0000-0800-0000A3020000}"/>
    <hyperlink ref="G646" r:id="rId677" xr:uid="{00000000-0004-0000-0800-0000A4020000}"/>
    <hyperlink ref="E647" r:id="rId678" xr:uid="{00000000-0004-0000-0800-0000A5020000}"/>
    <hyperlink ref="G647" r:id="rId679" xr:uid="{00000000-0004-0000-0800-0000A6020000}"/>
    <hyperlink ref="E648" r:id="rId680" xr:uid="{00000000-0004-0000-0800-0000A7020000}"/>
    <hyperlink ref="E649" r:id="rId681" xr:uid="{00000000-0004-0000-0800-0000A8020000}"/>
    <hyperlink ref="E650" r:id="rId682" xr:uid="{00000000-0004-0000-0800-0000A9020000}"/>
    <hyperlink ref="E651" r:id="rId683" xr:uid="{00000000-0004-0000-0800-0000AA020000}"/>
    <hyperlink ref="E652" r:id="rId684" xr:uid="{00000000-0004-0000-0800-0000AB020000}"/>
    <hyperlink ref="E653" r:id="rId685" xr:uid="{00000000-0004-0000-0800-0000AC020000}"/>
    <hyperlink ref="E654" r:id="rId686" xr:uid="{00000000-0004-0000-0800-0000AD020000}"/>
    <hyperlink ref="E655" r:id="rId687" xr:uid="{00000000-0004-0000-0800-0000AE020000}"/>
    <hyperlink ref="E656" r:id="rId688" xr:uid="{00000000-0004-0000-0800-0000AF020000}"/>
    <hyperlink ref="E657" r:id="rId689" xr:uid="{00000000-0004-0000-0800-0000B0020000}"/>
    <hyperlink ref="E658" r:id="rId690" xr:uid="{00000000-0004-0000-0800-0000B1020000}"/>
    <hyperlink ref="E659" r:id="rId691" xr:uid="{00000000-0004-0000-0800-0000B2020000}"/>
    <hyperlink ref="E660" r:id="rId692" xr:uid="{00000000-0004-0000-0800-0000B3020000}"/>
    <hyperlink ref="E661" r:id="rId693" xr:uid="{00000000-0004-0000-0800-0000B4020000}"/>
    <hyperlink ref="E662" r:id="rId694" xr:uid="{00000000-0004-0000-0800-0000B5020000}"/>
    <hyperlink ref="E663" r:id="rId695" xr:uid="{00000000-0004-0000-0800-0000B6020000}"/>
    <hyperlink ref="E664" r:id="rId696" xr:uid="{00000000-0004-0000-0800-0000B7020000}"/>
    <hyperlink ref="E665" r:id="rId697" xr:uid="{00000000-0004-0000-0800-0000B8020000}"/>
    <hyperlink ref="E666" r:id="rId698" xr:uid="{00000000-0004-0000-0800-0000B9020000}"/>
    <hyperlink ref="E667" r:id="rId699" xr:uid="{00000000-0004-0000-0800-0000BA020000}"/>
    <hyperlink ref="E668" r:id="rId700" xr:uid="{00000000-0004-0000-0800-0000BB020000}"/>
    <hyperlink ref="E669" r:id="rId701" xr:uid="{00000000-0004-0000-0800-0000BC020000}"/>
    <hyperlink ref="E671" r:id="rId702" xr:uid="{00000000-0004-0000-0800-0000BD020000}"/>
    <hyperlink ref="G671" r:id="rId703" xr:uid="{00000000-0004-0000-0800-0000BE020000}"/>
    <hyperlink ref="E672" r:id="rId704" xr:uid="{00000000-0004-0000-0800-0000BF020000}"/>
    <hyperlink ref="G672" r:id="rId705" xr:uid="{00000000-0004-0000-0800-0000C0020000}"/>
    <hyperlink ref="E673" r:id="rId706" xr:uid="{00000000-0004-0000-0800-0000C1020000}"/>
    <hyperlink ref="G673" r:id="rId707" xr:uid="{00000000-0004-0000-0800-0000C2020000}"/>
    <hyperlink ref="E674" r:id="rId708" xr:uid="{00000000-0004-0000-0800-0000C3020000}"/>
    <hyperlink ref="E675" r:id="rId709" xr:uid="{00000000-0004-0000-0800-0000C4020000}"/>
    <hyperlink ref="E676" r:id="rId710" xr:uid="{00000000-0004-0000-0800-0000C5020000}"/>
    <hyperlink ref="E677" r:id="rId711" xr:uid="{00000000-0004-0000-0800-0000C6020000}"/>
    <hyperlink ref="E678" r:id="rId712" xr:uid="{00000000-0004-0000-0800-0000C7020000}"/>
    <hyperlink ref="E679" r:id="rId713" xr:uid="{00000000-0004-0000-0800-0000C8020000}"/>
    <hyperlink ref="E680" r:id="rId714" xr:uid="{00000000-0004-0000-0800-0000C9020000}"/>
    <hyperlink ref="E681" r:id="rId715" xr:uid="{00000000-0004-0000-0800-0000CA020000}"/>
    <hyperlink ref="E683" r:id="rId716" xr:uid="{00000000-0004-0000-0800-0000CB020000}"/>
    <hyperlink ref="G683" r:id="rId717" xr:uid="{00000000-0004-0000-0800-0000CC020000}"/>
    <hyperlink ref="E684" r:id="rId718" xr:uid="{00000000-0004-0000-0800-0000CD020000}"/>
    <hyperlink ref="G684" r:id="rId719" xr:uid="{00000000-0004-0000-0800-0000CE020000}"/>
    <hyperlink ref="E685" r:id="rId720" xr:uid="{00000000-0004-0000-0800-0000CF020000}"/>
    <hyperlink ref="G685" r:id="rId721" xr:uid="{00000000-0004-0000-0800-0000D0020000}"/>
    <hyperlink ref="E686" r:id="rId722" xr:uid="{00000000-0004-0000-0800-0000D1020000}"/>
    <hyperlink ref="E687" r:id="rId723" xr:uid="{00000000-0004-0000-0800-0000D2020000}"/>
    <hyperlink ref="E688" r:id="rId724" xr:uid="{00000000-0004-0000-0800-0000D3020000}"/>
    <hyperlink ref="E689" r:id="rId725" xr:uid="{00000000-0004-0000-0800-0000D4020000}"/>
    <hyperlink ref="E690" r:id="rId726" xr:uid="{00000000-0004-0000-0800-0000D5020000}"/>
    <hyperlink ref="E691" r:id="rId727" xr:uid="{00000000-0004-0000-0800-0000D6020000}"/>
    <hyperlink ref="E692" r:id="rId728" xr:uid="{00000000-0004-0000-0800-0000D7020000}"/>
    <hyperlink ref="E693" r:id="rId729" xr:uid="{00000000-0004-0000-0800-0000D8020000}"/>
    <hyperlink ref="E694" r:id="rId730" xr:uid="{00000000-0004-0000-0800-0000D9020000}"/>
    <hyperlink ref="E695" r:id="rId731" xr:uid="{00000000-0004-0000-0800-0000DA020000}"/>
    <hyperlink ref="E696" r:id="rId732" xr:uid="{00000000-0004-0000-0800-0000DB020000}"/>
    <hyperlink ref="E697" r:id="rId733" xr:uid="{00000000-0004-0000-0800-0000DC020000}"/>
    <hyperlink ref="E698" r:id="rId734" xr:uid="{00000000-0004-0000-0800-0000DD020000}"/>
    <hyperlink ref="E699" r:id="rId735" xr:uid="{00000000-0004-0000-0800-0000DE020000}"/>
    <hyperlink ref="E700" r:id="rId736" xr:uid="{00000000-0004-0000-0800-0000DF020000}"/>
    <hyperlink ref="E701" r:id="rId737" xr:uid="{00000000-0004-0000-0800-0000E0020000}"/>
    <hyperlink ref="E702" r:id="rId738" xr:uid="{00000000-0004-0000-0800-0000E1020000}"/>
    <hyperlink ref="E703" r:id="rId739" xr:uid="{00000000-0004-0000-0800-0000E2020000}"/>
    <hyperlink ref="E704" r:id="rId740" xr:uid="{00000000-0004-0000-0800-0000E3020000}"/>
    <hyperlink ref="E705" r:id="rId741" xr:uid="{00000000-0004-0000-0800-0000E4020000}"/>
    <hyperlink ref="E706" r:id="rId742" xr:uid="{00000000-0004-0000-0800-0000E5020000}"/>
    <hyperlink ref="E707" r:id="rId743" xr:uid="{00000000-0004-0000-0800-0000E6020000}"/>
    <hyperlink ref="E708" r:id="rId744" xr:uid="{00000000-0004-0000-0800-0000E7020000}"/>
    <hyperlink ref="E709" r:id="rId745" xr:uid="{00000000-0004-0000-0800-0000E8020000}"/>
    <hyperlink ref="E710" r:id="rId746" xr:uid="{00000000-0004-0000-0800-0000E9020000}"/>
    <hyperlink ref="E711" r:id="rId747" xr:uid="{00000000-0004-0000-0800-0000EA020000}"/>
    <hyperlink ref="E712" r:id="rId748" xr:uid="{00000000-0004-0000-0800-0000EB020000}"/>
    <hyperlink ref="E713" r:id="rId749" xr:uid="{00000000-0004-0000-0800-0000EC020000}"/>
    <hyperlink ref="E714" r:id="rId750" xr:uid="{00000000-0004-0000-0800-0000ED020000}"/>
    <hyperlink ref="E715" r:id="rId751" xr:uid="{00000000-0004-0000-0800-0000EE020000}"/>
    <hyperlink ref="E716" r:id="rId752" xr:uid="{00000000-0004-0000-0800-0000EF020000}"/>
    <hyperlink ref="E717" r:id="rId753" xr:uid="{00000000-0004-0000-0800-0000F0020000}"/>
    <hyperlink ref="E718" r:id="rId754" xr:uid="{00000000-0004-0000-0800-0000F1020000}"/>
    <hyperlink ref="E719" r:id="rId755" xr:uid="{00000000-0004-0000-0800-0000F2020000}"/>
    <hyperlink ref="E720" r:id="rId756" xr:uid="{00000000-0004-0000-0800-0000F3020000}"/>
    <hyperlink ref="E721" r:id="rId757" xr:uid="{00000000-0004-0000-0800-0000F4020000}"/>
    <hyperlink ref="E722" r:id="rId758" xr:uid="{00000000-0004-0000-0800-0000F5020000}"/>
    <hyperlink ref="E723" r:id="rId759" xr:uid="{00000000-0004-0000-0800-0000F6020000}"/>
    <hyperlink ref="E724" r:id="rId760" xr:uid="{00000000-0004-0000-0800-0000F7020000}"/>
    <hyperlink ref="E726" r:id="rId761" xr:uid="{00000000-0004-0000-0800-0000F8020000}"/>
    <hyperlink ref="G726" r:id="rId762" xr:uid="{00000000-0004-0000-0800-0000F9020000}"/>
    <hyperlink ref="E727" r:id="rId763" xr:uid="{00000000-0004-0000-0800-0000FA020000}"/>
    <hyperlink ref="G727" r:id="rId764" xr:uid="{00000000-0004-0000-0800-0000FB020000}"/>
    <hyperlink ref="E728" r:id="rId765" xr:uid="{00000000-0004-0000-0800-0000FC020000}"/>
    <hyperlink ref="G728" r:id="rId766" xr:uid="{00000000-0004-0000-0800-0000FD020000}"/>
    <hyperlink ref="E729" r:id="rId767" xr:uid="{00000000-0004-0000-0800-0000FE020000}"/>
    <hyperlink ref="G729" r:id="rId768" xr:uid="{00000000-0004-0000-0800-0000FF020000}"/>
    <hyperlink ref="E730" r:id="rId769" xr:uid="{00000000-0004-0000-0800-000000030000}"/>
    <hyperlink ref="G730" r:id="rId770" xr:uid="{00000000-0004-0000-0800-000001030000}"/>
    <hyperlink ref="E731" r:id="rId771" xr:uid="{00000000-0004-0000-0800-000002030000}"/>
    <hyperlink ref="G731" r:id="rId772" xr:uid="{00000000-0004-0000-0800-000003030000}"/>
    <hyperlink ref="E732" r:id="rId773" xr:uid="{00000000-0004-0000-0800-000004030000}"/>
    <hyperlink ref="E733" r:id="rId774" xr:uid="{00000000-0004-0000-0800-000005030000}"/>
    <hyperlink ref="E734" r:id="rId775" xr:uid="{00000000-0004-0000-0800-000006030000}"/>
    <hyperlink ref="E735" r:id="rId776" xr:uid="{00000000-0004-0000-0800-000007030000}"/>
    <hyperlink ref="E736" r:id="rId777" xr:uid="{00000000-0004-0000-0800-000008030000}"/>
    <hyperlink ref="E737" r:id="rId778" xr:uid="{00000000-0004-0000-0800-000009030000}"/>
    <hyperlink ref="E738" r:id="rId779" xr:uid="{00000000-0004-0000-0800-00000A030000}"/>
    <hyperlink ref="E739" r:id="rId780" xr:uid="{00000000-0004-0000-0800-00000B030000}"/>
    <hyperlink ref="E740" r:id="rId781" xr:uid="{00000000-0004-0000-0800-00000C030000}"/>
    <hyperlink ref="E741" r:id="rId782" xr:uid="{00000000-0004-0000-0800-00000D030000}"/>
    <hyperlink ref="E742" r:id="rId783" xr:uid="{00000000-0004-0000-0800-00000E030000}"/>
    <hyperlink ref="E743" r:id="rId784" xr:uid="{00000000-0004-0000-0800-00000F030000}"/>
    <hyperlink ref="E744" r:id="rId785" xr:uid="{00000000-0004-0000-0800-000010030000}"/>
    <hyperlink ref="E745" r:id="rId786" xr:uid="{00000000-0004-0000-0800-000011030000}"/>
    <hyperlink ref="E746" r:id="rId787" xr:uid="{00000000-0004-0000-0800-000012030000}"/>
    <hyperlink ref="E747" r:id="rId788" xr:uid="{00000000-0004-0000-0800-000013030000}"/>
    <hyperlink ref="E748" r:id="rId789" xr:uid="{00000000-0004-0000-0800-000014030000}"/>
    <hyperlink ref="E749" r:id="rId790" xr:uid="{00000000-0004-0000-0800-000015030000}"/>
    <hyperlink ref="E750" r:id="rId791" xr:uid="{00000000-0004-0000-0800-000016030000}"/>
    <hyperlink ref="E751" r:id="rId792" xr:uid="{00000000-0004-0000-0800-000017030000}"/>
    <hyperlink ref="E752" r:id="rId793" xr:uid="{00000000-0004-0000-0800-000018030000}"/>
    <hyperlink ref="E753" r:id="rId794" xr:uid="{00000000-0004-0000-0800-000019030000}"/>
    <hyperlink ref="E754" r:id="rId795" xr:uid="{00000000-0004-0000-0800-00001A030000}"/>
    <hyperlink ref="E755" r:id="rId796" xr:uid="{00000000-0004-0000-0800-00001B030000}"/>
    <hyperlink ref="E756" r:id="rId797" xr:uid="{00000000-0004-0000-0800-00001C030000}"/>
    <hyperlink ref="E757" r:id="rId798" xr:uid="{00000000-0004-0000-0800-00001D030000}"/>
    <hyperlink ref="E758" r:id="rId799" xr:uid="{00000000-0004-0000-0800-00001E030000}"/>
    <hyperlink ref="E759" r:id="rId800" xr:uid="{00000000-0004-0000-0800-00001F030000}"/>
    <hyperlink ref="E760" r:id="rId801" xr:uid="{00000000-0004-0000-0800-000020030000}"/>
    <hyperlink ref="E761" r:id="rId802" xr:uid="{00000000-0004-0000-0800-000021030000}"/>
    <hyperlink ref="E762" r:id="rId803" xr:uid="{00000000-0004-0000-0800-000022030000}"/>
    <hyperlink ref="E763" r:id="rId804" xr:uid="{00000000-0004-0000-0800-000023030000}"/>
    <hyperlink ref="E764" r:id="rId805" xr:uid="{00000000-0004-0000-0800-000024030000}"/>
    <hyperlink ref="E765" r:id="rId806" xr:uid="{00000000-0004-0000-0800-000025030000}"/>
    <hyperlink ref="E766" r:id="rId807" xr:uid="{00000000-0004-0000-0800-000026030000}"/>
    <hyperlink ref="E767" r:id="rId808" xr:uid="{00000000-0004-0000-0800-000027030000}"/>
    <hyperlink ref="E768" r:id="rId809" xr:uid="{00000000-0004-0000-0800-000028030000}"/>
    <hyperlink ref="E769" r:id="rId810" xr:uid="{00000000-0004-0000-0800-000029030000}"/>
    <hyperlink ref="E770" r:id="rId811" xr:uid="{00000000-0004-0000-0800-00002A030000}"/>
    <hyperlink ref="E771" r:id="rId812" xr:uid="{00000000-0004-0000-0800-00002B030000}"/>
    <hyperlink ref="E772" r:id="rId813" xr:uid="{00000000-0004-0000-0800-00002C030000}"/>
    <hyperlink ref="E773" r:id="rId814" xr:uid="{00000000-0004-0000-0800-00002D030000}"/>
    <hyperlink ref="E774" r:id="rId815" xr:uid="{00000000-0004-0000-0800-00002E030000}"/>
    <hyperlink ref="E775" r:id="rId816" xr:uid="{00000000-0004-0000-0800-00002F030000}"/>
    <hyperlink ref="E776" r:id="rId817" xr:uid="{00000000-0004-0000-0800-000030030000}"/>
    <hyperlink ref="E778" r:id="rId818" xr:uid="{00000000-0004-0000-0800-000031030000}"/>
    <hyperlink ref="G778" r:id="rId819" xr:uid="{00000000-0004-0000-0800-000032030000}"/>
    <hyperlink ref="E779" r:id="rId820" xr:uid="{00000000-0004-0000-0800-000033030000}"/>
    <hyperlink ref="G779" r:id="rId821" xr:uid="{00000000-0004-0000-0800-000034030000}"/>
    <hyperlink ref="E780" r:id="rId822" xr:uid="{00000000-0004-0000-0800-000035030000}"/>
    <hyperlink ref="E781" r:id="rId823" xr:uid="{00000000-0004-0000-0800-000036030000}"/>
    <hyperlink ref="E782" r:id="rId824" xr:uid="{00000000-0004-0000-0800-000037030000}"/>
    <hyperlink ref="E783" r:id="rId825" xr:uid="{00000000-0004-0000-0800-000038030000}"/>
    <hyperlink ref="E784" r:id="rId826" xr:uid="{00000000-0004-0000-0800-000039030000}"/>
    <hyperlink ref="E785" r:id="rId827" xr:uid="{00000000-0004-0000-0800-00003A030000}"/>
    <hyperlink ref="E786" r:id="rId828" xr:uid="{00000000-0004-0000-0800-00003B030000}"/>
    <hyperlink ref="E787" r:id="rId829" xr:uid="{00000000-0004-0000-0800-00003C030000}"/>
    <hyperlink ref="E788" r:id="rId830" xr:uid="{00000000-0004-0000-0800-00003D030000}"/>
    <hyperlink ref="E789" r:id="rId831" xr:uid="{00000000-0004-0000-0800-00003E030000}"/>
    <hyperlink ref="E790" r:id="rId832" xr:uid="{00000000-0004-0000-0800-00003F030000}"/>
    <hyperlink ref="E791" r:id="rId833" xr:uid="{00000000-0004-0000-0800-000040030000}"/>
    <hyperlink ref="E792" r:id="rId834" xr:uid="{00000000-0004-0000-0800-000041030000}"/>
    <hyperlink ref="E793" r:id="rId835" xr:uid="{00000000-0004-0000-0800-000042030000}"/>
    <hyperlink ref="E794" r:id="rId836" xr:uid="{00000000-0004-0000-0800-000043030000}"/>
    <hyperlink ref="E795" r:id="rId837" xr:uid="{00000000-0004-0000-0800-000044030000}"/>
    <hyperlink ref="E796" r:id="rId838" xr:uid="{00000000-0004-0000-0800-000045030000}"/>
    <hyperlink ref="E797" r:id="rId839" xr:uid="{00000000-0004-0000-0800-000046030000}"/>
    <hyperlink ref="E798" r:id="rId840" xr:uid="{00000000-0004-0000-0800-000047030000}"/>
    <hyperlink ref="E799" r:id="rId841" xr:uid="{00000000-0004-0000-0800-000048030000}"/>
    <hyperlink ref="E800" r:id="rId842" xr:uid="{00000000-0004-0000-0800-000049030000}"/>
    <hyperlink ref="E801" r:id="rId843" xr:uid="{00000000-0004-0000-0800-00004A030000}"/>
    <hyperlink ref="E802" r:id="rId844" xr:uid="{00000000-0004-0000-0800-00004B030000}"/>
    <hyperlink ref="E803" r:id="rId845" xr:uid="{00000000-0004-0000-0800-00004C030000}"/>
    <hyperlink ref="E804" r:id="rId846" xr:uid="{00000000-0004-0000-0800-00004D030000}"/>
    <hyperlink ref="E805" r:id="rId847" xr:uid="{00000000-0004-0000-0800-00004E030000}"/>
    <hyperlink ref="E806" r:id="rId848" xr:uid="{00000000-0004-0000-0800-00004F030000}"/>
    <hyperlink ref="E807" r:id="rId849" xr:uid="{00000000-0004-0000-0800-000050030000}"/>
    <hyperlink ref="E808" r:id="rId850" xr:uid="{00000000-0004-0000-0800-000051030000}"/>
    <hyperlink ref="E809" r:id="rId851" xr:uid="{00000000-0004-0000-0800-000052030000}"/>
    <hyperlink ref="E810" r:id="rId852" xr:uid="{00000000-0004-0000-0800-000053030000}"/>
    <hyperlink ref="E811" r:id="rId853" xr:uid="{00000000-0004-0000-0800-000054030000}"/>
    <hyperlink ref="E812" r:id="rId854" xr:uid="{00000000-0004-0000-0800-000055030000}"/>
    <hyperlink ref="E813" r:id="rId855" xr:uid="{00000000-0004-0000-0800-000056030000}"/>
    <hyperlink ref="E814" r:id="rId856" xr:uid="{00000000-0004-0000-0800-000057030000}"/>
    <hyperlink ref="E816" r:id="rId857" xr:uid="{00000000-0004-0000-0800-000058030000}"/>
    <hyperlink ref="G816" r:id="rId858" xr:uid="{00000000-0004-0000-0800-000059030000}"/>
    <hyperlink ref="E817" r:id="rId859" xr:uid="{00000000-0004-0000-0800-00005A030000}"/>
    <hyperlink ref="G817" r:id="rId860" xr:uid="{00000000-0004-0000-0800-00005B030000}"/>
    <hyperlink ref="E818" r:id="rId861" xr:uid="{00000000-0004-0000-0800-00005C030000}"/>
    <hyperlink ref="E819" r:id="rId862" xr:uid="{00000000-0004-0000-0800-00005D030000}"/>
    <hyperlink ref="E820" r:id="rId863" xr:uid="{00000000-0004-0000-0800-00005E030000}"/>
    <hyperlink ref="E821" r:id="rId864" xr:uid="{00000000-0004-0000-0800-00005F030000}"/>
    <hyperlink ref="E822" r:id="rId865" xr:uid="{00000000-0004-0000-0800-000060030000}"/>
    <hyperlink ref="E823" r:id="rId866" xr:uid="{00000000-0004-0000-0800-000061030000}"/>
    <hyperlink ref="E824" r:id="rId867" xr:uid="{00000000-0004-0000-0800-000062030000}"/>
    <hyperlink ref="E825" r:id="rId868" xr:uid="{00000000-0004-0000-0800-000063030000}"/>
    <hyperlink ref="E826" r:id="rId869" xr:uid="{00000000-0004-0000-0800-000064030000}"/>
    <hyperlink ref="E827" r:id="rId870" xr:uid="{00000000-0004-0000-0800-000065030000}"/>
    <hyperlink ref="E828" r:id="rId871" xr:uid="{00000000-0004-0000-0800-000066030000}"/>
    <hyperlink ref="E829" r:id="rId872" xr:uid="{00000000-0004-0000-0800-000067030000}"/>
    <hyperlink ref="E830" r:id="rId873" xr:uid="{00000000-0004-0000-0800-000068030000}"/>
    <hyperlink ref="E831" r:id="rId874" xr:uid="{00000000-0004-0000-0800-000069030000}"/>
    <hyperlink ref="E832" r:id="rId875" xr:uid="{00000000-0004-0000-0800-00006A030000}"/>
    <hyperlink ref="E833" r:id="rId876" xr:uid="{00000000-0004-0000-0800-00006B030000}"/>
    <hyperlink ref="E834" r:id="rId877" xr:uid="{00000000-0004-0000-0800-00006C030000}"/>
    <hyperlink ref="E835" r:id="rId878" xr:uid="{00000000-0004-0000-0800-00006D030000}"/>
    <hyperlink ref="E836" r:id="rId879" xr:uid="{00000000-0004-0000-0800-00006E030000}"/>
    <hyperlink ref="E837" r:id="rId880" xr:uid="{00000000-0004-0000-0800-00006F030000}"/>
    <hyperlink ref="E838" r:id="rId881" xr:uid="{00000000-0004-0000-0800-000070030000}"/>
    <hyperlink ref="E839" r:id="rId882" xr:uid="{00000000-0004-0000-0800-000071030000}"/>
    <hyperlink ref="E840" r:id="rId883" xr:uid="{00000000-0004-0000-0800-000072030000}"/>
    <hyperlink ref="E841" r:id="rId884" xr:uid="{00000000-0004-0000-0800-000073030000}"/>
    <hyperlink ref="E842" r:id="rId885" xr:uid="{00000000-0004-0000-0800-000074030000}"/>
    <hyperlink ref="E843" r:id="rId886" xr:uid="{00000000-0004-0000-0800-000075030000}"/>
    <hyperlink ref="E844" r:id="rId887" xr:uid="{00000000-0004-0000-0800-000076030000}"/>
    <hyperlink ref="E845" r:id="rId888" xr:uid="{00000000-0004-0000-0800-000077030000}"/>
    <hyperlink ref="E846" r:id="rId889" xr:uid="{00000000-0004-0000-0800-000078030000}"/>
    <hyperlink ref="E847" r:id="rId890" xr:uid="{00000000-0004-0000-0800-000079030000}"/>
    <hyperlink ref="E848" r:id="rId891" xr:uid="{00000000-0004-0000-0800-00007A030000}"/>
    <hyperlink ref="E849" r:id="rId892" xr:uid="{00000000-0004-0000-0800-00007B030000}"/>
    <hyperlink ref="E850" r:id="rId893" xr:uid="{00000000-0004-0000-0800-00007C030000}"/>
    <hyperlink ref="E851" r:id="rId894" xr:uid="{00000000-0004-0000-0800-00007D030000}"/>
    <hyperlink ref="E852" r:id="rId895" xr:uid="{00000000-0004-0000-0800-00007E030000}"/>
    <hyperlink ref="E853" r:id="rId896" xr:uid="{00000000-0004-0000-0800-00007F030000}"/>
    <hyperlink ref="E854" r:id="rId897" xr:uid="{00000000-0004-0000-0800-000080030000}"/>
    <hyperlink ref="E856" r:id="rId898" xr:uid="{00000000-0004-0000-0800-000081030000}"/>
    <hyperlink ref="G856" r:id="rId899" xr:uid="{00000000-0004-0000-0800-000082030000}"/>
    <hyperlink ref="E857" r:id="rId900" xr:uid="{00000000-0004-0000-0800-000083030000}"/>
    <hyperlink ref="G857" r:id="rId901" xr:uid="{00000000-0004-0000-0800-000084030000}"/>
    <hyperlink ref="E858" r:id="rId902" xr:uid="{00000000-0004-0000-0800-000085030000}"/>
    <hyperlink ref="E859" r:id="rId903" xr:uid="{00000000-0004-0000-0800-000086030000}"/>
    <hyperlink ref="E860" r:id="rId904" xr:uid="{00000000-0004-0000-0800-000087030000}"/>
    <hyperlink ref="E861" r:id="rId905" xr:uid="{00000000-0004-0000-0800-000088030000}"/>
    <hyperlink ref="E862" r:id="rId906" xr:uid="{00000000-0004-0000-0800-000089030000}"/>
    <hyperlink ref="E863" r:id="rId907" xr:uid="{00000000-0004-0000-0800-00008A030000}"/>
    <hyperlink ref="E864" r:id="rId908" xr:uid="{00000000-0004-0000-0800-00008B030000}"/>
    <hyperlink ref="E865" r:id="rId909" xr:uid="{00000000-0004-0000-0800-00008C030000}"/>
    <hyperlink ref="E866" r:id="rId910" xr:uid="{00000000-0004-0000-0800-00008D030000}"/>
    <hyperlink ref="E867" r:id="rId911" xr:uid="{00000000-0004-0000-0800-00008E030000}"/>
    <hyperlink ref="E868" r:id="rId912" xr:uid="{00000000-0004-0000-0800-00008F030000}"/>
    <hyperlink ref="E869" r:id="rId913" xr:uid="{00000000-0004-0000-0800-000090030000}"/>
    <hyperlink ref="E870" r:id="rId914" xr:uid="{00000000-0004-0000-0800-000091030000}"/>
    <hyperlink ref="E871" r:id="rId915" xr:uid="{00000000-0004-0000-0800-000092030000}"/>
    <hyperlink ref="E872" r:id="rId916" xr:uid="{00000000-0004-0000-0800-000093030000}"/>
    <hyperlink ref="E873" r:id="rId917" xr:uid="{00000000-0004-0000-0800-000094030000}"/>
    <hyperlink ref="E874" r:id="rId918" xr:uid="{00000000-0004-0000-0800-000095030000}"/>
    <hyperlink ref="E875" r:id="rId919" xr:uid="{00000000-0004-0000-0800-000096030000}"/>
    <hyperlink ref="E876" r:id="rId920" xr:uid="{00000000-0004-0000-0800-000097030000}"/>
    <hyperlink ref="E877" r:id="rId921" xr:uid="{00000000-0004-0000-0800-000098030000}"/>
    <hyperlink ref="E878" r:id="rId922" xr:uid="{00000000-0004-0000-0800-000099030000}"/>
    <hyperlink ref="E879" r:id="rId923" xr:uid="{00000000-0004-0000-0800-00009A030000}"/>
    <hyperlink ref="E880" r:id="rId924" xr:uid="{00000000-0004-0000-0800-00009B030000}"/>
    <hyperlink ref="E881" r:id="rId925" xr:uid="{00000000-0004-0000-0800-00009C030000}"/>
    <hyperlink ref="E882" r:id="rId926" xr:uid="{00000000-0004-0000-0800-00009D030000}"/>
    <hyperlink ref="E883" r:id="rId927" xr:uid="{00000000-0004-0000-0800-00009E030000}"/>
    <hyperlink ref="E884" r:id="rId928" xr:uid="{00000000-0004-0000-0800-00009F030000}"/>
    <hyperlink ref="E885" r:id="rId929" xr:uid="{00000000-0004-0000-0800-0000A0030000}"/>
    <hyperlink ref="E886" r:id="rId930" xr:uid="{00000000-0004-0000-0800-0000A1030000}"/>
    <hyperlink ref="E887" r:id="rId931" xr:uid="{00000000-0004-0000-0800-0000A2030000}"/>
    <hyperlink ref="E888" r:id="rId932" xr:uid="{00000000-0004-0000-0800-0000A3030000}"/>
    <hyperlink ref="E889" r:id="rId933" xr:uid="{00000000-0004-0000-0800-0000A4030000}"/>
    <hyperlink ref="E891" r:id="rId934" xr:uid="{00000000-0004-0000-0800-0000A5030000}"/>
    <hyperlink ref="G891" r:id="rId935" xr:uid="{00000000-0004-0000-0800-0000A6030000}"/>
    <hyperlink ref="E892" r:id="rId936" xr:uid="{00000000-0004-0000-0800-0000A7030000}"/>
    <hyperlink ref="G892" r:id="rId937" xr:uid="{00000000-0004-0000-0800-0000A8030000}"/>
    <hyperlink ref="E893" r:id="rId938" xr:uid="{00000000-0004-0000-0800-0000A9030000}"/>
    <hyperlink ref="E894" r:id="rId939" xr:uid="{00000000-0004-0000-0800-0000AA030000}"/>
    <hyperlink ref="E895" r:id="rId940" xr:uid="{00000000-0004-0000-0800-0000AB030000}"/>
    <hyperlink ref="E896" r:id="rId941" xr:uid="{00000000-0004-0000-0800-0000AC030000}"/>
    <hyperlink ref="E897" r:id="rId942" xr:uid="{00000000-0004-0000-0800-0000AD030000}"/>
    <hyperlink ref="E898" r:id="rId943" xr:uid="{00000000-0004-0000-0800-0000AE030000}"/>
    <hyperlink ref="E899" r:id="rId944" xr:uid="{00000000-0004-0000-0800-0000AF030000}"/>
    <hyperlink ref="E900" r:id="rId945" xr:uid="{00000000-0004-0000-0800-0000B0030000}"/>
    <hyperlink ref="E901" r:id="rId946" xr:uid="{00000000-0004-0000-0800-0000B1030000}"/>
    <hyperlink ref="E902" r:id="rId947" xr:uid="{00000000-0004-0000-0800-0000B2030000}"/>
    <hyperlink ref="E903" r:id="rId948" xr:uid="{00000000-0004-0000-0800-0000B3030000}"/>
    <hyperlink ref="E904" r:id="rId949" xr:uid="{00000000-0004-0000-0800-0000B4030000}"/>
    <hyperlink ref="E905" r:id="rId950" xr:uid="{00000000-0004-0000-0800-0000B5030000}"/>
    <hyperlink ref="E906" r:id="rId951" xr:uid="{00000000-0004-0000-0800-0000B6030000}"/>
    <hyperlink ref="E907" r:id="rId952" xr:uid="{00000000-0004-0000-0800-0000B7030000}"/>
    <hyperlink ref="E908" r:id="rId953" xr:uid="{00000000-0004-0000-0800-0000B8030000}"/>
    <hyperlink ref="E909" r:id="rId954" xr:uid="{00000000-0004-0000-0800-0000B9030000}"/>
    <hyperlink ref="E911" r:id="rId955" xr:uid="{00000000-0004-0000-0800-0000BA030000}"/>
    <hyperlink ref="G911" r:id="rId956" xr:uid="{00000000-0004-0000-0800-0000BB030000}"/>
    <hyperlink ref="E912" r:id="rId957" xr:uid="{00000000-0004-0000-0800-0000BC030000}"/>
    <hyperlink ref="G912" r:id="rId958" xr:uid="{00000000-0004-0000-0800-0000BD030000}"/>
    <hyperlink ref="E913" r:id="rId959" xr:uid="{00000000-0004-0000-0800-0000BE030000}"/>
    <hyperlink ref="G913" r:id="rId960" xr:uid="{00000000-0004-0000-0800-0000BF030000}"/>
    <hyperlink ref="E914" r:id="rId961" xr:uid="{00000000-0004-0000-0800-0000C0030000}"/>
    <hyperlink ref="E915" r:id="rId962" xr:uid="{00000000-0004-0000-0800-0000C1030000}"/>
    <hyperlink ref="E916" r:id="rId963" xr:uid="{00000000-0004-0000-0800-0000C2030000}"/>
    <hyperlink ref="E917" r:id="rId964" xr:uid="{00000000-0004-0000-0800-0000C3030000}"/>
    <hyperlink ref="E918" r:id="rId965" xr:uid="{00000000-0004-0000-0800-0000C4030000}"/>
    <hyperlink ref="E919" r:id="rId966" xr:uid="{00000000-0004-0000-0800-0000C5030000}"/>
    <hyperlink ref="E920" r:id="rId967" xr:uid="{00000000-0004-0000-0800-0000C6030000}"/>
    <hyperlink ref="E921" r:id="rId968" xr:uid="{00000000-0004-0000-0800-0000C7030000}"/>
    <hyperlink ref="E922" r:id="rId969" xr:uid="{00000000-0004-0000-0800-0000C8030000}"/>
    <hyperlink ref="E923" r:id="rId970" xr:uid="{00000000-0004-0000-0800-0000C9030000}"/>
    <hyperlink ref="E924" r:id="rId971" xr:uid="{00000000-0004-0000-0800-0000CA030000}"/>
    <hyperlink ref="E925" r:id="rId972" xr:uid="{00000000-0004-0000-0800-0000CB030000}"/>
    <hyperlink ref="E926" r:id="rId973" xr:uid="{00000000-0004-0000-0800-0000CC030000}"/>
    <hyperlink ref="E927" r:id="rId974" xr:uid="{00000000-0004-0000-0800-0000CD030000}"/>
    <hyperlink ref="E928" r:id="rId975" xr:uid="{00000000-0004-0000-0800-0000CE030000}"/>
    <hyperlink ref="E929" r:id="rId976" xr:uid="{00000000-0004-0000-0800-0000CF030000}"/>
    <hyperlink ref="E930" r:id="rId977" xr:uid="{00000000-0004-0000-0800-0000D0030000}"/>
    <hyperlink ref="E931" r:id="rId978" xr:uid="{00000000-0004-0000-0800-0000D1030000}"/>
    <hyperlink ref="E933" r:id="rId979" xr:uid="{00000000-0004-0000-0800-0000D2030000}"/>
    <hyperlink ref="G933" r:id="rId980" xr:uid="{00000000-0004-0000-0800-0000D3030000}"/>
    <hyperlink ref="E934" r:id="rId981" xr:uid="{00000000-0004-0000-0800-0000D4030000}"/>
    <hyperlink ref="E935" r:id="rId982" xr:uid="{00000000-0004-0000-0800-0000D5030000}"/>
    <hyperlink ref="E936" r:id="rId983" xr:uid="{00000000-0004-0000-0800-0000D6030000}"/>
    <hyperlink ref="E937" r:id="rId984" xr:uid="{00000000-0004-0000-0800-0000D7030000}"/>
    <hyperlink ref="E938" r:id="rId985" xr:uid="{00000000-0004-0000-0800-0000D8030000}"/>
    <hyperlink ref="E939" r:id="rId986" xr:uid="{00000000-0004-0000-0800-0000D9030000}"/>
    <hyperlink ref="E940" r:id="rId987" xr:uid="{00000000-0004-0000-0800-0000DA030000}"/>
    <hyperlink ref="E941" r:id="rId988" xr:uid="{00000000-0004-0000-0800-0000DB030000}"/>
    <hyperlink ref="E942" r:id="rId989" xr:uid="{00000000-0004-0000-0800-0000DC030000}"/>
    <hyperlink ref="E943" r:id="rId990" xr:uid="{00000000-0004-0000-0800-0000DD030000}"/>
    <hyperlink ref="E944" r:id="rId991" xr:uid="{00000000-0004-0000-0800-0000DE030000}"/>
    <hyperlink ref="E945" r:id="rId992" xr:uid="{00000000-0004-0000-0800-0000DF030000}"/>
    <hyperlink ref="E946" r:id="rId993" xr:uid="{00000000-0004-0000-0800-0000E0030000}"/>
    <hyperlink ref="E947" r:id="rId994" xr:uid="{00000000-0004-0000-0800-0000E1030000}"/>
    <hyperlink ref="E948" r:id="rId995" xr:uid="{00000000-0004-0000-0800-0000E2030000}"/>
    <hyperlink ref="E950" r:id="rId996" xr:uid="{00000000-0004-0000-0800-0000E3030000}"/>
    <hyperlink ref="E951" r:id="rId997" xr:uid="{00000000-0004-0000-0800-0000E4030000}"/>
    <hyperlink ref="E952" r:id="rId998" xr:uid="{00000000-0004-0000-0800-0000E5030000}"/>
    <hyperlink ref="E953" r:id="rId999" xr:uid="{00000000-0004-0000-0800-0000E6030000}"/>
    <hyperlink ref="E954" r:id="rId1000" xr:uid="{00000000-0004-0000-0800-0000E7030000}"/>
    <hyperlink ref="E955" r:id="rId1001" xr:uid="{00000000-0004-0000-0800-0000E8030000}"/>
    <hyperlink ref="E956" r:id="rId1002" xr:uid="{00000000-0004-0000-0800-0000E9030000}"/>
    <hyperlink ref="E957" r:id="rId1003" xr:uid="{00000000-0004-0000-0800-0000EA030000}"/>
    <hyperlink ref="E958" r:id="rId1004" xr:uid="{00000000-0004-0000-0800-0000EB030000}"/>
    <hyperlink ref="E959" r:id="rId1005" xr:uid="{00000000-0004-0000-0800-0000EC030000}"/>
    <hyperlink ref="E960" r:id="rId1006" xr:uid="{00000000-0004-0000-0800-0000ED030000}"/>
    <hyperlink ref="E961" r:id="rId1007" xr:uid="{00000000-0004-0000-0800-0000EE030000}"/>
    <hyperlink ref="E962" r:id="rId1008" xr:uid="{00000000-0004-0000-0800-0000EF030000}"/>
    <hyperlink ref="E963" r:id="rId1009" xr:uid="{00000000-0004-0000-0800-0000F0030000}"/>
    <hyperlink ref="E964" r:id="rId1010" xr:uid="{00000000-0004-0000-0800-0000F1030000}"/>
    <hyperlink ref="E965" r:id="rId1011" xr:uid="{00000000-0004-0000-0800-0000F2030000}"/>
    <hyperlink ref="E966" r:id="rId1012" xr:uid="{00000000-0004-0000-0800-0000F3030000}"/>
    <hyperlink ref="E967" r:id="rId1013" xr:uid="{00000000-0004-0000-0800-0000F4030000}"/>
    <hyperlink ref="E968" r:id="rId1014" xr:uid="{00000000-0004-0000-0800-0000F5030000}"/>
    <hyperlink ref="E969" r:id="rId1015" xr:uid="{00000000-0004-0000-0800-0000F6030000}"/>
    <hyperlink ref="E970" r:id="rId1016" xr:uid="{00000000-0004-0000-0800-0000F7030000}"/>
    <hyperlink ref="E971" r:id="rId1017" xr:uid="{00000000-0004-0000-0800-0000F8030000}"/>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6FA8DC"/>
  </sheetPr>
  <dimension ref="A1:I794"/>
  <sheetViews>
    <sheetView workbookViewId="0">
      <pane ySplit="1" topLeftCell="A2" activePane="bottomLeft" state="frozen"/>
      <selection pane="bottomLeft" activeCell="B3" sqref="B3"/>
    </sheetView>
  </sheetViews>
  <sheetFormatPr baseColWidth="10" defaultColWidth="11.1640625" defaultRowHeight="15" customHeight="1"/>
  <cols>
    <col min="1" max="1" width="29" customWidth="1"/>
    <col min="2" max="2" width="31.83203125" customWidth="1"/>
    <col min="3" max="3" width="15.5" customWidth="1"/>
    <col min="4" max="4" width="15.33203125" customWidth="1"/>
    <col min="5" max="5" width="52.83203125" customWidth="1"/>
    <col min="6" max="6" width="26.6640625" hidden="1" customWidth="1"/>
    <col min="7" max="7" width="34.83203125" customWidth="1"/>
    <col min="8" max="8" width="15.1640625" hidden="1" customWidth="1"/>
    <col min="9" max="9" width="10.5" customWidth="1"/>
  </cols>
  <sheetData>
    <row r="1" spans="1:8" ht="33" customHeight="1">
      <c r="A1" s="194" t="s">
        <v>59</v>
      </c>
      <c r="B1" s="195" t="s">
        <v>4151</v>
      </c>
      <c r="C1" s="196" t="s">
        <v>4152</v>
      </c>
      <c r="D1" s="196" t="s">
        <v>62</v>
      </c>
      <c r="E1" s="196" t="s">
        <v>4153</v>
      </c>
      <c r="F1" s="197" t="s">
        <v>64</v>
      </c>
      <c r="G1" s="198" t="s">
        <v>65</v>
      </c>
      <c r="H1" s="197" t="s">
        <v>66</v>
      </c>
    </row>
    <row r="2" spans="1:8" ht="15.75" customHeight="1">
      <c r="A2" s="121" t="s">
        <v>0</v>
      </c>
      <c r="B2" s="121" t="s">
        <v>4154</v>
      </c>
      <c r="C2" s="130" t="s">
        <v>68</v>
      </c>
      <c r="D2" s="130" t="s">
        <v>62</v>
      </c>
      <c r="E2" s="199" t="s">
        <v>69</v>
      </c>
      <c r="F2" s="130"/>
      <c r="G2" s="130" t="s">
        <v>70</v>
      </c>
    </row>
    <row r="3" spans="1:8" ht="15.75" customHeight="1">
      <c r="A3" s="121" t="s">
        <v>0</v>
      </c>
      <c r="B3" s="121" t="s">
        <v>4154</v>
      </c>
      <c r="C3" s="43">
        <v>3207213</v>
      </c>
      <c r="D3" s="1" t="s">
        <v>80</v>
      </c>
      <c r="E3" s="49" t="s">
        <v>4155</v>
      </c>
      <c r="F3" s="121"/>
      <c r="G3" s="200" t="s">
        <v>4156</v>
      </c>
    </row>
    <row r="4" spans="1:8" ht="15.75" customHeight="1">
      <c r="A4" s="121" t="s">
        <v>0</v>
      </c>
      <c r="B4" s="121" t="s">
        <v>4154</v>
      </c>
      <c r="C4" s="43">
        <v>2390305</v>
      </c>
      <c r="D4" s="1" t="s">
        <v>71</v>
      </c>
      <c r="E4" s="45" t="s">
        <v>4157</v>
      </c>
      <c r="F4" s="201"/>
      <c r="G4" s="200" t="s">
        <v>4158</v>
      </c>
    </row>
    <row r="5" spans="1:8" ht="15.75" customHeight="1">
      <c r="A5" s="121" t="s">
        <v>0</v>
      </c>
      <c r="B5" s="121" t="s">
        <v>4154</v>
      </c>
      <c r="C5" s="43">
        <v>2883009</v>
      </c>
      <c r="D5" s="1" t="s">
        <v>80</v>
      </c>
      <c r="E5" s="45" t="s">
        <v>4159</v>
      </c>
      <c r="F5" s="121"/>
      <c r="G5" s="200" t="s">
        <v>4160</v>
      </c>
    </row>
    <row r="6" spans="1:8" ht="15.75" customHeight="1">
      <c r="A6" s="121" t="s">
        <v>0</v>
      </c>
      <c r="B6" s="121" t="s">
        <v>4154</v>
      </c>
      <c r="C6" s="43">
        <v>2885010</v>
      </c>
      <c r="D6" s="1" t="s">
        <v>80</v>
      </c>
      <c r="E6" s="45" t="s">
        <v>4161</v>
      </c>
      <c r="F6" s="121"/>
      <c r="G6" s="200" t="s">
        <v>4162</v>
      </c>
    </row>
    <row r="7" spans="1:8" ht="15.75" customHeight="1">
      <c r="A7" s="121" t="s">
        <v>0</v>
      </c>
      <c r="B7" s="121" t="s">
        <v>4154</v>
      </c>
      <c r="C7" s="43">
        <v>2886010</v>
      </c>
      <c r="D7" s="1" t="s">
        <v>71</v>
      </c>
      <c r="E7" s="45" t="s">
        <v>4163</v>
      </c>
      <c r="F7" s="121"/>
      <c r="G7" s="200" t="s">
        <v>4164</v>
      </c>
    </row>
    <row r="8" spans="1:8" ht="15.75" customHeight="1">
      <c r="A8" s="121" t="s">
        <v>0</v>
      </c>
      <c r="B8" s="121" t="s">
        <v>4154</v>
      </c>
      <c r="C8" s="43">
        <v>694712</v>
      </c>
      <c r="D8" s="1" t="s">
        <v>80</v>
      </c>
      <c r="E8" s="45" t="s">
        <v>4165</v>
      </c>
      <c r="F8" s="121"/>
      <c r="G8" s="202"/>
    </row>
    <row r="9" spans="1:8" ht="15.75" customHeight="1">
      <c r="A9" s="121" t="s">
        <v>0</v>
      </c>
      <c r="B9" s="121" t="s">
        <v>4154</v>
      </c>
      <c r="C9" s="43">
        <v>464632</v>
      </c>
      <c r="D9" s="1" t="s">
        <v>80</v>
      </c>
      <c r="E9" s="45" t="s">
        <v>4166</v>
      </c>
      <c r="F9" s="121"/>
      <c r="G9" s="202"/>
    </row>
    <row r="10" spans="1:8" ht="15.75" customHeight="1">
      <c r="A10" s="121" t="s">
        <v>0</v>
      </c>
      <c r="B10" s="121" t="s">
        <v>4154</v>
      </c>
      <c r="C10" s="43">
        <v>2921702</v>
      </c>
      <c r="D10" s="1" t="s">
        <v>71</v>
      </c>
      <c r="E10" s="45" t="s">
        <v>4167</v>
      </c>
      <c r="F10" s="121"/>
      <c r="G10" s="202"/>
    </row>
    <row r="11" spans="1:8" ht="15.75" customHeight="1">
      <c r="A11" s="121" t="s">
        <v>0</v>
      </c>
      <c r="B11" s="121" t="s">
        <v>4154</v>
      </c>
      <c r="C11" s="43">
        <v>2823374</v>
      </c>
      <c r="D11" s="1" t="s">
        <v>80</v>
      </c>
      <c r="E11" s="45" t="s">
        <v>4168</v>
      </c>
      <c r="F11" s="121"/>
      <c r="G11" s="202"/>
    </row>
    <row r="12" spans="1:8" ht="15.75" customHeight="1">
      <c r="A12" s="121" t="s">
        <v>0</v>
      </c>
      <c r="B12" s="121" t="s">
        <v>4154</v>
      </c>
      <c r="C12" s="43">
        <v>2930309</v>
      </c>
      <c r="D12" s="1" t="s">
        <v>71</v>
      </c>
      <c r="E12" s="45" t="s">
        <v>4169</v>
      </c>
      <c r="F12" s="121"/>
      <c r="G12" s="202"/>
    </row>
    <row r="13" spans="1:8" ht="15.75" customHeight="1">
      <c r="A13" s="121" t="s">
        <v>0</v>
      </c>
      <c r="B13" s="121" t="s">
        <v>4154</v>
      </c>
      <c r="C13" s="43">
        <v>3204151</v>
      </c>
      <c r="D13" s="1" t="s">
        <v>80</v>
      </c>
      <c r="E13" s="49" t="s">
        <v>4170</v>
      </c>
      <c r="F13" s="121"/>
      <c r="G13" s="202"/>
    </row>
    <row r="14" spans="1:8" ht="15.75" customHeight="1">
      <c r="A14" s="121" t="s">
        <v>0</v>
      </c>
      <c r="B14" s="121" t="s">
        <v>4154</v>
      </c>
      <c r="C14" s="43">
        <v>2919355</v>
      </c>
      <c r="D14" s="1" t="s">
        <v>71</v>
      </c>
      <c r="E14" s="45" t="s">
        <v>4171</v>
      </c>
      <c r="F14" s="121"/>
      <c r="G14" s="202"/>
    </row>
    <row r="15" spans="1:8" ht="15.75" customHeight="1">
      <c r="A15" s="121" t="s">
        <v>0</v>
      </c>
      <c r="B15" s="121" t="s">
        <v>4154</v>
      </c>
      <c r="C15" s="43">
        <v>622393</v>
      </c>
      <c r="D15" s="1" t="s">
        <v>71</v>
      </c>
      <c r="E15" s="45" t="s">
        <v>4172</v>
      </c>
      <c r="F15" s="121"/>
      <c r="G15" s="203"/>
    </row>
    <row r="16" spans="1:8" ht="15.75" customHeight="1">
      <c r="A16" s="121" t="s">
        <v>0</v>
      </c>
      <c r="B16" s="121" t="s">
        <v>4154</v>
      </c>
      <c r="C16" s="43">
        <v>3107658</v>
      </c>
      <c r="D16" s="1" t="s">
        <v>71</v>
      </c>
      <c r="E16" s="45" t="s">
        <v>4173</v>
      </c>
      <c r="F16" s="121"/>
      <c r="G16" s="203"/>
    </row>
    <row r="17" spans="1:7" ht="15.75" customHeight="1">
      <c r="A17" s="121" t="s">
        <v>0</v>
      </c>
      <c r="B17" s="121" t="s">
        <v>4154</v>
      </c>
      <c r="C17" s="43">
        <v>2834036</v>
      </c>
      <c r="D17" s="1" t="s">
        <v>80</v>
      </c>
      <c r="E17" s="45" t="s">
        <v>4174</v>
      </c>
      <c r="F17" s="121"/>
      <c r="G17" s="203"/>
    </row>
    <row r="18" spans="1:7" ht="15.75" customHeight="1">
      <c r="A18" s="121" t="s">
        <v>0</v>
      </c>
      <c r="B18" s="121" t="s">
        <v>4154</v>
      </c>
      <c r="C18" s="43">
        <v>714748</v>
      </c>
      <c r="D18" s="1" t="s">
        <v>80</v>
      </c>
      <c r="E18" s="49" t="s">
        <v>4175</v>
      </c>
      <c r="F18" s="121"/>
      <c r="G18" s="203"/>
    </row>
    <row r="19" spans="1:7" ht="15.75" customHeight="1">
      <c r="A19" s="121" t="s">
        <v>0</v>
      </c>
      <c r="B19" s="121" t="s">
        <v>4154</v>
      </c>
      <c r="C19" s="43">
        <v>2838114</v>
      </c>
      <c r="D19" s="1" t="s">
        <v>80</v>
      </c>
      <c r="E19" s="45" t="s">
        <v>4176</v>
      </c>
      <c r="F19" s="121"/>
      <c r="G19" s="203"/>
    </row>
    <row r="20" spans="1:7" ht="15.75" customHeight="1">
      <c r="A20" s="121" t="s">
        <v>0</v>
      </c>
      <c r="B20" s="121" t="s">
        <v>4154</v>
      </c>
      <c r="C20" s="43">
        <v>781084</v>
      </c>
      <c r="D20" s="1" t="s">
        <v>71</v>
      </c>
      <c r="E20" s="45" t="s">
        <v>4177</v>
      </c>
      <c r="F20" s="121"/>
      <c r="G20" s="203"/>
    </row>
    <row r="21" spans="1:7" ht="15.75" customHeight="1">
      <c r="A21" s="121" t="s">
        <v>0</v>
      </c>
      <c r="B21" s="121" t="s">
        <v>4154</v>
      </c>
      <c r="C21" s="43">
        <v>511184</v>
      </c>
      <c r="D21" s="1" t="s">
        <v>80</v>
      </c>
      <c r="E21" s="45" t="s">
        <v>4178</v>
      </c>
      <c r="F21" s="121"/>
      <c r="G21" s="203"/>
    </row>
    <row r="22" spans="1:7" ht="15.75" customHeight="1">
      <c r="A22" s="121" t="s">
        <v>0</v>
      </c>
      <c r="B22" s="121" t="s">
        <v>4154</v>
      </c>
      <c r="C22" s="43">
        <v>3107703</v>
      </c>
      <c r="D22" s="1" t="s">
        <v>71</v>
      </c>
      <c r="E22" s="45" t="s">
        <v>4179</v>
      </c>
      <c r="F22" s="121"/>
      <c r="G22" s="203"/>
    </row>
    <row r="23" spans="1:7" ht="15.75" customHeight="1">
      <c r="A23" s="121" t="s">
        <v>0</v>
      </c>
      <c r="B23" s="121" t="s">
        <v>4154</v>
      </c>
      <c r="C23" s="43">
        <v>778444</v>
      </c>
      <c r="D23" s="1" t="s">
        <v>80</v>
      </c>
      <c r="E23" s="45" t="s">
        <v>4180</v>
      </c>
      <c r="F23" s="121"/>
      <c r="G23" s="203"/>
    </row>
    <row r="24" spans="1:7" ht="15.75" customHeight="1">
      <c r="A24" s="121" t="s">
        <v>0</v>
      </c>
      <c r="B24" s="121" t="s">
        <v>4154</v>
      </c>
      <c r="C24" s="43">
        <v>602729</v>
      </c>
      <c r="D24" s="1" t="s">
        <v>71</v>
      </c>
      <c r="E24" s="45" t="s">
        <v>4181</v>
      </c>
      <c r="F24" s="121"/>
      <c r="G24" s="203"/>
    </row>
    <row r="25" spans="1:7" ht="15.75" customHeight="1">
      <c r="A25" s="121" t="s">
        <v>0</v>
      </c>
      <c r="B25" s="121" t="s">
        <v>4154</v>
      </c>
      <c r="C25" s="43">
        <v>738774</v>
      </c>
      <c r="D25" s="1" t="s">
        <v>71</v>
      </c>
      <c r="E25" s="49" t="s">
        <v>4182</v>
      </c>
      <c r="F25" s="121"/>
      <c r="G25" s="203"/>
    </row>
    <row r="26" spans="1:7" ht="15.75" customHeight="1">
      <c r="A26" s="121" t="s">
        <v>0</v>
      </c>
      <c r="B26" s="121" t="s">
        <v>4154</v>
      </c>
      <c r="C26" s="43">
        <v>778463</v>
      </c>
      <c r="D26" s="1" t="s">
        <v>71</v>
      </c>
      <c r="E26" s="45" t="s">
        <v>4183</v>
      </c>
      <c r="F26" s="121"/>
      <c r="G26" s="203"/>
    </row>
    <row r="27" spans="1:7" ht="15.75" customHeight="1">
      <c r="A27" s="121" t="s">
        <v>0</v>
      </c>
      <c r="B27" s="121" t="s">
        <v>4154</v>
      </c>
      <c r="C27" s="43">
        <v>792279</v>
      </c>
      <c r="D27" s="1" t="s">
        <v>80</v>
      </c>
      <c r="E27" s="45" t="s">
        <v>4184</v>
      </c>
      <c r="F27" s="121"/>
      <c r="G27" s="203"/>
    </row>
    <row r="28" spans="1:7" ht="15.75" customHeight="1">
      <c r="A28" s="121" t="s">
        <v>0</v>
      </c>
      <c r="B28" s="121" t="s">
        <v>4154</v>
      </c>
      <c r="C28" s="43">
        <v>796909</v>
      </c>
      <c r="D28" s="1" t="s">
        <v>90</v>
      </c>
      <c r="E28" s="45" t="s">
        <v>4185</v>
      </c>
      <c r="F28" s="121"/>
      <c r="G28" s="203"/>
    </row>
    <row r="29" spans="1:7" ht="15.75" customHeight="1">
      <c r="A29" s="121" t="s">
        <v>0</v>
      </c>
      <c r="B29" s="121" t="s">
        <v>4154</v>
      </c>
      <c r="C29" s="43">
        <v>796908</v>
      </c>
      <c r="D29" s="1" t="s">
        <v>80</v>
      </c>
      <c r="E29" s="45" t="s">
        <v>4186</v>
      </c>
      <c r="F29" s="121"/>
      <c r="G29" s="203"/>
    </row>
    <row r="30" spans="1:7" ht="15.75" customHeight="1">
      <c r="A30" s="121" t="s">
        <v>0</v>
      </c>
      <c r="B30" s="121" t="s">
        <v>4154</v>
      </c>
      <c r="C30" s="43">
        <v>2937990</v>
      </c>
      <c r="D30" s="1" t="s">
        <v>71</v>
      </c>
      <c r="E30" s="49" t="s">
        <v>4187</v>
      </c>
      <c r="F30" s="121"/>
      <c r="G30" s="203"/>
    </row>
    <row r="31" spans="1:7" ht="15.75" customHeight="1">
      <c r="A31" s="121" t="s">
        <v>0</v>
      </c>
      <c r="B31" s="121" t="s">
        <v>4154</v>
      </c>
      <c r="C31" s="43">
        <v>568502</v>
      </c>
      <c r="D31" s="1" t="s">
        <v>101</v>
      </c>
      <c r="E31" s="45" t="s">
        <v>4188</v>
      </c>
      <c r="F31" s="121"/>
      <c r="G31" s="203"/>
    </row>
    <row r="32" spans="1:7" ht="15.75" customHeight="1">
      <c r="A32" s="121" t="s">
        <v>0</v>
      </c>
      <c r="B32" s="121" t="s">
        <v>4154</v>
      </c>
      <c r="C32" s="43">
        <v>2922800</v>
      </c>
      <c r="D32" s="1" t="s">
        <v>71</v>
      </c>
      <c r="E32" s="49" t="s">
        <v>4189</v>
      </c>
      <c r="F32" s="121"/>
      <c r="G32" s="203"/>
    </row>
    <row r="33" spans="1:7" ht="15.75" customHeight="1">
      <c r="A33" s="121" t="s">
        <v>0</v>
      </c>
      <c r="B33" s="121" t="s">
        <v>4154</v>
      </c>
      <c r="C33" s="43">
        <v>503887</v>
      </c>
      <c r="D33" s="1" t="s">
        <v>80</v>
      </c>
      <c r="E33" s="45" t="s">
        <v>4190</v>
      </c>
      <c r="F33" s="121"/>
      <c r="G33" s="203"/>
    </row>
    <row r="34" spans="1:7" ht="15.75" customHeight="1">
      <c r="A34" s="121" t="s">
        <v>0</v>
      </c>
      <c r="B34" s="121" t="s">
        <v>4154</v>
      </c>
      <c r="C34" s="43">
        <v>553205</v>
      </c>
      <c r="D34" s="1" t="s">
        <v>80</v>
      </c>
      <c r="E34" s="45" t="s">
        <v>4191</v>
      </c>
      <c r="F34" s="121"/>
      <c r="G34" s="203"/>
    </row>
    <row r="35" spans="1:7" ht="15.75" customHeight="1">
      <c r="A35" s="121" t="s">
        <v>0</v>
      </c>
      <c r="B35" s="121" t="s">
        <v>4154</v>
      </c>
      <c r="C35" s="43">
        <v>551303</v>
      </c>
      <c r="D35" s="1" t="s">
        <v>71</v>
      </c>
      <c r="E35" s="45" t="s">
        <v>4192</v>
      </c>
      <c r="F35" s="121"/>
      <c r="G35" s="203"/>
    </row>
    <row r="36" spans="1:7" ht="15.75" customHeight="1">
      <c r="A36" s="121" t="s">
        <v>0</v>
      </c>
      <c r="B36" s="121" t="s">
        <v>4154</v>
      </c>
      <c r="C36" s="43">
        <v>538858</v>
      </c>
      <c r="D36" s="1" t="s">
        <v>80</v>
      </c>
      <c r="E36" s="45" t="s">
        <v>4193</v>
      </c>
      <c r="F36" s="121"/>
      <c r="G36" s="203"/>
    </row>
    <row r="37" spans="1:7" ht="15.75" customHeight="1">
      <c r="A37" s="121" t="s">
        <v>0</v>
      </c>
      <c r="B37" s="121" t="s">
        <v>4154</v>
      </c>
      <c r="C37" s="43">
        <v>800574</v>
      </c>
      <c r="D37" s="1" t="s">
        <v>71</v>
      </c>
      <c r="E37" s="45" t="s">
        <v>4194</v>
      </c>
      <c r="F37" s="121"/>
      <c r="G37" s="203"/>
    </row>
    <row r="38" spans="1:7" ht="15.75" customHeight="1">
      <c r="A38" s="121" t="s">
        <v>0</v>
      </c>
      <c r="B38" s="121" t="s">
        <v>4154</v>
      </c>
      <c r="C38" s="43">
        <v>2822437</v>
      </c>
      <c r="D38" s="1" t="s">
        <v>71</v>
      </c>
      <c r="E38" s="49" t="s">
        <v>4195</v>
      </c>
      <c r="F38" s="121"/>
      <c r="G38" s="203"/>
    </row>
    <row r="39" spans="1:7" ht="15.75" customHeight="1">
      <c r="A39" s="121" t="s">
        <v>0</v>
      </c>
      <c r="B39" s="121" t="s">
        <v>4154</v>
      </c>
      <c r="C39" s="43">
        <v>193431</v>
      </c>
      <c r="D39" s="1" t="s">
        <v>80</v>
      </c>
      <c r="E39" s="45" t="s">
        <v>4196</v>
      </c>
      <c r="F39" s="121"/>
      <c r="G39" s="203"/>
    </row>
    <row r="40" spans="1:7" ht="15.75" customHeight="1">
      <c r="A40" s="121" t="s">
        <v>0</v>
      </c>
      <c r="B40" s="121" t="s">
        <v>4154</v>
      </c>
      <c r="C40" s="43">
        <v>2823375</v>
      </c>
      <c r="D40" s="1" t="s">
        <v>83</v>
      </c>
      <c r="E40" s="45" t="s">
        <v>4197</v>
      </c>
      <c r="F40" s="121"/>
      <c r="G40" s="203"/>
    </row>
    <row r="41" spans="1:7" ht="16.5" customHeight="1">
      <c r="A41" s="121" t="s">
        <v>1</v>
      </c>
      <c r="B41" s="121" t="s">
        <v>4198</v>
      </c>
      <c r="C41" s="130" t="s">
        <v>68</v>
      </c>
      <c r="D41" s="130" t="s">
        <v>62</v>
      </c>
      <c r="E41" s="199" t="s">
        <v>69</v>
      </c>
      <c r="F41" s="130"/>
      <c r="G41" s="200" t="s">
        <v>70</v>
      </c>
    </row>
    <row r="42" spans="1:7" ht="16.5" customHeight="1">
      <c r="A42" s="121" t="s">
        <v>1</v>
      </c>
      <c r="B42" s="121" t="s">
        <v>4198</v>
      </c>
      <c r="C42" s="43">
        <v>2391289</v>
      </c>
      <c r="D42" s="1" t="s">
        <v>80</v>
      </c>
      <c r="E42" s="45" t="s">
        <v>4199</v>
      </c>
      <c r="F42" s="121"/>
      <c r="G42" s="200" t="s">
        <v>4200</v>
      </c>
    </row>
    <row r="43" spans="1:7" ht="15.75" customHeight="1">
      <c r="A43" s="121" t="s">
        <v>1</v>
      </c>
      <c r="B43" s="121" t="s">
        <v>4198</v>
      </c>
      <c r="C43" s="43">
        <v>193475</v>
      </c>
      <c r="D43" s="1" t="s">
        <v>80</v>
      </c>
      <c r="E43" s="45" t="s">
        <v>4200</v>
      </c>
      <c r="F43" s="121"/>
      <c r="G43" s="200" t="s">
        <v>4201</v>
      </c>
    </row>
    <row r="44" spans="1:7" ht="15.75" customHeight="1">
      <c r="A44" s="121" t="s">
        <v>1</v>
      </c>
      <c r="B44" s="121" t="s">
        <v>4198</v>
      </c>
      <c r="C44" s="43">
        <v>2922387</v>
      </c>
      <c r="D44" s="1" t="s">
        <v>71</v>
      </c>
      <c r="E44" s="45" t="s">
        <v>4202</v>
      </c>
      <c r="F44" s="121"/>
      <c r="G44" s="200" t="s">
        <v>4203</v>
      </c>
    </row>
    <row r="45" spans="1:7" ht="15.75" customHeight="1">
      <c r="A45" s="121" t="s">
        <v>1</v>
      </c>
      <c r="B45" s="121" t="s">
        <v>4198</v>
      </c>
      <c r="C45" s="43">
        <v>560464</v>
      </c>
      <c r="D45" s="1" t="s">
        <v>80</v>
      </c>
      <c r="E45" s="45" t="s">
        <v>4204</v>
      </c>
      <c r="F45" s="121"/>
      <c r="G45" s="200" t="s">
        <v>4205</v>
      </c>
    </row>
    <row r="46" spans="1:7" ht="15.75" customHeight="1">
      <c r="A46" s="121" t="s">
        <v>1</v>
      </c>
      <c r="B46" s="121" t="s">
        <v>4198</v>
      </c>
      <c r="C46" s="43">
        <v>708567</v>
      </c>
      <c r="D46" s="1" t="s">
        <v>71</v>
      </c>
      <c r="E46" s="45" t="s">
        <v>4206</v>
      </c>
      <c r="F46" s="121"/>
      <c r="G46" s="202"/>
    </row>
    <row r="47" spans="1:7" ht="15.75" customHeight="1">
      <c r="A47" s="121" t="s">
        <v>1</v>
      </c>
      <c r="B47" s="121" t="s">
        <v>4198</v>
      </c>
      <c r="C47" s="43">
        <v>648463</v>
      </c>
      <c r="D47" s="1" t="s">
        <v>83</v>
      </c>
      <c r="E47" s="45" t="s">
        <v>4207</v>
      </c>
      <c r="F47" s="121"/>
      <c r="G47" s="202"/>
    </row>
    <row r="48" spans="1:7" ht="15.75" customHeight="1">
      <c r="A48" s="121" t="s">
        <v>1</v>
      </c>
      <c r="B48" s="121" t="s">
        <v>4198</v>
      </c>
      <c r="C48" s="43">
        <v>2982070</v>
      </c>
      <c r="D48" s="1" t="s">
        <v>71</v>
      </c>
      <c r="E48" s="45" t="s">
        <v>4208</v>
      </c>
      <c r="F48" s="121"/>
      <c r="G48" s="202"/>
    </row>
    <row r="49" spans="1:7" ht="15.75" customHeight="1">
      <c r="A49" s="121" t="s">
        <v>1</v>
      </c>
      <c r="B49" s="121" t="s">
        <v>4198</v>
      </c>
      <c r="C49" s="43">
        <v>616401</v>
      </c>
      <c r="D49" s="1" t="s">
        <v>71</v>
      </c>
      <c r="E49" s="45" t="s">
        <v>4209</v>
      </c>
      <c r="F49" s="121"/>
      <c r="G49" s="202"/>
    </row>
    <row r="50" spans="1:7" ht="15.75" customHeight="1">
      <c r="A50" s="121" t="s">
        <v>1</v>
      </c>
      <c r="B50" s="121" t="s">
        <v>4198</v>
      </c>
      <c r="C50" s="43">
        <v>3107658</v>
      </c>
      <c r="D50" s="1" t="s">
        <v>71</v>
      </c>
      <c r="E50" s="45" t="s">
        <v>4173</v>
      </c>
      <c r="F50" s="121"/>
      <c r="G50" s="202"/>
    </row>
    <row r="51" spans="1:7" ht="15.75" customHeight="1">
      <c r="A51" s="121" t="s">
        <v>1</v>
      </c>
      <c r="B51" s="121" t="s">
        <v>4198</v>
      </c>
      <c r="C51" s="43">
        <v>2250561</v>
      </c>
      <c r="D51" s="1" t="s">
        <v>71</v>
      </c>
      <c r="E51" s="49" t="s">
        <v>4210</v>
      </c>
      <c r="F51" s="121"/>
      <c r="G51" s="202"/>
    </row>
    <row r="52" spans="1:7" ht="15.75" customHeight="1">
      <c r="A52" s="121" t="s">
        <v>1</v>
      </c>
      <c r="B52" s="121" t="s">
        <v>4198</v>
      </c>
      <c r="C52" s="43">
        <v>2823372</v>
      </c>
      <c r="D52" s="1" t="s">
        <v>90</v>
      </c>
      <c r="E52" s="49" t="s">
        <v>4211</v>
      </c>
      <c r="F52" s="121"/>
      <c r="G52" s="202"/>
    </row>
    <row r="53" spans="1:7" ht="15.75" customHeight="1">
      <c r="A53" s="121" t="s">
        <v>1</v>
      </c>
      <c r="B53" s="121" t="s">
        <v>4198</v>
      </c>
      <c r="C53" s="43">
        <v>2942173</v>
      </c>
      <c r="D53" s="1" t="s">
        <v>71</v>
      </c>
      <c r="E53" s="45" t="s">
        <v>4212</v>
      </c>
      <c r="F53" s="121"/>
      <c r="G53" s="202"/>
    </row>
    <row r="54" spans="1:7" ht="15.75" customHeight="1">
      <c r="A54" s="121" t="s">
        <v>1</v>
      </c>
      <c r="B54" s="121" t="s">
        <v>4198</v>
      </c>
      <c r="C54" s="43">
        <v>2834036</v>
      </c>
      <c r="D54" s="1" t="s">
        <v>80</v>
      </c>
      <c r="E54" s="45" t="s">
        <v>4174</v>
      </c>
      <c r="F54" s="121"/>
      <c r="G54" s="202"/>
    </row>
    <row r="55" spans="1:7" ht="15.75" customHeight="1">
      <c r="A55" s="121" t="s">
        <v>1</v>
      </c>
      <c r="B55" s="121" t="s">
        <v>4198</v>
      </c>
      <c r="C55" s="43">
        <v>714748</v>
      </c>
      <c r="D55" s="1" t="s">
        <v>80</v>
      </c>
      <c r="E55" s="49" t="s">
        <v>4175</v>
      </c>
      <c r="F55" s="121"/>
      <c r="G55" s="202"/>
    </row>
    <row r="56" spans="1:7" ht="15.75" customHeight="1">
      <c r="A56" s="121" t="s">
        <v>1</v>
      </c>
      <c r="B56" s="121" t="s">
        <v>4198</v>
      </c>
      <c r="C56" s="43">
        <v>511184</v>
      </c>
      <c r="D56" s="1" t="s">
        <v>80</v>
      </c>
      <c r="E56" s="45" t="s">
        <v>4178</v>
      </c>
      <c r="F56" s="121"/>
      <c r="G56" s="202"/>
    </row>
    <row r="57" spans="1:7" ht="15.75" customHeight="1">
      <c r="A57" s="121" t="s">
        <v>1</v>
      </c>
      <c r="B57" s="121" t="s">
        <v>4198</v>
      </c>
      <c r="C57" s="43">
        <v>561069</v>
      </c>
      <c r="D57" s="1" t="s">
        <v>80</v>
      </c>
      <c r="E57" s="45" t="s">
        <v>4213</v>
      </c>
      <c r="F57" s="121"/>
      <c r="G57" s="202"/>
    </row>
    <row r="58" spans="1:7" ht="15.75" customHeight="1">
      <c r="A58" s="121" t="s">
        <v>1</v>
      </c>
      <c r="B58" s="121" t="s">
        <v>4198</v>
      </c>
      <c r="C58" s="43">
        <v>575896</v>
      </c>
      <c r="D58" s="1" t="s">
        <v>80</v>
      </c>
      <c r="E58" s="45" t="s">
        <v>4214</v>
      </c>
      <c r="F58" s="121"/>
      <c r="G58" s="202"/>
    </row>
    <row r="59" spans="1:7" ht="15.75" customHeight="1">
      <c r="A59" s="121" t="s">
        <v>1</v>
      </c>
      <c r="B59" s="121" t="s">
        <v>4198</v>
      </c>
      <c r="C59" s="43">
        <v>3107703</v>
      </c>
      <c r="D59" s="1" t="s">
        <v>71</v>
      </c>
      <c r="E59" s="45" t="s">
        <v>4179</v>
      </c>
      <c r="F59" s="121"/>
      <c r="G59" s="202"/>
    </row>
    <row r="60" spans="1:7" ht="15.75" customHeight="1">
      <c r="A60" s="121" t="s">
        <v>1</v>
      </c>
      <c r="B60" s="121" t="s">
        <v>4198</v>
      </c>
      <c r="C60" s="43">
        <v>622394</v>
      </c>
      <c r="D60" s="1" t="s">
        <v>80</v>
      </c>
      <c r="E60" s="45" t="s">
        <v>4215</v>
      </c>
      <c r="F60" s="121"/>
      <c r="G60" s="202"/>
    </row>
    <row r="61" spans="1:7" ht="15.75" customHeight="1">
      <c r="A61" s="121" t="s">
        <v>1</v>
      </c>
      <c r="B61" s="121" t="s">
        <v>4198</v>
      </c>
      <c r="C61" s="43">
        <v>778444</v>
      </c>
      <c r="D61" s="1" t="s">
        <v>80</v>
      </c>
      <c r="E61" s="45" t="s">
        <v>4180</v>
      </c>
      <c r="F61" s="121"/>
      <c r="G61" s="202"/>
    </row>
    <row r="62" spans="1:7" ht="15.75" customHeight="1">
      <c r="A62" s="121" t="s">
        <v>1</v>
      </c>
      <c r="B62" s="121" t="s">
        <v>4198</v>
      </c>
      <c r="C62" s="43">
        <v>5025546</v>
      </c>
      <c r="D62" s="1" t="s">
        <v>71</v>
      </c>
      <c r="E62" s="45" t="s">
        <v>4216</v>
      </c>
      <c r="F62" s="121"/>
      <c r="G62" s="202"/>
    </row>
    <row r="63" spans="1:7" ht="15.75" customHeight="1">
      <c r="A63" s="121" t="s">
        <v>1</v>
      </c>
      <c r="B63" s="121" t="s">
        <v>4198</v>
      </c>
      <c r="C63" s="43">
        <v>575062</v>
      </c>
      <c r="D63" s="1" t="s">
        <v>71</v>
      </c>
      <c r="E63" s="45" t="s">
        <v>4201</v>
      </c>
      <c r="F63" s="121"/>
      <c r="G63" s="202"/>
    </row>
    <row r="64" spans="1:7" ht="15.75" customHeight="1">
      <c r="A64" s="121" t="s">
        <v>1</v>
      </c>
      <c r="B64" s="121" t="s">
        <v>4198</v>
      </c>
      <c r="C64" s="43">
        <v>2822438</v>
      </c>
      <c r="D64" s="1" t="s">
        <v>101</v>
      </c>
      <c r="E64" s="45" t="s">
        <v>4217</v>
      </c>
      <c r="F64" s="121"/>
      <c r="G64" s="202"/>
    </row>
    <row r="65" spans="1:7" ht="15.75" customHeight="1">
      <c r="A65" s="121" t="s">
        <v>1</v>
      </c>
      <c r="B65" s="121" t="s">
        <v>4198</v>
      </c>
      <c r="C65" s="43">
        <v>796912</v>
      </c>
      <c r="D65" s="1" t="s">
        <v>71</v>
      </c>
      <c r="E65" s="49" t="s">
        <v>4218</v>
      </c>
      <c r="F65" s="121"/>
      <c r="G65" s="202"/>
    </row>
    <row r="66" spans="1:7" ht="15.75" customHeight="1">
      <c r="A66" s="121" t="s">
        <v>1</v>
      </c>
      <c r="B66" s="121" t="s">
        <v>4198</v>
      </c>
      <c r="C66" s="43">
        <v>679792</v>
      </c>
      <c r="D66" s="1" t="s">
        <v>101</v>
      </c>
      <c r="E66" s="49" t="s">
        <v>4219</v>
      </c>
      <c r="F66" s="121"/>
      <c r="G66" s="202"/>
    </row>
    <row r="67" spans="1:7" ht="15.75" customHeight="1">
      <c r="A67" s="121" t="s">
        <v>1</v>
      </c>
      <c r="B67" s="121" t="s">
        <v>4198</v>
      </c>
      <c r="C67" s="43">
        <v>2823330</v>
      </c>
      <c r="D67" s="1" t="s">
        <v>71</v>
      </c>
      <c r="E67" s="45" t="s">
        <v>4220</v>
      </c>
      <c r="F67" s="121"/>
      <c r="G67" s="202"/>
    </row>
    <row r="68" spans="1:7" ht="15.75" customHeight="1">
      <c r="A68" s="121" t="s">
        <v>1</v>
      </c>
      <c r="B68" s="121" t="s">
        <v>4198</v>
      </c>
      <c r="C68" s="43">
        <v>2841343</v>
      </c>
      <c r="D68" s="1" t="s">
        <v>71</v>
      </c>
      <c r="E68" s="45" t="s">
        <v>4221</v>
      </c>
      <c r="F68" s="121"/>
      <c r="G68" s="203"/>
    </row>
    <row r="69" spans="1:7" ht="15.75" customHeight="1">
      <c r="A69" s="121" t="s">
        <v>1</v>
      </c>
      <c r="B69" s="121" t="s">
        <v>4198</v>
      </c>
      <c r="C69" s="43">
        <v>605125</v>
      </c>
      <c r="D69" s="1" t="s">
        <v>80</v>
      </c>
      <c r="E69" s="45" t="s">
        <v>4222</v>
      </c>
      <c r="F69" s="121"/>
      <c r="G69" s="203"/>
    </row>
    <row r="70" spans="1:7" ht="15.75" customHeight="1">
      <c r="A70" s="121" t="s">
        <v>1</v>
      </c>
      <c r="B70" s="121" t="s">
        <v>4198</v>
      </c>
      <c r="C70" s="43">
        <v>2873194</v>
      </c>
      <c r="D70" s="1" t="s">
        <v>71</v>
      </c>
      <c r="E70" s="45" t="s">
        <v>4223</v>
      </c>
      <c r="F70" s="121"/>
      <c r="G70" s="203"/>
    </row>
    <row r="71" spans="1:7" ht="15.75" customHeight="1">
      <c r="A71" s="121" t="s">
        <v>1</v>
      </c>
      <c r="B71" s="121" t="s">
        <v>4198</v>
      </c>
      <c r="C71" s="43">
        <v>789571</v>
      </c>
      <c r="D71" s="1" t="s">
        <v>71</v>
      </c>
      <c r="E71" s="45" t="s">
        <v>4224</v>
      </c>
      <c r="F71" s="121"/>
      <c r="G71" s="203"/>
    </row>
    <row r="72" spans="1:7" ht="15.75" customHeight="1">
      <c r="A72" s="121" t="s">
        <v>1</v>
      </c>
      <c r="B72" s="121" t="s">
        <v>4198</v>
      </c>
      <c r="C72" s="43">
        <v>575060</v>
      </c>
      <c r="D72" s="1" t="s">
        <v>71</v>
      </c>
      <c r="E72" s="45" t="s">
        <v>4225</v>
      </c>
      <c r="F72" s="121"/>
      <c r="G72" s="203"/>
    </row>
    <row r="73" spans="1:7" ht="15.75" customHeight="1">
      <c r="A73" s="121" t="s">
        <v>1</v>
      </c>
      <c r="B73" s="121" t="s">
        <v>4198</v>
      </c>
      <c r="C73" s="43">
        <v>697575</v>
      </c>
      <c r="D73" s="1" t="s">
        <v>71</v>
      </c>
      <c r="E73" s="45" t="s">
        <v>4226</v>
      </c>
      <c r="F73" s="121"/>
      <c r="G73" s="203"/>
    </row>
    <row r="74" spans="1:7" ht="15.75" customHeight="1">
      <c r="A74" s="121" t="s">
        <v>1</v>
      </c>
      <c r="B74" s="121" t="s">
        <v>4198</v>
      </c>
      <c r="C74" s="43">
        <v>796902</v>
      </c>
      <c r="D74" s="1" t="s">
        <v>71</v>
      </c>
      <c r="E74" s="45" t="s">
        <v>4227</v>
      </c>
      <c r="F74" s="121"/>
      <c r="G74" s="203"/>
    </row>
    <row r="75" spans="1:7" ht="15.75" customHeight="1">
      <c r="A75" s="121" t="s">
        <v>1</v>
      </c>
      <c r="B75" s="121" t="s">
        <v>4198</v>
      </c>
      <c r="C75" s="43">
        <v>707937</v>
      </c>
      <c r="D75" s="1" t="s">
        <v>71</v>
      </c>
      <c r="E75" s="45" t="s">
        <v>4228</v>
      </c>
      <c r="F75" s="121"/>
      <c r="G75" s="203"/>
    </row>
    <row r="76" spans="1:7" ht="15.75" customHeight="1">
      <c r="A76" s="121" t="s">
        <v>1</v>
      </c>
      <c r="B76" s="121" t="s">
        <v>4198</v>
      </c>
      <c r="C76" s="43">
        <v>610659</v>
      </c>
      <c r="D76" s="1" t="s">
        <v>71</v>
      </c>
      <c r="E76" s="45" t="s">
        <v>4229</v>
      </c>
      <c r="F76" s="121"/>
      <c r="G76" s="203"/>
    </row>
    <row r="77" spans="1:7" ht="15.75" customHeight="1">
      <c r="A77" s="121" t="s">
        <v>1</v>
      </c>
      <c r="B77" s="121" t="s">
        <v>4198</v>
      </c>
      <c r="C77" s="43">
        <v>2841047</v>
      </c>
      <c r="D77" s="1" t="s">
        <v>71</v>
      </c>
      <c r="E77" s="45" t="s">
        <v>4230</v>
      </c>
      <c r="F77" s="121"/>
      <c r="G77" s="203"/>
    </row>
    <row r="78" spans="1:7" ht="15.75" customHeight="1">
      <c r="A78" s="204" t="s">
        <v>2</v>
      </c>
      <c r="B78" s="204" t="s">
        <v>4231</v>
      </c>
      <c r="C78" s="130" t="s">
        <v>68</v>
      </c>
      <c r="D78" s="130" t="s">
        <v>62</v>
      </c>
      <c r="E78" s="199" t="s">
        <v>69</v>
      </c>
      <c r="F78" s="130"/>
      <c r="G78" s="200" t="s">
        <v>70</v>
      </c>
    </row>
    <row r="79" spans="1:7" ht="15.75" customHeight="1">
      <c r="A79" s="204" t="s">
        <v>2</v>
      </c>
      <c r="B79" s="204" t="s">
        <v>4231</v>
      </c>
      <c r="C79" s="43">
        <v>3200214</v>
      </c>
      <c r="D79" s="1" t="s">
        <v>80</v>
      </c>
      <c r="E79" s="49" t="s">
        <v>4232</v>
      </c>
      <c r="F79" s="121"/>
      <c r="G79" s="200" t="s">
        <v>4233</v>
      </c>
    </row>
    <row r="80" spans="1:7" ht="15.75" customHeight="1">
      <c r="A80" s="204" t="s">
        <v>2</v>
      </c>
      <c r="B80" s="204" t="s">
        <v>4231</v>
      </c>
      <c r="C80" s="43">
        <v>3169224</v>
      </c>
      <c r="D80" s="1" t="s">
        <v>101</v>
      </c>
      <c r="E80" s="49" t="s">
        <v>4234</v>
      </c>
      <c r="F80" s="121"/>
      <c r="G80" s="200" t="s">
        <v>4235</v>
      </c>
    </row>
    <row r="81" spans="1:7" ht="15.75" customHeight="1">
      <c r="A81" s="204" t="s">
        <v>2</v>
      </c>
      <c r="B81" s="204" t="s">
        <v>4231</v>
      </c>
      <c r="C81" s="43">
        <v>5025557</v>
      </c>
      <c r="D81" s="1" t="s">
        <v>71</v>
      </c>
      <c r="E81" s="49" t="s">
        <v>4236</v>
      </c>
      <c r="F81" s="121"/>
      <c r="G81" s="200" t="s">
        <v>4237</v>
      </c>
    </row>
    <row r="82" spans="1:7" ht="15.75" customHeight="1">
      <c r="A82" s="204" t="s">
        <v>2</v>
      </c>
      <c r="B82" s="204" t="s">
        <v>4231</v>
      </c>
      <c r="C82" s="43">
        <v>2257269</v>
      </c>
      <c r="D82" s="1" t="s">
        <v>71</v>
      </c>
      <c r="E82" s="45" t="s">
        <v>4238</v>
      </c>
      <c r="F82" s="121"/>
      <c r="G82" s="200" t="s">
        <v>4239</v>
      </c>
    </row>
    <row r="83" spans="1:7" ht="15.75" customHeight="1">
      <c r="A83" s="204" t="s">
        <v>2</v>
      </c>
      <c r="B83" s="204" t="s">
        <v>4231</v>
      </c>
      <c r="C83" s="43">
        <v>3006768</v>
      </c>
      <c r="D83" s="1" t="s">
        <v>71</v>
      </c>
      <c r="E83" s="49" t="s">
        <v>4240</v>
      </c>
      <c r="F83" s="121"/>
      <c r="G83" s="200" t="s">
        <v>4241</v>
      </c>
    </row>
    <row r="84" spans="1:7" ht="15.75" customHeight="1">
      <c r="A84" s="204" t="s">
        <v>2</v>
      </c>
      <c r="B84" s="204" t="s">
        <v>4231</v>
      </c>
      <c r="C84" s="43">
        <v>568503</v>
      </c>
      <c r="D84" s="1" t="s">
        <v>83</v>
      </c>
      <c r="E84" s="49" t="s">
        <v>4242</v>
      </c>
      <c r="F84" s="121"/>
      <c r="G84" s="202"/>
    </row>
    <row r="85" spans="1:7" ht="15.75" customHeight="1">
      <c r="A85" s="204" t="s">
        <v>2</v>
      </c>
      <c r="B85" s="204" t="s">
        <v>4231</v>
      </c>
      <c r="C85" s="43">
        <v>2919355</v>
      </c>
      <c r="D85" s="1" t="s">
        <v>71</v>
      </c>
      <c r="E85" s="45" t="s">
        <v>4171</v>
      </c>
      <c r="F85" s="121"/>
      <c r="G85" s="202"/>
    </row>
    <row r="86" spans="1:7" ht="15.75" customHeight="1">
      <c r="A86" s="204" t="s">
        <v>2</v>
      </c>
      <c r="B86" s="204" t="s">
        <v>4231</v>
      </c>
      <c r="C86" s="43">
        <v>2810524</v>
      </c>
      <c r="D86" s="1" t="s">
        <v>71</v>
      </c>
      <c r="E86" s="45" t="s">
        <v>4243</v>
      </c>
      <c r="F86" s="121"/>
      <c r="G86" s="202"/>
    </row>
    <row r="87" spans="1:7" ht="15.75" customHeight="1">
      <c r="A87" s="204" t="s">
        <v>2</v>
      </c>
      <c r="B87" s="204" t="s">
        <v>4231</v>
      </c>
      <c r="C87" s="43">
        <v>3175198</v>
      </c>
      <c r="D87" s="1" t="s">
        <v>71</v>
      </c>
      <c r="E87" s="49" t="s">
        <v>4244</v>
      </c>
      <c r="F87" s="121"/>
      <c r="G87" s="202"/>
    </row>
    <row r="88" spans="1:7" ht="15.75" customHeight="1">
      <c r="A88" s="204" t="s">
        <v>2</v>
      </c>
      <c r="B88" s="204" t="s">
        <v>4231</v>
      </c>
      <c r="C88" s="43">
        <v>622393</v>
      </c>
      <c r="D88" s="1" t="s">
        <v>71</v>
      </c>
      <c r="E88" s="45" t="s">
        <v>4172</v>
      </c>
      <c r="F88" s="121"/>
      <c r="G88" s="202"/>
    </row>
    <row r="89" spans="1:7" ht="15.75" customHeight="1">
      <c r="A89" s="204" t="s">
        <v>2</v>
      </c>
      <c r="B89" s="204" t="s">
        <v>4231</v>
      </c>
      <c r="C89" s="43">
        <v>789564</v>
      </c>
      <c r="D89" s="1" t="s">
        <v>71</v>
      </c>
      <c r="E89" s="45" t="s">
        <v>4245</v>
      </c>
      <c r="F89" s="121"/>
      <c r="G89" s="202"/>
    </row>
    <row r="90" spans="1:7" ht="15.75" customHeight="1">
      <c r="A90" s="204" t="s">
        <v>2</v>
      </c>
      <c r="B90" s="204" t="s">
        <v>4231</v>
      </c>
      <c r="C90" s="43">
        <v>2823373</v>
      </c>
      <c r="D90" s="1" t="s">
        <v>71</v>
      </c>
      <c r="E90" s="45" t="s">
        <v>4246</v>
      </c>
      <c r="F90" s="121"/>
      <c r="G90" s="202"/>
    </row>
    <row r="91" spans="1:7" ht="15.75" customHeight="1">
      <c r="A91" s="204" t="s">
        <v>2</v>
      </c>
      <c r="B91" s="204" t="s">
        <v>4231</v>
      </c>
      <c r="C91" s="43">
        <v>3107705</v>
      </c>
      <c r="D91" s="1" t="s">
        <v>80</v>
      </c>
      <c r="E91" s="45" t="s">
        <v>4247</v>
      </c>
      <c r="F91" s="121"/>
      <c r="G91" s="203"/>
    </row>
    <row r="92" spans="1:7" ht="15.75" customHeight="1">
      <c r="A92" s="204" t="s">
        <v>2</v>
      </c>
      <c r="B92" s="204" t="s">
        <v>4231</v>
      </c>
      <c r="C92" s="43">
        <v>193343</v>
      </c>
      <c r="D92" s="1" t="s">
        <v>83</v>
      </c>
      <c r="E92" s="45" t="s">
        <v>4248</v>
      </c>
      <c r="F92" s="121"/>
      <c r="G92" s="203"/>
    </row>
    <row r="93" spans="1:7" ht="15.75" customHeight="1">
      <c r="A93" s="204" t="s">
        <v>2</v>
      </c>
      <c r="B93" s="204" t="s">
        <v>4231</v>
      </c>
      <c r="C93" s="43">
        <v>481712</v>
      </c>
      <c r="D93" s="1" t="s">
        <v>71</v>
      </c>
      <c r="E93" s="45" t="s">
        <v>4249</v>
      </c>
      <c r="F93" s="121"/>
      <c r="G93" s="203"/>
    </row>
    <row r="94" spans="1:7" ht="15.75" customHeight="1">
      <c r="A94" s="204" t="s">
        <v>2</v>
      </c>
      <c r="B94" s="204" t="s">
        <v>4231</v>
      </c>
      <c r="C94" s="43">
        <v>499817</v>
      </c>
      <c r="D94" s="1" t="s">
        <v>83</v>
      </c>
      <c r="E94" s="49" t="s">
        <v>4250</v>
      </c>
      <c r="F94" s="121"/>
      <c r="G94" s="203"/>
    </row>
    <row r="95" spans="1:7" ht="15.75" customHeight="1">
      <c r="A95" s="204" t="s">
        <v>2</v>
      </c>
      <c r="B95" s="204" t="s">
        <v>4231</v>
      </c>
      <c r="C95" s="43">
        <v>778418</v>
      </c>
      <c r="D95" s="1" t="s">
        <v>90</v>
      </c>
      <c r="E95" s="49" t="s">
        <v>4251</v>
      </c>
      <c r="F95" s="121"/>
      <c r="G95" s="203"/>
    </row>
    <row r="96" spans="1:7" ht="15.75" customHeight="1">
      <c r="A96" s="204" t="s">
        <v>2</v>
      </c>
      <c r="B96" s="204" t="s">
        <v>4231</v>
      </c>
      <c r="C96" s="43">
        <v>652640</v>
      </c>
      <c r="D96" s="1" t="s">
        <v>80</v>
      </c>
      <c r="E96" s="45" t="s">
        <v>4252</v>
      </c>
      <c r="F96" s="121"/>
      <c r="G96" s="203"/>
    </row>
    <row r="97" spans="1:7" ht="15.75" customHeight="1">
      <c r="A97" s="204" t="s">
        <v>2</v>
      </c>
      <c r="B97" s="204" t="s">
        <v>4231</v>
      </c>
      <c r="C97" s="43">
        <v>602729</v>
      </c>
      <c r="D97" s="1" t="s">
        <v>71</v>
      </c>
      <c r="E97" s="45" t="s">
        <v>4181</v>
      </c>
      <c r="F97" s="121"/>
      <c r="G97" s="203"/>
    </row>
    <row r="98" spans="1:7" ht="15.75" customHeight="1">
      <c r="A98" s="204" t="s">
        <v>2</v>
      </c>
      <c r="B98" s="204" t="s">
        <v>4231</v>
      </c>
      <c r="C98" s="43">
        <v>610660</v>
      </c>
      <c r="D98" s="1" t="s">
        <v>71</v>
      </c>
      <c r="E98" s="45" t="s">
        <v>4253</v>
      </c>
      <c r="F98" s="121"/>
      <c r="G98" s="203"/>
    </row>
    <row r="99" spans="1:7" ht="15.75" customHeight="1">
      <c r="A99" s="204" t="s">
        <v>2</v>
      </c>
      <c r="B99" s="204" t="s">
        <v>4231</v>
      </c>
      <c r="C99" s="43">
        <v>3107704</v>
      </c>
      <c r="D99" s="1" t="s">
        <v>83</v>
      </c>
      <c r="E99" s="45" t="s">
        <v>4254</v>
      </c>
      <c r="F99" s="121"/>
      <c r="G99" s="203"/>
    </row>
    <row r="100" spans="1:7" ht="15.75" customHeight="1">
      <c r="A100" s="204" t="s">
        <v>2</v>
      </c>
      <c r="B100" s="204" t="s">
        <v>4231</v>
      </c>
      <c r="C100" s="43">
        <v>738774</v>
      </c>
      <c r="D100" s="1" t="s">
        <v>71</v>
      </c>
      <c r="E100" s="49" t="s">
        <v>4182</v>
      </c>
      <c r="F100" s="121"/>
      <c r="G100" s="203"/>
    </row>
    <row r="101" spans="1:7" ht="15.75" customHeight="1">
      <c r="A101" s="204" t="s">
        <v>2</v>
      </c>
      <c r="B101" s="204" t="s">
        <v>4231</v>
      </c>
      <c r="C101" s="43">
        <v>561007</v>
      </c>
      <c r="D101" s="1" t="s">
        <v>83</v>
      </c>
      <c r="E101" s="45" t="s">
        <v>4255</v>
      </c>
      <c r="F101" s="121"/>
      <c r="G101" s="203"/>
    </row>
    <row r="102" spans="1:7" ht="15.75" customHeight="1">
      <c r="A102" s="204" t="s">
        <v>2</v>
      </c>
      <c r="B102" s="204" t="s">
        <v>4231</v>
      </c>
      <c r="C102" s="43">
        <v>568987</v>
      </c>
      <c r="D102" s="1" t="s">
        <v>71</v>
      </c>
      <c r="E102" s="45" t="s">
        <v>4256</v>
      </c>
      <c r="F102" s="121"/>
      <c r="G102" s="203"/>
    </row>
    <row r="103" spans="1:7" ht="15.75" customHeight="1">
      <c r="A103" s="204" t="s">
        <v>2</v>
      </c>
      <c r="B103" s="204" t="s">
        <v>4231</v>
      </c>
      <c r="C103" s="43">
        <v>575895</v>
      </c>
      <c r="D103" s="1" t="s">
        <v>83</v>
      </c>
      <c r="E103" s="49" t="s">
        <v>4257</v>
      </c>
      <c r="F103" s="121"/>
      <c r="G103" s="203"/>
    </row>
    <row r="104" spans="1:7" ht="15.75" customHeight="1">
      <c r="A104" s="204" t="s">
        <v>2</v>
      </c>
      <c r="B104" s="204" t="s">
        <v>4231</v>
      </c>
      <c r="C104" s="43">
        <v>796909</v>
      </c>
      <c r="D104" s="1" t="s">
        <v>90</v>
      </c>
      <c r="E104" s="45" t="s">
        <v>4185</v>
      </c>
      <c r="F104" s="121"/>
      <c r="G104" s="203"/>
    </row>
    <row r="105" spans="1:7" ht="15.75" customHeight="1">
      <c r="A105" s="204" t="s">
        <v>2</v>
      </c>
      <c r="B105" s="204" t="s">
        <v>4231</v>
      </c>
      <c r="C105" s="43">
        <v>400730</v>
      </c>
      <c r="D105" s="1" t="s">
        <v>83</v>
      </c>
      <c r="E105" s="45" t="s">
        <v>4258</v>
      </c>
      <c r="F105" s="121"/>
      <c r="G105" s="203"/>
    </row>
    <row r="106" spans="1:7" ht="15.75" customHeight="1">
      <c r="A106" s="204" t="s">
        <v>2</v>
      </c>
      <c r="B106" s="204" t="s">
        <v>4231</v>
      </c>
      <c r="C106" s="43">
        <v>2393119</v>
      </c>
      <c r="D106" s="1" t="s">
        <v>71</v>
      </c>
      <c r="E106" s="45" t="s">
        <v>4259</v>
      </c>
      <c r="F106" s="121"/>
      <c r="G106" s="203"/>
    </row>
    <row r="107" spans="1:7" ht="15.75" customHeight="1">
      <c r="A107" s="204" t="s">
        <v>2</v>
      </c>
      <c r="B107" s="204" t="s">
        <v>4231</v>
      </c>
      <c r="C107" s="43">
        <v>2882001</v>
      </c>
      <c r="D107" s="1" t="s">
        <v>71</v>
      </c>
      <c r="E107" s="45" t="s">
        <v>4260</v>
      </c>
      <c r="F107" s="121"/>
      <c r="G107" s="203"/>
    </row>
    <row r="108" spans="1:7" ht="15.75" customHeight="1">
      <c r="A108" s="204" t="s">
        <v>2</v>
      </c>
      <c r="B108" s="204" t="s">
        <v>4231</v>
      </c>
      <c r="C108" s="43">
        <v>2822433</v>
      </c>
      <c r="D108" s="1" t="s">
        <v>71</v>
      </c>
      <c r="E108" s="45" t="s">
        <v>4261</v>
      </c>
      <c r="F108" s="121"/>
      <c r="G108" s="203"/>
    </row>
    <row r="109" spans="1:7" ht="15.75" customHeight="1">
      <c r="A109" s="204" t="s">
        <v>2</v>
      </c>
      <c r="B109" s="204" t="s">
        <v>4231</v>
      </c>
      <c r="C109" s="43">
        <v>723125</v>
      </c>
      <c r="D109" s="1" t="s">
        <v>71</v>
      </c>
      <c r="E109" s="45" t="s">
        <v>4262</v>
      </c>
      <c r="F109" s="121"/>
      <c r="G109" s="203"/>
    </row>
    <row r="110" spans="1:7" ht="15.75" customHeight="1">
      <c r="A110" s="204" t="s">
        <v>2</v>
      </c>
      <c r="B110" s="204" t="s">
        <v>4231</v>
      </c>
      <c r="C110" s="43">
        <v>568983</v>
      </c>
      <c r="D110" s="1" t="s">
        <v>83</v>
      </c>
      <c r="E110" s="45" t="s">
        <v>4263</v>
      </c>
      <c r="F110" s="121"/>
      <c r="G110" s="203"/>
    </row>
    <row r="111" spans="1:7" ht="15.75" customHeight="1">
      <c r="A111" s="204" t="s">
        <v>2</v>
      </c>
      <c r="B111" s="204" t="s">
        <v>4231</v>
      </c>
      <c r="C111" s="43">
        <v>553205</v>
      </c>
      <c r="D111" s="1" t="s">
        <v>80</v>
      </c>
      <c r="E111" s="45" t="s">
        <v>4191</v>
      </c>
      <c r="F111" s="121"/>
      <c r="G111" s="203"/>
    </row>
    <row r="112" spans="1:7" ht="15.75" customHeight="1">
      <c r="A112" s="204" t="s">
        <v>2</v>
      </c>
      <c r="B112" s="204" t="s">
        <v>4231</v>
      </c>
      <c r="C112" s="43">
        <v>796910</v>
      </c>
      <c r="D112" s="1" t="s">
        <v>71</v>
      </c>
      <c r="E112" s="45" t="s">
        <v>4264</v>
      </c>
      <c r="F112" s="121"/>
      <c r="G112" s="203"/>
    </row>
    <row r="113" spans="1:7" ht="15.75" customHeight="1">
      <c r="A113" s="204" t="s">
        <v>2</v>
      </c>
      <c r="B113" s="204" t="s">
        <v>4231</v>
      </c>
      <c r="C113" s="43">
        <v>2898800</v>
      </c>
      <c r="D113" s="1" t="s">
        <v>71</v>
      </c>
      <c r="E113" s="49" t="s">
        <v>4265</v>
      </c>
      <c r="F113" s="121"/>
      <c r="G113" s="203"/>
    </row>
    <row r="114" spans="1:7" ht="15.75" customHeight="1">
      <c r="A114" s="204" t="s">
        <v>2</v>
      </c>
      <c r="B114" s="204" t="s">
        <v>4231</v>
      </c>
      <c r="C114" s="43">
        <v>551303</v>
      </c>
      <c r="D114" s="1" t="s">
        <v>71</v>
      </c>
      <c r="E114" s="45" t="s">
        <v>4192</v>
      </c>
      <c r="F114" s="121"/>
      <c r="G114" s="203"/>
    </row>
    <row r="115" spans="1:7" ht="15.75" customHeight="1">
      <c r="A115" s="204" t="s">
        <v>2</v>
      </c>
      <c r="B115" s="204" t="s">
        <v>4231</v>
      </c>
      <c r="C115" s="43">
        <v>561063</v>
      </c>
      <c r="D115" s="1" t="s">
        <v>71</v>
      </c>
      <c r="E115" s="45" t="s">
        <v>4266</v>
      </c>
      <c r="F115" s="121"/>
      <c r="G115" s="203"/>
    </row>
    <row r="116" spans="1:7" ht="15.75" customHeight="1">
      <c r="A116" s="204" t="s">
        <v>2</v>
      </c>
      <c r="B116" s="204" t="s">
        <v>4231</v>
      </c>
      <c r="C116" s="43">
        <v>568504</v>
      </c>
      <c r="D116" s="1" t="s">
        <v>71</v>
      </c>
      <c r="E116" s="45" t="s">
        <v>4267</v>
      </c>
      <c r="F116" s="121"/>
      <c r="G116" s="203"/>
    </row>
    <row r="117" spans="1:7" ht="15.75" customHeight="1">
      <c r="A117" s="204" t="s">
        <v>2</v>
      </c>
      <c r="B117" s="204" t="s">
        <v>4231</v>
      </c>
      <c r="C117" s="43">
        <v>561102</v>
      </c>
      <c r="D117" s="1" t="s">
        <v>80</v>
      </c>
      <c r="E117" s="45" t="s">
        <v>4268</v>
      </c>
      <c r="F117" s="121"/>
      <c r="G117" s="203"/>
    </row>
    <row r="118" spans="1:7" ht="15.75" customHeight="1">
      <c r="A118" s="204" t="s">
        <v>2</v>
      </c>
      <c r="B118" s="204" t="s">
        <v>4231</v>
      </c>
      <c r="C118" s="43">
        <v>2866078</v>
      </c>
      <c r="D118" s="1" t="s">
        <v>80</v>
      </c>
      <c r="E118" s="45" t="s">
        <v>4269</v>
      </c>
      <c r="F118" s="121"/>
      <c r="G118" s="203"/>
    </row>
    <row r="119" spans="1:7" ht="15.75" customHeight="1">
      <c r="A119" s="204" t="s">
        <v>2</v>
      </c>
      <c r="B119" s="204" t="s">
        <v>4231</v>
      </c>
      <c r="C119" s="43">
        <v>610661</v>
      </c>
      <c r="D119" s="1" t="s">
        <v>71</v>
      </c>
      <c r="E119" s="45" t="s">
        <v>4270</v>
      </c>
      <c r="F119" s="121"/>
      <c r="G119" s="203"/>
    </row>
    <row r="120" spans="1:7" ht="15.75" customHeight="1">
      <c r="A120" s="121" t="s">
        <v>3</v>
      </c>
      <c r="B120" s="121" t="s">
        <v>4271</v>
      </c>
      <c r="C120" s="130" t="s">
        <v>68</v>
      </c>
      <c r="D120" s="130" t="s">
        <v>62</v>
      </c>
      <c r="E120" s="199" t="s">
        <v>69</v>
      </c>
      <c r="F120" s="130"/>
      <c r="G120" s="200" t="s">
        <v>70</v>
      </c>
    </row>
    <row r="121" spans="1:7" ht="15.75" customHeight="1">
      <c r="A121" s="121" t="s">
        <v>3</v>
      </c>
      <c r="B121" s="121" t="s">
        <v>4271</v>
      </c>
      <c r="C121" s="43">
        <v>3169224</v>
      </c>
      <c r="D121" s="1" t="s">
        <v>101</v>
      </c>
      <c r="E121" s="49" t="s">
        <v>4234</v>
      </c>
      <c r="F121" s="121"/>
      <c r="G121" s="200" t="s">
        <v>4235</v>
      </c>
    </row>
    <row r="122" spans="1:7" ht="15.75" customHeight="1">
      <c r="A122" s="121" t="s">
        <v>3</v>
      </c>
      <c r="B122" s="121" t="s">
        <v>4271</v>
      </c>
      <c r="C122" s="43">
        <v>2809486</v>
      </c>
      <c r="D122" s="1" t="s">
        <v>71</v>
      </c>
      <c r="E122" s="45" t="s">
        <v>4272</v>
      </c>
      <c r="F122" s="121"/>
      <c r="G122" s="200" t="s">
        <v>4273</v>
      </c>
    </row>
    <row r="123" spans="1:7" ht="15.75" customHeight="1">
      <c r="A123" s="121" t="s">
        <v>3</v>
      </c>
      <c r="B123" s="121" t="s">
        <v>4271</v>
      </c>
      <c r="C123" s="43">
        <v>620028</v>
      </c>
      <c r="D123" s="1" t="s">
        <v>80</v>
      </c>
      <c r="E123" s="45" t="s">
        <v>4274</v>
      </c>
      <c r="F123" s="201"/>
      <c r="G123" s="200" t="s">
        <v>4237</v>
      </c>
    </row>
    <row r="124" spans="1:7" ht="15.75" customHeight="1">
      <c r="A124" s="121" t="s">
        <v>3</v>
      </c>
      <c r="B124" s="121" t="s">
        <v>4271</v>
      </c>
      <c r="C124" s="43">
        <v>2257269</v>
      </c>
      <c r="D124" s="1" t="s">
        <v>71</v>
      </c>
      <c r="E124" s="45" t="s">
        <v>4238</v>
      </c>
      <c r="F124" s="121"/>
      <c r="G124" s="200" t="s">
        <v>4241</v>
      </c>
    </row>
    <row r="125" spans="1:7" ht="15.75" customHeight="1">
      <c r="A125" s="121" t="s">
        <v>3</v>
      </c>
      <c r="B125" s="121" t="s">
        <v>4271</v>
      </c>
      <c r="C125" s="43">
        <v>2810524</v>
      </c>
      <c r="D125" s="1" t="s">
        <v>71</v>
      </c>
      <c r="E125" s="45" t="s">
        <v>4243</v>
      </c>
      <c r="F125" s="121"/>
      <c r="G125" s="202"/>
    </row>
    <row r="126" spans="1:7" ht="15.75" customHeight="1">
      <c r="A126" s="121" t="s">
        <v>3</v>
      </c>
      <c r="B126" s="121" t="s">
        <v>4271</v>
      </c>
      <c r="C126" s="43">
        <v>641777</v>
      </c>
      <c r="D126" s="1" t="s">
        <v>83</v>
      </c>
      <c r="E126" s="45" t="s">
        <v>4275</v>
      </c>
      <c r="F126" s="121"/>
      <c r="G126" s="202"/>
    </row>
    <row r="127" spans="1:7" ht="15.75" customHeight="1">
      <c r="A127" s="121" t="s">
        <v>3</v>
      </c>
      <c r="B127" s="121" t="s">
        <v>4271</v>
      </c>
      <c r="C127" s="43">
        <v>2915420</v>
      </c>
      <c r="D127" s="1" t="s">
        <v>71</v>
      </c>
      <c r="E127" s="45" t="s">
        <v>4276</v>
      </c>
      <c r="F127" s="121"/>
      <c r="G127" s="202"/>
    </row>
    <row r="128" spans="1:7" ht="15.75" customHeight="1">
      <c r="A128" s="121" t="s">
        <v>3</v>
      </c>
      <c r="B128" s="121" t="s">
        <v>4271</v>
      </c>
      <c r="C128" s="43">
        <v>648463</v>
      </c>
      <c r="D128" s="1" t="s">
        <v>83</v>
      </c>
      <c r="E128" s="45" t="s">
        <v>4207</v>
      </c>
      <c r="F128" s="121"/>
      <c r="G128" s="202"/>
    </row>
    <row r="129" spans="1:7" ht="15.75" customHeight="1">
      <c r="A129" s="121" t="s">
        <v>3</v>
      </c>
      <c r="B129" s="121" t="s">
        <v>4271</v>
      </c>
      <c r="C129" s="43">
        <v>758900</v>
      </c>
      <c r="D129" s="1" t="s">
        <v>90</v>
      </c>
      <c r="E129" s="45" t="s">
        <v>4277</v>
      </c>
      <c r="F129" s="121"/>
      <c r="G129" s="202"/>
    </row>
    <row r="130" spans="1:7" ht="15.75" customHeight="1">
      <c r="A130" s="121" t="s">
        <v>3</v>
      </c>
      <c r="B130" s="121" t="s">
        <v>4271</v>
      </c>
      <c r="C130" s="43">
        <v>606575</v>
      </c>
      <c r="D130" s="1" t="s">
        <v>80</v>
      </c>
      <c r="E130" s="45" t="s">
        <v>4278</v>
      </c>
      <c r="F130" s="121"/>
      <c r="G130" s="203"/>
    </row>
    <row r="131" spans="1:7" ht="15.75" customHeight="1">
      <c r="A131" s="121" t="s">
        <v>3</v>
      </c>
      <c r="B131" s="121" t="s">
        <v>4271</v>
      </c>
      <c r="C131" s="43">
        <v>3143215</v>
      </c>
      <c r="D131" s="1" t="s">
        <v>80</v>
      </c>
      <c r="E131" s="45" t="s">
        <v>4279</v>
      </c>
      <c r="F131" s="121"/>
      <c r="G131" s="203"/>
    </row>
    <row r="132" spans="1:7" ht="15.75" customHeight="1">
      <c r="A132" s="121" t="s">
        <v>3</v>
      </c>
      <c r="B132" s="121" t="s">
        <v>4271</v>
      </c>
      <c r="C132" s="43">
        <v>2823305</v>
      </c>
      <c r="D132" s="1" t="s">
        <v>71</v>
      </c>
      <c r="E132" s="45" t="s">
        <v>4280</v>
      </c>
      <c r="F132" s="121"/>
      <c r="G132" s="203"/>
    </row>
    <row r="133" spans="1:7" ht="15.75" customHeight="1">
      <c r="A133" s="121" t="s">
        <v>3</v>
      </c>
      <c r="B133" s="121" t="s">
        <v>4271</v>
      </c>
      <c r="C133" s="43">
        <v>2917547</v>
      </c>
      <c r="D133" s="1" t="s">
        <v>80</v>
      </c>
      <c r="E133" s="45" t="s">
        <v>4281</v>
      </c>
      <c r="F133" s="121"/>
      <c r="G133" s="203"/>
    </row>
    <row r="134" spans="1:7" ht="15.75" customHeight="1">
      <c r="A134" s="121" t="s">
        <v>3</v>
      </c>
      <c r="B134" s="121" t="s">
        <v>4271</v>
      </c>
      <c r="C134" s="43">
        <v>622394</v>
      </c>
      <c r="D134" s="1" t="s">
        <v>80</v>
      </c>
      <c r="E134" s="45" t="s">
        <v>4215</v>
      </c>
      <c r="F134" s="121"/>
      <c r="G134" s="203"/>
    </row>
    <row r="135" spans="1:7" ht="15.75" customHeight="1">
      <c r="A135" s="121" t="s">
        <v>3</v>
      </c>
      <c r="B135" s="121" t="s">
        <v>4271</v>
      </c>
      <c r="C135" s="43">
        <v>2215100</v>
      </c>
      <c r="D135" s="1" t="s">
        <v>71</v>
      </c>
      <c r="E135" s="49" t="s">
        <v>4282</v>
      </c>
      <c r="F135" s="121"/>
      <c r="G135" s="203"/>
    </row>
    <row r="136" spans="1:7" ht="15.75" customHeight="1">
      <c r="A136" s="121" t="s">
        <v>3</v>
      </c>
      <c r="B136" s="121" t="s">
        <v>4271</v>
      </c>
      <c r="C136" s="43">
        <v>447165</v>
      </c>
      <c r="D136" s="1" t="s">
        <v>83</v>
      </c>
      <c r="E136" s="45" t="s">
        <v>4283</v>
      </c>
      <c r="F136" s="121"/>
      <c r="G136" s="203"/>
    </row>
    <row r="137" spans="1:7" ht="15.75" customHeight="1">
      <c r="A137" s="121" t="s">
        <v>3</v>
      </c>
      <c r="B137" s="121" t="s">
        <v>4271</v>
      </c>
      <c r="C137" s="43">
        <v>600069</v>
      </c>
      <c r="D137" s="1" t="s">
        <v>83</v>
      </c>
      <c r="E137" s="49" t="s">
        <v>4284</v>
      </c>
      <c r="F137" s="121"/>
      <c r="G137" s="203"/>
    </row>
    <row r="138" spans="1:7" ht="15.75" customHeight="1">
      <c r="A138" s="121" t="s">
        <v>3</v>
      </c>
      <c r="B138" s="121" t="s">
        <v>4271</v>
      </c>
      <c r="C138" s="43">
        <v>792280</v>
      </c>
      <c r="D138" s="1" t="s">
        <v>83</v>
      </c>
      <c r="E138" s="49" t="s">
        <v>4285</v>
      </c>
      <c r="F138" s="121"/>
      <c r="G138" s="203"/>
    </row>
    <row r="139" spans="1:7" ht="15.75" customHeight="1">
      <c r="A139" s="121" t="s">
        <v>3</v>
      </c>
      <c r="B139" s="121" t="s">
        <v>4271</v>
      </c>
      <c r="C139" s="43">
        <v>547545</v>
      </c>
      <c r="D139" s="1" t="s">
        <v>80</v>
      </c>
      <c r="E139" s="45" t="s">
        <v>4286</v>
      </c>
      <c r="F139" s="121"/>
      <c r="G139" s="203"/>
    </row>
    <row r="140" spans="1:7" ht="15.75" customHeight="1">
      <c r="A140" s="121" t="s">
        <v>3</v>
      </c>
      <c r="B140" s="121" t="s">
        <v>4271</v>
      </c>
      <c r="C140" s="43">
        <v>2917866</v>
      </c>
      <c r="D140" s="1" t="s">
        <v>80</v>
      </c>
      <c r="E140" s="45" t="s">
        <v>4287</v>
      </c>
      <c r="F140" s="121"/>
      <c r="G140" s="203"/>
    </row>
    <row r="141" spans="1:7" ht="15.75" customHeight="1">
      <c r="A141" s="121" t="s">
        <v>3</v>
      </c>
      <c r="B141" s="121" t="s">
        <v>4271</v>
      </c>
      <c r="C141" s="43">
        <v>5025536</v>
      </c>
      <c r="D141" s="1" t="s">
        <v>71</v>
      </c>
      <c r="E141" s="45" t="s">
        <v>4288</v>
      </c>
      <c r="F141" s="121"/>
      <c r="G141" s="203"/>
    </row>
    <row r="142" spans="1:7" ht="15.75" customHeight="1">
      <c r="A142" s="121" t="s">
        <v>3</v>
      </c>
      <c r="B142" s="121" t="s">
        <v>4271</v>
      </c>
      <c r="C142" s="43">
        <v>796912</v>
      </c>
      <c r="D142" s="1" t="s">
        <v>71</v>
      </c>
      <c r="E142" s="49" t="s">
        <v>4218</v>
      </c>
      <c r="F142" s="121"/>
      <c r="G142" s="203"/>
    </row>
    <row r="143" spans="1:7" ht="15.75" customHeight="1">
      <c r="A143" s="121" t="s">
        <v>3</v>
      </c>
      <c r="B143" s="121" t="s">
        <v>4271</v>
      </c>
      <c r="C143" s="43">
        <v>568986</v>
      </c>
      <c r="D143" s="1" t="s">
        <v>71</v>
      </c>
      <c r="E143" s="49" t="s">
        <v>4289</v>
      </c>
      <c r="F143" s="121"/>
      <c r="G143" s="203"/>
    </row>
    <row r="144" spans="1:7" ht="15.75" customHeight="1">
      <c r="A144" s="121" t="s">
        <v>3</v>
      </c>
      <c r="B144" s="121" t="s">
        <v>4271</v>
      </c>
      <c r="C144" s="43">
        <v>604067</v>
      </c>
      <c r="D144" s="1" t="s">
        <v>80</v>
      </c>
      <c r="E144" s="45" t="s">
        <v>4290</v>
      </c>
      <c r="F144" s="121"/>
      <c r="G144" s="203"/>
    </row>
    <row r="145" spans="1:7" ht="15.75" customHeight="1">
      <c r="A145" s="121" t="s">
        <v>3</v>
      </c>
      <c r="B145" s="121" t="s">
        <v>4271</v>
      </c>
      <c r="C145" s="43">
        <v>2393119</v>
      </c>
      <c r="D145" s="1" t="s">
        <v>71</v>
      </c>
      <c r="E145" s="45" t="s">
        <v>4259</v>
      </c>
      <c r="F145" s="121"/>
      <c r="G145" s="203"/>
    </row>
    <row r="146" spans="1:7" ht="15.75" customHeight="1">
      <c r="A146" s="121" t="s">
        <v>3</v>
      </c>
      <c r="B146" s="121" t="s">
        <v>4271</v>
      </c>
      <c r="C146" s="43">
        <v>3134052</v>
      </c>
      <c r="D146" s="1" t="s">
        <v>71</v>
      </c>
      <c r="E146" s="45" t="s">
        <v>4291</v>
      </c>
      <c r="F146" s="121"/>
      <c r="G146" s="203"/>
    </row>
    <row r="147" spans="1:7" ht="15.75" customHeight="1">
      <c r="A147" s="121" t="s">
        <v>3</v>
      </c>
      <c r="B147" s="121" t="s">
        <v>4271</v>
      </c>
      <c r="C147" s="43">
        <v>568505</v>
      </c>
      <c r="D147" s="1" t="s">
        <v>80</v>
      </c>
      <c r="E147" s="45" t="s">
        <v>4292</v>
      </c>
      <c r="F147" s="121"/>
      <c r="G147" s="203"/>
    </row>
    <row r="148" spans="1:7" ht="15.75" customHeight="1">
      <c r="A148" s="121" t="s">
        <v>3</v>
      </c>
      <c r="B148" s="121" t="s">
        <v>4271</v>
      </c>
      <c r="C148" s="43">
        <v>568983</v>
      </c>
      <c r="D148" s="1" t="s">
        <v>83</v>
      </c>
      <c r="E148" s="45" t="s">
        <v>4263</v>
      </c>
      <c r="F148" s="121"/>
      <c r="G148" s="203"/>
    </row>
    <row r="149" spans="1:7" ht="15.75" customHeight="1">
      <c r="A149" s="121" t="s">
        <v>3</v>
      </c>
      <c r="B149" s="121" t="s">
        <v>4271</v>
      </c>
      <c r="C149" s="43">
        <v>642604</v>
      </c>
      <c r="D149" s="1" t="s">
        <v>80</v>
      </c>
      <c r="E149" s="45" t="s">
        <v>4293</v>
      </c>
      <c r="F149" s="121"/>
      <c r="G149" s="203"/>
    </row>
    <row r="150" spans="1:7" ht="15.75" customHeight="1">
      <c r="A150" s="121" t="s">
        <v>3</v>
      </c>
      <c r="B150" s="121" t="s">
        <v>4271</v>
      </c>
      <c r="C150" s="43">
        <v>416387</v>
      </c>
      <c r="D150" s="1" t="s">
        <v>80</v>
      </c>
      <c r="E150" s="45" t="s">
        <v>4294</v>
      </c>
      <c r="F150" s="121"/>
      <c r="G150" s="203"/>
    </row>
    <row r="151" spans="1:7" ht="15.75" customHeight="1">
      <c r="A151" s="121" t="s">
        <v>3</v>
      </c>
      <c r="B151" s="121" t="s">
        <v>4271</v>
      </c>
      <c r="C151" s="43">
        <v>553205</v>
      </c>
      <c r="D151" s="1" t="s">
        <v>80</v>
      </c>
      <c r="E151" s="45" t="s">
        <v>4191</v>
      </c>
      <c r="F151" s="121"/>
      <c r="G151" s="203"/>
    </row>
    <row r="152" spans="1:7" ht="15.75" customHeight="1">
      <c r="A152" s="121" t="s">
        <v>3</v>
      </c>
      <c r="B152" s="121" t="s">
        <v>4271</v>
      </c>
      <c r="C152" s="43">
        <v>3053270</v>
      </c>
      <c r="D152" s="1" t="s">
        <v>101</v>
      </c>
      <c r="E152" s="49" t="s">
        <v>4295</v>
      </c>
      <c r="F152" s="121"/>
      <c r="G152" s="203"/>
    </row>
    <row r="153" spans="1:7" ht="15.75" customHeight="1">
      <c r="A153" s="121" t="s">
        <v>3</v>
      </c>
      <c r="B153" s="121" t="s">
        <v>4271</v>
      </c>
      <c r="C153" s="43">
        <v>2836006</v>
      </c>
      <c r="D153" s="1" t="s">
        <v>71</v>
      </c>
      <c r="E153" s="45" t="s">
        <v>4296</v>
      </c>
      <c r="F153" s="121"/>
      <c r="G153" s="203"/>
    </row>
    <row r="154" spans="1:7" ht="15.75" customHeight="1">
      <c r="A154" s="121" t="s">
        <v>3</v>
      </c>
      <c r="B154" s="121" t="s">
        <v>4271</v>
      </c>
      <c r="C154" s="43">
        <v>399428</v>
      </c>
      <c r="D154" s="1" t="s">
        <v>80</v>
      </c>
      <c r="E154" s="45" t="s">
        <v>4297</v>
      </c>
      <c r="F154" s="121"/>
      <c r="G154" s="203"/>
    </row>
    <row r="155" spans="1:7" ht="15.75" customHeight="1">
      <c r="A155" s="121" t="s">
        <v>3</v>
      </c>
      <c r="B155" s="121" t="s">
        <v>4271</v>
      </c>
      <c r="C155" s="43">
        <v>2825467</v>
      </c>
      <c r="D155" s="1" t="s">
        <v>83</v>
      </c>
      <c r="E155" s="45" t="s">
        <v>4298</v>
      </c>
      <c r="F155" s="121"/>
      <c r="G155" s="203"/>
    </row>
    <row r="156" spans="1:7" ht="15.75" customHeight="1">
      <c r="A156" s="121" t="s">
        <v>3</v>
      </c>
      <c r="B156" s="121" t="s">
        <v>4271</v>
      </c>
      <c r="C156" s="43">
        <v>568504</v>
      </c>
      <c r="D156" s="1" t="s">
        <v>71</v>
      </c>
      <c r="E156" s="45" t="s">
        <v>4267</v>
      </c>
      <c r="F156" s="121"/>
      <c r="G156" s="203"/>
    </row>
    <row r="157" spans="1:7" ht="15.75" customHeight="1">
      <c r="A157" s="121" t="s">
        <v>3</v>
      </c>
      <c r="B157" s="121" t="s">
        <v>4271</v>
      </c>
      <c r="C157" s="43">
        <v>561102</v>
      </c>
      <c r="D157" s="1" t="s">
        <v>80</v>
      </c>
      <c r="E157" s="45" t="s">
        <v>4268</v>
      </c>
      <c r="F157" s="121"/>
      <c r="G157" s="203"/>
    </row>
    <row r="158" spans="1:7" ht="15.75" customHeight="1">
      <c r="A158" s="121" t="s">
        <v>3</v>
      </c>
      <c r="B158" s="121" t="s">
        <v>4271</v>
      </c>
      <c r="C158" s="43">
        <v>2866078</v>
      </c>
      <c r="D158" s="1" t="s">
        <v>80</v>
      </c>
      <c r="E158" s="45" t="s">
        <v>4269</v>
      </c>
      <c r="F158" s="121"/>
      <c r="G158" s="203"/>
    </row>
    <row r="159" spans="1:7" ht="15.75" customHeight="1">
      <c r="A159" s="121" t="s">
        <v>4</v>
      </c>
      <c r="B159" s="121" t="s">
        <v>4299</v>
      </c>
      <c r="C159" s="130" t="s">
        <v>68</v>
      </c>
      <c r="D159" s="130" t="s">
        <v>62</v>
      </c>
      <c r="E159" s="199" t="s">
        <v>69</v>
      </c>
      <c r="F159" s="130"/>
      <c r="G159" s="200" t="s">
        <v>70</v>
      </c>
    </row>
    <row r="160" spans="1:7" ht="15.75" customHeight="1">
      <c r="A160" s="121" t="s">
        <v>4</v>
      </c>
      <c r="B160" s="121" t="s">
        <v>4299</v>
      </c>
      <c r="C160" s="43">
        <v>2809486</v>
      </c>
      <c r="D160" s="1" t="s">
        <v>71</v>
      </c>
      <c r="E160" s="45" t="s">
        <v>4272</v>
      </c>
      <c r="F160" s="121"/>
      <c r="G160" s="200" t="s">
        <v>4300</v>
      </c>
    </row>
    <row r="161" spans="1:7" ht="15.75" customHeight="1">
      <c r="A161" s="121" t="s">
        <v>4</v>
      </c>
      <c r="B161" s="121" t="s">
        <v>4299</v>
      </c>
      <c r="C161" s="43">
        <v>620028</v>
      </c>
      <c r="D161" s="1" t="s">
        <v>80</v>
      </c>
      <c r="E161" s="45" t="s">
        <v>4274</v>
      </c>
      <c r="F161" s="201"/>
      <c r="G161" s="200" t="s">
        <v>4273</v>
      </c>
    </row>
    <row r="162" spans="1:7" ht="15.75" customHeight="1">
      <c r="A162" s="121" t="s">
        <v>4</v>
      </c>
      <c r="B162" s="121" t="s">
        <v>4299</v>
      </c>
      <c r="C162" s="43">
        <v>2810524</v>
      </c>
      <c r="D162" s="1" t="s">
        <v>71</v>
      </c>
      <c r="E162" s="45" t="s">
        <v>4243</v>
      </c>
      <c r="F162" s="201"/>
      <c r="G162" s="202"/>
    </row>
    <row r="163" spans="1:7" ht="15.75" customHeight="1">
      <c r="A163" s="121" t="s">
        <v>4</v>
      </c>
      <c r="B163" s="121" t="s">
        <v>4299</v>
      </c>
      <c r="C163" s="43">
        <v>641777</v>
      </c>
      <c r="D163" s="1" t="s">
        <v>83</v>
      </c>
      <c r="E163" s="45" t="s">
        <v>4275</v>
      </c>
      <c r="F163" s="121"/>
      <c r="G163" s="202"/>
    </row>
    <row r="164" spans="1:7" ht="15.75" customHeight="1">
      <c r="A164" s="121" t="s">
        <v>4</v>
      </c>
      <c r="B164" s="121" t="s">
        <v>4299</v>
      </c>
      <c r="C164" s="43">
        <v>2915420</v>
      </c>
      <c r="D164" s="1" t="s">
        <v>71</v>
      </c>
      <c r="E164" s="45" t="s">
        <v>4276</v>
      </c>
      <c r="F164" s="121"/>
      <c r="G164" s="202"/>
    </row>
    <row r="165" spans="1:7" ht="15.75" customHeight="1">
      <c r="A165" s="121" t="s">
        <v>4</v>
      </c>
      <c r="B165" s="121" t="s">
        <v>4299</v>
      </c>
      <c r="C165" s="43">
        <v>2822434</v>
      </c>
      <c r="D165" s="1" t="s">
        <v>83</v>
      </c>
      <c r="E165" s="45" t="s">
        <v>4301</v>
      </c>
      <c r="F165" s="121"/>
      <c r="G165" s="202"/>
    </row>
    <row r="166" spans="1:7" ht="15.75" customHeight="1">
      <c r="A166" s="121" t="s">
        <v>4</v>
      </c>
      <c r="B166" s="121" t="s">
        <v>4299</v>
      </c>
      <c r="C166" s="43">
        <v>2982070</v>
      </c>
      <c r="D166" s="1" t="s">
        <v>71</v>
      </c>
      <c r="E166" s="45" t="s">
        <v>4208</v>
      </c>
      <c r="F166" s="121"/>
      <c r="G166" s="202"/>
    </row>
    <row r="167" spans="1:7" ht="15.75" customHeight="1">
      <c r="A167" s="121" t="s">
        <v>4</v>
      </c>
      <c r="B167" s="121" t="s">
        <v>4299</v>
      </c>
      <c r="C167" s="43">
        <v>2874200</v>
      </c>
      <c r="D167" s="1" t="s">
        <v>101</v>
      </c>
      <c r="E167" s="45" t="s">
        <v>4302</v>
      </c>
      <c r="F167" s="121"/>
      <c r="G167" s="202"/>
    </row>
    <row r="168" spans="1:7" ht="15.75" customHeight="1">
      <c r="A168" s="121" t="s">
        <v>4</v>
      </c>
      <c r="B168" s="121" t="s">
        <v>4299</v>
      </c>
      <c r="C168" s="43">
        <v>2825465</v>
      </c>
      <c r="D168" s="1" t="s">
        <v>80</v>
      </c>
      <c r="E168" s="45" t="s">
        <v>4303</v>
      </c>
      <c r="F168" s="121"/>
      <c r="G168" s="202"/>
    </row>
    <row r="169" spans="1:7" ht="15.75" customHeight="1">
      <c r="A169" s="121" t="s">
        <v>4</v>
      </c>
      <c r="B169" s="121" t="s">
        <v>4299</v>
      </c>
      <c r="C169" s="43">
        <v>3175198</v>
      </c>
      <c r="D169" s="1" t="s">
        <v>71</v>
      </c>
      <c r="E169" s="49" t="s">
        <v>4244</v>
      </c>
      <c r="F169" s="121"/>
      <c r="G169" s="202"/>
    </row>
    <row r="170" spans="1:7" ht="15.75" customHeight="1">
      <c r="A170" s="121" t="s">
        <v>4</v>
      </c>
      <c r="B170" s="121" t="s">
        <v>4299</v>
      </c>
      <c r="C170" s="43">
        <v>2250561</v>
      </c>
      <c r="D170" s="1" t="s">
        <v>71</v>
      </c>
      <c r="E170" s="49" t="s">
        <v>4210</v>
      </c>
      <c r="F170" s="121"/>
      <c r="G170" s="203"/>
    </row>
    <row r="171" spans="1:7" ht="15.75" customHeight="1">
      <c r="A171" s="121" t="s">
        <v>4</v>
      </c>
      <c r="B171" s="121" t="s">
        <v>4299</v>
      </c>
      <c r="C171" s="43">
        <v>2822435</v>
      </c>
      <c r="D171" s="1" t="s">
        <v>71</v>
      </c>
      <c r="E171" s="45" t="s">
        <v>4304</v>
      </c>
      <c r="F171" s="121"/>
      <c r="G171" s="203"/>
    </row>
    <row r="172" spans="1:7" ht="15.75" customHeight="1">
      <c r="A172" s="121" t="s">
        <v>4</v>
      </c>
      <c r="B172" s="121" t="s">
        <v>4299</v>
      </c>
      <c r="C172" s="43">
        <v>2917547</v>
      </c>
      <c r="D172" s="1" t="s">
        <v>80</v>
      </c>
      <c r="E172" s="45" t="s">
        <v>4281</v>
      </c>
      <c r="F172" s="121"/>
      <c r="G172" s="203"/>
    </row>
    <row r="173" spans="1:7" ht="15.75" customHeight="1">
      <c r="A173" s="121" t="s">
        <v>4</v>
      </c>
      <c r="B173" s="121" t="s">
        <v>4299</v>
      </c>
      <c r="C173" s="43">
        <v>2833062</v>
      </c>
      <c r="D173" s="1" t="s">
        <v>71</v>
      </c>
      <c r="E173" s="45" t="s">
        <v>4305</v>
      </c>
      <c r="F173" s="121"/>
      <c r="G173" s="203"/>
    </row>
    <row r="174" spans="1:7" ht="15.75" customHeight="1">
      <c r="A174" s="121" t="s">
        <v>4</v>
      </c>
      <c r="B174" s="121" t="s">
        <v>4299</v>
      </c>
      <c r="C174" s="43">
        <v>3166463</v>
      </c>
      <c r="D174" s="1" t="s">
        <v>80</v>
      </c>
      <c r="E174" s="49" t="s">
        <v>4306</v>
      </c>
      <c r="F174" s="121"/>
      <c r="G174" s="203"/>
    </row>
    <row r="175" spans="1:7" ht="15.75" customHeight="1">
      <c r="A175" s="121" t="s">
        <v>4</v>
      </c>
      <c r="B175" s="121" t="s">
        <v>4299</v>
      </c>
      <c r="C175" s="43">
        <v>447165</v>
      </c>
      <c r="D175" s="1" t="s">
        <v>83</v>
      </c>
      <c r="E175" s="45" t="s">
        <v>4283</v>
      </c>
      <c r="F175" s="121"/>
      <c r="G175" s="203"/>
    </row>
    <row r="176" spans="1:7" ht="15.75" customHeight="1">
      <c r="A176" s="121" t="s">
        <v>4</v>
      </c>
      <c r="B176" s="121" t="s">
        <v>4299</v>
      </c>
      <c r="C176" s="43">
        <v>547545</v>
      </c>
      <c r="D176" s="1" t="s">
        <v>80</v>
      </c>
      <c r="E176" s="45" t="s">
        <v>4286</v>
      </c>
      <c r="F176" s="121"/>
      <c r="G176" s="203"/>
    </row>
    <row r="177" spans="1:7" ht="15.75" customHeight="1">
      <c r="A177" s="121" t="s">
        <v>4</v>
      </c>
      <c r="B177" s="121" t="s">
        <v>4299</v>
      </c>
      <c r="C177" s="43">
        <v>2917866</v>
      </c>
      <c r="D177" s="1" t="s">
        <v>80</v>
      </c>
      <c r="E177" s="45" t="s">
        <v>4287</v>
      </c>
      <c r="F177" s="121"/>
      <c r="G177" s="203"/>
    </row>
    <row r="178" spans="1:7" ht="15.75" customHeight="1">
      <c r="A178" s="121" t="s">
        <v>4</v>
      </c>
      <c r="B178" s="121" t="s">
        <v>4299</v>
      </c>
      <c r="C178" s="43">
        <v>3165494</v>
      </c>
      <c r="D178" s="1" t="s">
        <v>80</v>
      </c>
      <c r="E178" s="49" t="s">
        <v>4307</v>
      </c>
      <c r="F178" s="121"/>
      <c r="G178" s="203"/>
    </row>
    <row r="179" spans="1:7" ht="15.75" customHeight="1">
      <c r="A179" s="121" t="s">
        <v>4</v>
      </c>
      <c r="B179" s="121" t="s">
        <v>4299</v>
      </c>
      <c r="C179" s="43">
        <v>5025536</v>
      </c>
      <c r="D179" s="1" t="s">
        <v>71</v>
      </c>
      <c r="E179" s="45" t="s">
        <v>4288</v>
      </c>
      <c r="F179" s="121"/>
      <c r="G179" s="203"/>
    </row>
    <row r="180" spans="1:7" ht="15.75" customHeight="1">
      <c r="A180" s="121" t="s">
        <v>4</v>
      </c>
      <c r="B180" s="121" t="s">
        <v>4299</v>
      </c>
      <c r="C180" s="43">
        <v>561059</v>
      </c>
      <c r="D180" s="1" t="s">
        <v>80</v>
      </c>
      <c r="E180" s="45" t="s">
        <v>4308</v>
      </c>
      <c r="F180" s="121"/>
      <c r="G180" s="203"/>
    </row>
    <row r="181" spans="1:7" ht="15.75" customHeight="1">
      <c r="A181" s="121" t="s">
        <v>4</v>
      </c>
      <c r="B181" s="121" t="s">
        <v>4299</v>
      </c>
      <c r="C181" s="43">
        <v>2823090</v>
      </c>
      <c r="D181" s="1" t="s">
        <v>101</v>
      </c>
      <c r="E181" s="49" t="s">
        <v>4309</v>
      </c>
      <c r="F181" s="121"/>
      <c r="G181" s="203"/>
    </row>
    <row r="182" spans="1:7" ht="15.75" customHeight="1">
      <c r="A182" s="121" t="s">
        <v>4</v>
      </c>
      <c r="B182" s="121" t="s">
        <v>4299</v>
      </c>
      <c r="C182" s="43">
        <v>2393119</v>
      </c>
      <c r="D182" s="1" t="s">
        <v>71</v>
      </c>
      <c r="E182" s="45" t="s">
        <v>4259</v>
      </c>
      <c r="F182" s="121"/>
      <c r="G182" s="203"/>
    </row>
    <row r="183" spans="1:7" ht="15.75" customHeight="1">
      <c r="A183" s="121" t="s">
        <v>4</v>
      </c>
      <c r="B183" s="121" t="s">
        <v>4299</v>
      </c>
      <c r="C183" s="43">
        <v>568505</v>
      </c>
      <c r="D183" s="1" t="s">
        <v>80</v>
      </c>
      <c r="E183" s="45" t="s">
        <v>4292</v>
      </c>
      <c r="F183" s="121"/>
      <c r="G183" s="203"/>
    </row>
    <row r="184" spans="1:7" ht="15.75" customHeight="1">
      <c r="A184" s="121" t="s">
        <v>4</v>
      </c>
      <c r="B184" s="121" t="s">
        <v>4299</v>
      </c>
      <c r="C184" s="43">
        <v>416387</v>
      </c>
      <c r="D184" s="1" t="s">
        <v>80</v>
      </c>
      <c r="E184" s="45" t="s">
        <v>4294</v>
      </c>
      <c r="F184" s="121"/>
      <c r="G184" s="203"/>
    </row>
    <row r="185" spans="1:7" ht="15.75" customHeight="1">
      <c r="A185" s="121" t="s">
        <v>4</v>
      </c>
      <c r="B185" s="121" t="s">
        <v>4299</v>
      </c>
      <c r="C185" s="43">
        <v>633697</v>
      </c>
      <c r="D185" s="1" t="s">
        <v>80</v>
      </c>
      <c r="E185" s="45" t="s">
        <v>4310</v>
      </c>
      <c r="F185" s="121"/>
      <c r="G185" s="203"/>
    </row>
    <row r="186" spans="1:7" ht="15.75" customHeight="1">
      <c r="A186" s="121" t="s">
        <v>4</v>
      </c>
      <c r="B186" s="121" t="s">
        <v>4299</v>
      </c>
      <c r="C186" s="43">
        <v>2805369</v>
      </c>
      <c r="D186" s="1" t="s">
        <v>80</v>
      </c>
      <c r="E186" s="45" t="s">
        <v>4311</v>
      </c>
      <c r="F186" s="121"/>
      <c r="G186" s="203"/>
    </row>
    <row r="187" spans="1:7" ht="15.75" customHeight="1">
      <c r="A187" s="121" t="s">
        <v>4</v>
      </c>
      <c r="B187" s="121" t="s">
        <v>4299</v>
      </c>
      <c r="C187" s="43">
        <v>2892367</v>
      </c>
      <c r="D187" s="1" t="s">
        <v>80</v>
      </c>
      <c r="E187" s="157" t="s">
        <v>4312</v>
      </c>
      <c r="F187" s="121"/>
      <c r="G187" s="203"/>
    </row>
    <row r="188" spans="1:7" ht="15.75" customHeight="1">
      <c r="A188" s="121" t="s">
        <v>4</v>
      </c>
      <c r="B188" s="121" t="s">
        <v>4299</v>
      </c>
      <c r="C188" s="43">
        <v>561046</v>
      </c>
      <c r="D188" s="1" t="s">
        <v>71</v>
      </c>
      <c r="E188" s="45" t="s">
        <v>4313</v>
      </c>
      <c r="F188" s="121"/>
      <c r="G188" s="203"/>
    </row>
    <row r="189" spans="1:7" ht="15.75" customHeight="1">
      <c r="A189" s="121" t="s">
        <v>4</v>
      </c>
      <c r="B189" s="121" t="s">
        <v>4299</v>
      </c>
      <c r="C189" s="43">
        <v>3165495</v>
      </c>
      <c r="D189" s="1" t="s">
        <v>80</v>
      </c>
      <c r="E189" s="49" t="s">
        <v>4314</v>
      </c>
      <c r="F189" s="121"/>
      <c r="G189" s="203"/>
    </row>
    <row r="190" spans="1:7" ht="15.75" customHeight="1">
      <c r="A190" s="121" t="s">
        <v>4</v>
      </c>
      <c r="B190" s="121" t="s">
        <v>4299</v>
      </c>
      <c r="C190" s="43">
        <v>544966</v>
      </c>
      <c r="D190" s="1" t="s">
        <v>71</v>
      </c>
      <c r="E190" s="49" t="s">
        <v>4315</v>
      </c>
      <c r="F190" s="121"/>
      <c r="G190" s="203"/>
    </row>
    <row r="191" spans="1:7" ht="15.75" customHeight="1">
      <c r="A191" s="121" t="s">
        <v>4</v>
      </c>
      <c r="B191" s="121" t="s">
        <v>4299</v>
      </c>
      <c r="C191" s="43">
        <v>5025542</v>
      </c>
      <c r="D191" s="1" t="s">
        <v>71</v>
      </c>
      <c r="E191" s="45" t="s">
        <v>4316</v>
      </c>
      <c r="F191" s="121"/>
      <c r="G191" s="203"/>
    </row>
    <row r="192" spans="1:7" ht="15.75" customHeight="1">
      <c r="A192" s="121" t="s">
        <v>4</v>
      </c>
      <c r="B192" s="121" t="s">
        <v>4299</v>
      </c>
      <c r="C192" s="43">
        <v>399428</v>
      </c>
      <c r="D192" s="1" t="s">
        <v>80</v>
      </c>
      <c r="E192" s="45" t="s">
        <v>4297</v>
      </c>
      <c r="F192" s="121"/>
      <c r="G192" s="203"/>
    </row>
    <row r="193" spans="1:7" ht="15.75" customHeight="1">
      <c r="A193" s="121" t="s">
        <v>4</v>
      </c>
      <c r="B193" s="121" t="s">
        <v>4299</v>
      </c>
      <c r="C193" s="43">
        <v>561102</v>
      </c>
      <c r="D193" s="1" t="s">
        <v>80</v>
      </c>
      <c r="E193" s="45" t="s">
        <v>4268</v>
      </c>
      <c r="F193" s="121"/>
      <c r="G193" s="203"/>
    </row>
    <row r="194" spans="1:7" ht="15.75" customHeight="1">
      <c r="A194" s="121" t="s">
        <v>4</v>
      </c>
      <c r="B194" s="121" t="s">
        <v>4299</v>
      </c>
      <c r="C194" s="43">
        <v>3156478</v>
      </c>
      <c r="D194" s="1" t="s">
        <v>71</v>
      </c>
      <c r="E194" s="49" t="s">
        <v>4317</v>
      </c>
      <c r="F194" s="121"/>
      <c r="G194" s="203"/>
    </row>
    <row r="195" spans="1:7" ht="15.75" customHeight="1">
      <c r="A195" s="121" t="s">
        <v>4</v>
      </c>
      <c r="B195" s="121" t="s">
        <v>4299</v>
      </c>
      <c r="C195" s="43">
        <v>2921392</v>
      </c>
      <c r="D195" s="1" t="s">
        <v>71</v>
      </c>
      <c r="E195" s="49" t="s">
        <v>4318</v>
      </c>
      <c r="F195" s="121"/>
      <c r="G195" s="203"/>
    </row>
    <row r="196" spans="1:7" ht="15.75" customHeight="1">
      <c r="A196" s="121" t="s">
        <v>5</v>
      </c>
      <c r="B196" s="121" t="s">
        <v>4319</v>
      </c>
      <c r="C196" s="130" t="s">
        <v>68</v>
      </c>
      <c r="D196" s="130" t="s">
        <v>62</v>
      </c>
      <c r="E196" s="199" t="s">
        <v>69</v>
      </c>
      <c r="F196" s="130"/>
      <c r="G196" s="200" t="s">
        <v>70</v>
      </c>
    </row>
    <row r="197" spans="1:7" ht="15.75" customHeight="1">
      <c r="A197" s="121" t="s">
        <v>5</v>
      </c>
      <c r="B197" s="121" t="s">
        <v>4319</v>
      </c>
      <c r="C197" s="43">
        <v>3107697</v>
      </c>
      <c r="D197" s="1" t="s">
        <v>90</v>
      </c>
      <c r="E197" s="45" t="s">
        <v>4320</v>
      </c>
      <c r="F197" s="121"/>
      <c r="G197" s="200" t="s">
        <v>4321</v>
      </c>
    </row>
    <row r="198" spans="1:7" ht="15.75" customHeight="1">
      <c r="A198" s="121" t="s">
        <v>5</v>
      </c>
      <c r="B198" s="121" t="s">
        <v>4319</v>
      </c>
      <c r="C198" s="43">
        <v>2809486</v>
      </c>
      <c r="D198" s="1" t="s">
        <v>71</v>
      </c>
      <c r="E198" s="45" t="s">
        <v>4272</v>
      </c>
      <c r="F198" s="201"/>
      <c r="G198" s="203"/>
    </row>
    <row r="199" spans="1:7" ht="15.75" customHeight="1">
      <c r="A199" s="121" t="s">
        <v>5</v>
      </c>
      <c r="B199" s="121" t="s">
        <v>4319</v>
      </c>
      <c r="C199" s="43">
        <v>627593</v>
      </c>
      <c r="D199" s="1" t="s">
        <v>101</v>
      </c>
      <c r="E199" s="45" t="s">
        <v>4321</v>
      </c>
      <c r="F199" s="121"/>
      <c r="G199" s="202"/>
    </row>
    <row r="200" spans="1:7" ht="15.75" customHeight="1">
      <c r="A200" s="121" t="s">
        <v>5</v>
      </c>
      <c r="B200" s="121" t="s">
        <v>4319</v>
      </c>
      <c r="C200" s="43">
        <v>554313</v>
      </c>
      <c r="D200" s="1" t="s">
        <v>80</v>
      </c>
      <c r="E200" s="45" t="s">
        <v>4322</v>
      </c>
      <c r="F200" s="121"/>
      <c r="G200" s="202"/>
    </row>
    <row r="201" spans="1:7" ht="15.75" customHeight="1">
      <c r="A201" s="121" t="s">
        <v>5</v>
      </c>
      <c r="B201" s="121" t="s">
        <v>4319</v>
      </c>
      <c r="C201" s="43">
        <v>708567</v>
      </c>
      <c r="D201" s="1" t="s">
        <v>71</v>
      </c>
      <c r="E201" s="45" t="s">
        <v>4206</v>
      </c>
      <c r="F201" s="121"/>
      <c r="G201" s="202"/>
    </row>
    <row r="202" spans="1:7" ht="15.75" customHeight="1">
      <c r="A202" s="121" t="s">
        <v>5</v>
      </c>
      <c r="B202" s="121" t="s">
        <v>4319</v>
      </c>
      <c r="C202" s="43">
        <v>3107658</v>
      </c>
      <c r="D202" s="1" t="s">
        <v>71</v>
      </c>
      <c r="E202" s="45" t="s">
        <v>4173</v>
      </c>
      <c r="F202" s="121"/>
      <c r="G202" s="202"/>
    </row>
    <row r="203" spans="1:7" ht="15.75" customHeight="1">
      <c r="A203" s="121" t="s">
        <v>5</v>
      </c>
      <c r="B203" s="121" t="s">
        <v>4319</v>
      </c>
      <c r="C203" s="43">
        <v>2250561</v>
      </c>
      <c r="D203" s="1" t="s">
        <v>71</v>
      </c>
      <c r="E203" s="49" t="s">
        <v>4210</v>
      </c>
      <c r="F203" s="121"/>
      <c r="G203" s="203"/>
    </row>
    <row r="204" spans="1:7" ht="15.75" customHeight="1">
      <c r="A204" s="121" t="s">
        <v>5</v>
      </c>
      <c r="B204" s="121" t="s">
        <v>4319</v>
      </c>
      <c r="C204" s="43">
        <v>707931</v>
      </c>
      <c r="D204" s="1" t="s">
        <v>80</v>
      </c>
      <c r="E204" s="45" t="s">
        <v>4323</v>
      </c>
      <c r="F204" s="121"/>
      <c r="G204" s="203"/>
    </row>
    <row r="205" spans="1:7" ht="15.75" customHeight="1">
      <c r="A205" s="121" t="s">
        <v>5</v>
      </c>
      <c r="B205" s="121" t="s">
        <v>4319</v>
      </c>
      <c r="C205" s="43">
        <v>3143215</v>
      </c>
      <c r="D205" s="1" t="s">
        <v>80</v>
      </c>
      <c r="E205" s="45" t="s">
        <v>4279</v>
      </c>
      <c r="F205" s="121"/>
      <c r="G205" s="203"/>
    </row>
    <row r="206" spans="1:7" ht="15.75" customHeight="1">
      <c r="A206" s="121" t="s">
        <v>5</v>
      </c>
      <c r="B206" s="121" t="s">
        <v>4319</v>
      </c>
      <c r="C206" s="43">
        <v>511184</v>
      </c>
      <c r="D206" s="1" t="s">
        <v>80</v>
      </c>
      <c r="E206" s="45" t="s">
        <v>4178</v>
      </c>
      <c r="F206" s="121"/>
      <c r="G206" s="203"/>
    </row>
    <row r="207" spans="1:7" ht="15.75" customHeight="1">
      <c r="A207" s="121" t="s">
        <v>5</v>
      </c>
      <c r="B207" s="121" t="s">
        <v>4319</v>
      </c>
      <c r="C207" s="43">
        <v>600069</v>
      </c>
      <c r="D207" s="1" t="s">
        <v>83</v>
      </c>
      <c r="E207" s="49" t="s">
        <v>4284</v>
      </c>
      <c r="F207" s="121"/>
      <c r="G207" s="203"/>
    </row>
    <row r="208" spans="1:7" ht="15.75" customHeight="1">
      <c r="A208" s="121" t="s">
        <v>5</v>
      </c>
      <c r="B208" s="121" t="s">
        <v>4319</v>
      </c>
      <c r="C208" s="43">
        <v>792280</v>
      </c>
      <c r="D208" s="1" t="s">
        <v>83</v>
      </c>
      <c r="E208" s="49" t="s">
        <v>4285</v>
      </c>
      <c r="F208" s="121"/>
      <c r="G208" s="203"/>
    </row>
    <row r="209" spans="1:9" ht="15.75" customHeight="1">
      <c r="A209" s="121" t="s">
        <v>5</v>
      </c>
      <c r="B209" s="121" t="s">
        <v>4319</v>
      </c>
      <c r="C209" s="43">
        <v>547545</v>
      </c>
      <c r="D209" s="1" t="s">
        <v>80</v>
      </c>
      <c r="E209" s="45" t="s">
        <v>4286</v>
      </c>
      <c r="F209" s="121"/>
      <c r="G209" s="203"/>
    </row>
    <row r="210" spans="1:9" ht="15.75" customHeight="1">
      <c r="A210" s="121" t="s">
        <v>5</v>
      </c>
      <c r="B210" s="121" t="s">
        <v>4319</v>
      </c>
      <c r="C210" s="43">
        <v>5025536</v>
      </c>
      <c r="D210" s="1" t="s">
        <v>71</v>
      </c>
      <c r="E210" s="45" t="s">
        <v>4288</v>
      </c>
      <c r="F210" s="121"/>
      <c r="G210" s="203"/>
    </row>
    <row r="211" spans="1:9" ht="15.75" customHeight="1">
      <c r="A211" s="121" t="s">
        <v>5</v>
      </c>
      <c r="B211" s="121" t="s">
        <v>4319</v>
      </c>
      <c r="C211" s="43">
        <v>575895</v>
      </c>
      <c r="D211" s="1" t="s">
        <v>83</v>
      </c>
      <c r="E211" s="49" t="s">
        <v>4257</v>
      </c>
      <c r="F211" s="121"/>
      <c r="G211" s="203"/>
    </row>
    <row r="212" spans="1:9" ht="15.75" customHeight="1">
      <c r="A212" s="121" t="s">
        <v>5</v>
      </c>
      <c r="B212" s="121" t="s">
        <v>4319</v>
      </c>
      <c r="C212" s="43">
        <v>604067</v>
      </c>
      <c r="D212" s="1" t="s">
        <v>80</v>
      </c>
      <c r="E212" s="49" t="s">
        <v>4290</v>
      </c>
      <c r="F212" s="121"/>
      <c r="G212" s="203"/>
    </row>
    <row r="213" spans="1:9" ht="15.75" customHeight="1">
      <c r="A213" s="121" t="s">
        <v>5</v>
      </c>
      <c r="B213" s="121" t="s">
        <v>4319</v>
      </c>
      <c r="C213" s="43">
        <v>3134052</v>
      </c>
      <c r="D213" s="1" t="s">
        <v>71</v>
      </c>
      <c r="E213" s="45" t="s">
        <v>4291</v>
      </c>
      <c r="F213" s="121"/>
      <c r="G213" s="203"/>
    </row>
    <row r="214" spans="1:9" ht="15.75" customHeight="1">
      <c r="A214" s="121" t="s">
        <v>5</v>
      </c>
      <c r="B214" s="121" t="s">
        <v>4319</v>
      </c>
      <c r="C214" s="43">
        <v>707935</v>
      </c>
      <c r="D214" s="1" t="s">
        <v>71</v>
      </c>
      <c r="E214" s="49" t="s">
        <v>4324</v>
      </c>
      <c r="F214" s="121"/>
      <c r="G214" s="203"/>
    </row>
    <row r="215" spans="1:9" ht="15.75" customHeight="1">
      <c r="A215" s="121" t="s">
        <v>5</v>
      </c>
      <c r="B215" s="121" t="s">
        <v>4319</v>
      </c>
      <c r="C215" s="43">
        <v>568505</v>
      </c>
      <c r="D215" s="1" t="s">
        <v>80</v>
      </c>
      <c r="E215" s="45" t="s">
        <v>4292</v>
      </c>
      <c r="F215" s="121"/>
      <c r="G215" s="203"/>
    </row>
    <row r="216" spans="1:9" ht="15.75" customHeight="1">
      <c r="A216" s="121" t="s">
        <v>5</v>
      </c>
      <c r="B216" s="121" t="s">
        <v>4319</v>
      </c>
      <c r="C216" s="43">
        <v>568983</v>
      </c>
      <c r="D216" s="1" t="s">
        <v>83</v>
      </c>
      <c r="E216" s="45" t="s">
        <v>4263</v>
      </c>
      <c r="F216" s="121"/>
      <c r="G216" s="203"/>
    </row>
    <row r="217" spans="1:9" ht="15.75" customHeight="1">
      <c r="A217" s="121" t="s">
        <v>5</v>
      </c>
      <c r="B217" s="121" t="s">
        <v>4319</v>
      </c>
      <c r="C217" s="43">
        <v>642604</v>
      </c>
      <c r="D217" s="1" t="s">
        <v>80</v>
      </c>
      <c r="E217" s="45" t="s">
        <v>4293</v>
      </c>
      <c r="F217" s="121"/>
      <c r="G217" s="203"/>
    </row>
    <row r="218" spans="1:9" ht="15.75" customHeight="1">
      <c r="A218" s="121" t="s">
        <v>5</v>
      </c>
      <c r="B218" s="121" t="s">
        <v>4319</v>
      </c>
      <c r="C218" s="43">
        <v>416387</v>
      </c>
      <c r="D218" s="1" t="s">
        <v>80</v>
      </c>
      <c r="E218" s="45" t="s">
        <v>4294</v>
      </c>
      <c r="F218" s="121"/>
      <c r="G218" s="203"/>
    </row>
    <row r="219" spans="1:9" ht="15.75" customHeight="1">
      <c r="A219" s="121" t="s">
        <v>5</v>
      </c>
      <c r="B219" s="121" t="s">
        <v>4319</v>
      </c>
      <c r="C219" s="43">
        <v>2951286</v>
      </c>
      <c r="D219" s="1" t="s">
        <v>83</v>
      </c>
      <c r="E219" s="45" t="s">
        <v>4325</v>
      </c>
      <c r="F219" s="121"/>
      <c r="G219" s="203"/>
    </row>
    <row r="220" spans="1:9" ht="15.75" customHeight="1">
      <c r="A220" s="121" t="s">
        <v>5</v>
      </c>
      <c r="B220" s="121" t="s">
        <v>4319</v>
      </c>
      <c r="C220" s="43">
        <v>792291</v>
      </c>
      <c r="D220" s="1" t="s">
        <v>71</v>
      </c>
      <c r="E220" s="49" t="s">
        <v>4326</v>
      </c>
      <c r="F220" s="121"/>
      <c r="G220" s="203"/>
    </row>
    <row r="221" spans="1:9" ht="15.75" customHeight="1">
      <c r="A221" s="121" t="s">
        <v>5</v>
      </c>
      <c r="B221" s="121" t="s">
        <v>4319</v>
      </c>
      <c r="C221" s="43">
        <v>2825467</v>
      </c>
      <c r="D221" s="1" t="s">
        <v>83</v>
      </c>
      <c r="E221" s="45" t="s">
        <v>4298</v>
      </c>
      <c r="F221" s="121"/>
      <c r="G221" s="203"/>
    </row>
    <row r="222" spans="1:9" ht="15.75" customHeight="1">
      <c r="A222" s="121" t="s">
        <v>5</v>
      </c>
      <c r="B222" s="121" t="s">
        <v>4319</v>
      </c>
      <c r="C222" s="43">
        <v>401559</v>
      </c>
      <c r="D222" s="1" t="s">
        <v>80</v>
      </c>
      <c r="E222" s="49" t="s">
        <v>4327</v>
      </c>
      <c r="F222" s="121"/>
      <c r="G222" s="203"/>
    </row>
    <row r="223" spans="1:9" ht="15.75" customHeight="1">
      <c r="A223" s="121" t="s">
        <v>6</v>
      </c>
      <c r="B223" s="121" t="s">
        <v>4328</v>
      </c>
      <c r="C223" s="130" t="s">
        <v>68</v>
      </c>
      <c r="D223" s="130" t="s">
        <v>62</v>
      </c>
      <c r="E223" s="199" t="s">
        <v>69</v>
      </c>
      <c r="F223" s="130"/>
      <c r="G223" s="200" t="s">
        <v>70</v>
      </c>
      <c r="H223" s="205"/>
      <c r="I223" s="205"/>
    </row>
    <row r="224" spans="1:9" ht="15.75" customHeight="1">
      <c r="A224" s="121" t="s">
        <v>6</v>
      </c>
      <c r="B224" s="121" t="s">
        <v>4328</v>
      </c>
      <c r="C224" s="43">
        <v>2916804</v>
      </c>
      <c r="D224" s="1" t="s">
        <v>71</v>
      </c>
      <c r="E224" s="45" t="s">
        <v>4329</v>
      </c>
      <c r="F224" s="121"/>
      <c r="G224" s="200" t="s">
        <v>4330</v>
      </c>
      <c r="H224" s="205"/>
      <c r="I224" s="205"/>
    </row>
    <row r="225" spans="1:7" ht="15.75" customHeight="1">
      <c r="A225" s="121" t="s">
        <v>6</v>
      </c>
      <c r="B225" s="121" t="s">
        <v>4328</v>
      </c>
      <c r="C225" s="43">
        <v>2931352</v>
      </c>
      <c r="D225" s="1" t="s">
        <v>90</v>
      </c>
      <c r="E225" s="45" t="s">
        <v>4331</v>
      </c>
      <c r="F225" s="121"/>
      <c r="G225" s="200" t="s">
        <v>4332</v>
      </c>
    </row>
    <row r="226" spans="1:7" ht="15.75" customHeight="1">
      <c r="A226" s="121" t="s">
        <v>6</v>
      </c>
      <c r="B226" s="121" t="s">
        <v>4328</v>
      </c>
      <c r="C226" s="43">
        <v>2823577</v>
      </c>
      <c r="D226" s="1" t="s">
        <v>90</v>
      </c>
      <c r="E226" s="49" t="s">
        <v>4333</v>
      </c>
      <c r="F226" s="121"/>
      <c r="G226" s="200" t="s">
        <v>4334</v>
      </c>
    </row>
    <row r="227" spans="1:7" ht="15.75" customHeight="1">
      <c r="A227" s="121" t="s">
        <v>6</v>
      </c>
      <c r="B227" s="121" t="s">
        <v>4328</v>
      </c>
      <c r="C227" s="43">
        <v>778423</v>
      </c>
      <c r="D227" s="1" t="s">
        <v>71</v>
      </c>
      <c r="E227" s="45" t="s">
        <v>4335</v>
      </c>
      <c r="F227" s="121"/>
      <c r="G227" s="200" t="s">
        <v>4336</v>
      </c>
    </row>
    <row r="228" spans="1:7" ht="15.75" customHeight="1">
      <c r="A228" s="121" t="s">
        <v>6</v>
      </c>
      <c r="B228" s="121" t="s">
        <v>4328</v>
      </c>
      <c r="C228" s="43">
        <v>2982072</v>
      </c>
      <c r="D228" s="1" t="s">
        <v>71</v>
      </c>
      <c r="E228" s="45" t="s">
        <v>4337</v>
      </c>
      <c r="F228" s="121"/>
      <c r="G228" s="200" t="s">
        <v>4338</v>
      </c>
    </row>
    <row r="229" spans="1:7" ht="15.75" customHeight="1">
      <c r="A229" s="121" t="s">
        <v>6</v>
      </c>
      <c r="B229" s="121" t="s">
        <v>4328</v>
      </c>
      <c r="C229" s="43">
        <v>752393</v>
      </c>
      <c r="D229" s="1" t="s">
        <v>71</v>
      </c>
      <c r="E229" s="45" t="s">
        <v>4339</v>
      </c>
      <c r="F229" s="121"/>
      <c r="G229" s="200" t="s">
        <v>4340</v>
      </c>
    </row>
    <row r="230" spans="1:7" ht="15.75" customHeight="1">
      <c r="A230" s="121" t="s">
        <v>6</v>
      </c>
      <c r="B230" s="121" t="s">
        <v>4328</v>
      </c>
      <c r="C230" s="43">
        <v>2381484</v>
      </c>
      <c r="D230" s="1" t="s">
        <v>80</v>
      </c>
      <c r="E230" s="45" t="s">
        <v>4341</v>
      </c>
      <c r="F230" s="121"/>
      <c r="G230" s="200" t="s">
        <v>4342</v>
      </c>
    </row>
    <row r="231" spans="1:7" ht="15.75" customHeight="1">
      <c r="A231" s="121" t="s">
        <v>6</v>
      </c>
      <c r="B231" s="121" t="s">
        <v>4328</v>
      </c>
      <c r="C231" s="43">
        <v>611521</v>
      </c>
      <c r="D231" s="1" t="s">
        <v>71</v>
      </c>
      <c r="E231" s="45" t="s">
        <v>4343</v>
      </c>
      <c r="F231" s="121"/>
      <c r="G231" s="202"/>
    </row>
    <row r="232" spans="1:7" ht="15.75" customHeight="1">
      <c r="A232" s="121" t="s">
        <v>6</v>
      </c>
      <c r="B232" s="121" t="s">
        <v>4328</v>
      </c>
      <c r="C232" s="43">
        <v>778435</v>
      </c>
      <c r="D232" s="1" t="s">
        <v>71</v>
      </c>
      <c r="E232" s="45" t="s">
        <v>4344</v>
      </c>
      <c r="F232" s="121"/>
      <c r="G232" s="202"/>
    </row>
    <row r="233" spans="1:7" ht="15.75" customHeight="1">
      <c r="A233" s="121" t="s">
        <v>6</v>
      </c>
      <c r="B233" s="121" t="s">
        <v>4328</v>
      </c>
      <c r="C233" s="43">
        <v>697602</v>
      </c>
      <c r="D233" s="1" t="s">
        <v>71</v>
      </c>
      <c r="E233" s="49" t="s">
        <v>4345</v>
      </c>
      <c r="F233" s="121"/>
      <c r="G233" s="203"/>
    </row>
    <row r="234" spans="1:7" ht="15.75" customHeight="1">
      <c r="A234" s="121" t="s">
        <v>6</v>
      </c>
      <c r="B234" s="121" t="s">
        <v>4328</v>
      </c>
      <c r="C234" s="43">
        <v>543592</v>
      </c>
      <c r="D234" s="1" t="s">
        <v>71</v>
      </c>
      <c r="E234" s="45" t="s">
        <v>4346</v>
      </c>
      <c r="F234" s="121"/>
      <c r="G234" s="203"/>
    </row>
    <row r="235" spans="1:7" ht="15.75" customHeight="1">
      <c r="A235" s="121" t="s">
        <v>6</v>
      </c>
      <c r="B235" s="121" t="s">
        <v>4328</v>
      </c>
      <c r="C235" s="43">
        <v>2841376</v>
      </c>
      <c r="D235" s="1" t="s">
        <v>71</v>
      </c>
      <c r="E235" s="45" t="s">
        <v>4347</v>
      </c>
      <c r="F235" s="121"/>
      <c r="G235" s="203"/>
    </row>
    <row r="236" spans="1:7" ht="15.75" customHeight="1">
      <c r="A236" s="121" t="s">
        <v>6</v>
      </c>
      <c r="B236" s="121" t="s">
        <v>4328</v>
      </c>
      <c r="C236" s="43">
        <v>3013675</v>
      </c>
      <c r="D236" s="1" t="s">
        <v>71</v>
      </c>
      <c r="E236" s="49" t="s">
        <v>4348</v>
      </c>
      <c r="F236" s="121"/>
      <c r="G236" s="203"/>
    </row>
    <row r="237" spans="1:7" ht="15.75" customHeight="1">
      <c r="A237" s="121" t="s">
        <v>6</v>
      </c>
      <c r="B237" s="121" t="s">
        <v>4328</v>
      </c>
      <c r="C237" s="43">
        <v>2940713</v>
      </c>
      <c r="D237" s="1" t="s">
        <v>71</v>
      </c>
      <c r="E237" s="45" t="s">
        <v>4349</v>
      </c>
      <c r="F237" s="121"/>
      <c r="G237" s="203"/>
    </row>
    <row r="238" spans="1:7" ht="15.75" customHeight="1">
      <c r="A238" s="121" t="s">
        <v>6</v>
      </c>
      <c r="B238" s="121" t="s">
        <v>4328</v>
      </c>
      <c r="C238" s="43">
        <v>629858</v>
      </c>
      <c r="D238" s="1" t="s">
        <v>71</v>
      </c>
      <c r="E238" s="45" t="s">
        <v>4350</v>
      </c>
      <c r="F238" s="121"/>
      <c r="G238" s="203"/>
    </row>
    <row r="239" spans="1:7" ht="15.75" customHeight="1">
      <c r="A239" s="121" t="s">
        <v>6</v>
      </c>
      <c r="B239" s="121" t="s">
        <v>4328</v>
      </c>
      <c r="C239" s="43">
        <v>629859</v>
      </c>
      <c r="D239" s="1" t="s">
        <v>71</v>
      </c>
      <c r="E239" s="45" t="s">
        <v>4351</v>
      </c>
      <c r="F239" s="121"/>
      <c r="G239" s="203"/>
    </row>
    <row r="240" spans="1:7" ht="15.75" customHeight="1">
      <c r="A240" s="121" t="s">
        <v>6</v>
      </c>
      <c r="B240" s="121" t="s">
        <v>4328</v>
      </c>
      <c r="C240" s="43">
        <v>2832042</v>
      </c>
      <c r="D240" s="1" t="s">
        <v>71</v>
      </c>
      <c r="E240" s="49" t="s">
        <v>4352</v>
      </c>
      <c r="F240" s="121"/>
      <c r="G240" s="203"/>
    </row>
    <row r="241" spans="1:7" ht="15.75" customHeight="1">
      <c r="A241" s="121" t="s">
        <v>6</v>
      </c>
      <c r="B241" s="121" t="s">
        <v>4328</v>
      </c>
      <c r="C241" s="43">
        <v>611520</v>
      </c>
      <c r="D241" s="1" t="s">
        <v>101</v>
      </c>
      <c r="E241" s="45" t="s">
        <v>4353</v>
      </c>
      <c r="F241" s="121"/>
      <c r="G241" s="203"/>
    </row>
    <row r="242" spans="1:7" ht="15.75" customHeight="1">
      <c r="A242" s="121" t="s">
        <v>6</v>
      </c>
      <c r="B242" s="121" t="s">
        <v>4328</v>
      </c>
      <c r="C242" s="43">
        <v>492495</v>
      </c>
      <c r="D242" s="1" t="s">
        <v>83</v>
      </c>
      <c r="E242" s="45" t="s">
        <v>4354</v>
      </c>
      <c r="F242" s="121"/>
      <c r="G242" s="203"/>
    </row>
    <row r="243" spans="1:7" ht="15.75" customHeight="1">
      <c r="A243" s="121" t="s">
        <v>6</v>
      </c>
      <c r="B243" s="121" t="s">
        <v>4328</v>
      </c>
      <c r="C243" s="43">
        <v>710533</v>
      </c>
      <c r="D243" s="1" t="s">
        <v>83</v>
      </c>
      <c r="E243" s="45" t="s">
        <v>4355</v>
      </c>
      <c r="F243" s="121"/>
      <c r="G243" s="203"/>
    </row>
    <row r="244" spans="1:7" ht="15.75" customHeight="1">
      <c r="A244" s="121" t="s">
        <v>6</v>
      </c>
      <c r="B244" s="121" t="s">
        <v>4328</v>
      </c>
      <c r="C244" s="43">
        <v>776994</v>
      </c>
      <c r="D244" s="1" t="s">
        <v>71</v>
      </c>
      <c r="E244" s="45" t="s">
        <v>4356</v>
      </c>
      <c r="F244" s="121"/>
      <c r="G244" s="203"/>
    </row>
    <row r="245" spans="1:7" ht="15.75" customHeight="1">
      <c r="A245" s="121" t="s">
        <v>6</v>
      </c>
      <c r="B245" s="121" t="s">
        <v>4328</v>
      </c>
      <c r="C245" s="43">
        <v>440456</v>
      </c>
      <c r="D245" s="1" t="s">
        <v>83</v>
      </c>
      <c r="E245" s="45" t="s">
        <v>4357</v>
      </c>
      <c r="F245" s="121"/>
      <c r="G245" s="203"/>
    </row>
    <row r="246" spans="1:7" ht="15.75" customHeight="1">
      <c r="A246" s="121" t="s">
        <v>6</v>
      </c>
      <c r="B246" s="121" t="s">
        <v>4328</v>
      </c>
      <c r="C246" s="43">
        <v>3027410</v>
      </c>
      <c r="D246" s="1" t="s">
        <v>101</v>
      </c>
      <c r="E246" s="49" t="s">
        <v>4358</v>
      </c>
      <c r="F246" s="121"/>
      <c r="G246" s="203"/>
    </row>
    <row r="247" spans="1:7" ht="15.75" customHeight="1">
      <c r="A247" s="121" t="s">
        <v>6</v>
      </c>
      <c r="B247" s="121" t="s">
        <v>4328</v>
      </c>
      <c r="C247" s="43">
        <v>2817211</v>
      </c>
      <c r="D247" s="1" t="s">
        <v>90</v>
      </c>
      <c r="E247" s="49" t="s">
        <v>4359</v>
      </c>
      <c r="F247" s="121"/>
      <c r="G247" s="203"/>
    </row>
    <row r="248" spans="1:7" ht="15.75" customHeight="1">
      <c r="A248" s="121" t="s">
        <v>6</v>
      </c>
      <c r="B248" s="121" t="s">
        <v>4328</v>
      </c>
      <c r="C248" s="43">
        <v>789569</v>
      </c>
      <c r="D248" s="1" t="s">
        <v>101</v>
      </c>
      <c r="E248" s="45" t="s">
        <v>4360</v>
      </c>
      <c r="F248" s="121"/>
      <c r="G248" s="203"/>
    </row>
    <row r="249" spans="1:7" ht="15.75" customHeight="1">
      <c r="A249" s="121" t="s">
        <v>6</v>
      </c>
      <c r="B249" s="121" t="s">
        <v>4328</v>
      </c>
      <c r="C249" s="43">
        <v>789577</v>
      </c>
      <c r="D249" s="1" t="s">
        <v>71</v>
      </c>
      <c r="E249" s="45" t="s">
        <v>4361</v>
      </c>
      <c r="F249" s="121"/>
      <c r="G249" s="203"/>
    </row>
    <row r="250" spans="1:7" ht="15.75" customHeight="1">
      <c r="A250" s="121" t="s">
        <v>6</v>
      </c>
      <c r="B250" s="121" t="s">
        <v>4328</v>
      </c>
      <c r="C250" s="43">
        <v>778431</v>
      </c>
      <c r="D250" s="1" t="s">
        <v>71</v>
      </c>
      <c r="E250" s="49" t="s">
        <v>4362</v>
      </c>
      <c r="F250" s="121"/>
      <c r="G250" s="203"/>
    </row>
    <row r="251" spans="1:7" ht="15.75" customHeight="1">
      <c r="A251" s="121" t="s">
        <v>6</v>
      </c>
      <c r="B251" s="121" t="s">
        <v>4328</v>
      </c>
      <c r="C251" s="43">
        <v>778430</v>
      </c>
      <c r="D251" s="1" t="s">
        <v>71</v>
      </c>
      <c r="E251" s="45" t="s">
        <v>4363</v>
      </c>
      <c r="F251" s="121"/>
      <c r="G251" s="203"/>
    </row>
    <row r="252" spans="1:7" ht="15.75" customHeight="1">
      <c r="A252" s="121" t="s">
        <v>6</v>
      </c>
      <c r="B252" s="121" t="s">
        <v>4328</v>
      </c>
      <c r="C252" s="43">
        <v>519726</v>
      </c>
      <c r="D252" s="1" t="s">
        <v>83</v>
      </c>
      <c r="E252" s="45" t="s">
        <v>4364</v>
      </c>
      <c r="F252" s="121"/>
      <c r="G252" s="203"/>
    </row>
    <row r="253" spans="1:7" ht="15.75" customHeight="1">
      <c r="A253" s="121" t="s">
        <v>6</v>
      </c>
      <c r="B253" s="121" t="s">
        <v>4328</v>
      </c>
      <c r="C253" s="43">
        <v>2825466</v>
      </c>
      <c r="D253" s="1" t="s">
        <v>101</v>
      </c>
      <c r="E253" s="45" t="s">
        <v>4365</v>
      </c>
      <c r="F253" s="121"/>
      <c r="G253" s="203"/>
    </row>
    <row r="254" spans="1:7" ht="15.75" customHeight="1">
      <c r="A254" s="121" t="s">
        <v>6</v>
      </c>
      <c r="B254" s="121" t="s">
        <v>4328</v>
      </c>
      <c r="C254" s="43">
        <v>520860</v>
      </c>
      <c r="D254" s="1" t="s">
        <v>83</v>
      </c>
      <c r="E254" s="45" t="s">
        <v>4366</v>
      </c>
      <c r="F254" s="121"/>
      <c r="G254" s="203"/>
    </row>
    <row r="255" spans="1:7" ht="15.75" customHeight="1">
      <c r="A255" s="121" t="s">
        <v>6</v>
      </c>
      <c r="B255" s="121" t="s">
        <v>4328</v>
      </c>
      <c r="C255" s="43">
        <v>778432</v>
      </c>
      <c r="D255" s="1" t="s">
        <v>71</v>
      </c>
      <c r="E255" s="45" t="s">
        <v>4367</v>
      </c>
      <c r="F255" s="121"/>
      <c r="G255" s="203"/>
    </row>
    <row r="256" spans="1:7" ht="15.75" customHeight="1">
      <c r="A256" s="121" t="s">
        <v>6</v>
      </c>
      <c r="B256" s="121" t="s">
        <v>4328</v>
      </c>
      <c r="C256" s="43">
        <v>5025497</v>
      </c>
      <c r="D256" s="1" t="s">
        <v>101</v>
      </c>
      <c r="E256" s="45" t="s">
        <v>4368</v>
      </c>
      <c r="F256" s="121"/>
      <c r="G256" s="203"/>
    </row>
    <row r="257" spans="1:7" ht="15.75" customHeight="1">
      <c r="A257" s="121" t="s">
        <v>6</v>
      </c>
      <c r="B257" s="121" t="s">
        <v>4328</v>
      </c>
      <c r="C257" s="43">
        <v>629860</v>
      </c>
      <c r="D257" s="1" t="s">
        <v>101</v>
      </c>
      <c r="E257" s="45" t="s">
        <v>4369</v>
      </c>
      <c r="F257" s="121"/>
      <c r="G257" s="203"/>
    </row>
    <row r="258" spans="1:7" ht="15.75" customHeight="1">
      <c r="A258" s="121" t="s">
        <v>6</v>
      </c>
      <c r="B258" s="121" t="s">
        <v>4328</v>
      </c>
      <c r="C258" s="43">
        <v>2825599</v>
      </c>
      <c r="D258" s="1" t="s">
        <v>101</v>
      </c>
      <c r="E258" s="45" t="s">
        <v>4370</v>
      </c>
      <c r="F258" s="121"/>
      <c r="G258" s="203"/>
    </row>
    <row r="259" spans="1:7" ht="15.75" customHeight="1">
      <c r="A259" s="121" t="s">
        <v>6</v>
      </c>
      <c r="B259" s="121" t="s">
        <v>4328</v>
      </c>
      <c r="C259" s="43">
        <v>3032256</v>
      </c>
      <c r="D259" s="1" t="s">
        <v>101</v>
      </c>
      <c r="E259" s="49" t="s">
        <v>4371</v>
      </c>
      <c r="F259" s="121"/>
      <c r="G259" s="203"/>
    </row>
    <row r="260" spans="1:7" ht="15.75" customHeight="1">
      <c r="A260" s="121" t="s">
        <v>6</v>
      </c>
      <c r="B260" s="121" t="s">
        <v>4328</v>
      </c>
      <c r="C260" s="43">
        <v>2982071</v>
      </c>
      <c r="D260" s="1" t="s">
        <v>71</v>
      </c>
      <c r="E260" s="45" t="s">
        <v>4372</v>
      </c>
      <c r="F260" s="121"/>
      <c r="G260" s="203"/>
    </row>
    <row r="261" spans="1:7" ht="15.75" customHeight="1">
      <c r="A261" s="121" t="s">
        <v>6</v>
      </c>
      <c r="B261" s="121" t="s">
        <v>4328</v>
      </c>
      <c r="C261" s="43">
        <v>2259761</v>
      </c>
      <c r="D261" s="1" t="s">
        <v>90</v>
      </c>
      <c r="E261" s="45" t="s">
        <v>4373</v>
      </c>
      <c r="F261" s="121"/>
      <c r="G261" s="203"/>
    </row>
    <row r="262" spans="1:7" ht="15.75" customHeight="1">
      <c r="A262" s="121" t="s">
        <v>6</v>
      </c>
      <c r="B262" s="121" t="s">
        <v>4328</v>
      </c>
      <c r="C262" s="43">
        <v>2825737</v>
      </c>
      <c r="D262" s="1" t="s">
        <v>101</v>
      </c>
      <c r="E262" s="45" t="s">
        <v>4374</v>
      </c>
      <c r="F262" s="121"/>
      <c r="G262" s="203"/>
    </row>
    <row r="263" spans="1:7" ht="15.75" customHeight="1">
      <c r="A263" s="121" t="s">
        <v>6</v>
      </c>
      <c r="B263" s="121" t="s">
        <v>4328</v>
      </c>
      <c r="C263" s="43">
        <v>2849244</v>
      </c>
      <c r="D263" s="1" t="s">
        <v>101</v>
      </c>
      <c r="E263" s="45" t="s">
        <v>4375</v>
      </c>
      <c r="F263" s="121"/>
      <c r="G263" s="203"/>
    </row>
    <row r="264" spans="1:7" ht="15.75" customHeight="1">
      <c r="A264" s="121" t="s">
        <v>6</v>
      </c>
      <c r="B264" s="121" t="s">
        <v>4328</v>
      </c>
      <c r="C264" s="43">
        <v>3103251</v>
      </c>
      <c r="D264" s="1" t="s">
        <v>101</v>
      </c>
      <c r="E264" s="45" t="s">
        <v>4376</v>
      </c>
      <c r="F264" s="121"/>
      <c r="G264" s="203"/>
    </row>
    <row r="265" spans="1:7" ht="15.75" customHeight="1">
      <c r="A265" s="121" t="s">
        <v>6</v>
      </c>
      <c r="B265" s="121" t="s">
        <v>4328</v>
      </c>
      <c r="C265" s="43">
        <v>2260697</v>
      </c>
      <c r="D265" s="1" t="s">
        <v>71</v>
      </c>
      <c r="E265" s="45" t="s">
        <v>4377</v>
      </c>
      <c r="F265" s="121"/>
      <c r="G265" s="203"/>
    </row>
    <row r="266" spans="1:7" ht="15.75" customHeight="1">
      <c r="A266" s="121" t="s">
        <v>6</v>
      </c>
      <c r="B266" s="121" t="s">
        <v>4328</v>
      </c>
      <c r="C266" s="43">
        <v>2919017</v>
      </c>
      <c r="D266" s="1" t="s">
        <v>71</v>
      </c>
      <c r="E266" s="45" t="s">
        <v>4378</v>
      </c>
      <c r="F266" s="121"/>
      <c r="G266" s="203"/>
    </row>
    <row r="267" spans="1:7" ht="15.75" customHeight="1">
      <c r="A267" s="121" t="s">
        <v>6</v>
      </c>
      <c r="B267" s="121" t="s">
        <v>4328</v>
      </c>
      <c r="C267" s="43">
        <v>2849245</v>
      </c>
      <c r="D267" s="1" t="s">
        <v>71</v>
      </c>
      <c r="E267" s="45" t="s">
        <v>4379</v>
      </c>
      <c r="F267" s="121"/>
      <c r="G267" s="203"/>
    </row>
    <row r="268" spans="1:7" ht="15.75" customHeight="1">
      <c r="A268" s="121" t="s">
        <v>6</v>
      </c>
      <c r="B268" s="121" t="s">
        <v>4328</v>
      </c>
      <c r="C268" s="43">
        <v>752394</v>
      </c>
      <c r="D268" s="1" t="s">
        <v>71</v>
      </c>
      <c r="E268" s="45" t="s">
        <v>4380</v>
      </c>
      <c r="F268" s="121"/>
      <c r="G268" s="203"/>
    </row>
    <row r="269" spans="1:7" ht="15.75" customHeight="1">
      <c r="A269" s="121" t="s">
        <v>6</v>
      </c>
      <c r="B269" s="121" t="s">
        <v>4328</v>
      </c>
      <c r="C269" s="43">
        <v>591262</v>
      </c>
      <c r="D269" s="1" t="s">
        <v>71</v>
      </c>
      <c r="E269" s="45" t="s">
        <v>4381</v>
      </c>
      <c r="F269" s="121"/>
      <c r="G269" s="203"/>
    </row>
    <row r="270" spans="1:7" ht="15.75" customHeight="1">
      <c r="A270" s="121" t="s">
        <v>6</v>
      </c>
      <c r="B270" s="121" t="s">
        <v>4328</v>
      </c>
      <c r="C270" s="43">
        <v>591265</v>
      </c>
      <c r="D270" s="1" t="s">
        <v>71</v>
      </c>
      <c r="E270" s="45" t="s">
        <v>4382</v>
      </c>
      <c r="F270" s="121"/>
      <c r="G270" s="203"/>
    </row>
    <row r="271" spans="1:7" ht="15.75" customHeight="1">
      <c r="A271" s="121" t="s">
        <v>6</v>
      </c>
      <c r="B271" s="121" t="s">
        <v>4328</v>
      </c>
      <c r="C271" s="43">
        <v>3154985</v>
      </c>
      <c r="D271" s="1" t="s">
        <v>71</v>
      </c>
      <c r="E271" s="49" t="s">
        <v>4383</v>
      </c>
      <c r="F271" s="121"/>
      <c r="G271" s="203"/>
    </row>
    <row r="272" spans="1:7" ht="15.75" customHeight="1">
      <c r="A272" s="121" t="s">
        <v>6</v>
      </c>
      <c r="B272" s="121" t="s">
        <v>4328</v>
      </c>
      <c r="C272" s="43">
        <v>2822673</v>
      </c>
      <c r="D272" s="1" t="s">
        <v>90</v>
      </c>
      <c r="E272" s="45" t="s">
        <v>4384</v>
      </c>
      <c r="F272" s="121"/>
      <c r="G272" s="203"/>
    </row>
    <row r="273" spans="1:7" ht="15.75" customHeight="1">
      <c r="A273" s="121" t="s">
        <v>6</v>
      </c>
      <c r="B273" s="121" t="s">
        <v>4328</v>
      </c>
      <c r="C273" s="43">
        <v>2841378</v>
      </c>
      <c r="D273" s="1" t="s">
        <v>71</v>
      </c>
      <c r="E273" s="45" t="s">
        <v>4385</v>
      </c>
      <c r="F273" s="121"/>
      <c r="G273" s="203"/>
    </row>
    <row r="274" spans="1:7" ht="15.75" customHeight="1">
      <c r="A274" s="121" t="s">
        <v>6</v>
      </c>
      <c r="B274" s="121" t="s">
        <v>4328</v>
      </c>
      <c r="C274" s="43">
        <v>498445</v>
      </c>
      <c r="D274" s="1" t="s">
        <v>83</v>
      </c>
      <c r="E274" s="45" t="s">
        <v>4386</v>
      </c>
      <c r="F274" s="121"/>
      <c r="G274" s="203"/>
    </row>
    <row r="275" spans="1:7" ht="15.75" customHeight="1">
      <c r="A275" s="121" t="s">
        <v>6</v>
      </c>
      <c r="B275" s="121" t="s">
        <v>4328</v>
      </c>
      <c r="C275" s="43">
        <v>2841379</v>
      </c>
      <c r="D275" s="1" t="s">
        <v>71</v>
      </c>
      <c r="E275" s="45" t="s">
        <v>4387</v>
      </c>
      <c r="F275" s="121"/>
      <c r="G275" s="203"/>
    </row>
    <row r="276" spans="1:7" ht="15.75" customHeight="1">
      <c r="A276" s="121" t="s">
        <v>6</v>
      </c>
      <c r="B276" s="121" t="s">
        <v>4328</v>
      </c>
      <c r="C276" s="43">
        <v>2422670</v>
      </c>
      <c r="D276" s="1" t="s">
        <v>71</v>
      </c>
      <c r="E276" s="45" t="s">
        <v>4388</v>
      </c>
      <c r="F276" s="121"/>
      <c r="G276" s="203"/>
    </row>
    <row r="277" spans="1:7" ht="15.75" customHeight="1">
      <c r="A277" s="121" t="s">
        <v>6</v>
      </c>
      <c r="B277" s="121" t="s">
        <v>4328</v>
      </c>
      <c r="C277" s="43">
        <v>2928998</v>
      </c>
      <c r="D277" s="1" t="s">
        <v>71</v>
      </c>
      <c r="E277" s="45" t="s">
        <v>4389</v>
      </c>
      <c r="F277" s="121"/>
      <c r="G277" s="203"/>
    </row>
    <row r="278" spans="1:7" ht="15.75" customHeight="1">
      <c r="A278" s="121" t="s">
        <v>7</v>
      </c>
      <c r="B278" s="121" t="s">
        <v>4390</v>
      </c>
      <c r="C278" s="130" t="s">
        <v>68</v>
      </c>
      <c r="D278" s="130" t="s">
        <v>62</v>
      </c>
      <c r="E278" s="199" t="s">
        <v>69</v>
      </c>
      <c r="F278" s="130"/>
      <c r="G278" s="200" t="s">
        <v>70</v>
      </c>
    </row>
    <row r="279" spans="1:7" ht="15.75" customHeight="1">
      <c r="A279" s="121" t="s">
        <v>7</v>
      </c>
      <c r="B279" s="121" t="s">
        <v>4390</v>
      </c>
      <c r="C279" s="43">
        <v>707920</v>
      </c>
      <c r="D279" s="1" t="s">
        <v>83</v>
      </c>
      <c r="E279" s="45" t="s">
        <v>4391</v>
      </c>
      <c r="F279" s="121"/>
      <c r="G279" s="200" t="s">
        <v>4392</v>
      </c>
    </row>
    <row r="280" spans="1:7" ht="15.75" customHeight="1">
      <c r="A280" s="121" t="s">
        <v>7</v>
      </c>
      <c r="B280" s="121" t="s">
        <v>4390</v>
      </c>
      <c r="C280" s="43">
        <v>707936</v>
      </c>
      <c r="D280" s="1" t="s">
        <v>71</v>
      </c>
      <c r="E280" s="45" t="s">
        <v>4393</v>
      </c>
      <c r="F280" s="121"/>
      <c r="G280" s="200" t="s">
        <v>4394</v>
      </c>
    </row>
    <row r="281" spans="1:7" ht="15.75" customHeight="1">
      <c r="A281" s="121" t="s">
        <v>7</v>
      </c>
      <c r="B281" s="121" t="s">
        <v>4390</v>
      </c>
      <c r="C281" s="43">
        <v>2823373</v>
      </c>
      <c r="D281" s="1" t="s">
        <v>71</v>
      </c>
      <c r="E281" s="45" t="s">
        <v>4246</v>
      </c>
      <c r="F281" s="121"/>
      <c r="G281" s="200" t="s">
        <v>4395</v>
      </c>
    </row>
    <row r="282" spans="1:7" ht="15.75" customHeight="1">
      <c r="A282" s="121" t="s">
        <v>7</v>
      </c>
      <c r="B282" s="121" t="s">
        <v>4390</v>
      </c>
      <c r="C282" s="43">
        <v>2942173</v>
      </c>
      <c r="D282" s="1" t="s">
        <v>71</v>
      </c>
      <c r="E282" s="45" t="s">
        <v>4212</v>
      </c>
      <c r="F282" s="121"/>
      <c r="G282" s="203"/>
    </row>
    <row r="283" spans="1:7" ht="15.75" customHeight="1">
      <c r="A283" s="121" t="s">
        <v>7</v>
      </c>
      <c r="B283" s="121" t="s">
        <v>4390</v>
      </c>
      <c r="C283" s="43">
        <v>3107705</v>
      </c>
      <c r="D283" s="1" t="s">
        <v>80</v>
      </c>
      <c r="E283" s="45" t="s">
        <v>4247</v>
      </c>
      <c r="F283" s="121"/>
      <c r="G283" s="202"/>
    </row>
    <row r="284" spans="1:7" ht="15.75" customHeight="1">
      <c r="A284" s="121" t="s">
        <v>7</v>
      </c>
      <c r="B284" s="121" t="s">
        <v>4390</v>
      </c>
      <c r="C284" s="43">
        <v>723133</v>
      </c>
      <c r="D284" s="1" t="s">
        <v>83</v>
      </c>
      <c r="E284" s="45" t="s">
        <v>4396</v>
      </c>
      <c r="F284" s="206"/>
      <c r="G284" s="203"/>
    </row>
    <row r="285" spans="1:7" ht="15.75" customHeight="1">
      <c r="A285" s="121" t="s">
        <v>7</v>
      </c>
      <c r="B285" s="121" t="s">
        <v>4390</v>
      </c>
      <c r="C285" s="43">
        <v>723136</v>
      </c>
      <c r="D285" s="1" t="s">
        <v>83</v>
      </c>
      <c r="E285" s="45" t="s">
        <v>4397</v>
      </c>
      <c r="F285" s="206"/>
      <c r="G285" s="203"/>
    </row>
    <row r="286" spans="1:7" ht="15.75" customHeight="1">
      <c r="A286" s="121" t="s">
        <v>7</v>
      </c>
      <c r="B286" s="121" t="s">
        <v>4390</v>
      </c>
      <c r="C286" s="43">
        <v>792284</v>
      </c>
      <c r="D286" s="1" t="s">
        <v>71</v>
      </c>
      <c r="E286" s="45" t="s">
        <v>4398</v>
      </c>
      <c r="F286" s="206"/>
      <c r="G286" s="203"/>
    </row>
    <row r="287" spans="1:7" ht="15.75" customHeight="1">
      <c r="A287" s="121" t="s">
        <v>7</v>
      </c>
      <c r="B287" s="121" t="s">
        <v>4390</v>
      </c>
      <c r="C287" s="43">
        <v>792285</v>
      </c>
      <c r="D287" s="1" t="s">
        <v>71</v>
      </c>
      <c r="E287" s="45" t="s">
        <v>4399</v>
      </c>
      <c r="F287" s="206"/>
      <c r="G287" s="203"/>
    </row>
    <row r="288" spans="1:7" ht="15.75" customHeight="1">
      <c r="A288" s="121" t="s">
        <v>7</v>
      </c>
      <c r="B288" s="121" t="s">
        <v>4390</v>
      </c>
      <c r="C288" s="43">
        <v>481712</v>
      </c>
      <c r="D288" s="1" t="s">
        <v>71</v>
      </c>
      <c r="E288" s="45" t="s">
        <v>4249</v>
      </c>
      <c r="F288" s="206"/>
      <c r="G288" s="203"/>
    </row>
    <row r="289" spans="1:7" ht="15.75" customHeight="1">
      <c r="A289" s="121" t="s">
        <v>7</v>
      </c>
      <c r="B289" s="121" t="s">
        <v>4390</v>
      </c>
      <c r="C289" s="43">
        <v>2467112</v>
      </c>
      <c r="D289" s="1" t="s">
        <v>80</v>
      </c>
      <c r="E289" s="49" t="s">
        <v>4400</v>
      </c>
      <c r="F289" s="206"/>
      <c r="G289" s="203"/>
    </row>
    <row r="290" spans="1:7" ht="15.75" customHeight="1">
      <c r="A290" s="121" t="s">
        <v>7</v>
      </c>
      <c r="B290" s="121" t="s">
        <v>4390</v>
      </c>
      <c r="C290" s="43">
        <v>3107703</v>
      </c>
      <c r="D290" s="1" t="s">
        <v>71</v>
      </c>
      <c r="E290" s="45" t="s">
        <v>4179</v>
      </c>
      <c r="F290" s="206"/>
      <c r="G290" s="203"/>
    </row>
    <row r="291" spans="1:7" ht="15.75" customHeight="1">
      <c r="A291" s="121" t="s">
        <v>7</v>
      </c>
      <c r="B291" s="121" t="s">
        <v>4390</v>
      </c>
      <c r="C291" s="43">
        <v>3107704</v>
      </c>
      <c r="D291" s="1" t="s">
        <v>83</v>
      </c>
      <c r="E291" s="45" t="s">
        <v>4254</v>
      </c>
      <c r="F291" s="206"/>
      <c r="G291" s="203"/>
    </row>
    <row r="292" spans="1:7" ht="15.75" customHeight="1">
      <c r="A292" s="121" t="s">
        <v>7</v>
      </c>
      <c r="B292" s="121" t="s">
        <v>4390</v>
      </c>
      <c r="C292" s="43">
        <v>5025546</v>
      </c>
      <c r="D292" s="1" t="s">
        <v>71</v>
      </c>
      <c r="E292" s="45" t="s">
        <v>4216</v>
      </c>
      <c r="F292" s="121"/>
      <c r="G292" s="202"/>
    </row>
    <row r="293" spans="1:7" ht="15.75" customHeight="1">
      <c r="A293" s="121" t="s">
        <v>7</v>
      </c>
      <c r="B293" s="121" t="s">
        <v>4390</v>
      </c>
      <c r="C293" s="43">
        <v>2835105</v>
      </c>
      <c r="D293" s="1" t="s">
        <v>80</v>
      </c>
      <c r="E293" s="45" t="s">
        <v>4401</v>
      </c>
      <c r="F293" s="121"/>
      <c r="G293" s="202"/>
    </row>
    <row r="294" spans="1:7" ht="15.75" customHeight="1">
      <c r="A294" s="121" t="s">
        <v>7</v>
      </c>
      <c r="B294" s="121" t="s">
        <v>4390</v>
      </c>
      <c r="C294" s="43">
        <v>771372</v>
      </c>
      <c r="D294" s="1" t="s">
        <v>90</v>
      </c>
      <c r="E294" s="45" t="s">
        <v>4402</v>
      </c>
      <c r="F294" s="121"/>
      <c r="G294" s="202"/>
    </row>
    <row r="295" spans="1:7" ht="15.75" customHeight="1">
      <c r="A295" s="121" t="s">
        <v>7</v>
      </c>
      <c r="B295" s="121" t="s">
        <v>4390</v>
      </c>
      <c r="C295" s="43">
        <v>605125</v>
      </c>
      <c r="D295" s="1" t="s">
        <v>80</v>
      </c>
      <c r="E295" s="45" t="s">
        <v>4222</v>
      </c>
      <c r="F295" s="121"/>
      <c r="G295" s="202"/>
    </row>
    <row r="296" spans="1:7" ht="15.75" customHeight="1">
      <c r="A296" s="121" t="s">
        <v>7</v>
      </c>
      <c r="B296" s="121" t="s">
        <v>4390</v>
      </c>
      <c r="C296" s="43">
        <v>707937</v>
      </c>
      <c r="D296" s="1" t="s">
        <v>71</v>
      </c>
      <c r="E296" s="45" t="s">
        <v>4228</v>
      </c>
      <c r="F296" s="121"/>
      <c r="G296" s="202"/>
    </row>
    <row r="297" spans="1:7" ht="15.75" customHeight="1">
      <c r="A297" s="121" t="s">
        <v>7</v>
      </c>
      <c r="B297" s="121" t="s">
        <v>4390</v>
      </c>
      <c r="C297" s="43">
        <v>610659</v>
      </c>
      <c r="D297" s="1" t="s">
        <v>71</v>
      </c>
      <c r="E297" s="45" t="s">
        <v>4229</v>
      </c>
      <c r="F297" s="121"/>
      <c r="G297" s="202"/>
    </row>
    <row r="298" spans="1:7" ht="15.75" customHeight="1">
      <c r="A298" s="207" t="s">
        <v>8</v>
      </c>
      <c r="B298" s="207" t="s">
        <v>4403</v>
      </c>
      <c r="C298" s="130" t="s">
        <v>68</v>
      </c>
      <c r="D298" s="130" t="s">
        <v>62</v>
      </c>
      <c r="E298" s="199" t="s">
        <v>69</v>
      </c>
      <c r="F298" s="130"/>
      <c r="G298" s="200" t="s">
        <v>70</v>
      </c>
    </row>
    <row r="299" spans="1:7" ht="15.75" customHeight="1">
      <c r="A299" s="207" t="s">
        <v>8</v>
      </c>
      <c r="B299" s="207" t="s">
        <v>4403</v>
      </c>
      <c r="C299" s="43">
        <v>3107697</v>
      </c>
      <c r="D299" s="1" t="s">
        <v>90</v>
      </c>
      <c r="E299" s="45" t="s">
        <v>4320</v>
      </c>
      <c r="F299" s="206"/>
      <c r="G299" s="200" t="s">
        <v>4404</v>
      </c>
    </row>
    <row r="300" spans="1:7" ht="15.75" customHeight="1">
      <c r="A300" s="207" t="s">
        <v>8</v>
      </c>
      <c r="B300" s="207" t="s">
        <v>4403</v>
      </c>
      <c r="C300" s="43">
        <v>464632</v>
      </c>
      <c r="D300" s="1" t="s">
        <v>80</v>
      </c>
      <c r="E300" s="45" t="s">
        <v>4166</v>
      </c>
      <c r="F300" s="201"/>
      <c r="G300" s="203"/>
    </row>
    <row r="301" spans="1:7" ht="15.75" customHeight="1">
      <c r="A301" s="207" t="s">
        <v>8</v>
      </c>
      <c r="B301" s="207" t="s">
        <v>4403</v>
      </c>
      <c r="C301" s="43">
        <v>560464</v>
      </c>
      <c r="D301" s="1" t="s">
        <v>80</v>
      </c>
      <c r="E301" s="45" t="s">
        <v>4204</v>
      </c>
      <c r="F301" s="121"/>
      <c r="G301" s="202"/>
    </row>
    <row r="302" spans="1:7" ht="15.75" customHeight="1">
      <c r="A302" s="207" t="s">
        <v>8</v>
      </c>
      <c r="B302" s="207" t="s">
        <v>4403</v>
      </c>
      <c r="C302" s="43">
        <v>3107658</v>
      </c>
      <c r="D302" s="1" t="s">
        <v>71</v>
      </c>
      <c r="E302" s="45" t="s">
        <v>4173</v>
      </c>
      <c r="F302" s="121"/>
      <c r="G302" s="202"/>
    </row>
    <row r="303" spans="1:7" ht="15.75" customHeight="1">
      <c r="A303" s="207" t="s">
        <v>8</v>
      </c>
      <c r="B303" s="207" t="s">
        <v>4403</v>
      </c>
      <c r="C303" s="43">
        <v>2250561</v>
      </c>
      <c r="D303" s="1" t="s">
        <v>71</v>
      </c>
      <c r="E303" s="49" t="s">
        <v>4210</v>
      </c>
      <c r="F303" s="121"/>
      <c r="G303" s="202"/>
    </row>
    <row r="304" spans="1:7" ht="15.75" customHeight="1">
      <c r="A304" s="207" t="s">
        <v>8</v>
      </c>
      <c r="B304" s="207" t="s">
        <v>4403</v>
      </c>
      <c r="C304" s="43">
        <v>2942173</v>
      </c>
      <c r="D304" s="1" t="s">
        <v>71</v>
      </c>
      <c r="E304" s="45" t="s">
        <v>4212</v>
      </c>
      <c r="F304" s="121"/>
      <c r="G304" s="202"/>
    </row>
    <row r="305" spans="1:7" ht="15.75" customHeight="1">
      <c r="A305" s="207" t="s">
        <v>8</v>
      </c>
      <c r="B305" s="207" t="s">
        <v>4403</v>
      </c>
      <c r="C305" s="43">
        <v>714748</v>
      </c>
      <c r="D305" s="1" t="s">
        <v>80</v>
      </c>
      <c r="E305" s="49" t="s">
        <v>4175</v>
      </c>
      <c r="F305" s="121"/>
      <c r="G305" s="202"/>
    </row>
    <row r="306" spans="1:7" ht="15.75" customHeight="1">
      <c r="A306" s="207" t="s">
        <v>8</v>
      </c>
      <c r="B306" s="207" t="s">
        <v>4403</v>
      </c>
      <c r="C306" s="43">
        <v>511184</v>
      </c>
      <c r="D306" s="1" t="s">
        <v>80</v>
      </c>
      <c r="E306" s="45" t="s">
        <v>4178</v>
      </c>
      <c r="F306" s="121"/>
      <c r="G306" s="202"/>
    </row>
    <row r="307" spans="1:7" ht="15.75" customHeight="1">
      <c r="A307" s="207" t="s">
        <v>8</v>
      </c>
      <c r="B307" s="207" t="s">
        <v>4403</v>
      </c>
      <c r="C307" s="43">
        <v>3054062</v>
      </c>
      <c r="D307" s="1" t="s">
        <v>80</v>
      </c>
      <c r="E307" s="49" t="s">
        <v>4405</v>
      </c>
      <c r="F307" s="121"/>
      <c r="G307" s="202"/>
    </row>
    <row r="308" spans="1:7" ht="15.75" customHeight="1">
      <c r="A308" s="207" t="s">
        <v>8</v>
      </c>
      <c r="B308" s="207" t="s">
        <v>4403</v>
      </c>
      <c r="C308" s="43">
        <v>575896</v>
      </c>
      <c r="D308" s="1" t="s">
        <v>80</v>
      </c>
      <c r="E308" s="45" t="s">
        <v>4214</v>
      </c>
      <c r="F308" s="121"/>
      <c r="G308" s="202"/>
    </row>
    <row r="309" spans="1:7" ht="15.75" customHeight="1">
      <c r="A309" s="207" t="s">
        <v>8</v>
      </c>
      <c r="B309" s="207" t="s">
        <v>4403</v>
      </c>
      <c r="C309" s="43">
        <v>778444</v>
      </c>
      <c r="D309" s="1" t="s">
        <v>80</v>
      </c>
      <c r="E309" s="45" t="s">
        <v>4180</v>
      </c>
      <c r="F309" s="121"/>
      <c r="G309" s="202"/>
    </row>
    <row r="310" spans="1:7" ht="15.75" customHeight="1">
      <c r="A310" s="207" t="s">
        <v>8</v>
      </c>
      <c r="B310" s="207" t="s">
        <v>4403</v>
      </c>
      <c r="C310" s="43">
        <v>2833062</v>
      </c>
      <c r="D310" s="1" t="s">
        <v>71</v>
      </c>
      <c r="E310" s="45" t="s">
        <v>4305</v>
      </c>
      <c r="F310" s="121"/>
      <c r="G310" s="202"/>
    </row>
    <row r="311" spans="1:7" ht="15.75" customHeight="1">
      <c r="A311" s="207" t="s">
        <v>8</v>
      </c>
      <c r="B311" s="207" t="s">
        <v>4403</v>
      </c>
      <c r="C311" s="43">
        <v>583591</v>
      </c>
      <c r="D311" s="1" t="s">
        <v>80</v>
      </c>
      <c r="E311" s="45" t="s">
        <v>4406</v>
      </c>
      <c r="F311" s="121"/>
      <c r="G311" s="203"/>
    </row>
    <row r="312" spans="1:7" ht="15.75" customHeight="1">
      <c r="A312" s="207" t="s">
        <v>8</v>
      </c>
      <c r="B312" s="207" t="s">
        <v>4403</v>
      </c>
      <c r="C312" s="43">
        <v>561059</v>
      </c>
      <c r="D312" s="1" t="s">
        <v>80</v>
      </c>
      <c r="E312" s="45" t="s">
        <v>4308</v>
      </c>
      <c r="F312" s="121"/>
      <c r="G312" s="203"/>
    </row>
    <row r="313" spans="1:7" ht="15.75" customHeight="1">
      <c r="A313" s="207" t="s">
        <v>8</v>
      </c>
      <c r="B313" s="207" t="s">
        <v>4403</v>
      </c>
      <c r="C313" s="43">
        <v>2393118</v>
      </c>
      <c r="D313" s="1" t="s">
        <v>71</v>
      </c>
      <c r="E313" s="45" t="s">
        <v>4407</v>
      </c>
      <c r="F313" s="121"/>
      <c r="G313" s="203"/>
    </row>
    <row r="314" spans="1:7" ht="15.75" customHeight="1">
      <c r="A314" s="121" t="s">
        <v>8</v>
      </c>
      <c r="B314" s="121" t="s">
        <v>4403</v>
      </c>
      <c r="C314" s="43">
        <v>796895</v>
      </c>
      <c r="D314" s="1" t="s">
        <v>71</v>
      </c>
      <c r="E314" s="45" t="s">
        <v>4408</v>
      </c>
      <c r="F314" s="121"/>
      <c r="G314" s="203"/>
    </row>
    <row r="315" spans="1:7" ht="15.75" customHeight="1">
      <c r="A315" s="121" t="s">
        <v>8</v>
      </c>
      <c r="B315" s="121" t="s">
        <v>4403</v>
      </c>
      <c r="C315" s="43">
        <v>707921</v>
      </c>
      <c r="D315" s="1" t="s">
        <v>80</v>
      </c>
      <c r="E315" s="45" t="s">
        <v>4409</v>
      </c>
      <c r="F315" s="121"/>
      <c r="G315" s="202"/>
    </row>
    <row r="316" spans="1:7" ht="15.75" customHeight="1">
      <c r="A316" s="121" t="s">
        <v>8</v>
      </c>
      <c r="B316" s="121" t="s">
        <v>4403</v>
      </c>
      <c r="C316" s="43">
        <v>193497</v>
      </c>
      <c r="D316" s="1" t="s">
        <v>80</v>
      </c>
      <c r="E316" s="45" t="s">
        <v>4410</v>
      </c>
      <c r="F316" s="121"/>
      <c r="G316" s="203"/>
    </row>
    <row r="317" spans="1:7" ht="15.75" customHeight="1">
      <c r="A317" s="121" t="s">
        <v>8</v>
      </c>
      <c r="B317" s="121" t="s">
        <v>4403</v>
      </c>
      <c r="C317" s="43">
        <v>641776</v>
      </c>
      <c r="D317" s="1" t="s">
        <v>71</v>
      </c>
      <c r="E317" s="45" t="s">
        <v>4411</v>
      </c>
      <c r="F317" s="121"/>
      <c r="G317" s="203"/>
    </row>
    <row r="318" spans="1:7" ht="15.75" customHeight="1">
      <c r="A318" s="121" t="s">
        <v>8</v>
      </c>
      <c r="B318" s="121" t="s">
        <v>4403</v>
      </c>
      <c r="C318" s="43">
        <v>494451</v>
      </c>
      <c r="D318" s="1" t="s">
        <v>80</v>
      </c>
      <c r="E318" s="45" t="s">
        <v>4412</v>
      </c>
      <c r="F318" s="121"/>
      <c r="G318" s="203"/>
    </row>
    <row r="319" spans="1:7" ht="15.75" customHeight="1">
      <c r="A319" s="121" t="s">
        <v>8</v>
      </c>
      <c r="B319" s="121" t="s">
        <v>4403</v>
      </c>
      <c r="C319" s="43">
        <v>538858</v>
      </c>
      <c r="D319" s="1" t="s">
        <v>80</v>
      </c>
      <c r="E319" s="45" t="s">
        <v>4193</v>
      </c>
      <c r="F319" s="121"/>
      <c r="G319" s="203"/>
    </row>
    <row r="320" spans="1:7" ht="15.75" customHeight="1">
      <c r="A320" s="121" t="s">
        <v>8</v>
      </c>
      <c r="B320" s="121" t="s">
        <v>4403</v>
      </c>
      <c r="C320" s="43">
        <v>800574</v>
      </c>
      <c r="D320" s="1" t="s">
        <v>71</v>
      </c>
      <c r="E320" s="45" t="s">
        <v>4194</v>
      </c>
      <c r="F320" s="121"/>
      <c r="G320" s="203"/>
    </row>
    <row r="321" spans="1:9" ht="15.75" customHeight="1">
      <c r="A321" s="121" t="s">
        <v>8</v>
      </c>
      <c r="B321" s="121" t="s">
        <v>4403</v>
      </c>
      <c r="C321" s="43">
        <v>2823375</v>
      </c>
      <c r="D321" s="1" t="s">
        <v>83</v>
      </c>
      <c r="E321" s="45" t="s">
        <v>4197</v>
      </c>
      <c r="F321" s="121"/>
      <c r="G321" s="203"/>
    </row>
    <row r="322" spans="1:9" ht="15.75" customHeight="1">
      <c r="A322" s="121" t="s">
        <v>8</v>
      </c>
      <c r="B322" s="121" t="s">
        <v>4403</v>
      </c>
      <c r="C322" s="43">
        <v>2951286</v>
      </c>
      <c r="D322" s="1" t="s">
        <v>83</v>
      </c>
      <c r="E322" s="45" t="s">
        <v>4325</v>
      </c>
      <c r="F322" s="121"/>
      <c r="G322" s="203"/>
    </row>
    <row r="323" spans="1:9" ht="15.75" customHeight="1">
      <c r="A323" s="121" t="s">
        <v>9</v>
      </c>
      <c r="B323" s="121" t="s">
        <v>4413</v>
      </c>
      <c r="C323" s="130" t="s">
        <v>68</v>
      </c>
      <c r="D323" s="130"/>
      <c r="E323" s="199" t="s">
        <v>69</v>
      </c>
      <c r="F323" s="130"/>
      <c r="G323" s="200" t="s">
        <v>70</v>
      </c>
      <c r="I323" s="1"/>
    </row>
    <row r="324" spans="1:9" ht="15.75" customHeight="1">
      <c r="A324" s="121" t="s">
        <v>9</v>
      </c>
      <c r="B324" s="121" t="s">
        <v>4413</v>
      </c>
      <c r="C324" s="43">
        <v>2822360</v>
      </c>
      <c r="D324" s="1" t="s">
        <v>83</v>
      </c>
      <c r="E324" s="49" t="s">
        <v>4414</v>
      </c>
      <c r="F324" s="121"/>
      <c r="G324" s="200" t="s">
        <v>4415</v>
      </c>
      <c r="I324" s="1"/>
    </row>
    <row r="325" spans="1:9" ht="15.75" customHeight="1">
      <c r="A325" s="121" t="s">
        <v>9</v>
      </c>
      <c r="B325" s="121" t="s">
        <v>4413</v>
      </c>
      <c r="C325" s="43">
        <v>2250561</v>
      </c>
      <c r="D325" s="1" t="s">
        <v>71</v>
      </c>
      <c r="E325" s="49" t="s">
        <v>4210</v>
      </c>
      <c r="F325" s="121"/>
      <c r="G325" s="202"/>
      <c r="I325" s="1"/>
    </row>
    <row r="326" spans="1:9" ht="15.75" customHeight="1">
      <c r="A326" s="121" t="s">
        <v>9</v>
      </c>
      <c r="B326" s="121" t="s">
        <v>4413</v>
      </c>
      <c r="C326" s="43">
        <v>612523</v>
      </c>
      <c r="D326" s="1" t="s">
        <v>83</v>
      </c>
      <c r="E326" s="45" t="s">
        <v>4416</v>
      </c>
      <c r="F326" s="121"/>
      <c r="G326" s="202"/>
      <c r="I326" s="1"/>
    </row>
    <row r="327" spans="1:9" ht="15.75" customHeight="1">
      <c r="A327" s="121" t="s">
        <v>9</v>
      </c>
      <c r="B327" s="121" t="s">
        <v>4413</v>
      </c>
      <c r="C327" s="43">
        <v>511184</v>
      </c>
      <c r="D327" s="1" t="s">
        <v>80</v>
      </c>
      <c r="E327" s="45" t="s">
        <v>4178</v>
      </c>
      <c r="F327" s="121"/>
      <c r="G327" s="202"/>
      <c r="I327" s="1"/>
    </row>
    <row r="328" spans="1:9" ht="15.75" customHeight="1">
      <c r="A328" s="121" t="s">
        <v>9</v>
      </c>
      <c r="B328" s="121" t="s">
        <v>4413</v>
      </c>
      <c r="C328" s="43">
        <v>5025549</v>
      </c>
      <c r="D328" s="1" t="s">
        <v>71</v>
      </c>
      <c r="E328" s="45" t="s">
        <v>4417</v>
      </c>
      <c r="F328" s="121"/>
      <c r="G328" s="202"/>
      <c r="I328" s="1"/>
    </row>
    <row r="329" spans="1:9" ht="15.75" customHeight="1">
      <c r="A329" s="121" t="s">
        <v>9</v>
      </c>
      <c r="B329" s="121" t="s">
        <v>4413</v>
      </c>
      <c r="C329" s="43">
        <v>547545</v>
      </c>
      <c r="D329" s="1" t="s">
        <v>80</v>
      </c>
      <c r="E329" s="45" t="s">
        <v>4286</v>
      </c>
      <c r="F329" s="121"/>
      <c r="G329" s="202"/>
      <c r="I329" s="1"/>
    </row>
    <row r="330" spans="1:9" ht="15.75" customHeight="1">
      <c r="A330" s="121" t="s">
        <v>9</v>
      </c>
      <c r="B330" s="121" t="s">
        <v>4413</v>
      </c>
      <c r="C330" s="43">
        <v>2838113</v>
      </c>
      <c r="D330" s="1" t="s">
        <v>71</v>
      </c>
      <c r="E330" s="45" t="s">
        <v>4418</v>
      </c>
      <c r="F330" s="121"/>
      <c r="G330" s="202"/>
      <c r="I330" s="1"/>
    </row>
    <row r="331" spans="1:9" ht="15.75" customHeight="1">
      <c r="A331" s="121" t="s">
        <v>9</v>
      </c>
      <c r="B331" s="121" t="s">
        <v>4413</v>
      </c>
      <c r="C331" s="43">
        <v>792287</v>
      </c>
      <c r="D331" s="1" t="s">
        <v>71</v>
      </c>
      <c r="E331" s="49" t="s">
        <v>4419</v>
      </c>
      <c r="F331" s="121"/>
      <c r="G331" s="203"/>
      <c r="I331" s="1"/>
    </row>
    <row r="332" spans="1:9" ht="15.75" customHeight="1">
      <c r="A332" s="121" t="s">
        <v>9</v>
      </c>
      <c r="B332" s="121" t="s">
        <v>4413</v>
      </c>
      <c r="C332" s="43">
        <v>792286</v>
      </c>
      <c r="D332" s="1" t="s">
        <v>71</v>
      </c>
      <c r="E332" s="49" t="s">
        <v>4420</v>
      </c>
      <c r="F332" s="121"/>
      <c r="G332" s="203"/>
      <c r="I332" s="1"/>
    </row>
    <row r="333" spans="1:9" ht="15.75" customHeight="1">
      <c r="A333" s="121" t="s">
        <v>9</v>
      </c>
      <c r="B333" s="121" t="s">
        <v>4413</v>
      </c>
      <c r="C333" s="43">
        <v>5025548</v>
      </c>
      <c r="D333" s="1" t="s">
        <v>71</v>
      </c>
      <c r="E333" s="45" t="s">
        <v>4421</v>
      </c>
      <c r="F333" s="121"/>
      <c r="G333" s="203"/>
      <c r="I333" s="1"/>
    </row>
    <row r="334" spans="1:9" ht="15.75" customHeight="1">
      <c r="A334" s="121" t="s">
        <v>9</v>
      </c>
      <c r="B334" s="121" t="s">
        <v>4413</v>
      </c>
      <c r="C334" s="43">
        <v>2841343</v>
      </c>
      <c r="D334" s="1" t="s">
        <v>71</v>
      </c>
      <c r="E334" s="45" t="s">
        <v>4221</v>
      </c>
      <c r="F334" s="121"/>
      <c r="G334" s="203"/>
      <c r="I334" s="1"/>
    </row>
    <row r="335" spans="1:9" ht="15.75" customHeight="1">
      <c r="A335" s="121" t="s">
        <v>9</v>
      </c>
      <c r="B335" s="121" t="s">
        <v>4413</v>
      </c>
      <c r="C335" s="43">
        <v>792289</v>
      </c>
      <c r="D335" s="1" t="s">
        <v>71</v>
      </c>
      <c r="E335" s="45" t="s">
        <v>4422</v>
      </c>
      <c r="F335" s="121"/>
      <c r="G335" s="203"/>
      <c r="I335" s="1"/>
    </row>
    <row r="336" spans="1:9" ht="15.75" customHeight="1">
      <c r="A336" s="204" t="s">
        <v>9</v>
      </c>
      <c r="B336" s="121" t="s">
        <v>4413</v>
      </c>
      <c r="C336" s="43">
        <v>5025547</v>
      </c>
      <c r="D336" s="1" t="s">
        <v>83</v>
      </c>
      <c r="E336" s="45" t="s">
        <v>4423</v>
      </c>
      <c r="F336" s="121"/>
      <c r="G336" s="202"/>
      <c r="I336" s="1"/>
    </row>
    <row r="337" spans="1:9" ht="15.75" customHeight="1">
      <c r="A337" s="204" t="s">
        <v>9</v>
      </c>
      <c r="B337" s="121" t="s">
        <v>4413</v>
      </c>
      <c r="C337" s="43">
        <v>5025550</v>
      </c>
      <c r="D337" s="1" t="s">
        <v>90</v>
      </c>
      <c r="E337" s="49" t="s">
        <v>4424</v>
      </c>
      <c r="F337" s="121"/>
      <c r="G337" s="202"/>
      <c r="I337" s="1"/>
    </row>
    <row r="338" spans="1:9" ht="15.75" customHeight="1">
      <c r="A338" s="204" t="s">
        <v>9</v>
      </c>
      <c r="B338" s="121" t="s">
        <v>4413</v>
      </c>
      <c r="C338" s="43">
        <v>2841377</v>
      </c>
      <c r="D338" s="1" t="s">
        <v>71</v>
      </c>
      <c r="E338" s="45" t="s">
        <v>4425</v>
      </c>
      <c r="F338" s="121"/>
      <c r="G338" s="203"/>
      <c r="I338" s="1"/>
    </row>
    <row r="339" spans="1:9" ht="15.75" customHeight="1">
      <c r="A339" s="204" t="s">
        <v>9</v>
      </c>
      <c r="B339" s="121" t="s">
        <v>4413</v>
      </c>
      <c r="C339" s="43">
        <v>792291</v>
      </c>
      <c r="D339" s="1" t="s">
        <v>71</v>
      </c>
      <c r="E339" s="49" t="s">
        <v>4326</v>
      </c>
      <c r="F339" s="121"/>
      <c r="G339" s="203"/>
      <c r="I339" s="1"/>
    </row>
    <row r="340" spans="1:9" ht="15.75" customHeight="1">
      <c r="A340" s="121" t="s">
        <v>10</v>
      </c>
      <c r="B340" s="121" t="s">
        <v>4426</v>
      </c>
      <c r="C340" s="130" t="s">
        <v>68</v>
      </c>
      <c r="D340" s="130" t="s">
        <v>62</v>
      </c>
      <c r="E340" s="199" t="s">
        <v>69</v>
      </c>
      <c r="F340" s="130"/>
      <c r="G340" s="200" t="s">
        <v>70</v>
      </c>
      <c r="H340" s="205"/>
      <c r="I340" s="205"/>
    </row>
    <row r="341" spans="1:9" ht="15.75" customHeight="1">
      <c r="A341" s="121" t="s">
        <v>10</v>
      </c>
      <c r="B341" s="121" t="s">
        <v>4426</v>
      </c>
      <c r="C341" s="43">
        <v>2835094</v>
      </c>
      <c r="D341" s="1" t="s">
        <v>71</v>
      </c>
      <c r="E341" s="45" t="s">
        <v>4427</v>
      </c>
      <c r="F341" s="121"/>
      <c r="G341" s="200" t="s">
        <v>4428</v>
      </c>
      <c r="H341" s="205"/>
      <c r="I341" s="205"/>
    </row>
    <row r="342" spans="1:9" ht="15.75" customHeight="1">
      <c r="A342" s="121" t="s">
        <v>10</v>
      </c>
      <c r="B342" s="121" t="s">
        <v>4426</v>
      </c>
      <c r="C342" s="43">
        <v>193518</v>
      </c>
      <c r="D342" s="1" t="s">
        <v>83</v>
      </c>
      <c r="E342" s="45" t="s">
        <v>4429</v>
      </c>
      <c r="F342" s="121"/>
      <c r="G342" s="200" t="s">
        <v>4430</v>
      </c>
    </row>
    <row r="343" spans="1:9" ht="15.75" customHeight="1">
      <c r="A343" s="121" t="s">
        <v>10</v>
      </c>
      <c r="B343" s="121" t="s">
        <v>4426</v>
      </c>
      <c r="C343" s="43">
        <v>795008</v>
      </c>
      <c r="D343" s="1" t="s">
        <v>83</v>
      </c>
      <c r="E343" s="45" t="s">
        <v>4431</v>
      </c>
      <c r="F343" s="121"/>
      <c r="G343" s="200" t="s">
        <v>4432</v>
      </c>
    </row>
    <row r="344" spans="1:9" ht="15.75" customHeight="1">
      <c r="A344" s="121" t="s">
        <v>10</v>
      </c>
      <c r="B344" s="121" t="s">
        <v>4426</v>
      </c>
      <c r="C344" s="43">
        <v>795007</v>
      </c>
      <c r="D344" s="1" t="s">
        <v>83</v>
      </c>
      <c r="E344" s="45" t="s">
        <v>4433</v>
      </c>
      <c r="F344" s="121"/>
      <c r="G344" s="200" t="s">
        <v>4434</v>
      </c>
    </row>
    <row r="345" spans="1:9" ht="15.75" customHeight="1">
      <c r="A345" s="121" t="s">
        <v>10</v>
      </c>
      <c r="B345" s="121" t="s">
        <v>4426</v>
      </c>
      <c r="C345" s="43">
        <v>5025554</v>
      </c>
      <c r="D345" s="1" t="s">
        <v>83</v>
      </c>
      <c r="E345" s="45" t="s">
        <v>4435</v>
      </c>
      <c r="F345" s="121"/>
      <c r="G345" s="200" t="s">
        <v>4436</v>
      </c>
    </row>
    <row r="346" spans="1:9" ht="15.75" customHeight="1">
      <c r="A346" s="121" t="s">
        <v>10</v>
      </c>
      <c r="B346" s="121" t="s">
        <v>4426</v>
      </c>
      <c r="C346" s="43">
        <v>412470</v>
      </c>
      <c r="D346" s="1" t="s">
        <v>83</v>
      </c>
      <c r="E346" s="45" t="s">
        <v>4437</v>
      </c>
      <c r="F346" s="121"/>
      <c r="G346" s="202"/>
    </row>
    <row r="347" spans="1:9" ht="15.75" customHeight="1">
      <c r="A347" s="121" t="s">
        <v>10</v>
      </c>
      <c r="B347" s="121" t="s">
        <v>4426</v>
      </c>
      <c r="C347" s="43">
        <v>193370</v>
      </c>
      <c r="D347" s="1" t="s">
        <v>83</v>
      </c>
      <c r="E347" s="45" t="s">
        <v>4438</v>
      </c>
      <c r="F347" s="121"/>
      <c r="G347" s="202"/>
    </row>
    <row r="348" spans="1:9" ht="15.75" customHeight="1">
      <c r="A348" s="121" t="s">
        <v>10</v>
      </c>
      <c r="B348" s="121" t="s">
        <v>4426</v>
      </c>
      <c r="C348" s="43">
        <v>3000780</v>
      </c>
      <c r="D348" s="1" t="s">
        <v>71</v>
      </c>
      <c r="E348" s="49" t="s">
        <v>4439</v>
      </c>
      <c r="F348" s="121"/>
      <c r="G348" s="202"/>
    </row>
    <row r="349" spans="1:9" ht="15.75" customHeight="1">
      <c r="A349" s="121" t="s">
        <v>10</v>
      </c>
      <c r="B349" s="121" t="s">
        <v>4426</v>
      </c>
      <c r="C349" s="43">
        <v>796892</v>
      </c>
      <c r="D349" s="1" t="s">
        <v>71</v>
      </c>
      <c r="E349" s="45" t="s">
        <v>4440</v>
      </c>
      <c r="F349" s="121"/>
      <c r="G349" s="202"/>
    </row>
    <row r="350" spans="1:9" ht="15.75" customHeight="1">
      <c r="A350" s="121" t="s">
        <v>10</v>
      </c>
      <c r="B350" s="121" t="s">
        <v>4426</v>
      </c>
      <c r="C350" s="43">
        <v>796893</v>
      </c>
      <c r="D350" s="1" t="s">
        <v>71</v>
      </c>
      <c r="E350" s="49" t="s">
        <v>4441</v>
      </c>
      <c r="F350" s="121"/>
      <c r="G350" s="202"/>
    </row>
    <row r="351" spans="1:9" ht="15.75" customHeight="1">
      <c r="A351" s="121" t="s">
        <v>10</v>
      </c>
      <c r="B351" s="121" t="s">
        <v>4426</v>
      </c>
      <c r="C351" s="43">
        <v>2921393</v>
      </c>
      <c r="D351" s="1" t="s">
        <v>71</v>
      </c>
      <c r="E351" s="45" t="s">
        <v>4442</v>
      </c>
      <c r="F351" s="121"/>
      <c r="G351" s="202"/>
    </row>
    <row r="352" spans="1:9" ht="15.75" customHeight="1">
      <c r="A352" s="121" t="s">
        <v>10</v>
      </c>
      <c r="B352" s="121" t="s">
        <v>4426</v>
      </c>
      <c r="C352" s="43">
        <v>778465</v>
      </c>
      <c r="D352" s="1" t="s">
        <v>71</v>
      </c>
      <c r="E352" s="45" t="s">
        <v>4443</v>
      </c>
      <c r="F352" s="121"/>
      <c r="G352" s="202"/>
    </row>
    <row r="353" spans="1:7" ht="15.75" customHeight="1">
      <c r="A353" s="121" t="s">
        <v>10</v>
      </c>
      <c r="B353" s="121" t="s">
        <v>4426</v>
      </c>
      <c r="C353" s="43">
        <v>5025496</v>
      </c>
      <c r="D353" s="1" t="s">
        <v>71</v>
      </c>
      <c r="E353" s="45" t="s">
        <v>4444</v>
      </c>
      <c r="F353" s="121"/>
      <c r="G353" s="202"/>
    </row>
    <row r="354" spans="1:7" ht="15.75" customHeight="1">
      <c r="A354" s="121" t="s">
        <v>10</v>
      </c>
      <c r="B354" s="121" t="s">
        <v>4426</v>
      </c>
      <c r="C354" s="43">
        <v>193198</v>
      </c>
      <c r="D354" s="1" t="s">
        <v>71</v>
      </c>
      <c r="E354" s="45" t="s">
        <v>4445</v>
      </c>
      <c r="F354" s="121"/>
      <c r="G354" s="202"/>
    </row>
    <row r="355" spans="1:7" ht="15.75" customHeight="1">
      <c r="A355" s="121" t="s">
        <v>10</v>
      </c>
      <c r="B355" s="121" t="s">
        <v>4426</v>
      </c>
      <c r="C355" s="43">
        <v>789575</v>
      </c>
      <c r="D355" s="1" t="s">
        <v>71</v>
      </c>
      <c r="E355" s="45" t="s">
        <v>4446</v>
      </c>
      <c r="F355" s="121"/>
      <c r="G355" s="202"/>
    </row>
    <row r="356" spans="1:7" ht="15.75" customHeight="1">
      <c r="A356" s="121" t="s">
        <v>10</v>
      </c>
      <c r="B356" s="121" t="s">
        <v>4426</v>
      </c>
      <c r="C356" s="43">
        <v>2479149</v>
      </c>
      <c r="D356" s="1" t="s">
        <v>71</v>
      </c>
      <c r="E356" s="49" t="s">
        <v>4447</v>
      </c>
      <c r="F356" s="121"/>
      <c r="G356" s="202"/>
    </row>
    <row r="357" spans="1:7" ht="15.75" customHeight="1">
      <c r="A357" s="121" t="s">
        <v>10</v>
      </c>
      <c r="B357" s="121" t="s">
        <v>4426</v>
      </c>
      <c r="C357" s="43">
        <v>2998037</v>
      </c>
      <c r="D357" s="1" t="s">
        <v>71</v>
      </c>
      <c r="E357" s="45" t="s">
        <v>4448</v>
      </c>
      <c r="F357" s="121"/>
      <c r="G357" s="202"/>
    </row>
    <row r="358" spans="1:7" ht="15.75" customHeight="1">
      <c r="A358" s="121" t="s">
        <v>10</v>
      </c>
      <c r="B358" s="121" t="s">
        <v>4426</v>
      </c>
      <c r="C358" s="43">
        <v>2841159</v>
      </c>
      <c r="D358" s="1" t="s">
        <v>90</v>
      </c>
      <c r="E358" s="45" t="s">
        <v>4449</v>
      </c>
      <c r="F358" s="121"/>
      <c r="G358" s="202"/>
    </row>
    <row r="359" spans="1:7" ht="15.75" customHeight="1">
      <c r="A359" s="121" t="s">
        <v>10</v>
      </c>
      <c r="B359" s="121" t="s">
        <v>4426</v>
      </c>
      <c r="C359" s="43">
        <v>650569</v>
      </c>
      <c r="D359" s="1" t="s">
        <v>71</v>
      </c>
      <c r="E359" s="45" t="s">
        <v>4450</v>
      </c>
      <c r="F359" s="121"/>
      <c r="G359" s="202"/>
    </row>
    <row r="360" spans="1:7" ht="15.75" customHeight="1">
      <c r="A360" s="121" t="s">
        <v>10</v>
      </c>
      <c r="B360" s="121" t="s">
        <v>4426</v>
      </c>
      <c r="C360" s="43">
        <v>609789</v>
      </c>
      <c r="D360" s="1" t="s">
        <v>101</v>
      </c>
      <c r="E360" s="45" t="s">
        <v>4451</v>
      </c>
      <c r="F360" s="121"/>
      <c r="G360" s="202"/>
    </row>
    <row r="361" spans="1:7" ht="15.75" customHeight="1">
      <c r="A361" s="121" t="s">
        <v>10</v>
      </c>
      <c r="B361" s="121" t="s">
        <v>4426</v>
      </c>
      <c r="C361" s="43">
        <v>401244</v>
      </c>
      <c r="D361" s="1" t="s">
        <v>71</v>
      </c>
      <c r="E361" s="45" t="s">
        <v>4452</v>
      </c>
      <c r="F361" s="121"/>
      <c r="G361" s="202"/>
    </row>
    <row r="362" spans="1:7" ht="15.75" customHeight="1">
      <c r="A362" s="121" t="s">
        <v>10</v>
      </c>
      <c r="B362" s="121" t="s">
        <v>4426</v>
      </c>
      <c r="C362" s="43">
        <v>609790</v>
      </c>
      <c r="D362" s="1" t="s">
        <v>101</v>
      </c>
      <c r="E362" s="45" t="s">
        <v>4453</v>
      </c>
      <c r="F362" s="121"/>
      <c r="G362" s="202"/>
    </row>
    <row r="363" spans="1:7" ht="15.75" customHeight="1">
      <c r="A363" s="121" t="s">
        <v>10</v>
      </c>
      <c r="B363" s="121" t="s">
        <v>4426</v>
      </c>
      <c r="C363" s="43">
        <v>584325</v>
      </c>
      <c r="D363" s="1" t="s">
        <v>83</v>
      </c>
      <c r="E363" s="45" t="s">
        <v>4454</v>
      </c>
      <c r="F363" s="121"/>
      <c r="G363" s="202"/>
    </row>
    <row r="364" spans="1:7" ht="15.75" customHeight="1">
      <c r="A364" s="121" t="s">
        <v>10</v>
      </c>
      <c r="B364" s="121" t="s">
        <v>4426</v>
      </c>
      <c r="C364" s="43">
        <v>792299</v>
      </c>
      <c r="D364" s="1" t="s">
        <v>83</v>
      </c>
      <c r="E364" s="45" t="s">
        <v>4455</v>
      </c>
      <c r="F364" s="121"/>
      <c r="G364" s="202"/>
    </row>
    <row r="365" spans="1:7" ht="15.75" customHeight="1">
      <c r="A365" s="121" t="s">
        <v>10</v>
      </c>
      <c r="B365" s="121" t="s">
        <v>4426</v>
      </c>
      <c r="C365" s="43">
        <v>2424468</v>
      </c>
      <c r="D365" s="1" t="s">
        <v>101</v>
      </c>
      <c r="E365" s="49" t="s">
        <v>4456</v>
      </c>
      <c r="F365" s="121"/>
      <c r="G365" s="202"/>
    </row>
    <row r="366" spans="1:7" ht="15.75" customHeight="1">
      <c r="A366" s="121" t="s">
        <v>10</v>
      </c>
      <c r="B366" s="121" t="s">
        <v>4426</v>
      </c>
      <c r="C366" s="43">
        <v>584329</v>
      </c>
      <c r="D366" s="1" t="s">
        <v>101</v>
      </c>
      <c r="E366" s="45" t="s">
        <v>4457</v>
      </c>
      <c r="F366" s="121"/>
      <c r="G366" s="202"/>
    </row>
    <row r="367" spans="1:7" ht="15.75" customHeight="1">
      <c r="A367" s="121" t="s">
        <v>10</v>
      </c>
      <c r="B367" s="121" t="s">
        <v>4426</v>
      </c>
      <c r="C367" s="43">
        <v>2367547</v>
      </c>
      <c r="D367" s="1" t="s">
        <v>101</v>
      </c>
      <c r="E367" s="45" t="s">
        <v>4458</v>
      </c>
      <c r="F367" s="121"/>
      <c r="G367" s="202"/>
    </row>
    <row r="368" spans="1:7" ht="15.75" customHeight="1">
      <c r="A368" s="121" t="s">
        <v>10</v>
      </c>
      <c r="B368" s="121" t="s">
        <v>4426</v>
      </c>
      <c r="C368" s="43">
        <v>2434317</v>
      </c>
      <c r="D368" s="1" t="s">
        <v>71</v>
      </c>
      <c r="E368" s="49" t="s">
        <v>4459</v>
      </c>
      <c r="F368" s="121"/>
      <c r="G368" s="202"/>
    </row>
    <row r="369" spans="1:7" ht="15.75" customHeight="1">
      <c r="A369" s="121" t="s">
        <v>10</v>
      </c>
      <c r="B369" s="121" t="s">
        <v>4426</v>
      </c>
      <c r="C369" s="43">
        <v>428250</v>
      </c>
      <c r="D369" s="1" t="s">
        <v>71</v>
      </c>
      <c r="E369" s="45" t="s">
        <v>4460</v>
      </c>
      <c r="F369" s="121"/>
      <c r="G369" s="202"/>
    </row>
    <row r="370" spans="1:7" ht="15.75" customHeight="1">
      <c r="A370" s="121" t="s">
        <v>10</v>
      </c>
      <c r="B370" s="121" t="s">
        <v>4426</v>
      </c>
      <c r="C370" s="43">
        <v>2960040</v>
      </c>
      <c r="D370" s="1" t="s">
        <v>80</v>
      </c>
      <c r="E370" s="45" t="s">
        <v>4461</v>
      </c>
      <c r="F370" s="121"/>
      <c r="G370" s="202"/>
    </row>
    <row r="371" spans="1:7" ht="15.75" customHeight="1">
      <c r="A371" s="121" t="s">
        <v>10</v>
      </c>
      <c r="B371" s="121" t="s">
        <v>4426</v>
      </c>
      <c r="C371" s="43">
        <v>596622</v>
      </c>
      <c r="D371" s="1" t="s">
        <v>71</v>
      </c>
      <c r="E371" s="45" t="s">
        <v>4462</v>
      </c>
      <c r="F371" s="121"/>
      <c r="G371" s="202"/>
    </row>
    <row r="372" spans="1:7" ht="15.75" customHeight="1">
      <c r="A372" s="121" t="s">
        <v>10</v>
      </c>
      <c r="B372" s="121" t="s">
        <v>4426</v>
      </c>
      <c r="C372" s="43">
        <v>2825475</v>
      </c>
      <c r="D372" s="1" t="s">
        <v>71</v>
      </c>
      <c r="E372" s="45" t="s">
        <v>4463</v>
      </c>
      <c r="F372" s="121"/>
      <c r="G372" s="202"/>
    </row>
    <row r="373" spans="1:7" ht="15.75" customHeight="1">
      <c r="A373" s="121" t="s">
        <v>10</v>
      </c>
      <c r="B373" s="121" t="s">
        <v>4426</v>
      </c>
      <c r="C373" s="43">
        <v>2922680</v>
      </c>
      <c r="D373" s="1" t="s">
        <v>90</v>
      </c>
      <c r="E373" s="45" t="s">
        <v>4464</v>
      </c>
      <c r="F373" s="121"/>
      <c r="G373" s="202"/>
    </row>
    <row r="374" spans="1:7" ht="15.75" customHeight="1">
      <c r="A374" s="121" t="s">
        <v>10</v>
      </c>
      <c r="B374" s="121" t="s">
        <v>4426</v>
      </c>
      <c r="C374" s="43">
        <v>777483</v>
      </c>
      <c r="D374" s="1" t="s">
        <v>71</v>
      </c>
      <c r="E374" s="45" t="s">
        <v>4465</v>
      </c>
      <c r="F374" s="121"/>
      <c r="G374" s="202"/>
    </row>
    <row r="375" spans="1:7" ht="15.75" customHeight="1">
      <c r="A375" s="121" t="s">
        <v>10</v>
      </c>
      <c r="B375" s="121" t="s">
        <v>4426</v>
      </c>
      <c r="C375" s="43">
        <v>2929756</v>
      </c>
      <c r="D375" s="1" t="s">
        <v>71</v>
      </c>
      <c r="E375" s="49" t="s">
        <v>4466</v>
      </c>
      <c r="F375" s="121"/>
      <c r="G375" s="202"/>
    </row>
    <row r="376" spans="1:7" ht="15.75" customHeight="1">
      <c r="A376" s="121" t="s">
        <v>10</v>
      </c>
      <c r="B376" s="121" t="s">
        <v>4426</v>
      </c>
      <c r="C376" s="43">
        <v>406284</v>
      </c>
      <c r="D376" s="1" t="s">
        <v>71</v>
      </c>
      <c r="E376" s="45" t="s">
        <v>4467</v>
      </c>
      <c r="F376" s="121"/>
      <c r="G376" s="202"/>
    </row>
    <row r="377" spans="1:7" ht="15.75" customHeight="1">
      <c r="A377" s="121" t="s">
        <v>11</v>
      </c>
      <c r="B377" s="121" t="s">
        <v>4468</v>
      </c>
      <c r="C377" s="130" t="s">
        <v>68</v>
      </c>
      <c r="D377" s="130" t="s">
        <v>62</v>
      </c>
      <c r="E377" s="199" t="s">
        <v>69</v>
      </c>
      <c r="F377" s="130"/>
      <c r="G377" s="200" t="s">
        <v>70</v>
      </c>
    </row>
    <row r="378" spans="1:7" ht="15.75" customHeight="1">
      <c r="A378" s="121" t="s">
        <v>11</v>
      </c>
      <c r="B378" s="121" t="s">
        <v>4468</v>
      </c>
      <c r="C378" s="43">
        <v>3162571</v>
      </c>
      <c r="D378" s="44" t="s">
        <v>101</v>
      </c>
      <c r="E378" s="49" t="s">
        <v>4469</v>
      </c>
      <c r="F378" s="121"/>
      <c r="G378" s="200" t="s">
        <v>528</v>
      </c>
    </row>
    <row r="379" spans="1:7" ht="15.75" customHeight="1">
      <c r="A379" s="121" t="s">
        <v>11</v>
      </c>
      <c r="B379" s="121" t="s">
        <v>4468</v>
      </c>
      <c r="C379" s="43">
        <v>3164629</v>
      </c>
      <c r="D379" s="44" t="s">
        <v>83</v>
      </c>
      <c r="E379" s="49" t="s">
        <v>4470</v>
      </c>
      <c r="F379" s="121"/>
      <c r="G379" s="202"/>
    </row>
    <row r="380" spans="1:7" ht="15.75" customHeight="1">
      <c r="A380" s="121" t="s">
        <v>11</v>
      </c>
      <c r="B380" s="121" t="s">
        <v>4468</v>
      </c>
      <c r="C380" s="43">
        <v>193309</v>
      </c>
      <c r="D380" s="1" t="s">
        <v>71</v>
      </c>
      <c r="E380" s="45" t="s">
        <v>4471</v>
      </c>
      <c r="F380" s="121"/>
      <c r="G380" s="202"/>
    </row>
    <row r="381" spans="1:7" ht="15.75" customHeight="1">
      <c r="A381" s="121" t="s">
        <v>11</v>
      </c>
      <c r="B381" s="121" t="s">
        <v>4468</v>
      </c>
      <c r="C381" s="43">
        <v>2880260</v>
      </c>
      <c r="D381" s="1" t="s">
        <v>71</v>
      </c>
      <c r="E381" s="49" t="s">
        <v>4472</v>
      </c>
      <c r="F381" s="121"/>
      <c r="G381" s="202"/>
    </row>
    <row r="382" spans="1:7" ht="15.75" customHeight="1">
      <c r="A382" s="121" t="s">
        <v>11</v>
      </c>
      <c r="B382" s="121" t="s">
        <v>4468</v>
      </c>
      <c r="C382" s="43">
        <v>2248572</v>
      </c>
      <c r="D382" s="1" t="s">
        <v>71</v>
      </c>
      <c r="E382" s="45" t="s">
        <v>4473</v>
      </c>
      <c r="F382" s="121"/>
      <c r="G382" s="202"/>
    </row>
    <row r="383" spans="1:7" ht="15.75" customHeight="1">
      <c r="A383" s="121" t="s">
        <v>11</v>
      </c>
      <c r="B383" s="121" t="s">
        <v>4468</v>
      </c>
      <c r="C383" s="43">
        <v>582964</v>
      </c>
      <c r="D383" s="1" t="s">
        <v>101</v>
      </c>
      <c r="E383" s="45" t="s">
        <v>4474</v>
      </c>
      <c r="F383" s="121"/>
      <c r="G383" s="202"/>
    </row>
    <row r="384" spans="1:7" ht="15.75" customHeight="1">
      <c r="A384" s="121" t="s">
        <v>11</v>
      </c>
      <c r="B384" s="121" t="s">
        <v>4468</v>
      </c>
      <c r="C384" s="43">
        <v>778427</v>
      </c>
      <c r="D384" s="1" t="s">
        <v>71</v>
      </c>
      <c r="E384" s="45" t="s">
        <v>4475</v>
      </c>
      <c r="F384" s="121"/>
      <c r="G384" s="202"/>
    </row>
    <row r="385" spans="1:7" ht="15.75" customHeight="1">
      <c r="A385" s="121" t="s">
        <v>11</v>
      </c>
      <c r="B385" s="121" t="s">
        <v>4468</v>
      </c>
      <c r="C385" s="43">
        <v>2450000</v>
      </c>
      <c r="D385" s="44" t="s">
        <v>80</v>
      </c>
      <c r="E385" s="49" t="s">
        <v>4476</v>
      </c>
      <c r="F385" s="121"/>
      <c r="G385" s="202"/>
    </row>
    <row r="386" spans="1:7" ht="15.75" customHeight="1">
      <c r="A386" s="121" t="s">
        <v>12</v>
      </c>
      <c r="B386" s="121" t="s">
        <v>4477</v>
      </c>
      <c r="C386" s="130" t="s">
        <v>68</v>
      </c>
      <c r="D386" s="130" t="s">
        <v>62</v>
      </c>
      <c r="E386" s="199" t="s">
        <v>69</v>
      </c>
      <c r="F386" s="130"/>
      <c r="G386" s="200" t="s">
        <v>70</v>
      </c>
    </row>
    <row r="387" spans="1:7" ht="15.75" customHeight="1">
      <c r="A387" s="121" t="s">
        <v>12</v>
      </c>
      <c r="B387" s="121" t="s">
        <v>4477</v>
      </c>
      <c r="C387" s="43">
        <v>707943</v>
      </c>
      <c r="D387" s="1" t="s">
        <v>90</v>
      </c>
      <c r="E387" s="45" t="s">
        <v>4478</v>
      </c>
      <c r="F387" s="121"/>
      <c r="G387" s="200" t="s">
        <v>4479</v>
      </c>
    </row>
    <row r="388" spans="1:7" ht="15.75" customHeight="1">
      <c r="A388" s="121" t="s">
        <v>12</v>
      </c>
      <c r="B388" s="121" t="s">
        <v>4477</v>
      </c>
      <c r="C388" s="43">
        <v>2457036</v>
      </c>
      <c r="D388" s="44" t="s">
        <v>71</v>
      </c>
      <c r="E388" s="49" t="s">
        <v>4480</v>
      </c>
      <c r="F388" s="121"/>
      <c r="G388" s="200" t="s">
        <v>4481</v>
      </c>
    </row>
    <row r="389" spans="1:7" ht="15.75" customHeight="1">
      <c r="A389" s="121" t="s">
        <v>12</v>
      </c>
      <c r="B389" s="121" t="s">
        <v>4477</v>
      </c>
      <c r="C389" s="43">
        <v>2841038</v>
      </c>
      <c r="D389" s="1" t="s">
        <v>80</v>
      </c>
      <c r="E389" s="45" t="s">
        <v>4482</v>
      </c>
      <c r="F389" s="121"/>
      <c r="G389" s="202"/>
    </row>
    <row r="390" spans="1:7" ht="15.75" customHeight="1">
      <c r="A390" s="121" t="s">
        <v>12</v>
      </c>
      <c r="B390" s="121" t="s">
        <v>4477</v>
      </c>
      <c r="C390" s="43">
        <v>792276</v>
      </c>
      <c r="D390" s="1" t="s">
        <v>71</v>
      </c>
      <c r="E390" s="45" t="s">
        <v>4483</v>
      </c>
      <c r="F390" s="121"/>
      <c r="G390" s="202"/>
    </row>
    <row r="391" spans="1:7" ht="15.75" customHeight="1">
      <c r="A391" s="121" t="s">
        <v>12</v>
      </c>
      <c r="B391" s="121" t="s">
        <v>4477</v>
      </c>
      <c r="C391" s="43">
        <v>627594</v>
      </c>
      <c r="D391" s="1" t="s">
        <v>80</v>
      </c>
      <c r="E391" s="45" t="s">
        <v>4484</v>
      </c>
      <c r="F391" s="121"/>
      <c r="G391" s="202"/>
    </row>
    <row r="392" spans="1:7" ht="15.75" customHeight="1">
      <c r="A392" s="121" t="s">
        <v>12</v>
      </c>
      <c r="B392" s="121" t="s">
        <v>4477</v>
      </c>
      <c r="C392" s="43">
        <v>3006768</v>
      </c>
      <c r="D392" s="44" t="s">
        <v>71</v>
      </c>
      <c r="E392" s="49" t="s">
        <v>4240</v>
      </c>
      <c r="F392" s="121"/>
      <c r="G392" s="202"/>
    </row>
    <row r="393" spans="1:7" ht="15.75" customHeight="1">
      <c r="A393" s="121" t="s">
        <v>12</v>
      </c>
      <c r="B393" s="121" t="s">
        <v>4477</v>
      </c>
      <c r="C393" s="43">
        <v>3175198</v>
      </c>
      <c r="D393" s="44" t="s">
        <v>71</v>
      </c>
      <c r="E393" s="49" t="s">
        <v>4244</v>
      </c>
      <c r="F393" s="121"/>
      <c r="G393" s="202"/>
    </row>
    <row r="394" spans="1:7" ht="15.75" customHeight="1">
      <c r="A394" s="121" t="s">
        <v>12</v>
      </c>
      <c r="B394" s="121" t="s">
        <v>4477</v>
      </c>
      <c r="C394" s="43">
        <v>758900</v>
      </c>
      <c r="D394" s="1" t="s">
        <v>90</v>
      </c>
      <c r="E394" s="45" t="s">
        <v>4277</v>
      </c>
      <c r="F394" s="121"/>
      <c r="G394" s="202"/>
    </row>
    <row r="395" spans="1:7" ht="15.75" customHeight="1">
      <c r="A395" s="121" t="s">
        <v>12</v>
      </c>
      <c r="B395" s="121" t="s">
        <v>4477</v>
      </c>
      <c r="C395" s="43">
        <v>2454197</v>
      </c>
      <c r="D395" s="44" t="s">
        <v>80</v>
      </c>
      <c r="E395" s="49" t="s">
        <v>4485</v>
      </c>
      <c r="F395" s="121"/>
      <c r="G395" s="203"/>
    </row>
    <row r="396" spans="1:7" ht="15.75" customHeight="1">
      <c r="A396" s="121" t="s">
        <v>12</v>
      </c>
      <c r="B396" s="121" t="s">
        <v>4477</v>
      </c>
      <c r="C396" s="43">
        <v>499817</v>
      </c>
      <c r="D396" s="1" t="s">
        <v>83</v>
      </c>
      <c r="E396" s="49" t="s">
        <v>4250</v>
      </c>
      <c r="F396" s="121"/>
      <c r="G396" s="203"/>
    </row>
    <row r="397" spans="1:7" ht="15.75" customHeight="1">
      <c r="A397" s="121" t="s">
        <v>12</v>
      </c>
      <c r="B397" s="121" t="s">
        <v>4477</v>
      </c>
      <c r="C397" s="43">
        <v>778418</v>
      </c>
      <c r="D397" s="1" t="s">
        <v>90</v>
      </c>
      <c r="E397" s="49" t="s">
        <v>4251</v>
      </c>
      <c r="F397" s="121"/>
      <c r="G397" s="203"/>
    </row>
    <row r="398" spans="1:7" ht="15.75" customHeight="1">
      <c r="A398" s="121" t="s">
        <v>12</v>
      </c>
      <c r="B398" s="121" t="s">
        <v>4477</v>
      </c>
      <c r="C398" s="43">
        <v>610660</v>
      </c>
      <c r="D398" s="1" t="s">
        <v>71</v>
      </c>
      <c r="E398" s="45" t="s">
        <v>4253</v>
      </c>
      <c r="F398" s="121"/>
      <c r="G398" s="203"/>
    </row>
    <row r="399" spans="1:7" ht="15.75" customHeight="1">
      <c r="A399" s="121" t="s">
        <v>12</v>
      </c>
      <c r="B399" s="121" t="s">
        <v>4477</v>
      </c>
      <c r="C399" s="43">
        <v>2428547</v>
      </c>
      <c r="D399" s="44" t="s">
        <v>80</v>
      </c>
      <c r="E399" s="49" t="s">
        <v>4486</v>
      </c>
      <c r="F399" s="121"/>
      <c r="G399" s="203"/>
    </row>
    <row r="400" spans="1:7" ht="15.75" customHeight="1">
      <c r="A400" s="121" t="s">
        <v>12</v>
      </c>
      <c r="B400" s="121" t="s">
        <v>4477</v>
      </c>
      <c r="C400" s="43">
        <v>3201153</v>
      </c>
      <c r="D400" s="44" t="s">
        <v>80</v>
      </c>
      <c r="E400" s="49" t="s">
        <v>4487</v>
      </c>
      <c r="F400" s="121"/>
      <c r="G400" s="203"/>
    </row>
    <row r="401" spans="1:7" ht="15.75" customHeight="1">
      <c r="A401" s="121" t="s">
        <v>12</v>
      </c>
      <c r="B401" s="121" t="s">
        <v>4477</v>
      </c>
      <c r="C401" s="43">
        <v>778457</v>
      </c>
      <c r="D401" s="1" t="s">
        <v>71</v>
      </c>
      <c r="E401" s="45" t="s">
        <v>4488</v>
      </c>
      <c r="F401" s="121"/>
      <c r="G401" s="203"/>
    </row>
    <row r="402" spans="1:7" ht="15.75" customHeight="1">
      <c r="A402" s="121" t="s">
        <v>12</v>
      </c>
      <c r="B402" s="121" t="s">
        <v>4477</v>
      </c>
      <c r="C402" s="43">
        <v>5025536</v>
      </c>
      <c r="D402" s="1" t="s">
        <v>71</v>
      </c>
      <c r="E402" s="45" t="s">
        <v>4288</v>
      </c>
      <c r="F402" s="121"/>
      <c r="G402" s="203"/>
    </row>
    <row r="403" spans="1:7" ht="15.75" customHeight="1">
      <c r="A403" s="121" t="s">
        <v>12</v>
      </c>
      <c r="B403" s="121" t="s">
        <v>4477</v>
      </c>
      <c r="C403" s="43">
        <v>575895</v>
      </c>
      <c r="D403" s="1" t="s">
        <v>83</v>
      </c>
      <c r="E403" s="49" t="s">
        <v>4257</v>
      </c>
      <c r="F403" s="121"/>
      <c r="G403" s="203"/>
    </row>
    <row r="404" spans="1:7" ht="15.75" customHeight="1">
      <c r="A404" s="121" t="s">
        <v>12</v>
      </c>
      <c r="B404" s="121" t="s">
        <v>4477</v>
      </c>
      <c r="C404" s="43">
        <v>2454198</v>
      </c>
      <c r="D404" s="44" t="s">
        <v>80</v>
      </c>
      <c r="E404" s="49" t="s">
        <v>4489</v>
      </c>
      <c r="F404" s="121"/>
      <c r="G404" s="203"/>
    </row>
    <row r="405" spans="1:7" ht="15.75" customHeight="1">
      <c r="A405" s="121" t="s">
        <v>12</v>
      </c>
      <c r="B405" s="121" t="s">
        <v>4477</v>
      </c>
      <c r="C405" s="43">
        <v>796909</v>
      </c>
      <c r="D405" s="1" t="s">
        <v>90</v>
      </c>
      <c r="E405" s="45" t="s">
        <v>4185</v>
      </c>
      <c r="F405" s="121"/>
      <c r="G405" s="203"/>
    </row>
    <row r="406" spans="1:7" ht="15.75" customHeight="1">
      <c r="A406" s="121" t="s">
        <v>12</v>
      </c>
      <c r="B406" s="121" t="s">
        <v>4477</v>
      </c>
      <c r="C406" s="43">
        <v>400730</v>
      </c>
      <c r="D406" s="1" t="s">
        <v>83</v>
      </c>
      <c r="E406" s="45" t="s">
        <v>4258</v>
      </c>
      <c r="F406" s="121"/>
      <c r="G406" s="203"/>
    </row>
    <row r="407" spans="1:7" ht="15.75" customHeight="1">
      <c r="A407" s="121" t="s">
        <v>12</v>
      </c>
      <c r="B407" s="121" t="s">
        <v>4477</v>
      </c>
      <c r="C407" s="43">
        <v>604072</v>
      </c>
      <c r="D407" s="1" t="s">
        <v>80</v>
      </c>
      <c r="E407" s="49" t="s">
        <v>4490</v>
      </c>
      <c r="F407" s="121"/>
      <c r="G407" s="203"/>
    </row>
    <row r="408" spans="1:7" ht="15.75" customHeight="1">
      <c r="A408" s="121" t="s">
        <v>12</v>
      </c>
      <c r="B408" s="121" t="s">
        <v>4477</v>
      </c>
      <c r="C408" s="43">
        <v>2882001</v>
      </c>
      <c r="D408" s="1" t="s">
        <v>71</v>
      </c>
      <c r="E408" s="45" t="s">
        <v>4260</v>
      </c>
      <c r="F408" s="121"/>
      <c r="G408" s="203"/>
    </row>
    <row r="409" spans="1:7" ht="15.75" customHeight="1">
      <c r="A409" s="121" t="s">
        <v>12</v>
      </c>
      <c r="B409" s="121" t="s">
        <v>4477</v>
      </c>
      <c r="C409" s="43">
        <v>2883000</v>
      </c>
      <c r="D409" s="1" t="s">
        <v>71</v>
      </c>
      <c r="E409" s="45" t="s">
        <v>4491</v>
      </c>
      <c r="F409" s="121"/>
      <c r="G409" s="203"/>
    </row>
    <row r="410" spans="1:7" ht="15.75" customHeight="1">
      <c r="A410" s="121" t="s">
        <v>12</v>
      </c>
      <c r="B410" s="121" t="s">
        <v>4477</v>
      </c>
      <c r="C410" s="43">
        <v>3141016</v>
      </c>
      <c r="D410" s="1" t="s">
        <v>71</v>
      </c>
      <c r="E410" s="157" t="s">
        <v>4492</v>
      </c>
      <c r="F410" s="121"/>
      <c r="G410" s="203"/>
    </row>
    <row r="411" spans="1:7" ht="15.75" customHeight="1">
      <c r="A411" s="121" t="s">
        <v>12</v>
      </c>
      <c r="B411" s="121" t="s">
        <v>4477</v>
      </c>
      <c r="C411" s="43">
        <v>3141015</v>
      </c>
      <c r="D411" s="1" t="s">
        <v>71</v>
      </c>
      <c r="E411" s="45" t="s">
        <v>4493</v>
      </c>
      <c r="F411" s="121"/>
      <c r="G411" s="203"/>
    </row>
    <row r="412" spans="1:7" ht="15.75" customHeight="1">
      <c r="A412" s="121" t="s">
        <v>12</v>
      </c>
      <c r="B412" s="121" t="s">
        <v>4477</v>
      </c>
      <c r="C412" s="43">
        <v>723124</v>
      </c>
      <c r="D412" s="1" t="s">
        <v>71</v>
      </c>
      <c r="E412" s="45" t="s">
        <v>4494</v>
      </c>
      <c r="F412" s="121"/>
      <c r="G412" s="203"/>
    </row>
    <row r="413" spans="1:7" ht="15.75" customHeight="1">
      <c r="A413" s="121" t="s">
        <v>12</v>
      </c>
      <c r="B413" s="121" t="s">
        <v>4477</v>
      </c>
      <c r="C413" s="43">
        <v>707935</v>
      </c>
      <c r="D413" s="1" t="s">
        <v>71</v>
      </c>
      <c r="E413" s="49" t="s">
        <v>4324</v>
      </c>
      <c r="F413" s="121"/>
      <c r="G413" s="203"/>
    </row>
    <row r="414" spans="1:7" ht="15.75" customHeight="1">
      <c r="A414" s="121" t="s">
        <v>12</v>
      </c>
      <c r="B414" s="121" t="s">
        <v>4477</v>
      </c>
      <c r="C414" s="43">
        <v>2457227</v>
      </c>
      <c r="D414" s="44" t="s">
        <v>80</v>
      </c>
      <c r="E414" s="49" t="s">
        <v>4495</v>
      </c>
      <c r="F414" s="121"/>
      <c r="G414" s="203"/>
    </row>
    <row r="415" spans="1:7" ht="15.75" customHeight="1">
      <c r="A415" s="121" t="s">
        <v>12</v>
      </c>
      <c r="B415" s="121" t="s">
        <v>4477</v>
      </c>
      <c r="C415" s="43">
        <v>723125</v>
      </c>
      <c r="D415" s="1" t="s">
        <v>71</v>
      </c>
      <c r="E415" s="45" t="s">
        <v>4262</v>
      </c>
      <c r="F415" s="121"/>
      <c r="G415" s="203"/>
    </row>
    <row r="416" spans="1:7" ht="15.75" customHeight="1">
      <c r="A416" s="121" t="s">
        <v>12</v>
      </c>
      <c r="B416" s="121" t="s">
        <v>4477</v>
      </c>
      <c r="C416" s="43">
        <v>2879002</v>
      </c>
      <c r="D416" s="1" t="s">
        <v>71</v>
      </c>
      <c r="E416" s="49" t="s">
        <v>4496</v>
      </c>
      <c r="F416" s="121"/>
      <c r="G416" s="203"/>
    </row>
    <row r="417" spans="1:7" ht="15.75" customHeight="1">
      <c r="A417" s="121" t="s">
        <v>12</v>
      </c>
      <c r="B417" s="121" t="s">
        <v>4477</v>
      </c>
      <c r="C417" s="43">
        <v>792275</v>
      </c>
      <c r="D417" s="1" t="s">
        <v>101</v>
      </c>
      <c r="E417" s="45" t="s">
        <v>4497</v>
      </c>
      <c r="F417" s="121"/>
      <c r="G417" s="203"/>
    </row>
    <row r="418" spans="1:7" ht="15.75" customHeight="1">
      <c r="A418" s="121" t="s">
        <v>12</v>
      </c>
      <c r="B418" s="121" t="s">
        <v>4477</v>
      </c>
      <c r="C418" s="43">
        <v>561058</v>
      </c>
      <c r="D418" s="1" t="s">
        <v>101</v>
      </c>
      <c r="E418" s="45" t="s">
        <v>4498</v>
      </c>
      <c r="F418" s="121"/>
      <c r="G418" s="203"/>
    </row>
    <row r="419" spans="1:7" ht="15.75" customHeight="1">
      <c r="A419" s="121" t="s">
        <v>12</v>
      </c>
      <c r="B419" s="121" t="s">
        <v>4477</v>
      </c>
      <c r="C419" s="43">
        <v>2931182</v>
      </c>
      <c r="D419" s="1" t="s">
        <v>83</v>
      </c>
      <c r="E419" s="45" t="s">
        <v>4499</v>
      </c>
      <c r="F419" s="121"/>
      <c r="G419" s="203"/>
    </row>
    <row r="420" spans="1:7" ht="15.75" customHeight="1">
      <c r="A420" s="121" t="s">
        <v>12</v>
      </c>
      <c r="B420" s="121" t="s">
        <v>4477</v>
      </c>
      <c r="C420" s="43">
        <v>2823025</v>
      </c>
      <c r="D420" s="1" t="s">
        <v>101</v>
      </c>
      <c r="E420" s="45" t="s">
        <v>4500</v>
      </c>
      <c r="F420" s="121"/>
      <c r="G420" s="203"/>
    </row>
    <row r="421" spans="1:7" ht="15.75" customHeight="1">
      <c r="A421" s="121" t="s">
        <v>12</v>
      </c>
      <c r="B421" s="121" t="s">
        <v>4477</v>
      </c>
      <c r="C421" s="43">
        <v>5025537</v>
      </c>
      <c r="D421" s="1" t="s">
        <v>101</v>
      </c>
      <c r="E421" s="45" t="s">
        <v>4501</v>
      </c>
      <c r="F421" s="121"/>
      <c r="G421" s="203"/>
    </row>
    <row r="422" spans="1:7" ht="15.75" customHeight="1">
      <c r="A422" s="121" t="s">
        <v>12</v>
      </c>
      <c r="B422" s="121" t="s">
        <v>4477</v>
      </c>
      <c r="C422" s="43">
        <v>2421885</v>
      </c>
      <c r="D422" s="44" t="s">
        <v>83</v>
      </c>
      <c r="E422" s="49" t="s">
        <v>4502</v>
      </c>
      <c r="F422" s="121"/>
      <c r="G422" s="203"/>
    </row>
    <row r="423" spans="1:7" ht="15.75" customHeight="1">
      <c r="A423" s="121" t="s">
        <v>12</v>
      </c>
      <c r="B423" s="121" t="s">
        <v>4477</v>
      </c>
      <c r="C423" s="43">
        <v>2458198</v>
      </c>
      <c r="D423" s="44" t="s">
        <v>80</v>
      </c>
      <c r="E423" s="49" t="s">
        <v>4503</v>
      </c>
      <c r="F423" s="121"/>
      <c r="G423" s="203"/>
    </row>
    <row r="424" spans="1:7" ht="15.75" customHeight="1">
      <c r="A424" s="121" t="s">
        <v>12</v>
      </c>
      <c r="B424" s="121" t="s">
        <v>4477</v>
      </c>
      <c r="C424" s="43">
        <v>2919859</v>
      </c>
      <c r="D424" s="1" t="s">
        <v>90</v>
      </c>
      <c r="E424" s="45" t="s">
        <v>4504</v>
      </c>
      <c r="F424" s="121"/>
      <c r="G424" s="203"/>
    </row>
    <row r="425" spans="1:7" ht="15.75" customHeight="1">
      <c r="A425" s="121" t="s">
        <v>12</v>
      </c>
      <c r="B425" s="121" t="s">
        <v>4477</v>
      </c>
      <c r="C425" s="43">
        <v>3000006</v>
      </c>
      <c r="D425" s="44" t="s">
        <v>71</v>
      </c>
      <c r="E425" s="49" t="s">
        <v>4505</v>
      </c>
      <c r="F425" s="121"/>
      <c r="G425" s="203"/>
    </row>
    <row r="426" spans="1:7" ht="15.75" customHeight="1">
      <c r="A426" s="121" t="s">
        <v>12</v>
      </c>
      <c r="B426" s="121" t="s">
        <v>4477</v>
      </c>
      <c r="C426" s="43">
        <v>561063</v>
      </c>
      <c r="D426" s="1" t="s">
        <v>71</v>
      </c>
      <c r="E426" s="45" t="s">
        <v>4266</v>
      </c>
      <c r="F426" s="121"/>
      <c r="G426" s="203"/>
    </row>
    <row r="427" spans="1:7" ht="15.75" customHeight="1">
      <c r="A427" s="121" t="s">
        <v>12</v>
      </c>
      <c r="B427" s="121" t="s">
        <v>4477</v>
      </c>
      <c r="C427" s="43">
        <v>796902</v>
      </c>
      <c r="D427" s="1" t="s">
        <v>71</v>
      </c>
      <c r="E427" s="45" t="s">
        <v>4227</v>
      </c>
      <c r="F427" s="121"/>
      <c r="G427" s="203"/>
    </row>
    <row r="428" spans="1:7" ht="15.75" customHeight="1">
      <c r="A428" s="121" t="s">
        <v>12</v>
      </c>
      <c r="B428" s="121" t="s">
        <v>4477</v>
      </c>
      <c r="C428" s="43">
        <v>2430405</v>
      </c>
      <c r="D428" s="44" t="s">
        <v>80</v>
      </c>
      <c r="E428" s="49" t="s">
        <v>4506</v>
      </c>
      <c r="F428" s="121"/>
      <c r="G428" s="203"/>
    </row>
    <row r="429" spans="1:7" ht="15.75" customHeight="1">
      <c r="A429" s="121" t="s">
        <v>12</v>
      </c>
      <c r="B429" s="121" t="s">
        <v>4477</v>
      </c>
      <c r="C429" s="43">
        <v>2454243</v>
      </c>
      <c r="D429" s="44" t="s">
        <v>80</v>
      </c>
      <c r="E429" s="49" t="s">
        <v>4507</v>
      </c>
      <c r="F429" s="121"/>
      <c r="G429" s="203"/>
    </row>
    <row r="430" spans="1:7" ht="15.75" customHeight="1">
      <c r="A430" s="121" t="s">
        <v>12</v>
      </c>
      <c r="B430" s="121" t="s">
        <v>4477</v>
      </c>
      <c r="C430" s="43">
        <v>610661</v>
      </c>
      <c r="D430" s="1" t="s">
        <v>71</v>
      </c>
      <c r="E430" s="45" t="s">
        <v>4270</v>
      </c>
      <c r="F430" s="121"/>
      <c r="G430" s="203"/>
    </row>
    <row r="431" spans="1:7" ht="15.75" customHeight="1">
      <c r="A431" s="121" t="s">
        <v>13</v>
      </c>
      <c r="B431" s="121" t="s">
        <v>4209</v>
      </c>
      <c r="C431" s="130" t="s">
        <v>68</v>
      </c>
      <c r="D431" s="130" t="s">
        <v>62</v>
      </c>
      <c r="E431" s="199" t="s">
        <v>69</v>
      </c>
      <c r="F431" s="130"/>
      <c r="G431" s="200" t="s">
        <v>70</v>
      </c>
    </row>
    <row r="432" spans="1:7" ht="15.75" customHeight="1">
      <c r="A432" s="121" t="s">
        <v>13</v>
      </c>
      <c r="B432" s="121" t="s">
        <v>4209</v>
      </c>
      <c r="C432" s="43">
        <v>193475</v>
      </c>
      <c r="D432" s="1" t="s">
        <v>80</v>
      </c>
      <c r="E432" s="45" t="s">
        <v>4200</v>
      </c>
      <c r="F432" s="121"/>
      <c r="G432" s="200" t="s">
        <v>4508</v>
      </c>
    </row>
    <row r="433" spans="1:7" ht="15.75" customHeight="1">
      <c r="A433" s="121" t="s">
        <v>13</v>
      </c>
      <c r="B433" s="121" t="s">
        <v>4209</v>
      </c>
      <c r="C433" s="43">
        <v>708567</v>
      </c>
      <c r="D433" s="1" t="s">
        <v>71</v>
      </c>
      <c r="E433" s="45" t="s">
        <v>4206</v>
      </c>
      <c r="F433" s="121"/>
      <c r="G433" s="200" t="s">
        <v>4201</v>
      </c>
    </row>
    <row r="434" spans="1:7" ht="15.75" customHeight="1">
      <c r="A434" s="121" t="s">
        <v>13</v>
      </c>
      <c r="B434" s="121" t="s">
        <v>4209</v>
      </c>
      <c r="C434" s="43">
        <v>2982070</v>
      </c>
      <c r="D434" s="1" t="s">
        <v>71</v>
      </c>
      <c r="E434" s="45" t="s">
        <v>4208</v>
      </c>
      <c r="F434" s="121"/>
      <c r="G434" s="200" t="s">
        <v>4509</v>
      </c>
    </row>
    <row r="435" spans="1:7" ht="15.75" customHeight="1">
      <c r="A435" s="121" t="s">
        <v>13</v>
      </c>
      <c r="B435" s="121" t="s">
        <v>4209</v>
      </c>
      <c r="C435" s="43">
        <v>616401</v>
      </c>
      <c r="D435" s="1" t="s">
        <v>71</v>
      </c>
      <c r="E435" s="45" t="s">
        <v>4209</v>
      </c>
      <c r="F435" s="121"/>
      <c r="G435" s="200" t="s">
        <v>4203</v>
      </c>
    </row>
    <row r="436" spans="1:7" ht="15.75" customHeight="1">
      <c r="A436" s="121" t="s">
        <v>13</v>
      </c>
      <c r="B436" s="121" t="s">
        <v>4209</v>
      </c>
      <c r="C436" s="43">
        <v>707936</v>
      </c>
      <c r="D436" s="1" t="s">
        <v>71</v>
      </c>
      <c r="E436" s="45" t="s">
        <v>4393</v>
      </c>
      <c r="F436" s="121"/>
      <c r="G436" s="202"/>
    </row>
    <row r="437" spans="1:7" ht="15.75" customHeight="1">
      <c r="A437" s="121" t="s">
        <v>13</v>
      </c>
      <c r="B437" s="121" t="s">
        <v>4209</v>
      </c>
      <c r="C437" s="43">
        <v>2823372</v>
      </c>
      <c r="D437" s="1" t="s">
        <v>90</v>
      </c>
      <c r="E437" s="49" t="s">
        <v>4211</v>
      </c>
      <c r="F437" s="121"/>
      <c r="G437" s="202"/>
    </row>
    <row r="438" spans="1:7" ht="15.75" customHeight="1">
      <c r="A438" s="121" t="s">
        <v>13</v>
      </c>
      <c r="B438" s="121" t="s">
        <v>4209</v>
      </c>
      <c r="C438" s="43">
        <v>2834036</v>
      </c>
      <c r="D438" s="1" t="s">
        <v>80</v>
      </c>
      <c r="E438" s="45" t="s">
        <v>4174</v>
      </c>
      <c r="F438" s="121"/>
      <c r="G438" s="202"/>
    </row>
    <row r="439" spans="1:7" ht="15.75" customHeight="1">
      <c r="A439" s="121" t="s">
        <v>13</v>
      </c>
      <c r="B439" s="121" t="s">
        <v>4209</v>
      </c>
      <c r="C439" s="43">
        <v>723133</v>
      </c>
      <c r="D439" s="1" t="s">
        <v>83</v>
      </c>
      <c r="E439" s="45" t="s">
        <v>4396</v>
      </c>
      <c r="F439" s="121"/>
      <c r="G439" s="202"/>
    </row>
    <row r="440" spans="1:7" ht="15.75" customHeight="1">
      <c r="A440" s="121" t="s">
        <v>13</v>
      </c>
      <c r="B440" s="121" t="s">
        <v>4209</v>
      </c>
      <c r="C440" s="43">
        <v>778444</v>
      </c>
      <c r="D440" s="1" t="s">
        <v>80</v>
      </c>
      <c r="E440" s="45" t="s">
        <v>4180</v>
      </c>
      <c r="F440" s="121"/>
      <c r="G440" s="202"/>
    </row>
    <row r="441" spans="1:7" ht="15.75" customHeight="1">
      <c r="A441" s="121" t="s">
        <v>13</v>
      </c>
      <c r="B441" s="121" t="s">
        <v>4209</v>
      </c>
      <c r="C441" s="43">
        <v>5025546</v>
      </c>
      <c r="D441" s="1" t="s">
        <v>71</v>
      </c>
      <c r="E441" s="45" t="s">
        <v>4216</v>
      </c>
      <c r="F441" s="121"/>
      <c r="G441" s="202"/>
    </row>
    <row r="442" spans="1:7" ht="15.75" customHeight="1">
      <c r="A442" s="121" t="s">
        <v>13</v>
      </c>
      <c r="B442" s="121" t="s">
        <v>4209</v>
      </c>
      <c r="C442" s="43">
        <v>3117209</v>
      </c>
      <c r="D442" s="1" t="s">
        <v>80</v>
      </c>
      <c r="E442" s="45" t="s">
        <v>4510</v>
      </c>
      <c r="F442" s="121"/>
      <c r="G442" s="202"/>
    </row>
    <row r="443" spans="1:7" ht="15.75" customHeight="1">
      <c r="A443" s="121" t="s">
        <v>13</v>
      </c>
      <c r="B443" s="121" t="s">
        <v>4209</v>
      </c>
      <c r="C443" s="43">
        <v>575062</v>
      </c>
      <c r="D443" s="1" t="s">
        <v>71</v>
      </c>
      <c r="E443" s="45" t="s">
        <v>4201</v>
      </c>
      <c r="F443" s="121"/>
      <c r="G443" s="202"/>
    </row>
    <row r="444" spans="1:7" ht="15.75" customHeight="1">
      <c r="A444" s="121" t="s">
        <v>13</v>
      </c>
      <c r="B444" s="121" t="s">
        <v>4209</v>
      </c>
      <c r="C444" s="43">
        <v>2822438</v>
      </c>
      <c r="D444" s="1" t="s">
        <v>101</v>
      </c>
      <c r="E444" s="45" t="s">
        <v>4217</v>
      </c>
      <c r="F444" s="121"/>
      <c r="G444" s="203"/>
    </row>
    <row r="445" spans="1:7" ht="15.75" customHeight="1">
      <c r="A445" s="121" t="s">
        <v>13</v>
      </c>
      <c r="B445" s="121" t="s">
        <v>4209</v>
      </c>
      <c r="C445" s="43">
        <v>778437</v>
      </c>
      <c r="D445" s="1" t="s">
        <v>90</v>
      </c>
      <c r="E445" s="45" t="s">
        <v>4511</v>
      </c>
      <c r="F445" s="121"/>
      <c r="G445" s="203"/>
    </row>
    <row r="446" spans="1:7" ht="15.75" customHeight="1">
      <c r="A446" s="121" t="s">
        <v>13</v>
      </c>
      <c r="B446" s="121" t="s">
        <v>4209</v>
      </c>
      <c r="C446" s="43">
        <v>2841343</v>
      </c>
      <c r="D446" s="1" t="s">
        <v>71</v>
      </c>
      <c r="E446" s="45" t="s">
        <v>4221</v>
      </c>
      <c r="F446" s="121"/>
      <c r="G446" s="203"/>
    </row>
    <row r="447" spans="1:7" ht="15.75" customHeight="1">
      <c r="A447" s="121" t="s">
        <v>13</v>
      </c>
      <c r="B447" s="121" t="s">
        <v>4209</v>
      </c>
      <c r="C447" s="43">
        <v>699915</v>
      </c>
      <c r="D447" s="1" t="s">
        <v>90</v>
      </c>
      <c r="E447" s="49" t="s">
        <v>4512</v>
      </c>
      <c r="F447" s="121"/>
      <c r="G447" s="203"/>
    </row>
    <row r="448" spans="1:7" ht="15.75" customHeight="1">
      <c r="A448" s="121" t="s">
        <v>13</v>
      </c>
      <c r="B448" s="121" t="s">
        <v>4209</v>
      </c>
      <c r="C448" s="43">
        <v>605125</v>
      </c>
      <c r="D448" s="1" t="s">
        <v>80</v>
      </c>
      <c r="E448" s="45" t="s">
        <v>4222</v>
      </c>
      <c r="F448" s="121"/>
      <c r="G448" s="203"/>
    </row>
    <row r="449" spans="1:7" ht="15.75" customHeight="1">
      <c r="A449" s="121" t="s">
        <v>13</v>
      </c>
      <c r="B449" s="121" t="s">
        <v>4209</v>
      </c>
      <c r="C449" s="43">
        <v>2841047</v>
      </c>
      <c r="D449" s="1" t="s">
        <v>71</v>
      </c>
      <c r="E449" s="45" t="s">
        <v>4230</v>
      </c>
      <c r="F449" s="121"/>
      <c r="G449" s="203"/>
    </row>
    <row r="450" spans="1:7" ht="15.75" customHeight="1">
      <c r="A450" s="121" t="s">
        <v>14</v>
      </c>
      <c r="B450" s="121" t="s">
        <v>4513</v>
      </c>
      <c r="C450" s="130" t="s">
        <v>68</v>
      </c>
      <c r="D450" s="130" t="s">
        <v>62</v>
      </c>
      <c r="E450" s="199" t="s">
        <v>69</v>
      </c>
      <c r="F450" s="130"/>
      <c r="G450" s="200" t="s">
        <v>70</v>
      </c>
    </row>
    <row r="451" spans="1:7" ht="15.75" customHeight="1">
      <c r="A451" s="121" t="s">
        <v>14</v>
      </c>
      <c r="B451" s="121" t="s">
        <v>4513</v>
      </c>
      <c r="C451" s="43">
        <v>3200215</v>
      </c>
      <c r="D451" s="44" t="s">
        <v>80</v>
      </c>
      <c r="E451" s="49" t="s">
        <v>4514</v>
      </c>
      <c r="F451" s="121"/>
      <c r="G451" s="200" t="s">
        <v>4515</v>
      </c>
    </row>
    <row r="452" spans="1:7" ht="15.75" customHeight="1">
      <c r="A452" s="121" t="s">
        <v>14</v>
      </c>
      <c r="B452" s="121" t="s">
        <v>4513</v>
      </c>
      <c r="C452" s="43">
        <v>3169224</v>
      </c>
      <c r="D452" s="44" t="s">
        <v>101</v>
      </c>
      <c r="E452" s="49" t="s">
        <v>4234</v>
      </c>
      <c r="F452" s="121"/>
      <c r="G452" s="200" t="s">
        <v>4516</v>
      </c>
    </row>
    <row r="453" spans="1:7" ht="15.75" customHeight="1">
      <c r="A453" s="121" t="s">
        <v>14</v>
      </c>
      <c r="B453" s="121" t="s">
        <v>4513</v>
      </c>
      <c r="C453" s="43">
        <v>2822432</v>
      </c>
      <c r="D453" s="1" t="s">
        <v>71</v>
      </c>
      <c r="E453" s="45" t="s">
        <v>4517</v>
      </c>
      <c r="F453" s="121"/>
      <c r="G453" s="200" t="s">
        <v>4518</v>
      </c>
    </row>
    <row r="454" spans="1:7" ht="15.75" customHeight="1">
      <c r="A454" s="121" t="s">
        <v>14</v>
      </c>
      <c r="B454" s="121" t="s">
        <v>4513</v>
      </c>
      <c r="C454" s="43">
        <v>616401</v>
      </c>
      <c r="D454" s="1" t="s">
        <v>71</v>
      </c>
      <c r="E454" s="45" t="s">
        <v>4209</v>
      </c>
      <c r="F454" s="121"/>
      <c r="G454" s="202"/>
    </row>
    <row r="455" spans="1:7" ht="15.75" customHeight="1">
      <c r="A455" s="121" t="s">
        <v>14</v>
      </c>
      <c r="B455" s="121" t="s">
        <v>4513</v>
      </c>
      <c r="C455" s="43">
        <v>3168193</v>
      </c>
      <c r="D455" s="44" t="s">
        <v>71</v>
      </c>
      <c r="E455" s="49" t="s">
        <v>4519</v>
      </c>
      <c r="F455" s="121"/>
      <c r="G455" s="202"/>
    </row>
    <row r="456" spans="1:7" ht="15.75" customHeight="1">
      <c r="A456" s="121" t="s">
        <v>14</v>
      </c>
      <c r="B456" s="121" t="s">
        <v>4513</v>
      </c>
      <c r="C456" s="43">
        <v>3175198</v>
      </c>
      <c r="D456" s="44" t="s">
        <v>71</v>
      </c>
      <c r="E456" s="49" t="s">
        <v>4244</v>
      </c>
      <c r="F456" s="121"/>
      <c r="G456" s="202"/>
    </row>
    <row r="457" spans="1:7" ht="15.75" customHeight="1">
      <c r="A457" s="121" t="s">
        <v>14</v>
      </c>
      <c r="B457" s="121" t="s">
        <v>4513</v>
      </c>
      <c r="C457" s="43">
        <v>2822431</v>
      </c>
      <c r="D457" s="1" t="s">
        <v>80</v>
      </c>
      <c r="E457" s="49" t="s">
        <v>4520</v>
      </c>
      <c r="F457" s="121"/>
      <c r="G457" s="202"/>
    </row>
    <row r="458" spans="1:7" ht="15.75" customHeight="1">
      <c r="A458" s="121" t="s">
        <v>14</v>
      </c>
      <c r="B458" s="121" t="s">
        <v>4513</v>
      </c>
      <c r="C458" s="43">
        <v>771787</v>
      </c>
      <c r="D458" s="1" t="s">
        <v>90</v>
      </c>
      <c r="E458" s="45" t="s">
        <v>4521</v>
      </c>
      <c r="F458" s="121"/>
      <c r="G458" s="202"/>
    </row>
    <row r="459" spans="1:7" ht="15.75" customHeight="1">
      <c r="A459" s="121" t="s">
        <v>14</v>
      </c>
      <c r="B459" s="121" t="s">
        <v>4513</v>
      </c>
      <c r="C459" s="43">
        <v>714748</v>
      </c>
      <c r="D459" s="1" t="s">
        <v>80</v>
      </c>
      <c r="E459" s="49" t="s">
        <v>4175</v>
      </c>
      <c r="F459" s="121"/>
      <c r="G459" s="202"/>
    </row>
    <row r="460" spans="1:7" ht="15.75" customHeight="1">
      <c r="A460" s="121" t="s">
        <v>14</v>
      </c>
      <c r="B460" s="121" t="s">
        <v>4513</v>
      </c>
      <c r="C460" s="43">
        <v>575893</v>
      </c>
      <c r="D460" s="1" t="s">
        <v>71</v>
      </c>
      <c r="E460" s="45" t="s">
        <v>4522</v>
      </c>
      <c r="F460" s="121"/>
      <c r="G460" s="202"/>
    </row>
    <row r="461" spans="1:7" ht="15.75" customHeight="1">
      <c r="A461" s="121" t="s">
        <v>14</v>
      </c>
      <c r="B461" s="121" t="s">
        <v>4513</v>
      </c>
      <c r="C461" s="43">
        <v>2215100</v>
      </c>
      <c r="D461" s="1" t="s">
        <v>71</v>
      </c>
      <c r="E461" s="49" t="s">
        <v>4282</v>
      </c>
      <c r="F461" s="121"/>
      <c r="G461" s="202"/>
    </row>
    <row r="462" spans="1:7" ht="15.75" customHeight="1">
      <c r="A462" s="121" t="s">
        <v>14</v>
      </c>
      <c r="B462" s="121" t="s">
        <v>4513</v>
      </c>
      <c r="C462" s="43">
        <v>3166463</v>
      </c>
      <c r="D462" s="44" t="s">
        <v>80</v>
      </c>
      <c r="E462" s="49" t="s">
        <v>4306</v>
      </c>
      <c r="F462" s="121"/>
      <c r="G462" s="202"/>
    </row>
    <row r="463" spans="1:7" ht="15.75" customHeight="1">
      <c r="A463" s="121" t="s">
        <v>14</v>
      </c>
      <c r="B463" s="121" t="s">
        <v>4513</v>
      </c>
      <c r="C463" s="43">
        <v>773191</v>
      </c>
      <c r="D463" s="1" t="s">
        <v>80</v>
      </c>
      <c r="E463" s="45" t="s">
        <v>4523</v>
      </c>
      <c r="F463" s="121"/>
      <c r="G463" s="202"/>
    </row>
    <row r="464" spans="1:7" ht="15.75" customHeight="1">
      <c r="A464" s="121" t="s">
        <v>14</v>
      </c>
      <c r="B464" s="121" t="s">
        <v>4513</v>
      </c>
      <c r="C464" s="43">
        <v>652640</v>
      </c>
      <c r="D464" s="1" t="s">
        <v>80</v>
      </c>
      <c r="E464" s="45" t="s">
        <v>4252</v>
      </c>
      <c r="F464" s="121"/>
      <c r="G464" s="202"/>
    </row>
    <row r="465" spans="1:7" ht="15.75" customHeight="1">
      <c r="A465" s="121" t="s">
        <v>14</v>
      </c>
      <c r="B465" s="121" t="s">
        <v>4513</v>
      </c>
      <c r="C465" s="43">
        <v>447165</v>
      </c>
      <c r="D465" s="1" t="s">
        <v>83</v>
      </c>
      <c r="E465" s="49" t="s">
        <v>4283</v>
      </c>
      <c r="F465" s="121"/>
      <c r="G465" s="202"/>
    </row>
    <row r="466" spans="1:7" ht="15.75" customHeight="1">
      <c r="A466" s="121" t="s">
        <v>14</v>
      </c>
      <c r="B466" s="121" t="s">
        <v>4513</v>
      </c>
      <c r="C466" s="43">
        <v>778419</v>
      </c>
      <c r="D466" s="1" t="s">
        <v>71</v>
      </c>
      <c r="E466" s="45" t="s">
        <v>4524</v>
      </c>
      <c r="F466" s="121"/>
      <c r="G466" s="202"/>
    </row>
    <row r="467" spans="1:7" ht="15.75" customHeight="1">
      <c r="A467" s="121" t="s">
        <v>14</v>
      </c>
      <c r="B467" s="121" t="s">
        <v>4513</v>
      </c>
      <c r="C467" s="43">
        <v>5025546</v>
      </c>
      <c r="D467" s="1" t="s">
        <v>71</v>
      </c>
      <c r="E467" s="45" t="s">
        <v>4216</v>
      </c>
      <c r="F467" s="121"/>
      <c r="G467" s="202"/>
    </row>
    <row r="468" spans="1:7" ht="15.75" customHeight="1">
      <c r="A468" s="121" t="s">
        <v>14</v>
      </c>
      <c r="B468" s="121" t="s">
        <v>4513</v>
      </c>
      <c r="C468" s="43">
        <v>778463</v>
      </c>
      <c r="D468" s="1" t="s">
        <v>71</v>
      </c>
      <c r="E468" s="45" t="s">
        <v>4183</v>
      </c>
      <c r="F468" s="121"/>
      <c r="G468" s="202"/>
    </row>
    <row r="469" spans="1:7" ht="15.75" customHeight="1">
      <c r="A469" s="121" t="s">
        <v>14</v>
      </c>
      <c r="B469" s="121" t="s">
        <v>4513</v>
      </c>
      <c r="C469" s="43">
        <v>610662</v>
      </c>
      <c r="D469" s="1" t="s">
        <v>71</v>
      </c>
      <c r="E469" s="45" t="s">
        <v>4525</v>
      </c>
      <c r="F469" s="121"/>
      <c r="G469" s="202"/>
    </row>
    <row r="470" spans="1:7" ht="15.75" customHeight="1">
      <c r="A470" s="121" t="s">
        <v>14</v>
      </c>
      <c r="B470" s="121" t="s">
        <v>4513</v>
      </c>
      <c r="C470" s="43">
        <v>778457</v>
      </c>
      <c r="D470" s="1" t="s">
        <v>71</v>
      </c>
      <c r="E470" s="45" t="s">
        <v>4488</v>
      </c>
      <c r="F470" s="121"/>
      <c r="G470" s="202"/>
    </row>
    <row r="471" spans="1:7" ht="15.75" customHeight="1">
      <c r="A471" s="121" t="s">
        <v>14</v>
      </c>
      <c r="B471" s="121" t="s">
        <v>4513</v>
      </c>
      <c r="C471" s="43">
        <v>792279</v>
      </c>
      <c r="D471" s="1" t="s">
        <v>80</v>
      </c>
      <c r="E471" s="45" t="s">
        <v>4184</v>
      </c>
      <c r="F471" s="121"/>
      <c r="G471" s="202"/>
    </row>
    <row r="472" spans="1:7" ht="15.75" customHeight="1">
      <c r="A472" s="121" t="s">
        <v>14</v>
      </c>
      <c r="B472" s="121" t="s">
        <v>4513</v>
      </c>
      <c r="C472" s="43">
        <v>796912</v>
      </c>
      <c r="D472" s="1" t="s">
        <v>71</v>
      </c>
      <c r="E472" s="49" t="s">
        <v>4218</v>
      </c>
      <c r="F472" s="121"/>
      <c r="G472" s="202"/>
    </row>
    <row r="473" spans="1:7" ht="15.75" customHeight="1">
      <c r="A473" s="121" t="s">
        <v>14</v>
      </c>
      <c r="B473" s="121" t="s">
        <v>4513</v>
      </c>
      <c r="C473" s="43">
        <v>561059</v>
      </c>
      <c r="D473" s="1" t="s">
        <v>80</v>
      </c>
      <c r="E473" s="45" t="s">
        <v>4308</v>
      </c>
      <c r="F473" s="121"/>
      <c r="G473" s="202"/>
    </row>
    <row r="474" spans="1:7" ht="15.75" customHeight="1">
      <c r="A474" s="121" t="s">
        <v>14</v>
      </c>
      <c r="B474" s="121" t="s">
        <v>4513</v>
      </c>
      <c r="C474" s="43">
        <v>796909</v>
      </c>
      <c r="D474" s="1" t="s">
        <v>90</v>
      </c>
      <c r="E474" s="45" t="s">
        <v>4185</v>
      </c>
      <c r="F474" s="121"/>
      <c r="G474" s="202"/>
    </row>
    <row r="475" spans="1:7" ht="15.75" customHeight="1">
      <c r="A475" s="121" t="s">
        <v>14</v>
      </c>
      <c r="B475" s="121" t="s">
        <v>4513</v>
      </c>
      <c r="C475" s="43">
        <v>604067</v>
      </c>
      <c r="D475" s="1" t="s">
        <v>80</v>
      </c>
      <c r="E475" s="49" t="s">
        <v>4290</v>
      </c>
      <c r="F475" s="121"/>
      <c r="G475" s="202"/>
    </row>
    <row r="476" spans="1:7" ht="15.75" customHeight="1">
      <c r="A476" s="121" t="s">
        <v>14</v>
      </c>
      <c r="B476" s="121" t="s">
        <v>4513</v>
      </c>
      <c r="C476" s="43">
        <v>2391135</v>
      </c>
      <c r="D476" s="1" t="s">
        <v>71</v>
      </c>
      <c r="E476" s="45" t="s">
        <v>4526</v>
      </c>
      <c r="F476" s="121"/>
      <c r="G476" s="202"/>
    </row>
    <row r="477" spans="1:7" ht="15.75" customHeight="1">
      <c r="A477" s="121" t="s">
        <v>14</v>
      </c>
      <c r="B477" s="121" t="s">
        <v>4513</v>
      </c>
      <c r="C477" s="43">
        <v>723134</v>
      </c>
      <c r="D477" s="1" t="s">
        <v>90</v>
      </c>
      <c r="E477" s="45" t="s">
        <v>4527</v>
      </c>
      <c r="F477" s="121"/>
      <c r="G477" s="202"/>
    </row>
    <row r="478" spans="1:7" ht="15.75" customHeight="1">
      <c r="A478" s="121" t="s">
        <v>14</v>
      </c>
      <c r="B478" s="121" t="s">
        <v>4513</v>
      </c>
      <c r="C478" s="43">
        <v>2457227</v>
      </c>
      <c r="D478" s="44" t="s">
        <v>80</v>
      </c>
      <c r="E478" s="49" t="s">
        <v>4495</v>
      </c>
      <c r="F478" s="121"/>
      <c r="G478" s="202"/>
    </row>
    <row r="479" spans="1:7" ht="15.75" customHeight="1">
      <c r="A479" s="121" t="s">
        <v>14</v>
      </c>
      <c r="B479" s="121" t="s">
        <v>4513</v>
      </c>
      <c r="C479" s="43">
        <v>2823330</v>
      </c>
      <c r="D479" s="1" t="s">
        <v>71</v>
      </c>
      <c r="E479" s="45" t="s">
        <v>4220</v>
      </c>
      <c r="F479" s="121"/>
      <c r="G479" s="202"/>
    </row>
    <row r="480" spans="1:7" ht="15.75" customHeight="1">
      <c r="A480" s="121" t="s">
        <v>14</v>
      </c>
      <c r="B480" s="121" t="s">
        <v>4513</v>
      </c>
      <c r="C480" s="43">
        <v>796905</v>
      </c>
      <c r="D480" s="1" t="s">
        <v>71</v>
      </c>
      <c r="E480" s="45" t="s">
        <v>4528</v>
      </c>
      <c r="F480" s="121"/>
      <c r="G480" s="202"/>
    </row>
    <row r="481" spans="1:7" ht="15.75" customHeight="1">
      <c r="A481" s="121" t="s">
        <v>14</v>
      </c>
      <c r="B481" s="121" t="s">
        <v>4513</v>
      </c>
      <c r="C481" s="43">
        <v>717884</v>
      </c>
      <c r="D481" s="1" t="s">
        <v>71</v>
      </c>
      <c r="E481" s="45" t="s">
        <v>4529</v>
      </c>
      <c r="F481" s="121"/>
      <c r="G481" s="202"/>
    </row>
    <row r="482" spans="1:7" ht="15.75" customHeight="1">
      <c r="A482" s="121" t="s">
        <v>14</v>
      </c>
      <c r="B482" s="121" t="s">
        <v>4513</v>
      </c>
      <c r="C482" s="43">
        <v>699915</v>
      </c>
      <c r="D482" s="1" t="s">
        <v>90</v>
      </c>
      <c r="E482" s="49" t="s">
        <v>4512</v>
      </c>
      <c r="F482" s="121"/>
      <c r="G482" s="202"/>
    </row>
    <row r="483" spans="1:7" ht="15.75" customHeight="1">
      <c r="A483" s="121" t="s">
        <v>14</v>
      </c>
      <c r="B483" s="121" t="s">
        <v>4513</v>
      </c>
      <c r="C483" s="43">
        <v>193412</v>
      </c>
      <c r="D483" s="1" t="s">
        <v>83</v>
      </c>
      <c r="E483" s="45" t="s">
        <v>4530</v>
      </c>
      <c r="F483" s="121"/>
      <c r="G483" s="202"/>
    </row>
    <row r="484" spans="1:7" ht="15.75" customHeight="1">
      <c r="A484" s="121" t="s">
        <v>14</v>
      </c>
      <c r="B484" s="121" t="s">
        <v>4513</v>
      </c>
      <c r="C484" s="43">
        <v>778436</v>
      </c>
      <c r="D484" s="1" t="s">
        <v>83</v>
      </c>
      <c r="E484" s="45" t="s">
        <v>4531</v>
      </c>
      <c r="F484" s="121"/>
      <c r="G484" s="202"/>
    </row>
    <row r="485" spans="1:7" ht="15.75" customHeight="1">
      <c r="A485" s="121" t="s">
        <v>14</v>
      </c>
      <c r="B485" s="121" t="s">
        <v>4513</v>
      </c>
      <c r="C485" s="43">
        <v>2425687</v>
      </c>
      <c r="D485" s="1" t="s">
        <v>80</v>
      </c>
      <c r="E485" s="49" t="s">
        <v>4532</v>
      </c>
      <c r="F485" s="121"/>
      <c r="G485" s="202"/>
    </row>
    <row r="486" spans="1:7" ht="15.75" customHeight="1">
      <c r="A486" s="121" t="s">
        <v>14</v>
      </c>
      <c r="B486" s="121" t="s">
        <v>4513</v>
      </c>
      <c r="C486" s="43">
        <v>2830005</v>
      </c>
      <c r="D486" s="1" t="s">
        <v>71</v>
      </c>
      <c r="E486" s="45" t="s">
        <v>4533</v>
      </c>
      <c r="F486" s="121"/>
      <c r="G486" s="202"/>
    </row>
    <row r="487" spans="1:7" ht="15.75" customHeight="1">
      <c r="A487" s="121" t="s">
        <v>14</v>
      </c>
      <c r="B487" s="121" t="s">
        <v>4513</v>
      </c>
      <c r="C487" s="43">
        <v>2873194</v>
      </c>
      <c r="D487" s="1" t="s">
        <v>71</v>
      </c>
      <c r="E487" s="45" t="s">
        <v>4223</v>
      </c>
      <c r="F487" s="121"/>
      <c r="G487" s="202"/>
    </row>
    <row r="488" spans="1:7" ht="15.75" customHeight="1">
      <c r="A488" s="121" t="s">
        <v>14</v>
      </c>
      <c r="B488" s="121" t="s">
        <v>4513</v>
      </c>
      <c r="C488" s="43">
        <v>2898800</v>
      </c>
      <c r="D488" s="44" t="s">
        <v>71</v>
      </c>
      <c r="E488" s="49" t="s">
        <v>4265</v>
      </c>
      <c r="F488" s="121"/>
      <c r="G488" s="202"/>
    </row>
    <row r="489" spans="1:7" ht="15.75" customHeight="1">
      <c r="A489" s="121" t="s">
        <v>14</v>
      </c>
      <c r="B489" s="121" t="s">
        <v>4513</v>
      </c>
      <c r="C489" s="43">
        <v>778455</v>
      </c>
      <c r="D489" s="1" t="s">
        <v>71</v>
      </c>
      <c r="E489" s="45" t="s">
        <v>4534</v>
      </c>
      <c r="F489" s="121"/>
      <c r="G489" s="202"/>
    </row>
    <row r="490" spans="1:7" ht="15.75" customHeight="1">
      <c r="A490" s="121" t="s">
        <v>14</v>
      </c>
      <c r="B490" s="121" t="s">
        <v>4513</v>
      </c>
      <c r="C490" s="43">
        <v>551303</v>
      </c>
      <c r="D490" s="1" t="s">
        <v>71</v>
      </c>
      <c r="E490" s="45" t="s">
        <v>4192</v>
      </c>
      <c r="F490" s="121"/>
      <c r="G490" s="202"/>
    </row>
    <row r="491" spans="1:7" ht="15.75" customHeight="1">
      <c r="A491" s="121" t="s">
        <v>14</v>
      </c>
      <c r="B491" s="121" t="s">
        <v>4513</v>
      </c>
      <c r="C491" s="43">
        <v>641776</v>
      </c>
      <c r="D491" s="1" t="s">
        <v>71</v>
      </c>
      <c r="E491" s="45" t="s">
        <v>4411</v>
      </c>
      <c r="F491" s="121"/>
      <c r="G491" s="202"/>
    </row>
    <row r="492" spans="1:7" ht="15.75" customHeight="1">
      <c r="A492" s="121" t="s">
        <v>14</v>
      </c>
      <c r="B492" s="121" t="s">
        <v>4513</v>
      </c>
      <c r="C492" s="43">
        <v>5025542</v>
      </c>
      <c r="D492" s="1" t="s">
        <v>71</v>
      </c>
      <c r="E492" s="49" t="s">
        <v>4316</v>
      </c>
      <c r="F492" s="121"/>
      <c r="G492" s="202"/>
    </row>
    <row r="493" spans="1:7" ht="15.75" customHeight="1">
      <c r="A493" s="121" t="s">
        <v>15</v>
      </c>
      <c r="B493" s="121" t="s">
        <v>4535</v>
      </c>
      <c r="C493" s="130" t="s">
        <v>68</v>
      </c>
      <c r="D493" s="130" t="s">
        <v>62</v>
      </c>
      <c r="E493" s="199" t="s">
        <v>69</v>
      </c>
      <c r="F493" s="130"/>
      <c r="G493" s="200" t="s">
        <v>70</v>
      </c>
    </row>
    <row r="494" spans="1:7" ht="15.75" customHeight="1">
      <c r="A494" s="121" t="s">
        <v>15</v>
      </c>
      <c r="B494" s="121" t="s">
        <v>4535</v>
      </c>
      <c r="C494" s="43">
        <v>3200215</v>
      </c>
      <c r="D494" s="1" t="s">
        <v>80</v>
      </c>
      <c r="E494" s="49" t="s">
        <v>4514</v>
      </c>
      <c r="F494" s="121"/>
      <c r="G494" s="200" t="s">
        <v>4536</v>
      </c>
    </row>
    <row r="495" spans="1:7" ht="15.75" customHeight="1">
      <c r="A495" s="121" t="s">
        <v>15</v>
      </c>
      <c r="B495" s="121" t="s">
        <v>4535</v>
      </c>
      <c r="C495" s="43">
        <v>3200214</v>
      </c>
      <c r="D495" s="1" t="s">
        <v>80</v>
      </c>
      <c r="E495" s="49" t="s">
        <v>4232</v>
      </c>
      <c r="F495" s="121"/>
      <c r="G495" s="200" t="s">
        <v>4233</v>
      </c>
    </row>
    <row r="496" spans="1:7" ht="15.75" customHeight="1">
      <c r="A496" s="121" t="s">
        <v>15</v>
      </c>
      <c r="B496" s="121" t="s">
        <v>4535</v>
      </c>
      <c r="C496" s="43">
        <v>3200212</v>
      </c>
      <c r="D496" s="1" t="s">
        <v>80</v>
      </c>
      <c r="E496" s="49" t="s">
        <v>4537</v>
      </c>
      <c r="F496" s="121"/>
      <c r="G496" s="200" t="s">
        <v>4538</v>
      </c>
    </row>
    <row r="497" spans="1:7" ht="15.75" customHeight="1">
      <c r="A497" s="121" t="s">
        <v>15</v>
      </c>
      <c r="B497" s="121" t="s">
        <v>4535</v>
      </c>
      <c r="C497" s="43">
        <v>3169224</v>
      </c>
      <c r="D497" s="1" t="s">
        <v>101</v>
      </c>
      <c r="E497" s="49" t="s">
        <v>4234</v>
      </c>
      <c r="F497" s="121"/>
      <c r="G497" s="200" t="s">
        <v>4539</v>
      </c>
    </row>
    <row r="498" spans="1:7" ht="15.75" customHeight="1">
      <c r="A498" s="121" t="s">
        <v>15</v>
      </c>
      <c r="B498" s="121" t="s">
        <v>4535</v>
      </c>
      <c r="C498" s="43">
        <v>5025557</v>
      </c>
      <c r="D498" s="1" t="s">
        <v>71</v>
      </c>
      <c r="E498" s="49" t="s">
        <v>4236</v>
      </c>
      <c r="F498" s="121"/>
      <c r="G498" s="200" t="s">
        <v>4540</v>
      </c>
    </row>
    <row r="499" spans="1:7" ht="15.75" customHeight="1">
      <c r="A499" s="121" t="s">
        <v>15</v>
      </c>
      <c r="B499" s="121" t="s">
        <v>4535</v>
      </c>
      <c r="C499" s="43">
        <v>553296</v>
      </c>
      <c r="D499" s="1" t="s">
        <v>71</v>
      </c>
      <c r="E499" s="45" t="s">
        <v>4541</v>
      </c>
      <c r="F499" s="121"/>
      <c r="G499" s="200" t="s">
        <v>4542</v>
      </c>
    </row>
    <row r="500" spans="1:7" ht="15.75" customHeight="1">
      <c r="A500" s="121" t="s">
        <v>15</v>
      </c>
      <c r="B500" s="121" t="s">
        <v>4535</v>
      </c>
      <c r="C500" s="43">
        <v>3006768</v>
      </c>
      <c r="D500" s="1" t="s">
        <v>71</v>
      </c>
      <c r="E500" s="49" t="s">
        <v>4240</v>
      </c>
      <c r="F500" s="121"/>
      <c r="G500" s="200" t="s">
        <v>4543</v>
      </c>
    </row>
    <row r="501" spans="1:7" ht="15.75" customHeight="1">
      <c r="A501" s="121" t="s">
        <v>15</v>
      </c>
      <c r="B501" s="121" t="s">
        <v>4535</v>
      </c>
      <c r="C501" s="43">
        <v>568503</v>
      </c>
      <c r="D501" s="1" t="s">
        <v>83</v>
      </c>
      <c r="E501" s="49" t="s">
        <v>4242</v>
      </c>
      <c r="F501" s="121"/>
      <c r="G501" s="202"/>
    </row>
    <row r="502" spans="1:7" ht="15.75" customHeight="1">
      <c r="A502" s="121" t="s">
        <v>15</v>
      </c>
      <c r="B502" s="121" t="s">
        <v>4535</v>
      </c>
      <c r="C502" s="43">
        <v>2822432</v>
      </c>
      <c r="D502" s="1" t="s">
        <v>71</v>
      </c>
      <c r="E502" s="45" t="s">
        <v>4517</v>
      </c>
      <c r="F502" s="121"/>
      <c r="G502" s="202"/>
    </row>
    <row r="503" spans="1:7" ht="15.75" customHeight="1">
      <c r="A503" s="121" t="s">
        <v>15</v>
      </c>
      <c r="B503" s="121" t="s">
        <v>4535</v>
      </c>
      <c r="C503" s="43">
        <v>3175198</v>
      </c>
      <c r="D503" s="1" t="s">
        <v>71</v>
      </c>
      <c r="E503" s="49" t="s">
        <v>4244</v>
      </c>
      <c r="F503" s="121"/>
      <c r="G503" s="202"/>
    </row>
    <row r="504" spans="1:7" ht="15.75" customHeight="1">
      <c r="A504" s="121" t="s">
        <v>15</v>
      </c>
      <c r="B504" s="121" t="s">
        <v>4535</v>
      </c>
      <c r="C504" s="43">
        <v>622393</v>
      </c>
      <c r="D504" s="1" t="s">
        <v>71</v>
      </c>
      <c r="E504" s="45" t="s">
        <v>4172</v>
      </c>
      <c r="F504" s="121"/>
      <c r="G504" s="202"/>
    </row>
    <row r="505" spans="1:7" ht="15.75" customHeight="1">
      <c r="A505" s="121" t="s">
        <v>15</v>
      </c>
      <c r="B505" s="121" t="s">
        <v>4535</v>
      </c>
      <c r="C505" s="43">
        <v>2823373</v>
      </c>
      <c r="D505" s="1" t="s">
        <v>71</v>
      </c>
      <c r="E505" s="45" t="s">
        <v>4246</v>
      </c>
      <c r="F505" s="121"/>
      <c r="G505" s="202"/>
    </row>
    <row r="506" spans="1:7" ht="15.75" customHeight="1">
      <c r="A506" s="121" t="s">
        <v>15</v>
      </c>
      <c r="B506" s="121" t="s">
        <v>4535</v>
      </c>
      <c r="C506" s="43">
        <v>781084</v>
      </c>
      <c r="D506" s="1" t="s">
        <v>71</v>
      </c>
      <c r="E506" s="45" t="s">
        <v>4177</v>
      </c>
      <c r="F506" s="121"/>
      <c r="G506" s="202"/>
    </row>
    <row r="507" spans="1:7" ht="15.75" customHeight="1">
      <c r="A507" s="121" t="s">
        <v>15</v>
      </c>
      <c r="B507" s="121" t="s">
        <v>4535</v>
      </c>
      <c r="C507" s="43">
        <v>193343</v>
      </c>
      <c r="D507" s="1" t="s">
        <v>83</v>
      </c>
      <c r="E507" s="45" t="s">
        <v>4248</v>
      </c>
      <c r="F507" s="121"/>
      <c r="G507" s="202"/>
    </row>
    <row r="508" spans="1:7" ht="15.75" customHeight="1">
      <c r="A508" s="121" t="s">
        <v>15</v>
      </c>
      <c r="B508" s="121" t="s">
        <v>4535</v>
      </c>
      <c r="C508" s="43">
        <v>499817</v>
      </c>
      <c r="D508" s="1" t="s">
        <v>83</v>
      </c>
      <c r="E508" s="49" t="s">
        <v>4250</v>
      </c>
      <c r="F508" s="121"/>
      <c r="G508" s="202"/>
    </row>
    <row r="509" spans="1:7" ht="15.75" customHeight="1">
      <c r="A509" s="121" t="s">
        <v>15</v>
      </c>
      <c r="B509" s="121" t="s">
        <v>4535</v>
      </c>
      <c r="C509" s="43">
        <v>707934</v>
      </c>
      <c r="D509" s="1" t="s">
        <v>80</v>
      </c>
      <c r="E509" s="45" t="s">
        <v>4544</v>
      </c>
      <c r="F509" s="121"/>
      <c r="G509" s="202"/>
    </row>
    <row r="510" spans="1:7" ht="15.75" customHeight="1">
      <c r="A510" s="121" t="s">
        <v>15</v>
      </c>
      <c r="B510" s="121" t="s">
        <v>4535</v>
      </c>
      <c r="C510" s="43">
        <v>2215100</v>
      </c>
      <c r="D510" s="1" t="s">
        <v>71</v>
      </c>
      <c r="E510" s="49" t="s">
        <v>4282</v>
      </c>
      <c r="F510" s="121"/>
      <c r="G510" s="203"/>
    </row>
    <row r="511" spans="1:7" ht="15.75" customHeight="1">
      <c r="A511" s="121" t="s">
        <v>15</v>
      </c>
      <c r="B511" s="121" t="s">
        <v>4535</v>
      </c>
      <c r="C511" s="43">
        <v>2922388</v>
      </c>
      <c r="D511" s="1" t="s">
        <v>90</v>
      </c>
      <c r="E511" s="49" t="s">
        <v>4545</v>
      </c>
      <c r="F511" s="121"/>
      <c r="G511" s="203"/>
    </row>
    <row r="512" spans="1:7" ht="15.75" customHeight="1">
      <c r="A512" s="121" t="s">
        <v>15</v>
      </c>
      <c r="B512" s="121" t="s">
        <v>4535</v>
      </c>
      <c r="C512" s="43">
        <v>652640</v>
      </c>
      <c r="D512" s="1" t="s">
        <v>80</v>
      </c>
      <c r="E512" s="45" t="s">
        <v>4252</v>
      </c>
      <c r="F512" s="121"/>
      <c r="G512" s="203"/>
    </row>
    <row r="513" spans="1:7" ht="15.75" customHeight="1">
      <c r="A513" s="121" t="s">
        <v>15</v>
      </c>
      <c r="B513" s="121" t="s">
        <v>4535</v>
      </c>
      <c r="C513" s="43">
        <v>602729</v>
      </c>
      <c r="D513" s="1" t="s">
        <v>71</v>
      </c>
      <c r="E513" s="45" t="s">
        <v>4181</v>
      </c>
      <c r="F513" s="121"/>
      <c r="G513" s="203"/>
    </row>
    <row r="514" spans="1:7" ht="15.75" customHeight="1">
      <c r="A514" s="121" t="s">
        <v>15</v>
      </c>
      <c r="B514" s="121" t="s">
        <v>4535</v>
      </c>
      <c r="C514" s="43">
        <v>3107704</v>
      </c>
      <c r="D514" s="1" t="s">
        <v>83</v>
      </c>
      <c r="E514" s="45" t="s">
        <v>4254</v>
      </c>
      <c r="F514" s="121"/>
      <c r="G514" s="203"/>
    </row>
    <row r="515" spans="1:7" ht="15.75" customHeight="1">
      <c r="A515" s="121" t="s">
        <v>15</v>
      </c>
      <c r="B515" s="121" t="s">
        <v>4535</v>
      </c>
      <c r="C515" s="43">
        <v>738774</v>
      </c>
      <c r="D515" s="1" t="s">
        <v>71</v>
      </c>
      <c r="E515" s="49" t="s">
        <v>4182</v>
      </c>
      <c r="F515" s="121"/>
      <c r="G515" s="203"/>
    </row>
    <row r="516" spans="1:7" ht="15.75" customHeight="1">
      <c r="A516" s="121" t="s">
        <v>15</v>
      </c>
      <c r="B516" s="121" t="s">
        <v>4535</v>
      </c>
      <c r="C516" s="43">
        <v>609791</v>
      </c>
      <c r="D516" s="1" t="s">
        <v>101</v>
      </c>
      <c r="E516" s="49" t="s">
        <v>4546</v>
      </c>
      <c r="F516" s="121"/>
      <c r="G516" s="203"/>
    </row>
    <row r="517" spans="1:7" ht="15.75" customHeight="1">
      <c r="A517" s="121" t="s">
        <v>15</v>
      </c>
      <c r="B517" s="121" t="s">
        <v>4535</v>
      </c>
      <c r="C517" s="43">
        <v>561007</v>
      </c>
      <c r="D517" s="1" t="s">
        <v>83</v>
      </c>
      <c r="E517" s="45" t="s">
        <v>4255</v>
      </c>
      <c r="F517" s="121"/>
      <c r="G517" s="203"/>
    </row>
    <row r="518" spans="1:7" ht="15.75" customHeight="1">
      <c r="A518" s="121" t="s">
        <v>15</v>
      </c>
      <c r="B518" s="121" t="s">
        <v>4535</v>
      </c>
      <c r="C518" s="43">
        <v>752388</v>
      </c>
      <c r="D518" s="1" t="s">
        <v>83</v>
      </c>
      <c r="E518" s="49" t="s">
        <v>4547</v>
      </c>
      <c r="F518" s="121"/>
      <c r="G518" s="203"/>
    </row>
    <row r="519" spans="1:7" ht="15.75" customHeight="1">
      <c r="A519" s="121" t="s">
        <v>15</v>
      </c>
      <c r="B519" s="121" t="s">
        <v>4535</v>
      </c>
      <c r="C519" s="43">
        <v>778440</v>
      </c>
      <c r="D519" s="1" t="s">
        <v>71</v>
      </c>
      <c r="E519" s="49" t="s">
        <v>4548</v>
      </c>
      <c r="F519" s="121"/>
      <c r="G519" s="203"/>
    </row>
    <row r="520" spans="1:7" ht="15.75" customHeight="1">
      <c r="A520" s="121" t="s">
        <v>15</v>
      </c>
      <c r="B520" s="121" t="s">
        <v>4535</v>
      </c>
      <c r="C520" s="43">
        <v>778442</v>
      </c>
      <c r="D520" s="1" t="s">
        <v>71</v>
      </c>
      <c r="E520" s="45" t="s">
        <v>4549</v>
      </c>
      <c r="F520" s="121"/>
      <c r="G520" s="203"/>
    </row>
    <row r="521" spans="1:7" ht="15.75" customHeight="1">
      <c r="A521" s="121" t="s">
        <v>15</v>
      </c>
      <c r="B521" s="121" t="s">
        <v>4535</v>
      </c>
      <c r="C521" s="43">
        <v>778439</v>
      </c>
      <c r="D521" s="1" t="s">
        <v>71</v>
      </c>
      <c r="E521" s="49" t="s">
        <v>4550</v>
      </c>
      <c r="F521" s="121"/>
      <c r="G521" s="203"/>
    </row>
    <row r="522" spans="1:7" ht="15.75" customHeight="1">
      <c r="A522" s="121" t="s">
        <v>15</v>
      </c>
      <c r="B522" s="121" t="s">
        <v>4535</v>
      </c>
      <c r="C522" s="43">
        <v>778443</v>
      </c>
      <c r="D522" s="1" t="s">
        <v>71</v>
      </c>
      <c r="E522" s="49" t="s">
        <v>4551</v>
      </c>
      <c r="F522" s="121"/>
      <c r="G522" s="203"/>
    </row>
    <row r="523" spans="1:7" ht="15.75" customHeight="1">
      <c r="A523" s="121" t="s">
        <v>15</v>
      </c>
      <c r="B523" s="121" t="s">
        <v>4535</v>
      </c>
      <c r="C523" s="43">
        <v>796912</v>
      </c>
      <c r="D523" s="1" t="s">
        <v>71</v>
      </c>
      <c r="E523" s="49" t="s">
        <v>4218</v>
      </c>
      <c r="F523" s="121"/>
      <c r="G523" s="203"/>
    </row>
    <row r="524" spans="1:7" ht="15.75" customHeight="1">
      <c r="A524" s="121" t="s">
        <v>15</v>
      </c>
      <c r="B524" s="121" t="s">
        <v>4535</v>
      </c>
      <c r="C524" s="43">
        <v>796909</v>
      </c>
      <c r="D524" s="1" t="s">
        <v>90</v>
      </c>
      <c r="E524" s="45" t="s">
        <v>4185</v>
      </c>
      <c r="F524" s="121"/>
      <c r="G524" s="203"/>
    </row>
    <row r="525" spans="1:7" ht="15.75" customHeight="1">
      <c r="A525" s="121" t="s">
        <v>15</v>
      </c>
      <c r="B525" s="121" t="s">
        <v>4535</v>
      </c>
      <c r="C525" s="43">
        <v>2996324</v>
      </c>
      <c r="D525" s="1" t="s">
        <v>71</v>
      </c>
      <c r="E525" s="45" t="s">
        <v>4552</v>
      </c>
      <c r="F525" s="121"/>
      <c r="G525" s="203"/>
    </row>
    <row r="526" spans="1:7" ht="15.75" customHeight="1">
      <c r="A526" s="121" t="s">
        <v>15</v>
      </c>
      <c r="B526" s="121" t="s">
        <v>4535</v>
      </c>
      <c r="C526" s="43">
        <v>604067</v>
      </c>
      <c r="D526" s="1" t="s">
        <v>80</v>
      </c>
      <c r="E526" s="49" t="s">
        <v>4290</v>
      </c>
      <c r="F526" s="121"/>
      <c r="G526" s="203"/>
    </row>
    <row r="527" spans="1:7" ht="15.75" customHeight="1">
      <c r="A527" s="121" t="s">
        <v>15</v>
      </c>
      <c r="B527" s="121" t="s">
        <v>4535</v>
      </c>
      <c r="C527" s="43">
        <v>796908</v>
      </c>
      <c r="D527" s="1" t="s">
        <v>80</v>
      </c>
      <c r="E527" s="45" t="s">
        <v>4186</v>
      </c>
      <c r="F527" s="121"/>
      <c r="G527" s="203"/>
    </row>
    <row r="528" spans="1:7" ht="15.75" customHeight="1">
      <c r="A528" s="121" t="s">
        <v>15</v>
      </c>
      <c r="B528" s="121" t="s">
        <v>4535</v>
      </c>
      <c r="C528" s="43">
        <v>2882001</v>
      </c>
      <c r="D528" s="1" t="s">
        <v>71</v>
      </c>
      <c r="E528" s="45" t="s">
        <v>4260</v>
      </c>
      <c r="F528" s="121"/>
      <c r="G528" s="203"/>
    </row>
    <row r="529" spans="1:7" ht="15.75" customHeight="1">
      <c r="A529" s="121" t="s">
        <v>15</v>
      </c>
      <c r="B529" s="121" t="s">
        <v>4535</v>
      </c>
      <c r="C529" s="43">
        <v>2457227</v>
      </c>
      <c r="D529" s="1" t="s">
        <v>80</v>
      </c>
      <c r="E529" s="49" t="s">
        <v>4495</v>
      </c>
      <c r="F529" s="121"/>
      <c r="G529" s="203"/>
    </row>
    <row r="530" spans="1:7" ht="15.75" customHeight="1">
      <c r="A530" s="121" t="s">
        <v>15</v>
      </c>
      <c r="B530" s="121" t="s">
        <v>4535</v>
      </c>
      <c r="C530" s="43">
        <v>561058</v>
      </c>
      <c r="D530" s="1" t="s">
        <v>101</v>
      </c>
      <c r="E530" s="45" t="s">
        <v>4498</v>
      </c>
      <c r="F530" s="121"/>
      <c r="G530" s="203"/>
    </row>
    <row r="531" spans="1:7" ht="15.75" customHeight="1">
      <c r="A531" s="121" t="s">
        <v>15</v>
      </c>
      <c r="B531" s="121" t="s">
        <v>4535</v>
      </c>
      <c r="C531" s="43">
        <v>398060</v>
      </c>
      <c r="D531" s="1" t="s">
        <v>83</v>
      </c>
      <c r="E531" s="45" t="s">
        <v>4553</v>
      </c>
      <c r="F531" s="121"/>
      <c r="G531" s="203"/>
    </row>
    <row r="532" spans="1:7" ht="15.75" customHeight="1">
      <c r="A532" s="121" t="s">
        <v>15</v>
      </c>
      <c r="B532" s="121" t="s">
        <v>4535</v>
      </c>
      <c r="C532" s="43">
        <v>476693</v>
      </c>
      <c r="D532" s="1" t="s">
        <v>83</v>
      </c>
      <c r="E532" s="49" t="s">
        <v>4554</v>
      </c>
      <c r="F532" s="121"/>
      <c r="G532" s="203"/>
    </row>
    <row r="533" spans="1:7" ht="15.75" customHeight="1">
      <c r="A533" s="121" t="s">
        <v>15</v>
      </c>
      <c r="B533" s="121" t="s">
        <v>4535</v>
      </c>
      <c r="C533" s="43">
        <v>2425687</v>
      </c>
      <c r="D533" s="1" t="s">
        <v>80</v>
      </c>
      <c r="E533" s="49" t="s">
        <v>4532</v>
      </c>
      <c r="F533" s="121"/>
      <c r="G533" s="203"/>
    </row>
    <row r="534" spans="1:7" ht="15.75" customHeight="1">
      <c r="A534" s="121" t="s">
        <v>15</v>
      </c>
      <c r="B534" s="121" t="s">
        <v>4535</v>
      </c>
      <c r="C534" s="43">
        <v>2830005</v>
      </c>
      <c r="D534" s="1" t="s">
        <v>71</v>
      </c>
      <c r="E534" s="45" t="s">
        <v>4533</v>
      </c>
      <c r="F534" s="121"/>
      <c r="G534" s="203"/>
    </row>
    <row r="535" spans="1:7" ht="15.75" customHeight="1">
      <c r="A535" s="121" t="s">
        <v>15</v>
      </c>
      <c r="B535" s="121" t="s">
        <v>4535</v>
      </c>
      <c r="C535" s="43">
        <v>2873194</v>
      </c>
      <c r="D535" s="1" t="s">
        <v>71</v>
      </c>
      <c r="E535" s="45" t="s">
        <v>4223</v>
      </c>
      <c r="F535" s="121"/>
      <c r="G535" s="203"/>
    </row>
    <row r="536" spans="1:7" ht="15.75" customHeight="1">
      <c r="A536" s="121" t="s">
        <v>15</v>
      </c>
      <c r="B536" s="121" t="s">
        <v>4535</v>
      </c>
      <c r="C536" s="43">
        <v>796910</v>
      </c>
      <c r="D536" s="1" t="s">
        <v>71</v>
      </c>
      <c r="E536" s="45" t="s">
        <v>4264</v>
      </c>
      <c r="F536" s="121"/>
      <c r="G536" s="203"/>
    </row>
    <row r="537" spans="1:7" ht="15.75" customHeight="1">
      <c r="A537" s="121" t="s">
        <v>15</v>
      </c>
      <c r="B537" s="121" t="s">
        <v>4535</v>
      </c>
      <c r="C537" s="43">
        <v>2898800</v>
      </c>
      <c r="D537" s="1" t="s">
        <v>71</v>
      </c>
      <c r="E537" s="49" t="s">
        <v>4265</v>
      </c>
      <c r="F537" s="121"/>
      <c r="G537" s="203"/>
    </row>
    <row r="538" spans="1:7" ht="15.75" customHeight="1">
      <c r="A538" s="204" t="s">
        <v>16</v>
      </c>
      <c r="B538" s="204" t="s">
        <v>4555</v>
      </c>
      <c r="C538" s="130" t="s">
        <v>68</v>
      </c>
      <c r="D538" s="130" t="s">
        <v>62</v>
      </c>
      <c r="E538" s="199" t="s">
        <v>69</v>
      </c>
      <c r="F538" s="130"/>
      <c r="G538" s="200" t="s">
        <v>70</v>
      </c>
    </row>
    <row r="539" spans="1:7" ht="15.75" customHeight="1">
      <c r="A539" s="204" t="s">
        <v>16</v>
      </c>
      <c r="B539" s="204" t="s">
        <v>4555</v>
      </c>
      <c r="C539" s="43">
        <v>3110022</v>
      </c>
      <c r="D539" s="1" t="s">
        <v>101</v>
      </c>
      <c r="E539" s="45" t="s">
        <v>4556</v>
      </c>
      <c r="F539" s="121"/>
      <c r="G539" s="200" t="s">
        <v>4557</v>
      </c>
    </row>
    <row r="540" spans="1:7" ht="15.75" customHeight="1">
      <c r="A540" s="204" t="s">
        <v>16</v>
      </c>
      <c r="B540" s="204" t="s">
        <v>4555</v>
      </c>
      <c r="C540" s="43">
        <v>2393118</v>
      </c>
      <c r="D540" s="1" t="s">
        <v>71</v>
      </c>
      <c r="E540" s="45" t="s">
        <v>4407</v>
      </c>
      <c r="F540" s="121"/>
      <c r="G540" s="200" t="s">
        <v>4558</v>
      </c>
    </row>
    <row r="541" spans="1:7" ht="15.75" customHeight="1">
      <c r="A541" s="204" t="s">
        <v>16</v>
      </c>
      <c r="B541" s="204" t="s">
        <v>4555</v>
      </c>
      <c r="C541" s="43">
        <v>796906</v>
      </c>
      <c r="D541" s="1" t="s">
        <v>80</v>
      </c>
      <c r="E541" s="45" t="s">
        <v>4559</v>
      </c>
      <c r="F541" s="121"/>
      <c r="G541" s="202"/>
    </row>
    <row r="542" spans="1:7" ht="15.75" customHeight="1">
      <c r="A542" s="204" t="s">
        <v>16</v>
      </c>
      <c r="B542" s="204" t="s">
        <v>4555</v>
      </c>
      <c r="C542" s="43">
        <v>796901</v>
      </c>
      <c r="D542" s="1" t="s">
        <v>80</v>
      </c>
      <c r="E542" s="45" t="s">
        <v>4560</v>
      </c>
      <c r="F542" s="121"/>
      <c r="G542" s="202"/>
    </row>
    <row r="543" spans="1:7" ht="15.75" customHeight="1">
      <c r="A543" s="204" t="s">
        <v>16</v>
      </c>
      <c r="B543" s="204" t="s">
        <v>4555</v>
      </c>
      <c r="C543" s="43">
        <v>707921</v>
      </c>
      <c r="D543" s="1" t="s">
        <v>80</v>
      </c>
      <c r="E543" s="45" t="s">
        <v>4409</v>
      </c>
      <c r="F543" s="121"/>
      <c r="G543" s="202"/>
    </row>
    <row r="544" spans="1:7" ht="15.75" customHeight="1">
      <c r="A544" s="204" t="s">
        <v>16</v>
      </c>
      <c r="B544" s="204" t="s">
        <v>4555</v>
      </c>
      <c r="C544" s="43">
        <v>796907</v>
      </c>
      <c r="D544" s="1" t="s">
        <v>83</v>
      </c>
      <c r="E544" s="49" t="s">
        <v>4561</v>
      </c>
      <c r="F544" s="121"/>
      <c r="G544" s="202"/>
    </row>
    <row r="545" spans="1:7" ht="15.75" customHeight="1">
      <c r="A545" s="204" t="s">
        <v>16</v>
      </c>
      <c r="B545" s="204" t="s">
        <v>4555</v>
      </c>
      <c r="C545" s="43">
        <v>789567</v>
      </c>
      <c r="D545" s="1" t="s">
        <v>90</v>
      </c>
      <c r="E545" s="45" t="s">
        <v>4562</v>
      </c>
      <c r="F545" s="121"/>
      <c r="G545" s="202"/>
    </row>
    <row r="546" spans="1:7" ht="15.75" customHeight="1">
      <c r="A546" s="204" t="s">
        <v>16</v>
      </c>
      <c r="B546" s="204" t="s">
        <v>4555</v>
      </c>
      <c r="C546" s="43">
        <v>709851</v>
      </c>
      <c r="D546" s="1" t="s">
        <v>71</v>
      </c>
      <c r="E546" s="45" t="s">
        <v>4563</v>
      </c>
      <c r="F546" s="121"/>
      <c r="G546" s="202"/>
    </row>
    <row r="547" spans="1:7" ht="15.75" customHeight="1">
      <c r="A547" s="121" t="s">
        <v>17</v>
      </c>
      <c r="B547" s="121" t="s">
        <v>4564</v>
      </c>
      <c r="C547" s="130" t="s">
        <v>68</v>
      </c>
      <c r="D547" s="130" t="s">
        <v>62</v>
      </c>
      <c r="E547" s="199" t="s">
        <v>69</v>
      </c>
      <c r="F547" s="130"/>
      <c r="G547" s="200" t="s">
        <v>70</v>
      </c>
    </row>
    <row r="548" spans="1:7" ht="15.75" customHeight="1">
      <c r="A548" s="121" t="s">
        <v>17</v>
      </c>
      <c r="B548" s="121" t="s">
        <v>4564</v>
      </c>
      <c r="C548" s="43">
        <v>2922022</v>
      </c>
      <c r="D548" s="1" t="s">
        <v>71</v>
      </c>
      <c r="E548" s="45" t="s">
        <v>4565</v>
      </c>
      <c r="F548" s="121"/>
      <c r="G548" s="200" t="s">
        <v>4566</v>
      </c>
    </row>
    <row r="549" spans="1:7" ht="15.75" customHeight="1">
      <c r="A549" s="121" t="s">
        <v>17</v>
      </c>
      <c r="B549" s="121" t="s">
        <v>4564</v>
      </c>
      <c r="C549" s="43">
        <v>641777</v>
      </c>
      <c r="D549" s="1" t="s">
        <v>83</v>
      </c>
      <c r="E549" s="45" t="s">
        <v>4275</v>
      </c>
      <c r="F549" s="121"/>
      <c r="G549" s="200" t="s">
        <v>4567</v>
      </c>
    </row>
    <row r="550" spans="1:7" ht="15.75" customHeight="1">
      <c r="A550" s="121" t="s">
        <v>17</v>
      </c>
      <c r="B550" s="121" t="s">
        <v>4564</v>
      </c>
      <c r="C550" s="43">
        <v>402048</v>
      </c>
      <c r="D550" s="1" t="s">
        <v>71</v>
      </c>
      <c r="E550" s="45" t="s">
        <v>4568</v>
      </c>
      <c r="F550" s="121"/>
      <c r="G550" s="200" t="s">
        <v>4569</v>
      </c>
    </row>
    <row r="551" spans="1:7" ht="15.75" customHeight="1">
      <c r="A551" s="121" t="s">
        <v>17</v>
      </c>
      <c r="B551" s="121" t="s">
        <v>4564</v>
      </c>
      <c r="C551" s="43">
        <v>5025528</v>
      </c>
      <c r="D551" s="1" t="s">
        <v>83</v>
      </c>
      <c r="E551" s="45" t="s">
        <v>4570</v>
      </c>
      <c r="F551" s="121"/>
      <c r="G551" s="200" t="s">
        <v>4571</v>
      </c>
    </row>
    <row r="552" spans="1:7" ht="15.75" customHeight="1">
      <c r="A552" s="121" t="s">
        <v>17</v>
      </c>
      <c r="B552" s="121" t="s">
        <v>4564</v>
      </c>
      <c r="C552" s="43">
        <v>793653</v>
      </c>
      <c r="D552" s="1" t="s">
        <v>83</v>
      </c>
      <c r="E552" s="45" t="s">
        <v>4572</v>
      </c>
      <c r="F552" s="121"/>
      <c r="G552" s="200" t="s">
        <v>4573</v>
      </c>
    </row>
    <row r="553" spans="1:7" ht="15.75" customHeight="1">
      <c r="A553" s="121" t="s">
        <v>17</v>
      </c>
      <c r="B553" s="121" t="s">
        <v>4564</v>
      </c>
      <c r="C553" s="43">
        <v>2810618</v>
      </c>
      <c r="D553" s="1" t="s">
        <v>83</v>
      </c>
      <c r="E553" s="45" t="s">
        <v>4574</v>
      </c>
      <c r="F553" s="121"/>
      <c r="G553" s="202"/>
    </row>
    <row r="554" spans="1:7" ht="15.75" customHeight="1">
      <c r="A554" s="121" t="s">
        <v>17</v>
      </c>
      <c r="B554" s="121" t="s">
        <v>4564</v>
      </c>
      <c r="C554" s="43">
        <v>752387</v>
      </c>
      <c r="D554" s="1" t="s">
        <v>83</v>
      </c>
      <c r="E554" s="45" t="s">
        <v>4575</v>
      </c>
      <c r="F554" s="121"/>
      <c r="G554" s="202"/>
    </row>
    <row r="555" spans="1:7" ht="15.75" customHeight="1">
      <c r="A555" s="121" t="s">
        <v>17</v>
      </c>
      <c r="B555" s="121" t="s">
        <v>4564</v>
      </c>
      <c r="C555" s="43">
        <v>398442</v>
      </c>
      <c r="D555" s="1" t="s">
        <v>80</v>
      </c>
      <c r="E555" s="45" t="s">
        <v>4576</v>
      </c>
      <c r="F555" s="121"/>
      <c r="G555" s="202"/>
    </row>
    <row r="556" spans="1:7" ht="15.75" customHeight="1">
      <c r="A556" s="121" t="s">
        <v>17</v>
      </c>
      <c r="B556" s="121" t="s">
        <v>4564</v>
      </c>
      <c r="C556" s="43">
        <v>2391134</v>
      </c>
      <c r="D556" s="1" t="s">
        <v>71</v>
      </c>
      <c r="E556" s="45" t="s">
        <v>4577</v>
      </c>
      <c r="F556" s="121"/>
      <c r="G556" s="202"/>
    </row>
    <row r="557" spans="1:7" ht="15.75" customHeight="1">
      <c r="A557" s="121" t="s">
        <v>17</v>
      </c>
      <c r="B557" s="121" t="s">
        <v>4564</v>
      </c>
      <c r="C557" s="43">
        <v>650569</v>
      </c>
      <c r="D557" s="1" t="s">
        <v>71</v>
      </c>
      <c r="E557" s="45" t="s">
        <v>4450</v>
      </c>
      <c r="F557" s="121"/>
      <c r="G557" s="202"/>
    </row>
    <row r="558" spans="1:7" ht="15.75" customHeight="1">
      <c r="A558" s="121" t="s">
        <v>17</v>
      </c>
      <c r="B558" s="121" t="s">
        <v>4564</v>
      </c>
      <c r="C558" s="43">
        <v>569187</v>
      </c>
      <c r="D558" s="1" t="s">
        <v>80</v>
      </c>
      <c r="E558" s="45" t="s">
        <v>4578</v>
      </c>
      <c r="F558" s="121"/>
      <c r="G558" s="202"/>
    </row>
    <row r="559" spans="1:7" ht="15.75" customHeight="1">
      <c r="A559" s="121" t="s">
        <v>17</v>
      </c>
      <c r="B559" s="121" t="s">
        <v>4564</v>
      </c>
      <c r="C559" s="43">
        <v>561008</v>
      </c>
      <c r="D559" s="1" t="s">
        <v>83</v>
      </c>
      <c r="E559" s="45" t="s">
        <v>4579</v>
      </c>
      <c r="F559" s="121"/>
      <c r="G559" s="202"/>
    </row>
    <row r="560" spans="1:7" ht="15.75" customHeight="1">
      <c r="A560" s="121" t="s">
        <v>17</v>
      </c>
      <c r="B560" s="121" t="s">
        <v>4564</v>
      </c>
      <c r="C560" s="43">
        <v>2916802</v>
      </c>
      <c r="D560" s="1" t="s">
        <v>101</v>
      </c>
      <c r="E560" s="45" t="s">
        <v>4580</v>
      </c>
      <c r="F560" s="121"/>
      <c r="G560" s="202"/>
    </row>
    <row r="561" spans="1:7" ht="15.75" customHeight="1">
      <c r="A561" s="121" t="s">
        <v>17</v>
      </c>
      <c r="B561" s="121" t="s">
        <v>4564</v>
      </c>
      <c r="C561" s="43">
        <v>792294</v>
      </c>
      <c r="D561" s="1" t="s">
        <v>101</v>
      </c>
      <c r="E561" s="49" t="s">
        <v>4581</v>
      </c>
      <c r="F561" s="121"/>
      <c r="G561" s="203"/>
    </row>
    <row r="562" spans="1:7" ht="15.75" customHeight="1">
      <c r="A562" s="121" t="s">
        <v>17</v>
      </c>
      <c r="B562" s="121" t="s">
        <v>4564</v>
      </c>
      <c r="C562" s="43">
        <v>472535</v>
      </c>
      <c r="D562" s="1" t="s">
        <v>101</v>
      </c>
      <c r="E562" s="45" t="s">
        <v>4582</v>
      </c>
      <c r="F562" s="121"/>
      <c r="G562" s="203"/>
    </row>
    <row r="563" spans="1:7" ht="15.75" customHeight="1">
      <c r="A563" s="121" t="s">
        <v>17</v>
      </c>
      <c r="B563" s="121" t="s">
        <v>4564</v>
      </c>
      <c r="C563" s="43">
        <v>792293</v>
      </c>
      <c r="D563" s="1" t="s">
        <v>101</v>
      </c>
      <c r="E563" s="45" t="s">
        <v>4583</v>
      </c>
      <c r="F563" s="121"/>
      <c r="G563" s="203"/>
    </row>
    <row r="564" spans="1:7" ht="15.75" customHeight="1">
      <c r="A564" s="121" t="s">
        <v>17</v>
      </c>
      <c r="B564" s="121" t="s">
        <v>4564</v>
      </c>
      <c r="C564" s="43">
        <v>2801238</v>
      </c>
      <c r="D564" s="1" t="s">
        <v>101</v>
      </c>
      <c r="E564" s="45" t="s">
        <v>4584</v>
      </c>
      <c r="F564" s="121"/>
      <c r="G564" s="203"/>
    </row>
    <row r="565" spans="1:7" ht="15.75" customHeight="1">
      <c r="A565" s="121" t="s">
        <v>17</v>
      </c>
      <c r="B565" s="121" t="s">
        <v>4564</v>
      </c>
      <c r="C565" s="43">
        <v>553205</v>
      </c>
      <c r="D565" s="1" t="s">
        <v>80</v>
      </c>
      <c r="E565" s="45" t="s">
        <v>4191</v>
      </c>
      <c r="F565" s="121"/>
      <c r="G565" s="203"/>
    </row>
    <row r="566" spans="1:7" ht="15.75" customHeight="1">
      <c r="A566" s="121" t="s">
        <v>17</v>
      </c>
      <c r="B566" s="121" t="s">
        <v>4564</v>
      </c>
      <c r="C566" s="43">
        <v>665162</v>
      </c>
      <c r="D566" s="1" t="s">
        <v>83</v>
      </c>
      <c r="E566" s="45" t="s">
        <v>4585</v>
      </c>
      <c r="F566" s="121"/>
      <c r="G566" s="203"/>
    </row>
    <row r="567" spans="1:7" ht="15.75" customHeight="1">
      <c r="A567" s="121" t="s">
        <v>17</v>
      </c>
      <c r="B567" s="121" t="s">
        <v>4564</v>
      </c>
      <c r="C567" s="43">
        <v>2889350</v>
      </c>
      <c r="D567" s="1" t="s">
        <v>80</v>
      </c>
      <c r="E567" s="45" t="s">
        <v>4586</v>
      </c>
      <c r="F567" s="121"/>
      <c r="G567" s="203"/>
    </row>
    <row r="568" spans="1:7" ht="15.75" customHeight="1">
      <c r="A568" s="121" t="s">
        <v>17</v>
      </c>
      <c r="B568" s="121" t="s">
        <v>4564</v>
      </c>
      <c r="C568" s="43">
        <v>2842012</v>
      </c>
      <c r="D568" s="1" t="s">
        <v>71</v>
      </c>
      <c r="E568" s="157" t="s">
        <v>4587</v>
      </c>
      <c r="F568" s="121"/>
      <c r="G568" s="203"/>
    </row>
    <row r="569" spans="1:7" ht="15.75" customHeight="1">
      <c r="A569" s="121" t="s">
        <v>17</v>
      </c>
      <c r="B569" s="121" t="s">
        <v>4564</v>
      </c>
      <c r="C569" s="43">
        <v>5025529</v>
      </c>
      <c r="D569" s="1" t="s">
        <v>90</v>
      </c>
      <c r="E569" s="45" t="s">
        <v>4588</v>
      </c>
      <c r="F569" s="121"/>
      <c r="G569" s="203"/>
    </row>
    <row r="570" spans="1:7" ht="15.75" customHeight="1">
      <c r="A570" s="121" t="s">
        <v>17</v>
      </c>
      <c r="B570" s="121" t="s">
        <v>4564</v>
      </c>
      <c r="C570" s="43">
        <v>724552</v>
      </c>
      <c r="D570" s="1" t="s">
        <v>80</v>
      </c>
      <c r="E570" s="49" t="s">
        <v>4589</v>
      </c>
      <c r="F570" s="121"/>
      <c r="G570" s="203"/>
    </row>
    <row r="571" spans="1:7" ht="15.75" customHeight="1">
      <c r="A571" s="121" t="s">
        <v>17</v>
      </c>
      <c r="B571" s="121" t="s">
        <v>4564</v>
      </c>
      <c r="C571" s="43">
        <v>2810564</v>
      </c>
      <c r="D571" s="1" t="s">
        <v>71</v>
      </c>
      <c r="E571" s="49" t="s">
        <v>4590</v>
      </c>
      <c r="F571" s="121"/>
      <c r="G571" s="203"/>
    </row>
    <row r="572" spans="1:7" ht="15.75" customHeight="1">
      <c r="A572" s="121" t="s">
        <v>17</v>
      </c>
      <c r="B572" s="121" t="s">
        <v>4564</v>
      </c>
      <c r="C572" s="43">
        <v>2841347</v>
      </c>
      <c r="D572" s="1" t="s">
        <v>71</v>
      </c>
      <c r="E572" s="45" t="s">
        <v>4591</v>
      </c>
      <c r="F572" s="121"/>
      <c r="G572" s="203"/>
    </row>
    <row r="573" spans="1:7" ht="15.75" customHeight="1">
      <c r="A573" s="121" t="s">
        <v>17</v>
      </c>
      <c r="B573" s="121" t="s">
        <v>4564</v>
      </c>
      <c r="C573" s="43">
        <v>800563</v>
      </c>
      <c r="D573" s="1" t="s">
        <v>71</v>
      </c>
      <c r="E573" s="45" t="s">
        <v>4592</v>
      </c>
      <c r="F573" s="121"/>
      <c r="G573" s="203"/>
    </row>
    <row r="574" spans="1:7" ht="15.75" customHeight="1">
      <c r="A574" s="121" t="s">
        <v>17</v>
      </c>
      <c r="B574" s="121" t="s">
        <v>4564</v>
      </c>
      <c r="C574" s="43">
        <v>789556</v>
      </c>
      <c r="D574" s="1" t="s">
        <v>71</v>
      </c>
      <c r="E574" s="45" t="s">
        <v>4593</v>
      </c>
      <c r="F574" s="121"/>
      <c r="G574" s="203"/>
    </row>
    <row r="575" spans="1:7" ht="15.75" customHeight="1">
      <c r="A575" s="121" t="s">
        <v>17</v>
      </c>
      <c r="B575" s="121" t="s">
        <v>4564</v>
      </c>
      <c r="C575" s="43">
        <v>2920036</v>
      </c>
      <c r="D575" s="1" t="s">
        <v>71</v>
      </c>
      <c r="E575" s="45" t="s">
        <v>4594</v>
      </c>
      <c r="F575" s="121"/>
      <c r="G575" s="203"/>
    </row>
    <row r="576" spans="1:7" ht="15.75" customHeight="1">
      <c r="A576" s="121" t="s">
        <v>17</v>
      </c>
      <c r="B576" s="121" t="s">
        <v>4564</v>
      </c>
      <c r="C576" s="43">
        <v>2841348</v>
      </c>
      <c r="D576" s="1" t="s">
        <v>71</v>
      </c>
      <c r="E576" s="157" t="s">
        <v>4595</v>
      </c>
      <c r="F576" s="121"/>
      <c r="G576" s="203"/>
    </row>
    <row r="577" spans="1:7" ht="15.75" customHeight="1">
      <c r="A577" s="121" t="s">
        <v>17</v>
      </c>
      <c r="B577" s="121" t="s">
        <v>4564</v>
      </c>
      <c r="C577" s="43">
        <v>2811607</v>
      </c>
      <c r="D577" s="1" t="s">
        <v>71</v>
      </c>
      <c r="E577" s="45" t="s">
        <v>4596</v>
      </c>
      <c r="F577" s="121"/>
      <c r="G577" s="203"/>
    </row>
    <row r="578" spans="1:7" ht="15.75" customHeight="1">
      <c r="A578" s="121" t="s">
        <v>17</v>
      </c>
      <c r="B578" s="121" t="s">
        <v>4564</v>
      </c>
      <c r="C578" s="43">
        <v>423979</v>
      </c>
      <c r="D578" s="1" t="s">
        <v>80</v>
      </c>
      <c r="E578" s="45" t="s">
        <v>4597</v>
      </c>
      <c r="F578" s="121"/>
      <c r="G578" s="203"/>
    </row>
    <row r="579" spans="1:7" ht="15.75" customHeight="1">
      <c r="A579" s="121" t="s">
        <v>17</v>
      </c>
      <c r="B579" s="121" t="s">
        <v>4564</v>
      </c>
      <c r="C579" s="43">
        <v>600067</v>
      </c>
      <c r="D579" s="1" t="s">
        <v>71</v>
      </c>
      <c r="E579" s="45" t="s">
        <v>4598</v>
      </c>
      <c r="F579" s="121"/>
      <c r="G579" s="203"/>
    </row>
    <row r="580" spans="1:7" ht="15.75" customHeight="1">
      <c r="A580" s="121" t="s">
        <v>17</v>
      </c>
      <c r="B580" s="121" t="s">
        <v>4564</v>
      </c>
      <c r="C580" s="43">
        <v>399664</v>
      </c>
      <c r="D580" s="1" t="s">
        <v>80</v>
      </c>
      <c r="E580" s="45" t="s">
        <v>4599</v>
      </c>
      <c r="F580" s="121"/>
      <c r="G580" s="203"/>
    </row>
    <row r="581" spans="1:7" ht="15.75" customHeight="1">
      <c r="A581" s="121" t="s">
        <v>17</v>
      </c>
      <c r="B581" s="121" t="s">
        <v>4564</v>
      </c>
      <c r="C581" s="43">
        <v>3156478</v>
      </c>
      <c r="D581" s="1" t="s">
        <v>71</v>
      </c>
      <c r="E581" s="49" t="s">
        <v>4317</v>
      </c>
      <c r="F581" s="121"/>
      <c r="G581" s="203"/>
    </row>
    <row r="582" spans="1:7" ht="15.75" customHeight="1">
      <c r="A582" s="121" t="s">
        <v>18</v>
      </c>
      <c r="B582" s="121" t="s">
        <v>4600</v>
      </c>
      <c r="C582" s="130" t="s">
        <v>68</v>
      </c>
      <c r="D582" s="130" t="s">
        <v>62</v>
      </c>
      <c r="E582" s="199" t="s">
        <v>69</v>
      </c>
      <c r="F582" s="130"/>
      <c r="G582" s="200" t="s">
        <v>70</v>
      </c>
    </row>
    <row r="583" spans="1:7" ht="15.75" customHeight="1">
      <c r="A583" s="121" t="s">
        <v>18</v>
      </c>
      <c r="B583" s="121" t="s">
        <v>4600</v>
      </c>
      <c r="C583" s="43">
        <v>796896</v>
      </c>
      <c r="D583" s="1" t="s">
        <v>71</v>
      </c>
      <c r="E583" s="45" t="s">
        <v>4601</v>
      </c>
      <c r="F583" s="121"/>
      <c r="G583" s="200" t="s">
        <v>4602</v>
      </c>
    </row>
    <row r="584" spans="1:7" ht="15.75" customHeight="1">
      <c r="A584" s="121" t="s">
        <v>18</v>
      </c>
      <c r="B584" s="121" t="s">
        <v>4600</v>
      </c>
      <c r="C584" s="43">
        <v>796898</v>
      </c>
      <c r="D584" s="1" t="s">
        <v>71</v>
      </c>
      <c r="E584" s="45" t="s">
        <v>4603</v>
      </c>
      <c r="F584" s="121"/>
      <c r="G584" s="200" t="s">
        <v>4604</v>
      </c>
    </row>
    <row r="585" spans="1:7" ht="15.75" customHeight="1">
      <c r="A585" s="121" t="s">
        <v>18</v>
      </c>
      <c r="B585" s="121" t="s">
        <v>4600</v>
      </c>
      <c r="C585" s="43">
        <v>796897</v>
      </c>
      <c r="D585" s="1" t="s">
        <v>71</v>
      </c>
      <c r="E585" s="45" t="s">
        <v>4605</v>
      </c>
      <c r="F585" s="121"/>
      <c r="G585" s="200" t="s">
        <v>4606</v>
      </c>
    </row>
    <row r="586" spans="1:7" ht="15.75" customHeight="1">
      <c r="A586" s="121" t="s">
        <v>18</v>
      </c>
      <c r="B586" s="121" t="s">
        <v>4600</v>
      </c>
      <c r="C586" s="43">
        <v>796899</v>
      </c>
      <c r="D586" s="1" t="s">
        <v>71</v>
      </c>
      <c r="E586" s="49" t="s">
        <v>4607</v>
      </c>
      <c r="F586" s="121"/>
      <c r="G586" s="200" t="s">
        <v>4569</v>
      </c>
    </row>
    <row r="587" spans="1:7" ht="15.75" customHeight="1">
      <c r="A587" s="121" t="s">
        <v>18</v>
      </c>
      <c r="B587" s="121" t="s">
        <v>4600</v>
      </c>
      <c r="C587" s="43">
        <v>2841056</v>
      </c>
      <c r="D587" s="1" t="s">
        <v>71</v>
      </c>
      <c r="E587" s="45" t="s">
        <v>4608</v>
      </c>
      <c r="F587" s="121"/>
      <c r="G587" s="200" t="s">
        <v>4609</v>
      </c>
    </row>
    <row r="588" spans="1:7" ht="15.75" customHeight="1">
      <c r="A588" s="121" t="s">
        <v>18</v>
      </c>
      <c r="B588" s="121" t="s">
        <v>4600</v>
      </c>
      <c r="C588" s="43">
        <v>561151</v>
      </c>
      <c r="D588" s="1" t="s">
        <v>83</v>
      </c>
      <c r="E588" s="45" t="s">
        <v>4610</v>
      </c>
      <c r="F588" s="121"/>
      <c r="G588" s="202"/>
    </row>
    <row r="589" spans="1:7" ht="15.75" customHeight="1">
      <c r="A589" s="121" t="s">
        <v>18</v>
      </c>
      <c r="B589" s="121" t="s">
        <v>4600</v>
      </c>
      <c r="C589" s="43">
        <v>561107</v>
      </c>
      <c r="D589" s="1" t="s">
        <v>83</v>
      </c>
      <c r="E589" s="45" t="s">
        <v>4611</v>
      </c>
      <c r="F589" s="121"/>
      <c r="G589" s="202"/>
    </row>
    <row r="590" spans="1:7" ht="15.75" customHeight="1">
      <c r="A590" s="121" t="s">
        <v>18</v>
      </c>
      <c r="B590" s="121" t="s">
        <v>4600</v>
      </c>
      <c r="C590" s="43">
        <v>561011</v>
      </c>
      <c r="D590" s="1" t="s">
        <v>83</v>
      </c>
      <c r="E590" s="45" t="s">
        <v>4612</v>
      </c>
      <c r="F590" s="121"/>
      <c r="G590" s="202"/>
    </row>
    <row r="591" spans="1:7" ht="15.75" customHeight="1">
      <c r="A591" s="121" t="s">
        <v>18</v>
      </c>
      <c r="B591" s="121" t="s">
        <v>4600</v>
      </c>
      <c r="C591" s="43">
        <v>2822212</v>
      </c>
      <c r="D591" s="1" t="s">
        <v>71</v>
      </c>
      <c r="E591" s="45" t="s">
        <v>4613</v>
      </c>
      <c r="F591" s="121"/>
      <c r="G591" s="202"/>
    </row>
    <row r="592" spans="1:7" ht="15.75" customHeight="1">
      <c r="A592" s="121" t="s">
        <v>18</v>
      </c>
      <c r="B592" s="121" t="s">
        <v>4600</v>
      </c>
      <c r="C592" s="43">
        <v>510525</v>
      </c>
      <c r="D592" s="1" t="s">
        <v>83</v>
      </c>
      <c r="E592" s="45" t="s">
        <v>4614</v>
      </c>
      <c r="F592" s="121"/>
      <c r="G592" s="202"/>
    </row>
    <row r="593" spans="1:7" ht="15.75" customHeight="1">
      <c r="A593" s="121" t="s">
        <v>18</v>
      </c>
      <c r="B593" s="121" t="s">
        <v>4600</v>
      </c>
      <c r="C593" s="43">
        <v>653569</v>
      </c>
      <c r="D593" s="1" t="s">
        <v>71</v>
      </c>
      <c r="E593" s="45" t="s">
        <v>4615</v>
      </c>
      <c r="F593" s="121"/>
      <c r="G593" s="202"/>
    </row>
    <row r="594" spans="1:7" ht="15.75" customHeight="1">
      <c r="A594" s="121" t="s">
        <v>18</v>
      </c>
      <c r="B594" s="121" t="s">
        <v>4600</v>
      </c>
      <c r="C594" s="43">
        <v>2822650</v>
      </c>
      <c r="D594" s="1" t="s">
        <v>71</v>
      </c>
      <c r="E594" s="45" t="s">
        <v>4616</v>
      </c>
      <c r="F594" s="121"/>
      <c r="G594" s="202"/>
    </row>
    <row r="595" spans="1:7" ht="15.75" customHeight="1">
      <c r="A595" s="121" t="s">
        <v>18</v>
      </c>
      <c r="B595" s="121" t="s">
        <v>4600</v>
      </c>
      <c r="C595" s="43">
        <v>2996324</v>
      </c>
      <c r="D595" s="1" t="s">
        <v>71</v>
      </c>
      <c r="E595" s="45" t="s">
        <v>4552</v>
      </c>
      <c r="F595" s="121"/>
      <c r="G595" s="202"/>
    </row>
    <row r="596" spans="1:7" ht="15.75" customHeight="1">
      <c r="A596" s="121" t="s">
        <v>18</v>
      </c>
      <c r="B596" s="121" t="s">
        <v>4600</v>
      </c>
      <c r="C596" s="43">
        <v>666959</v>
      </c>
      <c r="D596" s="1" t="s">
        <v>71</v>
      </c>
      <c r="E596" s="45" t="s">
        <v>4617</v>
      </c>
      <c r="F596" s="121"/>
      <c r="G596" s="202"/>
    </row>
    <row r="597" spans="1:7" ht="15.75" customHeight="1">
      <c r="A597" s="121" t="s">
        <v>18</v>
      </c>
      <c r="B597" s="121" t="s">
        <v>4600</v>
      </c>
      <c r="C597" s="43">
        <v>605126</v>
      </c>
      <c r="D597" s="1" t="s">
        <v>71</v>
      </c>
      <c r="E597" s="45" t="s">
        <v>4618</v>
      </c>
      <c r="F597" s="121"/>
      <c r="G597" s="202"/>
    </row>
    <row r="598" spans="1:7" ht="15.75" customHeight="1">
      <c r="A598" s="121" t="s">
        <v>18</v>
      </c>
      <c r="B598" s="121" t="s">
        <v>4600</v>
      </c>
      <c r="C598" s="43">
        <v>738772</v>
      </c>
      <c r="D598" s="1" t="s">
        <v>83</v>
      </c>
      <c r="E598" s="45" t="s">
        <v>4619</v>
      </c>
      <c r="F598" s="121"/>
      <c r="G598" s="202"/>
    </row>
    <row r="599" spans="1:7" ht="15.75" customHeight="1">
      <c r="A599" s="121" t="s">
        <v>18</v>
      </c>
      <c r="B599" s="121" t="s">
        <v>4600</v>
      </c>
      <c r="C599" s="43">
        <v>439127</v>
      </c>
      <c r="D599" s="1" t="s">
        <v>101</v>
      </c>
      <c r="E599" s="45" t="s">
        <v>4620</v>
      </c>
      <c r="F599" s="121"/>
      <c r="G599" s="202"/>
    </row>
    <row r="600" spans="1:7" ht="15.75" customHeight="1">
      <c r="A600" s="121" t="s">
        <v>18</v>
      </c>
      <c r="B600" s="121" t="s">
        <v>4600</v>
      </c>
      <c r="C600" s="43">
        <v>568505</v>
      </c>
      <c r="D600" s="1" t="s">
        <v>80</v>
      </c>
      <c r="E600" s="45" t="s">
        <v>4292</v>
      </c>
      <c r="F600" s="121"/>
      <c r="G600" s="202"/>
    </row>
    <row r="601" spans="1:7" ht="15.75" customHeight="1">
      <c r="A601" s="121" t="s">
        <v>18</v>
      </c>
      <c r="B601" s="121" t="s">
        <v>4600</v>
      </c>
      <c r="C601" s="43">
        <v>717884</v>
      </c>
      <c r="D601" s="1" t="s">
        <v>71</v>
      </c>
      <c r="E601" s="45" t="s">
        <v>4529</v>
      </c>
      <c r="F601" s="121"/>
      <c r="G601" s="202"/>
    </row>
    <row r="602" spans="1:7" ht="15.75" customHeight="1">
      <c r="A602" s="121" t="s">
        <v>18</v>
      </c>
      <c r="B602" s="121" t="s">
        <v>4600</v>
      </c>
      <c r="C602" s="43">
        <v>600487</v>
      </c>
      <c r="D602" s="1" t="s">
        <v>71</v>
      </c>
      <c r="E602" s="45" t="s">
        <v>4621</v>
      </c>
      <c r="F602" s="121"/>
      <c r="G602" s="202"/>
    </row>
    <row r="603" spans="1:7" ht="15.75" customHeight="1">
      <c r="A603" s="121" t="s">
        <v>18</v>
      </c>
      <c r="B603" s="121" t="s">
        <v>4600</v>
      </c>
      <c r="C603" s="43">
        <v>605127</v>
      </c>
      <c r="D603" s="1" t="s">
        <v>101</v>
      </c>
      <c r="E603" s="45" t="s">
        <v>4622</v>
      </c>
      <c r="F603" s="121"/>
      <c r="G603" s="202"/>
    </row>
    <row r="604" spans="1:7" ht="15.75" customHeight="1">
      <c r="A604" s="121" t="s">
        <v>18</v>
      </c>
      <c r="B604" s="121" t="s">
        <v>4600</v>
      </c>
      <c r="C604" s="43">
        <v>575890</v>
      </c>
      <c r="D604" s="1" t="s">
        <v>83</v>
      </c>
      <c r="E604" s="45" t="s">
        <v>4623</v>
      </c>
      <c r="F604" s="121"/>
      <c r="G604" s="202"/>
    </row>
    <row r="605" spans="1:7" ht="15.75" customHeight="1">
      <c r="A605" s="121" t="s">
        <v>18</v>
      </c>
      <c r="B605" s="121" t="s">
        <v>4600</v>
      </c>
      <c r="C605" s="43">
        <v>600488</v>
      </c>
      <c r="D605" s="1" t="s">
        <v>71</v>
      </c>
      <c r="E605" s="45" t="s">
        <v>4624</v>
      </c>
      <c r="F605" s="121"/>
      <c r="G605" s="202"/>
    </row>
    <row r="606" spans="1:7" ht="15.75" customHeight="1">
      <c r="A606" s="121" t="s">
        <v>18</v>
      </c>
      <c r="B606" s="121" t="s">
        <v>4600</v>
      </c>
      <c r="C606" s="43">
        <v>568309</v>
      </c>
      <c r="D606" s="1" t="s">
        <v>83</v>
      </c>
      <c r="E606" s="45" t="s">
        <v>4625</v>
      </c>
      <c r="F606" s="121"/>
      <c r="G606" s="202"/>
    </row>
    <row r="607" spans="1:7" ht="15.75" customHeight="1">
      <c r="A607" s="121" t="s">
        <v>18</v>
      </c>
      <c r="B607" s="121" t="s">
        <v>4600</v>
      </c>
      <c r="C607" s="43">
        <v>568983</v>
      </c>
      <c r="D607" s="1" t="s">
        <v>83</v>
      </c>
      <c r="E607" s="45" t="s">
        <v>4263</v>
      </c>
      <c r="F607" s="121"/>
      <c r="G607" s="202"/>
    </row>
    <row r="608" spans="1:7" ht="15.75" customHeight="1">
      <c r="A608" s="121" t="s">
        <v>18</v>
      </c>
      <c r="B608" s="121" t="s">
        <v>4600</v>
      </c>
      <c r="C608" s="43">
        <v>480123</v>
      </c>
      <c r="D608" s="1" t="s">
        <v>83</v>
      </c>
      <c r="E608" s="45" t="s">
        <v>4626</v>
      </c>
      <c r="F608" s="121"/>
      <c r="G608" s="202"/>
    </row>
    <row r="609" spans="1:7" ht="15.75" customHeight="1">
      <c r="A609" s="121" t="s">
        <v>18</v>
      </c>
      <c r="B609" s="121" t="s">
        <v>4600</v>
      </c>
      <c r="C609" s="43">
        <v>575892</v>
      </c>
      <c r="D609" s="1" t="s">
        <v>83</v>
      </c>
      <c r="E609" s="45" t="s">
        <v>4627</v>
      </c>
      <c r="F609" s="121"/>
      <c r="G609" s="202"/>
    </row>
    <row r="610" spans="1:7" ht="15.75" customHeight="1">
      <c r="A610" s="121" t="s">
        <v>18</v>
      </c>
      <c r="B610" s="121" t="s">
        <v>4600</v>
      </c>
      <c r="C610" s="43">
        <v>593895</v>
      </c>
      <c r="D610" s="1" t="s">
        <v>83</v>
      </c>
      <c r="E610" s="45" t="s">
        <v>4628</v>
      </c>
      <c r="F610" s="121"/>
      <c r="G610" s="202"/>
    </row>
    <row r="611" spans="1:7" ht="15.75" customHeight="1">
      <c r="A611" s="121" t="s">
        <v>18</v>
      </c>
      <c r="B611" s="121" t="s">
        <v>4600</v>
      </c>
      <c r="C611" s="43">
        <v>575894</v>
      </c>
      <c r="D611" s="1" t="s">
        <v>71</v>
      </c>
      <c r="E611" s="45" t="s">
        <v>4629</v>
      </c>
      <c r="F611" s="121"/>
      <c r="G611" s="202"/>
    </row>
    <row r="612" spans="1:7" ht="15.75" customHeight="1">
      <c r="A612" s="121" t="s">
        <v>18</v>
      </c>
      <c r="B612" s="121" t="s">
        <v>4600</v>
      </c>
      <c r="C612" s="43">
        <v>3103095</v>
      </c>
      <c r="D612" s="1" t="s">
        <v>83</v>
      </c>
      <c r="E612" s="45" t="s">
        <v>4630</v>
      </c>
      <c r="F612" s="121"/>
      <c r="G612" s="202"/>
    </row>
    <row r="613" spans="1:7" ht="15.75" customHeight="1">
      <c r="A613" s="121" t="s">
        <v>18</v>
      </c>
      <c r="B613" s="121" t="s">
        <v>4600</v>
      </c>
      <c r="C613" s="43">
        <v>2830004</v>
      </c>
      <c r="D613" s="1" t="s">
        <v>83</v>
      </c>
      <c r="E613" s="45" t="s">
        <v>4631</v>
      </c>
      <c r="F613" s="121"/>
      <c r="G613" s="202"/>
    </row>
    <row r="614" spans="1:7" ht="15.75" customHeight="1">
      <c r="A614" s="121" t="s">
        <v>18</v>
      </c>
      <c r="B614" s="121" t="s">
        <v>4600</v>
      </c>
      <c r="C614" s="43">
        <v>2952160</v>
      </c>
      <c r="D614" s="1" t="s">
        <v>71</v>
      </c>
      <c r="E614" s="49" t="s">
        <v>4632</v>
      </c>
      <c r="F614" s="121"/>
      <c r="G614" s="202"/>
    </row>
    <row r="615" spans="1:7" ht="15.75" customHeight="1">
      <c r="A615" s="121" t="s">
        <v>18</v>
      </c>
      <c r="B615" s="121" t="s">
        <v>4600</v>
      </c>
      <c r="C615" s="43">
        <v>2810262</v>
      </c>
      <c r="D615" s="1" t="s">
        <v>71</v>
      </c>
      <c r="E615" s="45" t="s">
        <v>4633</v>
      </c>
      <c r="F615" s="121"/>
      <c r="G615" s="202"/>
    </row>
    <row r="616" spans="1:7" ht="15.75" customHeight="1">
      <c r="A616" s="121" t="s">
        <v>18</v>
      </c>
      <c r="B616" s="121" t="s">
        <v>4600</v>
      </c>
      <c r="C616" s="43">
        <v>796904</v>
      </c>
      <c r="D616" s="1" t="s">
        <v>80</v>
      </c>
      <c r="E616" s="45" t="s">
        <v>4634</v>
      </c>
      <c r="F616" s="121"/>
      <c r="G616" s="202"/>
    </row>
    <row r="617" spans="1:7" ht="15.75" customHeight="1">
      <c r="A617" s="121" t="s">
        <v>18</v>
      </c>
      <c r="B617" s="121" t="s">
        <v>4600</v>
      </c>
      <c r="C617" s="43">
        <v>800574</v>
      </c>
      <c r="D617" s="1" t="s">
        <v>71</v>
      </c>
      <c r="E617" s="45" t="s">
        <v>4194</v>
      </c>
      <c r="F617" s="121"/>
      <c r="G617" s="202"/>
    </row>
    <row r="618" spans="1:7" ht="15.75" customHeight="1">
      <c r="A618" s="204" t="s">
        <v>19</v>
      </c>
      <c r="B618" s="121" t="s">
        <v>4635</v>
      </c>
      <c r="C618" s="130" t="s">
        <v>68</v>
      </c>
      <c r="D618" s="130" t="s">
        <v>62</v>
      </c>
      <c r="E618" s="199" t="s">
        <v>69</v>
      </c>
      <c r="F618" s="130"/>
      <c r="G618" s="200" t="s">
        <v>70</v>
      </c>
    </row>
    <row r="619" spans="1:7" ht="15.75" customHeight="1">
      <c r="A619" s="204" t="s">
        <v>19</v>
      </c>
      <c r="B619" s="121" t="s">
        <v>4635</v>
      </c>
      <c r="C619" s="43">
        <v>2456030</v>
      </c>
      <c r="D619" s="1" t="s">
        <v>71</v>
      </c>
      <c r="E619" s="49" t="s">
        <v>4636</v>
      </c>
      <c r="F619" s="121"/>
      <c r="G619" s="200" t="s">
        <v>4637</v>
      </c>
    </row>
    <row r="620" spans="1:7" ht="15.75" customHeight="1">
      <c r="A620" s="204" t="s">
        <v>19</v>
      </c>
      <c r="B620" s="121" t="s">
        <v>4635</v>
      </c>
      <c r="C620" s="43">
        <v>2822360</v>
      </c>
      <c r="D620" s="1" t="s">
        <v>83</v>
      </c>
      <c r="E620" s="49" t="s">
        <v>4414</v>
      </c>
      <c r="F620" s="121"/>
      <c r="G620" s="200" t="s">
        <v>4638</v>
      </c>
    </row>
    <row r="621" spans="1:7" ht="15.75" customHeight="1">
      <c r="A621" s="204" t="s">
        <v>19</v>
      </c>
      <c r="B621" s="121" t="s">
        <v>4635</v>
      </c>
      <c r="C621" s="43">
        <v>2825465</v>
      </c>
      <c r="D621" s="1" t="s">
        <v>80</v>
      </c>
      <c r="E621" s="45" t="s">
        <v>4303</v>
      </c>
      <c r="F621" s="121"/>
      <c r="G621" s="200" t="s">
        <v>4415</v>
      </c>
    </row>
    <row r="622" spans="1:7" ht="15.75" customHeight="1">
      <c r="A622" s="204" t="s">
        <v>19</v>
      </c>
      <c r="B622" s="121" t="s">
        <v>4635</v>
      </c>
      <c r="C622" s="43">
        <v>707942</v>
      </c>
      <c r="D622" s="1" t="s">
        <v>83</v>
      </c>
      <c r="E622" s="45" t="s">
        <v>4639</v>
      </c>
      <c r="F622" s="121"/>
      <c r="G622" s="202"/>
    </row>
    <row r="623" spans="1:7" ht="15.75" customHeight="1">
      <c r="A623" s="204" t="s">
        <v>19</v>
      </c>
      <c r="B623" s="121" t="s">
        <v>4635</v>
      </c>
      <c r="C623" s="43">
        <v>3166463</v>
      </c>
      <c r="D623" s="1" t="s">
        <v>80</v>
      </c>
      <c r="E623" s="49" t="s">
        <v>4306</v>
      </c>
      <c r="F623" s="121"/>
      <c r="G623" s="202"/>
    </row>
    <row r="624" spans="1:7" ht="15.75" customHeight="1">
      <c r="A624" s="204" t="s">
        <v>19</v>
      </c>
      <c r="B624" s="121" t="s">
        <v>4635</v>
      </c>
      <c r="C624" s="43">
        <v>707938</v>
      </c>
      <c r="D624" s="1" t="s">
        <v>71</v>
      </c>
      <c r="E624" s="49" t="s">
        <v>4640</v>
      </c>
      <c r="F624" s="121"/>
      <c r="G624" s="202"/>
    </row>
    <row r="625" spans="1:7" ht="15.75" customHeight="1">
      <c r="A625" s="204" t="s">
        <v>19</v>
      </c>
      <c r="B625" s="121" t="s">
        <v>4635</v>
      </c>
      <c r="C625" s="43">
        <v>582963</v>
      </c>
      <c r="D625" s="1" t="s">
        <v>71</v>
      </c>
      <c r="E625" s="45" t="s">
        <v>4641</v>
      </c>
      <c r="F625" s="121"/>
      <c r="G625" s="202"/>
    </row>
    <row r="626" spans="1:7" ht="15.75" customHeight="1">
      <c r="A626" s="204" t="s">
        <v>19</v>
      </c>
      <c r="B626" s="121" t="s">
        <v>4635</v>
      </c>
      <c r="C626" s="43">
        <v>398442</v>
      </c>
      <c r="D626" s="1" t="s">
        <v>80</v>
      </c>
      <c r="E626" s="45" t="s">
        <v>4576</v>
      </c>
      <c r="F626" s="121"/>
      <c r="G626" s="202"/>
    </row>
    <row r="627" spans="1:7" ht="15.75" customHeight="1">
      <c r="A627" s="204" t="s">
        <v>19</v>
      </c>
      <c r="B627" s="121" t="s">
        <v>4635</v>
      </c>
      <c r="C627" s="43">
        <v>2838113</v>
      </c>
      <c r="D627" s="1" t="s">
        <v>71</v>
      </c>
      <c r="E627" s="45" t="s">
        <v>4418</v>
      </c>
      <c r="F627" s="121"/>
      <c r="G627" s="202"/>
    </row>
    <row r="628" spans="1:7" ht="15.75" customHeight="1">
      <c r="A628" s="204" t="s">
        <v>19</v>
      </c>
      <c r="B628" s="121" t="s">
        <v>4635</v>
      </c>
      <c r="C628" s="43">
        <v>778428</v>
      </c>
      <c r="D628" s="1" t="s">
        <v>71</v>
      </c>
      <c r="E628" s="49" t="s">
        <v>4642</v>
      </c>
      <c r="F628" s="121"/>
      <c r="G628" s="202"/>
    </row>
    <row r="629" spans="1:7" ht="15.75" customHeight="1">
      <c r="A629" s="204" t="s">
        <v>19</v>
      </c>
      <c r="B629" s="121" t="s">
        <v>4635</v>
      </c>
      <c r="C629" s="43">
        <v>707940</v>
      </c>
      <c r="D629" s="1" t="s">
        <v>71</v>
      </c>
      <c r="E629" s="45" t="s">
        <v>4643</v>
      </c>
      <c r="F629" s="121"/>
      <c r="G629" s="202"/>
    </row>
    <row r="630" spans="1:7" ht="15.75" customHeight="1">
      <c r="A630" s="204" t="s">
        <v>19</v>
      </c>
      <c r="B630" s="121" t="s">
        <v>4635</v>
      </c>
      <c r="C630" s="43">
        <v>561059</v>
      </c>
      <c r="D630" s="1" t="s">
        <v>80</v>
      </c>
      <c r="E630" s="45" t="s">
        <v>4308</v>
      </c>
      <c r="F630" s="121"/>
      <c r="G630" s="202"/>
    </row>
    <row r="631" spans="1:7" ht="15.75" customHeight="1">
      <c r="A631" s="204" t="s">
        <v>19</v>
      </c>
      <c r="B631" s="121" t="s">
        <v>4635</v>
      </c>
      <c r="C631" s="43">
        <v>796900</v>
      </c>
      <c r="D631" s="1" t="s">
        <v>71</v>
      </c>
      <c r="E631" s="45" t="s">
        <v>4644</v>
      </c>
      <c r="F631" s="121"/>
      <c r="G631" s="202"/>
    </row>
    <row r="632" spans="1:7" ht="15.75" customHeight="1">
      <c r="A632" s="204" t="s">
        <v>19</v>
      </c>
      <c r="B632" s="121" t="s">
        <v>4635</v>
      </c>
      <c r="C632" s="43">
        <v>533141</v>
      </c>
      <c r="D632" s="1" t="s">
        <v>71</v>
      </c>
      <c r="E632" s="45" t="s">
        <v>4645</v>
      </c>
      <c r="F632" s="121"/>
      <c r="G632" s="202"/>
    </row>
    <row r="633" spans="1:7" ht="15.75" customHeight="1">
      <c r="A633" s="204" t="s">
        <v>19</v>
      </c>
      <c r="B633" s="121" t="s">
        <v>4635</v>
      </c>
      <c r="C633" s="43">
        <v>792288</v>
      </c>
      <c r="D633" s="1" t="s">
        <v>71</v>
      </c>
      <c r="E633" s="45" t="s">
        <v>4646</v>
      </c>
      <c r="F633" s="121"/>
      <c r="G633" s="202"/>
    </row>
    <row r="634" spans="1:7" ht="15.75" customHeight="1">
      <c r="A634" s="204" t="s">
        <v>19</v>
      </c>
      <c r="B634" s="121" t="s">
        <v>4635</v>
      </c>
      <c r="C634" s="43">
        <v>2841343</v>
      </c>
      <c r="D634" s="1" t="s">
        <v>71</v>
      </c>
      <c r="E634" s="45" t="s">
        <v>4221</v>
      </c>
      <c r="F634" s="121"/>
      <c r="G634" s="202"/>
    </row>
    <row r="635" spans="1:7" ht="15.75" customHeight="1">
      <c r="A635" s="204" t="s">
        <v>19</v>
      </c>
      <c r="B635" s="121" t="s">
        <v>4635</v>
      </c>
      <c r="C635" s="43">
        <v>600068</v>
      </c>
      <c r="D635" s="1" t="s">
        <v>83</v>
      </c>
      <c r="E635" s="45" t="s">
        <v>4647</v>
      </c>
      <c r="F635" s="121"/>
      <c r="G635" s="202"/>
    </row>
    <row r="636" spans="1:7" ht="15.75" customHeight="1">
      <c r="A636" s="204" t="s">
        <v>19</v>
      </c>
      <c r="B636" s="121" t="s">
        <v>4635</v>
      </c>
      <c r="C636" s="43">
        <v>2822359</v>
      </c>
      <c r="D636" s="1" t="s">
        <v>83</v>
      </c>
      <c r="E636" s="45" t="s">
        <v>4648</v>
      </c>
      <c r="F636" s="121"/>
      <c r="G636" s="202"/>
    </row>
    <row r="637" spans="1:7" ht="15.75" customHeight="1">
      <c r="A637" s="204" t="s">
        <v>19</v>
      </c>
      <c r="B637" s="121" t="s">
        <v>4635</v>
      </c>
      <c r="C637" s="43">
        <v>793675</v>
      </c>
      <c r="D637" s="1" t="s">
        <v>83</v>
      </c>
      <c r="E637" s="45" t="s">
        <v>4649</v>
      </c>
      <c r="F637" s="121"/>
      <c r="G637" s="202"/>
    </row>
    <row r="638" spans="1:7" ht="15.75" customHeight="1">
      <c r="A638" s="204" t="s">
        <v>19</v>
      </c>
      <c r="B638" s="121" t="s">
        <v>4635</v>
      </c>
      <c r="C638" s="43">
        <v>533122</v>
      </c>
      <c r="D638" s="1" t="s">
        <v>83</v>
      </c>
      <c r="E638" s="45" t="s">
        <v>4650</v>
      </c>
      <c r="F638" s="121"/>
      <c r="G638" s="202"/>
    </row>
    <row r="639" spans="1:7" ht="15.75" customHeight="1">
      <c r="A639" s="204" t="s">
        <v>19</v>
      </c>
      <c r="B639" s="121" t="s">
        <v>4635</v>
      </c>
      <c r="C639" s="43">
        <v>2824208</v>
      </c>
      <c r="D639" s="1" t="s">
        <v>71</v>
      </c>
      <c r="E639" s="49" t="s">
        <v>4651</v>
      </c>
      <c r="F639" s="121"/>
      <c r="G639" s="202"/>
    </row>
    <row r="640" spans="1:7" ht="15.75" customHeight="1">
      <c r="A640" s="204" t="s">
        <v>19</v>
      </c>
      <c r="B640" s="121" t="s">
        <v>4635</v>
      </c>
      <c r="C640" s="43">
        <v>707941</v>
      </c>
      <c r="D640" s="1" t="s">
        <v>71</v>
      </c>
      <c r="E640" s="45" t="s">
        <v>4652</v>
      </c>
      <c r="F640" s="121"/>
      <c r="G640" s="202"/>
    </row>
    <row r="641" spans="1:7" ht="15.75" customHeight="1">
      <c r="A641" s="204" t="s">
        <v>19</v>
      </c>
      <c r="B641" s="121" t="s">
        <v>4635</v>
      </c>
      <c r="C641" s="43">
        <v>531470</v>
      </c>
      <c r="D641" s="1" t="s">
        <v>71</v>
      </c>
      <c r="E641" s="45" t="s">
        <v>4653</v>
      </c>
      <c r="F641" s="121"/>
      <c r="G641" s="202"/>
    </row>
    <row r="642" spans="1:7" ht="15.75" customHeight="1">
      <c r="A642" s="204" t="s">
        <v>19</v>
      </c>
      <c r="B642" s="121" t="s">
        <v>4635</v>
      </c>
      <c r="C642" s="43">
        <v>533783</v>
      </c>
      <c r="D642" s="1" t="s">
        <v>71</v>
      </c>
      <c r="E642" s="45" t="s">
        <v>4654</v>
      </c>
      <c r="F642" s="121"/>
      <c r="G642" s="202"/>
    </row>
    <row r="643" spans="1:7" ht="15.75" customHeight="1">
      <c r="A643" s="204" t="s">
        <v>19</v>
      </c>
      <c r="B643" s="121" t="s">
        <v>4635</v>
      </c>
      <c r="C643" s="43">
        <v>561046</v>
      </c>
      <c r="D643" s="1" t="s">
        <v>71</v>
      </c>
      <c r="E643" s="45" t="s">
        <v>4313</v>
      </c>
      <c r="F643" s="121"/>
      <c r="G643" s="202"/>
    </row>
    <row r="644" spans="1:7" ht="15.75" customHeight="1">
      <c r="A644" s="204" t="s">
        <v>19</v>
      </c>
      <c r="B644" s="121" t="s">
        <v>4635</v>
      </c>
      <c r="C644" s="43">
        <v>2841377</v>
      </c>
      <c r="D644" s="1" t="s">
        <v>71</v>
      </c>
      <c r="E644" s="45" t="s">
        <v>4425</v>
      </c>
      <c r="F644" s="121"/>
      <c r="G644" s="202"/>
    </row>
    <row r="645" spans="1:7" ht="15.75" customHeight="1">
      <c r="A645" s="204" t="s">
        <v>19</v>
      </c>
      <c r="B645" s="121" t="s">
        <v>4635</v>
      </c>
      <c r="C645" s="43">
        <v>2251374</v>
      </c>
      <c r="D645" s="1" t="s">
        <v>90</v>
      </c>
      <c r="E645" s="45" t="s">
        <v>4655</v>
      </c>
      <c r="F645" s="121"/>
      <c r="G645" s="202"/>
    </row>
    <row r="646" spans="1:7" ht="15.75" customHeight="1">
      <c r="A646" s="204" t="s">
        <v>19</v>
      </c>
      <c r="B646" s="121" t="s">
        <v>4635</v>
      </c>
      <c r="C646" s="43">
        <v>544966</v>
      </c>
      <c r="D646" s="1" t="s">
        <v>71</v>
      </c>
      <c r="E646" s="49" t="s">
        <v>4315</v>
      </c>
      <c r="F646" s="121"/>
      <c r="G646" s="202"/>
    </row>
    <row r="647" spans="1:7" ht="15.75" customHeight="1">
      <c r="A647" s="204" t="s">
        <v>19</v>
      </c>
      <c r="B647" s="121" t="s">
        <v>4635</v>
      </c>
      <c r="C647" s="43">
        <v>542520</v>
      </c>
      <c r="D647" s="1" t="s">
        <v>71</v>
      </c>
      <c r="E647" s="45" t="s">
        <v>4656</v>
      </c>
      <c r="F647" s="121"/>
      <c r="G647" s="202"/>
    </row>
    <row r="648" spans="1:7" ht="15.75" customHeight="1">
      <c r="A648" s="204" t="s">
        <v>19</v>
      </c>
      <c r="B648" s="121" t="s">
        <v>4635</v>
      </c>
      <c r="C648" s="43">
        <v>600067</v>
      </c>
      <c r="D648" s="1" t="s">
        <v>71</v>
      </c>
      <c r="E648" s="45" t="s">
        <v>4598</v>
      </c>
      <c r="F648" s="121"/>
      <c r="G648" s="202"/>
    </row>
    <row r="649" spans="1:7" ht="15.75" customHeight="1">
      <c r="A649" s="204" t="s">
        <v>19</v>
      </c>
      <c r="B649" s="121" t="s">
        <v>4635</v>
      </c>
      <c r="C649" s="43">
        <v>2921392</v>
      </c>
      <c r="D649" s="1" t="s">
        <v>71</v>
      </c>
      <c r="E649" s="49" t="s">
        <v>4318</v>
      </c>
      <c r="F649" s="121"/>
      <c r="G649" s="202"/>
    </row>
    <row r="650" spans="1:7" ht="15.75" customHeight="1">
      <c r="A650" s="204" t="s">
        <v>19</v>
      </c>
      <c r="B650" s="121" t="s">
        <v>4635</v>
      </c>
      <c r="C650" s="43">
        <v>792290</v>
      </c>
      <c r="D650" s="1" t="s">
        <v>71</v>
      </c>
      <c r="E650" s="45" t="s">
        <v>4657</v>
      </c>
      <c r="F650" s="121"/>
      <c r="G650" s="202"/>
    </row>
    <row r="651" spans="1:7" ht="15.75" customHeight="1">
      <c r="A651" s="204" t="s">
        <v>19</v>
      </c>
      <c r="B651" s="121" t="s">
        <v>4635</v>
      </c>
      <c r="C651" s="43">
        <v>2814175</v>
      </c>
      <c r="D651" s="1" t="s">
        <v>71</v>
      </c>
      <c r="E651" s="49" t="s">
        <v>4658</v>
      </c>
      <c r="F651" s="121"/>
      <c r="G651" s="202"/>
    </row>
    <row r="652" spans="1:7" ht="15.75" customHeight="1">
      <c r="A652" s="204" t="s">
        <v>19</v>
      </c>
      <c r="B652" s="121" t="s">
        <v>4635</v>
      </c>
      <c r="C652" s="43">
        <v>2988445</v>
      </c>
      <c r="D652" s="1" t="s">
        <v>71</v>
      </c>
      <c r="E652" s="45" t="s">
        <v>4659</v>
      </c>
      <c r="F652" s="121"/>
      <c r="G652" s="202"/>
    </row>
    <row r="653" spans="1:7" ht="15.75" customHeight="1">
      <c r="A653" s="204" t="s">
        <v>19</v>
      </c>
      <c r="B653" s="121" t="s">
        <v>4635</v>
      </c>
      <c r="C653" s="43">
        <v>2841047</v>
      </c>
      <c r="D653" s="1" t="s">
        <v>71</v>
      </c>
      <c r="E653" s="45" t="s">
        <v>4230</v>
      </c>
      <c r="F653" s="121"/>
      <c r="G653" s="202"/>
    </row>
    <row r="654" spans="1:7" ht="15.75" customHeight="1">
      <c r="A654" s="204" t="s">
        <v>19</v>
      </c>
      <c r="B654" s="121" t="s">
        <v>4635</v>
      </c>
      <c r="C654" s="43">
        <v>3021094</v>
      </c>
      <c r="D654" s="1" t="s">
        <v>71</v>
      </c>
      <c r="E654" s="49" t="s">
        <v>4660</v>
      </c>
      <c r="F654" s="121"/>
      <c r="G654" s="202"/>
    </row>
    <row r="655" spans="1:7" ht="15.75" customHeight="1">
      <c r="A655" s="204" t="s">
        <v>20</v>
      </c>
      <c r="B655" s="204" t="s">
        <v>4661</v>
      </c>
      <c r="C655" s="130" t="s">
        <v>68</v>
      </c>
      <c r="D655" s="130" t="s">
        <v>62</v>
      </c>
      <c r="E655" s="199" t="s">
        <v>69</v>
      </c>
      <c r="F655" s="130"/>
      <c r="G655" s="200" t="s">
        <v>70</v>
      </c>
    </row>
    <row r="656" spans="1:7" ht="15.75" customHeight="1">
      <c r="A656" s="204" t="s">
        <v>20</v>
      </c>
      <c r="B656" s="204" t="s">
        <v>4661</v>
      </c>
      <c r="C656" s="43">
        <v>724143</v>
      </c>
      <c r="D656" s="1" t="s">
        <v>71</v>
      </c>
      <c r="E656" s="45" t="s">
        <v>4662</v>
      </c>
      <c r="F656" s="121"/>
      <c r="G656" s="200" t="s">
        <v>4518</v>
      </c>
    </row>
    <row r="657" spans="1:7" ht="15.75" customHeight="1">
      <c r="A657" s="204" t="s">
        <v>20</v>
      </c>
      <c r="B657" s="204" t="s">
        <v>4661</v>
      </c>
      <c r="C657" s="43">
        <v>792281</v>
      </c>
      <c r="D657" s="1" t="s">
        <v>80</v>
      </c>
      <c r="E657" s="45" t="s">
        <v>4663</v>
      </c>
      <c r="F657" s="121"/>
      <c r="G657" s="202"/>
    </row>
    <row r="658" spans="1:7" ht="15.75" customHeight="1">
      <c r="A658" s="204" t="s">
        <v>20</v>
      </c>
      <c r="B658" s="204" t="s">
        <v>4661</v>
      </c>
      <c r="C658" s="43">
        <v>771787</v>
      </c>
      <c r="D658" s="1" t="s">
        <v>90</v>
      </c>
      <c r="E658" s="45" t="s">
        <v>4521</v>
      </c>
      <c r="F658" s="121"/>
      <c r="G658" s="202"/>
    </row>
    <row r="659" spans="1:7" ht="15.75" customHeight="1">
      <c r="A659" s="204" t="s">
        <v>20</v>
      </c>
      <c r="B659" s="204" t="s">
        <v>4661</v>
      </c>
      <c r="C659" s="43">
        <v>2834036</v>
      </c>
      <c r="D659" s="1" t="s">
        <v>80</v>
      </c>
      <c r="E659" s="45" t="s">
        <v>4174</v>
      </c>
      <c r="F659" s="121"/>
      <c r="G659" s="202"/>
    </row>
    <row r="660" spans="1:7" ht="15.75" customHeight="1">
      <c r="A660" s="204" t="s">
        <v>20</v>
      </c>
      <c r="B660" s="204" t="s">
        <v>4661</v>
      </c>
      <c r="C660" s="43">
        <v>707934</v>
      </c>
      <c r="D660" s="1" t="s">
        <v>80</v>
      </c>
      <c r="E660" s="45" t="s">
        <v>4544</v>
      </c>
      <c r="F660" s="121"/>
      <c r="G660" s="202"/>
    </row>
    <row r="661" spans="1:7" ht="15.75" customHeight="1">
      <c r="A661" s="204" t="s">
        <v>20</v>
      </c>
      <c r="B661" s="204" t="s">
        <v>4661</v>
      </c>
      <c r="C661" s="43">
        <v>769373</v>
      </c>
      <c r="D661" s="1" t="s">
        <v>71</v>
      </c>
      <c r="E661" s="45" t="s">
        <v>4664</v>
      </c>
      <c r="F661" s="121"/>
      <c r="G661" s="202"/>
    </row>
    <row r="662" spans="1:7" ht="15.75" customHeight="1">
      <c r="A662" s="204" t="s">
        <v>20</v>
      </c>
      <c r="B662" s="204" t="s">
        <v>4661</v>
      </c>
      <c r="C662" s="43">
        <v>604072</v>
      </c>
      <c r="D662" s="1" t="s">
        <v>80</v>
      </c>
      <c r="E662" s="45" t="s">
        <v>4490</v>
      </c>
      <c r="F662" s="121"/>
      <c r="G662" s="202"/>
    </row>
    <row r="663" spans="1:7" ht="15.75" customHeight="1">
      <c r="A663" s="204" t="s">
        <v>20</v>
      </c>
      <c r="B663" s="204" t="s">
        <v>4661</v>
      </c>
      <c r="C663" s="43">
        <v>778437</v>
      </c>
      <c r="D663" s="1" t="s">
        <v>90</v>
      </c>
      <c r="E663" s="45" t="s">
        <v>4511</v>
      </c>
      <c r="F663" s="121"/>
      <c r="G663" s="202"/>
    </row>
    <row r="664" spans="1:7" ht="15.75" customHeight="1">
      <c r="A664" s="204" t="s">
        <v>20</v>
      </c>
      <c r="B664" s="204" t="s">
        <v>4661</v>
      </c>
      <c r="C664" s="43">
        <v>2391136</v>
      </c>
      <c r="D664" s="1" t="s">
        <v>71</v>
      </c>
      <c r="E664" s="45" t="s">
        <v>4665</v>
      </c>
      <c r="F664" s="121"/>
      <c r="G664" s="202"/>
    </row>
    <row r="665" spans="1:7" ht="15.75" customHeight="1">
      <c r="A665" s="204" t="s">
        <v>20</v>
      </c>
      <c r="B665" s="204" t="s">
        <v>4661</v>
      </c>
      <c r="C665" s="43">
        <v>796895</v>
      </c>
      <c r="D665" s="1" t="s">
        <v>71</v>
      </c>
      <c r="E665" s="45" t="s">
        <v>4408</v>
      </c>
      <c r="F665" s="121"/>
      <c r="G665" s="202"/>
    </row>
    <row r="666" spans="1:7" ht="15.75" customHeight="1">
      <c r="A666" s="204" t="s">
        <v>20</v>
      </c>
      <c r="B666" s="204" t="s">
        <v>4661</v>
      </c>
      <c r="C666" s="43">
        <v>2890358</v>
      </c>
      <c r="D666" s="1" t="s">
        <v>71</v>
      </c>
      <c r="E666" s="45" t="s">
        <v>4666</v>
      </c>
      <c r="F666" s="121"/>
      <c r="G666" s="202"/>
    </row>
    <row r="667" spans="1:7" ht="15.75" customHeight="1">
      <c r="A667" s="204" t="s">
        <v>20</v>
      </c>
      <c r="B667" s="204" t="s">
        <v>4661</v>
      </c>
      <c r="C667" s="43">
        <v>639270</v>
      </c>
      <c r="D667" s="1" t="s">
        <v>71</v>
      </c>
      <c r="E667" s="45" t="s">
        <v>4667</v>
      </c>
      <c r="F667" s="121"/>
      <c r="G667" s="202"/>
    </row>
    <row r="668" spans="1:7" ht="15.75" customHeight="1">
      <c r="A668" s="204" t="s">
        <v>20</v>
      </c>
      <c r="B668" s="204" t="s">
        <v>4661</v>
      </c>
      <c r="C668" s="43">
        <v>699915</v>
      </c>
      <c r="D668" s="1" t="s">
        <v>90</v>
      </c>
      <c r="E668" s="49" t="s">
        <v>4512</v>
      </c>
      <c r="F668" s="121"/>
      <c r="G668" s="202"/>
    </row>
    <row r="669" spans="1:7" ht="15.75" customHeight="1">
      <c r="A669" s="204" t="s">
        <v>20</v>
      </c>
      <c r="B669" s="204" t="s">
        <v>4661</v>
      </c>
      <c r="C669" s="43">
        <v>2830004</v>
      </c>
      <c r="D669" s="1" t="s">
        <v>83</v>
      </c>
      <c r="E669" s="45" t="s">
        <v>4631</v>
      </c>
      <c r="F669" s="121"/>
      <c r="G669" s="202"/>
    </row>
    <row r="670" spans="1:7" ht="15.75" customHeight="1">
      <c r="A670" s="204" t="s">
        <v>20</v>
      </c>
      <c r="B670" s="204" t="s">
        <v>4661</v>
      </c>
      <c r="C670" s="43">
        <v>605125</v>
      </c>
      <c r="D670" s="1" t="s">
        <v>80</v>
      </c>
      <c r="E670" s="45" t="s">
        <v>4222</v>
      </c>
      <c r="F670" s="121"/>
      <c r="G670" s="202"/>
    </row>
    <row r="671" spans="1:7" ht="15.75" customHeight="1">
      <c r="A671" s="204" t="s">
        <v>20</v>
      </c>
      <c r="B671" s="204" t="s">
        <v>4661</v>
      </c>
      <c r="C671" s="43">
        <v>778436</v>
      </c>
      <c r="D671" s="1" t="s">
        <v>83</v>
      </c>
      <c r="E671" s="45" t="s">
        <v>4531</v>
      </c>
      <c r="F671" s="121"/>
      <c r="G671" s="202"/>
    </row>
    <row r="672" spans="1:7" ht="15.75" customHeight="1">
      <c r="A672" s="204" t="s">
        <v>20</v>
      </c>
      <c r="B672" s="204" t="s">
        <v>4661</v>
      </c>
      <c r="C672" s="43">
        <v>633697</v>
      </c>
      <c r="D672" s="1" t="s">
        <v>80</v>
      </c>
      <c r="E672" s="45" t="s">
        <v>4310</v>
      </c>
      <c r="F672" s="121"/>
      <c r="G672" s="202"/>
    </row>
    <row r="673" spans="1:7" ht="15.75" customHeight="1">
      <c r="A673" s="204" t="s">
        <v>20</v>
      </c>
      <c r="B673" s="204" t="s">
        <v>4661</v>
      </c>
      <c r="C673" s="43">
        <v>612524</v>
      </c>
      <c r="D673" s="1" t="s">
        <v>71</v>
      </c>
      <c r="E673" s="45" t="s">
        <v>4668</v>
      </c>
      <c r="F673" s="121"/>
      <c r="G673" s="203"/>
    </row>
    <row r="674" spans="1:7" ht="15.75" customHeight="1">
      <c r="A674" s="204" t="s">
        <v>20</v>
      </c>
      <c r="B674" s="204" t="s">
        <v>4661</v>
      </c>
      <c r="C674" s="43">
        <v>608717</v>
      </c>
      <c r="D674" s="1" t="s">
        <v>71</v>
      </c>
      <c r="E674" s="45" t="s">
        <v>4669</v>
      </c>
      <c r="F674" s="121"/>
      <c r="G674" s="203"/>
    </row>
    <row r="675" spans="1:7" ht="15.75" customHeight="1">
      <c r="A675" s="204" t="s">
        <v>20</v>
      </c>
      <c r="B675" s="204" t="s">
        <v>4661</v>
      </c>
      <c r="C675" s="43">
        <v>641776</v>
      </c>
      <c r="D675" s="1" t="s">
        <v>71</v>
      </c>
      <c r="E675" s="45" t="s">
        <v>4411</v>
      </c>
      <c r="F675" s="121"/>
      <c r="G675" s="203"/>
    </row>
    <row r="676" spans="1:7" ht="15.75" customHeight="1">
      <c r="A676" s="204" t="s">
        <v>20</v>
      </c>
      <c r="B676" s="204" t="s">
        <v>4661</v>
      </c>
      <c r="C676" s="43">
        <v>494451</v>
      </c>
      <c r="D676" s="1" t="s">
        <v>80</v>
      </c>
      <c r="E676" s="45" t="s">
        <v>4412</v>
      </c>
      <c r="F676" s="121"/>
      <c r="G676" s="203"/>
    </row>
    <row r="677" spans="1:7" ht="15.75" customHeight="1">
      <c r="A677" s="204" t="s">
        <v>20</v>
      </c>
      <c r="B677" s="204" t="s">
        <v>4661</v>
      </c>
      <c r="C677" s="43">
        <v>2841046</v>
      </c>
      <c r="D677" s="1" t="s">
        <v>80</v>
      </c>
      <c r="E677" s="45" t="s">
        <v>4670</v>
      </c>
      <c r="F677" s="121"/>
      <c r="G677" s="203"/>
    </row>
    <row r="678" spans="1:7" ht="15.75" customHeight="1">
      <c r="A678" s="204" t="s">
        <v>21</v>
      </c>
      <c r="B678" s="204" t="s">
        <v>4671</v>
      </c>
      <c r="C678" s="130" t="s">
        <v>68</v>
      </c>
      <c r="D678" s="130" t="s">
        <v>62</v>
      </c>
      <c r="E678" s="199" t="s">
        <v>69</v>
      </c>
      <c r="F678" s="130"/>
      <c r="G678" s="200" t="s">
        <v>70</v>
      </c>
    </row>
    <row r="679" spans="1:7" ht="15.75" customHeight="1">
      <c r="A679" s="204" t="s">
        <v>21</v>
      </c>
      <c r="B679" s="204" t="s">
        <v>4671</v>
      </c>
      <c r="C679" s="43">
        <v>5025557</v>
      </c>
      <c r="D679" s="1" t="s">
        <v>71</v>
      </c>
      <c r="E679" s="49" t="s">
        <v>4236</v>
      </c>
      <c r="F679" s="121"/>
      <c r="G679" s="200" t="s">
        <v>4233</v>
      </c>
    </row>
    <row r="680" spans="1:7" ht="15.75" customHeight="1">
      <c r="A680" s="204" t="s">
        <v>21</v>
      </c>
      <c r="B680" s="204" t="s">
        <v>4671</v>
      </c>
      <c r="C680" s="43">
        <v>568503</v>
      </c>
      <c r="D680" s="1" t="s">
        <v>83</v>
      </c>
      <c r="E680" s="49" t="s">
        <v>4242</v>
      </c>
      <c r="F680" s="121"/>
      <c r="G680" s="200" t="s">
        <v>4481</v>
      </c>
    </row>
    <row r="681" spans="1:7" ht="15.75" customHeight="1">
      <c r="A681" s="204" t="s">
        <v>21</v>
      </c>
      <c r="B681" s="204" t="s">
        <v>4671</v>
      </c>
      <c r="C681" s="168">
        <v>2919355</v>
      </c>
      <c r="D681" s="1" t="s">
        <v>71</v>
      </c>
      <c r="E681" s="49" t="s">
        <v>4171</v>
      </c>
      <c r="F681" s="121"/>
      <c r="G681" s="202"/>
    </row>
    <row r="682" spans="1:7" ht="15.75" customHeight="1">
      <c r="A682" s="204" t="s">
        <v>21</v>
      </c>
      <c r="B682" s="204" t="s">
        <v>4671</v>
      </c>
      <c r="C682" s="43">
        <v>2822432</v>
      </c>
      <c r="D682" s="1" t="s">
        <v>71</v>
      </c>
      <c r="E682" s="45" t="s">
        <v>4517</v>
      </c>
      <c r="F682" s="121"/>
      <c r="G682" s="202"/>
    </row>
    <row r="683" spans="1:7" ht="15.75" customHeight="1">
      <c r="A683" s="204" t="s">
        <v>21</v>
      </c>
      <c r="B683" s="204" t="s">
        <v>4671</v>
      </c>
      <c r="C683" s="43">
        <v>622393</v>
      </c>
      <c r="D683" s="1" t="s">
        <v>71</v>
      </c>
      <c r="E683" s="45" t="s">
        <v>4172</v>
      </c>
      <c r="F683" s="121"/>
      <c r="G683" s="202"/>
    </row>
    <row r="684" spans="1:7" ht="15.75" customHeight="1">
      <c r="A684" s="204" t="s">
        <v>21</v>
      </c>
      <c r="B684" s="204" t="s">
        <v>4671</v>
      </c>
      <c r="C684" s="43">
        <v>789564</v>
      </c>
      <c r="D684" s="1" t="s">
        <v>71</v>
      </c>
      <c r="E684" s="45" t="s">
        <v>4245</v>
      </c>
      <c r="F684" s="121"/>
      <c r="G684" s="202"/>
    </row>
    <row r="685" spans="1:7" ht="15.75" customHeight="1">
      <c r="A685" s="204" t="s">
        <v>21</v>
      </c>
      <c r="B685" s="204" t="s">
        <v>4671</v>
      </c>
      <c r="C685" s="43">
        <v>758900</v>
      </c>
      <c r="D685" s="1" t="s">
        <v>90</v>
      </c>
      <c r="E685" s="45" t="s">
        <v>4277</v>
      </c>
      <c r="F685" s="121"/>
      <c r="G685" s="202"/>
    </row>
    <row r="686" spans="1:7" ht="15.75" customHeight="1">
      <c r="A686" s="204" t="s">
        <v>21</v>
      </c>
      <c r="B686" s="204" t="s">
        <v>4671</v>
      </c>
      <c r="C686" s="43">
        <v>707942</v>
      </c>
      <c r="D686" s="1" t="s">
        <v>83</v>
      </c>
      <c r="E686" s="45" t="s">
        <v>4639</v>
      </c>
      <c r="F686" s="121"/>
      <c r="G686" s="202"/>
    </row>
    <row r="687" spans="1:7" ht="15.75" customHeight="1">
      <c r="A687" s="204" t="s">
        <v>21</v>
      </c>
      <c r="B687" s="204" t="s">
        <v>4671</v>
      </c>
      <c r="C687" s="43">
        <v>568310</v>
      </c>
      <c r="D687" s="1" t="s">
        <v>80</v>
      </c>
      <c r="E687" s="45" t="s">
        <v>4672</v>
      </c>
      <c r="F687" s="121"/>
      <c r="G687" s="202"/>
    </row>
    <row r="688" spans="1:7" ht="15.75" customHeight="1">
      <c r="A688" s="204" t="s">
        <v>21</v>
      </c>
      <c r="B688" s="204" t="s">
        <v>4671</v>
      </c>
      <c r="C688" s="43">
        <v>193343</v>
      </c>
      <c r="D688" s="1" t="s">
        <v>83</v>
      </c>
      <c r="E688" s="45" t="s">
        <v>4248</v>
      </c>
      <c r="F688" s="121"/>
      <c r="G688" s="202"/>
    </row>
    <row r="689" spans="1:7" ht="15.75" customHeight="1">
      <c r="A689" s="204" t="s">
        <v>21</v>
      </c>
      <c r="B689" s="204" t="s">
        <v>4671</v>
      </c>
      <c r="C689" s="43">
        <v>2823305</v>
      </c>
      <c r="D689" s="1" t="s">
        <v>71</v>
      </c>
      <c r="E689" s="45" t="s">
        <v>4280</v>
      </c>
      <c r="F689" s="121"/>
      <c r="G689" s="202"/>
    </row>
    <row r="690" spans="1:7" ht="15.75" customHeight="1">
      <c r="A690" s="204" t="s">
        <v>21</v>
      </c>
      <c r="B690" s="204" t="s">
        <v>4671</v>
      </c>
      <c r="C690" s="43">
        <v>499817</v>
      </c>
      <c r="D690" s="1" t="s">
        <v>83</v>
      </c>
      <c r="E690" s="49" t="s">
        <v>4250</v>
      </c>
      <c r="F690" s="121"/>
      <c r="G690" s="202"/>
    </row>
    <row r="691" spans="1:7" ht="15.75" customHeight="1">
      <c r="A691" s="204" t="s">
        <v>21</v>
      </c>
      <c r="B691" s="204" t="s">
        <v>4671</v>
      </c>
      <c r="C691" s="43">
        <v>778418</v>
      </c>
      <c r="D691" s="1" t="s">
        <v>90</v>
      </c>
      <c r="E691" s="49" t="s">
        <v>4251</v>
      </c>
      <c r="F691" s="121"/>
      <c r="G691" s="202"/>
    </row>
    <row r="692" spans="1:7" ht="15.75" customHeight="1">
      <c r="A692" s="204" t="s">
        <v>21</v>
      </c>
      <c r="B692" s="204" t="s">
        <v>4671</v>
      </c>
      <c r="C692" s="43">
        <v>693617</v>
      </c>
      <c r="D692" s="1" t="s">
        <v>80</v>
      </c>
      <c r="E692" s="45" t="s">
        <v>4673</v>
      </c>
      <c r="F692" s="121"/>
      <c r="G692" s="203"/>
    </row>
    <row r="693" spans="1:7" ht="15.75" customHeight="1">
      <c r="A693" s="204" t="s">
        <v>21</v>
      </c>
      <c r="B693" s="204" t="s">
        <v>4671</v>
      </c>
      <c r="C693" s="43">
        <v>792280</v>
      </c>
      <c r="D693" s="1" t="s">
        <v>83</v>
      </c>
      <c r="E693" s="49" t="s">
        <v>4285</v>
      </c>
      <c r="F693" s="121"/>
      <c r="G693" s="203"/>
    </row>
    <row r="694" spans="1:7" ht="15.75" customHeight="1">
      <c r="A694" s="204" t="s">
        <v>21</v>
      </c>
      <c r="B694" s="204" t="s">
        <v>4671</v>
      </c>
      <c r="C694" s="43">
        <v>610660</v>
      </c>
      <c r="D694" s="1" t="s">
        <v>71</v>
      </c>
      <c r="E694" s="45" t="s">
        <v>4253</v>
      </c>
      <c r="F694" s="121"/>
      <c r="G694" s="203"/>
    </row>
    <row r="695" spans="1:7" ht="15.75" customHeight="1">
      <c r="A695" s="204" t="s">
        <v>21</v>
      </c>
      <c r="B695" s="204" t="s">
        <v>4671</v>
      </c>
      <c r="C695" s="43">
        <v>3107704</v>
      </c>
      <c r="D695" s="1" t="s">
        <v>83</v>
      </c>
      <c r="E695" s="45" t="s">
        <v>4254</v>
      </c>
      <c r="F695" s="121"/>
      <c r="G695" s="203"/>
    </row>
    <row r="696" spans="1:7" ht="15.75" customHeight="1">
      <c r="A696" s="204" t="s">
        <v>21</v>
      </c>
      <c r="B696" s="204" t="s">
        <v>4671</v>
      </c>
      <c r="C696" s="43">
        <v>738774</v>
      </c>
      <c r="D696" s="1" t="s">
        <v>71</v>
      </c>
      <c r="E696" s="49" t="s">
        <v>4182</v>
      </c>
      <c r="F696" s="121"/>
      <c r="G696" s="203"/>
    </row>
    <row r="697" spans="1:7" ht="15.75" customHeight="1">
      <c r="A697" s="204" t="s">
        <v>21</v>
      </c>
      <c r="B697" s="204" t="s">
        <v>4671</v>
      </c>
      <c r="C697" s="43">
        <v>778457</v>
      </c>
      <c r="D697" s="1" t="s">
        <v>71</v>
      </c>
      <c r="E697" s="45" t="s">
        <v>4488</v>
      </c>
      <c r="F697" s="121"/>
      <c r="G697" s="203"/>
    </row>
    <row r="698" spans="1:7" ht="15.75" customHeight="1">
      <c r="A698" s="204" t="s">
        <v>21</v>
      </c>
      <c r="B698" s="204" t="s">
        <v>4671</v>
      </c>
      <c r="C698" s="43">
        <v>752388</v>
      </c>
      <c r="D698" s="1" t="s">
        <v>83</v>
      </c>
      <c r="E698" s="49" t="s">
        <v>4547</v>
      </c>
      <c r="F698" s="121"/>
      <c r="G698" s="203"/>
    </row>
    <row r="699" spans="1:7" ht="15.75" customHeight="1">
      <c r="A699" s="204" t="s">
        <v>21</v>
      </c>
      <c r="B699" s="204" t="s">
        <v>4671</v>
      </c>
      <c r="C699" s="43">
        <v>778442</v>
      </c>
      <c r="D699" s="1" t="s">
        <v>71</v>
      </c>
      <c r="E699" s="45" t="s">
        <v>4549</v>
      </c>
      <c r="F699" s="121"/>
      <c r="G699" s="203"/>
    </row>
    <row r="700" spans="1:7" ht="15.75" customHeight="1">
      <c r="A700" s="204" t="s">
        <v>21</v>
      </c>
      <c r="B700" s="204" t="s">
        <v>4671</v>
      </c>
      <c r="C700" s="43">
        <v>796909</v>
      </c>
      <c r="D700" s="1" t="s">
        <v>90</v>
      </c>
      <c r="E700" s="45" t="s">
        <v>4185</v>
      </c>
      <c r="F700" s="121"/>
      <c r="G700" s="202"/>
    </row>
    <row r="701" spans="1:7" ht="15.75" customHeight="1">
      <c r="A701" s="204" t="s">
        <v>21</v>
      </c>
      <c r="B701" s="204" t="s">
        <v>4671</v>
      </c>
      <c r="C701" s="43">
        <v>2882001</v>
      </c>
      <c r="D701" s="1" t="s">
        <v>71</v>
      </c>
      <c r="E701" s="45" t="s">
        <v>4260</v>
      </c>
      <c r="F701" s="121"/>
      <c r="G701" s="202"/>
    </row>
    <row r="702" spans="1:7" ht="15.75" customHeight="1">
      <c r="A702" s="204" t="s">
        <v>21</v>
      </c>
      <c r="B702" s="204" t="s">
        <v>4671</v>
      </c>
      <c r="C702" s="43">
        <v>796910</v>
      </c>
      <c r="D702" s="1" t="s">
        <v>71</v>
      </c>
      <c r="E702" s="45" t="s">
        <v>4264</v>
      </c>
      <c r="F702" s="121"/>
      <c r="G702" s="202"/>
    </row>
    <row r="703" spans="1:7" ht="15.75" customHeight="1">
      <c r="A703" s="121" t="s">
        <v>22</v>
      </c>
      <c r="B703" s="121" t="s">
        <v>4674</v>
      </c>
      <c r="C703" s="130" t="s">
        <v>68</v>
      </c>
      <c r="D703" s="130" t="s">
        <v>62</v>
      </c>
      <c r="E703" s="199" t="s">
        <v>69</v>
      </c>
      <c r="F703" s="130"/>
      <c r="G703" s="200" t="s">
        <v>70</v>
      </c>
    </row>
    <row r="704" spans="1:7" ht="15.75" customHeight="1">
      <c r="A704" s="121" t="s">
        <v>22</v>
      </c>
      <c r="B704" s="121" t="s">
        <v>4674</v>
      </c>
      <c r="C704" s="43">
        <v>5025557</v>
      </c>
      <c r="D704" s="1" t="s">
        <v>71</v>
      </c>
      <c r="E704" s="49" t="s">
        <v>4236</v>
      </c>
      <c r="F704" s="121"/>
      <c r="G704" s="200" t="s">
        <v>4233</v>
      </c>
    </row>
    <row r="705" spans="1:7" ht="15.75" customHeight="1">
      <c r="A705" s="121" t="s">
        <v>22</v>
      </c>
      <c r="B705" s="121" t="s">
        <v>4674</v>
      </c>
      <c r="C705" s="43">
        <v>568503</v>
      </c>
      <c r="D705" s="1" t="s">
        <v>83</v>
      </c>
      <c r="E705" s="49" t="s">
        <v>4242</v>
      </c>
      <c r="F705" s="121"/>
      <c r="G705" s="200" t="s">
        <v>4481</v>
      </c>
    </row>
    <row r="706" spans="1:7" ht="15.75" customHeight="1">
      <c r="A706" s="121" t="s">
        <v>22</v>
      </c>
      <c r="B706" s="121" t="s">
        <v>4674</v>
      </c>
      <c r="C706" s="168">
        <v>2919355</v>
      </c>
      <c r="D706" s="1" t="s">
        <v>71</v>
      </c>
      <c r="E706" s="49" t="s">
        <v>4171</v>
      </c>
      <c r="F706" s="121"/>
      <c r="G706" s="202"/>
    </row>
    <row r="707" spans="1:7" ht="15.75" customHeight="1">
      <c r="A707" s="121" t="s">
        <v>22</v>
      </c>
      <c r="B707" s="121" t="s">
        <v>4674</v>
      </c>
      <c r="C707" s="43">
        <v>3175198</v>
      </c>
      <c r="D707" s="1" t="s">
        <v>71</v>
      </c>
      <c r="E707" s="49" t="s">
        <v>4244</v>
      </c>
      <c r="F707" s="121"/>
      <c r="G707" s="202"/>
    </row>
    <row r="708" spans="1:7" ht="15.75" customHeight="1">
      <c r="A708" s="121" t="s">
        <v>22</v>
      </c>
      <c r="B708" s="121" t="s">
        <v>4674</v>
      </c>
      <c r="C708" s="43">
        <v>758900</v>
      </c>
      <c r="D708" s="1" t="s">
        <v>90</v>
      </c>
      <c r="E708" s="45" t="s">
        <v>4277</v>
      </c>
      <c r="F708" s="121"/>
      <c r="G708" s="202"/>
    </row>
    <row r="709" spans="1:7" ht="15.75" customHeight="1">
      <c r="A709" s="121" t="s">
        <v>22</v>
      </c>
      <c r="B709" s="121" t="s">
        <v>4674</v>
      </c>
      <c r="C709" s="43">
        <v>499817</v>
      </c>
      <c r="D709" s="1" t="s">
        <v>83</v>
      </c>
      <c r="E709" s="49" t="s">
        <v>4250</v>
      </c>
      <c r="F709" s="121"/>
      <c r="G709" s="202"/>
    </row>
    <row r="710" spans="1:7" ht="15.75" customHeight="1">
      <c r="A710" s="121" t="s">
        <v>22</v>
      </c>
      <c r="B710" s="121" t="s">
        <v>4674</v>
      </c>
      <c r="C710" s="43">
        <v>2215100</v>
      </c>
      <c r="D710" s="1" t="s">
        <v>71</v>
      </c>
      <c r="E710" s="49" t="s">
        <v>4282</v>
      </c>
      <c r="F710" s="121"/>
      <c r="G710" s="202"/>
    </row>
    <row r="711" spans="1:7" ht="15.75" customHeight="1">
      <c r="A711" s="121" t="s">
        <v>22</v>
      </c>
      <c r="B711" s="121" t="s">
        <v>4674</v>
      </c>
      <c r="C711" s="43">
        <v>602729</v>
      </c>
      <c r="D711" s="1" t="s">
        <v>71</v>
      </c>
      <c r="E711" s="45" t="s">
        <v>4181</v>
      </c>
      <c r="F711" s="121"/>
      <c r="G711" s="202"/>
    </row>
    <row r="712" spans="1:7" ht="15.75" customHeight="1">
      <c r="A712" s="121" t="s">
        <v>22</v>
      </c>
      <c r="B712" s="121" t="s">
        <v>4674</v>
      </c>
      <c r="C712" s="43">
        <v>738774</v>
      </c>
      <c r="D712" s="1" t="s">
        <v>71</v>
      </c>
      <c r="E712" s="49" t="s">
        <v>4182</v>
      </c>
      <c r="F712" s="121"/>
      <c r="G712" s="202"/>
    </row>
    <row r="713" spans="1:7" ht="15.75" customHeight="1">
      <c r="A713" s="121" t="s">
        <v>22</v>
      </c>
      <c r="B713" s="121" t="s">
        <v>4674</v>
      </c>
      <c r="C713" s="43">
        <v>561007</v>
      </c>
      <c r="D713" s="1" t="s">
        <v>83</v>
      </c>
      <c r="E713" s="45" t="s">
        <v>4255</v>
      </c>
      <c r="F713" s="121"/>
      <c r="G713" s="202"/>
    </row>
    <row r="714" spans="1:7" ht="15.75" customHeight="1">
      <c r="A714" s="121" t="s">
        <v>22</v>
      </c>
      <c r="B714" s="121" t="s">
        <v>4674</v>
      </c>
      <c r="C714" s="43">
        <v>568987</v>
      </c>
      <c r="D714" s="1" t="s">
        <v>71</v>
      </c>
      <c r="E714" s="45" t="s">
        <v>4256</v>
      </c>
      <c r="F714" s="121"/>
      <c r="G714" s="202"/>
    </row>
    <row r="715" spans="1:7" ht="15.75" customHeight="1">
      <c r="A715" s="121" t="s">
        <v>22</v>
      </c>
      <c r="B715" s="121" t="s">
        <v>4674</v>
      </c>
      <c r="C715" s="43">
        <v>752388</v>
      </c>
      <c r="D715" s="1" t="s">
        <v>83</v>
      </c>
      <c r="E715" s="49" t="s">
        <v>4547</v>
      </c>
      <c r="F715" s="121"/>
      <c r="G715" s="202"/>
    </row>
    <row r="716" spans="1:7" ht="15.75" customHeight="1">
      <c r="A716" s="121" t="s">
        <v>22</v>
      </c>
      <c r="B716" s="121" t="s">
        <v>4674</v>
      </c>
      <c r="C716" s="43">
        <v>778440</v>
      </c>
      <c r="D716" s="1" t="s">
        <v>71</v>
      </c>
      <c r="E716" s="49" t="s">
        <v>4548</v>
      </c>
      <c r="F716" s="121"/>
      <c r="G716" s="202"/>
    </row>
    <row r="717" spans="1:7" ht="15.75" customHeight="1">
      <c r="A717" s="121" t="s">
        <v>22</v>
      </c>
      <c r="B717" s="121" t="s">
        <v>4674</v>
      </c>
      <c r="C717" s="43">
        <v>778442</v>
      </c>
      <c r="D717" s="1" t="s">
        <v>71</v>
      </c>
      <c r="E717" s="45" t="s">
        <v>4549</v>
      </c>
      <c r="F717" s="121"/>
      <c r="G717" s="202"/>
    </row>
    <row r="718" spans="1:7" ht="15.75" customHeight="1">
      <c r="A718" s="121" t="s">
        <v>22</v>
      </c>
      <c r="B718" s="121" t="s">
        <v>4674</v>
      </c>
      <c r="C718" s="43">
        <v>778439</v>
      </c>
      <c r="D718" s="1" t="s">
        <v>71</v>
      </c>
      <c r="E718" s="49" t="s">
        <v>4550</v>
      </c>
      <c r="F718" s="121"/>
      <c r="G718" s="203"/>
    </row>
    <row r="719" spans="1:7" ht="15.75" customHeight="1">
      <c r="A719" s="121" t="s">
        <v>22</v>
      </c>
      <c r="B719" s="121" t="s">
        <v>4674</v>
      </c>
      <c r="C719" s="43">
        <v>575895</v>
      </c>
      <c r="D719" s="1" t="s">
        <v>83</v>
      </c>
      <c r="E719" s="49" t="s">
        <v>4257</v>
      </c>
      <c r="F719" s="121"/>
      <c r="G719" s="203"/>
    </row>
    <row r="720" spans="1:7" ht="15.75" customHeight="1">
      <c r="A720" s="121" t="s">
        <v>22</v>
      </c>
      <c r="B720" s="121" t="s">
        <v>4674</v>
      </c>
      <c r="C720" s="43">
        <v>778443</v>
      </c>
      <c r="D720" s="1" t="s">
        <v>71</v>
      </c>
      <c r="E720" s="49" t="s">
        <v>4551</v>
      </c>
      <c r="F720" s="121"/>
      <c r="G720" s="203"/>
    </row>
    <row r="721" spans="1:7" ht="15.75" customHeight="1">
      <c r="A721" s="121" t="s">
        <v>22</v>
      </c>
      <c r="B721" s="121" t="s">
        <v>4674</v>
      </c>
      <c r="C721" s="43">
        <v>3201132</v>
      </c>
      <c r="D721" s="1" t="s">
        <v>80</v>
      </c>
      <c r="E721" s="49" t="s">
        <v>4675</v>
      </c>
      <c r="F721" s="121"/>
      <c r="G721" s="203"/>
    </row>
    <row r="722" spans="1:7" ht="15.75" customHeight="1">
      <c r="A722" s="121" t="s">
        <v>22</v>
      </c>
      <c r="B722" s="121" t="s">
        <v>4674</v>
      </c>
      <c r="C722" s="43">
        <v>796909</v>
      </c>
      <c r="D722" s="1" t="s">
        <v>90</v>
      </c>
      <c r="E722" s="45" t="s">
        <v>4185</v>
      </c>
      <c r="F722" s="121"/>
      <c r="G722" s="203"/>
    </row>
    <row r="723" spans="1:7" ht="15.75" customHeight="1">
      <c r="A723" s="121" t="s">
        <v>22</v>
      </c>
      <c r="B723" s="121" t="s">
        <v>4674</v>
      </c>
      <c r="C723" s="43">
        <v>604072</v>
      </c>
      <c r="D723" s="1" t="s">
        <v>80</v>
      </c>
      <c r="E723" s="49" t="s">
        <v>4490</v>
      </c>
      <c r="F723" s="121"/>
      <c r="G723" s="203"/>
    </row>
    <row r="724" spans="1:7" ht="15.75" customHeight="1">
      <c r="A724" s="121" t="s">
        <v>22</v>
      </c>
      <c r="B724" s="121" t="s">
        <v>4674</v>
      </c>
      <c r="C724" s="43">
        <v>604067</v>
      </c>
      <c r="D724" s="1" t="s">
        <v>80</v>
      </c>
      <c r="E724" s="45" t="s">
        <v>4290</v>
      </c>
      <c r="F724" s="121"/>
      <c r="G724" s="203"/>
    </row>
    <row r="725" spans="1:7" ht="15.75" customHeight="1">
      <c r="A725" s="121" t="s">
        <v>22</v>
      </c>
      <c r="B725" s="121" t="s">
        <v>4674</v>
      </c>
      <c r="C725" s="43">
        <v>2882001</v>
      </c>
      <c r="D725" s="1" t="s">
        <v>71</v>
      </c>
      <c r="E725" s="45" t="s">
        <v>4260</v>
      </c>
      <c r="F725" s="121"/>
      <c r="G725" s="203"/>
    </row>
    <row r="726" spans="1:7" ht="15.75" customHeight="1">
      <c r="A726" s="121" t="s">
        <v>22</v>
      </c>
      <c r="B726" s="121" t="s">
        <v>4674</v>
      </c>
      <c r="C726" s="43">
        <v>561058</v>
      </c>
      <c r="D726" s="1" t="s">
        <v>101</v>
      </c>
      <c r="E726" s="45" t="s">
        <v>4498</v>
      </c>
      <c r="F726" s="121"/>
      <c r="G726" s="203"/>
    </row>
    <row r="727" spans="1:7" ht="15.75" customHeight="1">
      <c r="A727" s="121" t="s">
        <v>22</v>
      </c>
      <c r="B727" s="121" t="s">
        <v>4674</v>
      </c>
      <c r="C727" s="43">
        <v>398060</v>
      </c>
      <c r="D727" s="1" t="s">
        <v>83</v>
      </c>
      <c r="E727" s="45" t="s">
        <v>4553</v>
      </c>
      <c r="F727" s="121"/>
      <c r="G727" s="203"/>
    </row>
    <row r="728" spans="1:7" ht="15.75" customHeight="1">
      <c r="A728" s="121" t="s">
        <v>22</v>
      </c>
      <c r="B728" s="121" t="s">
        <v>4674</v>
      </c>
      <c r="C728" s="43">
        <v>476693</v>
      </c>
      <c r="D728" s="1" t="s">
        <v>83</v>
      </c>
      <c r="E728" s="49" t="s">
        <v>4554</v>
      </c>
      <c r="F728" s="121"/>
      <c r="G728" s="203"/>
    </row>
    <row r="729" spans="1:7" ht="15.75" customHeight="1">
      <c r="A729" s="121" t="s">
        <v>22</v>
      </c>
      <c r="B729" s="121" t="s">
        <v>4674</v>
      </c>
      <c r="C729" s="43">
        <v>2873194</v>
      </c>
      <c r="D729" s="1" t="s">
        <v>71</v>
      </c>
      <c r="E729" s="45" t="s">
        <v>4223</v>
      </c>
      <c r="F729" s="121"/>
      <c r="G729" s="203"/>
    </row>
    <row r="730" spans="1:7" ht="15.75" customHeight="1">
      <c r="A730" s="121" t="s">
        <v>22</v>
      </c>
      <c r="B730" s="121" t="s">
        <v>4674</v>
      </c>
      <c r="C730" s="43">
        <v>575060</v>
      </c>
      <c r="D730" s="1" t="s">
        <v>71</v>
      </c>
      <c r="E730" s="45" t="s">
        <v>4225</v>
      </c>
      <c r="F730" s="121"/>
      <c r="G730" s="203"/>
    </row>
    <row r="731" spans="1:7" ht="15.75" customHeight="1">
      <c r="A731" s="121" t="s">
        <v>22</v>
      </c>
      <c r="B731" s="121" t="s">
        <v>4674</v>
      </c>
      <c r="C731" s="43">
        <v>796910</v>
      </c>
      <c r="D731" s="1" t="s">
        <v>71</v>
      </c>
      <c r="E731" s="45" t="s">
        <v>4264</v>
      </c>
      <c r="F731" s="121"/>
      <c r="G731" s="203"/>
    </row>
    <row r="732" spans="1:7" ht="15.75" customHeight="1">
      <c r="A732" s="121" t="s">
        <v>22</v>
      </c>
      <c r="B732" s="121" t="s">
        <v>4674</v>
      </c>
      <c r="C732" s="43">
        <v>2898800</v>
      </c>
      <c r="D732" s="1" t="s">
        <v>71</v>
      </c>
      <c r="E732" s="49" t="s">
        <v>4265</v>
      </c>
      <c r="F732" s="121"/>
      <c r="G732" s="203"/>
    </row>
    <row r="733" spans="1:7" ht="15.75" customHeight="1">
      <c r="A733" s="121" t="s">
        <v>22</v>
      </c>
      <c r="B733" s="121" t="s">
        <v>4674</v>
      </c>
      <c r="C733" s="43">
        <v>2919859</v>
      </c>
      <c r="D733" s="1" t="s">
        <v>90</v>
      </c>
      <c r="E733" s="45" t="s">
        <v>4504</v>
      </c>
      <c r="F733" s="121"/>
      <c r="G733" s="203"/>
    </row>
    <row r="734" spans="1:7" ht="15.75" customHeight="1">
      <c r="A734" s="121" t="s">
        <v>22</v>
      </c>
      <c r="B734" s="121" t="s">
        <v>4674</v>
      </c>
      <c r="C734" s="43">
        <v>2875092</v>
      </c>
      <c r="D734" s="1" t="s">
        <v>90</v>
      </c>
      <c r="E734" s="49" t="s">
        <v>4676</v>
      </c>
      <c r="F734" s="121"/>
      <c r="G734" s="203"/>
    </row>
    <row r="735" spans="1:7" ht="15.75" customHeight="1">
      <c r="A735" s="121" t="s">
        <v>23</v>
      </c>
      <c r="B735" s="121" t="s">
        <v>4677</v>
      </c>
      <c r="C735" s="130" t="s">
        <v>68</v>
      </c>
      <c r="D735" s="130" t="s">
        <v>62</v>
      </c>
      <c r="E735" s="199" t="s">
        <v>69</v>
      </c>
      <c r="F735" s="130"/>
      <c r="G735" s="200" t="s">
        <v>70</v>
      </c>
    </row>
    <row r="736" spans="1:7" ht="15.75" customHeight="1">
      <c r="A736" s="121" t="s">
        <v>23</v>
      </c>
      <c r="B736" s="121" t="s">
        <v>4677</v>
      </c>
      <c r="C736" s="43">
        <v>3156479</v>
      </c>
      <c r="D736" s="1" t="s">
        <v>80</v>
      </c>
      <c r="E736" s="45" t="s">
        <v>4678</v>
      </c>
      <c r="F736" s="121"/>
      <c r="G736" s="200" t="s">
        <v>4679</v>
      </c>
    </row>
    <row r="737" spans="1:7" ht="15.75" customHeight="1">
      <c r="A737" s="121" t="s">
        <v>23</v>
      </c>
      <c r="B737" s="121" t="s">
        <v>4677</v>
      </c>
      <c r="C737" s="43">
        <v>2457036</v>
      </c>
      <c r="D737" s="1" t="s">
        <v>71</v>
      </c>
      <c r="E737" s="49" t="s">
        <v>4480</v>
      </c>
      <c r="F737" s="121"/>
      <c r="G737" s="200" t="s">
        <v>4680</v>
      </c>
    </row>
    <row r="738" spans="1:7" ht="15.75" customHeight="1">
      <c r="A738" s="121" t="s">
        <v>23</v>
      </c>
      <c r="B738" s="121" t="s">
        <v>4677</v>
      </c>
      <c r="C738" s="43">
        <v>648463</v>
      </c>
      <c r="D738" s="1" t="s">
        <v>83</v>
      </c>
      <c r="E738" s="45" t="s">
        <v>4207</v>
      </c>
      <c r="F738" s="121"/>
      <c r="G738" s="202"/>
    </row>
    <row r="739" spans="1:7" ht="15.75" customHeight="1">
      <c r="A739" s="121" t="s">
        <v>23</v>
      </c>
      <c r="B739" s="121" t="s">
        <v>4677</v>
      </c>
      <c r="C739" s="43">
        <v>2874200</v>
      </c>
      <c r="D739" s="1" t="s">
        <v>101</v>
      </c>
      <c r="E739" s="45" t="s">
        <v>4302</v>
      </c>
      <c r="F739" s="121"/>
      <c r="G739" s="202"/>
    </row>
    <row r="740" spans="1:7" ht="15.75" customHeight="1">
      <c r="A740" s="121" t="s">
        <v>23</v>
      </c>
      <c r="B740" s="121" t="s">
        <v>4677</v>
      </c>
      <c r="C740" s="43">
        <v>2882163</v>
      </c>
      <c r="D740" s="1" t="s">
        <v>71</v>
      </c>
      <c r="E740" s="45" t="s">
        <v>4681</v>
      </c>
      <c r="F740" s="121"/>
      <c r="G740" s="203"/>
    </row>
    <row r="741" spans="1:7" ht="15.75" customHeight="1">
      <c r="A741" s="121" t="s">
        <v>23</v>
      </c>
      <c r="B741" s="121" t="s">
        <v>4677</v>
      </c>
      <c r="C741" s="43">
        <v>758900</v>
      </c>
      <c r="D741" s="1" t="s">
        <v>90</v>
      </c>
      <c r="E741" s="45" t="s">
        <v>4277</v>
      </c>
      <c r="F741" s="121"/>
      <c r="G741" s="203"/>
    </row>
    <row r="742" spans="1:7" ht="15.75" customHeight="1">
      <c r="A742" s="121" t="s">
        <v>23</v>
      </c>
      <c r="B742" s="121" t="s">
        <v>4677</v>
      </c>
      <c r="C742" s="43">
        <v>707931</v>
      </c>
      <c r="D742" s="1" t="s">
        <v>80</v>
      </c>
      <c r="E742" s="45" t="s">
        <v>4323</v>
      </c>
      <c r="F742" s="121"/>
      <c r="G742" s="203"/>
    </row>
    <row r="743" spans="1:7" ht="15.75" customHeight="1">
      <c r="A743" s="121" t="s">
        <v>23</v>
      </c>
      <c r="B743" s="121" t="s">
        <v>4677</v>
      </c>
      <c r="C743" s="43">
        <v>622394</v>
      </c>
      <c r="D743" s="1" t="s">
        <v>80</v>
      </c>
      <c r="E743" s="45" t="s">
        <v>4215</v>
      </c>
      <c r="F743" s="121"/>
      <c r="G743" s="203"/>
    </row>
    <row r="744" spans="1:7" ht="15.75" customHeight="1">
      <c r="A744" s="121" t="s">
        <v>23</v>
      </c>
      <c r="B744" s="121" t="s">
        <v>4677</v>
      </c>
      <c r="C744" s="43">
        <v>2873292</v>
      </c>
      <c r="D744" s="1" t="s">
        <v>71</v>
      </c>
      <c r="E744" s="49" t="s">
        <v>4682</v>
      </c>
      <c r="F744" s="121"/>
      <c r="G744" s="203"/>
    </row>
    <row r="745" spans="1:7" ht="15.75" customHeight="1">
      <c r="A745" s="121" t="s">
        <v>23</v>
      </c>
      <c r="B745" s="121" t="s">
        <v>4677</v>
      </c>
      <c r="C745" s="43">
        <v>2215100</v>
      </c>
      <c r="D745" s="1" t="s">
        <v>71</v>
      </c>
      <c r="E745" s="49" t="s">
        <v>4282</v>
      </c>
      <c r="F745" s="121"/>
      <c r="G745" s="203"/>
    </row>
    <row r="746" spans="1:7" ht="15.75" customHeight="1">
      <c r="A746" s="121" t="s">
        <v>23</v>
      </c>
      <c r="B746" s="121" t="s">
        <v>4677</v>
      </c>
      <c r="C746" s="43">
        <v>447165</v>
      </c>
      <c r="D746" s="1" t="s">
        <v>83</v>
      </c>
      <c r="E746" s="45" t="s">
        <v>4283</v>
      </c>
      <c r="F746" s="121"/>
      <c r="G746" s="203"/>
    </row>
    <row r="747" spans="1:7" ht="15.75" customHeight="1">
      <c r="A747" s="121" t="s">
        <v>23</v>
      </c>
      <c r="B747" s="121" t="s">
        <v>4677</v>
      </c>
      <c r="C747" s="43">
        <v>3117209</v>
      </c>
      <c r="D747" s="1" t="s">
        <v>80</v>
      </c>
      <c r="E747" s="45" t="s">
        <v>4510</v>
      </c>
      <c r="F747" s="121"/>
      <c r="G747" s="203"/>
    </row>
    <row r="748" spans="1:7" ht="15.75" customHeight="1">
      <c r="A748" s="121" t="s">
        <v>23</v>
      </c>
      <c r="B748" s="121" t="s">
        <v>4677</v>
      </c>
      <c r="C748" s="43">
        <v>2428547</v>
      </c>
      <c r="D748" s="1" t="s">
        <v>80</v>
      </c>
      <c r="E748" s="49" t="s">
        <v>4486</v>
      </c>
      <c r="F748" s="121"/>
      <c r="G748" s="203"/>
    </row>
    <row r="749" spans="1:7" ht="15.75" customHeight="1">
      <c r="A749" s="121" t="s">
        <v>23</v>
      </c>
      <c r="B749" s="121" t="s">
        <v>4677</v>
      </c>
      <c r="C749" s="43">
        <v>3201153</v>
      </c>
      <c r="D749" s="1" t="s">
        <v>80</v>
      </c>
      <c r="E749" s="49" t="s">
        <v>4487</v>
      </c>
      <c r="F749" s="121"/>
      <c r="G749" s="203"/>
    </row>
    <row r="750" spans="1:7" ht="15.75" customHeight="1">
      <c r="A750" s="121" t="s">
        <v>23</v>
      </c>
      <c r="B750" s="121" t="s">
        <v>4677</v>
      </c>
      <c r="C750" s="43">
        <v>568987</v>
      </c>
      <c r="D750" s="1" t="s">
        <v>71</v>
      </c>
      <c r="E750" s="45" t="s">
        <v>4256</v>
      </c>
      <c r="F750" s="121"/>
      <c r="G750" s="203"/>
    </row>
    <row r="751" spans="1:7" ht="15.75" customHeight="1">
      <c r="A751" s="121" t="s">
        <v>23</v>
      </c>
      <c r="B751" s="121" t="s">
        <v>4677</v>
      </c>
      <c r="C751" s="43">
        <v>604067</v>
      </c>
      <c r="D751" s="1" t="s">
        <v>80</v>
      </c>
      <c r="E751" s="45" t="s">
        <v>4290</v>
      </c>
      <c r="F751" s="121"/>
      <c r="G751" s="203"/>
    </row>
    <row r="752" spans="1:7" ht="15.75" customHeight="1">
      <c r="A752" s="121" t="s">
        <v>23</v>
      </c>
      <c r="B752" s="121" t="s">
        <v>4677</v>
      </c>
      <c r="C752" s="43">
        <v>2883001</v>
      </c>
      <c r="D752" s="1" t="s">
        <v>71</v>
      </c>
      <c r="E752" s="157" t="s">
        <v>4683</v>
      </c>
      <c r="F752" s="121"/>
      <c r="G752" s="203"/>
    </row>
    <row r="753" spans="1:7" ht="15.75" customHeight="1">
      <c r="A753" s="121" t="s">
        <v>23</v>
      </c>
      <c r="B753" s="121" t="s">
        <v>4677</v>
      </c>
      <c r="C753" s="43">
        <v>2814053</v>
      </c>
      <c r="D753" s="1" t="s">
        <v>80</v>
      </c>
      <c r="E753" s="45" t="s">
        <v>4684</v>
      </c>
      <c r="F753" s="121"/>
      <c r="G753" s="203"/>
    </row>
    <row r="754" spans="1:7" ht="15.75" customHeight="1">
      <c r="A754" s="121" t="s">
        <v>23</v>
      </c>
      <c r="B754" s="121" t="s">
        <v>4677</v>
      </c>
      <c r="C754" s="43">
        <v>2457227</v>
      </c>
      <c r="D754" s="1" t="s">
        <v>80</v>
      </c>
      <c r="E754" s="49" t="s">
        <v>4495</v>
      </c>
      <c r="F754" s="121"/>
      <c r="G754" s="203"/>
    </row>
    <row r="755" spans="1:7" ht="15.75" customHeight="1">
      <c r="A755" s="121" t="s">
        <v>23</v>
      </c>
      <c r="B755" s="121" t="s">
        <v>4677</v>
      </c>
      <c r="C755" s="43">
        <v>2994035</v>
      </c>
      <c r="D755" s="1" t="s">
        <v>80</v>
      </c>
      <c r="E755" s="45" t="s">
        <v>4685</v>
      </c>
      <c r="F755" s="121"/>
      <c r="G755" s="203"/>
    </row>
    <row r="756" spans="1:7" ht="15.75" customHeight="1">
      <c r="A756" s="121" t="s">
        <v>23</v>
      </c>
      <c r="B756" s="121" t="s">
        <v>4677</v>
      </c>
      <c r="C756" s="43">
        <v>748690</v>
      </c>
      <c r="D756" s="1" t="s">
        <v>83</v>
      </c>
      <c r="E756" s="45" t="s">
        <v>4686</v>
      </c>
      <c r="F756" s="121"/>
      <c r="G756" s="203"/>
    </row>
    <row r="757" spans="1:7" ht="15.75" customHeight="1">
      <c r="A757" s="121" t="s">
        <v>23</v>
      </c>
      <c r="B757" s="121" t="s">
        <v>4677</v>
      </c>
      <c r="C757" s="43">
        <v>3103347</v>
      </c>
      <c r="D757" s="1" t="s">
        <v>80</v>
      </c>
      <c r="E757" s="45" t="s">
        <v>4687</v>
      </c>
      <c r="F757" s="121"/>
      <c r="G757" s="203"/>
    </row>
    <row r="758" spans="1:7" ht="15.75" customHeight="1">
      <c r="A758" s="121" t="s">
        <v>23</v>
      </c>
      <c r="B758" s="121" t="s">
        <v>4677</v>
      </c>
      <c r="C758" s="43">
        <v>789571</v>
      </c>
      <c r="D758" s="1" t="s">
        <v>71</v>
      </c>
      <c r="E758" s="45" t="s">
        <v>4224</v>
      </c>
      <c r="F758" s="121"/>
      <c r="G758" s="203"/>
    </row>
    <row r="759" spans="1:7" ht="15.75" customHeight="1">
      <c r="A759" s="121" t="s">
        <v>23</v>
      </c>
      <c r="B759" s="121" t="s">
        <v>4677</v>
      </c>
      <c r="C759" s="43">
        <v>575060</v>
      </c>
      <c r="D759" s="1" t="s">
        <v>71</v>
      </c>
      <c r="E759" s="45" t="s">
        <v>4225</v>
      </c>
      <c r="F759" s="121"/>
      <c r="G759" s="203"/>
    </row>
    <row r="760" spans="1:7" ht="15.75" customHeight="1">
      <c r="A760" s="121" t="s">
        <v>23</v>
      </c>
      <c r="B760" s="121" t="s">
        <v>4677</v>
      </c>
      <c r="C760" s="43">
        <v>2813271</v>
      </c>
      <c r="D760" s="1" t="s">
        <v>80</v>
      </c>
      <c r="E760" s="45" t="s">
        <v>4688</v>
      </c>
      <c r="F760" s="121"/>
      <c r="G760" s="203"/>
    </row>
    <row r="761" spans="1:7" ht="15.75" customHeight="1">
      <c r="A761" s="121" t="s">
        <v>23</v>
      </c>
      <c r="B761" s="121" t="s">
        <v>4677</v>
      </c>
      <c r="C761" s="43">
        <v>697575</v>
      </c>
      <c r="D761" s="1" t="s">
        <v>71</v>
      </c>
      <c r="E761" s="45" t="s">
        <v>4226</v>
      </c>
      <c r="F761" s="121"/>
      <c r="G761" s="203"/>
    </row>
    <row r="762" spans="1:7" ht="15.75" customHeight="1">
      <c r="A762" s="121" t="s">
        <v>23</v>
      </c>
      <c r="B762" s="121" t="s">
        <v>4677</v>
      </c>
      <c r="C762" s="43">
        <v>2920036</v>
      </c>
      <c r="D762" s="1" t="s">
        <v>71</v>
      </c>
      <c r="E762" s="45" t="s">
        <v>4594</v>
      </c>
      <c r="F762" s="121"/>
      <c r="G762" s="203"/>
    </row>
    <row r="763" spans="1:7" ht="15.75" customHeight="1">
      <c r="A763" s="121" t="s">
        <v>23</v>
      </c>
      <c r="B763" s="121" t="s">
        <v>4677</v>
      </c>
      <c r="C763" s="43">
        <v>2458198</v>
      </c>
      <c r="D763" s="1" t="s">
        <v>80</v>
      </c>
      <c r="E763" s="49" t="s">
        <v>4503</v>
      </c>
      <c r="F763" s="121"/>
      <c r="G763" s="203"/>
    </row>
    <row r="764" spans="1:7" ht="15.75" customHeight="1">
      <c r="A764" s="121" t="s">
        <v>23</v>
      </c>
      <c r="B764" s="121" t="s">
        <v>4677</v>
      </c>
      <c r="C764" s="43">
        <v>3000006</v>
      </c>
      <c r="D764" s="1" t="s">
        <v>71</v>
      </c>
      <c r="E764" s="49" t="s">
        <v>4505</v>
      </c>
      <c r="F764" s="121"/>
      <c r="G764" s="203"/>
    </row>
    <row r="765" spans="1:7" ht="15.75" customHeight="1">
      <c r="A765" s="121" t="s">
        <v>23</v>
      </c>
      <c r="B765" s="121" t="s">
        <v>4677</v>
      </c>
      <c r="C765" s="43">
        <v>2921390</v>
      </c>
      <c r="D765" s="1" t="s">
        <v>71</v>
      </c>
      <c r="E765" s="45" t="s">
        <v>4689</v>
      </c>
      <c r="F765" s="121"/>
      <c r="G765" s="203"/>
    </row>
    <row r="766" spans="1:7" ht="15.75" customHeight="1">
      <c r="A766" s="121" t="s">
        <v>23</v>
      </c>
      <c r="B766" s="121" t="s">
        <v>4677</v>
      </c>
      <c r="C766" s="43">
        <v>2454243</v>
      </c>
      <c r="D766" s="1" t="s">
        <v>80</v>
      </c>
      <c r="E766" s="49" t="s">
        <v>4507</v>
      </c>
      <c r="F766" s="121"/>
      <c r="G766" s="203"/>
    </row>
    <row r="767" spans="1:7" ht="15.75" customHeight="1">
      <c r="A767" s="121" t="s">
        <v>24</v>
      </c>
      <c r="B767" s="121" t="s">
        <v>4690</v>
      </c>
      <c r="C767" s="130" t="s">
        <v>68</v>
      </c>
      <c r="D767" s="130" t="s">
        <v>62</v>
      </c>
      <c r="E767" s="199" t="s">
        <v>69</v>
      </c>
      <c r="F767" s="130"/>
      <c r="G767" s="200" t="s">
        <v>70</v>
      </c>
    </row>
    <row r="768" spans="1:7" ht="15.75" customHeight="1">
      <c r="A768" s="121" t="s">
        <v>24</v>
      </c>
      <c r="B768" s="121" t="s">
        <v>4690</v>
      </c>
      <c r="C768" s="43">
        <v>2431000</v>
      </c>
      <c r="D768" s="1" t="s">
        <v>80</v>
      </c>
      <c r="E768" s="49" t="s">
        <v>4691</v>
      </c>
      <c r="F768" s="121"/>
      <c r="G768" s="200" t="s">
        <v>4692</v>
      </c>
    </row>
    <row r="769" spans="1:7" ht="15.75" customHeight="1">
      <c r="A769" s="121" t="s">
        <v>24</v>
      </c>
      <c r="B769" s="121" t="s">
        <v>4690</v>
      </c>
      <c r="C769" s="43">
        <v>399439</v>
      </c>
      <c r="D769" s="1" t="s">
        <v>80</v>
      </c>
      <c r="E769" s="45" t="s">
        <v>4693</v>
      </c>
      <c r="F769" s="121"/>
      <c r="G769" s="202"/>
    </row>
    <row r="770" spans="1:7" ht="15.75" customHeight="1">
      <c r="A770" s="121" t="s">
        <v>24</v>
      </c>
      <c r="B770" s="121" t="s">
        <v>4690</v>
      </c>
      <c r="C770" s="43">
        <v>561095</v>
      </c>
      <c r="D770" s="1" t="s">
        <v>80</v>
      </c>
      <c r="E770" s="45" t="s">
        <v>4694</v>
      </c>
      <c r="F770" s="121"/>
      <c r="G770" s="202"/>
    </row>
    <row r="771" spans="1:7" ht="15.75" customHeight="1">
      <c r="A771" s="121" t="s">
        <v>24</v>
      </c>
      <c r="B771" s="121" t="s">
        <v>4690</v>
      </c>
      <c r="C771" s="43">
        <v>561047</v>
      </c>
      <c r="D771" s="1" t="s">
        <v>83</v>
      </c>
      <c r="E771" s="45" t="s">
        <v>4695</v>
      </c>
      <c r="F771" s="121"/>
      <c r="G771" s="202"/>
    </row>
    <row r="772" spans="1:7" ht="15.75" customHeight="1">
      <c r="A772" s="121" t="s">
        <v>24</v>
      </c>
      <c r="B772" s="121" t="s">
        <v>4690</v>
      </c>
      <c r="C772" s="43">
        <v>2885011</v>
      </c>
      <c r="D772" s="1" t="s">
        <v>71</v>
      </c>
      <c r="E772" s="45" t="s">
        <v>4696</v>
      </c>
      <c r="F772" s="121"/>
      <c r="G772" s="202"/>
    </row>
    <row r="773" spans="1:7" ht="15.75" customHeight="1">
      <c r="A773" s="121" t="s">
        <v>24</v>
      </c>
      <c r="B773" s="121" t="s">
        <v>4690</v>
      </c>
      <c r="C773" s="43">
        <v>561028</v>
      </c>
      <c r="D773" s="1" t="s">
        <v>101</v>
      </c>
      <c r="E773" s="45" t="s">
        <v>4697</v>
      </c>
      <c r="F773" s="121"/>
      <c r="G773" s="202"/>
    </row>
    <row r="774" spans="1:7" ht="15.75" customHeight="1">
      <c r="A774" s="121" t="s">
        <v>24</v>
      </c>
      <c r="B774" s="121" t="s">
        <v>4690</v>
      </c>
      <c r="C774" s="43">
        <v>707967</v>
      </c>
      <c r="D774" s="1" t="s">
        <v>101</v>
      </c>
      <c r="E774" s="45" t="s">
        <v>4698</v>
      </c>
      <c r="F774" s="121"/>
      <c r="G774" s="202"/>
    </row>
    <row r="775" spans="1:7" ht="15.75" customHeight="1">
      <c r="A775" s="121" t="s">
        <v>24</v>
      </c>
      <c r="B775" s="121" t="s">
        <v>4690</v>
      </c>
      <c r="C775" s="43">
        <v>457515</v>
      </c>
      <c r="D775" s="1" t="s">
        <v>80</v>
      </c>
      <c r="E775" s="45" t="s">
        <v>4699</v>
      </c>
      <c r="F775" s="121"/>
      <c r="G775" s="202"/>
    </row>
    <row r="776" spans="1:7" ht="15.75" customHeight="1">
      <c r="A776" s="121" t="s">
        <v>24</v>
      </c>
      <c r="B776" s="121" t="s">
        <v>4690</v>
      </c>
      <c r="C776" s="43">
        <v>707965</v>
      </c>
      <c r="D776" s="1" t="s">
        <v>90</v>
      </c>
      <c r="E776" s="45" t="s">
        <v>4700</v>
      </c>
      <c r="F776" s="121"/>
      <c r="G776" s="202"/>
    </row>
    <row r="777" spans="1:7" ht="15.75" customHeight="1">
      <c r="A777" s="121" t="s">
        <v>24</v>
      </c>
      <c r="B777" s="121" t="s">
        <v>4690</v>
      </c>
      <c r="C777" s="43">
        <v>459714</v>
      </c>
      <c r="D777" s="1" t="s">
        <v>80</v>
      </c>
      <c r="E777" s="45" t="s">
        <v>4701</v>
      </c>
      <c r="F777" s="121"/>
      <c r="G777" s="202"/>
    </row>
    <row r="778" spans="1:7" ht="15.75" customHeight="1">
      <c r="A778" s="121" t="s">
        <v>24</v>
      </c>
      <c r="B778" s="121" t="s">
        <v>4690</v>
      </c>
      <c r="C778" s="43">
        <v>707966</v>
      </c>
      <c r="D778" s="1" t="s">
        <v>71</v>
      </c>
      <c r="E778" s="45" t="s">
        <v>4702</v>
      </c>
      <c r="F778" s="121"/>
      <c r="G778" s="202"/>
    </row>
    <row r="779" spans="1:7" ht="15.75" customHeight="1">
      <c r="A779" s="121" t="s">
        <v>24</v>
      </c>
      <c r="B779" s="121" t="s">
        <v>4690</v>
      </c>
      <c r="C779" s="43">
        <v>398636</v>
      </c>
      <c r="D779" s="1" t="s">
        <v>80</v>
      </c>
      <c r="E779" s="45" t="s">
        <v>4703</v>
      </c>
      <c r="F779" s="121"/>
      <c r="G779" s="202"/>
    </row>
    <row r="780" spans="1:7" ht="15.75" customHeight="1">
      <c r="A780" s="121" t="s">
        <v>24</v>
      </c>
      <c r="B780" s="121" t="s">
        <v>4690</v>
      </c>
      <c r="C780" s="43">
        <v>2422670</v>
      </c>
      <c r="D780" s="1" t="s">
        <v>71</v>
      </c>
      <c r="E780" s="49" t="s">
        <v>4388</v>
      </c>
      <c r="F780" s="121"/>
      <c r="G780" s="202"/>
    </row>
    <row r="781" spans="1:7" ht="15.75" customHeight="1">
      <c r="A781" s="120" t="s">
        <v>25</v>
      </c>
      <c r="B781" s="121" t="s">
        <v>4704</v>
      </c>
      <c r="C781" s="130" t="s">
        <v>68</v>
      </c>
      <c r="D781" s="130" t="s">
        <v>62</v>
      </c>
      <c r="E781" s="199" t="s">
        <v>69</v>
      </c>
      <c r="F781" s="130"/>
      <c r="G781" s="200" t="s">
        <v>70</v>
      </c>
    </row>
    <row r="782" spans="1:7" ht="15.75" customHeight="1">
      <c r="A782" s="120" t="s">
        <v>25</v>
      </c>
      <c r="B782" s="121" t="s">
        <v>4704</v>
      </c>
      <c r="C782" s="43">
        <v>2882006</v>
      </c>
      <c r="D782" s="1" t="s">
        <v>80</v>
      </c>
      <c r="E782" s="45" t="s">
        <v>4705</v>
      </c>
      <c r="F782" s="121"/>
      <c r="G782" s="200" t="s">
        <v>4203</v>
      </c>
    </row>
    <row r="783" spans="1:7" ht="15.75" customHeight="1">
      <c r="A783" s="120" t="s">
        <v>25</v>
      </c>
      <c r="B783" s="121" t="s">
        <v>4704</v>
      </c>
      <c r="C783" s="43">
        <v>2390306</v>
      </c>
      <c r="D783" s="1" t="s">
        <v>80</v>
      </c>
      <c r="E783" s="45" t="s">
        <v>4706</v>
      </c>
      <c r="F783" s="121"/>
      <c r="G783" s="136"/>
    </row>
    <row r="784" spans="1:7" ht="15.75" customHeight="1">
      <c r="A784" s="120" t="s">
        <v>25</v>
      </c>
      <c r="B784" s="121" t="s">
        <v>4704</v>
      </c>
      <c r="C784" s="43">
        <v>3202239</v>
      </c>
      <c r="D784" s="1" t="s">
        <v>80</v>
      </c>
      <c r="E784" s="49" t="s">
        <v>4707</v>
      </c>
      <c r="F784" s="121"/>
      <c r="G784" s="136"/>
    </row>
    <row r="785" spans="1:7" ht="15.75" customHeight="1">
      <c r="A785" s="120" t="s">
        <v>25</v>
      </c>
      <c r="B785" s="121" t="s">
        <v>4704</v>
      </c>
      <c r="C785" s="43">
        <v>2823374</v>
      </c>
      <c r="D785" s="1" t="s">
        <v>80</v>
      </c>
      <c r="E785" s="45" t="s">
        <v>4168</v>
      </c>
      <c r="F785" s="121"/>
      <c r="G785" s="136"/>
    </row>
    <row r="786" spans="1:7" ht="15.75" customHeight="1">
      <c r="A786" s="120" t="s">
        <v>25</v>
      </c>
      <c r="B786" s="121" t="s">
        <v>4704</v>
      </c>
      <c r="C786" s="43">
        <v>3161000</v>
      </c>
      <c r="D786" s="1" t="s">
        <v>80</v>
      </c>
      <c r="E786" s="49" t="s">
        <v>4708</v>
      </c>
      <c r="F786" s="121"/>
      <c r="G786" s="136"/>
    </row>
    <row r="787" spans="1:7" ht="15.75" customHeight="1">
      <c r="A787" s="120" t="s">
        <v>25</v>
      </c>
      <c r="B787" s="121" t="s">
        <v>4704</v>
      </c>
      <c r="C787" s="43">
        <v>2841038</v>
      </c>
      <c r="D787" s="1" t="s">
        <v>80</v>
      </c>
      <c r="E787" s="45" t="s">
        <v>4482</v>
      </c>
      <c r="F787" s="121"/>
      <c r="G787" s="136"/>
    </row>
    <row r="788" spans="1:7" ht="15.75" customHeight="1">
      <c r="A788" s="120" t="s">
        <v>25</v>
      </c>
      <c r="B788" s="121" t="s">
        <v>4704</v>
      </c>
      <c r="C788" s="43">
        <v>792276</v>
      </c>
      <c r="D788" s="1" t="s">
        <v>71</v>
      </c>
      <c r="E788" s="45" t="s">
        <v>4483</v>
      </c>
      <c r="F788" s="121"/>
      <c r="G788" s="136"/>
    </row>
    <row r="789" spans="1:7" ht="15.75" customHeight="1">
      <c r="A789" s="120" t="s">
        <v>25</v>
      </c>
      <c r="B789" s="121" t="s">
        <v>4704</v>
      </c>
      <c r="C789" s="43">
        <v>3201132</v>
      </c>
      <c r="D789" s="1" t="s">
        <v>80</v>
      </c>
      <c r="E789" s="49" t="s">
        <v>4675</v>
      </c>
      <c r="F789" s="121"/>
      <c r="G789" s="136"/>
    </row>
    <row r="790" spans="1:7" ht="15.75" customHeight="1">
      <c r="A790" s="120" t="s">
        <v>25</v>
      </c>
      <c r="B790" s="121" t="s">
        <v>4704</v>
      </c>
      <c r="C790" s="43">
        <v>3141016</v>
      </c>
      <c r="D790" s="1" t="s">
        <v>71</v>
      </c>
      <c r="E790" s="157" t="s">
        <v>4492</v>
      </c>
      <c r="F790" s="121"/>
      <c r="G790" s="136"/>
    </row>
    <row r="791" spans="1:7" ht="15.75" customHeight="1">
      <c r="A791" s="120" t="s">
        <v>25</v>
      </c>
      <c r="B791" s="121" t="s">
        <v>4704</v>
      </c>
      <c r="C791" s="43">
        <v>3138035</v>
      </c>
      <c r="D791" s="1" t="s">
        <v>71</v>
      </c>
      <c r="E791" s="157" t="s">
        <v>4709</v>
      </c>
      <c r="F791" s="121"/>
      <c r="G791" s="136"/>
    </row>
    <row r="792" spans="1:7" ht="15.75" customHeight="1">
      <c r="A792" s="120" t="s">
        <v>25</v>
      </c>
      <c r="B792" s="121" t="s">
        <v>4704</v>
      </c>
      <c r="C792" s="43">
        <v>713486</v>
      </c>
      <c r="D792" s="1" t="s">
        <v>71</v>
      </c>
      <c r="E792" s="45" t="s">
        <v>4710</v>
      </c>
      <c r="F792" s="121"/>
      <c r="G792" s="136"/>
    </row>
    <row r="793" spans="1:7" ht="15.75" customHeight="1">
      <c r="A793" s="120" t="s">
        <v>25</v>
      </c>
      <c r="B793" s="121" t="s">
        <v>4704</v>
      </c>
      <c r="C793" s="43">
        <v>2422573</v>
      </c>
      <c r="D793" s="1" t="s">
        <v>80</v>
      </c>
      <c r="E793" s="45" t="s">
        <v>4711</v>
      </c>
      <c r="F793" s="121"/>
      <c r="G793" s="136"/>
    </row>
    <row r="794" spans="1:7" ht="15.75" customHeight="1">
      <c r="A794" s="120" t="s">
        <v>25</v>
      </c>
      <c r="B794" s="121" t="s">
        <v>4704</v>
      </c>
      <c r="C794" s="43">
        <v>3160574</v>
      </c>
      <c r="D794" s="1" t="s">
        <v>80</v>
      </c>
      <c r="E794" s="49" t="s">
        <v>4712</v>
      </c>
      <c r="F794" s="121"/>
      <c r="G794" s="136"/>
    </row>
  </sheetData>
  <autoFilter ref="A1:I794" xr:uid="{00000000-0009-0000-0000-000009000000}"/>
  <hyperlinks>
    <hyperlink ref="E3" r:id="rId1" xr:uid="{00000000-0004-0000-0900-000000000000}"/>
    <hyperlink ref="E13" r:id="rId2" xr:uid="{00000000-0004-0000-0900-000001000000}"/>
    <hyperlink ref="E18" r:id="rId3" xr:uid="{00000000-0004-0000-0900-000002000000}"/>
    <hyperlink ref="E25" r:id="rId4" xr:uid="{00000000-0004-0000-0900-000003000000}"/>
    <hyperlink ref="E30" r:id="rId5" xr:uid="{00000000-0004-0000-0900-000004000000}"/>
    <hyperlink ref="E31" r:id="rId6" xr:uid="{00000000-0004-0000-0900-000005000000}"/>
    <hyperlink ref="E32" r:id="rId7" xr:uid="{00000000-0004-0000-0900-000006000000}"/>
    <hyperlink ref="E38" r:id="rId8" xr:uid="{00000000-0004-0000-0900-000007000000}"/>
    <hyperlink ref="E51" r:id="rId9" xr:uid="{00000000-0004-0000-0900-000008000000}"/>
    <hyperlink ref="E52" r:id="rId10" xr:uid="{00000000-0004-0000-0900-000009000000}"/>
    <hyperlink ref="E55" r:id="rId11" xr:uid="{00000000-0004-0000-0900-00000A000000}"/>
    <hyperlink ref="E65" r:id="rId12" xr:uid="{00000000-0004-0000-0900-00000B000000}"/>
    <hyperlink ref="E66" r:id="rId13" xr:uid="{00000000-0004-0000-0900-00000C000000}"/>
    <hyperlink ref="E79" r:id="rId14" xr:uid="{00000000-0004-0000-0900-00000D000000}"/>
    <hyperlink ref="E80" r:id="rId15" xr:uid="{00000000-0004-0000-0900-00000E000000}"/>
    <hyperlink ref="E81" r:id="rId16" xr:uid="{00000000-0004-0000-0900-00000F000000}"/>
    <hyperlink ref="E83" r:id="rId17" xr:uid="{00000000-0004-0000-0900-000010000000}"/>
    <hyperlink ref="E84" r:id="rId18" xr:uid="{00000000-0004-0000-0900-000011000000}"/>
    <hyperlink ref="E87" r:id="rId19" xr:uid="{00000000-0004-0000-0900-000012000000}"/>
    <hyperlink ref="E94" r:id="rId20" xr:uid="{00000000-0004-0000-0900-000013000000}"/>
    <hyperlink ref="E95" r:id="rId21" xr:uid="{00000000-0004-0000-0900-000014000000}"/>
    <hyperlink ref="E100" r:id="rId22" xr:uid="{00000000-0004-0000-0900-000015000000}"/>
    <hyperlink ref="E103" r:id="rId23" xr:uid="{00000000-0004-0000-0900-000016000000}"/>
    <hyperlink ref="E113" r:id="rId24" xr:uid="{00000000-0004-0000-0900-000017000000}"/>
    <hyperlink ref="E121" r:id="rId25" xr:uid="{00000000-0004-0000-0900-000018000000}"/>
    <hyperlink ref="E135" r:id="rId26" xr:uid="{00000000-0004-0000-0900-000019000000}"/>
    <hyperlink ref="E137" r:id="rId27" xr:uid="{00000000-0004-0000-0900-00001A000000}"/>
    <hyperlink ref="E138" r:id="rId28" xr:uid="{00000000-0004-0000-0900-00001B000000}"/>
    <hyperlink ref="E142" r:id="rId29" xr:uid="{00000000-0004-0000-0900-00001C000000}"/>
    <hyperlink ref="E143" r:id="rId30" xr:uid="{00000000-0004-0000-0900-00001D000000}"/>
    <hyperlink ref="E152" r:id="rId31" xr:uid="{00000000-0004-0000-0900-00001E000000}"/>
    <hyperlink ref="E169" r:id="rId32" xr:uid="{00000000-0004-0000-0900-00001F000000}"/>
    <hyperlink ref="E170" r:id="rId33" xr:uid="{00000000-0004-0000-0900-000020000000}"/>
    <hyperlink ref="E174" r:id="rId34" xr:uid="{00000000-0004-0000-0900-000021000000}"/>
    <hyperlink ref="E178" r:id="rId35" xr:uid="{00000000-0004-0000-0900-000022000000}"/>
    <hyperlink ref="E181" r:id="rId36" xr:uid="{00000000-0004-0000-0900-000023000000}"/>
    <hyperlink ref="E189" r:id="rId37" xr:uid="{00000000-0004-0000-0900-000024000000}"/>
    <hyperlink ref="E190" r:id="rId38" xr:uid="{00000000-0004-0000-0900-000025000000}"/>
    <hyperlink ref="E194" r:id="rId39" xr:uid="{00000000-0004-0000-0900-000026000000}"/>
    <hyperlink ref="E195" r:id="rId40" xr:uid="{00000000-0004-0000-0900-000027000000}"/>
    <hyperlink ref="E203" r:id="rId41" xr:uid="{00000000-0004-0000-0900-000028000000}"/>
    <hyperlink ref="E207" r:id="rId42" xr:uid="{00000000-0004-0000-0900-000029000000}"/>
    <hyperlink ref="E208" r:id="rId43" xr:uid="{00000000-0004-0000-0900-00002A000000}"/>
    <hyperlink ref="E211" r:id="rId44" xr:uid="{00000000-0004-0000-0900-00002B000000}"/>
    <hyperlink ref="E212" r:id="rId45" xr:uid="{00000000-0004-0000-0900-00002C000000}"/>
    <hyperlink ref="E214" r:id="rId46" xr:uid="{00000000-0004-0000-0900-00002D000000}"/>
    <hyperlink ref="E220" r:id="rId47" xr:uid="{00000000-0004-0000-0900-00002E000000}"/>
    <hyperlink ref="E222" r:id="rId48" xr:uid="{00000000-0004-0000-0900-00002F000000}"/>
    <hyperlink ref="E226" r:id="rId49" xr:uid="{00000000-0004-0000-0900-000030000000}"/>
    <hyperlink ref="E233" r:id="rId50" xr:uid="{00000000-0004-0000-0900-000031000000}"/>
    <hyperlink ref="E236" r:id="rId51" xr:uid="{00000000-0004-0000-0900-000032000000}"/>
    <hyperlink ref="E240" r:id="rId52" xr:uid="{00000000-0004-0000-0900-000033000000}"/>
    <hyperlink ref="E246" r:id="rId53" xr:uid="{00000000-0004-0000-0900-000034000000}"/>
    <hyperlink ref="E247" r:id="rId54" xr:uid="{00000000-0004-0000-0900-000035000000}"/>
    <hyperlink ref="E250" r:id="rId55" xr:uid="{00000000-0004-0000-0900-000036000000}"/>
    <hyperlink ref="E259" r:id="rId56" xr:uid="{00000000-0004-0000-0900-000037000000}"/>
    <hyperlink ref="E271" r:id="rId57" xr:uid="{00000000-0004-0000-0900-000038000000}"/>
    <hyperlink ref="E289" r:id="rId58" xr:uid="{00000000-0004-0000-0900-000039000000}"/>
    <hyperlink ref="E303" r:id="rId59" xr:uid="{00000000-0004-0000-0900-00003A000000}"/>
    <hyperlink ref="E305" r:id="rId60" xr:uid="{00000000-0004-0000-0900-00003B000000}"/>
    <hyperlink ref="E307" r:id="rId61" xr:uid="{00000000-0004-0000-0900-00003C000000}"/>
    <hyperlink ref="E324" r:id="rId62" xr:uid="{00000000-0004-0000-0900-00003D000000}"/>
    <hyperlink ref="E325" r:id="rId63" xr:uid="{00000000-0004-0000-0900-00003E000000}"/>
    <hyperlink ref="E331" r:id="rId64" xr:uid="{00000000-0004-0000-0900-00003F000000}"/>
    <hyperlink ref="E332" r:id="rId65" xr:uid="{00000000-0004-0000-0900-000040000000}"/>
    <hyperlink ref="E337" r:id="rId66" xr:uid="{00000000-0004-0000-0900-000041000000}"/>
    <hyperlink ref="E339" r:id="rId67" xr:uid="{00000000-0004-0000-0900-000042000000}"/>
    <hyperlink ref="E348" r:id="rId68" xr:uid="{00000000-0004-0000-0900-000043000000}"/>
    <hyperlink ref="E350" r:id="rId69" xr:uid="{00000000-0004-0000-0900-000044000000}"/>
    <hyperlink ref="E356" r:id="rId70" xr:uid="{00000000-0004-0000-0900-000045000000}"/>
    <hyperlink ref="E365" r:id="rId71" xr:uid="{00000000-0004-0000-0900-000046000000}"/>
    <hyperlink ref="E368" r:id="rId72" xr:uid="{00000000-0004-0000-0900-000047000000}"/>
    <hyperlink ref="E375" r:id="rId73" xr:uid="{00000000-0004-0000-0900-000048000000}"/>
    <hyperlink ref="E378" r:id="rId74" xr:uid="{00000000-0004-0000-0900-000049000000}"/>
    <hyperlink ref="E379" r:id="rId75" xr:uid="{00000000-0004-0000-0900-00004A000000}"/>
    <hyperlink ref="E381" r:id="rId76" xr:uid="{00000000-0004-0000-0900-00004B000000}"/>
    <hyperlink ref="E385" r:id="rId77" xr:uid="{00000000-0004-0000-0900-00004C000000}"/>
    <hyperlink ref="E388" r:id="rId78" xr:uid="{00000000-0004-0000-0900-00004D000000}"/>
    <hyperlink ref="E392" r:id="rId79" xr:uid="{00000000-0004-0000-0900-00004E000000}"/>
    <hyperlink ref="E393" r:id="rId80" xr:uid="{00000000-0004-0000-0900-00004F000000}"/>
    <hyperlink ref="E395" r:id="rId81" xr:uid="{00000000-0004-0000-0900-000050000000}"/>
    <hyperlink ref="E396" r:id="rId82" xr:uid="{00000000-0004-0000-0900-000051000000}"/>
    <hyperlink ref="E397" r:id="rId83" xr:uid="{00000000-0004-0000-0900-000052000000}"/>
    <hyperlink ref="E399" r:id="rId84" xr:uid="{00000000-0004-0000-0900-000053000000}"/>
    <hyperlink ref="E400" r:id="rId85" xr:uid="{00000000-0004-0000-0900-000054000000}"/>
    <hyperlink ref="E403" r:id="rId86" xr:uid="{00000000-0004-0000-0900-000055000000}"/>
    <hyperlink ref="E404" r:id="rId87" xr:uid="{00000000-0004-0000-0900-000056000000}"/>
    <hyperlink ref="E407" r:id="rId88" xr:uid="{00000000-0004-0000-0900-000057000000}"/>
    <hyperlink ref="E413" r:id="rId89" xr:uid="{00000000-0004-0000-0900-000058000000}"/>
    <hyperlink ref="E414" r:id="rId90" xr:uid="{00000000-0004-0000-0900-000059000000}"/>
    <hyperlink ref="E416" r:id="rId91" xr:uid="{00000000-0004-0000-0900-00005A000000}"/>
    <hyperlink ref="E422" r:id="rId92" xr:uid="{00000000-0004-0000-0900-00005B000000}"/>
    <hyperlink ref="E423" r:id="rId93" xr:uid="{00000000-0004-0000-0900-00005C000000}"/>
    <hyperlink ref="E425" r:id="rId94" xr:uid="{00000000-0004-0000-0900-00005D000000}"/>
    <hyperlink ref="E428" r:id="rId95" xr:uid="{00000000-0004-0000-0900-00005E000000}"/>
    <hyperlink ref="E429" r:id="rId96" xr:uid="{00000000-0004-0000-0900-00005F000000}"/>
    <hyperlink ref="E437" r:id="rId97" xr:uid="{00000000-0004-0000-0900-000060000000}"/>
    <hyperlink ref="E447" r:id="rId98" xr:uid="{00000000-0004-0000-0900-000061000000}"/>
    <hyperlink ref="E451" r:id="rId99" xr:uid="{00000000-0004-0000-0900-000062000000}"/>
    <hyperlink ref="E452" r:id="rId100" xr:uid="{00000000-0004-0000-0900-000063000000}"/>
    <hyperlink ref="E455" r:id="rId101" xr:uid="{00000000-0004-0000-0900-000064000000}"/>
    <hyperlink ref="E456" r:id="rId102" xr:uid="{00000000-0004-0000-0900-000065000000}"/>
    <hyperlink ref="E457" r:id="rId103" xr:uid="{00000000-0004-0000-0900-000066000000}"/>
    <hyperlink ref="E459" r:id="rId104" xr:uid="{00000000-0004-0000-0900-000067000000}"/>
    <hyperlink ref="E461" r:id="rId105" xr:uid="{00000000-0004-0000-0900-000068000000}"/>
    <hyperlink ref="E462" r:id="rId106" xr:uid="{00000000-0004-0000-0900-000069000000}"/>
    <hyperlink ref="E465" r:id="rId107" xr:uid="{00000000-0004-0000-0900-00006A000000}"/>
    <hyperlink ref="E472" r:id="rId108" xr:uid="{00000000-0004-0000-0900-00006B000000}"/>
    <hyperlink ref="E475" r:id="rId109" xr:uid="{00000000-0004-0000-0900-00006C000000}"/>
    <hyperlink ref="E478" r:id="rId110" xr:uid="{00000000-0004-0000-0900-00006D000000}"/>
    <hyperlink ref="E482" r:id="rId111" xr:uid="{00000000-0004-0000-0900-00006E000000}"/>
    <hyperlink ref="E485" r:id="rId112" xr:uid="{00000000-0004-0000-0900-00006F000000}"/>
    <hyperlink ref="E488" r:id="rId113" xr:uid="{00000000-0004-0000-0900-000070000000}"/>
    <hyperlink ref="E492" r:id="rId114" xr:uid="{00000000-0004-0000-0900-000071000000}"/>
    <hyperlink ref="E494" r:id="rId115" xr:uid="{00000000-0004-0000-0900-000072000000}"/>
    <hyperlink ref="E495" r:id="rId116" xr:uid="{00000000-0004-0000-0900-000073000000}"/>
    <hyperlink ref="E496" r:id="rId117" xr:uid="{00000000-0004-0000-0900-000074000000}"/>
    <hyperlink ref="E497" r:id="rId118" xr:uid="{00000000-0004-0000-0900-000075000000}"/>
    <hyperlink ref="E498" r:id="rId119" xr:uid="{00000000-0004-0000-0900-000076000000}"/>
    <hyperlink ref="E500" r:id="rId120" xr:uid="{00000000-0004-0000-0900-000077000000}"/>
    <hyperlink ref="E501" r:id="rId121" xr:uid="{00000000-0004-0000-0900-000078000000}"/>
    <hyperlink ref="E503" r:id="rId122" xr:uid="{00000000-0004-0000-0900-000079000000}"/>
    <hyperlink ref="E508" r:id="rId123" xr:uid="{00000000-0004-0000-0900-00007A000000}"/>
    <hyperlink ref="E510" r:id="rId124" xr:uid="{00000000-0004-0000-0900-00007B000000}"/>
    <hyperlink ref="E511" r:id="rId125" xr:uid="{00000000-0004-0000-0900-00007C000000}"/>
    <hyperlink ref="E515" r:id="rId126" xr:uid="{00000000-0004-0000-0900-00007D000000}"/>
    <hyperlink ref="E516" r:id="rId127" xr:uid="{00000000-0004-0000-0900-00007E000000}"/>
    <hyperlink ref="E518" r:id="rId128" xr:uid="{00000000-0004-0000-0900-00007F000000}"/>
    <hyperlink ref="E519" r:id="rId129" xr:uid="{00000000-0004-0000-0900-000080000000}"/>
    <hyperlink ref="E521" r:id="rId130" xr:uid="{00000000-0004-0000-0900-000081000000}"/>
    <hyperlink ref="E522" r:id="rId131" xr:uid="{00000000-0004-0000-0900-000082000000}"/>
    <hyperlink ref="E523" r:id="rId132" xr:uid="{00000000-0004-0000-0900-000083000000}"/>
    <hyperlink ref="E526" r:id="rId133" xr:uid="{00000000-0004-0000-0900-000084000000}"/>
    <hyperlink ref="E529" r:id="rId134" xr:uid="{00000000-0004-0000-0900-000085000000}"/>
    <hyperlink ref="E532" r:id="rId135" xr:uid="{00000000-0004-0000-0900-000086000000}"/>
    <hyperlink ref="E533" r:id="rId136" xr:uid="{00000000-0004-0000-0900-000087000000}"/>
    <hyperlink ref="E537" r:id="rId137" xr:uid="{00000000-0004-0000-0900-000088000000}"/>
    <hyperlink ref="E544" r:id="rId138" xr:uid="{00000000-0004-0000-0900-000089000000}"/>
    <hyperlink ref="E561" r:id="rId139" xr:uid="{00000000-0004-0000-0900-00008A000000}"/>
    <hyperlink ref="E570" r:id="rId140" xr:uid="{00000000-0004-0000-0900-00008B000000}"/>
    <hyperlink ref="E571" r:id="rId141" xr:uid="{00000000-0004-0000-0900-00008C000000}"/>
    <hyperlink ref="E581" r:id="rId142" xr:uid="{00000000-0004-0000-0900-00008D000000}"/>
    <hyperlink ref="E586" r:id="rId143" xr:uid="{00000000-0004-0000-0900-00008E000000}"/>
    <hyperlink ref="E614" r:id="rId144" xr:uid="{00000000-0004-0000-0900-00008F000000}"/>
    <hyperlink ref="E619" r:id="rId145" xr:uid="{00000000-0004-0000-0900-000090000000}"/>
    <hyperlink ref="E620" r:id="rId146" xr:uid="{00000000-0004-0000-0900-000091000000}"/>
    <hyperlink ref="E623" r:id="rId147" xr:uid="{00000000-0004-0000-0900-000092000000}"/>
    <hyperlink ref="E624" r:id="rId148" xr:uid="{00000000-0004-0000-0900-000093000000}"/>
    <hyperlink ref="E628" r:id="rId149" xr:uid="{00000000-0004-0000-0900-000094000000}"/>
    <hyperlink ref="E639" r:id="rId150" xr:uid="{00000000-0004-0000-0900-000095000000}"/>
    <hyperlink ref="E646" r:id="rId151" xr:uid="{00000000-0004-0000-0900-000096000000}"/>
    <hyperlink ref="E649" r:id="rId152" xr:uid="{00000000-0004-0000-0900-000097000000}"/>
    <hyperlink ref="E651" r:id="rId153" xr:uid="{00000000-0004-0000-0900-000098000000}"/>
    <hyperlink ref="E654" r:id="rId154" xr:uid="{00000000-0004-0000-0900-000099000000}"/>
    <hyperlink ref="E668" r:id="rId155" xr:uid="{00000000-0004-0000-0900-00009A000000}"/>
    <hyperlink ref="E679" r:id="rId156" xr:uid="{00000000-0004-0000-0900-00009B000000}"/>
    <hyperlink ref="E680" r:id="rId157" xr:uid="{00000000-0004-0000-0900-00009C000000}"/>
    <hyperlink ref="E681" r:id="rId158" xr:uid="{00000000-0004-0000-0900-00009D000000}"/>
    <hyperlink ref="E690" r:id="rId159" xr:uid="{00000000-0004-0000-0900-00009E000000}"/>
    <hyperlink ref="E691" r:id="rId160" xr:uid="{00000000-0004-0000-0900-00009F000000}"/>
    <hyperlink ref="E693" r:id="rId161" xr:uid="{00000000-0004-0000-0900-0000A0000000}"/>
    <hyperlink ref="E696" r:id="rId162" xr:uid="{00000000-0004-0000-0900-0000A1000000}"/>
    <hyperlink ref="E698" r:id="rId163" xr:uid="{00000000-0004-0000-0900-0000A2000000}"/>
    <hyperlink ref="E704" r:id="rId164" xr:uid="{00000000-0004-0000-0900-0000A3000000}"/>
    <hyperlink ref="E705" r:id="rId165" xr:uid="{00000000-0004-0000-0900-0000A4000000}"/>
    <hyperlink ref="E706" r:id="rId166" xr:uid="{00000000-0004-0000-0900-0000A5000000}"/>
    <hyperlink ref="E707" r:id="rId167" xr:uid="{00000000-0004-0000-0900-0000A6000000}"/>
    <hyperlink ref="E709" r:id="rId168" xr:uid="{00000000-0004-0000-0900-0000A7000000}"/>
    <hyperlink ref="E710" r:id="rId169" xr:uid="{00000000-0004-0000-0900-0000A8000000}"/>
    <hyperlink ref="E712" r:id="rId170" xr:uid="{00000000-0004-0000-0900-0000A9000000}"/>
    <hyperlink ref="E715" r:id="rId171" xr:uid="{00000000-0004-0000-0900-0000AA000000}"/>
    <hyperlink ref="E716" r:id="rId172" xr:uid="{00000000-0004-0000-0900-0000AB000000}"/>
    <hyperlink ref="E718" r:id="rId173" xr:uid="{00000000-0004-0000-0900-0000AC000000}"/>
    <hyperlink ref="E719" r:id="rId174" xr:uid="{00000000-0004-0000-0900-0000AD000000}"/>
    <hyperlink ref="E720" r:id="rId175" xr:uid="{00000000-0004-0000-0900-0000AE000000}"/>
    <hyperlink ref="E721" r:id="rId176" xr:uid="{00000000-0004-0000-0900-0000AF000000}"/>
    <hyperlink ref="E723" r:id="rId177" xr:uid="{00000000-0004-0000-0900-0000B0000000}"/>
    <hyperlink ref="E728" r:id="rId178" xr:uid="{00000000-0004-0000-0900-0000B1000000}"/>
    <hyperlink ref="E732" r:id="rId179" xr:uid="{00000000-0004-0000-0900-0000B2000000}"/>
    <hyperlink ref="E734" r:id="rId180" xr:uid="{00000000-0004-0000-0900-0000B3000000}"/>
    <hyperlink ref="E737" r:id="rId181" xr:uid="{00000000-0004-0000-0900-0000B4000000}"/>
    <hyperlink ref="E744" r:id="rId182" xr:uid="{00000000-0004-0000-0900-0000B5000000}"/>
    <hyperlink ref="E745" r:id="rId183" xr:uid="{00000000-0004-0000-0900-0000B6000000}"/>
    <hyperlink ref="E748" r:id="rId184" xr:uid="{00000000-0004-0000-0900-0000B7000000}"/>
    <hyperlink ref="E749" r:id="rId185" xr:uid="{00000000-0004-0000-0900-0000B8000000}"/>
    <hyperlink ref="E754" r:id="rId186" xr:uid="{00000000-0004-0000-0900-0000B9000000}"/>
    <hyperlink ref="E758" r:id="rId187" xr:uid="{00000000-0004-0000-0900-0000BA000000}"/>
    <hyperlink ref="E763" r:id="rId188" xr:uid="{00000000-0004-0000-0900-0000BB000000}"/>
    <hyperlink ref="E764" r:id="rId189" xr:uid="{00000000-0004-0000-0900-0000BC000000}"/>
    <hyperlink ref="E766" r:id="rId190" xr:uid="{00000000-0004-0000-0900-0000BD000000}"/>
    <hyperlink ref="E768" r:id="rId191" xr:uid="{00000000-0004-0000-0900-0000BE000000}"/>
    <hyperlink ref="E780" r:id="rId192" xr:uid="{00000000-0004-0000-0900-0000BF000000}"/>
    <hyperlink ref="E784" r:id="rId193" xr:uid="{00000000-0004-0000-0900-0000C0000000}"/>
    <hyperlink ref="E786" r:id="rId194" xr:uid="{00000000-0004-0000-0900-0000C1000000}"/>
    <hyperlink ref="E789" r:id="rId195" xr:uid="{00000000-0004-0000-0900-0000C2000000}"/>
    <hyperlink ref="E794" r:id="rId196" xr:uid="{00000000-0004-0000-0900-0000C3000000}"/>
  </hyperlinks>
  <pageMargins left="0.7" right="0.7" top="0.75" bottom="0.75" header="0" footer="0"/>
  <pageSetup orientation="landscape"/>
</worksheet>
</file>

<file path=docMetadata/LabelInfo.xml><?xml version="1.0" encoding="utf-8"?>
<clbl:labelList xmlns:clbl="http://schemas.microsoft.com/office/2020/mipLabelMetadata">
  <clbl:label id="{f42aa342-8706-4288-bd11-ebb85995028c}" enabled="1" method="Standard" siteId="{72f988bf-86f1-41af-91ab-2d7cd011db47}"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35</vt:i4>
      </vt:variant>
    </vt:vector>
  </HeadingPairs>
  <TitlesOfParts>
    <vt:vector size="35" baseType="lpstr">
      <vt:lpstr>HOW TO USE THIS DOCUMENT</vt:lpstr>
      <vt:lpstr>Table of Contents Multi-languag</vt:lpstr>
      <vt:lpstr>Spanish</vt:lpstr>
      <vt:lpstr>Mandarin</vt:lpstr>
      <vt:lpstr>Japanese</vt:lpstr>
      <vt:lpstr>Portuguese</vt:lpstr>
      <vt:lpstr>English</vt:lpstr>
      <vt:lpstr>German</vt:lpstr>
      <vt:lpstr>French</vt:lpstr>
      <vt:lpstr>Accountability and Results-Orie</vt:lpstr>
      <vt:lpstr>Adaptability</vt:lpstr>
      <vt:lpstr>Building and Managing Effective</vt:lpstr>
      <vt:lpstr>Building Trust and Collaboratin</vt:lpstr>
      <vt:lpstr>Communication and Interpersonal</vt:lpstr>
      <vt:lpstr>Conflict Management and Conflic</vt:lpstr>
      <vt:lpstr>Content Marketing, Digital Mark</vt:lpstr>
      <vt:lpstr>Creative Thinking and Innovatio</vt:lpstr>
      <vt:lpstr>Critical Thinking, Decision Mak</vt:lpstr>
      <vt:lpstr>Customer Focus</vt:lpstr>
      <vt:lpstr>Data Analysis</vt:lpstr>
      <vt:lpstr>Financial and Accounting Knowle</vt:lpstr>
      <vt:lpstr>Human Resources Knowledge and H</vt:lpstr>
      <vt:lpstr>Leading Change</vt:lpstr>
      <vt:lpstr>Leading Others Effectively and </vt:lpstr>
      <vt:lpstr>Managing Others Effectively</vt:lpstr>
      <vt:lpstr>Operational Excellence and Proc</vt:lpstr>
      <vt:lpstr>Presentation Skills</vt:lpstr>
      <vt:lpstr>Project Management</vt:lpstr>
      <vt:lpstr>Sales Knowledge and Sales Skill</vt:lpstr>
      <vt:lpstr>Strategic Planning and Strategi</vt:lpstr>
      <vt:lpstr>Talent Development</vt:lpstr>
      <vt:lpstr>Talent Management</vt:lpstr>
      <vt:lpstr>Values Diversity, Inclusion, an</vt:lpstr>
      <vt:lpstr>Writing Skills and Writing Prof</vt:lpstr>
      <vt:lpstr>Self-care, Well-being, Mindfuln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modified xsi:type="dcterms:W3CDTF">2022-08-03T22:57:17Z</dcterms:modified>
</cp:coreProperties>
</file>